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omments4.xml" ContentType="application/vnd.openxmlformats-officedocument.spreadsheetml.comment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20.xml" ContentType="application/vnd.openxmlformats-officedocument.drawingml.chartshapes+xml"/>
  <Override PartName="/xl/charts/chart21.xml" ContentType="application/vnd.openxmlformats-officedocument.drawingml.chart+xml"/>
  <Override PartName="/xl/drawings/drawing21.xml" ContentType="application/vnd.openxmlformats-officedocument.drawingml.chartshapes+xml"/>
  <Override PartName="/xl/charts/chart22.xml" ContentType="application/vnd.openxmlformats-officedocument.drawingml.chart+xml"/>
  <Override PartName="/xl/drawings/drawing22.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charts/chart27.xml" ContentType="application/vnd.openxmlformats-officedocument.drawingml.chart+xml"/>
  <Override PartName="/xl/drawings/drawing26.xml" ContentType="application/vnd.openxmlformats-officedocument.drawingml.chartshapes+xml"/>
  <Override PartName="/xl/charts/chart28.xml" ContentType="application/vnd.openxmlformats-officedocument.drawingml.chart+xml"/>
  <Override PartName="/xl/drawings/drawing27.xml" ContentType="application/vnd.openxmlformats-officedocument.drawingml.chartshapes+xml"/>
  <Override PartName="/xl/charts/chart29.xml" ContentType="application/vnd.openxmlformats-officedocument.drawingml.chart+xml"/>
  <Override PartName="/xl/drawings/drawing28.xml" ContentType="application/vnd.openxmlformats-officedocument.drawingml.chartshapes+xml"/>
  <Override PartName="/xl/charts/chart30.xml" ContentType="application/vnd.openxmlformats-officedocument.drawingml.chart+xml"/>
  <Override PartName="/xl/drawings/drawing29.xml" ContentType="application/vnd.openxmlformats-officedocument.drawingml.chartshapes+xml"/>
  <Override PartName="/xl/charts/chart3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omments5.xml" ContentType="application/vnd.openxmlformats-officedocument.spreadsheetml.comment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32.xml" ContentType="application/vnd.openxmlformats-officedocument.drawing+xml"/>
  <Override PartName="/xl/comments6.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drawings/drawing33.xml" ContentType="application/vnd.openxmlformats-officedocument.drawingml.chartshapes+xml"/>
  <Override PartName="/xl/charts/chart39.xml" ContentType="application/vnd.openxmlformats-officedocument.drawingml.chart+xml"/>
  <Override PartName="/xl/drawings/drawing34.xml" ContentType="application/vnd.openxmlformats-officedocument.drawingml.chartshapes+xml"/>
  <Override PartName="/xl/charts/chart40.xml" ContentType="application/vnd.openxmlformats-officedocument.drawingml.chart+xml"/>
  <Override PartName="/xl/drawings/drawing35.xml" ContentType="application/vnd.openxmlformats-officedocument.drawingml.chartshapes+xml"/>
  <Override PartName="/xl/charts/chart41.xml" ContentType="application/vnd.openxmlformats-officedocument.drawingml.chart+xml"/>
  <Override PartName="/xl/drawings/drawing36.xml" ContentType="application/vnd.openxmlformats-officedocument.drawingml.chartshapes+xml"/>
  <Override PartName="/xl/charts/chart42.xml" ContentType="application/vnd.openxmlformats-officedocument.drawingml.chart+xml"/>
  <Override PartName="/xl/drawings/drawing37.xml" ContentType="application/vnd.openxmlformats-officedocument.drawingml.chartshapes+xml"/>
  <Override PartName="/xl/charts/chart43.xml" ContentType="application/vnd.openxmlformats-officedocument.drawingml.chart+xml"/>
  <Override PartName="/xl/drawings/drawing38.xml" ContentType="application/vnd.openxmlformats-officedocument.drawingml.chartshapes+xml"/>
  <Override PartName="/xl/charts/chart44.xml" ContentType="application/vnd.openxmlformats-officedocument.drawingml.chart+xml"/>
  <Override PartName="/xl/drawings/drawing39.xml" ContentType="application/vnd.openxmlformats-officedocument.drawingml.chartshapes+xml"/>
  <Override PartName="/xl/charts/chart45.xml" ContentType="application/vnd.openxmlformats-officedocument.drawingml.chart+xml"/>
  <Override PartName="/xl/drawings/drawing40.xml" ContentType="application/vnd.openxmlformats-officedocument.drawingml.chartshapes+xml"/>
  <Override PartName="/xl/charts/chart46.xml" ContentType="application/vnd.openxmlformats-officedocument.drawingml.chart+xml"/>
  <Override PartName="/xl/drawings/drawing41.xml" ContentType="application/vnd.openxmlformats-officedocument.drawingml.chartshapes+xml"/>
  <Override PartName="/xl/charts/chart47.xml" ContentType="application/vnd.openxmlformats-officedocument.drawingml.chart+xml"/>
  <Override PartName="/xl/drawings/drawing42.xml" ContentType="application/vnd.openxmlformats-officedocument.drawingml.chartshapes+xml"/>
  <Override PartName="/xl/charts/chart48.xml" ContentType="application/vnd.openxmlformats-officedocument.drawingml.chart+xml"/>
  <Override PartName="/xl/drawings/drawing43.xml" ContentType="application/vnd.openxmlformats-officedocument.drawingml.chartshapes+xml"/>
  <Override PartName="/xl/charts/chart49.xml" ContentType="application/vnd.openxmlformats-officedocument.drawingml.chart+xml"/>
  <Override PartName="/xl/drawings/drawing44.xml" ContentType="application/vnd.openxmlformats-officedocument.drawingml.chartshapes+xml"/>
  <Override PartName="/xl/charts/chart50.xml" ContentType="application/vnd.openxmlformats-officedocument.drawingml.chart+xml"/>
  <Override PartName="/xl/drawings/drawing45.xml" ContentType="application/vnd.openxmlformats-officedocument.drawingml.chartshapes+xml"/>
  <Override PartName="/xl/charts/chart51.xml" ContentType="application/vnd.openxmlformats-officedocument.drawingml.chart+xml"/>
  <Override PartName="/xl/drawings/drawing46.xml" ContentType="application/vnd.openxmlformats-officedocument.drawingml.chartshapes+xml"/>
  <Override PartName="/xl/charts/chart52.xml" ContentType="application/vnd.openxmlformats-officedocument.drawingml.chart+xml"/>
  <Override PartName="/xl/drawings/drawing47.xml" ContentType="application/vnd.openxmlformats-officedocument.drawingml.chartshapes+xml"/>
  <Override PartName="/xl/charts/chart53.xml" ContentType="application/vnd.openxmlformats-officedocument.drawingml.chart+xml"/>
  <Override PartName="/xl/drawings/drawing48.xml" ContentType="application/vnd.openxmlformats-officedocument.drawingml.chartshapes+xml"/>
  <Override PartName="/xl/charts/chart54.xml" ContentType="application/vnd.openxmlformats-officedocument.drawingml.chart+xml"/>
  <Override PartName="/xl/drawings/drawing49.xml" ContentType="application/vnd.openxmlformats-officedocument.drawingml.chartshapes+xml"/>
  <Override PartName="/xl/charts/chart55.xml" ContentType="application/vnd.openxmlformats-officedocument.drawingml.chart+xml"/>
  <Override PartName="/xl/drawings/drawing50.xml" ContentType="application/vnd.openxmlformats-officedocument.drawingml.chartshapes+xml"/>
  <Override PartName="/xl/charts/chart56.xml" ContentType="application/vnd.openxmlformats-officedocument.drawingml.chart+xml"/>
  <Override PartName="/xl/drawings/drawing51.xml" ContentType="application/vnd.openxmlformats-officedocument.drawingml.chartshapes+xml"/>
  <Override PartName="/xl/charts/chart57.xml" ContentType="application/vnd.openxmlformats-officedocument.drawingml.chart+xml"/>
  <Override PartName="/xl/charts/chart58.xml" ContentType="application/vnd.openxmlformats-officedocument.drawingml.chart+xml"/>
  <Override PartName="/xl/comments7.xml" ContentType="application/vnd.openxmlformats-officedocument.spreadsheetml.comments+xml"/>
  <Override PartName="/xl/drawings/drawing52.xml" ContentType="application/vnd.openxmlformats-officedocument.drawing+xml"/>
  <Override PartName="/xl/comments8.xml" ContentType="application/vnd.openxmlformats-officedocument.spreadsheetml.comments+xml"/>
  <Override PartName="/xl/charts/chart59.xml" ContentType="application/vnd.openxmlformats-officedocument.drawingml.chart+xml"/>
  <Override PartName="/xl/drawings/drawing53.xml" ContentType="application/vnd.openxmlformats-officedocument.drawingml.chartshapes+xml"/>
  <Override PartName="/xl/charts/chart60.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5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57.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18285" windowHeight="5490" tabRatio="900" firstSheet="1" activeTab="8"/>
  </bookViews>
  <sheets>
    <sheet name="INDEX - SUMMARY" sheetId="26" r:id="rId1"/>
    <sheet name="NOTE 2" sheetId="54" r:id="rId2"/>
    <sheet name="PROFILES" sheetId="44" r:id="rId3"/>
    <sheet name="GEARINGS, Eb&amp;E" sheetId="58" r:id="rId4"/>
    <sheet name="RATINGS" sheetId="55" r:id="rId5"/>
    <sheet name="OUTPUTS &amp; Inputs" sheetId="48" r:id="rId6"/>
    <sheet name="Equity Analysts Forecasts " sheetId="57" r:id="rId7"/>
    <sheet name="Ranking" sheetId="51" r:id="rId8"/>
    <sheet name="SEGMENTS Data &amp; Estimates" sheetId="43" r:id="rId9"/>
    <sheet name="CALCULATIONS" sheetId="38" r:id="rId10"/>
    <sheet name="OPERATING LEASES" sheetId="47" r:id="rId11"/>
    <sheet name="Equity Analysts Forecasts v1" sheetId="56" state="hidden" r:id="rId12"/>
    <sheet name="Bloom Cleaner Data" sheetId="37" r:id="rId13"/>
    <sheet name="(Bloom Raw Data)" sheetId="36" r:id="rId14"/>
    <sheet name="(Bloom Data Not Used or NA)" sheetId="45" r:id="rId15"/>
  </sheets>
  <definedNames>
    <definedName name="_ftnref1" localSheetId="10">'OPERATING LEASES'!$AN$2</definedName>
    <definedName name="Blp_Fields" localSheetId="6">#REF!</definedName>
    <definedName name="Blp_Fields" localSheetId="3">#REF!</definedName>
    <definedName name="Blp_Fields" localSheetId="4">#REF!</definedName>
    <definedName name="Blp_Fields">#REF!</definedName>
    <definedName name="BLPB_Facteurs_de_dette" localSheetId="14">#REF!</definedName>
    <definedName name="BLPB_Facteurs_de_dette" localSheetId="12">#REF!</definedName>
    <definedName name="BLPB_Facteurs_de_dette" localSheetId="6">#REF!</definedName>
    <definedName name="BLPB_Facteurs_de_dette" localSheetId="3">#REF!</definedName>
    <definedName name="BLPB_Facteurs_de_dette" localSheetId="7">#REF!</definedName>
    <definedName name="BLPB_Facteurs_de_dette" localSheetId="4">#REF!</definedName>
    <definedName name="BLPB_Facteurs_de_dette">#REF!</definedName>
    <definedName name="BLPB_Valeur_Entrep_VE" localSheetId="14">#REF!</definedName>
    <definedName name="BLPB_Valeur_Entrep_VE" localSheetId="12">#REF!</definedName>
    <definedName name="BLPB_Valeur_Entrep_VE" localSheetId="6">#REF!</definedName>
    <definedName name="BLPB_Valeur_Entrep_VE" localSheetId="3">#REF!</definedName>
    <definedName name="BLPB_Valeur_Entrep_VE" localSheetId="7">#REF!</definedName>
    <definedName name="BLPB_Valeur_Entrep_VE" localSheetId="4">#REF!</definedName>
    <definedName name="BLPB_Valeur_Entrep_VE">#REF!</definedName>
    <definedName name="HTML_CodePage" hidden="1">1252</definedName>
    <definedName name="HTML_Control" hidden="1">{"'Sheet1'!$A$1:$O$40"}</definedName>
    <definedName name="HTML_Description" hidden="1">""</definedName>
    <definedName name="HTML_Email" hidden="1">""</definedName>
    <definedName name="HTML_Header" hidden="1">"Sheet1"</definedName>
    <definedName name="HTML_LastUpdate" hidden="1">"2/5/99"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HD:HomePageStuff:pc:datasets:implprem.html"</definedName>
    <definedName name="HTML_Title" hidden="1">"S&amp;P Implied Equity Premiums"</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Count" hidden="1">1</definedName>
    <definedName name="RESULTS___ANALYSES" localSheetId="6">#REF!</definedName>
    <definedName name="RESULTS___ANALYSES" localSheetId="3">'GEARINGS, Eb&amp;E'!$A$1</definedName>
    <definedName name="RESULTS___ANALYSES" localSheetId="7">Ranking!$A$1</definedName>
    <definedName name="RESULTS___ANALYSES" localSheetId="4">RATINGS!$A$1</definedName>
    <definedName name="RESULTS___ANALYSES">#REF!</definedName>
  </definedNames>
  <calcPr calcId="145621"/>
</workbook>
</file>

<file path=xl/calcChain.xml><?xml version="1.0" encoding="utf-8"?>
<calcChain xmlns="http://schemas.openxmlformats.org/spreadsheetml/2006/main">
  <c r="IN43" i="38" l="1"/>
  <c r="RK1" i="38"/>
  <c r="CO1" i="38"/>
  <c r="LT1" i="38"/>
  <c r="M36" i="26"/>
  <c r="AI426" i="58"/>
  <c r="AI425" i="58"/>
  <c r="AI418" i="58"/>
  <c r="AI419" i="58"/>
  <c r="AI417" i="58"/>
  <c r="AC270" i="58"/>
  <c r="AB270" i="58"/>
  <c r="J536" i="48" l="1"/>
  <c r="K27" i="26" s="1"/>
  <c r="I536" i="48"/>
  <c r="M27" i="26" s="1"/>
  <c r="H536" i="48"/>
  <c r="L27" i="26" s="1"/>
  <c r="F536" i="48"/>
  <c r="J27" i="26" s="1"/>
  <c r="H535" i="48"/>
  <c r="AF426" i="58"/>
  <c r="AF425" i="58"/>
  <c r="AJ431" i="58"/>
  <c r="W425" i="58"/>
  <c r="AK288" i="58"/>
  <c r="AC275" i="58" s="1"/>
  <c r="AK290" i="58"/>
  <c r="V419" i="58" s="1"/>
  <c r="AK289" i="58"/>
  <c r="V418" i="58" s="1"/>
  <c r="J486" i="48"/>
  <c r="K20" i="26" s="1"/>
  <c r="I486" i="48"/>
  <c r="M20" i="26" s="1"/>
  <c r="H486" i="48"/>
  <c r="L20" i="26" s="1"/>
  <c r="F486" i="48"/>
  <c r="J20" i="26" s="1"/>
  <c r="J535" i="48" l="1"/>
  <c r="AJ426" i="58"/>
  <c r="F535" i="48"/>
  <c r="AJ425" i="58"/>
  <c r="AK418" i="58"/>
  <c r="AL418" i="58"/>
  <c r="AL419" i="58"/>
  <c r="AK419" i="58"/>
  <c r="AB276" i="58"/>
  <c r="AC276" i="58"/>
  <c r="AC277" i="58"/>
  <c r="AB277" i="58"/>
  <c r="AB275" i="58"/>
  <c r="V417" i="58"/>
  <c r="AK417" i="58" s="1"/>
  <c r="AL417" i="58" l="1"/>
  <c r="H556" i="48"/>
  <c r="I556" i="48"/>
  <c r="G556" i="48"/>
  <c r="H534" i="48" l="1"/>
  <c r="I534" i="48"/>
  <c r="J534" i="48"/>
  <c r="F534" i="48"/>
  <c r="F484" i="48"/>
  <c r="F369" i="48"/>
  <c r="G526" i="48" s="1"/>
  <c r="H369" i="48"/>
  <c r="I526" i="48" s="1"/>
  <c r="G369" i="48"/>
  <c r="H526" i="48" s="1"/>
  <c r="H435" i="44"/>
  <c r="D435" i="44"/>
  <c r="E369" i="48" l="1"/>
  <c r="F526" i="48" s="1"/>
  <c r="AI288" i="58"/>
  <c r="I369" i="48"/>
  <c r="J526" i="48" s="1"/>
  <c r="AI289" i="58"/>
  <c r="V426" i="58" s="1"/>
  <c r="F527" i="48"/>
  <c r="F554" i="48"/>
  <c r="AQ33" i="57"/>
  <c r="AR33" i="57"/>
  <c r="AQ34" i="57"/>
  <c r="AT34" i="57" s="1"/>
  <c r="AR34" i="57"/>
  <c r="AR32" i="57"/>
  <c r="AQ32" i="57"/>
  <c r="AK430" i="58"/>
  <c r="AC289" i="58"/>
  <c r="AL426" i="58" s="1"/>
  <c r="AB289" i="58"/>
  <c r="AK426" i="58" s="1"/>
  <c r="AC290" i="58"/>
  <c r="AB290" i="58"/>
  <c r="AC283" i="58"/>
  <c r="AI62" i="58"/>
  <c r="N62" i="58"/>
  <c r="AI61" i="58"/>
  <c r="N61" i="58"/>
  <c r="AI60" i="58"/>
  <c r="O60" i="58"/>
  <c r="AI59" i="58"/>
  <c r="N59" i="58"/>
  <c r="AI58" i="58"/>
  <c r="O58" i="58"/>
  <c r="AI57" i="58"/>
  <c r="N57" i="58"/>
  <c r="D57" i="58"/>
  <c r="AI56" i="58"/>
  <c r="O56" i="58"/>
  <c r="AI55" i="58"/>
  <c r="O55" i="58"/>
  <c r="AI54" i="58"/>
  <c r="O54" i="58"/>
  <c r="AI53" i="58"/>
  <c r="AI52" i="58"/>
  <c r="O52" i="58"/>
  <c r="AI51" i="58"/>
  <c r="O51" i="58"/>
  <c r="AI50" i="58"/>
  <c r="AI49" i="58"/>
  <c r="O49" i="58"/>
  <c r="AI48" i="58"/>
  <c r="O48" i="58"/>
  <c r="AI47" i="58"/>
  <c r="O47" i="58"/>
  <c r="AI46" i="58"/>
  <c r="O46" i="58"/>
  <c r="AI45" i="58"/>
  <c r="O45" i="58"/>
  <c r="AI44" i="58"/>
  <c r="AI43" i="58"/>
  <c r="O43" i="58"/>
  <c r="AI42" i="58"/>
  <c r="O42" i="58"/>
  <c r="AI41" i="58"/>
  <c r="O203" i="58"/>
  <c r="O202" i="58"/>
  <c r="O201" i="58"/>
  <c r="O200" i="58"/>
  <c r="N199" i="58"/>
  <c r="O198" i="58"/>
  <c r="O197" i="58"/>
  <c r="O196" i="58"/>
  <c r="O195" i="58"/>
  <c r="O194" i="58"/>
  <c r="O193" i="58"/>
  <c r="O192" i="58"/>
  <c r="O188" i="58"/>
  <c r="N186" i="58"/>
  <c r="D186" i="58"/>
  <c r="N185" i="58"/>
  <c r="O184" i="58"/>
  <c r="O183" i="58"/>
  <c r="N182" i="58"/>
  <c r="O174" i="58"/>
  <c r="O173" i="58"/>
  <c r="O172" i="58"/>
  <c r="N171" i="58"/>
  <c r="D171" i="58"/>
  <c r="N170" i="58"/>
  <c r="O169" i="58"/>
  <c r="N168" i="58"/>
  <c r="N167" i="58"/>
  <c r="O166" i="58"/>
  <c r="O164" i="58"/>
  <c r="O163" i="58"/>
  <c r="O162" i="58"/>
  <c r="O161" i="58"/>
  <c r="O159" i="58"/>
  <c r="O158" i="58"/>
  <c r="O157" i="58"/>
  <c r="O156" i="58"/>
  <c r="O155" i="58"/>
  <c r="O142" i="58"/>
  <c r="O141" i="58"/>
  <c r="O140" i="58"/>
  <c r="N139" i="58"/>
  <c r="N138" i="58"/>
  <c r="D138" i="58"/>
  <c r="N137" i="58"/>
  <c r="O136" i="58"/>
  <c r="N135" i="58"/>
  <c r="O134" i="58"/>
  <c r="O132" i="58"/>
  <c r="O131" i="58"/>
  <c r="O130" i="58"/>
  <c r="O129" i="58"/>
  <c r="O127" i="58"/>
  <c r="O126" i="58"/>
  <c r="O125" i="58"/>
  <c r="O124" i="58"/>
  <c r="O123" i="58"/>
  <c r="N34" i="58"/>
  <c r="N32" i="58"/>
  <c r="N165" i="58" s="1"/>
  <c r="N31" i="58"/>
  <c r="N30" i="58"/>
  <c r="D30" i="58"/>
  <c r="N29" i="58"/>
  <c r="N191" i="58" s="1"/>
  <c r="N28" i="58"/>
  <c r="N27" i="58"/>
  <c r="N126" i="58" s="1"/>
  <c r="N26" i="58"/>
  <c r="N25" i="58"/>
  <c r="N123" i="58" s="1"/>
  <c r="N24" i="58"/>
  <c r="N130" i="58" s="1"/>
  <c r="N23" i="58"/>
  <c r="N158" i="58" s="1"/>
  <c r="N21" i="58"/>
  <c r="N136" i="58" s="1"/>
  <c r="N20" i="58"/>
  <c r="N192" i="58" s="1"/>
  <c r="N19" i="58"/>
  <c r="N18" i="58"/>
  <c r="N190" i="58" s="1"/>
  <c r="N16" i="58"/>
  <c r="N15" i="58"/>
  <c r="N189" i="58" s="1"/>
  <c r="N14" i="58"/>
  <c r="D14" i="58"/>
  <c r="D193" i="58" s="1"/>
  <c r="AS25" i="57"/>
  <c r="AR25" i="57"/>
  <c r="AT25" i="57" s="1"/>
  <c r="AQ25" i="57"/>
  <c r="AS24" i="57"/>
  <c r="AR24" i="57"/>
  <c r="AQ24" i="57"/>
  <c r="AT24" i="57" s="1"/>
  <c r="AS27" i="57"/>
  <c r="AR27" i="57"/>
  <c r="AQ27" i="57"/>
  <c r="AS19" i="57"/>
  <c r="AT19" i="57" s="1"/>
  <c r="AR19" i="57"/>
  <c r="AQ19" i="57"/>
  <c r="AS10" i="57"/>
  <c r="AR10" i="57"/>
  <c r="AQ10" i="57"/>
  <c r="AS17" i="57"/>
  <c r="AR17" i="57"/>
  <c r="AQ17" i="57"/>
  <c r="AS16" i="57"/>
  <c r="AR16" i="57"/>
  <c r="AQ16" i="57"/>
  <c r="AT16" i="57" s="1"/>
  <c r="AS15" i="57"/>
  <c r="AR15" i="57"/>
  <c r="AQ15" i="57"/>
  <c r="AQ7" i="57"/>
  <c r="AR7" i="57"/>
  <c r="AS7" i="57"/>
  <c r="AQ8" i="57"/>
  <c r="AR8" i="57"/>
  <c r="AT8" i="57" s="1"/>
  <c r="AS8" i="57"/>
  <c r="AR6" i="57"/>
  <c r="AS6" i="57"/>
  <c r="AQ6" i="57"/>
  <c r="AT33" i="57"/>
  <c r="AR21" i="57"/>
  <c r="AO21" i="57"/>
  <c r="AN21" i="57"/>
  <c r="AM21" i="57"/>
  <c r="AO12" i="57"/>
  <c r="AN12" i="57"/>
  <c r="AM12" i="57"/>
  <c r="AT7" i="57" l="1"/>
  <c r="AQ21" i="57"/>
  <c r="AT27" i="57"/>
  <c r="AT29" i="57" s="1"/>
  <c r="V399" i="58" s="1"/>
  <c r="I516" i="48" s="1"/>
  <c r="AT10" i="57"/>
  <c r="V425" i="58"/>
  <c r="AI290" i="58"/>
  <c r="AT32" i="57"/>
  <c r="D6" i="48"/>
  <c r="M6" i="48"/>
  <c r="E6" i="48"/>
  <c r="G6" i="48"/>
  <c r="N6" i="48"/>
  <c r="Q6" i="48"/>
  <c r="H6" i="48"/>
  <c r="N196" i="58"/>
  <c r="N124" i="58"/>
  <c r="D132" i="58"/>
  <c r="N157" i="58"/>
  <c r="N160" i="58"/>
  <c r="N128" i="58"/>
  <c r="N56" i="58"/>
  <c r="N203" i="58"/>
  <c r="D55" i="58"/>
  <c r="N52" i="58"/>
  <c r="N184" i="58"/>
  <c r="N172" i="58"/>
  <c r="N51" i="58"/>
  <c r="N50" i="58"/>
  <c r="N197" i="58"/>
  <c r="N47" i="58"/>
  <c r="N53" i="58"/>
  <c r="N198" i="58"/>
  <c r="N154" i="58"/>
  <c r="N127" i="58"/>
  <c r="N195" i="58"/>
  <c r="N129" i="58"/>
  <c r="N131" i="58"/>
  <c r="N132" i="58"/>
  <c r="N133" i="58"/>
  <c r="N161" i="58"/>
  <c r="N162" i="58"/>
  <c r="N163" i="58"/>
  <c r="N164" i="58"/>
  <c r="N201" i="58"/>
  <c r="N55" i="58"/>
  <c r="N193" i="58"/>
  <c r="N42" i="58"/>
  <c r="N44" i="58"/>
  <c r="N46" i="58"/>
  <c r="N45" i="58"/>
  <c r="N202" i="58"/>
  <c r="N54" i="58"/>
  <c r="N183" i="58"/>
  <c r="N174" i="58"/>
  <c r="D60" i="58"/>
  <c r="D201" i="58"/>
  <c r="N49" i="58"/>
  <c r="N43" i="58"/>
  <c r="N48" i="58"/>
  <c r="N58" i="58"/>
  <c r="N194" i="58"/>
  <c r="N173" i="58"/>
  <c r="N60" i="58"/>
  <c r="N122" i="58"/>
  <c r="N125" i="58"/>
  <c r="N155" i="58"/>
  <c r="N156" i="58"/>
  <c r="N159" i="58"/>
  <c r="D166" i="58"/>
  <c r="N169" i="58"/>
  <c r="N121" i="58"/>
  <c r="D125" i="58"/>
  <c r="N134" i="58"/>
  <c r="N140" i="58"/>
  <c r="N141" i="58"/>
  <c r="N142" i="58"/>
  <c r="N153" i="58"/>
  <c r="D155" i="58"/>
  <c r="N166" i="58"/>
  <c r="N187" i="58"/>
  <c r="N188" i="58"/>
  <c r="N200" i="58"/>
  <c r="N41" i="58"/>
  <c r="AB283" i="58"/>
  <c r="V430" i="58"/>
  <c r="AS29" i="57"/>
  <c r="AR29" i="57"/>
  <c r="AS21" i="57"/>
  <c r="AS12" i="57"/>
  <c r="AT17" i="57"/>
  <c r="AR12" i="57"/>
  <c r="AT6" i="57"/>
  <c r="AT12" i="57" s="1"/>
  <c r="V397" i="58" s="1"/>
  <c r="G516" i="48" s="1"/>
  <c r="AQ12" i="57"/>
  <c r="AT15" i="57"/>
  <c r="AT21" i="57" s="1"/>
  <c r="V398" i="58" s="1"/>
  <c r="H516" i="48" s="1"/>
  <c r="AQ29" i="57"/>
  <c r="CD33" i="57"/>
  <c r="CE33" i="57"/>
  <c r="CG33" i="57" s="1"/>
  <c r="CD34" i="57"/>
  <c r="CE34" i="57"/>
  <c r="CE32" i="57"/>
  <c r="CD32" i="57"/>
  <c r="CG32" i="57" s="1"/>
  <c r="CG27" i="57"/>
  <c r="CF27" i="57"/>
  <c r="CE27" i="57"/>
  <c r="CD27" i="57"/>
  <c r="CF24" i="57"/>
  <c r="CE24" i="57"/>
  <c r="CD24" i="57"/>
  <c r="CF19" i="57"/>
  <c r="CG19" i="57" s="1"/>
  <c r="CE19" i="57"/>
  <c r="CD19" i="57"/>
  <c r="CF16" i="57"/>
  <c r="CG16" i="57" s="1"/>
  <c r="CE16" i="57"/>
  <c r="CD16" i="57"/>
  <c r="CF15" i="57"/>
  <c r="CG15" i="57" s="1"/>
  <c r="CE15" i="57"/>
  <c r="CD15" i="57"/>
  <c r="CF10" i="57"/>
  <c r="CE10" i="57"/>
  <c r="CD10" i="57"/>
  <c r="CD7" i="57"/>
  <c r="CE7" i="57"/>
  <c r="CF7" i="57"/>
  <c r="CE6" i="57"/>
  <c r="CF6" i="57"/>
  <c r="CD6" i="57"/>
  <c r="CG34" i="57"/>
  <c r="CJ34" i="57"/>
  <c r="CN34" i="57" s="1"/>
  <c r="CI34" i="57"/>
  <c r="CM34" i="57" s="1"/>
  <c r="CJ33" i="57"/>
  <c r="CI33" i="57"/>
  <c r="CM33" i="57" s="1"/>
  <c r="CJ32" i="57"/>
  <c r="CN32" i="57" s="1"/>
  <c r="CI32" i="57"/>
  <c r="CM32" i="57" s="1"/>
  <c r="CK27" i="57"/>
  <c r="CJ27" i="57"/>
  <c r="CN27" i="57" s="1"/>
  <c r="CI27" i="57"/>
  <c r="CM27" i="57" s="1"/>
  <c r="CK24" i="57"/>
  <c r="CO24" i="57" s="1"/>
  <c r="CJ24" i="57"/>
  <c r="CI24" i="57"/>
  <c r="CM24" i="57" s="1"/>
  <c r="CI19" i="57"/>
  <c r="CM19" i="57" s="1"/>
  <c r="CJ19" i="57"/>
  <c r="CN19" i="57" s="1"/>
  <c r="CK19" i="57"/>
  <c r="CO19" i="57" s="1"/>
  <c r="CK16" i="57"/>
  <c r="CO16" i="57" s="1"/>
  <c r="CJ16" i="57"/>
  <c r="CN16" i="57" s="1"/>
  <c r="CI16" i="57"/>
  <c r="CM16" i="57" s="1"/>
  <c r="CK15" i="57"/>
  <c r="CJ15" i="57"/>
  <c r="CN15" i="57" s="1"/>
  <c r="CI15" i="57"/>
  <c r="CM15" i="57" s="1"/>
  <c r="CK10" i="57"/>
  <c r="CO10" i="57" s="1"/>
  <c r="CJ10" i="57"/>
  <c r="CN10" i="57" s="1"/>
  <c r="CI10" i="57"/>
  <c r="CM10" i="57" s="1"/>
  <c r="CI7" i="57"/>
  <c r="CM7" i="57" s="1"/>
  <c r="CK7" i="57"/>
  <c r="CO7" i="57" s="1"/>
  <c r="CJ6" i="57"/>
  <c r="CN6" i="57" s="1"/>
  <c r="CK6" i="57"/>
  <c r="CO6" i="57" s="1"/>
  <c r="CI6" i="57"/>
  <c r="CM6" i="57" s="1"/>
  <c r="CJ7" i="57"/>
  <c r="CN7" i="57" s="1"/>
  <c r="CN33" i="57"/>
  <c r="CO27" i="57"/>
  <c r="CN24" i="57"/>
  <c r="CO15" i="57"/>
  <c r="CY10" i="57"/>
  <c r="DC10" i="57" s="1"/>
  <c r="CX10" i="57"/>
  <c r="DB10" i="57" s="1"/>
  <c r="CW10" i="57"/>
  <c r="DA10" i="57" s="1"/>
  <c r="CY8" i="57"/>
  <c r="DC8" i="57" s="1"/>
  <c r="CX8" i="57"/>
  <c r="DB8" i="57" s="1"/>
  <c r="CW8" i="57"/>
  <c r="DA8" i="57" s="1"/>
  <c r="DC6" i="57"/>
  <c r="DB6" i="57"/>
  <c r="DA6" i="57"/>
  <c r="DB7" i="57"/>
  <c r="DC7" i="57"/>
  <c r="DA7" i="57"/>
  <c r="CG24" i="57" l="1"/>
  <c r="CG10" i="57"/>
  <c r="CG7" i="57"/>
  <c r="P6" i="48"/>
  <c r="CG29" i="57"/>
  <c r="CG21" i="57"/>
  <c r="CG6" i="57"/>
  <c r="CG12" i="57" s="1"/>
  <c r="CP10" i="57"/>
  <c r="CP27" i="57"/>
  <c r="DA12" i="57"/>
  <c r="DB12" i="57"/>
  <c r="DC12" i="57"/>
  <c r="DD10" i="57"/>
  <c r="DD8" i="57"/>
  <c r="DD6" i="57"/>
  <c r="DD12" i="57" s="1"/>
  <c r="DD7" i="57"/>
  <c r="LO28" i="38"/>
  <c r="NN41" i="38"/>
  <c r="OE41" i="38" s="1"/>
  <c r="NL45" i="38"/>
  <c r="NL46" i="38"/>
  <c r="NL47" i="38"/>
  <c r="NL48" i="38"/>
  <c r="NL49" i="38"/>
  <c r="NL50" i="38"/>
  <c r="NL51" i="38"/>
  <c r="NL52" i="38"/>
  <c r="NL53" i="38"/>
  <c r="NL54" i="38"/>
  <c r="NL55" i="38"/>
  <c r="NL56" i="38"/>
  <c r="NL57" i="38"/>
  <c r="NL58" i="38"/>
  <c r="NL59" i="38"/>
  <c r="NL60" i="38"/>
  <c r="NL61" i="38"/>
  <c r="NL62" i="38"/>
  <c r="NL63" i="38"/>
  <c r="NL64" i="38"/>
  <c r="NL65" i="38"/>
  <c r="NL66" i="38"/>
  <c r="NL44" i="38"/>
  <c r="BT19" i="57"/>
  <c r="CP19" i="57" s="1"/>
  <c r="BR19" i="57"/>
  <c r="BP16" i="57"/>
  <c r="BP21" i="57" s="1"/>
  <c r="BQ16" i="57"/>
  <c r="BQ21" i="57" s="1"/>
  <c r="BR16" i="57"/>
  <c r="BR21" i="57" s="1"/>
  <c r="BT16" i="57"/>
  <c r="BO16" i="57"/>
  <c r="G548" i="48" l="1"/>
  <c r="G546" i="48"/>
  <c r="F546" i="48"/>
  <c r="F548" i="48"/>
  <c r="H548" i="48"/>
  <c r="H546" i="48"/>
  <c r="Y425" i="58"/>
  <c r="F528" i="48" s="1"/>
  <c r="BT21" i="57"/>
  <c r="P277" i="44"/>
  <c r="F555" i="48" l="1"/>
  <c r="G555" i="48"/>
  <c r="AK9" i="57"/>
  <c r="AK18" i="57"/>
  <c r="AK26" i="57"/>
  <c r="BU33" i="57"/>
  <c r="CP33" i="57" s="1"/>
  <c r="BV33" i="57"/>
  <c r="BU34" i="57"/>
  <c r="CP34" i="57" s="1"/>
  <c r="BV34" i="57"/>
  <c r="BV32" i="57"/>
  <c r="BU32" i="57"/>
  <c r="CP32" i="57" s="1"/>
  <c r="BW27" i="57"/>
  <c r="BV27" i="57"/>
  <c r="BU27" i="57"/>
  <c r="BW25" i="57"/>
  <c r="BV25" i="57"/>
  <c r="BU25" i="57"/>
  <c r="BW24" i="57"/>
  <c r="BV24" i="57"/>
  <c r="BU24" i="57"/>
  <c r="CP24" i="57" s="1"/>
  <c r="BW19" i="57"/>
  <c r="BV19" i="57"/>
  <c r="BU19" i="57"/>
  <c r="BU16" i="57"/>
  <c r="CP16" i="57" s="1"/>
  <c r="BV16" i="57"/>
  <c r="BW16" i="57"/>
  <c r="BU17" i="57"/>
  <c r="BV17" i="57"/>
  <c r="BW17" i="57"/>
  <c r="BW15" i="57"/>
  <c r="BV15" i="57"/>
  <c r="BU15" i="57"/>
  <c r="CP15" i="57" s="1"/>
  <c r="BW10" i="57"/>
  <c r="BV10" i="57"/>
  <c r="BU10" i="57"/>
  <c r="BU7" i="57"/>
  <c r="CP7" i="57" s="1"/>
  <c r="BV7" i="57"/>
  <c r="BW7" i="57"/>
  <c r="BU8" i="57"/>
  <c r="BV8" i="57"/>
  <c r="BW8" i="57"/>
  <c r="BV6" i="57"/>
  <c r="BW6" i="57"/>
  <c r="BU6" i="57"/>
  <c r="CP6" i="57" s="1"/>
  <c r="H555" i="48" l="1"/>
  <c r="I555" i="48"/>
  <c r="CP29" i="57"/>
  <c r="CP21" i="57"/>
  <c r="CP12" i="57"/>
  <c r="BX34" i="57"/>
  <c r="BX7" i="57"/>
  <c r="BX25" i="57"/>
  <c r="BX27" i="57"/>
  <c r="BX17" i="57"/>
  <c r="BX16" i="57"/>
  <c r="BX6" i="57"/>
  <c r="BX8" i="57"/>
  <c r="BX15" i="57"/>
  <c r="BX19" i="57"/>
  <c r="BX24" i="57"/>
  <c r="BX32" i="57"/>
  <c r="BX33" i="57"/>
  <c r="BX10" i="57"/>
  <c r="BX29" i="57" l="1"/>
  <c r="V264" i="58" s="1"/>
  <c r="BX12" i="57"/>
  <c r="V262" i="58" s="1"/>
  <c r="BX21" i="57"/>
  <c r="V263" i="58" s="1"/>
  <c r="HL29" i="37" l="1"/>
  <c r="B29" i="38"/>
  <c r="U34" i="57" l="1"/>
  <c r="T34" i="57"/>
  <c r="U33" i="57"/>
  <c r="T33" i="57"/>
  <c r="U32" i="57"/>
  <c r="T32" i="57"/>
  <c r="V25" i="57"/>
  <c r="U25" i="57"/>
  <c r="T25" i="57"/>
  <c r="V24" i="57"/>
  <c r="AF24" i="57" s="1"/>
  <c r="U24" i="57"/>
  <c r="T24" i="57"/>
  <c r="AD24" i="57" s="1"/>
  <c r="V17" i="57"/>
  <c r="U17" i="57"/>
  <c r="T17" i="57"/>
  <c r="V16" i="57"/>
  <c r="AF16" i="57" s="1"/>
  <c r="AJ16" i="57" s="1"/>
  <c r="U16" i="57"/>
  <c r="T16" i="57"/>
  <c r="AD16" i="57" s="1"/>
  <c r="V15" i="57"/>
  <c r="U15" i="57"/>
  <c r="T15" i="57"/>
  <c r="T7" i="57"/>
  <c r="AD7" i="57" s="1"/>
  <c r="U7" i="57"/>
  <c r="V7" i="57"/>
  <c r="AF7" i="57" s="1"/>
  <c r="T8" i="57"/>
  <c r="U8" i="57"/>
  <c r="V8" i="57"/>
  <c r="U6" i="57"/>
  <c r="V6" i="57"/>
  <c r="T6" i="57"/>
  <c r="AW34" i="57"/>
  <c r="AV34" i="57"/>
  <c r="AW33" i="57"/>
  <c r="AV33" i="57"/>
  <c r="AW32" i="57"/>
  <c r="AV32" i="57"/>
  <c r="I32" i="57"/>
  <c r="D29" i="57"/>
  <c r="AX27" i="57"/>
  <c r="AW27" i="57"/>
  <c r="AV27" i="57"/>
  <c r="E419" i="44"/>
  <c r="I26" i="57"/>
  <c r="AX25" i="57"/>
  <c r="AW25" i="57"/>
  <c r="AV25" i="57"/>
  <c r="AB25" i="57"/>
  <c r="BC24" i="57"/>
  <c r="BB24" i="57"/>
  <c r="BA24" i="57"/>
  <c r="AX24" i="57"/>
  <c r="AW24" i="57"/>
  <c r="AV24" i="57"/>
  <c r="I24" i="57"/>
  <c r="D21" i="57"/>
  <c r="AX19" i="57"/>
  <c r="AW19" i="57"/>
  <c r="AV19" i="57"/>
  <c r="G419" i="44"/>
  <c r="I18" i="57"/>
  <c r="AX17" i="57"/>
  <c r="AW17" i="57"/>
  <c r="AV17" i="57"/>
  <c r="AB17" i="57"/>
  <c r="I17" i="57"/>
  <c r="BC16" i="57"/>
  <c r="BB16" i="57"/>
  <c r="BA16" i="57"/>
  <c r="AX16" i="57"/>
  <c r="AW16" i="57"/>
  <c r="AV16" i="57"/>
  <c r="AX15" i="57"/>
  <c r="AW15" i="57"/>
  <c r="AV15" i="57"/>
  <c r="AB15" i="57"/>
  <c r="BA15" i="57" s="1"/>
  <c r="D12" i="57"/>
  <c r="AX10" i="57"/>
  <c r="AW10" i="57"/>
  <c r="AV10" i="57"/>
  <c r="F419" i="44"/>
  <c r="I9" i="57"/>
  <c r="AX8" i="57"/>
  <c r="AW8" i="57"/>
  <c r="AV8" i="57"/>
  <c r="AA8" i="57"/>
  <c r="I8" i="57"/>
  <c r="BC7" i="57"/>
  <c r="BB7" i="57"/>
  <c r="BA7" i="57"/>
  <c r="AX7" i="57"/>
  <c r="AW7" i="57"/>
  <c r="AV7" i="57"/>
  <c r="AX6" i="57"/>
  <c r="AW6" i="57"/>
  <c r="AV6" i="57"/>
  <c r="AB6" i="57"/>
  <c r="BA6" i="57" s="1"/>
  <c r="D28" i="56"/>
  <c r="D20" i="56"/>
  <c r="D11" i="56"/>
  <c r="S14" i="56"/>
  <c r="AC14" i="56" s="1"/>
  <c r="T14" i="56"/>
  <c r="AD14" i="56" s="1"/>
  <c r="U14" i="56"/>
  <c r="AE14" i="56" s="1"/>
  <c r="AJ14" i="56"/>
  <c r="AL14" i="56" s="1"/>
  <c r="AQ14" i="56" s="1"/>
  <c r="BB14" i="56"/>
  <c r="BC14" i="56"/>
  <c r="BD14" i="56"/>
  <c r="O5" i="56"/>
  <c r="P5" i="56"/>
  <c r="U5" i="56" s="1"/>
  <c r="AE5" i="56" s="1"/>
  <c r="N5" i="56"/>
  <c r="S5" i="56" s="1"/>
  <c r="AC5" i="56" s="1"/>
  <c r="AM23" i="56"/>
  <c r="AR23" i="56" s="1"/>
  <c r="T5" i="56"/>
  <c r="AD5" i="56" s="1"/>
  <c r="U24" i="56"/>
  <c r="AE24" i="56" s="1"/>
  <c r="T24" i="56"/>
  <c r="AD24" i="56" s="1"/>
  <c r="S24" i="56"/>
  <c r="AC24" i="56" s="1"/>
  <c r="U16" i="56"/>
  <c r="AE16" i="56" s="1"/>
  <c r="T16" i="56"/>
  <c r="AD16" i="56" s="1"/>
  <c r="S16" i="56"/>
  <c r="AC16" i="56" s="1"/>
  <c r="U7" i="56"/>
  <c r="AE7" i="56" s="1"/>
  <c r="T7" i="56"/>
  <c r="AD7" i="56" s="1"/>
  <c r="S7" i="56"/>
  <c r="AC7" i="56" s="1"/>
  <c r="S15" i="56"/>
  <c r="T15" i="56"/>
  <c r="AD15" i="56" s="1"/>
  <c r="U15" i="56"/>
  <c r="AE15" i="56" s="1"/>
  <c r="S23" i="56"/>
  <c r="AC23" i="56" s="1"/>
  <c r="T23" i="56"/>
  <c r="AD23" i="56" s="1"/>
  <c r="U23" i="56"/>
  <c r="AE23" i="56" s="1"/>
  <c r="T6" i="56"/>
  <c r="U6" i="56"/>
  <c r="AE6" i="56" s="1"/>
  <c r="S6" i="56"/>
  <c r="AC6" i="56" s="1"/>
  <c r="BD5" i="56"/>
  <c r="BC5" i="56"/>
  <c r="BB5" i="56"/>
  <c r="AJ5" i="56"/>
  <c r="BJ5" i="56" s="1"/>
  <c r="AN6" i="56"/>
  <c r="AS6" i="56" s="1"/>
  <c r="BD23" i="56"/>
  <c r="BC23" i="56"/>
  <c r="BB23" i="56"/>
  <c r="BD15" i="56"/>
  <c r="BC15" i="56"/>
  <c r="BB15" i="56"/>
  <c r="BD6" i="56"/>
  <c r="BC6" i="56"/>
  <c r="BB6" i="56"/>
  <c r="AC15" i="56"/>
  <c r="AD6" i="56"/>
  <c r="AL15" i="56"/>
  <c r="AQ15" i="56" s="1"/>
  <c r="AU25" i="56"/>
  <c r="AU17" i="56"/>
  <c r="AU8" i="56"/>
  <c r="AG25" i="56"/>
  <c r="AG17" i="56"/>
  <c r="AG8" i="56"/>
  <c r="T33" i="56"/>
  <c r="AD33" i="56" s="1"/>
  <c r="S33" i="56"/>
  <c r="AC33" i="56" s="1"/>
  <c r="T32" i="56"/>
  <c r="AD32" i="56" s="1"/>
  <c r="S32" i="56"/>
  <c r="AC32" i="56" s="1"/>
  <c r="T31" i="56"/>
  <c r="AD31" i="56" s="1"/>
  <c r="S31" i="56"/>
  <c r="AC31" i="56" s="1"/>
  <c r="BC33" i="56"/>
  <c r="BB33" i="56"/>
  <c r="BC32" i="56"/>
  <c r="BB32" i="56"/>
  <c r="BC31" i="56"/>
  <c r="BB31" i="56"/>
  <c r="AJ16" i="56"/>
  <c r="BH16" i="56" s="1"/>
  <c r="AJ24" i="56"/>
  <c r="AM24" i="56" s="1"/>
  <c r="AR24" i="56" s="1"/>
  <c r="AI7" i="56"/>
  <c r="AJ7" i="56" s="1"/>
  <c r="AM7" i="56" s="1"/>
  <c r="AR7" i="56" s="1"/>
  <c r="BB24" i="56"/>
  <c r="BC24" i="56"/>
  <c r="BD24" i="56"/>
  <c r="BD16" i="56"/>
  <c r="BC16" i="56"/>
  <c r="BB16" i="56"/>
  <c r="BD7" i="56"/>
  <c r="BC7" i="56"/>
  <c r="BB7" i="56"/>
  <c r="BD26" i="56"/>
  <c r="BC26" i="56"/>
  <c r="BB26" i="56"/>
  <c r="BD18" i="56"/>
  <c r="BC18" i="56"/>
  <c r="BB18" i="56"/>
  <c r="BC9" i="56"/>
  <c r="BD9" i="56"/>
  <c r="BB9" i="56"/>
  <c r="AB8" i="57" l="1"/>
  <c r="BC8" i="57" s="1"/>
  <c r="AX12" i="57"/>
  <c r="AX21" i="57"/>
  <c r="AW29" i="57"/>
  <c r="AW21" i="57"/>
  <c r="AV29" i="57"/>
  <c r="AW12" i="57"/>
  <c r="AV21" i="57"/>
  <c r="AV12" i="57"/>
  <c r="AX29" i="57"/>
  <c r="AY6" i="57"/>
  <c r="AY10" i="57"/>
  <c r="AY16" i="57"/>
  <c r="AY17" i="57"/>
  <c r="AY7" i="57"/>
  <c r="AY8" i="57"/>
  <c r="AY15" i="57"/>
  <c r="AY19" i="57"/>
  <c r="AD6" i="57"/>
  <c r="AH6" i="57" s="1"/>
  <c r="AE17" i="57"/>
  <c r="AI17" i="57" s="1"/>
  <c r="AD17" i="57"/>
  <c r="AH17" i="57" s="1"/>
  <c r="AF15" i="57"/>
  <c r="AJ15" i="57" s="1"/>
  <c r="AE6" i="57"/>
  <c r="AI6" i="57" s="1"/>
  <c r="AE15" i="57"/>
  <c r="AI15" i="57" s="1"/>
  <c r="AE25" i="57"/>
  <c r="AI25" i="57" s="1"/>
  <c r="AF6" i="57"/>
  <c r="AJ6" i="57" s="1"/>
  <c r="AD15" i="57"/>
  <c r="AH15" i="57" s="1"/>
  <c r="AF17" i="57"/>
  <c r="AJ17" i="57" s="1"/>
  <c r="AD25" i="57"/>
  <c r="AH25" i="57" s="1"/>
  <c r="AF25" i="57"/>
  <c r="AJ25" i="57" s="1"/>
  <c r="AE24" i="57"/>
  <c r="AI24" i="57" s="1"/>
  <c r="AJ7" i="57"/>
  <c r="AE7" i="57"/>
  <c r="AI7" i="57" s="1"/>
  <c r="AH7" i="57"/>
  <c r="AJ24" i="57"/>
  <c r="AE16" i="57"/>
  <c r="AI16" i="57" s="1"/>
  <c r="AH24" i="57"/>
  <c r="AH16" i="57"/>
  <c r="BB25" i="57"/>
  <c r="BB29" i="57" s="1"/>
  <c r="BC15" i="57"/>
  <c r="BD24" i="57"/>
  <c r="AY25" i="57"/>
  <c r="BB15" i="57"/>
  <c r="AY27" i="57"/>
  <c r="BD16" i="57"/>
  <c r="BB6" i="57"/>
  <c r="BD7" i="57"/>
  <c r="AY24" i="57"/>
  <c r="BC6" i="57"/>
  <c r="BC12" i="57" s="1"/>
  <c r="BB17" i="57"/>
  <c r="AY32" i="57"/>
  <c r="AY33" i="57"/>
  <c r="AY34" i="57"/>
  <c r="I6" i="57"/>
  <c r="I7" i="57"/>
  <c r="I15" i="57"/>
  <c r="I16" i="57"/>
  <c r="I34" i="57"/>
  <c r="I25" i="57"/>
  <c r="I29" i="57" s="1"/>
  <c r="I33" i="57"/>
  <c r="BA17" i="57"/>
  <c r="BA21" i="57" s="1"/>
  <c r="BA25" i="57"/>
  <c r="BA29" i="57" s="1"/>
  <c r="BC17" i="57"/>
  <c r="BC25" i="57"/>
  <c r="BC29" i="57" s="1"/>
  <c r="BA8" i="57"/>
  <c r="BA12" i="57" s="1"/>
  <c r="BH14" i="56"/>
  <c r="BJ14" i="56"/>
  <c r="AM14" i="56"/>
  <c r="AR14" i="56" s="1"/>
  <c r="AG14" i="56"/>
  <c r="BF14" i="56"/>
  <c r="AN14" i="56"/>
  <c r="AS14" i="56" s="1"/>
  <c r="AU14" i="56" s="1"/>
  <c r="BI14" i="56"/>
  <c r="AL5" i="56"/>
  <c r="AQ5" i="56" s="1"/>
  <c r="BI5" i="56"/>
  <c r="BH23" i="56"/>
  <c r="BH15" i="56"/>
  <c r="AG5" i="56"/>
  <c r="BH5" i="56"/>
  <c r="BL5" i="56" s="1"/>
  <c r="BF6" i="56"/>
  <c r="AN5" i="56"/>
  <c r="AS5" i="56" s="1"/>
  <c r="BF32" i="56"/>
  <c r="AN15" i="56"/>
  <c r="AS15" i="56" s="1"/>
  <c r="BI23" i="56"/>
  <c r="AM5" i="56"/>
  <c r="AR5" i="56" s="1"/>
  <c r="BF5" i="56"/>
  <c r="BH6" i="56"/>
  <c r="BI15" i="56"/>
  <c r="BJ23" i="56"/>
  <c r="BF15" i="56"/>
  <c r="BJ6" i="56"/>
  <c r="BF23" i="56"/>
  <c r="BI6" i="56"/>
  <c r="BJ15" i="56"/>
  <c r="BF31" i="56"/>
  <c r="BF33" i="56"/>
  <c r="AG33" i="56"/>
  <c r="AL23" i="56"/>
  <c r="AQ23" i="56" s="1"/>
  <c r="AM6" i="56"/>
  <c r="AR6" i="56" s="1"/>
  <c r="AM15" i="56"/>
  <c r="AR15" i="56" s="1"/>
  <c r="AG31" i="56"/>
  <c r="AG6" i="56"/>
  <c r="AG32" i="56"/>
  <c r="AL6" i="56"/>
  <c r="AQ6" i="56" s="1"/>
  <c r="AN23" i="56"/>
  <c r="AS23" i="56" s="1"/>
  <c r="AG15" i="56"/>
  <c r="AG23" i="56"/>
  <c r="AL16" i="56"/>
  <c r="AQ16" i="56" s="1"/>
  <c r="BI16" i="56"/>
  <c r="BI24" i="56"/>
  <c r="BJ24" i="56"/>
  <c r="AN7" i="56"/>
  <c r="AS7" i="56" s="1"/>
  <c r="BI7" i="56"/>
  <c r="BJ16" i="56"/>
  <c r="AM16" i="56"/>
  <c r="AR16" i="56" s="1"/>
  <c r="BJ7" i="56"/>
  <c r="BH24" i="56"/>
  <c r="AL7" i="56"/>
  <c r="AQ7" i="56" s="1"/>
  <c r="AN16" i="56"/>
  <c r="AS16" i="56" s="1"/>
  <c r="BH7" i="56"/>
  <c r="BF9" i="56"/>
  <c r="AN24" i="56"/>
  <c r="AS24" i="56" s="1"/>
  <c r="AL24" i="56"/>
  <c r="AQ24" i="56" s="1"/>
  <c r="BF24" i="56"/>
  <c r="AG16" i="56"/>
  <c r="AG7" i="56"/>
  <c r="AG24" i="56"/>
  <c r="BF16" i="56"/>
  <c r="BF7" i="56"/>
  <c r="BF18" i="56"/>
  <c r="BF26" i="56"/>
  <c r="AG28" i="56" l="1"/>
  <c r="BF20" i="56"/>
  <c r="BF28" i="56"/>
  <c r="AE8" i="57"/>
  <c r="AI8" i="57" s="1"/>
  <c r="AI12" i="57" s="1"/>
  <c r="BB8" i="57"/>
  <c r="AD8" i="57"/>
  <c r="AH8" i="57" s="1"/>
  <c r="AF8" i="57"/>
  <c r="AJ8" i="57" s="1"/>
  <c r="AJ12" i="57" s="1"/>
  <c r="BB21" i="57"/>
  <c r="BB12" i="57"/>
  <c r="BC21" i="57"/>
  <c r="AK16" i="57"/>
  <c r="G417" i="44" s="1"/>
  <c r="AK25" i="57"/>
  <c r="E418" i="44" s="1"/>
  <c r="AK24" i="57"/>
  <c r="E417" i="44" s="1"/>
  <c r="AK17" i="57"/>
  <c r="G418" i="44" s="1"/>
  <c r="AK6" i="57"/>
  <c r="F416" i="44" s="1"/>
  <c r="AK7" i="57"/>
  <c r="F417" i="44" s="1"/>
  <c r="AK15" i="57"/>
  <c r="G416" i="44" s="1"/>
  <c r="AJ21" i="57"/>
  <c r="AI29" i="57"/>
  <c r="AH29" i="57"/>
  <c r="AJ29" i="57"/>
  <c r="AH12" i="57"/>
  <c r="AI21" i="57"/>
  <c r="AH21" i="57"/>
  <c r="BD15" i="57"/>
  <c r="AY21" i="57"/>
  <c r="AY29" i="57"/>
  <c r="BD6" i="57"/>
  <c r="AY12" i="57"/>
  <c r="BD17" i="57"/>
  <c r="BD25" i="57"/>
  <c r="BD29" i="57" s="1"/>
  <c r="I21" i="57"/>
  <c r="BD8" i="57"/>
  <c r="I12" i="57"/>
  <c r="BF11" i="56"/>
  <c r="AG11" i="56"/>
  <c r="AG20" i="56"/>
  <c r="BL14" i="56"/>
  <c r="AU5" i="56"/>
  <c r="AU15" i="56"/>
  <c r="BL15" i="56"/>
  <c r="BL23" i="56"/>
  <c r="BL6" i="56"/>
  <c r="AU23" i="56"/>
  <c r="AU28" i="56" s="1"/>
  <c r="AU7" i="56"/>
  <c r="AU16" i="56"/>
  <c r="AU6" i="56"/>
  <c r="BL16" i="56"/>
  <c r="BL7" i="56"/>
  <c r="BL24" i="56"/>
  <c r="AU24" i="56"/>
  <c r="J35" i="26"/>
  <c r="J36" i="26"/>
  <c r="K36" i="26"/>
  <c r="K35" i="26"/>
  <c r="L36" i="26"/>
  <c r="BL28" i="56" l="1"/>
  <c r="BL11" i="56"/>
  <c r="AU20" i="56"/>
  <c r="AK8" i="57"/>
  <c r="F418" i="44" s="1"/>
  <c r="AK29" i="57"/>
  <c r="E420" i="44" s="1"/>
  <c r="I363" i="48" s="1"/>
  <c r="AK12" i="57"/>
  <c r="F420" i="44" s="1"/>
  <c r="BD21" i="57"/>
  <c r="AA422" i="58" s="1"/>
  <c r="AK21" i="57"/>
  <c r="G420" i="44" s="1"/>
  <c r="BD12" i="57"/>
  <c r="AA421" i="58" s="1"/>
  <c r="AU11" i="56"/>
  <c r="BL20" i="56"/>
  <c r="Q8" i="48"/>
  <c r="P8" i="48"/>
  <c r="O8" i="48"/>
  <c r="K8" i="48"/>
  <c r="J8" i="48"/>
  <c r="I8" i="48"/>
  <c r="G8" i="48"/>
  <c r="H764" i="55"/>
  <c r="H8" i="48" s="1"/>
  <c r="Q764" i="55"/>
  <c r="M8" i="48" s="1"/>
  <c r="R764" i="55"/>
  <c r="N8" i="48" s="1"/>
  <c r="O764" i="55"/>
  <c r="L764" i="55"/>
  <c r="D8" i="48" s="1"/>
  <c r="M764" i="55"/>
  <c r="E8" i="48" s="1"/>
  <c r="J764" i="55"/>
  <c r="I361" i="48" l="1"/>
  <c r="G361" i="48"/>
  <c r="H361" i="48"/>
  <c r="F565" i="48"/>
  <c r="J565" i="48"/>
  <c r="L8" i="48"/>
  <c r="M35" i="26"/>
  <c r="F8" i="48"/>
  <c r="N35" i="26"/>
  <c r="C8" i="48"/>
  <c r="L35" i="26"/>
  <c r="H565" i="48" l="1"/>
  <c r="I565" i="48"/>
  <c r="G565" i="48"/>
  <c r="D9" i="48" l="1"/>
  <c r="E9" i="48"/>
  <c r="F9" i="48"/>
  <c r="G9" i="48"/>
  <c r="H9" i="48"/>
  <c r="I9" i="48"/>
  <c r="J9" i="48"/>
  <c r="K9" i="48"/>
  <c r="L9" i="48"/>
  <c r="M9" i="48"/>
  <c r="N9" i="48"/>
  <c r="O9" i="48"/>
  <c r="P9" i="48"/>
  <c r="Q9" i="48"/>
  <c r="C9" i="48"/>
  <c r="GF30" i="36" l="1"/>
  <c r="CI48" i="37" l="1"/>
  <c r="CE48" i="37"/>
  <c r="CC48" i="37"/>
  <c r="Q48" i="37"/>
  <c r="P48" i="37"/>
  <c r="O48" i="37"/>
  <c r="M48" i="37"/>
  <c r="K48" i="37"/>
  <c r="J48" i="37"/>
  <c r="I48" i="37"/>
  <c r="H48" i="37"/>
  <c r="G48" i="37"/>
  <c r="F48" i="37"/>
  <c r="E48" i="37"/>
  <c r="D48" i="37"/>
  <c r="A48" i="37"/>
  <c r="CI47" i="37"/>
  <c r="CE47" i="37"/>
  <c r="CC47" i="37"/>
  <c r="Q47" i="37"/>
  <c r="P47" i="37"/>
  <c r="O47" i="37"/>
  <c r="M47" i="37"/>
  <c r="K47" i="37"/>
  <c r="J47" i="37"/>
  <c r="I47" i="37"/>
  <c r="H47" i="37"/>
  <c r="G47" i="37"/>
  <c r="F47" i="37"/>
  <c r="E47" i="37"/>
  <c r="D47" i="37"/>
  <c r="A47" i="37"/>
  <c r="CI46" i="37"/>
  <c r="CE46" i="37"/>
  <c r="CC46" i="37"/>
  <c r="Q46" i="37"/>
  <c r="P46" i="37"/>
  <c r="O46" i="37"/>
  <c r="M46" i="37"/>
  <c r="K46" i="37"/>
  <c r="J46" i="37"/>
  <c r="I46" i="37"/>
  <c r="H46" i="37"/>
  <c r="G46" i="37"/>
  <c r="F46" i="37"/>
  <c r="E46" i="37"/>
  <c r="D46" i="37"/>
  <c r="A46" i="37"/>
  <c r="CI45" i="37"/>
  <c r="CE45" i="37"/>
  <c r="CC45" i="37"/>
  <c r="Q45" i="37"/>
  <c r="P45" i="37"/>
  <c r="O45" i="37"/>
  <c r="M45" i="37"/>
  <c r="K45" i="37"/>
  <c r="J45" i="37"/>
  <c r="I45" i="37"/>
  <c r="H45" i="37"/>
  <c r="G45" i="37"/>
  <c r="F45" i="37"/>
  <c r="E45" i="37"/>
  <c r="D45" i="37"/>
  <c r="A45" i="37"/>
  <c r="CB48" i="37" l="1"/>
  <c r="CB45" i="37"/>
  <c r="CA45" i="37" s="1"/>
  <c r="BZ45" i="37" s="1"/>
  <c r="BY45" i="37" s="1"/>
  <c r="BX45" i="37" s="1"/>
  <c r="BW45" i="37" s="1"/>
  <c r="BV45" i="37" s="1"/>
  <c r="BU45" i="37" s="1"/>
  <c r="CB46" i="37"/>
  <c r="CA46" i="37" s="1"/>
  <c r="BZ46" i="37" s="1"/>
  <c r="BY46" i="37" s="1"/>
  <c r="BX46" i="37" s="1"/>
  <c r="BW46" i="37" s="1"/>
  <c r="BV46" i="37" s="1"/>
  <c r="BU46" i="37" s="1"/>
  <c r="CB47" i="37"/>
  <c r="CA47" i="37" s="1"/>
  <c r="BZ47" i="37" s="1"/>
  <c r="CA48" i="37"/>
  <c r="BZ48" i="37" s="1"/>
  <c r="BY48" i="37" s="1"/>
  <c r="BX48" i="37" s="1"/>
  <c r="BW48" i="37" s="1"/>
  <c r="BV48" i="37" s="1"/>
  <c r="BU48" i="37" s="1"/>
  <c r="BY47" i="37"/>
  <c r="BX47" i="37" s="1"/>
  <c r="BW47" i="37" s="1"/>
  <c r="BV47" i="37" s="1"/>
  <c r="BU47" i="37" s="1"/>
  <c r="CH45" i="37"/>
  <c r="CG45" i="37" s="1"/>
  <c r="CF45" i="37" s="1"/>
  <c r="CH46" i="37"/>
  <c r="CG46" i="37" s="1"/>
  <c r="CF46" i="37" s="1"/>
  <c r="CH47" i="37"/>
  <c r="CG47" i="37" s="1"/>
  <c r="CF47" i="37" s="1"/>
  <c r="CH48" i="37"/>
  <c r="CG48" i="37" s="1"/>
  <c r="CF48" i="37" s="1"/>
  <c r="CD45" i="37"/>
  <c r="CD46" i="37"/>
  <c r="CD47" i="37"/>
  <c r="CD48" i="37"/>
  <c r="CI44" i="37"/>
  <c r="CE44" i="37"/>
  <c r="CC44" i="37"/>
  <c r="Q44" i="37"/>
  <c r="P44" i="37"/>
  <c r="O44" i="37"/>
  <c r="M44" i="37"/>
  <c r="K44" i="37"/>
  <c r="J44" i="37"/>
  <c r="I44" i="37"/>
  <c r="H44" i="37"/>
  <c r="G44" i="37"/>
  <c r="F44" i="37"/>
  <c r="E44" i="37"/>
  <c r="D44" i="37"/>
  <c r="A44" i="37"/>
  <c r="CI43" i="37"/>
  <c r="CE43" i="37"/>
  <c r="CC43" i="37"/>
  <c r="Q43" i="37"/>
  <c r="P43" i="37"/>
  <c r="O43" i="37"/>
  <c r="M43" i="37"/>
  <c r="K43" i="37"/>
  <c r="J43" i="37"/>
  <c r="I43" i="37"/>
  <c r="H43" i="37"/>
  <c r="G43" i="37"/>
  <c r="F43" i="37"/>
  <c r="E43" i="37"/>
  <c r="D43" i="37"/>
  <c r="A43" i="37"/>
  <c r="GD41" i="37"/>
  <c r="GC41" i="37"/>
  <c r="GB41" i="37"/>
  <c r="GA41" i="37"/>
  <c r="FZ41" i="37"/>
  <c r="FY41" i="37"/>
  <c r="FX41" i="37"/>
  <c r="FW41" i="37"/>
  <c r="FV41" i="37"/>
  <c r="FU41" i="37"/>
  <c r="FT41" i="37"/>
  <c r="FS41" i="37"/>
  <c r="FR41" i="37"/>
  <c r="FQ41" i="37"/>
  <c r="FP41" i="37"/>
  <c r="FO41" i="37"/>
  <c r="EW41" i="37"/>
  <c r="EV41" i="37"/>
  <c r="EU41" i="37"/>
  <c r="ET41" i="37"/>
  <c r="ES41" i="37"/>
  <c r="ER41" i="37"/>
  <c r="EQ41" i="37"/>
  <c r="EP41" i="37"/>
  <c r="EO41" i="37"/>
  <c r="EN41" i="37"/>
  <c r="EM41" i="37"/>
  <c r="EL41" i="37"/>
  <c r="EK41" i="37"/>
  <c r="EJ41" i="37"/>
  <c r="EI41" i="37"/>
  <c r="EH41" i="37"/>
  <c r="DP41" i="37"/>
  <c r="DO41" i="37"/>
  <c r="FB41" i="38" s="1"/>
  <c r="DN41" i="37"/>
  <c r="FA41" i="38" s="1"/>
  <c r="DM41" i="37"/>
  <c r="EZ41" i="38" s="1"/>
  <c r="DL41" i="37"/>
  <c r="EY41" i="38" s="1"/>
  <c r="DK41" i="37"/>
  <c r="EX41" i="38" s="1"/>
  <c r="DJ41" i="37"/>
  <c r="EW41" i="38" s="1"/>
  <c r="DI41" i="37"/>
  <c r="EV41" i="38" s="1"/>
  <c r="DH41" i="37"/>
  <c r="EU41" i="38" s="1"/>
  <c r="DG41" i="37"/>
  <c r="ET41" i="38" s="1"/>
  <c r="DF41" i="37"/>
  <c r="ES41" i="38" s="1"/>
  <c r="DE41" i="37"/>
  <c r="ER41" i="38" s="1"/>
  <c r="DD41" i="37"/>
  <c r="EQ41" i="38" s="1"/>
  <c r="DC41" i="37"/>
  <c r="DB41" i="37"/>
  <c r="EO41" i="38" s="1"/>
  <c r="DA41" i="37"/>
  <c r="EN41" i="38" s="1"/>
  <c r="GD40" i="37"/>
  <c r="GA40" i="37"/>
  <c r="FV40" i="37"/>
  <c r="FU40" i="37"/>
  <c r="FT40" i="37"/>
  <c r="FS40" i="37"/>
  <c r="FR40" i="37"/>
  <c r="FQ40" i="37"/>
  <c r="FP40" i="37"/>
  <c r="FO40" i="37"/>
  <c r="EW40" i="37"/>
  <c r="ET40" i="37"/>
  <c r="ES40" i="37"/>
  <c r="ER40" i="37"/>
  <c r="EQ40" i="37"/>
  <c r="EP40" i="37"/>
  <c r="EO40" i="37"/>
  <c r="EN40" i="37"/>
  <c r="EM40" i="37"/>
  <c r="EL40" i="37"/>
  <c r="EK40" i="37"/>
  <c r="EJ40" i="37"/>
  <c r="EI40" i="37"/>
  <c r="EH40" i="37"/>
  <c r="DP40" i="37"/>
  <c r="DM40" i="37"/>
  <c r="DH40" i="37"/>
  <c r="EU40" i="38" s="1"/>
  <c r="DG40" i="37"/>
  <c r="ET40" i="38" s="1"/>
  <c r="DF40" i="37"/>
  <c r="ES40" i="38" s="1"/>
  <c r="DE40" i="37"/>
  <c r="ER40" i="38" s="1"/>
  <c r="DD40" i="37"/>
  <c r="EQ40" i="38" s="1"/>
  <c r="DC40" i="37"/>
  <c r="DB40" i="37"/>
  <c r="EO40" i="38" s="1"/>
  <c r="DA40" i="37"/>
  <c r="EN40" i="38" s="1"/>
  <c r="GD39" i="37"/>
  <c r="GA39" i="37"/>
  <c r="FV39" i="37"/>
  <c r="FU39" i="37"/>
  <c r="FT39" i="37"/>
  <c r="FS39" i="37"/>
  <c r="FR39" i="37"/>
  <c r="FQ39" i="37"/>
  <c r="FP39" i="37"/>
  <c r="FO39" i="37"/>
  <c r="EW39" i="37"/>
  <c r="ET39" i="37"/>
  <c r="ES39" i="37"/>
  <c r="ER39" i="37"/>
  <c r="EQ39" i="37"/>
  <c r="EP39" i="37"/>
  <c r="EO39" i="37"/>
  <c r="EN39" i="37"/>
  <c r="EM39" i="37"/>
  <c r="EL39" i="37"/>
  <c r="EK39" i="37"/>
  <c r="EJ39" i="37"/>
  <c r="EI39" i="37"/>
  <c r="EH39" i="37"/>
  <c r="DP39" i="37"/>
  <c r="DM39" i="37"/>
  <c r="EZ39" i="38" s="1"/>
  <c r="DH39" i="37"/>
  <c r="EU39" i="38" s="1"/>
  <c r="DG39" i="37"/>
  <c r="ET39" i="38" s="1"/>
  <c r="DF39" i="37"/>
  <c r="ES39" i="38" s="1"/>
  <c r="DE39" i="37"/>
  <c r="ER39" i="38" s="1"/>
  <c r="DD39" i="37"/>
  <c r="EQ39" i="38" s="1"/>
  <c r="DC39" i="37"/>
  <c r="DB39" i="37"/>
  <c r="EO39" i="38" s="1"/>
  <c r="DA39" i="37"/>
  <c r="EN39" i="38" s="1"/>
  <c r="GD38" i="37"/>
  <c r="GA38" i="37"/>
  <c r="FV38" i="37"/>
  <c r="FU38" i="37"/>
  <c r="FT38" i="37"/>
  <c r="FS38" i="37"/>
  <c r="FR38" i="37"/>
  <c r="FQ38" i="37"/>
  <c r="FP38" i="37"/>
  <c r="FO38" i="37"/>
  <c r="EW38" i="37"/>
  <c r="EV38" i="37"/>
  <c r="EU38" i="37"/>
  <c r="ET38" i="37"/>
  <c r="ES38" i="37"/>
  <c r="ER38" i="37"/>
  <c r="EQ38" i="37"/>
  <c r="EP38" i="37"/>
  <c r="EO38" i="37"/>
  <c r="EN38" i="37"/>
  <c r="EM38" i="37"/>
  <c r="EL38" i="37"/>
  <c r="EK38" i="37"/>
  <c r="EJ38" i="37"/>
  <c r="EI38" i="37"/>
  <c r="EH38" i="37"/>
  <c r="DP38" i="37"/>
  <c r="DM38" i="37"/>
  <c r="EZ38" i="38" s="1"/>
  <c r="DH38" i="37"/>
  <c r="EU38" i="38" s="1"/>
  <c r="DG38" i="37"/>
  <c r="ET38" i="38" s="1"/>
  <c r="DF38" i="37"/>
  <c r="ES38" i="38" s="1"/>
  <c r="DE38" i="37"/>
  <c r="ER38" i="38" s="1"/>
  <c r="DD38" i="37"/>
  <c r="EQ38" i="38" s="1"/>
  <c r="DC38" i="37"/>
  <c r="DC44" i="37" s="1"/>
  <c r="DB38" i="37"/>
  <c r="EO38" i="38" s="1"/>
  <c r="DA38" i="37"/>
  <c r="EN38" i="38" s="1"/>
  <c r="GD37" i="37"/>
  <c r="GC37" i="37"/>
  <c r="GB37" i="37"/>
  <c r="GA37" i="37"/>
  <c r="FZ37" i="37"/>
  <c r="FY37" i="37"/>
  <c r="FX37" i="37"/>
  <c r="FW37" i="37"/>
  <c r="FV37" i="37"/>
  <c r="FU37" i="37"/>
  <c r="FT37" i="37"/>
  <c r="FS37" i="37"/>
  <c r="FR37" i="37"/>
  <c r="FQ37" i="37"/>
  <c r="FP37" i="37"/>
  <c r="FO37" i="37"/>
  <c r="EW37" i="37"/>
  <c r="EV37" i="37"/>
  <c r="EU37" i="37"/>
  <c r="ET37" i="37"/>
  <c r="ES37" i="37"/>
  <c r="ER37" i="37"/>
  <c r="EQ37" i="37"/>
  <c r="EP37" i="37"/>
  <c r="EO37" i="37"/>
  <c r="EN37" i="37"/>
  <c r="EM37" i="37"/>
  <c r="EL37" i="37"/>
  <c r="EK37" i="37"/>
  <c r="EJ37" i="37"/>
  <c r="EI37" i="37"/>
  <c r="EH37" i="37"/>
  <c r="DP37" i="37"/>
  <c r="DO37" i="37"/>
  <c r="FB37" i="38" s="1"/>
  <c r="DN37" i="37"/>
  <c r="FA37" i="38" s="1"/>
  <c r="DM37" i="37"/>
  <c r="EZ37" i="38" s="1"/>
  <c r="DL37" i="37"/>
  <c r="EY37" i="38" s="1"/>
  <c r="DK37" i="37"/>
  <c r="EX37" i="38" s="1"/>
  <c r="DJ37" i="37"/>
  <c r="EW37" i="38" s="1"/>
  <c r="DI37" i="37"/>
  <c r="EV37" i="38" s="1"/>
  <c r="DH37" i="37"/>
  <c r="EU37" i="38" s="1"/>
  <c r="DG37" i="37"/>
  <c r="ET37" i="38" s="1"/>
  <c r="DF37" i="37"/>
  <c r="ES37" i="38" s="1"/>
  <c r="DE37" i="37"/>
  <c r="ER37" i="38" s="1"/>
  <c r="DD37" i="37"/>
  <c r="EQ37" i="38" s="1"/>
  <c r="DC37" i="37"/>
  <c r="DB37" i="37"/>
  <c r="EO37" i="38" s="1"/>
  <c r="DA37" i="37"/>
  <c r="EN37" i="38" s="1"/>
  <c r="GD36" i="37"/>
  <c r="GA36" i="37"/>
  <c r="FV36" i="37"/>
  <c r="FU36" i="37"/>
  <c r="FT36" i="37"/>
  <c r="FS36" i="37"/>
  <c r="FR36" i="37"/>
  <c r="FQ36" i="37"/>
  <c r="FP36" i="37"/>
  <c r="FO36" i="37"/>
  <c r="EW36" i="37"/>
  <c r="ET36" i="37"/>
  <c r="ES36" i="37"/>
  <c r="ER36" i="37"/>
  <c r="EQ36" i="37"/>
  <c r="EP36" i="37"/>
  <c r="EO36" i="37"/>
  <c r="EN36" i="37"/>
  <c r="EM36" i="37"/>
  <c r="EL36" i="37"/>
  <c r="EK36" i="37"/>
  <c r="EJ36" i="37"/>
  <c r="EI36" i="37"/>
  <c r="EH36" i="37"/>
  <c r="DP36" i="37"/>
  <c r="DM36" i="37"/>
  <c r="DH36" i="37"/>
  <c r="EU36" i="38" s="1"/>
  <c r="DG36" i="37"/>
  <c r="ET36" i="38" s="1"/>
  <c r="DF36" i="37"/>
  <c r="ES36" i="38" s="1"/>
  <c r="DE36" i="37"/>
  <c r="ER36" i="38" s="1"/>
  <c r="DD36" i="37"/>
  <c r="EQ36" i="38" s="1"/>
  <c r="DC36" i="37"/>
  <c r="DB36" i="37"/>
  <c r="EO36" i="38" s="1"/>
  <c r="DA36" i="37"/>
  <c r="EN36" i="38" s="1"/>
  <c r="GD35" i="37"/>
  <c r="GA35" i="37"/>
  <c r="FV35" i="37"/>
  <c r="FU35" i="37"/>
  <c r="FT35" i="37"/>
  <c r="FS35" i="37"/>
  <c r="FR35" i="37"/>
  <c r="FQ35" i="37"/>
  <c r="FP35" i="37"/>
  <c r="FO35" i="37"/>
  <c r="EW35" i="37"/>
  <c r="ET35" i="37"/>
  <c r="ES35" i="37"/>
  <c r="ER35" i="37"/>
  <c r="EQ35" i="37"/>
  <c r="EP35" i="37"/>
  <c r="EO35" i="37"/>
  <c r="EN35" i="37"/>
  <c r="EM35" i="37"/>
  <c r="EL35" i="37"/>
  <c r="EK35" i="37"/>
  <c r="EJ35" i="37"/>
  <c r="EI35" i="37"/>
  <c r="EH35" i="37"/>
  <c r="DP35" i="37"/>
  <c r="DM35" i="37"/>
  <c r="EZ35" i="38" s="1"/>
  <c r="DH35" i="37"/>
  <c r="EU35" i="38" s="1"/>
  <c r="DG35" i="37"/>
  <c r="ET35" i="38" s="1"/>
  <c r="DF35" i="37"/>
  <c r="ES35" i="38" s="1"/>
  <c r="DE35" i="37"/>
  <c r="ER35" i="38" s="1"/>
  <c r="DD35" i="37"/>
  <c r="EQ35" i="38" s="1"/>
  <c r="DC35" i="37"/>
  <c r="DB35" i="37"/>
  <c r="EO35" i="38" s="1"/>
  <c r="DA35" i="37"/>
  <c r="EN35" i="38" s="1"/>
  <c r="DE31" i="37"/>
  <c r="FF37" i="38" l="1"/>
  <c r="FF41" i="38"/>
  <c r="DN36" i="37"/>
  <c r="FA36" i="38" s="1"/>
  <c r="EZ36" i="38"/>
  <c r="EU40" i="37"/>
  <c r="EZ40" i="38"/>
  <c r="EU35" i="37"/>
  <c r="GB36" i="37"/>
  <c r="GB38" i="37"/>
  <c r="GB40" i="37"/>
  <c r="GB39" i="37"/>
  <c r="DN35" i="37"/>
  <c r="FA35" i="38" s="1"/>
  <c r="GB35" i="37"/>
  <c r="EU36" i="37"/>
  <c r="DN39" i="37"/>
  <c r="FA39" i="38" s="1"/>
  <c r="EU39" i="37"/>
  <c r="DA44" i="37"/>
  <c r="DH44" i="37"/>
  <c r="DN38" i="37"/>
  <c r="FZ35" i="37"/>
  <c r="FZ39" i="37"/>
  <c r="DJ35" i="37"/>
  <c r="EW35" i="38" s="1"/>
  <c r="FY35" i="37"/>
  <c r="DK36" i="37"/>
  <c r="EX36" i="38" s="1"/>
  <c r="FY36" i="37"/>
  <c r="DK38" i="37"/>
  <c r="EX38" i="38" s="1"/>
  <c r="FY38" i="37"/>
  <c r="DK39" i="37"/>
  <c r="EX39" i="38" s="1"/>
  <c r="FY39" i="37"/>
  <c r="DK40" i="37"/>
  <c r="EX40" i="38" s="1"/>
  <c r="FY40" i="37"/>
  <c r="DL35" i="37"/>
  <c r="FX35" i="37"/>
  <c r="DJ36" i="37"/>
  <c r="EW36" i="38" s="1"/>
  <c r="FX36" i="37"/>
  <c r="DJ38" i="37"/>
  <c r="EW38" i="38" s="1"/>
  <c r="FX38" i="37"/>
  <c r="DJ39" i="37"/>
  <c r="EW39" i="38" s="1"/>
  <c r="FX39" i="37"/>
  <c r="DJ40" i="37"/>
  <c r="EW40" i="38" s="1"/>
  <c r="FX40" i="37"/>
  <c r="FW35" i="37"/>
  <c r="DI36" i="37"/>
  <c r="EV36" i="38" s="1"/>
  <c r="FF36" i="38" s="1"/>
  <c r="FW36" i="37"/>
  <c r="DI38" i="37"/>
  <c r="EV38" i="38" s="1"/>
  <c r="FW38" i="37"/>
  <c r="DI39" i="37"/>
  <c r="EV39" i="38" s="1"/>
  <c r="FW39" i="37"/>
  <c r="DI40" i="37"/>
  <c r="EV40" i="38" s="1"/>
  <c r="FW40" i="37"/>
  <c r="CH43" i="37"/>
  <c r="CG43" i="37" s="1"/>
  <c r="CF43" i="37" s="1"/>
  <c r="CH44" i="37"/>
  <c r="CG44" i="37" s="1"/>
  <c r="CF44" i="37" s="1"/>
  <c r="DL38" i="37"/>
  <c r="EY38" i="38" s="1"/>
  <c r="FZ38" i="37"/>
  <c r="DL39" i="37"/>
  <c r="EY39" i="38" s="1"/>
  <c r="DL40" i="37"/>
  <c r="EY40" i="38" s="1"/>
  <c r="FZ40" i="37"/>
  <c r="DO35" i="37"/>
  <c r="FB35" i="38" s="1"/>
  <c r="EV35" i="37"/>
  <c r="GC35" i="37"/>
  <c r="DO36" i="37"/>
  <c r="FB36" i="38" s="1"/>
  <c r="EV36" i="37"/>
  <c r="GC36" i="37"/>
  <c r="DO38" i="37"/>
  <c r="FB38" i="38" s="1"/>
  <c r="GC38" i="37"/>
  <c r="DO39" i="37"/>
  <c r="FB39" i="38" s="1"/>
  <c r="EV39" i="37"/>
  <c r="GC39" i="37"/>
  <c r="DO40" i="37"/>
  <c r="FB40" i="38" s="1"/>
  <c r="EV40" i="37"/>
  <c r="GC40" i="37"/>
  <c r="CD43" i="37"/>
  <c r="CD44" i="37"/>
  <c r="DL36" i="37"/>
  <c r="EY36" i="38" s="1"/>
  <c r="FZ36" i="37"/>
  <c r="DI35" i="37"/>
  <c r="EV35" i="38" s="1"/>
  <c r="DN40" i="37"/>
  <c r="FA40" i="38" s="1"/>
  <c r="CB43" i="37"/>
  <c r="CA43" i="37" s="1"/>
  <c r="BZ43" i="37" s="1"/>
  <c r="BY43" i="37" s="1"/>
  <c r="BX43" i="37" s="1"/>
  <c r="BW43" i="37" s="1"/>
  <c r="BV43" i="37" s="1"/>
  <c r="BU43" i="37" s="1"/>
  <c r="CB44" i="37"/>
  <c r="CA44" i="37" s="1"/>
  <c r="BZ44" i="37" s="1"/>
  <c r="BY44" i="37" s="1"/>
  <c r="BX44" i="37" s="1"/>
  <c r="BW44" i="37" s="1"/>
  <c r="BV44" i="37" s="1"/>
  <c r="BU44" i="37" s="1"/>
  <c r="DD31" i="37"/>
  <c r="DC31" i="37"/>
  <c r="DB31" i="37"/>
  <c r="DA31" i="37"/>
  <c r="HZ27" i="37"/>
  <c r="SQ27" i="38" s="1"/>
  <c r="HY27" i="37"/>
  <c r="SP27" i="38" s="1"/>
  <c r="HX27" i="37"/>
  <c r="SO27" i="38" s="1"/>
  <c r="HW27" i="37"/>
  <c r="SN27" i="38" s="1"/>
  <c r="HV27" i="37"/>
  <c r="SM27" i="38" s="1"/>
  <c r="HU27" i="37"/>
  <c r="SL27" i="38" s="1"/>
  <c r="HT27" i="37"/>
  <c r="SK27" i="38" s="1"/>
  <c r="HS27" i="37"/>
  <c r="SJ27" i="38" s="1"/>
  <c r="HR27" i="37"/>
  <c r="SI27" i="38" s="1"/>
  <c r="HQ27" i="37"/>
  <c r="SH27" i="38" s="1"/>
  <c r="HP27" i="37"/>
  <c r="SG27" i="38" s="1"/>
  <c r="HO27" i="37"/>
  <c r="SF27" i="38" s="1"/>
  <c r="HN27" i="37"/>
  <c r="SE27" i="38" s="1"/>
  <c r="HM27" i="37"/>
  <c r="SD27" i="38" s="1"/>
  <c r="GS27" i="37"/>
  <c r="GR27" i="37"/>
  <c r="GQ27" i="37"/>
  <c r="GP27" i="37"/>
  <c r="GO27" i="37"/>
  <c r="GN27" i="37"/>
  <c r="GM27" i="37"/>
  <c r="GL27" i="37"/>
  <c r="GK27" i="37"/>
  <c r="GJ27" i="37"/>
  <c r="GI27" i="37"/>
  <c r="GH27" i="37"/>
  <c r="GG27" i="37"/>
  <c r="GF27" i="37"/>
  <c r="GC27" i="37"/>
  <c r="GB27" i="37"/>
  <c r="GA27" i="37"/>
  <c r="FZ27" i="37"/>
  <c r="FY27" i="37"/>
  <c r="FX27" i="37"/>
  <c r="FW27" i="37"/>
  <c r="FV27" i="37"/>
  <c r="FU27" i="37"/>
  <c r="FT27" i="37"/>
  <c r="FS27" i="37"/>
  <c r="FR27" i="37"/>
  <c r="FQ27" i="37"/>
  <c r="FP27" i="37"/>
  <c r="FO27" i="37"/>
  <c r="FL27" i="37"/>
  <c r="FK27" i="37"/>
  <c r="FJ27" i="37"/>
  <c r="FI27" i="37"/>
  <c r="FH27" i="37"/>
  <c r="FG27" i="37"/>
  <c r="FF27" i="37"/>
  <c r="FE27" i="37"/>
  <c r="FD27" i="37"/>
  <c r="FC27" i="37"/>
  <c r="FB27" i="37"/>
  <c r="FA27" i="37"/>
  <c r="EZ27" i="37"/>
  <c r="EY27" i="37"/>
  <c r="EV27" i="37"/>
  <c r="EU27" i="37"/>
  <c r="ET27" i="37"/>
  <c r="ES27" i="37"/>
  <c r="ER27" i="37"/>
  <c r="EQ27" i="37"/>
  <c r="EP27" i="37"/>
  <c r="EO27" i="37"/>
  <c r="EN27" i="37"/>
  <c r="EM27" i="37"/>
  <c r="EL27" i="37"/>
  <c r="EK27" i="37"/>
  <c r="EJ27" i="37"/>
  <c r="EI27" i="37"/>
  <c r="EH27" i="37"/>
  <c r="EE27" i="37"/>
  <c r="ED27" i="37"/>
  <c r="EC27" i="37"/>
  <c r="EB27" i="37"/>
  <c r="EA27" i="37"/>
  <c r="DZ27" i="37"/>
  <c r="DY27" i="37"/>
  <c r="DX27" i="37"/>
  <c r="DW27" i="37"/>
  <c r="DV27" i="37"/>
  <c r="DU27" i="37"/>
  <c r="DT27" i="37"/>
  <c r="DS27" i="37"/>
  <c r="DR27" i="37"/>
  <c r="DN27" i="37"/>
  <c r="FA27" i="38" s="1"/>
  <c r="DM27" i="37"/>
  <c r="EZ27" i="38" s="1"/>
  <c r="DL27" i="37"/>
  <c r="EY27" i="38" s="1"/>
  <c r="DK27" i="37"/>
  <c r="EX27" i="38" s="1"/>
  <c r="DJ27" i="37"/>
  <c r="EW27" i="38" s="1"/>
  <c r="DI27" i="37"/>
  <c r="EV27" i="38" s="1"/>
  <c r="DH27" i="37"/>
  <c r="EU27" i="38" s="1"/>
  <c r="DG27" i="37"/>
  <c r="ET27" i="38" s="1"/>
  <c r="DF27" i="37"/>
  <c r="ES27" i="38" s="1"/>
  <c r="DE27" i="37"/>
  <c r="ER27" i="38" s="1"/>
  <c r="DD27" i="37"/>
  <c r="EQ27" i="38" s="1"/>
  <c r="DC27" i="37"/>
  <c r="EP27" i="38" s="1"/>
  <c r="DB27" i="37"/>
  <c r="EO27" i="38" s="1"/>
  <c r="DA27" i="37"/>
  <c r="EN27" i="38" s="1"/>
  <c r="CH27" i="37"/>
  <c r="CG27" i="37"/>
  <c r="CF27" i="37"/>
  <c r="CE27" i="37"/>
  <c r="CD27" i="37"/>
  <c r="CC27" i="37"/>
  <c r="CB27" i="37"/>
  <c r="CA27" i="37"/>
  <c r="BZ27" i="37"/>
  <c r="BY27" i="37"/>
  <c r="BX27" i="37"/>
  <c r="BW27" i="37"/>
  <c r="BV27" i="37"/>
  <c r="BU27" i="37"/>
  <c r="BR27" i="37"/>
  <c r="BQ27" i="37"/>
  <c r="BP27" i="37"/>
  <c r="BO27" i="37"/>
  <c r="BN27" i="37"/>
  <c r="BM27" i="37"/>
  <c r="BL27" i="37"/>
  <c r="BK27" i="37"/>
  <c r="BJ27" i="37"/>
  <c r="BI27" i="37"/>
  <c r="BH27" i="37"/>
  <c r="BG27" i="37"/>
  <c r="BF27" i="37"/>
  <c r="BE27" i="37"/>
  <c r="BC27" i="37"/>
  <c r="BB27" i="37"/>
  <c r="AZ27" i="37"/>
  <c r="AY27" i="37"/>
  <c r="AX27" i="37"/>
  <c r="AW27" i="37"/>
  <c r="AV27" i="37"/>
  <c r="AU27" i="37"/>
  <c r="AT27" i="37"/>
  <c r="AS27" i="37"/>
  <c r="AR27" i="37"/>
  <c r="AQ27" i="37"/>
  <c r="AP27" i="37"/>
  <c r="AO27" i="37"/>
  <c r="AM27" i="37"/>
  <c r="AK27" i="37"/>
  <c r="AJ27" i="37"/>
  <c r="AG27" i="37"/>
  <c r="AF27" i="37"/>
  <c r="AE27" i="37"/>
  <c r="AD27" i="37"/>
  <c r="AC27" i="37"/>
  <c r="AB27" i="37"/>
  <c r="AA27" i="37"/>
  <c r="Z27" i="37"/>
  <c r="Y27" i="37"/>
  <c r="X27" i="37"/>
  <c r="W27" i="37"/>
  <c r="V27" i="37"/>
  <c r="U27" i="37"/>
  <c r="T27" i="37"/>
  <c r="Q27" i="37"/>
  <c r="P27" i="37"/>
  <c r="O27" i="37"/>
  <c r="N27" i="37"/>
  <c r="M27" i="37"/>
  <c r="L27" i="37"/>
  <c r="K27" i="37"/>
  <c r="J27" i="37"/>
  <c r="I27" i="37"/>
  <c r="H27" i="37"/>
  <c r="F27" i="37"/>
  <c r="E27" i="37"/>
  <c r="D27" i="37"/>
  <c r="IA26" i="37"/>
  <c r="HZ26" i="37"/>
  <c r="SQ26" i="38" s="1"/>
  <c r="HY26" i="37"/>
  <c r="SP26" i="38" s="1"/>
  <c r="HX26" i="37"/>
  <c r="SO26" i="38" s="1"/>
  <c r="HW26" i="37"/>
  <c r="SN26" i="38" s="1"/>
  <c r="HV26" i="37"/>
  <c r="SM26" i="38" s="1"/>
  <c r="HU26" i="37"/>
  <c r="SL26" i="38" s="1"/>
  <c r="HT26" i="37"/>
  <c r="SK26" i="38" s="1"/>
  <c r="HS26" i="37"/>
  <c r="SJ26" i="38" s="1"/>
  <c r="HR26" i="37"/>
  <c r="SI26" i="38" s="1"/>
  <c r="HQ26" i="37"/>
  <c r="SH26" i="38" s="1"/>
  <c r="HP26" i="37"/>
  <c r="SG26" i="38" s="1"/>
  <c r="HO26" i="37"/>
  <c r="SF26" i="38" s="1"/>
  <c r="HN26" i="37"/>
  <c r="SE26" i="38" s="1"/>
  <c r="HM26" i="37"/>
  <c r="SD26" i="38" s="1"/>
  <c r="GT26" i="37"/>
  <c r="GS26" i="37"/>
  <c r="GR26" i="37"/>
  <c r="GQ26" i="37"/>
  <c r="GP26" i="37"/>
  <c r="GO26" i="37"/>
  <c r="GN26" i="37"/>
  <c r="GM26" i="37"/>
  <c r="GL26" i="37"/>
  <c r="GK26" i="37"/>
  <c r="GJ26" i="37"/>
  <c r="GI26" i="37"/>
  <c r="GH26" i="37"/>
  <c r="GG26" i="37"/>
  <c r="GF26" i="37"/>
  <c r="GC26" i="37"/>
  <c r="GB26" i="37"/>
  <c r="GA26" i="37"/>
  <c r="FZ26" i="37"/>
  <c r="FY26" i="37"/>
  <c r="FX26" i="37"/>
  <c r="FW26" i="37"/>
  <c r="FV26" i="37"/>
  <c r="FU26" i="37"/>
  <c r="FT26" i="37"/>
  <c r="FS26" i="37"/>
  <c r="FR26" i="37"/>
  <c r="FQ26" i="37"/>
  <c r="FP26" i="37"/>
  <c r="FO26" i="37"/>
  <c r="FM26" i="37"/>
  <c r="FL26" i="37"/>
  <c r="FK26" i="37"/>
  <c r="FJ26" i="37"/>
  <c r="FI26" i="37"/>
  <c r="FH26" i="37"/>
  <c r="FG26" i="37"/>
  <c r="FF26" i="37"/>
  <c r="FE26" i="37"/>
  <c r="FD26" i="37"/>
  <c r="FC26" i="37"/>
  <c r="FB26" i="37"/>
  <c r="FA26" i="37"/>
  <c r="EZ26" i="37"/>
  <c r="EY26" i="37"/>
  <c r="EV26" i="37"/>
  <c r="EU26" i="37"/>
  <c r="ET26" i="37"/>
  <c r="ES26" i="37"/>
  <c r="ER26" i="37"/>
  <c r="EQ26" i="37"/>
  <c r="EP26" i="37"/>
  <c r="EO26" i="37"/>
  <c r="EN26" i="37"/>
  <c r="EM26" i="37"/>
  <c r="EL26" i="37"/>
  <c r="EK26" i="37"/>
  <c r="EJ26" i="37"/>
  <c r="EI26" i="37"/>
  <c r="EH26" i="37"/>
  <c r="EF26" i="37"/>
  <c r="EE26" i="37"/>
  <c r="ED26" i="37"/>
  <c r="EC26" i="37"/>
  <c r="EB26" i="37"/>
  <c r="EA26" i="37"/>
  <c r="DZ26" i="37"/>
  <c r="DY26" i="37"/>
  <c r="DX26" i="37"/>
  <c r="DW26" i="37"/>
  <c r="DV26" i="37"/>
  <c r="DU26" i="37"/>
  <c r="DT26" i="37"/>
  <c r="DS26" i="37"/>
  <c r="DR26" i="37"/>
  <c r="DO26" i="37"/>
  <c r="DN26" i="37"/>
  <c r="FA26" i="38" s="1"/>
  <c r="DM26" i="37"/>
  <c r="EZ26" i="38" s="1"/>
  <c r="DL26" i="37"/>
  <c r="EY26" i="38" s="1"/>
  <c r="DK26" i="37"/>
  <c r="EX26" i="38" s="1"/>
  <c r="DJ26" i="37"/>
  <c r="EW26" i="38" s="1"/>
  <c r="DI26" i="37"/>
  <c r="EV26" i="38" s="1"/>
  <c r="DH26" i="37"/>
  <c r="EU26" i="38" s="1"/>
  <c r="DG26" i="37"/>
  <c r="ET26" i="38" s="1"/>
  <c r="DF26" i="37"/>
  <c r="ES26" i="38" s="1"/>
  <c r="DE26" i="37"/>
  <c r="ER26" i="38" s="1"/>
  <c r="DD26" i="37"/>
  <c r="EQ26" i="38" s="1"/>
  <c r="DC26" i="37"/>
  <c r="EP26" i="38" s="1"/>
  <c r="DB26" i="37"/>
  <c r="EO26" i="38" s="1"/>
  <c r="DA26" i="37"/>
  <c r="EN26" i="38" s="1"/>
  <c r="CI26" i="37"/>
  <c r="CH26" i="37"/>
  <c r="CG26" i="37"/>
  <c r="CF26" i="37"/>
  <c r="CE26" i="37"/>
  <c r="CD26" i="37"/>
  <c r="CC26" i="37"/>
  <c r="CB26" i="37"/>
  <c r="CA26" i="37"/>
  <c r="BZ26" i="37"/>
  <c r="BY26" i="37"/>
  <c r="BX26" i="37"/>
  <c r="BW26" i="37"/>
  <c r="BV26" i="37"/>
  <c r="BU26" i="37"/>
  <c r="BS26" i="37"/>
  <c r="BR26" i="37"/>
  <c r="BQ26" i="37"/>
  <c r="BP26" i="37"/>
  <c r="BO26" i="37"/>
  <c r="BN26" i="37"/>
  <c r="BM26" i="37"/>
  <c r="BL26" i="37"/>
  <c r="BK26" i="37"/>
  <c r="BJ26" i="37"/>
  <c r="BI26" i="37"/>
  <c r="BH26" i="37"/>
  <c r="BG26" i="37"/>
  <c r="BF26" i="37"/>
  <c r="BE26" i="37"/>
  <c r="BC26" i="37"/>
  <c r="BB26" i="37"/>
  <c r="BA26" i="37"/>
  <c r="AZ26" i="37"/>
  <c r="AY26" i="37"/>
  <c r="AX26" i="37"/>
  <c r="AW26" i="37"/>
  <c r="AV26" i="37"/>
  <c r="AU26" i="37"/>
  <c r="AT26" i="37"/>
  <c r="AS26" i="37"/>
  <c r="AR26" i="37"/>
  <c r="AQ26" i="37"/>
  <c r="AP26" i="37"/>
  <c r="AO26" i="37"/>
  <c r="AM26" i="37"/>
  <c r="AL26" i="37"/>
  <c r="AK26" i="37"/>
  <c r="AJ26" i="37"/>
  <c r="AH26" i="37"/>
  <c r="AG26" i="37"/>
  <c r="AF26" i="37"/>
  <c r="AE26" i="37"/>
  <c r="AD26" i="37"/>
  <c r="AC26" i="37"/>
  <c r="AB26" i="37"/>
  <c r="AA26" i="37"/>
  <c r="Z26" i="37"/>
  <c r="Y26" i="37"/>
  <c r="X26" i="37"/>
  <c r="W26" i="37"/>
  <c r="V26" i="37"/>
  <c r="U26" i="37"/>
  <c r="T26" i="37"/>
  <c r="R26" i="37"/>
  <c r="Q26" i="37"/>
  <c r="P26" i="37"/>
  <c r="O26" i="37"/>
  <c r="N26" i="37"/>
  <c r="M26" i="37"/>
  <c r="L26" i="37"/>
  <c r="K26" i="37"/>
  <c r="J26" i="37"/>
  <c r="I26" i="37"/>
  <c r="H26" i="37"/>
  <c r="F26" i="37"/>
  <c r="E26" i="37"/>
  <c r="D26" i="37"/>
  <c r="IA25" i="37"/>
  <c r="HZ25" i="37"/>
  <c r="SQ25" i="38" s="1"/>
  <c r="HY25" i="37"/>
  <c r="SP25" i="38" s="1"/>
  <c r="HX25" i="37"/>
  <c r="SO25" i="38" s="1"/>
  <c r="HW25" i="37"/>
  <c r="SN25" i="38" s="1"/>
  <c r="HV25" i="37"/>
  <c r="SM25" i="38" s="1"/>
  <c r="HU25" i="37"/>
  <c r="SL25" i="38" s="1"/>
  <c r="HT25" i="37"/>
  <c r="SK25" i="38" s="1"/>
  <c r="HS25" i="37"/>
  <c r="SJ25" i="38" s="1"/>
  <c r="HR25" i="37"/>
  <c r="SI25" i="38" s="1"/>
  <c r="HQ25" i="37"/>
  <c r="SH25" i="38" s="1"/>
  <c r="HP25" i="37"/>
  <c r="SG25" i="38" s="1"/>
  <c r="HO25" i="37"/>
  <c r="SF25" i="38" s="1"/>
  <c r="HN25" i="37"/>
  <c r="SE25" i="38" s="1"/>
  <c r="HM25" i="37"/>
  <c r="SD25" i="38" s="1"/>
  <c r="GT25" i="37"/>
  <c r="GS25" i="37"/>
  <c r="GR25" i="37"/>
  <c r="GQ25" i="37"/>
  <c r="GP25" i="37"/>
  <c r="GO25" i="37"/>
  <c r="GN25" i="37"/>
  <c r="GM25" i="37"/>
  <c r="GL25" i="37"/>
  <c r="GK25" i="37"/>
  <c r="GJ25" i="37"/>
  <c r="GI25" i="37"/>
  <c r="GH25" i="37"/>
  <c r="GG25" i="37"/>
  <c r="GF25" i="37"/>
  <c r="GC25" i="37"/>
  <c r="GB25" i="37"/>
  <c r="GA25" i="37"/>
  <c r="FZ25" i="37"/>
  <c r="FY25" i="37"/>
  <c r="FX25" i="37"/>
  <c r="FW25" i="37"/>
  <c r="FV25" i="37"/>
  <c r="FU25" i="37"/>
  <c r="FT25" i="37"/>
  <c r="FS25" i="37"/>
  <c r="FR25" i="37"/>
  <c r="FQ25" i="37"/>
  <c r="FP25" i="37"/>
  <c r="FO25" i="37"/>
  <c r="FM25" i="37"/>
  <c r="FL25" i="37"/>
  <c r="FK25" i="37"/>
  <c r="FJ25" i="37"/>
  <c r="FI25" i="37"/>
  <c r="FH25" i="37"/>
  <c r="FG25" i="37"/>
  <c r="FF25" i="37"/>
  <c r="FE25" i="37"/>
  <c r="FD25" i="37"/>
  <c r="FC25" i="37"/>
  <c r="FB25" i="37"/>
  <c r="FA25" i="37"/>
  <c r="EZ25" i="37"/>
  <c r="EY25" i="37"/>
  <c r="EV25" i="37"/>
  <c r="EU25" i="37"/>
  <c r="ET25" i="37"/>
  <c r="ES25" i="37"/>
  <c r="ER25" i="37"/>
  <c r="EQ25" i="37"/>
  <c r="EP25" i="37"/>
  <c r="EO25" i="37"/>
  <c r="EN25" i="37"/>
  <c r="EM25" i="37"/>
  <c r="EL25" i="37"/>
  <c r="EK25" i="37"/>
  <c r="EJ25" i="37"/>
  <c r="EI25" i="37"/>
  <c r="EH25" i="37"/>
  <c r="EF25" i="37"/>
  <c r="EE25" i="37"/>
  <c r="ED25" i="37"/>
  <c r="EC25" i="37"/>
  <c r="EB25" i="37"/>
  <c r="EA25" i="37"/>
  <c r="DZ25" i="37"/>
  <c r="DY25" i="37"/>
  <c r="DX25" i="37"/>
  <c r="DW25" i="37"/>
  <c r="DV25" i="37"/>
  <c r="DU25" i="37"/>
  <c r="DT25" i="37"/>
  <c r="DS25" i="37"/>
  <c r="DR25" i="37"/>
  <c r="DO25" i="37"/>
  <c r="DN25" i="37"/>
  <c r="FA25" i="38" s="1"/>
  <c r="DM25" i="37"/>
  <c r="EZ25" i="38" s="1"/>
  <c r="DL25" i="37"/>
  <c r="EY25" i="38" s="1"/>
  <c r="DK25" i="37"/>
  <c r="EX25" i="38" s="1"/>
  <c r="DJ25" i="37"/>
  <c r="EW25" i="38" s="1"/>
  <c r="DI25" i="37"/>
  <c r="EV25" i="38" s="1"/>
  <c r="DH25" i="37"/>
  <c r="EU25" i="38" s="1"/>
  <c r="DG25" i="37"/>
  <c r="ET25" i="38" s="1"/>
  <c r="DF25" i="37"/>
  <c r="ES25" i="38" s="1"/>
  <c r="DE25" i="37"/>
  <c r="ER25" i="38" s="1"/>
  <c r="DD25" i="37"/>
  <c r="EQ25" i="38" s="1"/>
  <c r="DC25" i="37"/>
  <c r="EP25" i="38" s="1"/>
  <c r="DB25" i="37"/>
  <c r="EO25" i="38" s="1"/>
  <c r="DA25" i="37"/>
  <c r="EN25" i="38" s="1"/>
  <c r="CI25" i="37"/>
  <c r="CH25" i="37"/>
  <c r="CG25" i="37"/>
  <c r="CF25" i="37"/>
  <c r="CE25" i="37"/>
  <c r="CD25" i="37"/>
  <c r="CC25" i="37"/>
  <c r="CB25" i="37"/>
  <c r="CA25" i="37"/>
  <c r="BZ25" i="37"/>
  <c r="BY25" i="37"/>
  <c r="BX25" i="37"/>
  <c r="BW25" i="37"/>
  <c r="BV25" i="37"/>
  <c r="BU25" i="37"/>
  <c r="BS25" i="37"/>
  <c r="BR25" i="37"/>
  <c r="BQ25" i="37"/>
  <c r="BP25" i="37"/>
  <c r="BO25" i="37"/>
  <c r="BN25" i="37"/>
  <c r="BM25" i="37"/>
  <c r="BL25" i="37"/>
  <c r="BK25" i="37"/>
  <c r="BJ25" i="37"/>
  <c r="BI25" i="37"/>
  <c r="BH25" i="37"/>
  <c r="BG25" i="37"/>
  <c r="BF25" i="37"/>
  <c r="BE25" i="37"/>
  <c r="BC25" i="37"/>
  <c r="BB25" i="37"/>
  <c r="BA25" i="37"/>
  <c r="AZ25" i="37"/>
  <c r="AY25" i="37"/>
  <c r="AX25" i="37"/>
  <c r="AW25" i="37"/>
  <c r="AV25" i="37"/>
  <c r="AU25" i="37"/>
  <c r="AT25" i="37"/>
  <c r="AS25" i="37"/>
  <c r="AR25" i="37"/>
  <c r="AQ25" i="37"/>
  <c r="AP25" i="37"/>
  <c r="AO25" i="37"/>
  <c r="AM25" i="37"/>
  <c r="AL25" i="37"/>
  <c r="AK25" i="37"/>
  <c r="AJ25" i="37"/>
  <c r="AH25" i="37"/>
  <c r="AG25" i="37"/>
  <c r="AF25" i="37"/>
  <c r="AE25" i="37"/>
  <c r="AD25" i="37"/>
  <c r="AC25" i="37"/>
  <c r="AB25" i="37"/>
  <c r="AA25" i="37"/>
  <c r="Z25" i="37"/>
  <c r="Y25" i="37"/>
  <c r="X25" i="37"/>
  <c r="W25" i="37"/>
  <c r="V25" i="37"/>
  <c r="U25" i="37"/>
  <c r="T25" i="37"/>
  <c r="R25" i="37"/>
  <c r="Q25" i="37"/>
  <c r="P25" i="37"/>
  <c r="O25" i="37"/>
  <c r="N25" i="37"/>
  <c r="M25" i="37"/>
  <c r="L25" i="37"/>
  <c r="K25" i="37"/>
  <c r="J25" i="37"/>
  <c r="I25" i="37"/>
  <c r="H25" i="37"/>
  <c r="F25" i="37"/>
  <c r="E25" i="37"/>
  <c r="D25" i="37"/>
  <c r="IA24" i="37"/>
  <c r="HZ24" i="37"/>
  <c r="SQ24" i="38" s="1"/>
  <c r="HY24" i="37"/>
  <c r="SP24" i="38" s="1"/>
  <c r="HX24" i="37"/>
  <c r="SO24" i="38" s="1"/>
  <c r="HW24" i="37"/>
  <c r="SN24" i="38" s="1"/>
  <c r="HV24" i="37"/>
  <c r="SM24" i="38" s="1"/>
  <c r="HU24" i="37"/>
  <c r="SL24" i="38" s="1"/>
  <c r="HT24" i="37"/>
  <c r="SK24" i="38" s="1"/>
  <c r="HS24" i="37"/>
  <c r="SJ24" i="38" s="1"/>
  <c r="HR24" i="37"/>
  <c r="SI24" i="38" s="1"/>
  <c r="HQ24" i="37"/>
  <c r="SH24" i="38" s="1"/>
  <c r="HP24" i="37"/>
  <c r="SG24" i="38" s="1"/>
  <c r="HO24" i="37"/>
  <c r="SF24" i="38" s="1"/>
  <c r="HN24" i="37"/>
  <c r="SE24" i="38" s="1"/>
  <c r="HM24" i="37"/>
  <c r="SD24" i="38" s="1"/>
  <c r="GT24" i="37"/>
  <c r="GS24" i="37"/>
  <c r="GR24" i="37"/>
  <c r="GQ24" i="37"/>
  <c r="GP24" i="37"/>
  <c r="GO24" i="37"/>
  <c r="GN24" i="37"/>
  <c r="GM24" i="37"/>
  <c r="GL24" i="37"/>
  <c r="GK24" i="37"/>
  <c r="GJ24" i="37"/>
  <c r="GI24" i="37"/>
  <c r="GH24" i="37"/>
  <c r="GG24" i="37"/>
  <c r="GF24" i="37"/>
  <c r="GC24" i="37"/>
  <c r="GB24" i="37"/>
  <c r="GA24" i="37"/>
  <c r="FZ24" i="37"/>
  <c r="FY24" i="37"/>
  <c r="FX24" i="37"/>
  <c r="FW24" i="37"/>
  <c r="FV24" i="37"/>
  <c r="FU24" i="37"/>
  <c r="FT24" i="37"/>
  <c r="FS24" i="37"/>
  <c r="FR24" i="37"/>
  <c r="FQ24" i="37"/>
  <c r="FP24" i="37"/>
  <c r="FO24" i="37"/>
  <c r="FM24" i="37"/>
  <c r="FL24" i="37"/>
  <c r="FK24" i="37"/>
  <c r="FJ24" i="37"/>
  <c r="FI24" i="37"/>
  <c r="FH24" i="37"/>
  <c r="FG24" i="37"/>
  <c r="FF24" i="37"/>
  <c r="FE24" i="37"/>
  <c r="FD24" i="37"/>
  <c r="FC24" i="37"/>
  <c r="FB24" i="37"/>
  <c r="FA24" i="37"/>
  <c r="EZ24" i="37"/>
  <c r="EY24" i="37"/>
  <c r="EV24" i="37"/>
  <c r="EU24" i="37"/>
  <c r="ET24" i="37"/>
  <c r="ES24" i="37"/>
  <c r="ER24" i="37"/>
  <c r="EQ24" i="37"/>
  <c r="EP24" i="37"/>
  <c r="EO24" i="37"/>
  <c r="EN24" i="37"/>
  <c r="EM24" i="37"/>
  <c r="EL24" i="37"/>
  <c r="EK24" i="37"/>
  <c r="EJ24" i="37"/>
  <c r="EI24" i="37"/>
  <c r="EH24" i="37"/>
  <c r="EF24" i="37"/>
  <c r="EE24" i="37"/>
  <c r="ED24" i="37"/>
  <c r="EC24" i="37"/>
  <c r="EB24" i="37"/>
  <c r="EA24" i="37"/>
  <c r="DZ24" i="37"/>
  <c r="DY24" i="37"/>
  <c r="DX24" i="37"/>
  <c r="DW24" i="37"/>
  <c r="DV24" i="37"/>
  <c r="DU24" i="37"/>
  <c r="DT24" i="37"/>
  <c r="DS24" i="37"/>
  <c r="DR24" i="37"/>
  <c r="DO24" i="37"/>
  <c r="DN24" i="37"/>
  <c r="FA24" i="38" s="1"/>
  <c r="DM24" i="37"/>
  <c r="EZ24" i="38" s="1"/>
  <c r="DL24" i="37"/>
  <c r="EY24" i="38" s="1"/>
  <c r="DK24" i="37"/>
  <c r="EX24" i="38" s="1"/>
  <c r="DJ24" i="37"/>
  <c r="EW24" i="38" s="1"/>
  <c r="DI24" i="37"/>
  <c r="EV24" i="38" s="1"/>
  <c r="DH24" i="37"/>
  <c r="EU24" i="38" s="1"/>
  <c r="DG24" i="37"/>
  <c r="ET24" i="38" s="1"/>
  <c r="DF24" i="37"/>
  <c r="ES24" i="38" s="1"/>
  <c r="DE24" i="37"/>
  <c r="ER24" i="38" s="1"/>
  <c r="DD24" i="37"/>
  <c r="EQ24" i="38" s="1"/>
  <c r="DC24" i="37"/>
  <c r="EP24" i="38" s="1"/>
  <c r="DB24" i="37"/>
  <c r="EO24" i="38" s="1"/>
  <c r="DA24" i="37"/>
  <c r="EN24" i="38" s="1"/>
  <c r="CI24" i="37"/>
  <c r="CH24" i="37"/>
  <c r="CG24" i="37"/>
  <c r="CF24" i="37"/>
  <c r="CE24" i="37"/>
  <c r="CD24" i="37"/>
  <c r="CC24" i="37"/>
  <c r="CB24" i="37"/>
  <c r="CA24" i="37"/>
  <c r="BZ24" i="37"/>
  <c r="BY24" i="37"/>
  <c r="BX24" i="37"/>
  <c r="BW24" i="37"/>
  <c r="BV24" i="37"/>
  <c r="BU24" i="37"/>
  <c r="BS24" i="37"/>
  <c r="BR24" i="37"/>
  <c r="BQ24" i="37"/>
  <c r="BP24" i="37"/>
  <c r="BO24" i="37"/>
  <c r="BN24" i="37"/>
  <c r="BM24" i="37"/>
  <c r="BL24" i="37"/>
  <c r="BK24" i="37"/>
  <c r="BJ24" i="37"/>
  <c r="BI24" i="37"/>
  <c r="BH24" i="37"/>
  <c r="BG24" i="37"/>
  <c r="BF24" i="37"/>
  <c r="BE24" i="37"/>
  <c r="BC24" i="37"/>
  <c r="BB24" i="37"/>
  <c r="BA24" i="37"/>
  <c r="AZ24" i="37"/>
  <c r="AY24" i="37"/>
  <c r="AX24" i="37"/>
  <c r="AW24" i="37"/>
  <c r="AV24" i="37"/>
  <c r="AU24" i="37"/>
  <c r="AT24" i="37"/>
  <c r="AS24" i="37"/>
  <c r="AR24" i="37"/>
  <c r="AQ24" i="37"/>
  <c r="AP24" i="37"/>
  <c r="AO24" i="37"/>
  <c r="AM24" i="37"/>
  <c r="AL24" i="37"/>
  <c r="AK24" i="37"/>
  <c r="AJ24" i="37"/>
  <c r="AH24" i="37"/>
  <c r="AG24" i="37"/>
  <c r="AF24" i="37"/>
  <c r="AE24" i="37"/>
  <c r="AD24" i="37"/>
  <c r="AC24" i="37"/>
  <c r="AB24" i="37"/>
  <c r="AA24" i="37"/>
  <c r="Z24" i="37"/>
  <c r="Y24" i="37"/>
  <c r="X24" i="37"/>
  <c r="W24" i="37"/>
  <c r="V24" i="37"/>
  <c r="U24" i="37"/>
  <c r="T24" i="37"/>
  <c r="R24" i="37"/>
  <c r="Q24" i="37"/>
  <c r="P24" i="37"/>
  <c r="O24" i="37"/>
  <c r="N24" i="37"/>
  <c r="M24" i="37"/>
  <c r="L24" i="37"/>
  <c r="K24" i="37"/>
  <c r="J24" i="37"/>
  <c r="I24" i="37"/>
  <c r="H24" i="37"/>
  <c r="G24" i="37"/>
  <c r="F24" i="37"/>
  <c r="E24" i="37"/>
  <c r="D24" i="37"/>
  <c r="IA23" i="37"/>
  <c r="HZ23" i="37"/>
  <c r="SQ23" i="38" s="1"/>
  <c r="HY23" i="37"/>
  <c r="SP23" i="38" s="1"/>
  <c r="HX23" i="37"/>
  <c r="SO23" i="38" s="1"/>
  <c r="HW23" i="37"/>
  <c r="SN23" i="38" s="1"/>
  <c r="HV23" i="37"/>
  <c r="SM23" i="38" s="1"/>
  <c r="HU23" i="37"/>
  <c r="SL23" i="38" s="1"/>
  <c r="HT23" i="37"/>
  <c r="SK23" i="38" s="1"/>
  <c r="HS23" i="37"/>
  <c r="SJ23" i="38" s="1"/>
  <c r="HR23" i="37"/>
  <c r="SI23" i="38" s="1"/>
  <c r="HQ23" i="37"/>
  <c r="SH23" i="38" s="1"/>
  <c r="HP23" i="37"/>
  <c r="SG23" i="38" s="1"/>
  <c r="HO23" i="37"/>
  <c r="SF23" i="38" s="1"/>
  <c r="HN23" i="37"/>
  <c r="SE23" i="38" s="1"/>
  <c r="HM23" i="37"/>
  <c r="SD23" i="38" s="1"/>
  <c r="GT23" i="37"/>
  <c r="GS23" i="37"/>
  <c r="GR23" i="37"/>
  <c r="GQ23" i="37"/>
  <c r="GP23" i="37"/>
  <c r="GO23" i="37"/>
  <c r="GN23" i="37"/>
  <c r="GM23" i="37"/>
  <c r="GL23" i="37"/>
  <c r="GK23" i="37"/>
  <c r="GJ23" i="37"/>
  <c r="GI23" i="37"/>
  <c r="GH23" i="37"/>
  <c r="GG23" i="37"/>
  <c r="GF23" i="37"/>
  <c r="GC23" i="37"/>
  <c r="GB23" i="37"/>
  <c r="GA23" i="37"/>
  <c r="FZ23" i="37"/>
  <c r="FY23" i="37"/>
  <c r="FX23" i="37"/>
  <c r="FW23" i="37"/>
  <c r="FV23" i="37"/>
  <c r="FU23" i="37"/>
  <c r="FT23" i="37"/>
  <c r="FS23" i="37"/>
  <c r="FR23" i="37"/>
  <c r="FQ23" i="37"/>
  <c r="FP23" i="37"/>
  <c r="FO23" i="37"/>
  <c r="FM23" i="37"/>
  <c r="FL23" i="37"/>
  <c r="FK23" i="37"/>
  <c r="FJ23" i="37"/>
  <c r="FI23" i="37"/>
  <c r="FH23" i="37"/>
  <c r="FG23" i="37"/>
  <c r="FF23" i="37"/>
  <c r="FE23" i="37"/>
  <c r="FD23" i="37"/>
  <c r="FC23" i="37"/>
  <c r="FB23" i="37"/>
  <c r="FA23" i="37"/>
  <c r="EZ23" i="37"/>
  <c r="EY23" i="37"/>
  <c r="EV23" i="37"/>
  <c r="EU23" i="37"/>
  <c r="ET23" i="37"/>
  <c r="ES23" i="37"/>
  <c r="ER23" i="37"/>
  <c r="EQ23" i="37"/>
  <c r="EP23" i="37"/>
  <c r="EO23" i="37"/>
  <c r="EN23" i="37"/>
  <c r="EM23" i="37"/>
  <c r="EL23" i="37"/>
  <c r="EK23" i="37"/>
  <c r="EJ23" i="37"/>
  <c r="EI23" i="37"/>
  <c r="EH23" i="37"/>
  <c r="EF23" i="37"/>
  <c r="EE23" i="37"/>
  <c r="ED23" i="37"/>
  <c r="EC23" i="37"/>
  <c r="EB23" i="37"/>
  <c r="EA23" i="37"/>
  <c r="DZ23" i="37"/>
  <c r="DY23" i="37"/>
  <c r="DX23" i="37"/>
  <c r="DW23" i="37"/>
  <c r="DV23" i="37"/>
  <c r="DU23" i="37"/>
  <c r="DT23" i="37"/>
  <c r="DS23" i="37"/>
  <c r="DR23" i="37"/>
  <c r="DO23" i="37"/>
  <c r="DN23" i="37"/>
  <c r="FA23" i="38" s="1"/>
  <c r="DM23" i="37"/>
  <c r="EZ23" i="38" s="1"/>
  <c r="DL23" i="37"/>
  <c r="EY23" i="38" s="1"/>
  <c r="DK23" i="37"/>
  <c r="EX23" i="38" s="1"/>
  <c r="DJ23" i="37"/>
  <c r="EW23" i="38" s="1"/>
  <c r="DI23" i="37"/>
  <c r="EV23" i="38" s="1"/>
  <c r="DH23" i="37"/>
  <c r="EU23" i="38" s="1"/>
  <c r="DG23" i="37"/>
  <c r="ET23" i="38" s="1"/>
  <c r="DF23" i="37"/>
  <c r="ES23" i="38" s="1"/>
  <c r="DE23" i="37"/>
  <c r="ER23" i="38" s="1"/>
  <c r="DD23" i="37"/>
  <c r="EQ23" i="38" s="1"/>
  <c r="DC23" i="37"/>
  <c r="EP23" i="38" s="1"/>
  <c r="DB23" i="37"/>
  <c r="EO23" i="38" s="1"/>
  <c r="DA23" i="37"/>
  <c r="EN23" i="38" s="1"/>
  <c r="CI23" i="37"/>
  <c r="CH23" i="37"/>
  <c r="CG23" i="37"/>
  <c r="CF23" i="37"/>
  <c r="CE23" i="37"/>
  <c r="CD23" i="37"/>
  <c r="CC23" i="37"/>
  <c r="CB23" i="37"/>
  <c r="CA23" i="37"/>
  <c r="BZ23" i="37"/>
  <c r="BY23" i="37"/>
  <c r="BX23" i="37"/>
  <c r="BW23" i="37"/>
  <c r="BV23" i="37"/>
  <c r="BU23" i="37"/>
  <c r="BS23" i="37"/>
  <c r="BR23" i="37"/>
  <c r="BQ23" i="37"/>
  <c r="BP23" i="37"/>
  <c r="BO23" i="37"/>
  <c r="BN23" i="37"/>
  <c r="BM23" i="37"/>
  <c r="BL23" i="37"/>
  <c r="BK23" i="37"/>
  <c r="BJ23" i="37"/>
  <c r="BI23" i="37"/>
  <c r="BH23" i="37"/>
  <c r="BG23" i="37"/>
  <c r="BF23" i="37"/>
  <c r="BE23" i="37"/>
  <c r="BC23" i="37"/>
  <c r="BB23" i="37"/>
  <c r="BA23" i="37"/>
  <c r="AZ23" i="37"/>
  <c r="AY23" i="37"/>
  <c r="AX23" i="37"/>
  <c r="AW23" i="37"/>
  <c r="AV23" i="37"/>
  <c r="AU23" i="37"/>
  <c r="AT23" i="37"/>
  <c r="AS23" i="37"/>
  <c r="AR23" i="37"/>
  <c r="AQ23" i="37"/>
  <c r="AP23" i="37"/>
  <c r="AO23" i="37"/>
  <c r="AM23" i="37"/>
  <c r="AK23" i="37"/>
  <c r="AJ23" i="37"/>
  <c r="AH23" i="37"/>
  <c r="AG23" i="37"/>
  <c r="AF23" i="37"/>
  <c r="AE23" i="37"/>
  <c r="AD23" i="37"/>
  <c r="AC23" i="37"/>
  <c r="AB23" i="37"/>
  <c r="AA23" i="37"/>
  <c r="Z23" i="37"/>
  <c r="Y23" i="37"/>
  <c r="X23" i="37"/>
  <c r="W23" i="37"/>
  <c r="V23" i="37"/>
  <c r="U23" i="37"/>
  <c r="T23" i="37"/>
  <c r="R23" i="37"/>
  <c r="Q23" i="37"/>
  <c r="P23" i="37"/>
  <c r="O23" i="37"/>
  <c r="N23" i="37"/>
  <c r="M23" i="37"/>
  <c r="L23" i="37"/>
  <c r="K23" i="37"/>
  <c r="J23" i="37"/>
  <c r="I23" i="37"/>
  <c r="H23" i="37"/>
  <c r="G23" i="37"/>
  <c r="F23" i="37"/>
  <c r="E23" i="37"/>
  <c r="D23" i="37"/>
  <c r="HZ22" i="37"/>
  <c r="SQ22" i="38" s="1"/>
  <c r="HX22" i="37"/>
  <c r="SO22" i="38" s="1"/>
  <c r="HV22" i="37"/>
  <c r="SM22" i="38" s="1"/>
  <c r="HT22" i="37"/>
  <c r="HR22" i="37"/>
  <c r="SI22" i="38" s="1"/>
  <c r="HC23" i="37" l="1"/>
  <c r="HC24" i="37"/>
  <c r="L71" i="37"/>
  <c r="GV25" i="37"/>
  <c r="HD25" i="37"/>
  <c r="FM27" i="37"/>
  <c r="FF39" i="38"/>
  <c r="H69" i="37"/>
  <c r="P69" i="37"/>
  <c r="GW23" i="37"/>
  <c r="I70" i="37"/>
  <c r="Q70" i="37"/>
  <c r="GW24" i="37"/>
  <c r="HE24" i="37"/>
  <c r="GX25" i="37"/>
  <c r="O72" i="37"/>
  <c r="GY26" i="37"/>
  <c r="G27" i="37"/>
  <c r="CS27" i="37"/>
  <c r="P73" i="37"/>
  <c r="FF40" i="38"/>
  <c r="HS22" i="37"/>
  <c r="SJ22" i="38" s="1"/>
  <c r="SK22" i="38"/>
  <c r="DN44" i="37"/>
  <c r="FA38" i="38"/>
  <c r="FF38" i="38" s="1"/>
  <c r="F70" i="37"/>
  <c r="GY25" i="37"/>
  <c r="HG25" i="37"/>
  <c r="G26" i="37"/>
  <c r="G72" i="37" s="1"/>
  <c r="CK27" i="37"/>
  <c r="DK35" i="37"/>
  <c r="EX35" i="38" s="1"/>
  <c r="EY35" i="38"/>
  <c r="FF35" i="38" s="1"/>
  <c r="HA27" i="37"/>
  <c r="HI27" i="37"/>
  <c r="BA27" i="37"/>
  <c r="GV27" i="37"/>
  <c r="GT27" i="37" s="1"/>
  <c r="GZ27" i="37"/>
  <c r="HD27" i="37"/>
  <c r="CW26" i="37"/>
  <c r="G69" i="37"/>
  <c r="O69" i="37"/>
  <c r="GZ23" i="37"/>
  <c r="HH23" i="37"/>
  <c r="H70" i="37"/>
  <c r="P70" i="37"/>
  <c r="I71" i="37"/>
  <c r="Q71" i="37"/>
  <c r="AL27" i="37"/>
  <c r="G25" i="37"/>
  <c r="G71" i="37" s="1"/>
  <c r="CO26" i="37"/>
  <c r="GY27" i="37"/>
  <c r="HG27" i="37"/>
  <c r="AL23" i="37"/>
  <c r="GV24" i="37"/>
  <c r="HD24" i="37"/>
  <c r="M71" i="37"/>
  <c r="HH27" i="37"/>
  <c r="N70" i="37"/>
  <c r="HC27" i="37"/>
  <c r="HF25" i="37"/>
  <c r="F72" i="37"/>
  <c r="N72" i="37"/>
  <c r="GX26" i="37"/>
  <c r="HF26" i="37"/>
  <c r="F73" i="37"/>
  <c r="O73" i="37"/>
  <c r="HB27" i="37"/>
  <c r="HE23" i="37"/>
  <c r="E71" i="37"/>
  <c r="E72" i="37"/>
  <c r="M72" i="37"/>
  <c r="HB23" i="37"/>
  <c r="HJ23" i="37"/>
  <c r="J72" i="37"/>
  <c r="R72" i="37"/>
  <c r="F69" i="37"/>
  <c r="N69" i="37"/>
  <c r="CV23" i="37"/>
  <c r="CM23" i="37"/>
  <c r="CM24" i="37"/>
  <c r="CU24" i="37"/>
  <c r="CV26" i="37"/>
  <c r="IA22" i="37"/>
  <c r="L69" i="37"/>
  <c r="CK23" i="37"/>
  <c r="CS23" i="37"/>
  <c r="CM25" i="37"/>
  <c r="CU25" i="37"/>
  <c r="CL25" i="37"/>
  <c r="CT25" i="37"/>
  <c r="CL26" i="37"/>
  <c r="CT26" i="37"/>
  <c r="N73" i="37"/>
  <c r="CN23" i="37"/>
  <c r="K70" i="37"/>
  <c r="CK24" i="37"/>
  <c r="CS24" i="37"/>
  <c r="CK26" i="37"/>
  <c r="CS26" i="37"/>
  <c r="CU23" i="37"/>
  <c r="HY22" i="37"/>
  <c r="SP22" i="38" s="1"/>
  <c r="J70" i="37"/>
  <c r="R70" i="37"/>
  <c r="HB24" i="37"/>
  <c r="HJ24" i="37"/>
  <c r="K71" i="37"/>
  <c r="CR25" i="37"/>
  <c r="CR26" i="37"/>
  <c r="HU22" i="37"/>
  <c r="SL22" i="38" s="1"/>
  <c r="I69" i="37"/>
  <c r="Q69" i="37"/>
  <c r="CQ23" i="37"/>
  <c r="CY23" i="37"/>
  <c r="HA23" i="37"/>
  <c r="HI23" i="37"/>
  <c r="CP24" i="37"/>
  <c r="CX24" i="37"/>
  <c r="CQ25" i="37"/>
  <c r="CY25" i="37"/>
  <c r="CQ26" i="37"/>
  <c r="CY26" i="37"/>
  <c r="K73" i="37"/>
  <c r="CM27" i="37"/>
  <c r="CU27" i="37"/>
  <c r="GX27" i="37"/>
  <c r="HF27" i="37"/>
  <c r="CO24" i="37"/>
  <c r="CW24" i="37"/>
  <c r="CP25" i="37"/>
  <c r="CX25" i="37"/>
  <c r="CP26" i="37"/>
  <c r="CX26" i="37"/>
  <c r="CL27" i="37"/>
  <c r="CT27" i="37"/>
  <c r="GW27" i="37"/>
  <c r="HE27" i="37"/>
  <c r="DO44" i="37"/>
  <c r="GY24" i="37"/>
  <c r="HG24" i="37"/>
  <c r="P71" i="37"/>
  <c r="CO25" i="37"/>
  <c r="CW25" i="37"/>
  <c r="GZ26" i="37"/>
  <c r="HH26" i="37"/>
  <c r="I73" i="37"/>
  <c r="Q73" i="37"/>
  <c r="G73" i="37"/>
  <c r="CN27" i="37"/>
  <c r="CX23" i="37"/>
  <c r="CR27" i="37"/>
  <c r="CW23" i="37"/>
  <c r="GY23" i="37"/>
  <c r="HG23" i="37"/>
  <c r="CQ24" i="37"/>
  <c r="CY24" i="37"/>
  <c r="HA24" i="37"/>
  <c r="HI24" i="37"/>
  <c r="CK25" i="37"/>
  <c r="CS25" i="37"/>
  <c r="HC25" i="37"/>
  <c r="CM26" i="37"/>
  <c r="CU26" i="37"/>
  <c r="GW26" i="37"/>
  <c r="HE26" i="37"/>
  <c r="CQ27" i="37"/>
  <c r="GW25" i="37"/>
  <c r="CP23" i="37"/>
  <c r="CO23" i="37"/>
  <c r="GX23" i="37"/>
  <c r="HF23" i="37"/>
  <c r="GZ24" i="37"/>
  <c r="HH24" i="37"/>
  <c r="J71" i="37"/>
  <c r="R71" i="37"/>
  <c r="HB25" i="37"/>
  <c r="HJ25" i="37"/>
  <c r="L72" i="37"/>
  <c r="GV26" i="37"/>
  <c r="HD26" i="37"/>
  <c r="CP27" i="37"/>
  <c r="CX27" i="37"/>
  <c r="HE25" i="37"/>
  <c r="CR24" i="37"/>
  <c r="H73" i="37"/>
  <c r="E69" i="37"/>
  <c r="M69" i="37"/>
  <c r="G70" i="37"/>
  <c r="O70" i="37"/>
  <c r="HA25" i="37"/>
  <c r="HI25" i="37"/>
  <c r="K72" i="37"/>
  <c r="HC26" i="37"/>
  <c r="E73" i="37"/>
  <c r="M73" i="37"/>
  <c r="CO27" i="37"/>
  <c r="CW27" i="37"/>
  <c r="DO27" i="37"/>
  <c r="HW22" i="37"/>
  <c r="SN22" i="38" s="1"/>
  <c r="CL23" i="37"/>
  <c r="CT23" i="37"/>
  <c r="GV23" i="37"/>
  <c r="HD23" i="37"/>
  <c r="CN24" i="37"/>
  <c r="CV24" i="37"/>
  <c r="GX24" i="37"/>
  <c r="HF24" i="37"/>
  <c r="GZ25" i="37"/>
  <c r="HH25" i="37"/>
  <c r="HB26" i="37"/>
  <c r="HJ26" i="37"/>
  <c r="L73" i="37"/>
  <c r="CV27" i="37"/>
  <c r="HG26" i="37"/>
  <c r="K69" i="37"/>
  <c r="E70" i="37"/>
  <c r="M70" i="37"/>
  <c r="O71" i="37"/>
  <c r="I72" i="37"/>
  <c r="Q72" i="37"/>
  <c r="HA26" i="37"/>
  <c r="HI26" i="37"/>
  <c r="J69" i="37"/>
  <c r="R69" i="37"/>
  <c r="CR23" i="37"/>
  <c r="L70" i="37"/>
  <c r="CL24" i="37"/>
  <c r="CT24" i="37"/>
  <c r="F71" i="37"/>
  <c r="N71" i="37"/>
  <c r="CV25" i="37"/>
  <c r="P72" i="37"/>
  <c r="J73" i="37"/>
  <c r="R27" i="37"/>
  <c r="BS27" i="37"/>
  <c r="HP22" i="37"/>
  <c r="HN22" i="37"/>
  <c r="GS22" i="37"/>
  <c r="GQ22" i="37"/>
  <c r="GO22" i="37"/>
  <c r="GM22" i="37"/>
  <c r="GK22" i="37"/>
  <c r="GI22" i="37"/>
  <c r="GG22" i="37"/>
  <c r="GF22" i="37" s="1"/>
  <c r="GC22" i="37"/>
  <c r="GB22" i="37"/>
  <c r="GA22" i="37"/>
  <c r="FZ22" i="37"/>
  <c r="FY22" i="37"/>
  <c r="FX22" i="37"/>
  <c r="FW22" i="37"/>
  <c r="FV22" i="37"/>
  <c r="FU22" i="37"/>
  <c r="FT22" i="37"/>
  <c r="FS22" i="37"/>
  <c r="FR22" i="37"/>
  <c r="FQ22" i="37"/>
  <c r="FP22" i="37"/>
  <c r="FO22" i="37"/>
  <c r="FL22" i="37"/>
  <c r="FJ22" i="37"/>
  <c r="FH22" i="37"/>
  <c r="FF22" i="37"/>
  <c r="FD22" i="37"/>
  <c r="CN25" i="37" l="1"/>
  <c r="FG22" i="37"/>
  <c r="GJ22" i="37"/>
  <c r="GR22" i="37"/>
  <c r="HQ22" i="37"/>
  <c r="SH22" i="38" s="1"/>
  <c r="SG22" i="38"/>
  <c r="HM22" i="37"/>
  <c r="SD22" i="38" s="1"/>
  <c r="SE22" i="38"/>
  <c r="H71" i="37"/>
  <c r="CN26" i="37"/>
  <c r="FM22" i="37"/>
  <c r="GH22" i="37"/>
  <c r="H72" i="37"/>
  <c r="GN22" i="37"/>
  <c r="FE22" i="37"/>
  <c r="GL22" i="37"/>
  <c r="HO22" i="37"/>
  <c r="SF22" i="38" s="1"/>
  <c r="FK22" i="37"/>
  <c r="FI22" i="37"/>
  <c r="GP22" i="37"/>
  <c r="R73" i="37"/>
  <c r="CI27" i="37"/>
  <c r="FB22" i="37"/>
  <c r="FA22" i="37" s="1"/>
  <c r="EZ22" i="37"/>
  <c r="EY22" i="37" s="1"/>
  <c r="EV22" i="37"/>
  <c r="EU22" i="37"/>
  <c r="ET22" i="37"/>
  <c r="ES22" i="37"/>
  <c r="ER22" i="37"/>
  <c r="EQ22" i="37"/>
  <c r="EP22" i="37"/>
  <c r="EO22" i="37"/>
  <c r="EN22" i="37"/>
  <c r="EM22" i="37"/>
  <c r="EL22" i="37"/>
  <c r="EK22" i="37"/>
  <c r="EJ22" i="37"/>
  <c r="EI22" i="37"/>
  <c r="EH22" i="37"/>
  <c r="EE22" i="37"/>
  <c r="EF22" i="37" s="1"/>
  <c r="EC22" i="37"/>
  <c r="ED22" i="37" s="1"/>
  <c r="EA22" i="37"/>
  <c r="DY22" i="37"/>
  <c r="DW22" i="37"/>
  <c r="DU22" i="37"/>
  <c r="DS22" i="37"/>
  <c r="DR22" i="37" s="1"/>
  <c r="DN22" i="37"/>
  <c r="DL22" i="37"/>
  <c r="EY22" i="38" s="1"/>
  <c r="DJ22" i="37"/>
  <c r="DH22" i="37"/>
  <c r="EU22" i="38" s="1"/>
  <c r="DF22" i="37"/>
  <c r="ES22" i="38" s="1"/>
  <c r="DD22" i="37"/>
  <c r="EQ22" i="38" s="1"/>
  <c r="DB22" i="37"/>
  <c r="CH22" i="37"/>
  <c r="CF22" i="37"/>
  <c r="HG22" i="37" s="1"/>
  <c r="CD22" i="37"/>
  <c r="CB22" i="37"/>
  <c r="BZ22" i="37"/>
  <c r="BX22" i="37"/>
  <c r="BV22" i="37"/>
  <c r="BR22" i="37"/>
  <c r="BP22" i="37"/>
  <c r="BN22" i="37"/>
  <c r="BL22" i="37"/>
  <c r="BJ22" i="37"/>
  <c r="BH22" i="37"/>
  <c r="BF22" i="37"/>
  <c r="BE22" i="37" s="1"/>
  <c r="BC22" i="37"/>
  <c r="BB22" i="37"/>
  <c r="AZ22" i="37"/>
  <c r="AX22" i="37"/>
  <c r="AV22" i="37"/>
  <c r="AU22" i="37"/>
  <c r="AT22" i="37"/>
  <c r="AS22" i="37"/>
  <c r="AR22" i="37"/>
  <c r="AP22" i="37"/>
  <c r="AQ22" i="37" s="1"/>
  <c r="AO22" i="37"/>
  <c r="AM22" i="37"/>
  <c r="AL22" i="37"/>
  <c r="AK22" i="37"/>
  <c r="AJ22" i="37"/>
  <c r="AG22" i="37"/>
  <c r="AH22" i="37" s="1"/>
  <c r="AE22" i="37"/>
  <c r="AC22" i="37"/>
  <c r="AA22" i="37"/>
  <c r="Y22" i="37"/>
  <c r="W22" i="37"/>
  <c r="U22" i="37"/>
  <c r="T22" i="37" s="1"/>
  <c r="Q22" i="37"/>
  <c r="O22" i="37"/>
  <c r="M22" i="37"/>
  <c r="K22" i="37"/>
  <c r="I22" i="37"/>
  <c r="G22" i="37"/>
  <c r="E22" i="37"/>
  <c r="IA21" i="37"/>
  <c r="HZ21" i="37"/>
  <c r="SQ21" i="38" s="1"/>
  <c r="HY21" i="37"/>
  <c r="SP21" i="38" s="1"/>
  <c r="HX21" i="37"/>
  <c r="SO21" i="38" s="1"/>
  <c r="HW21" i="37"/>
  <c r="SN21" i="38" s="1"/>
  <c r="HV21" i="37"/>
  <c r="SM21" i="38" s="1"/>
  <c r="HU21" i="37"/>
  <c r="SL21" i="38" s="1"/>
  <c r="HT21" i="37"/>
  <c r="SK21" i="38" s="1"/>
  <c r="HS21" i="37"/>
  <c r="SJ21" i="38" s="1"/>
  <c r="HR21" i="37"/>
  <c r="SI21" i="38" s="1"/>
  <c r="HQ21" i="37"/>
  <c r="SH21" i="38" s="1"/>
  <c r="HP21" i="37"/>
  <c r="SG21" i="38" s="1"/>
  <c r="HO21" i="37"/>
  <c r="SF21" i="38" s="1"/>
  <c r="HN21" i="37"/>
  <c r="SE21" i="38" s="1"/>
  <c r="HM21" i="37"/>
  <c r="SD21" i="38" s="1"/>
  <c r="GT21" i="37"/>
  <c r="GS21" i="37"/>
  <c r="GR21" i="37"/>
  <c r="GQ21" i="37"/>
  <c r="GP21" i="37"/>
  <c r="GO21" i="37"/>
  <c r="GN21" i="37"/>
  <c r="GM21" i="37"/>
  <c r="GL21" i="37"/>
  <c r="GK21" i="37"/>
  <c r="GJ21" i="37"/>
  <c r="GI21" i="37"/>
  <c r="GH21" i="37"/>
  <c r="GG21" i="37"/>
  <c r="GF21" i="37"/>
  <c r="GC21" i="37"/>
  <c r="GB21" i="37"/>
  <c r="GA21" i="37"/>
  <c r="FZ21" i="37"/>
  <c r="FY21" i="37"/>
  <c r="FX21" i="37"/>
  <c r="FW21" i="37"/>
  <c r="FV21" i="37"/>
  <c r="FU21" i="37"/>
  <c r="FT21" i="37"/>
  <c r="FS21" i="37"/>
  <c r="FR21" i="37"/>
  <c r="FQ21" i="37"/>
  <c r="FP21" i="37"/>
  <c r="FO21" i="37"/>
  <c r="FM21" i="37"/>
  <c r="FL21" i="37"/>
  <c r="FK21" i="37"/>
  <c r="FJ21" i="37"/>
  <c r="FI21" i="37"/>
  <c r="FH21" i="37"/>
  <c r="FG21" i="37"/>
  <c r="FF21" i="37"/>
  <c r="FE21" i="37"/>
  <c r="FD21" i="37"/>
  <c r="FC21" i="37"/>
  <c r="FB21" i="37"/>
  <c r="FA21" i="37"/>
  <c r="EZ21" i="37"/>
  <c r="EY21" i="37"/>
  <c r="EV21" i="37"/>
  <c r="EU21" i="37"/>
  <c r="ET21" i="37"/>
  <c r="ES21" i="37"/>
  <c r="ER21" i="37"/>
  <c r="EQ21" i="37"/>
  <c r="EP21" i="37"/>
  <c r="EO21" i="37"/>
  <c r="EN21" i="37"/>
  <c r="EM21" i="37"/>
  <c r="EL21" i="37"/>
  <c r="EK21" i="37"/>
  <c r="EJ21" i="37"/>
  <c r="EI21" i="37"/>
  <c r="EH21" i="37"/>
  <c r="EF21" i="37"/>
  <c r="EE21" i="37"/>
  <c r="ED21" i="37"/>
  <c r="EC21" i="37"/>
  <c r="EB21" i="37"/>
  <c r="EA21" i="37"/>
  <c r="DZ21" i="37"/>
  <c r="DY21" i="37"/>
  <c r="DX21" i="37"/>
  <c r="DW21" i="37"/>
  <c r="DV21" i="37"/>
  <c r="DU21" i="37"/>
  <c r="DT21" i="37"/>
  <c r="DS21" i="37"/>
  <c r="DR21" i="37"/>
  <c r="DO21" i="37"/>
  <c r="DN21" i="37"/>
  <c r="FA21" i="38" s="1"/>
  <c r="DM21" i="37"/>
  <c r="EZ21" i="38" s="1"/>
  <c r="DL21" i="37"/>
  <c r="EY21" i="38" s="1"/>
  <c r="DK21" i="37"/>
  <c r="EX21" i="38" s="1"/>
  <c r="DJ21" i="37"/>
  <c r="EW21" i="38" s="1"/>
  <c r="DI21" i="37"/>
  <c r="EV21" i="38" s="1"/>
  <c r="DH21" i="37"/>
  <c r="EU21" i="38" s="1"/>
  <c r="DG21" i="37"/>
  <c r="ET21" i="38" s="1"/>
  <c r="DF21" i="37"/>
  <c r="ES21" i="38" s="1"/>
  <c r="DE21" i="37"/>
  <c r="ER21" i="38" s="1"/>
  <c r="DD21" i="37"/>
  <c r="EQ21" i="38" s="1"/>
  <c r="DC21" i="37"/>
  <c r="EP21" i="38" s="1"/>
  <c r="DB21" i="37"/>
  <c r="EO21" i="38" s="1"/>
  <c r="DA21" i="37"/>
  <c r="EN21" i="38" s="1"/>
  <c r="CI21" i="37"/>
  <c r="CH21" i="37"/>
  <c r="CG21" i="37"/>
  <c r="CF21" i="37"/>
  <c r="CE21" i="37"/>
  <c r="CD21" i="37"/>
  <c r="CC21" i="37"/>
  <c r="CB21" i="37"/>
  <c r="CA21" i="37"/>
  <c r="BZ21" i="37"/>
  <c r="BY21" i="37"/>
  <c r="BX21" i="37"/>
  <c r="BW21" i="37"/>
  <c r="BV21" i="37"/>
  <c r="BU21" i="37"/>
  <c r="BS21" i="37"/>
  <c r="BR21" i="37"/>
  <c r="BQ21" i="37"/>
  <c r="BP21" i="37"/>
  <c r="BO21" i="37"/>
  <c r="BN21" i="37"/>
  <c r="BM21" i="37"/>
  <c r="BL21" i="37"/>
  <c r="BK21" i="37"/>
  <c r="BJ21" i="37"/>
  <c r="BI21" i="37"/>
  <c r="BH21" i="37"/>
  <c r="BG21" i="37"/>
  <c r="BF21" i="37"/>
  <c r="BE21" i="37"/>
  <c r="BC21" i="37"/>
  <c r="BB21" i="37"/>
  <c r="BA21" i="37"/>
  <c r="AZ21" i="37"/>
  <c r="AY21" i="37"/>
  <c r="AX21" i="37"/>
  <c r="AW21" i="37"/>
  <c r="AV21" i="37"/>
  <c r="AU21" i="37"/>
  <c r="AT21" i="37"/>
  <c r="AS21" i="37"/>
  <c r="AR21" i="37"/>
  <c r="AQ21" i="37"/>
  <c r="AP21" i="37"/>
  <c r="AO21" i="37"/>
  <c r="AM21" i="37"/>
  <c r="AL21" i="37"/>
  <c r="AK21" i="37"/>
  <c r="AJ21" i="37"/>
  <c r="AH21" i="37"/>
  <c r="AG21" i="37"/>
  <c r="AF21" i="37"/>
  <c r="AE21" i="37"/>
  <c r="AD21" i="37"/>
  <c r="AC21" i="37"/>
  <c r="AB21" i="37"/>
  <c r="AA21" i="37"/>
  <c r="Y21" i="37"/>
  <c r="X21" i="37"/>
  <c r="W21" i="37"/>
  <c r="V21" i="37"/>
  <c r="U21" i="37"/>
  <c r="T21" i="37"/>
  <c r="R21" i="37"/>
  <c r="Q21" i="37"/>
  <c r="P21" i="37"/>
  <c r="O21" i="37"/>
  <c r="N21" i="37"/>
  <c r="M21" i="37"/>
  <c r="L21" i="37"/>
  <c r="K21" i="37"/>
  <c r="J21" i="37"/>
  <c r="I21" i="37"/>
  <c r="H21" i="37"/>
  <c r="G21" i="37"/>
  <c r="F21" i="37"/>
  <c r="E21" i="37"/>
  <c r="D21" i="37"/>
  <c r="IA20" i="37"/>
  <c r="HZ20" i="37"/>
  <c r="SQ20" i="38" s="1"/>
  <c r="HY20" i="37"/>
  <c r="SP20" i="38" s="1"/>
  <c r="HX20" i="37"/>
  <c r="SO20" i="38" s="1"/>
  <c r="HW20" i="37"/>
  <c r="SN20" i="38" s="1"/>
  <c r="HV20" i="37"/>
  <c r="SM20" i="38" s="1"/>
  <c r="HU20" i="37"/>
  <c r="SL20" i="38" s="1"/>
  <c r="HT20" i="37"/>
  <c r="SK20" i="38" s="1"/>
  <c r="HS20" i="37"/>
  <c r="SJ20" i="38" s="1"/>
  <c r="HR20" i="37"/>
  <c r="SI20" i="38" s="1"/>
  <c r="HQ20" i="37"/>
  <c r="SH20" i="38" s="1"/>
  <c r="HP20" i="37"/>
  <c r="SG20" i="38" s="1"/>
  <c r="HO20" i="37"/>
  <c r="SF20" i="38" s="1"/>
  <c r="HN20" i="37"/>
  <c r="SE20" i="38" s="1"/>
  <c r="HM20" i="37"/>
  <c r="SD20" i="38" s="1"/>
  <c r="GT20" i="37"/>
  <c r="GS20" i="37"/>
  <c r="GR20" i="37"/>
  <c r="GQ20" i="37"/>
  <c r="GP20" i="37"/>
  <c r="GO20" i="37"/>
  <c r="GN20" i="37"/>
  <c r="GM20" i="37"/>
  <c r="GL20" i="37"/>
  <c r="GK20" i="37"/>
  <c r="GJ20" i="37"/>
  <c r="GI20" i="37"/>
  <c r="GH20" i="37"/>
  <c r="GG20" i="37"/>
  <c r="GF20" i="37"/>
  <c r="GC20" i="37"/>
  <c r="GB20" i="37"/>
  <c r="GA20" i="37"/>
  <c r="FZ20" i="37"/>
  <c r="FY20" i="37"/>
  <c r="FX20" i="37"/>
  <c r="FW20" i="37"/>
  <c r="FV20" i="37"/>
  <c r="FU20" i="37"/>
  <c r="FT20" i="37"/>
  <c r="FS20" i="37"/>
  <c r="FR20" i="37"/>
  <c r="FQ20" i="37"/>
  <c r="FP20" i="37"/>
  <c r="FO20" i="37"/>
  <c r="FM20" i="37"/>
  <c r="FL20" i="37"/>
  <c r="FK20" i="37"/>
  <c r="FJ20" i="37"/>
  <c r="FI20" i="37"/>
  <c r="FH20" i="37"/>
  <c r="FG20" i="37"/>
  <c r="FF20" i="37"/>
  <c r="FE20" i="37"/>
  <c r="FD20" i="37"/>
  <c r="FC20" i="37"/>
  <c r="FB20" i="37"/>
  <c r="FA20" i="37"/>
  <c r="EZ20" i="37"/>
  <c r="EY20" i="37"/>
  <c r="EV20" i="37"/>
  <c r="EU20" i="37"/>
  <c r="ET20" i="37"/>
  <c r="ES20" i="37"/>
  <c r="ER20" i="37"/>
  <c r="EQ20" i="37"/>
  <c r="EP20" i="37"/>
  <c r="EO20" i="37"/>
  <c r="EN20" i="37"/>
  <c r="EM20" i="37"/>
  <c r="EL20" i="37"/>
  <c r="EK20" i="37"/>
  <c r="EJ20" i="37"/>
  <c r="EI20" i="37"/>
  <c r="EH20" i="37"/>
  <c r="EF20" i="37"/>
  <c r="EE20" i="37"/>
  <c r="ED20" i="37"/>
  <c r="EC20" i="37"/>
  <c r="EB20" i="37"/>
  <c r="EA20" i="37"/>
  <c r="DZ20" i="37"/>
  <c r="DY20" i="37"/>
  <c r="DX20" i="37"/>
  <c r="DW20" i="37"/>
  <c r="DV20" i="37"/>
  <c r="DU20" i="37"/>
  <c r="DT20" i="37"/>
  <c r="DS20" i="37"/>
  <c r="DR20" i="37"/>
  <c r="DO20" i="37"/>
  <c r="DN20" i="37"/>
  <c r="FA20" i="38" s="1"/>
  <c r="DM20" i="37"/>
  <c r="EZ20" i="38" s="1"/>
  <c r="DL20" i="37"/>
  <c r="EY20" i="38" s="1"/>
  <c r="DK20" i="37"/>
  <c r="EX20" i="38" s="1"/>
  <c r="DJ20" i="37"/>
  <c r="EW20" i="38" s="1"/>
  <c r="DI20" i="37"/>
  <c r="EV20" i="38" s="1"/>
  <c r="DH20" i="37"/>
  <c r="EU20" i="38" s="1"/>
  <c r="DG20" i="37"/>
  <c r="ET20" i="38" s="1"/>
  <c r="DF20" i="37"/>
  <c r="ES20" i="38" s="1"/>
  <c r="CI20" i="37"/>
  <c r="CH20" i="37"/>
  <c r="CG20" i="37"/>
  <c r="CF20" i="37"/>
  <c r="CE20" i="37"/>
  <c r="CD20" i="37"/>
  <c r="CC20" i="37"/>
  <c r="CB20" i="37"/>
  <c r="CA20" i="37"/>
  <c r="BZ20" i="37"/>
  <c r="BY20" i="37"/>
  <c r="DE20" i="37" s="1"/>
  <c r="ER20" i="38" s="1"/>
  <c r="BX20" i="37"/>
  <c r="DD20" i="37" s="1"/>
  <c r="EQ20" i="38" s="1"/>
  <c r="BW20" i="37"/>
  <c r="DC20" i="37" s="1"/>
  <c r="EP20" i="38" s="1"/>
  <c r="BV20" i="37"/>
  <c r="DB20" i="37" s="1"/>
  <c r="EO20" i="38" s="1"/>
  <c r="BU20" i="37"/>
  <c r="DA20" i="37" s="1"/>
  <c r="EN20" i="38" s="1"/>
  <c r="BS20" i="37"/>
  <c r="BR20" i="37"/>
  <c r="BQ20" i="37"/>
  <c r="BP20" i="37"/>
  <c r="BO20" i="37"/>
  <c r="BN20" i="37"/>
  <c r="BM20" i="37"/>
  <c r="BL20" i="37"/>
  <c r="BK20" i="37"/>
  <c r="BJ20" i="37"/>
  <c r="BC20" i="37"/>
  <c r="BB20" i="37"/>
  <c r="BA20" i="37"/>
  <c r="AZ20" i="37"/>
  <c r="AY20" i="37"/>
  <c r="AX20" i="37"/>
  <c r="AW20" i="37"/>
  <c r="AV20" i="37"/>
  <c r="AU20" i="37"/>
  <c r="AT20" i="37"/>
  <c r="AS20" i="37"/>
  <c r="AR20" i="37"/>
  <c r="AQ20" i="37"/>
  <c r="AP20" i="37"/>
  <c r="AO20" i="37"/>
  <c r="AM20" i="37"/>
  <c r="AL20" i="37"/>
  <c r="AK20" i="37"/>
  <c r="AJ20" i="37"/>
  <c r="AH20" i="37"/>
  <c r="AG20" i="37"/>
  <c r="AF20" i="37"/>
  <c r="AE20" i="37"/>
  <c r="AD20" i="37"/>
  <c r="AC20" i="37"/>
  <c r="AB20" i="37"/>
  <c r="AA20" i="37"/>
  <c r="Z20" i="37"/>
  <c r="Y20" i="37"/>
  <c r="X20" i="37"/>
  <c r="BI20" i="37" s="1"/>
  <c r="W20" i="37"/>
  <c r="BH20" i="37" s="1"/>
  <c r="V20" i="37"/>
  <c r="BG20" i="37" s="1"/>
  <c r="U20" i="37"/>
  <c r="BF20" i="37" s="1"/>
  <c r="T20" i="37"/>
  <c r="BE20" i="37" s="1"/>
  <c r="R20" i="37"/>
  <c r="Q20" i="37"/>
  <c r="P20" i="37"/>
  <c r="O20" i="37"/>
  <c r="N20" i="37"/>
  <c r="M20" i="37"/>
  <c r="L20" i="37"/>
  <c r="K20" i="37"/>
  <c r="J20" i="37"/>
  <c r="I20" i="37"/>
  <c r="H20" i="37"/>
  <c r="G20" i="37"/>
  <c r="F20" i="37"/>
  <c r="E20" i="37"/>
  <c r="D20" i="37"/>
  <c r="IA19" i="37"/>
  <c r="HZ19" i="37"/>
  <c r="SQ19" i="38" s="1"/>
  <c r="HY19" i="37"/>
  <c r="SP19" i="38" s="1"/>
  <c r="HX19" i="37"/>
  <c r="SO19" i="38" s="1"/>
  <c r="HW19" i="37"/>
  <c r="SN19" i="38" s="1"/>
  <c r="HV19" i="37"/>
  <c r="SM19" i="38" s="1"/>
  <c r="HU19" i="37"/>
  <c r="SL19" i="38" s="1"/>
  <c r="HT19" i="37"/>
  <c r="SK19" i="38" s="1"/>
  <c r="HS19" i="37"/>
  <c r="SJ19" i="38" s="1"/>
  <c r="HR19" i="37"/>
  <c r="SI19" i="38" s="1"/>
  <c r="HQ19" i="37"/>
  <c r="SH19" i="38" s="1"/>
  <c r="HP19" i="37"/>
  <c r="SG19" i="38" s="1"/>
  <c r="HO19" i="37"/>
  <c r="SF19" i="38" s="1"/>
  <c r="HN19" i="37"/>
  <c r="SE19" i="38" s="1"/>
  <c r="HM19" i="37"/>
  <c r="SD19" i="38" s="1"/>
  <c r="GT19" i="37"/>
  <c r="GS19" i="37"/>
  <c r="GR19" i="37"/>
  <c r="GQ19" i="37"/>
  <c r="GP19" i="37"/>
  <c r="GO19" i="37"/>
  <c r="GN19" i="37"/>
  <c r="GM19" i="37"/>
  <c r="GL19" i="37"/>
  <c r="GK19" i="37"/>
  <c r="GJ19" i="37"/>
  <c r="GI19" i="37"/>
  <c r="GH19" i="37"/>
  <c r="GG19" i="37"/>
  <c r="GF19" i="37"/>
  <c r="GC19" i="37"/>
  <c r="GB19" i="37"/>
  <c r="GA19" i="37"/>
  <c r="FZ19" i="37"/>
  <c r="FY19" i="37"/>
  <c r="FX19" i="37"/>
  <c r="FW19" i="37"/>
  <c r="FV19" i="37"/>
  <c r="FU19" i="37"/>
  <c r="FT19" i="37"/>
  <c r="FS19" i="37"/>
  <c r="FR19" i="37"/>
  <c r="FQ19" i="37"/>
  <c r="FP19" i="37"/>
  <c r="FO19" i="37"/>
  <c r="FM19" i="37"/>
  <c r="FL19" i="37"/>
  <c r="FK19" i="37"/>
  <c r="FJ19" i="37"/>
  <c r="FI19" i="37"/>
  <c r="FH19" i="37"/>
  <c r="FG19" i="37"/>
  <c r="FF19" i="37"/>
  <c r="FE19" i="37"/>
  <c r="FD19" i="37"/>
  <c r="FC19" i="37"/>
  <c r="FB19" i="37"/>
  <c r="FA19" i="37"/>
  <c r="EZ19" i="37"/>
  <c r="EY19" i="37"/>
  <c r="EV19" i="37"/>
  <c r="EU19" i="37"/>
  <c r="ET19" i="37"/>
  <c r="ES19" i="37"/>
  <c r="ER19" i="37"/>
  <c r="EQ19" i="37"/>
  <c r="EP19" i="37"/>
  <c r="EO19" i="37"/>
  <c r="EN19" i="37"/>
  <c r="EM19" i="37"/>
  <c r="EL19" i="37"/>
  <c r="EK19" i="37"/>
  <c r="EJ19" i="37"/>
  <c r="EI19" i="37"/>
  <c r="EH19" i="37"/>
  <c r="EF19" i="37"/>
  <c r="EE19" i="37"/>
  <c r="ED19" i="37"/>
  <c r="EC19" i="37"/>
  <c r="EB19" i="37"/>
  <c r="EA19" i="37"/>
  <c r="DZ19" i="37"/>
  <c r="DY19" i="37"/>
  <c r="DX19" i="37"/>
  <c r="DW19" i="37"/>
  <c r="DV19" i="37"/>
  <c r="DU19" i="37"/>
  <c r="DT19" i="37"/>
  <c r="DS19" i="37"/>
  <c r="DR19" i="37"/>
  <c r="DO19" i="37"/>
  <c r="DN19" i="37"/>
  <c r="FA19" i="38" s="1"/>
  <c r="DM19" i="37"/>
  <c r="EZ19" i="38" s="1"/>
  <c r="DL19" i="37"/>
  <c r="EY19" i="38" s="1"/>
  <c r="DK19" i="37"/>
  <c r="EX19" i="38" s="1"/>
  <c r="DJ19" i="37"/>
  <c r="EW19" i="38" s="1"/>
  <c r="DI19" i="37"/>
  <c r="EV19" i="38" s="1"/>
  <c r="DH19" i="37"/>
  <c r="EU19" i="38" s="1"/>
  <c r="DG19" i="37"/>
  <c r="ET19" i="38" s="1"/>
  <c r="DF19" i="37"/>
  <c r="ES19" i="38" s="1"/>
  <c r="DE19" i="37"/>
  <c r="ER19" i="38" s="1"/>
  <c r="DD19" i="37"/>
  <c r="EQ19" i="38" s="1"/>
  <c r="DC19" i="37"/>
  <c r="EP19" i="38" s="1"/>
  <c r="DB19" i="37"/>
  <c r="EO19" i="38" s="1"/>
  <c r="DA19" i="37"/>
  <c r="EN19" i="38" s="1"/>
  <c r="CI19" i="37"/>
  <c r="CH19" i="37"/>
  <c r="CG19" i="37"/>
  <c r="CF19" i="37"/>
  <c r="CE19" i="37"/>
  <c r="CD19" i="37"/>
  <c r="CC19" i="37"/>
  <c r="CB19" i="37"/>
  <c r="CA19" i="37"/>
  <c r="BZ19" i="37"/>
  <c r="BY19" i="37"/>
  <c r="BX19" i="37"/>
  <c r="BW19" i="37"/>
  <c r="BV19" i="37"/>
  <c r="BU19" i="37"/>
  <c r="BS19" i="37"/>
  <c r="BR19" i="37"/>
  <c r="BQ19" i="37"/>
  <c r="BP19" i="37"/>
  <c r="BO19" i="37"/>
  <c r="BN19" i="37"/>
  <c r="BM19" i="37"/>
  <c r="BL19" i="37"/>
  <c r="BK19" i="37"/>
  <c r="BJ19" i="37"/>
  <c r="BI19" i="37"/>
  <c r="BH19" i="37"/>
  <c r="BG19" i="37"/>
  <c r="BF19" i="37"/>
  <c r="BE19" i="37"/>
  <c r="BC19" i="37"/>
  <c r="BB19" i="37"/>
  <c r="BA19" i="37"/>
  <c r="AZ19" i="37"/>
  <c r="AY19" i="37"/>
  <c r="AX19" i="37"/>
  <c r="AW19" i="37"/>
  <c r="AV19" i="37"/>
  <c r="AU19" i="37"/>
  <c r="AT19" i="37"/>
  <c r="AS19" i="37"/>
  <c r="AR19" i="37"/>
  <c r="AQ19" i="37"/>
  <c r="AP19" i="37"/>
  <c r="AO19" i="37"/>
  <c r="AM19" i="37"/>
  <c r="AL19" i="37"/>
  <c r="AK19" i="37"/>
  <c r="AJ19" i="37"/>
  <c r="AH19" i="37"/>
  <c r="AG19" i="37"/>
  <c r="AF19" i="37"/>
  <c r="AE19" i="37"/>
  <c r="AD19" i="37"/>
  <c r="AC19" i="37"/>
  <c r="AB19" i="37"/>
  <c r="AA19" i="37"/>
  <c r="Z19" i="37"/>
  <c r="Y19" i="37"/>
  <c r="X19" i="37"/>
  <c r="W19" i="37"/>
  <c r="V19" i="37"/>
  <c r="U19" i="37"/>
  <c r="T19" i="37"/>
  <c r="R19" i="37"/>
  <c r="Q19" i="37"/>
  <c r="P19" i="37"/>
  <c r="O19" i="37"/>
  <c r="N19" i="37"/>
  <c r="M19" i="37"/>
  <c r="L19" i="37"/>
  <c r="K19" i="37"/>
  <c r="J19" i="37"/>
  <c r="I19" i="37"/>
  <c r="H19" i="37"/>
  <c r="G19" i="37"/>
  <c r="F19" i="37"/>
  <c r="E19" i="37"/>
  <c r="D19" i="37"/>
  <c r="IA18" i="37"/>
  <c r="HZ18" i="37"/>
  <c r="SQ18" i="38" s="1"/>
  <c r="HY18" i="37"/>
  <c r="SP18" i="38" s="1"/>
  <c r="HX18" i="37"/>
  <c r="SO18" i="38" s="1"/>
  <c r="HW18" i="37"/>
  <c r="SN18" i="38" s="1"/>
  <c r="HV18" i="37"/>
  <c r="SM18" i="38" s="1"/>
  <c r="HU18" i="37"/>
  <c r="SL18" i="38" s="1"/>
  <c r="HT18" i="37"/>
  <c r="SK18" i="38" s="1"/>
  <c r="HS18" i="37"/>
  <c r="SJ18" i="38" s="1"/>
  <c r="HR18" i="37"/>
  <c r="SI18" i="38" s="1"/>
  <c r="HQ18" i="37"/>
  <c r="SH18" i="38" s="1"/>
  <c r="HP18" i="37"/>
  <c r="SG18" i="38" s="1"/>
  <c r="HO18" i="37"/>
  <c r="SF18" i="38" s="1"/>
  <c r="HN18" i="37"/>
  <c r="SE18" i="38" s="1"/>
  <c r="HM18" i="37"/>
  <c r="SD18" i="38" s="1"/>
  <c r="GT18" i="37"/>
  <c r="GS18" i="37"/>
  <c r="GR18" i="37"/>
  <c r="GQ18" i="37"/>
  <c r="GP18" i="37"/>
  <c r="GO18" i="37"/>
  <c r="GN18" i="37"/>
  <c r="GM18" i="37"/>
  <c r="GL18" i="37"/>
  <c r="GK18" i="37"/>
  <c r="GJ18" i="37"/>
  <c r="GI18" i="37"/>
  <c r="GH18" i="37"/>
  <c r="GG18" i="37"/>
  <c r="GF18" i="37"/>
  <c r="GC18" i="37"/>
  <c r="GB18" i="37"/>
  <c r="GA18" i="37"/>
  <c r="FZ18" i="37"/>
  <c r="FY18" i="37"/>
  <c r="FX18" i="37"/>
  <c r="FW18" i="37"/>
  <c r="FV18" i="37"/>
  <c r="FU18" i="37"/>
  <c r="FT18" i="37"/>
  <c r="FS18" i="37"/>
  <c r="FR18" i="37"/>
  <c r="FQ18" i="37"/>
  <c r="FP18" i="37"/>
  <c r="FO18" i="37"/>
  <c r="FM18" i="37"/>
  <c r="FL18" i="37"/>
  <c r="FK18" i="37"/>
  <c r="FJ18" i="37"/>
  <c r="FI18" i="37"/>
  <c r="FH18" i="37"/>
  <c r="FG18" i="37"/>
  <c r="FF18" i="37"/>
  <c r="FE18" i="37"/>
  <c r="FD18" i="37"/>
  <c r="FC18" i="37"/>
  <c r="FB18" i="37"/>
  <c r="FA18" i="37"/>
  <c r="EZ18" i="37"/>
  <c r="EY18" i="37"/>
  <c r="EV18" i="37"/>
  <c r="EU18" i="37"/>
  <c r="ET18" i="37"/>
  <c r="ES18" i="37"/>
  <c r="ER18" i="37"/>
  <c r="EQ18" i="37"/>
  <c r="EP18" i="37"/>
  <c r="EO18" i="37"/>
  <c r="EN18" i="37"/>
  <c r="EM18" i="37"/>
  <c r="EL18" i="37"/>
  <c r="EK18" i="37"/>
  <c r="EJ18" i="37"/>
  <c r="EI18" i="37"/>
  <c r="EH18" i="37"/>
  <c r="EF18" i="37"/>
  <c r="EE18" i="37"/>
  <c r="ED18" i="37"/>
  <c r="EC18" i="37"/>
  <c r="EB18" i="37"/>
  <c r="EA18" i="37"/>
  <c r="DZ18" i="37"/>
  <c r="DY18" i="37"/>
  <c r="DX18" i="37"/>
  <c r="DW18" i="37"/>
  <c r="DV18" i="37"/>
  <c r="DU18" i="37"/>
  <c r="DT18" i="37"/>
  <c r="DS18" i="37"/>
  <c r="DR18" i="37"/>
  <c r="DO18" i="37"/>
  <c r="DN18" i="37"/>
  <c r="FA18" i="38" s="1"/>
  <c r="DM18" i="37"/>
  <c r="EZ18" i="38" s="1"/>
  <c r="DL18" i="37"/>
  <c r="EY18" i="38" s="1"/>
  <c r="DK18" i="37"/>
  <c r="EX18" i="38" s="1"/>
  <c r="DJ18" i="37"/>
  <c r="EW18" i="38" s="1"/>
  <c r="DI18" i="37"/>
  <c r="EV18" i="38" s="1"/>
  <c r="DH18" i="37"/>
  <c r="EU18" i="38" s="1"/>
  <c r="DG18" i="37"/>
  <c r="ET18" i="38" s="1"/>
  <c r="DF18" i="37"/>
  <c r="ES18" i="38" s="1"/>
  <c r="DE18" i="37"/>
  <c r="ER18" i="38" s="1"/>
  <c r="DD18" i="37"/>
  <c r="EQ18" i="38" s="1"/>
  <c r="DC18" i="37"/>
  <c r="EP18" i="38" s="1"/>
  <c r="DB18" i="37"/>
  <c r="EO18" i="38" s="1"/>
  <c r="DA18" i="37"/>
  <c r="EN18" i="38" s="1"/>
  <c r="CI18" i="37"/>
  <c r="CH18" i="37"/>
  <c r="CG18" i="37"/>
  <c r="CF18" i="37"/>
  <c r="CE18" i="37"/>
  <c r="CD18" i="37"/>
  <c r="CC18" i="37"/>
  <c r="CB18" i="37"/>
  <c r="CA18" i="37"/>
  <c r="BZ18" i="37"/>
  <c r="BY18" i="37"/>
  <c r="BX18" i="37"/>
  <c r="BW18" i="37"/>
  <c r="BV18" i="37"/>
  <c r="BU18" i="37"/>
  <c r="BS18" i="37"/>
  <c r="BR18" i="37"/>
  <c r="BQ18" i="37"/>
  <c r="BP18" i="37"/>
  <c r="BO18" i="37"/>
  <c r="BN18" i="37"/>
  <c r="BM18" i="37"/>
  <c r="BL18" i="37"/>
  <c r="BK18" i="37"/>
  <c r="BJ18" i="37"/>
  <c r="BI18" i="37"/>
  <c r="BH18" i="37"/>
  <c r="BG18" i="37"/>
  <c r="BF18" i="37"/>
  <c r="BE18" i="37"/>
  <c r="BC18" i="37"/>
  <c r="BB18" i="37"/>
  <c r="BA18" i="37"/>
  <c r="AZ18" i="37"/>
  <c r="AY18" i="37"/>
  <c r="AX18" i="37"/>
  <c r="AW18" i="37"/>
  <c r="AV18" i="37"/>
  <c r="AU18" i="37"/>
  <c r="AT18" i="37"/>
  <c r="AS18" i="37"/>
  <c r="AR18" i="37"/>
  <c r="AQ18" i="37"/>
  <c r="AP18" i="37"/>
  <c r="AO18" i="37"/>
  <c r="AM18" i="37"/>
  <c r="AL18" i="37"/>
  <c r="AK18" i="37"/>
  <c r="AJ18" i="37"/>
  <c r="AH18" i="37"/>
  <c r="AG18" i="37"/>
  <c r="AF18" i="37"/>
  <c r="AE18" i="37"/>
  <c r="AD18" i="37"/>
  <c r="AC18" i="37"/>
  <c r="AB18" i="37"/>
  <c r="AA18" i="37"/>
  <c r="Y18" i="37"/>
  <c r="X18" i="37"/>
  <c r="W18" i="37"/>
  <c r="V18" i="37"/>
  <c r="U18" i="37"/>
  <c r="T18" i="37"/>
  <c r="R18" i="37"/>
  <c r="Q18" i="37"/>
  <c r="P18" i="37"/>
  <c r="O18" i="37"/>
  <c r="N18" i="37"/>
  <c r="M18" i="37"/>
  <c r="L18" i="37"/>
  <c r="K18" i="37"/>
  <c r="J18" i="37"/>
  <c r="I18" i="37"/>
  <c r="H18" i="37"/>
  <c r="G18" i="37"/>
  <c r="F18" i="37"/>
  <c r="E18" i="37"/>
  <c r="D18" i="37"/>
  <c r="IA17" i="37"/>
  <c r="HZ17" i="37"/>
  <c r="SQ17" i="38" s="1"/>
  <c r="HY17" i="37"/>
  <c r="SP17" i="38" s="1"/>
  <c r="HX17" i="37"/>
  <c r="SO17" i="38" s="1"/>
  <c r="HW17" i="37"/>
  <c r="SN17" i="38" s="1"/>
  <c r="HV17" i="37"/>
  <c r="SM17" i="38" s="1"/>
  <c r="HU17" i="37"/>
  <c r="SL17" i="38" s="1"/>
  <c r="HT17" i="37"/>
  <c r="SK17" i="38" s="1"/>
  <c r="HS17" i="37"/>
  <c r="SJ17" i="38" s="1"/>
  <c r="HR17" i="37"/>
  <c r="SI17" i="38" s="1"/>
  <c r="HQ17" i="37"/>
  <c r="SH17" i="38" s="1"/>
  <c r="HP17" i="37"/>
  <c r="SG17" i="38" s="1"/>
  <c r="HO17" i="37"/>
  <c r="SF17" i="38" s="1"/>
  <c r="HN17" i="37"/>
  <c r="SE17" i="38" s="1"/>
  <c r="HM17" i="37"/>
  <c r="SD17" i="38" s="1"/>
  <c r="GT17" i="37"/>
  <c r="GS17" i="37"/>
  <c r="GR17" i="37"/>
  <c r="GQ17" i="37"/>
  <c r="GP17" i="37"/>
  <c r="GO17" i="37"/>
  <c r="GN17" i="37"/>
  <c r="GM17" i="37"/>
  <c r="GL17" i="37"/>
  <c r="GK17" i="37"/>
  <c r="GJ17" i="37"/>
  <c r="GI17" i="37"/>
  <c r="GH17" i="37"/>
  <c r="GG17" i="37"/>
  <c r="GF17" i="37"/>
  <c r="GC17" i="37"/>
  <c r="GB17" i="37"/>
  <c r="GA17" i="37"/>
  <c r="FZ17" i="37"/>
  <c r="FY17" i="37"/>
  <c r="FX17" i="37"/>
  <c r="FW17" i="37"/>
  <c r="FV17" i="37"/>
  <c r="FU17" i="37"/>
  <c r="FT17" i="37"/>
  <c r="FS17" i="37"/>
  <c r="FR17" i="37"/>
  <c r="FQ17" i="37"/>
  <c r="FP17" i="37"/>
  <c r="FO17" i="37"/>
  <c r="FM17" i="37"/>
  <c r="FL17" i="37"/>
  <c r="FK17" i="37"/>
  <c r="FJ17" i="37"/>
  <c r="FI17" i="37"/>
  <c r="FH17" i="37"/>
  <c r="FG17" i="37"/>
  <c r="FF17" i="37"/>
  <c r="FE17" i="37"/>
  <c r="FD17" i="37"/>
  <c r="FC17" i="37"/>
  <c r="FB17" i="37"/>
  <c r="FA17" i="37"/>
  <c r="EZ17" i="37"/>
  <c r="EY17" i="37"/>
  <c r="EV17" i="37"/>
  <c r="EU17" i="37"/>
  <c r="ET17" i="37"/>
  <c r="ES17" i="37"/>
  <c r="ER17" i="37"/>
  <c r="EQ17" i="37"/>
  <c r="EP17" i="37"/>
  <c r="EO17" i="37"/>
  <c r="EN17" i="37"/>
  <c r="EM17" i="37"/>
  <c r="EL17" i="37"/>
  <c r="EK17" i="37"/>
  <c r="EJ17" i="37"/>
  <c r="EI17" i="37"/>
  <c r="EH17" i="37"/>
  <c r="EF17" i="37"/>
  <c r="EE17" i="37"/>
  <c r="ED17" i="37"/>
  <c r="EC17" i="37"/>
  <c r="EB17" i="37"/>
  <c r="EA17" i="37"/>
  <c r="DZ17" i="37"/>
  <c r="DY17" i="37"/>
  <c r="DX17" i="37"/>
  <c r="DW17" i="37"/>
  <c r="DV17" i="37"/>
  <c r="DU17" i="37"/>
  <c r="DT17" i="37"/>
  <c r="DS17" i="37"/>
  <c r="DR17" i="37"/>
  <c r="DO17" i="37"/>
  <c r="DN17" i="37"/>
  <c r="FA17" i="38" s="1"/>
  <c r="DM17" i="37"/>
  <c r="EZ17" i="38" s="1"/>
  <c r="DL17" i="37"/>
  <c r="EY17" i="38" s="1"/>
  <c r="DK17" i="37"/>
  <c r="EX17" i="38" s="1"/>
  <c r="DJ17" i="37"/>
  <c r="EW17" i="38" s="1"/>
  <c r="DI17" i="37"/>
  <c r="EV17" i="38" s="1"/>
  <c r="DH17" i="37"/>
  <c r="EU17" i="38" s="1"/>
  <c r="DG17" i="37"/>
  <c r="ET17" i="38" s="1"/>
  <c r="DF17" i="37"/>
  <c r="ES17" i="38" s="1"/>
  <c r="DE17" i="37"/>
  <c r="ER17" i="38" s="1"/>
  <c r="DD17" i="37"/>
  <c r="EQ17" i="38" s="1"/>
  <c r="DC17" i="37"/>
  <c r="EP17" i="38" s="1"/>
  <c r="DB17" i="37"/>
  <c r="EO17" i="38" s="1"/>
  <c r="DA17" i="37"/>
  <c r="EN17" i="38" s="1"/>
  <c r="CI17" i="37"/>
  <c r="CH17" i="37"/>
  <c r="CG17" i="37"/>
  <c r="CF17" i="37"/>
  <c r="CE17" i="37"/>
  <c r="CD17" i="37"/>
  <c r="CC17" i="37"/>
  <c r="CB17" i="37"/>
  <c r="CA17" i="37"/>
  <c r="BZ17" i="37"/>
  <c r="BY17" i="37"/>
  <c r="BX17" i="37"/>
  <c r="BW17" i="37"/>
  <c r="BV17" i="37"/>
  <c r="BU17" i="37"/>
  <c r="BS17" i="37"/>
  <c r="BR17" i="37"/>
  <c r="BQ17" i="37"/>
  <c r="BP17" i="37"/>
  <c r="BO17" i="37"/>
  <c r="BN17" i="37"/>
  <c r="BM17" i="37"/>
  <c r="BL17" i="37"/>
  <c r="BK17" i="37"/>
  <c r="BJ17" i="37"/>
  <c r="BI17" i="37"/>
  <c r="BH17" i="37"/>
  <c r="BG17" i="37"/>
  <c r="BF17" i="37"/>
  <c r="BE17" i="37"/>
  <c r="BC17" i="37"/>
  <c r="BB17" i="37"/>
  <c r="BA17" i="37"/>
  <c r="AZ17" i="37"/>
  <c r="AY17" i="37"/>
  <c r="AX17" i="37"/>
  <c r="AW17" i="37"/>
  <c r="AV17" i="37"/>
  <c r="AU17" i="37"/>
  <c r="AT17" i="37"/>
  <c r="AS17" i="37"/>
  <c r="AR17" i="37"/>
  <c r="AQ17" i="37"/>
  <c r="AP17" i="37"/>
  <c r="AO17" i="37"/>
  <c r="AM17" i="37"/>
  <c r="AL17" i="37"/>
  <c r="AK17" i="37"/>
  <c r="AJ17" i="37"/>
  <c r="AH17" i="37"/>
  <c r="AG17" i="37"/>
  <c r="AF17" i="37"/>
  <c r="AE17" i="37"/>
  <c r="AD17" i="37"/>
  <c r="AC17" i="37"/>
  <c r="AB17" i="37"/>
  <c r="AA17" i="37"/>
  <c r="Z17" i="37"/>
  <c r="Y17" i="37"/>
  <c r="X17" i="37"/>
  <c r="W17" i="37"/>
  <c r="V17" i="37"/>
  <c r="U17" i="37"/>
  <c r="T17" i="37"/>
  <c r="R17" i="37"/>
  <c r="Q17" i="37"/>
  <c r="P17" i="37"/>
  <c r="O17" i="37"/>
  <c r="N17" i="37"/>
  <c r="M17" i="37"/>
  <c r="L17" i="37"/>
  <c r="K17" i="37"/>
  <c r="J17" i="37"/>
  <c r="I17" i="37"/>
  <c r="H17" i="37"/>
  <c r="G17" i="37"/>
  <c r="F17" i="37"/>
  <c r="E17" i="37"/>
  <c r="D17" i="37"/>
  <c r="IA16" i="37"/>
  <c r="HZ16" i="37"/>
  <c r="SQ16" i="38" s="1"/>
  <c r="HY16" i="37"/>
  <c r="SP16" i="38" s="1"/>
  <c r="HX16" i="37"/>
  <c r="SO16" i="38" s="1"/>
  <c r="HW16" i="37"/>
  <c r="SN16" i="38" s="1"/>
  <c r="HV16" i="37"/>
  <c r="SM16" i="38" s="1"/>
  <c r="HU16" i="37"/>
  <c r="SL16" i="38" s="1"/>
  <c r="HT16" i="37"/>
  <c r="SK16" i="38" s="1"/>
  <c r="HS16" i="37"/>
  <c r="SJ16" i="38" s="1"/>
  <c r="HR16" i="37"/>
  <c r="SI16" i="38" s="1"/>
  <c r="HQ16" i="37"/>
  <c r="SH16" i="38" s="1"/>
  <c r="HP16" i="37"/>
  <c r="SG16" i="38" s="1"/>
  <c r="HO16" i="37"/>
  <c r="SF16" i="38" s="1"/>
  <c r="HN16" i="37"/>
  <c r="SE16" i="38" s="1"/>
  <c r="HM16" i="37"/>
  <c r="SD16" i="38" s="1"/>
  <c r="GT16" i="37"/>
  <c r="GS16" i="37"/>
  <c r="GR16" i="37"/>
  <c r="GQ16" i="37"/>
  <c r="GP16" i="37"/>
  <c r="GO16" i="37"/>
  <c r="GN16" i="37"/>
  <c r="GM16" i="37"/>
  <c r="GL16" i="37"/>
  <c r="GK16" i="37"/>
  <c r="GJ16" i="37"/>
  <c r="GI16" i="37"/>
  <c r="GH16" i="37"/>
  <c r="GG16" i="37"/>
  <c r="GF16" i="37"/>
  <c r="GC16" i="37"/>
  <c r="GB16" i="37"/>
  <c r="GA16" i="37"/>
  <c r="FZ16" i="37"/>
  <c r="FY16" i="37"/>
  <c r="FX16" i="37"/>
  <c r="FW16" i="37"/>
  <c r="FV16" i="37"/>
  <c r="FU16" i="37"/>
  <c r="FT16" i="37"/>
  <c r="FS16" i="37"/>
  <c r="FR16" i="37"/>
  <c r="FQ16" i="37"/>
  <c r="FP16" i="37"/>
  <c r="FO16" i="37"/>
  <c r="FM16" i="37"/>
  <c r="FL16" i="37"/>
  <c r="FK16" i="37"/>
  <c r="FJ16" i="37"/>
  <c r="FI16" i="37"/>
  <c r="FH16" i="37"/>
  <c r="FG16" i="37"/>
  <c r="FF16" i="37"/>
  <c r="FE16" i="37"/>
  <c r="FD16" i="37"/>
  <c r="FC16" i="37"/>
  <c r="FB16" i="37"/>
  <c r="FA16" i="37"/>
  <c r="EZ16" i="37"/>
  <c r="EY16" i="37"/>
  <c r="EV16" i="37"/>
  <c r="EU16" i="37"/>
  <c r="ET16" i="37"/>
  <c r="ES16" i="37"/>
  <c r="ER16" i="37"/>
  <c r="EQ16" i="37"/>
  <c r="EP16" i="37"/>
  <c r="EO16" i="37"/>
  <c r="EN16" i="37"/>
  <c r="EM16" i="37"/>
  <c r="EL16" i="37"/>
  <c r="EK16" i="37"/>
  <c r="EJ16" i="37"/>
  <c r="EI16" i="37"/>
  <c r="EH16" i="37"/>
  <c r="EF16" i="37"/>
  <c r="EE16" i="37"/>
  <c r="ED16" i="37"/>
  <c r="EC16" i="37"/>
  <c r="EB16" i="37"/>
  <c r="EA16" i="37"/>
  <c r="DZ16" i="37"/>
  <c r="DY16" i="37"/>
  <c r="DX16" i="37"/>
  <c r="DW16" i="37"/>
  <c r="DV16" i="37"/>
  <c r="DU16" i="37"/>
  <c r="DT16" i="37"/>
  <c r="DS16" i="37"/>
  <c r="DR16" i="37"/>
  <c r="DO16" i="37"/>
  <c r="DN16" i="37"/>
  <c r="FA16" i="38" s="1"/>
  <c r="DM16" i="37"/>
  <c r="EZ16" i="38" s="1"/>
  <c r="DL16" i="37"/>
  <c r="EY16" i="38" s="1"/>
  <c r="DK16" i="37"/>
  <c r="EX16" i="38" s="1"/>
  <c r="DJ16" i="37"/>
  <c r="EW16" i="38" s="1"/>
  <c r="DI16" i="37"/>
  <c r="EV16" i="38" s="1"/>
  <c r="DH16" i="37"/>
  <c r="EU16" i="38" s="1"/>
  <c r="DG16" i="37"/>
  <c r="ET16" i="38" s="1"/>
  <c r="DF16" i="37"/>
  <c r="ES16" i="38" s="1"/>
  <c r="DE16" i="37"/>
  <c r="ER16" i="38" s="1"/>
  <c r="DD16" i="37"/>
  <c r="EQ16" i="38" s="1"/>
  <c r="DC16" i="37"/>
  <c r="EP16" i="38" s="1"/>
  <c r="DB16" i="37"/>
  <c r="EO16" i="38" s="1"/>
  <c r="DA16" i="37"/>
  <c r="EN16" i="38" s="1"/>
  <c r="CI16" i="37"/>
  <c r="CH16" i="37"/>
  <c r="CG16" i="37"/>
  <c r="CF16" i="37"/>
  <c r="CE16" i="37"/>
  <c r="CD16" i="37"/>
  <c r="CC16" i="37"/>
  <c r="CB16" i="37"/>
  <c r="CA16" i="37"/>
  <c r="BZ16" i="37"/>
  <c r="BY16" i="37"/>
  <c r="BX16" i="37"/>
  <c r="BW16" i="37"/>
  <c r="BV16" i="37"/>
  <c r="BU16" i="37"/>
  <c r="BS16" i="37"/>
  <c r="BR16" i="37"/>
  <c r="BQ16" i="37"/>
  <c r="BP16" i="37"/>
  <c r="BO16" i="37"/>
  <c r="BN16" i="37"/>
  <c r="BM16" i="37"/>
  <c r="BL16" i="37"/>
  <c r="BK16" i="37"/>
  <c r="BJ16" i="37"/>
  <c r="BI16" i="37"/>
  <c r="BH16" i="37"/>
  <c r="BG16" i="37"/>
  <c r="BF16" i="37"/>
  <c r="BE16" i="37"/>
  <c r="BC16" i="37"/>
  <c r="BB16" i="37"/>
  <c r="BA16" i="37"/>
  <c r="AZ16" i="37"/>
  <c r="AY16" i="37"/>
  <c r="AX16" i="37"/>
  <c r="AW16" i="37"/>
  <c r="AV16" i="37"/>
  <c r="AU16" i="37"/>
  <c r="AT16" i="37"/>
  <c r="AS16" i="37"/>
  <c r="AR16" i="37"/>
  <c r="AQ16" i="37"/>
  <c r="AP16" i="37"/>
  <c r="AO16" i="37"/>
  <c r="AM16" i="37"/>
  <c r="AL16" i="37"/>
  <c r="AK16" i="37"/>
  <c r="AJ16" i="37"/>
  <c r="AH16" i="37"/>
  <c r="AG16" i="37"/>
  <c r="AF16" i="37"/>
  <c r="AE16" i="37"/>
  <c r="AD16" i="37"/>
  <c r="AC16" i="37"/>
  <c r="AB16" i="37"/>
  <c r="AA16" i="37"/>
  <c r="Z16" i="37"/>
  <c r="Y16" i="37"/>
  <c r="X16" i="37"/>
  <c r="W16" i="37"/>
  <c r="V16" i="37"/>
  <c r="U16" i="37"/>
  <c r="T16" i="37"/>
  <c r="R16" i="37"/>
  <c r="Q16" i="37"/>
  <c r="P16" i="37"/>
  <c r="O16" i="37"/>
  <c r="N16" i="37"/>
  <c r="M16" i="37"/>
  <c r="L16" i="37"/>
  <c r="K16" i="37"/>
  <c r="J16" i="37"/>
  <c r="I16" i="37"/>
  <c r="H16" i="37"/>
  <c r="G16" i="37"/>
  <c r="F16" i="37"/>
  <c r="E16" i="37"/>
  <c r="D16" i="37"/>
  <c r="IA15" i="37"/>
  <c r="HZ15" i="37"/>
  <c r="SQ15" i="38" s="1"/>
  <c r="HY15" i="37"/>
  <c r="SP15" i="38" s="1"/>
  <c r="HX15" i="37"/>
  <c r="SO15" i="38" s="1"/>
  <c r="HW15" i="37"/>
  <c r="SN15" i="38" s="1"/>
  <c r="HV15" i="37"/>
  <c r="SM15" i="38" s="1"/>
  <c r="HU15" i="37"/>
  <c r="SL15" i="38" s="1"/>
  <c r="HT15" i="37"/>
  <c r="SK15" i="38" s="1"/>
  <c r="HS15" i="37"/>
  <c r="SJ15" i="38" s="1"/>
  <c r="HR15" i="37"/>
  <c r="SI15" i="38" s="1"/>
  <c r="HQ15" i="37"/>
  <c r="SH15" i="38" s="1"/>
  <c r="HP15" i="37"/>
  <c r="SG15" i="38" s="1"/>
  <c r="HO15" i="37"/>
  <c r="SF15" i="38" s="1"/>
  <c r="HN15" i="37"/>
  <c r="SE15" i="38" s="1"/>
  <c r="HM15" i="37"/>
  <c r="SD15" i="38" s="1"/>
  <c r="GT15" i="37"/>
  <c r="GS15" i="37"/>
  <c r="GR15" i="37"/>
  <c r="GQ15" i="37"/>
  <c r="GP15" i="37"/>
  <c r="GO15" i="37"/>
  <c r="GN15" i="37"/>
  <c r="GM15" i="37"/>
  <c r="GL15" i="37"/>
  <c r="GK15" i="37"/>
  <c r="GJ15" i="37"/>
  <c r="GI15" i="37"/>
  <c r="GH15" i="37"/>
  <c r="GG15" i="37"/>
  <c r="GF15" i="37"/>
  <c r="GC15" i="37"/>
  <c r="GB15" i="37"/>
  <c r="GA15" i="37"/>
  <c r="FZ15" i="37"/>
  <c r="FY15" i="37"/>
  <c r="FX15" i="37"/>
  <c r="FW15" i="37"/>
  <c r="FV15" i="37"/>
  <c r="FU15" i="37"/>
  <c r="FT15" i="37"/>
  <c r="FS15" i="37"/>
  <c r="FR15" i="37"/>
  <c r="FQ15" i="37"/>
  <c r="FP15" i="37"/>
  <c r="FO15" i="37"/>
  <c r="FM15" i="37"/>
  <c r="FL15" i="37"/>
  <c r="FK15" i="37"/>
  <c r="FJ15" i="37"/>
  <c r="FI15" i="37"/>
  <c r="FH15" i="37"/>
  <c r="FG15" i="37"/>
  <c r="FF15" i="37"/>
  <c r="FE15" i="37"/>
  <c r="FD15" i="37"/>
  <c r="FC15" i="37"/>
  <c r="FB15" i="37"/>
  <c r="FA15" i="37"/>
  <c r="EZ15" i="37"/>
  <c r="EY15" i="37"/>
  <c r="EV15" i="37"/>
  <c r="EU15" i="37"/>
  <c r="ET15" i="37"/>
  <c r="ES15" i="37"/>
  <c r="ER15" i="37"/>
  <c r="EQ15" i="37"/>
  <c r="EP15" i="37"/>
  <c r="EO15" i="37"/>
  <c r="EN15" i="37"/>
  <c r="EM15" i="37"/>
  <c r="EL15" i="37"/>
  <c r="EK15" i="37"/>
  <c r="EJ15" i="37"/>
  <c r="EI15" i="37"/>
  <c r="EH15" i="37"/>
  <c r="EF15" i="37"/>
  <c r="EE15" i="37"/>
  <c r="ED15" i="37"/>
  <c r="EC15" i="37"/>
  <c r="EB15" i="37"/>
  <c r="EA15" i="37"/>
  <c r="DZ15" i="37"/>
  <c r="DY15" i="37"/>
  <c r="DX15" i="37"/>
  <c r="DW15" i="37"/>
  <c r="DV15" i="37"/>
  <c r="DU15" i="37"/>
  <c r="DT15" i="37"/>
  <c r="DS15" i="37"/>
  <c r="DR15" i="37"/>
  <c r="DO15" i="37"/>
  <c r="DN15" i="37"/>
  <c r="FA15" i="38" s="1"/>
  <c r="DM15" i="37"/>
  <c r="EZ15" i="38" s="1"/>
  <c r="DL15" i="37"/>
  <c r="EY15" i="38" s="1"/>
  <c r="DK15" i="37"/>
  <c r="EX15" i="38" s="1"/>
  <c r="DJ15" i="37"/>
  <c r="EW15" i="38" s="1"/>
  <c r="DI15" i="37"/>
  <c r="EV15" i="38" s="1"/>
  <c r="DH15" i="37"/>
  <c r="EU15" i="38" s="1"/>
  <c r="DG15" i="37"/>
  <c r="ET15" i="38" s="1"/>
  <c r="DF15" i="37"/>
  <c r="ES15" i="38" s="1"/>
  <c r="DE15" i="37"/>
  <c r="ER15" i="38" s="1"/>
  <c r="DD15" i="37"/>
  <c r="EQ15" i="38" s="1"/>
  <c r="DC15" i="37"/>
  <c r="EP15" i="38" s="1"/>
  <c r="DB15" i="37"/>
  <c r="EO15" i="38" s="1"/>
  <c r="DA15" i="37"/>
  <c r="EN15" i="38" s="1"/>
  <c r="CI15" i="37"/>
  <c r="CH15" i="37"/>
  <c r="CG15" i="37"/>
  <c r="CF15" i="37"/>
  <c r="CE15" i="37"/>
  <c r="CD15" i="37"/>
  <c r="CC15" i="37"/>
  <c r="CB15" i="37"/>
  <c r="CA15" i="37"/>
  <c r="BZ15" i="37"/>
  <c r="BY15" i="37"/>
  <c r="BX15" i="37"/>
  <c r="BW15" i="37"/>
  <c r="BV15" i="37"/>
  <c r="BU15" i="37"/>
  <c r="BS15" i="37"/>
  <c r="BR15" i="37"/>
  <c r="BQ15" i="37"/>
  <c r="BP15" i="37"/>
  <c r="BO15" i="37"/>
  <c r="BN15" i="37"/>
  <c r="BM15" i="37"/>
  <c r="BL15" i="37"/>
  <c r="BK15" i="37"/>
  <c r="BJ15" i="37"/>
  <c r="BI15" i="37"/>
  <c r="BH15" i="37"/>
  <c r="BG15" i="37"/>
  <c r="BF15" i="37"/>
  <c r="BE15" i="37"/>
  <c r="BC15" i="37"/>
  <c r="BB15" i="37"/>
  <c r="BA15" i="37"/>
  <c r="AZ15" i="37"/>
  <c r="AY15" i="37"/>
  <c r="AX15" i="37"/>
  <c r="AW15" i="37"/>
  <c r="AV15" i="37"/>
  <c r="AU15" i="37"/>
  <c r="AT15" i="37"/>
  <c r="AS15" i="37"/>
  <c r="AR15" i="37"/>
  <c r="AQ15" i="37"/>
  <c r="AP15" i="37"/>
  <c r="AO15" i="37"/>
  <c r="AM15" i="37"/>
  <c r="AL15" i="37"/>
  <c r="AK15" i="37"/>
  <c r="AJ15" i="37"/>
  <c r="AH15" i="37"/>
  <c r="AG15" i="37"/>
  <c r="AF15" i="37"/>
  <c r="AE15" i="37"/>
  <c r="AD15" i="37"/>
  <c r="AC15" i="37"/>
  <c r="AB15" i="37"/>
  <c r="AA15" i="37"/>
  <c r="Z15" i="37"/>
  <c r="Y15" i="37"/>
  <c r="X15" i="37"/>
  <c r="W15" i="37"/>
  <c r="V15" i="37"/>
  <c r="U15" i="37"/>
  <c r="T15" i="37"/>
  <c r="R15" i="37"/>
  <c r="Q15" i="37"/>
  <c r="P15" i="37"/>
  <c r="O15" i="37"/>
  <c r="N15" i="37"/>
  <c r="M15" i="37"/>
  <c r="L15" i="37"/>
  <c r="K15" i="37"/>
  <c r="J15" i="37"/>
  <c r="I15" i="37"/>
  <c r="H15" i="37"/>
  <c r="G15" i="37"/>
  <c r="F15" i="37"/>
  <c r="E15" i="37"/>
  <c r="D15" i="37"/>
  <c r="IA14" i="37"/>
  <c r="HY14" i="37"/>
  <c r="SP14" i="38" s="1"/>
  <c r="HW14" i="37"/>
  <c r="SN14" i="38" s="1"/>
  <c r="HU14" i="37"/>
  <c r="SL14" i="38" s="1"/>
  <c r="HS14" i="37"/>
  <c r="SJ14" i="38" s="1"/>
  <c r="HQ14" i="37"/>
  <c r="SH14" i="38" s="1"/>
  <c r="HO14" i="37"/>
  <c r="SF14" i="38" s="1"/>
  <c r="HM14" i="37"/>
  <c r="SD14" i="38" s="1"/>
  <c r="GT14" i="37"/>
  <c r="GR14" i="37"/>
  <c r="GP14" i="37"/>
  <c r="GN14" i="37"/>
  <c r="GL14" i="37"/>
  <c r="GJ14" i="37"/>
  <c r="GH14" i="37"/>
  <c r="GF14" i="37"/>
  <c r="GC14" i="37"/>
  <c r="GB14" i="37"/>
  <c r="GA14" i="37"/>
  <c r="FZ14" i="37"/>
  <c r="FY14" i="37"/>
  <c r="FX14" i="37"/>
  <c r="FW14" i="37"/>
  <c r="FV14" i="37"/>
  <c r="FU14" i="37"/>
  <c r="FT14" i="37"/>
  <c r="FS14" i="37"/>
  <c r="FR14" i="37"/>
  <c r="FQ14" i="37"/>
  <c r="FP14" i="37"/>
  <c r="FO14" i="37"/>
  <c r="FM14" i="37"/>
  <c r="FK14" i="37"/>
  <c r="FL14" i="37" s="1"/>
  <c r="FI14" i="37"/>
  <c r="FG14" i="37"/>
  <c r="FE14" i="37"/>
  <c r="FC14" i="37"/>
  <c r="FA14" i="37"/>
  <c r="EY14" i="37"/>
  <c r="EV14" i="37"/>
  <c r="EU14" i="37"/>
  <c r="ET14" i="37"/>
  <c r="ES14" i="37"/>
  <c r="ER14" i="37"/>
  <c r="EQ14" i="37"/>
  <c r="EP14" i="37"/>
  <c r="EO14" i="37"/>
  <c r="EN14" i="37"/>
  <c r="EM14" i="37"/>
  <c r="EL14" i="37"/>
  <c r="EK14" i="37"/>
  <c r="EJ14" i="37"/>
  <c r="EI14" i="37"/>
  <c r="EH14" i="37"/>
  <c r="EF14" i="37"/>
  <c r="ED14" i="37"/>
  <c r="EB14" i="37"/>
  <c r="EC14" i="37" s="1"/>
  <c r="DZ14" i="37"/>
  <c r="DX14" i="37"/>
  <c r="DV14" i="37"/>
  <c r="DT14" i="37"/>
  <c r="DR14" i="37"/>
  <c r="DO14" i="37"/>
  <c r="DM14" i="37"/>
  <c r="DK14" i="37"/>
  <c r="EX14" i="38" s="1"/>
  <c r="DI14" i="37"/>
  <c r="EV14" i="38" s="1"/>
  <c r="DG14" i="37"/>
  <c r="ET14" i="38" s="1"/>
  <c r="DE14" i="37"/>
  <c r="ER14" i="38" s="1"/>
  <c r="DC14" i="37"/>
  <c r="EP14" i="38" s="1"/>
  <c r="DA14" i="37"/>
  <c r="EN14" i="38" s="1"/>
  <c r="CI14" i="37"/>
  <c r="HJ14" i="37" s="1"/>
  <c r="CG14" i="37"/>
  <c r="HH14" i="37" s="1"/>
  <c r="CE14" i="37"/>
  <c r="CC14" i="37"/>
  <c r="CA14" i="37"/>
  <c r="HB14" i="37" s="1"/>
  <c r="BY14" i="37"/>
  <c r="GZ14" i="37" s="1"/>
  <c r="BW14" i="37"/>
  <c r="GX14" i="37" s="1"/>
  <c r="BU14" i="37"/>
  <c r="BS14" i="37"/>
  <c r="BQ14" i="37"/>
  <c r="BR14" i="37" s="1"/>
  <c r="BO14" i="37"/>
  <c r="BM14" i="37"/>
  <c r="BK14" i="37"/>
  <c r="BI14" i="37"/>
  <c r="BG14" i="37"/>
  <c r="BE14" i="37"/>
  <c r="BC14" i="37"/>
  <c r="BA14" i="37"/>
  <c r="AY14" i="37"/>
  <c r="AW14" i="37"/>
  <c r="AU14" i="37"/>
  <c r="AS14" i="37"/>
  <c r="AQ14" i="37"/>
  <c r="AO14" i="37"/>
  <c r="AM14" i="37"/>
  <c r="AL14" i="37"/>
  <c r="AK14" i="37"/>
  <c r="AJ14" i="37" s="1"/>
  <c r="AH14" i="37"/>
  <c r="AF14" i="37"/>
  <c r="AD14" i="37"/>
  <c r="AB14" i="37"/>
  <c r="Z14" i="37"/>
  <c r="X14" i="37"/>
  <c r="V14" i="37"/>
  <c r="T14" i="37"/>
  <c r="R14" i="37"/>
  <c r="P14" i="37"/>
  <c r="N14" i="37"/>
  <c r="O14" i="37" s="1"/>
  <c r="O60" i="37" s="1"/>
  <c r="L14" i="37"/>
  <c r="J14" i="37"/>
  <c r="H14" i="37"/>
  <c r="F14" i="37"/>
  <c r="D14" i="37"/>
  <c r="IA13" i="37"/>
  <c r="HY13" i="37"/>
  <c r="SP13" i="38" s="1"/>
  <c r="HW13" i="37"/>
  <c r="SN13" i="38" s="1"/>
  <c r="HU13" i="37"/>
  <c r="SL13" i="38" s="1"/>
  <c r="HS13" i="37"/>
  <c r="SJ13" i="38" s="1"/>
  <c r="HQ13" i="37"/>
  <c r="SH13" i="38" s="1"/>
  <c r="HO13" i="37"/>
  <c r="SF13" i="38" s="1"/>
  <c r="HM13" i="37"/>
  <c r="SD13" i="38" s="1"/>
  <c r="GT13" i="37"/>
  <c r="GR13" i="37"/>
  <c r="GP13" i="37"/>
  <c r="GN13" i="37"/>
  <c r="GL13" i="37"/>
  <c r="GJ13" i="37"/>
  <c r="GH13" i="37"/>
  <c r="GF13" i="37"/>
  <c r="GC13" i="37"/>
  <c r="GB13" i="37"/>
  <c r="GA13" i="37"/>
  <c r="FZ13" i="37"/>
  <c r="FY13" i="37"/>
  <c r="FX13" i="37"/>
  <c r="FW13" i="37"/>
  <c r="FV13" i="37"/>
  <c r="FU13" i="37"/>
  <c r="FT13" i="37"/>
  <c r="FS13" i="37"/>
  <c r="FR13" i="37"/>
  <c r="FQ13" i="37"/>
  <c r="FP13" i="37"/>
  <c r="FO13" i="37"/>
  <c r="FM13" i="37"/>
  <c r="FK13" i="37"/>
  <c r="FI13" i="37"/>
  <c r="FG13" i="37"/>
  <c r="FE13" i="37"/>
  <c r="FC13" i="37"/>
  <c r="FD13" i="37" s="1"/>
  <c r="FA13" i="37"/>
  <c r="EY13" i="37"/>
  <c r="EV13" i="37"/>
  <c r="EU13" i="37"/>
  <c r="ET13" i="37"/>
  <c r="ES13" i="37"/>
  <c r="ER13" i="37"/>
  <c r="EQ13" i="37"/>
  <c r="EP13" i="37"/>
  <c r="EO13" i="37"/>
  <c r="EN13" i="37"/>
  <c r="EM13" i="37"/>
  <c r="EL13" i="37"/>
  <c r="EK13" i="37"/>
  <c r="EJ13" i="37"/>
  <c r="EI13" i="37"/>
  <c r="EH13" i="37"/>
  <c r="EF13" i="37"/>
  <c r="ED13" i="37"/>
  <c r="EB13" i="37"/>
  <c r="DZ13" i="37"/>
  <c r="DX13" i="37"/>
  <c r="DV13" i="37"/>
  <c r="DT13" i="37"/>
  <c r="DR13" i="37"/>
  <c r="DM13" i="37"/>
  <c r="DK13" i="37"/>
  <c r="EX13" i="38" s="1"/>
  <c r="DI13" i="37"/>
  <c r="EV13" i="38" s="1"/>
  <c r="DG13" i="37"/>
  <c r="ET13" i="38" s="1"/>
  <c r="DE13" i="37"/>
  <c r="ER13" i="38" s="1"/>
  <c r="DC13" i="37"/>
  <c r="EP13" i="38" s="1"/>
  <c r="DA13" i="37"/>
  <c r="EN13" i="38" s="1"/>
  <c r="CG13" i="37"/>
  <c r="CE13" i="37"/>
  <c r="CC13" i="37"/>
  <c r="CA13" i="37"/>
  <c r="BY13" i="37"/>
  <c r="BW13" i="37"/>
  <c r="BU13" i="37"/>
  <c r="BS13" i="37"/>
  <c r="BQ13" i="37"/>
  <c r="BO13" i="37"/>
  <c r="BM13" i="37"/>
  <c r="BK13" i="37"/>
  <c r="BI13" i="37"/>
  <c r="BG13" i="37"/>
  <c r="BE13" i="37"/>
  <c r="BC13" i="37"/>
  <c r="BA13" i="37"/>
  <c r="AY13" i="37"/>
  <c r="AW13" i="37"/>
  <c r="AU13" i="37"/>
  <c r="AS13" i="37"/>
  <c r="AQ13" i="37"/>
  <c r="AO13" i="37"/>
  <c r="AM13" i="37"/>
  <c r="AL13" i="37"/>
  <c r="AK13" i="37"/>
  <c r="AJ13" i="37"/>
  <c r="AF13" i="37"/>
  <c r="AG13" i="37" s="1"/>
  <c r="AD13" i="37"/>
  <c r="AB13" i="37"/>
  <c r="Z13" i="37"/>
  <c r="X13" i="37"/>
  <c r="V13" i="37"/>
  <c r="T13" i="37"/>
  <c r="P13" i="37"/>
  <c r="R13" i="37" s="1"/>
  <c r="N13" i="37"/>
  <c r="L13" i="37"/>
  <c r="J13" i="37"/>
  <c r="H13" i="37"/>
  <c r="F13" i="37"/>
  <c r="D13" i="37"/>
  <c r="IA12" i="37"/>
  <c r="HZ12" i="37"/>
  <c r="SQ12" i="38" s="1"/>
  <c r="HY12" i="37"/>
  <c r="SP12" i="38" s="1"/>
  <c r="HX12" i="37"/>
  <c r="SO12" i="38" s="1"/>
  <c r="HW12" i="37"/>
  <c r="SN12" i="38" s="1"/>
  <c r="HV12" i="37"/>
  <c r="SM12" i="38" s="1"/>
  <c r="HU12" i="37"/>
  <c r="SL12" i="38" s="1"/>
  <c r="HT12" i="37"/>
  <c r="SK12" i="38" s="1"/>
  <c r="HS12" i="37"/>
  <c r="SJ12" i="38" s="1"/>
  <c r="HR12" i="37"/>
  <c r="SI12" i="38" s="1"/>
  <c r="HQ12" i="37"/>
  <c r="SH12" i="38" s="1"/>
  <c r="HP12" i="37"/>
  <c r="SG12" i="38" s="1"/>
  <c r="HO12" i="37"/>
  <c r="SF12" i="38" s="1"/>
  <c r="HN12" i="37"/>
  <c r="SE12" i="38" s="1"/>
  <c r="HM12" i="37"/>
  <c r="SD12" i="38" s="1"/>
  <c r="GT12" i="37"/>
  <c r="GS12" i="37"/>
  <c r="GR12" i="37"/>
  <c r="GQ12" i="37"/>
  <c r="GP12" i="37"/>
  <c r="GO12" i="37"/>
  <c r="GN12" i="37"/>
  <c r="GM12" i="37"/>
  <c r="GL12" i="37"/>
  <c r="GK12" i="37"/>
  <c r="GJ12" i="37"/>
  <c r="GI12" i="37"/>
  <c r="GH12" i="37"/>
  <c r="GG12" i="37"/>
  <c r="GF12" i="37"/>
  <c r="GC12" i="37"/>
  <c r="GB12" i="37"/>
  <c r="GA12" i="37"/>
  <c r="FZ12" i="37"/>
  <c r="FY12" i="37"/>
  <c r="FX12" i="37"/>
  <c r="FW12" i="37"/>
  <c r="FV12" i="37"/>
  <c r="FU12" i="37"/>
  <c r="FT12" i="37"/>
  <c r="FS12" i="37"/>
  <c r="FR12" i="37"/>
  <c r="FQ12" i="37"/>
  <c r="FP12" i="37"/>
  <c r="FO12" i="37"/>
  <c r="FM12" i="37"/>
  <c r="FL12" i="37"/>
  <c r="FK12" i="37"/>
  <c r="FJ12" i="37"/>
  <c r="FI12" i="37"/>
  <c r="FH12" i="37"/>
  <c r="FG12" i="37"/>
  <c r="FF12" i="37"/>
  <c r="FE12" i="37"/>
  <c r="FD12" i="37"/>
  <c r="FC12" i="37"/>
  <c r="FB12" i="37"/>
  <c r="FA12" i="37"/>
  <c r="EZ12" i="37"/>
  <c r="EY12" i="37"/>
  <c r="EV12" i="37"/>
  <c r="EU12" i="37"/>
  <c r="ET12" i="37"/>
  <c r="ES12" i="37"/>
  <c r="ER12" i="37"/>
  <c r="EQ12" i="37"/>
  <c r="EP12" i="37"/>
  <c r="EO12" i="37"/>
  <c r="EN12" i="37"/>
  <c r="EM12" i="37"/>
  <c r="EL12" i="37"/>
  <c r="EK12" i="37"/>
  <c r="EJ12" i="37"/>
  <c r="EI12" i="37"/>
  <c r="EH12" i="37"/>
  <c r="EF12" i="37"/>
  <c r="EE12" i="37"/>
  <c r="ED12" i="37"/>
  <c r="EC12" i="37"/>
  <c r="EB12" i="37"/>
  <c r="EA12" i="37"/>
  <c r="DZ12" i="37"/>
  <c r="DY12" i="37"/>
  <c r="DX12" i="37"/>
  <c r="DW12" i="37"/>
  <c r="DV12" i="37"/>
  <c r="DU12" i="37"/>
  <c r="DT12" i="37"/>
  <c r="DS12" i="37"/>
  <c r="DR12" i="37"/>
  <c r="DO12" i="37"/>
  <c r="DN12" i="37"/>
  <c r="FA12" i="38" s="1"/>
  <c r="DM12" i="37"/>
  <c r="EZ12" i="38" s="1"/>
  <c r="DL12" i="37"/>
  <c r="EY12" i="38" s="1"/>
  <c r="DK12" i="37"/>
  <c r="EX12" i="38" s="1"/>
  <c r="DJ12" i="37"/>
  <c r="EW12" i="38" s="1"/>
  <c r="DI12" i="37"/>
  <c r="EV12" i="38" s="1"/>
  <c r="DH12" i="37"/>
  <c r="EU12" i="38" s="1"/>
  <c r="DG12" i="37"/>
  <c r="ET12" i="38" s="1"/>
  <c r="DF12" i="37"/>
  <c r="ES12" i="38" s="1"/>
  <c r="DE12" i="37"/>
  <c r="ER12" i="38" s="1"/>
  <c r="DD12" i="37"/>
  <c r="EQ12" i="38" s="1"/>
  <c r="DC12" i="37"/>
  <c r="EP12" i="38" s="1"/>
  <c r="DB12" i="37"/>
  <c r="EO12" i="38" s="1"/>
  <c r="DA12" i="37"/>
  <c r="EN12" i="38" s="1"/>
  <c r="CI12" i="37"/>
  <c r="CH12" i="37"/>
  <c r="CG12" i="37"/>
  <c r="CF12" i="37"/>
  <c r="CE12" i="37"/>
  <c r="CD12" i="37"/>
  <c r="CC12" i="37"/>
  <c r="CB12" i="37"/>
  <c r="CA12" i="37"/>
  <c r="BZ12" i="37"/>
  <c r="BY12" i="37"/>
  <c r="BX12" i="37"/>
  <c r="BW12" i="37"/>
  <c r="BV12" i="37"/>
  <c r="BU12" i="37"/>
  <c r="BS12" i="37"/>
  <c r="BR12" i="37"/>
  <c r="BQ12" i="37"/>
  <c r="BP12" i="37"/>
  <c r="BO12" i="37"/>
  <c r="BN12" i="37"/>
  <c r="BM12" i="37"/>
  <c r="BL12" i="37"/>
  <c r="BK12" i="37"/>
  <c r="BJ12" i="37"/>
  <c r="BI12" i="37"/>
  <c r="BH12" i="37"/>
  <c r="BG12" i="37"/>
  <c r="BF12" i="37"/>
  <c r="BE12" i="37"/>
  <c r="BC12" i="37"/>
  <c r="BB12" i="37"/>
  <c r="BA12" i="37"/>
  <c r="AZ12" i="37"/>
  <c r="AY12" i="37"/>
  <c r="AX12" i="37"/>
  <c r="AW12" i="37"/>
  <c r="AV12" i="37"/>
  <c r="AU12" i="37"/>
  <c r="AT12" i="37"/>
  <c r="AS12" i="37"/>
  <c r="AR12" i="37"/>
  <c r="AQ12" i="37"/>
  <c r="AP12" i="37"/>
  <c r="AO12" i="37"/>
  <c r="AM12" i="37"/>
  <c r="AL12" i="37"/>
  <c r="AK12" i="37"/>
  <c r="AJ12" i="37"/>
  <c r="AH12" i="37"/>
  <c r="AG12" i="37"/>
  <c r="AF12" i="37"/>
  <c r="AE12" i="37"/>
  <c r="AD12" i="37"/>
  <c r="AC12" i="37"/>
  <c r="AB12" i="37"/>
  <c r="AA12" i="37"/>
  <c r="Z12" i="37"/>
  <c r="Y12" i="37"/>
  <c r="X12" i="37"/>
  <c r="W12" i="37"/>
  <c r="V12" i="37"/>
  <c r="U12" i="37"/>
  <c r="T12" i="37"/>
  <c r="R12" i="37"/>
  <c r="Q12" i="37"/>
  <c r="P12" i="37"/>
  <c r="O12" i="37"/>
  <c r="N12" i="37"/>
  <c r="M12" i="37"/>
  <c r="L12" i="37"/>
  <c r="K12" i="37"/>
  <c r="J12" i="37"/>
  <c r="I12" i="37"/>
  <c r="H12" i="37"/>
  <c r="G12" i="37"/>
  <c r="F12" i="37"/>
  <c r="E12" i="37"/>
  <c r="D12" i="37"/>
  <c r="IA11" i="37"/>
  <c r="HZ11" i="37"/>
  <c r="SQ11" i="38" s="1"/>
  <c r="HY11" i="37"/>
  <c r="SP11" i="38" s="1"/>
  <c r="HX11" i="37"/>
  <c r="SO11" i="38" s="1"/>
  <c r="HW11" i="37"/>
  <c r="SN11" i="38" s="1"/>
  <c r="HV11" i="37"/>
  <c r="SM11" i="38" s="1"/>
  <c r="HU11" i="37"/>
  <c r="SL11" i="38" s="1"/>
  <c r="HT11" i="37"/>
  <c r="SK11" i="38" s="1"/>
  <c r="HS11" i="37"/>
  <c r="SJ11" i="38" s="1"/>
  <c r="HR11" i="37"/>
  <c r="SI11" i="38" s="1"/>
  <c r="HQ11" i="37"/>
  <c r="SH11" i="38" s="1"/>
  <c r="HP11" i="37"/>
  <c r="SG11" i="38" s="1"/>
  <c r="HO11" i="37"/>
  <c r="SF11" i="38" s="1"/>
  <c r="HN11" i="37"/>
  <c r="SE11" i="38" s="1"/>
  <c r="HM11" i="37"/>
  <c r="SD11" i="38" s="1"/>
  <c r="GT11" i="37"/>
  <c r="GS11" i="37"/>
  <c r="GR11" i="37"/>
  <c r="GQ11" i="37"/>
  <c r="GP11" i="37"/>
  <c r="GO11" i="37"/>
  <c r="GN11" i="37"/>
  <c r="GM11" i="37"/>
  <c r="GL11" i="37"/>
  <c r="GK11" i="37"/>
  <c r="GJ11" i="37"/>
  <c r="GI11" i="37"/>
  <c r="GH11" i="37"/>
  <c r="GG11" i="37"/>
  <c r="GF11" i="37"/>
  <c r="GC11" i="37"/>
  <c r="GB11" i="37"/>
  <c r="GA11" i="37"/>
  <c r="FZ11" i="37"/>
  <c r="FY11" i="37"/>
  <c r="FX11" i="37"/>
  <c r="FW11" i="37"/>
  <c r="FV11" i="37"/>
  <c r="FU11" i="37"/>
  <c r="FT11" i="37"/>
  <c r="FS11" i="37"/>
  <c r="FR11" i="37"/>
  <c r="FQ11" i="37"/>
  <c r="FP11" i="37"/>
  <c r="FO11" i="37"/>
  <c r="FM11" i="37"/>
  <c r="FL11" i="37"/>
  <c r="FK11" i="37"/>
  <c r="FJ11" i="37"/>
  <c r="FI11" i="37"/>
  <c r="FH11" i="37"/>
  <c r="FG11" i="37"/>
  <c r="FF11" i="37"/>
  <c r="FE11" i="37"/>
  <c r="FD11" i="37"/>
  <c r="FC11" i="37"/>
  <c r="FB11" i="37"/>
  <c r="FA11" i="37"/>
  <c r="EZ11" i="37"/>
  <c r="EY11" i="37"/>
  <c r="EV11" i="37"/>
  <c r="EU11" i="37"/>
  <c r="ET11" i="37"/>
  <c r="ES11" i="37"/>
  <c r="ER11" i="37"/>
  <c r="EQ11" i="37"/>
  <c r="EP11" i="37"/>
  <c r="EO11" i="37"/>
  <c r="EN11" i="37"/>
  <c r="EM11" i="37"/>
  <c r="EL11" i="37"/>
  <c r="EK11" i="37"/>
  <c r="EJ11" i="37"/>
  <c r="EI11" i="37"/>
  <c r="EH11" i="37"/>
  <c r="EF11" i="37"/>
  <c r="EE11" i="37"/>
  <c r="ED11" i="37"/>
  <c r="EC11" i="37"/>
  <c r="EB11" i="37"/>
  <c r="EA11" i="37"/>
  <c r="DZ11" i="37"/>
  <c r="DY11" i="37"/>
  <c r="DX11" i="37"/>
  <c r="DW11" i="37"/>
  <c r="DV11" i="37"/>
  <c r="DU11" i="37"/>
  <c r="DT11" i="37"/>
  <c r="DS11" i="37"/>
  <c r="DR11" i="37"/>
  <c r="DO11" i="37"/>
  <c r="DN11" i="37"/>
  <c r="FA11" i="38" s="1"/>
  <c r="DM11" i="37"/>
  <c r="EZ11" i="38" s="1"/>
  <c r="DL11" i="37"/>
  <c r="EY11" i="38" s="1"/>
  <c r="DK11" i="37"/>
  <c r="EX11" i="38" s="1"/>
  <c r="DJ11" i="37"/>
  <c r="EW11" i="38" s="1"/>
  <c r="DI11" i="37"/>
  <c r="EV11" i="38" s="1"/>
  <c r="DH11" i="37"/>
  <c r="EU11" i="38" s="1"/>
  <c r="DG11" i="37"/>
  <c r="ET11" i="38" s="1"/>
  <c r="DF11" i="37"/>
  <c r="ES11" i="38" s="1"/>
  <c r="DE11" i="37"/>
  <c r="ER11" i="38" s="1"/>
  <c r="DD11" i="37"/>
  <c r="EQ11" i="38" s="1"/>
  <c r="DC11" i="37"/>
  <c r="EP11" i="38" s="1"/>
  <c r="DB11" i="37"/>
  <c r="EO11" i="38" s="1"/>
  <c r="DA11" i="37"/>
  <c r="EN11" i="38" s="1"/>
  <c r="CI11" i="37"/>
  <c r="CH11" i="37"/>
  <c r="CG11" i="37"/>
  <c r="CF11" i="37"/>
  <c r="CE11" i="37"/>
  <c r="CD11" i="37"/>
  <c r="CC11" i="37"/>
  <c r="CB11" i="37"/>
  <c r="CA11" i="37"/>
  <c r="BZ11" i="37"/>
  <c r="BY11" i="37"/>
  <c r="BX11" i="37"/>
  <c r="BW11" i="37"/>
  <c r="BV11" i="37"/>
  <c r="BU11" i="37"/>
  <c r="BS11" i="37"/>
  <c r="BR11" i="37"/>
  <c r="BQ11" i="37"/>
  <c r="BP11" i="37"/>
  <c r="BO11" i="37"/>
  <c r="BN11" i="37"/>
  <c r="BM11" i="37"/>
  <c r="BL11" i="37"/>
  <c r="BK11" i="37"/>
  <c r="BJ11" i="37"/>
  <c r="BI11" i="37"/>
  <c r="BH11" i="37"/>
  <c r="BG11" i="37"/>
  <c r="BF11" i="37"/>
  <c r="BE11" i="37"/>
  <c r="BC11" i="37"/>
  <c r="BB11" i="37"/>
  <c r="BA11" i="37"/>
  <c r="AZ11" i="37"/>
  <c r="AY11" i="37"/>
  <c r="AX11" i="37"/>
  <c r="AW11" i="37"/>
  <c r="AV11" i="37"/>
  <c r="AU11" i="37"/>
  <c r="AT11" i="37"/>
  <c r="AS11" i="37"/>
  <c r="AR11" i="37"/>
  <c r="AQ11" i="37"/>
  <c r="AP11" i="37"/>
  <c r="AO11" i="37"/>
  <c r="AM11" i="37"/>
  <c r="AL11" i="37"/>
  <c r="AK11" i="37"/>
  <c r="AJ11" i="37"/>
  <c r="AH11" i="37"/>
  <c r="AG11" i="37"/>
  <c r="AF11" i="37"/>
  <c r="AE11" i="37"/>
  <c r="AD11" i="37"/>
  <c r="AC11" i="37"/>
  <c r="AB11" i="37"/>
  <c r="AA11" i="37"/>
  <c r="Z11" i="37"/>
  <c r="Y11" i="37"/>
  <c r="X11" i="37"/>
  <c r="W11" i="37"/>
  <c r="V11" i="37"/>
  <c r="U11" i="37"/>
  <c r="T11" i="37"/>
  <c r="R11" i="37"/>
  <c r="Q11" i="37"/>
  <c r="P11" i="37"/>
  <c r="O11" i="37"/>
  <c r="N11" i="37"/>
  <c r="M11" i="37"/>
  <c r="L11" i="37"/>
  <c r="K11" i="37"/>
  <c r="J11" i="37"/>
  <c r="I11" i="37"/>
  <c r="H11" i="37"/>
  <c r="G11" i="37"/>
  <c r="F11" i="37"/>
  <c r="E11" i="37"/>
  <c r="D11" i="37"/>
  <c r="IA10" i="37"/>
  <c r="HZ10" i="37"/>
  <c r="SQ10" i="38" s="1"/>
  <c r="HY10" i="37"/>
  <c r="SP10" i="38" s="1"/>
  <c r="HX10" i="37"/>
  <c r="SO10" i="38" s="1"/>
  <c r="HW10" i="37"/>
  <c r="SN10" i="38" s="1"/>
  <c r="HV10" i="37"/>
  <c r="SM10" i="38" s="1"/>
  <c r="HU10" i="37"/>
  <c r="SL10" i="38" s="1"/>
  <c r="HT10" i="37"/>
  <c r="SK10" i="38" s="1"/>
  <c r="HS10" i="37"/>
  <c r="SJ10" i="38" s="1"/>
  <c r="HR10" i="37"/>
  <c r="SI10" i="38" s="1"/>
  <c r="HQ10" i="37"/>
  <c r="SH10" i="38" s="1"/>
  <c r="HP10" i="37"/>
  <c r="SG10" i="38" s="1"/>
  <c r="HO10" i="37"/>
  <c r="SF10" i="38" s="1"/>
  <c r="HN10" i="37"/>
  <c r="SE10" i="38" s="1"/>
  <c r="HM10" i="37"/>
  <c r="SD10" i="38" s="1"/>
  <c r="GT10" i="37"/>
  <c r="GS10" i="37"/>
  <c r="GR10" i="37"/>
  <c r="GQ10" i="37"/>
  <c r="GP10" i="37"/>
  <c r="GO10" i="37"/>
  <c r="GN10" i="37"/>
  <c r="GM10" i="37"/>
  <c r="GL10" i="37"/>
  <c r="GK10" i="37"/>
  <c r="GJ10" i="37"/>
  <c r="GI10" i="37"/>
  <c r="GH10" i="37"/>
  <c r="GG10" i="37"/>
  <c r="GF10" i="37"/>
  <c r="GC10" i="37"/>
  <c r="GB10" i="37"/>
  <c r="GA10" i="37"/>
  <c r="FZ10" i="37"/>
  <c r="FY10" i="37"/>
  <c r="FX10" i="37"/>
  <c r="FW10" i="37"/>
  <c r="FV10" i="37"/>
  <c r="FU10" i="37"/>
  <c r="FT10" i="37"/>
  <c r="FS10" i="37"/>
  <c r="FR10" i="37"/>
  <c r="FQ10" i="37"/>
  <c r="FP10" i="37"/>
  <c r="FO10" i="37"/>
  <c r="FM10" i="37"/>
  <c r="FL10" i="37"/>
  <c r="FK10" i="37"/>
  <c r="FJ10" i="37"/>
  <c r="FI10" i="37"/>
  <c r="FH10" i="37"/>
  <c r="FG10" i="37"/>
  <c r="FF10" i="37"/>
  <c r="FE10" i="37"/>
  <c r="FD10" i="37"/>
  <c r="FC10" i="37"/>
  <c r="FB10" i="37"/>
  <c r="FA10" i="37"/>
  <c r="EZ10" i="37"/>
  <c r="EY10" i="37"/>
  <c r="EV10" i="37"/>
  <c r="EU10" i="37"/>
  <c r="ET10" i="37"/>
  <c r="ES10" i="37"/>
  <c r="ER10" i="37"/>
  <c r="EQ10" i="37"/>
  <c r="EP10" i="37"/>
  <c r="EO10" i="37"/>
  <c r="EN10" i="37"/>
  <c r="EM10" i="37"/>
  <c r="EL10" i="37"/>
  <c r="EK10" i="37"/>
  <c r="EJ10" i="37"/>
  <c r="EI10" i="37"/>
  <c r="EH10" i="37"/>
  <c r="EF10" i="37"/>
  <c r="EE10" i="37"/>
  <c r="ED10" i="37"/>
  <c r="EC10" i="37"/>
  <c r="EB10" i="37"/>
  <c r="EA10" i="37"/>
  <c r="DZ10" i="37"/>
  <c r="DY10" i="37"/>
  <c r="DX10" i="37"/>
  <c r="DW10" i="37"/>
  <c r="DV10" i="37"/>
  <c r="DU10" i="37"/>
  <c r="DT10" i="37"/>
  <c r="DS10" i="37"/>
  <c r="DR10" i="37"/>
  <c r="DO10" i="37"/>
  <c r="DN10" i="37"/>
  <c r="FA10" i="38" s="1"/>
  <c r="DM10" i="37"/>
  <c r="EZ10" i="38" s="1"/>
  <c r="DL10" i="37"/>
  <c r="EY10" i="38" s="1"/>
  <c r="DK10" i="37"/>
  <c r="EX10" i="38" s="1"/>
  <c r="DJ10" i="37"/>
  <c r="EW10" i="38" s="1"/>
  <c r="DI10" i="37"/>
  <c r="EV10" i="38" s="1"/>
  <c r="DH10" i="37"/>
  <c r="EU10" i="38" s="1"/>
  <c r="DG10" i="37"/>
  <c r="ET10" i="38" s="1"/>
  <c r="DF10" i="37"/>
  <c r="ES10" i="38" s="1"/>
  <c r="DE10" i="37"/>
  <c r="ER10" i="38" s="1"/>
  <c r="DD10" i="37"/>
  <c r="EQ10" i="38" s="1"/>
  <c r="DC10" i="37"/>
  <c r="EP10" i="38" s="1"/>
  <c r="DB10" i="37"/>
  <c r="EO10" i="38" s="1"/>
  <c r="DA10" i="37"/>
  <c r="EN10" i="38" s="1"/>
  <c r="CI10" i="37"/>
  <c r="CH10" i="37"/>
  <c r="CG10" i="37"/>
  <c r="CF10" i="37"/>
  <c r="CE10" i="37"/>
  <c r="CD10" i="37"/>
  <c r="CC10" i="37"/>
  <c r="CB10" i="37"/>
  <c r="CA10" i="37"/>
  <c r="BZ10" i="37"/>
  <c r="BY10" i="37"/>
  <c r="BX10" i="37"/>
  <c r="BW10" i="37"/>
  <c r="BV10" i="37"/>
  <c r="BU10" i="37"/>
  <c r="BS10" i="37"/>
  <c r="BR10" i="37"/>
  <c r="BQ10" i="37"/>
  <c r="BP10" i="37"/>
  <c r="BO10" i="37"/>
  <c r="BN10" i="37"/>
  <c r="BM10" i="37"/>
  <c r="BL10" i="37"/>
  <c r="BK10" i="37"/>
  <c r="BJ10" i="37"/>
  <c r="BI10" i="37"/>
  <c r="BH10" i="37"/>
  <c r="BG10" i="37"/>
  <c r="BF10" i="37"/>
  <c r="BE10" i="37"/>
  <c r="BC10" i="37"/>
  <c r="BB10" i="37"/>
  <c r="BA10" i="37"/>
  <c r="AZ10" i="37"/>
  <c r="AY10" i="37"/>
  <c r="AX10" i="37"/>
  <c r="AW10" i="37"/>
  <c r="AV10" i="37"/>
  <c r="AU10" i="37"/>
  <c r="AT10" i="37"/>
  <c r="AS10" i="37"/>
  <c r="AR10" i="37"/>
  <c r="AQ10" i="37"/>
  <c r="AP10" i="37"/>
  <c r="AO10" i="37"/>
  <c r="AM10" i="37"/>
  <c r="AL10" i="37"/>
  <c r="AK10" i="37"/>
  <c r="AJ10" i="37"/>
  <c r="AH10" i="37"/>
  <c r="AG10" i="37"/>
  <c r="AF10" i="37"/>
  <c r="AE10" i="37"/>
  <c r="AD10" i="37"/>
  <c r="AC10" i="37"/>
  <c r="AB10" i="37"/>
  <c r="AA10" i="37"/>
  <c r="Z10" i="37"/>
  <c r="Y10" i="37"/>
  <c r="X10" i="37"/>
  <c r="W10" i="37"/>
  <c r="V10" i="37"/>
  <c r="U10" i="37"/>
  <c r="T10" i="37"/>
  <c r="R10" i="37"/>
  <c r="Q10" i="37"/>
  <c r="P10" i="37"/>
  <c r="O10" i="37"/>
  <c r="N10" i="37"/>
  <c r="M10" i="37"/>
  <c r="L10" i="37"/>
  <c r="K10" i="37"/>
  <c r="J10" i="37"/>
  <c r="I10" i="37"/>
  <c r="H10" i="37"/>
  <c r="G10" i="37"/>
  <c r="F10" i="37"/>
  <c r="E10" i="37"/>
  <c r="D10" i="37"/>
  <c r="IA9" i="37"/>
  <c r="HZ9" i="37"/>
  <c r="SQ9" i="38" s="1"/>
  <c r="HY9" i="37"/>
  <c r="SP9" i="38" s="1"/>
  <c r="HX9" i="37"/>
  <c r="SO9" i="38" s="1"/>
  <c r="HW9" i="37"/>
  <c r="SN9" i="38" s="1"/>
  <c r="HV9" i="37"/>
  <c r="SM9" i="38" s="1"/>
  <c r="HU9" i="37"/>
  <c r="SL9" i="38" s="1"/>
  <c r="HT9" i="37"/>
  <c r="SK9" i="38" s="1"/>
  <c r="HS9" i="37"/>
  <c r="SJ9" i="38" s="1"/>
  <c r="HR9" i="37"/>
  <c r="SI9" i="38" s="1"/>
  <c r="HQ9" i="37"/>
  <c r="SH9" i="38" s="1"/>
  <c r="HP9" i="37"/>
  <c r="SG9" i="38" s="1"/>
  <c r="HO9" i="37"/>
  <c r="SF9" i="38" s="1"/>
  <c r="HN9" i="37"/>
  <c r="SE9" i="38" s="1"/>
  <c r="HM9" i="37"/>
  <c r="SD9" i="38" s="1"/>
  <c r="GT9" i="37"/>
  <c r="GS9" i="37"/>
  <c r="GR9" i="37"/>
  <c r="GQ9" i="37"/>
  <c r="GP9" i="37"/>
  <c r="GO9" i="37"/>
  <c r="GN9" i="37"/>
  <c r="GM9" i="37"/>
  <c r="GL9" i="37"/>
  <c r="GK9" i="37"/>
  <c r="GJ9" i="37"/>
  <c r="GI9" i="37"/>
  <c r="GH9" i="37"/>
  <c r="GG9" i="37"/>
  <c r="GF9" i="37"/>
  <c r="GC9" i="37"/>
  <c r="GB9" i="37"/>
  <c r="GA9" i="37"/>
  <c r="FZ9" i="37"/>
  <c r="FY9" i="37"/>
  <c r="FX9" i="37"/>
  <c r="FW9" i="37"/>
  <c r="FV9" i="37"/>
  <c r="FU9" i="37"/>
  <c r="FT9" i="37"/>
  <c r="FS9" i="37"/>
  <c r="FR9" i="37"/>
  <c r="FQ9" i="37"/>
  <c r="FP9" i="37"/>
  <c r="FO9" i="37"/>
  <c r="FM9" i="37"/>
  <c r="FL9" i="37"/>
  <c r="FK9" i="37"/>
  <c r="FJ9" i="37"/>
  <c r="FI9" i="37"/>
  <c r="FH9" i="37"/>
  <c r="FG9" i="37"/>
  <c r="FF9" i="37"/>
  <c r="FE9" i="37"/>
  <c r="FD9" i="37"/>
  <c r="FC9" i="37"/>
  <c r="FB9" i="37"/>
  <c r="FA9" i="37"/>
  <c r="EZ9" i="37"/>
  <c r="EY9" i="37"/>
  <c r="EV9" i="37"/>
  <c r="EU9" i="37"/>
  <c r="ET9" i="37"/>
  <c r="ES9" i="37"/>
  <c r="ER9" i="37"/>
  <c r="EQ9" i="37"/>
  <c r="EP9" i="37"/>
  <c r="EO9" i="37"/>
  <c r="EN9" i="37"/>
  <c r="EM9" i="37"/>
  <c r="EL9" i="37"/>
  <c r="EK9" i="37"/>
  <c r="EJ9" i="37"/>
  <c r="EI9" i="37"/>
  <c r="EH9" i="37"/>
  <c r="EF9" i="37"/>
  <c r="EE9" i="37"/>
  <c r="ED9" i="37"/>
  <c r="EC9" i="37"/>
  <c r="EB9" i="37"/>
  <c r="EA9" i="37"/>
  <c r="DZ9" i="37"/>
  <c r="DY9" i="37"/>
  <c r="DX9" i="37"/>
  <c r="DW9" i="37"/>
  <c r="DV9" i="37"/>
  <c r="DU9" i="37"/>
  <c r="DT9" i="37"/>
  <c r="DS9" i="37"/>
  <c r="DR9" i="37"/>
  <c r="DO9" i="37"/>
  <c r="DN9" i="37"/>
  <c r="FA9" i="38" s="1"/>
  <c r="DM9" i="37"/>
  <c r="EZ9" i="38" s="1"/>
  <c r="DL9" i="37"/>
  <c r="EY9" i="38" s="1"/>
  <c r="DK9" i="37"/>
  <c r="EX9" i="38" s="1"/>
  <c r="DJ9" i="37"/>
  <c r="EW9" i="38" s="1"/>
  <c r="DI9" i="37"/>
  <c r="EV9" i="38" s="1"/>
  <c r="DH9" i="37"/>
  <c r="EU9" i="38" s="1"/>
  <c r="DG9" i="37"/>
  <c r="ET9" i="38" s="1"/>
  <c r="DF9" i="37"/>
  <c r="ES9" i="38" s="1"/>
  <c r="DE9" i="37"/>
  <c r="ER9" i="38" s="1"/>
  <c r="DD9" i="37"/>
  <c r="EQ9" i="38" s="1"/>
  <c r="DC9" i="37"/>
  <c r="EP9" i="38" s="1"/>
  <c r="DB9" i="37"/>
  <c r="EO9" i="38" s="1"/>
  <c r="DA9" i="37"/>
  <c r="EN9" i="38" s="1"/>
  <c r="CI9" i="37"/>
  <c r="CH9" i="37"/>
  <c r="CG9" i="37"/>
  <c r="CF9" i="37"/>
  <c r="CE9" i="37"/>
  <c r="CD9" i="37"/>
  <c r="CC9" i="37"/>
  <c r="CB9" i="37"/>
  <c r="CA9" i="37"/>
  <c r="BZ9" i="37"/>
  <c r="BY9" i="37"/>
  <c r="BX9" i="37"/>
  <c r="BW9" i="37"/>
  <c r="BV9" i="37"/>
  <c r="BU9" i="37"/>
  <c r="BS9" i="37"/>
  <c r="BR9" i="37"/>
  <c r="BQ9" i="37"/>
  <c r="BP9" i="37"/>
  <c r="BO9" i="37"/>
  <c r="BN9" i="37"/>
  <c r="BM9" i="37"/>
  <c r="BL9" i="37"/>
  <c r="BK9" i="37"/>
  <c r="BJ9" i="37"/>
  <c r="BI9" i="37"/>
  <c r="BH9" i="37"/>
  <c r="BG9" i="37"/>
  <c r="BF9" i="37"/>
  <c r="BE9" i="37"/>
  <c r="BC9" i="37"/>
  <c r="BB9" i="37"/>
  <c r="BA9" i="37"/>
  <c r="AZ9" i="37"/>
  <c r="AY9" i="37"/>
  <c r="AX9" i="37"/>
  <c r="AW9" i="37"/>
  <c r="AV9" i="37"/>
  <c r="AU9" i="37"/>
  <c r="AT9" i="37"/>
  <c r="AS9" i="37"/>
  <c r="AR9" i="37"/>
  <c r="AQ9" i="37"/>
  <c r="AP9" i="37"/>
  <c r="AO9" i="37"/>
  <c r="AM9" i="37"/>
  <c r="AL9" i="37"/>
  <c r="AK9" i="37"/>
  <c r="AJ9" i="37"/>
  <c r="AH9" i="37"/>
  <c r="AG9" i="37"/>
  <c r="AF9" i="37"/>
  <c r="AE9" i="37"/>
  <c r="AD9" i="37"/>
  <c r="AC9" i="37"/>
  <c r="AB9" i="37"/>
  <c r="AA9" i="37"/>
  <c r="Z9" i="37"/>
  <c r="Y9" i="37"/>
  <c r="X9" i="37"/>
  <c r="W9" i="37"/>
  <c r="V9" i="37"/>
  <c r="U9" i="37"/>
  <c r="T9" i="37"/>
  <c r="R9" i="37"/>
  <c r="Q9" i="37"/>
  <c r="P9" i="37"/>
  <c r="O9" i="37"/>
  <c r="N9" i="37"/>
  <c r="M9" i="37"/>
  <c r="L9" i="37"/>
  <c r="K9" i="37"/>
  <c r="J9" i="37"/>
  <c r="I9" i="37"/>
  <c r="H9" i="37"/>
  <c r="G9" i="37"/>
  <c r="F9" i="37"/>
  <c r="E9" i="37"/>
  <c r="D9" i="37"/>
  <c r="IA8" i="37"/>
  <c r="HY8" i="37"/>
  <c r="SP8" i="38" s="1"/>
  <c r="HW8" i="37"/>
  <c r="SN8" i="38" s="1"/>
  <c r="HU8" i="37"/>
  <c r="SL8" i="38" s="1"/>
  <c r="HS8" i="37"/>
  <c r="SJ8" i="38" s="1"/>
  <c r="HQ8" i="37"/>
  <c r="SH8" i="38" s="1"/>
  <c r="HO8" i="37"/>
  <c r="SF8" i="38" s="1"/>
  <c r="HM8" i="37"/>
  <c r="SD8" i="38" s="1"/>
  <c r="GT8" i="37"/>
  <c r="GR8" i="37"/>
  <c r="GP8" i="37"/>
  <c r="GN8" i="37"/>
  <c r="GL8" i="37"/>
  <c r="GJ8" i="37"/>
  <c r="GH8" i="37"/>
  <c r="GF8" i="37"/>
  <c r="GC8" i="37"/>
  <c r="GB8" i="37"/>
  <c r="GA8" i="37"/>
  <c r="FZ8" i="37"/>
  <c r="FY8" i="37"/>
  <c r="FX8" i="37"/>
  <c r="FW8" i="37"/>
  <c r="FV8" i="37"/>
  <c r="FU8" i="37"/>
  <c r="FT8" i="37"/>
  <c r="FS8" i="37"/>
  <c r="FR8" i="37"/>
  <c r="FQ8" i="37"/>
  <c r="FP8" i="37"/>
  <c r="FO8" i="37"/>
  <c r="FM8" i="37"/>
  <c r="FK8" i="37"/>
  <c r="FI8" i="37"/>
  <c r="FG8" i="37"/>
  <c r="FE8" i="37"/>
  <c r="FC8" i="37"/>
  <c r="FA8" i="37"/>
  <c r="EY8" i="37"/>
  <c r="EV8" i="37"/>
  <c r="EU8" i="37"/>
  <c r="ET8" i="37"/>
  <c r="ES8" i="37"/>
  <c r="ER8" i="37"/>
  <c r="EQ8" i="37"/>
  <c r="EP8" i="37"/>
  <c r="EO8" i="37"/>
  <c r="EN8" i="37"/>
  <c r="EM8" i="37"/>
  <c r="EL8" i="37"/>
  <c r="EK8" i="37"/>
  <c r="EJ8" i="37"/>
  <c r="EI8" i="37"/>
  <c r="EH8" i="37"/>
  <c r="EF8" i="37"/>
  <c r="ED8" i="37"/>
  <c r="EB8" i="37"/>
  <c r="DZ8" i="37"/>
  <c r="DX8" i="37"/>
  <c r="DV8" i="37"/>
  <c r="DT8" i="37"/>
  <c r="DR8" i="37"/>
  <c r="DO8" i="37"/>
  <c r="DM8" i="37"/>
  <c r="DK8" i="37"/>
  <c r="EX8" i="38" s="1"/>
  <c r="DI8" i="37"/>
  <c r="EV8" i="38" s="1"/>
  <c r="DG8" i="37"/>
  <c r="DE8" i="37"/>
  <c r="DC8" i="37"/>
  <c r="EP8" i="38" s="1"/>
  <c r="DA8" i="37"/>
  <c r="EN8" i="38" s="1"/>
  <c r="CI8" i="37"/>
  <c r="CG8" i="37"/>
  <c r="CE8" i="37"/>
  <c r="CC8" i="37"/>
  <c r="CA8" i="37"/>
  <c r="BY8" i="37"/>
  <c r="GZ8" i="37" s="1"/>
  <c r="BW8" i="37"/>
  <c r="BU8" i="37"/>
  <c r="BS8" i="37"/>
  <c r="BQ8" i="37"/>
  <c r="BO8" i="37"/>
  <c r="BM8" i="37"/>
  <c r="BK8" i="37"/>
  <c r="BL8" i="37" s="1"/>
  <c r="BI8" i="37"/>
  <c r="BG8" i="37"/>
  <c r="BE8" i="37"/>
  <c r="BC8" i="37"/>
  <c r="BB8" i="37"/>
  <c r="BA8" i="37"/>
  <c r="AZ8" i="37"/>
  <c r="AY8" i="37"/>
  <c r="AX8" i="37"/>
  <c r="AW8" i="37"/>
  <c r="AV8" i="37"/>
  <c r="AU8" i="37"/>
  <c r="AT8" i="37"/>
  <c r="AS8" i="37"/>
  <c r="AR8" i="37"/>
  <c r="AQ8" i="37"/>
  <c r="AP8" i="37"/>
  <c r="AO8" i="37"/>
  <c r="AM8" i="37"/>
  <c r="AL8" i="37"/>
  <c r="AK8" i="37"/>
  <c r="AJ8" i="37"/>
  <c r="AH8" i="37"/>
  <c r="AF8" i="37"/>
  <c r="AD8" i="37"/>
  <c r="AB8" i="37"/>
  <c r="Z8" i="37"/>
  <c r="X8" i="37"/>
  <c r="V8" i="37"/>
  <c r="T8" i="37"/>
  <c r="R8" i="37"/>
  <c r="P8" i="37"/>
  <c r="N8" i="37"/>
  <c r="L8" i="37"/>
  <c r="J8" i="37"/>
  <c r="H8" i="37"/>
  <c r="F8" i="37"/>
  <c r="D8" i="37"/>
  <c r="IA7" i="37"/>
  <c r="HZ7" i="37"/>
  <c r="SQ7" i="38" s="1"/>
  <c r="HY7" i="37"/>
  <c r="SP7" i="38" s="1"/>
  <c r="HX7" i="37"/>
  <c r="SO7" i="38" s="1"/>
  <c r="HW7" i="37"/>
  <c r="SN7" i="38" s="1"/>
  <c r="HV7" i="37"/>
  <c r="SM7" i="38" s="1"/>
  <c r="HU7" i="37"/>
  <c r="SL7" i="38" s="1"/>
  <c r="HT7" i="37"/>
  <c r="SK7" i="38" s="1"/>
  <c r="HS7" i="37"/>
  <c r="SJ7" i="38" s="1"/>
  <c r="HR7" i="37"/>
  <c r="SI7" i="38" s="1"/>
  <c r="HQ7" i="37"/>
  <c r="SH7" i="38" s="1"/>
  <c r="HP7" i="37"/>
  <c r="SG7" i="38" s="1"/>
  <c r="HO7" i="37"/>
  <c r="SF7" i="38" s="1"/>
  <c r="HN7" i="37"/>
  <c r="SE7" i="38" s="1"/>
  <c r="HM7" i="37"/>
  <c r="SD7" i="38" s="1"/>
  <c r="GT7" i="37"/>
  <c r="GS7" i="37"/>
  <c r="GR7" i="37"/>
  <c r="GQ7" i="37"/>
  <c r="GP7" i="37"/>
  <c r="GO7" i="37"/>
  <c r="GN7" i="37"/>
  <c r="GM7" i="37"/>
  <c r="GL7" i="37"/>
  <c r="GK7" i="37"/>
  <c r="GJ7" i="37"/>
  <c r="GI7" i="37"/>
  <c r="GH7" i="37"/>
  <c r="GG7" i="37"/>
  <c r="GF7" i="37"/>
  <c r="GC7" i="37"/>
  <c r="GB7" i="37"/>
  <c r="GA7" i="37"/>
  <c r="FZ7" i="37"/>
  <c r="FY7" i="37"/>
  <c r="FX7" i="37"/>
  <c r="FW7" i="37"/>
  <c r="FV7" i="37"/>
  <c r="FU7" i="37"/>
  <c r="FT7" i="37"/>
  <c r="FS7" i="37"/>
  <c r="FR7" i="37"/>
  <c r="FQ7" i="37"/>
  <c r="FP7" i="37"/>
  <c r="FO7" i="37"/>
  <c r="FM7" i="37"/>
  <c r="FL7" i="37"/>
  <c r="FK7" i="37"/>
  <c r="FJ7" i="37"/>
  <c r="FI7" i="37"/>
  <c r="FH7" i="37"/>
  <c r="FG7" i="37"/>
  <c r="FF7" i="37"/>
  <c r="FE7" i="37"/>
  <c r="FD7" i="37"/>
  <c r="FC7" i="37"/>
  <c r="FB7" i="37"/>
  <c r="FA7" i="37"/>
  <c r="EZ7" i="37"/>
  <c r="EY7" i="37"/>
  <c r="EV7" i="37"/>
  <c r="EU7" i="37"/>
  <c r="ET7" i="37"/>
  <c r="ES7" i="37"/>
  <c r="ER7" i="37"/>
  <c r="EQ7" i="37"/>
  <c r="EP7" i="37"/>
  <c r="EO7" i="37"/>
  <c r="EN7" i="37"/>
  <c r="EM7" i="37"/>
  <c r="EL7" i="37"/>
  <c r="EK7" i="37"/>
  <c r="EJ7" i="37"/>
  <c r="EI7" i="37"/>
  <c r="EH7" i="37"/>
  <c r="EF7" i="37"/>
  <c r="EE7" i="37"/>
  <c r="ED7" i="37"/>
  <c r="EC7" i="37"/>
  <c r="EB7" i="37"/>
  <c r="EA7" i="37"/>
  <c r="DZ7" i="37"/>
  <c r="DY7" i="37"/>
  <c r="DX7" i="37"/>
  <c r="DW7" i="37"/>
  <c r="DV7" i="37"/>
  <c r="DU7" i="37"/>
  <c r="DT7" i="37"/>
  <c r="DS7" i="37"/>
  <c r="DR7" i="37"/>
  <c r="DO7" i="37"/>
  <c r="DN7" i="37"/>
  <c r="FA7" i="38" s="1"/>
  <c r="DM7" i="37"/>
  <c r="EZ7" i="38" s="1"/>
  <c r="DL7" i="37"/>
  <c r="EY7" i="38" s="1"/>
  <c r="DK7" i="37"/>
  <c r="EX7" i="38" s="1"/>
  <c r="DJ7" i="37"/>
  <c r="EW7" i="38" s="1"/>
  <c r="DI7" i="37"/>
  <c r="EV7" i="38" s="1"/>
  <c r="DH7" i="37"/>
  <c r="EU7" i="38" s="1"/>
  <c r="DG7" i="37"/>
  <c r="ET7" i="38" s="1"/>
  <c r="DF7" i="37"/>
  <c r="ES7" i="38" s="1"/>
  <c r="DE7" i="37"/>
  <c r="ER7" i="38" s="1"/>
  <c r="DD7" i="37"/>
  <c r="EQ7" i="38" s="1"/>
  <c r="DC7" i="37"/>
  <c r="EP7" i="38" s="1"/>
  <c r="DB7" i="37"/>
  <c r="EO7" i="38" s="1"/>
  <c r="DA7" i="37"/>
  <c r="EN7" i="38" s="1"/>
  <c r="CI7" i="37"/>
  <c r="CH7" i="37"/>
  <c r="CG7" i="37"/>
  <c r="CF7" i="37"/>
  <c r="CE7" i="37"/>
  <c r="CD7" i="37"/>
  <c r="CC7" i="37"/>
  <c r="CB7" i="37"/>
  <c r="CA7" i="37"/>
  <c r="BZ7" i="37"/>
  <c r="BY7" i="37"/>
  <c r="BX7" i="37"/>
  <c r="BW7" i="37"/>
  <c r="BV7" i="37"/>
  <c r="BU7" i="37"/>
  <c r="BS7" i="37"/>
  <c r="BR7" i="37"/>
  <c r="BQ7" i="37"/>
  <c r="BP7" i="37"/>
  <c r="BO7" i="37"/>
  <c r="BN7" i="37"/>
  <c r="BM7" i="37"/>
  <c r="BL7" i="37"/>
  <c r="BK7" i="37"/>
  <c r="BJ7" i="37"/>
  <c r="BI7" i="37"/>
  <c r="BH7" i="37"/>
  <c r="BG7" i="37"/>
  <c r="BF7" i="37"/>
  <c r="BE7" i="37"/>
  <c r="BC7" i="37"/>
  <c r="BB7" i="37"/>
  <c r="BA7" i="37"/>
  <c r="AZ7" i="37"/>
  <c r="AY7" i="37"/>
  <c r="AX7" i="37"/>
  <c r="AW7" i="37"/>
  <c r="AV7" i="37"/>
  <c r="AU7" i="37"/>
  <c r="AT7" i="37"/>
  <c r="AS7" i="37"/>
  <c r="AR7" i="37"/>
  <c r="AQ7" i="37"/>
  <c r="AP7" i="37"/>
  <c r="AO7" i="37"/>
  <c r="AM7" i="37"/>
  <c r="AL7" i="37"/>
  <c r="AK7" i="37"/>
  <c r="AJ7" i="37"/>
  <c r="AH7" i="37"/>
  <c r="AG7" i="37"/>
  <c r="AF7" i="37"/>
  <c r="AE7" i="37"/>
  <c r="AD7" i="37"/>
  <c r="AC7" i="37"/>
  <c r="AB7" i="37"/>
  <c r="AA7" i="37"/>
  <c r="Z7" i="37"/>
  <c r="Y7" i="37"/>
  <c r="X7" i="37"/>
  <c r="W7" i="37"/>
  <c r="V7" i="37"/>
  <c r="U7" i="37"/>
  <c r="T7" i="37"/>
  <c r="R7" i="37"/>
  <c r="Q7" i="37"/>
  <c r="P7" i="37"/>
  <c r="O7" i="37"/>
  <c r="N7" i="37"/>
  <c r="M7" i="37"/>
  <c r="L7" i="37"/>
  <c r="K7" i="37"/>
  <c r="J7" i="37"/>
  <c r="I7" i="37"/>
  <c r="H7" i="37"/>
  <c r="G7" i="37"/>
  <c r="F7" i="37"/>
  <c r="E7" i="37"/>
  <c r="D7" i="37"/>
  <c r="IA6" i="37"/>
  <c r="HZ6" i="37"/>
  <c r="SQ6" i="38" s="1"/>
  <c r="HY6" i="37"/>
  <c r="SP6" i="38" s="1"/>
  <c r="HX6" i="37"/>
  <c r="SO6" i="38" s="1"/>
  <c r="HW6" i="37"/>
  <c r="SN6" i="38" s="1"/>
  <c r="HV6" i="37"/>
  <c r="SM6" i="38" s="1"/>
  <c r="HU6" i="37"/>
  <c r="SL6" i="38" s="1"/>
  <c r="HT6" i="37"/>
  <c r="SK6" i="38" s="1"/>
  <c r="HS6" i="37"/>
  <c r="SJ6" i="38" s="1"/>
  <c r="HR6" i="37"/>
  <c r="SI6" i="38" s="1"/>
  <c r="HQ6" i="37"/>
  <c r="SH6" i="38" s="1"/>
  <c r="HP6" i="37"/>
  <c r="SG6" i="38" s="1"/>
  <c r="HO6" i="37"/>
  <c r="SF6" i="38" s="1"/>
  <c r="HN6" i="37"/>
  <c r="SE6" i="38" s="1"/>
  <c r="HM6" i="37"/>
  <c r="SD6" i="38" s="1"/>
  <c r="GT6" i="37"/>
  <c r="GS6" i="37"/>
  <c r="GR6" i="37"/>
  <c r="GQ6" i="37"/>
  <c r="GP6" i="37"/>
  <c r="GO6" i="37"/>
  <c r="GN6" i="37"/>
  <c r="GM6" i="37"/>
  <c r="GL6" i="37"/>
  <c r="GK6" i="37"/>
  <c r="GJ6" i="37"/>
  <c r="GI6" i="37"/>
  <c r="GH6" i="37"/>
  <c r="GG6" i="37"/>
  <c r="GF6" i="37"/>
  <c r="GC6" i="37"/>
  <c r="GB6" i="37"/>
  <c r="GA6" i="37"/>
  <c r="FZ6" i="37"/>
  <c r="FY6" i="37"/>
  <c r="FX6" i="37"/>
  <c r="FW6" i="37"/>
  <c r="FV6" i="37"/>
  <c r="FU6" i="37"/>
  <c r="FT6" i="37"/>
  <c r="FS6" i="37"/>
  <c r="FR6" i="37"/>
  <c r="FQ6" i="37"/>
  <c r="FP6" i="37"/>
  <c r="FO6" i="37"/>
  <c r="FM6" i="37"/>
  <c r="FL6" i="37"/>
  <c r="FK6" i="37"/>
  <c r="FJ6" i="37"/>
  <c r="FI6" i="37"/>
  <c r="FH6" i="37"/>
  <c r="FG6" i="37"/>
  <c r="FF6" i="37"/>
  <c r="FE6" i="37"/>
  <c r="FD6" i="37"/>
  <c r="FC6" i="37"/>
  <c r="FB6" i="37"/>
  <c r="FA6" i="37"/>
  <c r="EZ6" i="37"/>
  <c r="HF13" i="37" l="1"/>
  <c r="HC15" i="37"/>
  <c r="HC16" i="37"/>
  <c r="K63" i="37"/>
  <c r="K64" i="37"/>
  <c r="GV18" i="37"/>
  <c r="HD18" i="37"/>
  <c r="CK19" i="37"/>
  <c r="GV19" i="37"/>
  <c r="HD19" i="37"/>
  <c r="L66" i="37"/>
  <c r="F67" i="37"/>
  <c r="N67" i="37"/>
  <c r="GY21" i="37"/>
  <c r="HG21" i="37"/>
  <c r="J22" i="37"/>
  <c r="J68" i="37" s="1"/>
  <c r="DN13" i="37"/>
  <c r="FA13" i="38" s="1"/>
  <c r="EZ13" i="38"/>
  <c r="DN14" i="37"/>
  <c r="FA14" i="38" s="1"/>
  <c r="EZ14" i="38"/>
  <c r="DA22" i="37"/>
  <c r="EN22" i="38" s="1"/>
  <c r="EO22" i="38"/>
  <c r="DK22" i="37"/>
  <c r="EX22" i="38" s="1"/>
  <c r="EW22" i="38"/>
  <c r="GX15" i="37"/>
  <c r="HF15" i="37"/>
  <c r="F63" i="37"/>
  <c r="N63" i="37"/>
  <c r="G65" i="37"/>
  <c r="O65" i="37"/>
  <c r="G66" i="37"/>
  <c r="O66" i="37"/>
  <c r="P22" i="37"/>
  <c r="P68" i="37" s="1"/>
  <c r="DZ22" i="37"/>
  <c r="DH8" i="37"/>
  <c r="EU8" i="38" s="1"/>
  <c r="ET8" i="38"/>
  <c r="DM22" i="37"/>
  <c r="EZ22" i="38" s="1"/>
  <c r="FA22" i="38"/>
  <c r="DF8" i="37"/>
  <c r="ES8" i="38" s="1"/>
  <c r="ER8" i="38"/>
  <c r="DN8" i="37"/>
  <c r="FA8" i="38" s="1"/>
  <c r="EZ8" i="38"/>
  <c r="G8" i="37"/>
  <c r="G29" i="37" s="1"/>
  <c r="BJ8" i="37"/>
  <c r="BR8" i="37"/>
  <c r="BJ13" i="37"/>
  <c r="EA13" i="37"/>
  <c r="I14" i="37"/>
  <c r="I60" i="37" s="1"/>
  <c r="BL14" i="37"/>
  <c r="N22" i="37"/>
  <c r="N68" i="37" s="1"/>
  <c r="EC8" i="37"/>
  <c r="U13" i="37"/>
  <c r="FH13" i="37"/>
  <c r="GQ13" i="37"/>
  <c r="HP13" i="37"/>
  <c r="SG13" i="38" s="1"/>
  <c r="G14" i="37"/>
  <c r="G60" i="37" s="1"/>
  <c r="AC14" i="37"/>
  <c r="AR14" i="37"/>
  <c r="GS14" i="37"/>
  <c r="CO19" i="37"/>
  <c r="CW19" i="37"/>
  <c r="GY7" i="37"/>
  <c r="HG7" i="37"/>
  <c r="AA8" i="37"/>
  <c r="BF8" i="37"/>
  <c r="DB8" i="37"/>
  <c r="EO8" i="38" s="1"/>
  <c r="AX14" i="37"/>
  <c r="DB14" i="37"/>
  <c r="EO14" i="38" s="1"/>
  <c r="EZ14" i="37"/>
  <c r="GI14" i="37"/>
  <c r="HX14" i="37"/>
  <c r="SO14" i="38" s="1"/>
  <c r="CQ16" i="37"/>
  <c r="CY16" i="37"/>
  <c r="HG20" i="37"/>
  <c r="GW21" i="37"/>
  <c r="HE21" i="37"/>
  <c r="AW22" i="37"/>
  <c r="U8" i="37"/>
  <c r="DU8" i="37"/>
  <c r="AC13" i="37"/>
  <c r="BH13" i="37"/>
  <c r="U14" i="37"/>
  <c r="GZ17" i="37"/>
  <c r="HH17" i="37"/>
  <c r="H64" i="37"/>
  <c r="P64" i="37"/>
  <c r="HA18" i="37"/>
  <c r="HI18" i="37"/>
  <c r="I65" i="37"/>
  <c r="Q65" i="37"/>
  <c r="HF20" i="37"/>
  <c r="CD8" i="37"/>
  <c r="O13" i="37"/>
  <c r="O59" i="37" s="1"/>
  <c r="HB13" i="37"/>
  <c r="FJ13" i="37"/>
  <c r="GS13" i="37"/>
  <c r="Q14" i="37"/>
  <c r="Q60" i="37" s="1"/>
  <c r="FD14" i="37"/>
  <c r="DT22" i="37"/>
  <c r="HV8" i="37"/>
  <c r="SM8" i="38" s="1"/>
  <c r="GZ12" i="37"/>
  <c r="HH12" i="37"/>
  <c r="L61" i="37"/>
  <c r="GV17" i="37"/>
  <c r="HD17" i="37"/>
  <c r="CK18" i="37"/>
  <c r="AG8" i="37"/>
  <c r="BX8" i="37"/>
  <c r="DS8" i="37"/>
  <c r="FB8" i="37"/>
  <c r="GK8" i="37"/>
  <c r="F56" i="37"/>
  <c r="N56" i="37"/>
  <c r="GX11" i="37"/>
  <c r="HF11" i="37"/>
  <c r="G13" i="37"/>
  <c r="G59" i="37" s="1"/>
  <c r="GV13" i="37"/>
  <c r="DD13" i="37"/>
  <c r="EQ13" i="38" s="1"/>
  <c r="HV13" i="37"/>
  <c r="SM13" i="38" s="1"/>
  <c r="AA14" i="37"/>
  <c r="HZ14" i="37"/>
  <c r="SQ14" i="38" s="1"/>
  <c r="BM22" i="37"/>
  <c r="H22" i="37"/>
  <c r="H68" i="37" s="1"/>
  <c r="S53" i="37"/>
  <c r="HA7" i="37"/>
  <c r="HI7" i="37"/>
  <c r="EE8" i="37"/>
  <c r="GG8" i="37"/>
  <c r="CL9" i="37"/>
  <c r="CT9" i="37"/>
  <c r="CK10" i="37"/>
  <c r="GV10" i="37"/>
  <c r="HD10" i="37"/>
  <c r="GV11" i="37"/>
  <c r="HD11" i="37"/>
  <c r="L58" i="37"/>
  <c r="CL12" i="37"/>
  <c r="CT12" i="37"/>
  <c r="BP13" i="37"/>
  <c r="DS13" i="37"/>
  <c r="GK13" i="37"/>
  <c r="FJ14" i="37"/>
  <c r="GZ15" i="37"/>
  <c r="HH15" i="37"/>
  <c r="GZ16" i="37"/>
  <c r="HH16" i="37"/>
  <c r="Z18" i="37"/>
  <c r="CQ18" i="37" s="1"/>
  <c r="I66" i="37"/>
  <c r="Q66" i="37"/>
  <c r="K67" i="37"/>
  <c r="BK22" i="37"/>
  <c r="BI22" i="37"/>
  <c r="Y8" i="37"/>
  <c r="CF8" i="37"/>
  <c r="HG8" i="37" s="1"/>
  <c r="FJ8" i="37"/>
  <c r="HZ8" i="37"/>
  <c r="SQ8" i="38" s="1"/>
  <c r="CR11" i="37"/>
  <c r="CR12" i="37"/>
  <c r="BN13" i="37"/>
  <c r="GG13" i="37"/>
  <c r="DY14" i="37"/>
  <c r="GM14" i="37"/>
  <c r="HR14" i="37"/>
  <c r="SI14" i="38" s="1"/>
  <c r="GY22" i="37"/>
  <c r="DW8" i="37"/>
  <c r="FD8" i="37"/>
  <c r="HR8" i="37"/>
  <c r="SI8" i="38" s="1"/>
  <c r="CM13" i="37"/>
  <c r="BB13" i="37"/>
  <c r="CB13" i="37"/>
  <c r="DF14" i="37"/>
  <c r="ES14" i="38" s="1"/>
  <c r="HA22" i="37"/>
  <c r="DG22" i="37"/>
  <c r="ET22" i="38" s="1"/>
  <c r="HT13" i="37"/>
  <c r="SK13" i="38" s="1"/>
  <c r="AG14" i="37"/>
  <c r="CQ20" i="37"/>
  <c r="CY20" i="37"/>
  <c r="F22" i="37"/>
  <c r="F68" i="37" s="1"/>
  <c r="I8" i="37"/>
  <c r="I30" i="37" s="1"/>
  <c r="BN8" i="37"/>
  <c r="GI8" i="37"/>
  <c r="HN8" i="37"/>
  <c r="SE8" i="38" s="1"/>
  <c r="HC12" i="37"/>
  <c r="AX13" i="37"/>
  <c r="BZ13" i="37"/>
  <c r="DF13" i="37"/>
  <c r="DY13" i="37"/>
  <c r="GM13" i="37"/>
  <c r="AT14" i="37"/>
  <c r="BJ14" i="37"/>
  <c r="DD14" i="37"/>
  <c r="EQ14" i="38" s="1"/>
  <c r="GQ14" i="37"/>
  <c r="G61" i="37"/>
  <c r="O61" i="37"/>
  <c r="GY17" i="37"/>
  <c r="HG17" i="37"/>
  <c r="GZ19" i="37"/>
  <c r="HE20" i="37"/>
  <c r="DO22" i="37"/>
  <c r="GV7" i="37"/>
  <c r="HD7" i="37"/>
  <c r="DD8" i="37"/>
  <c r="EQ8" i="38" s="1"/>
  <c r="FL8" i="37"/>
  <c r="GS8" i="37"/>
  <c r="HX8" i="37"/>
  <c r="SO8" i="38" s="1"/>
  <c r="CQ10" i="37"/>
  <c r="CY10" i="37"/>
  <c r="HA10" i="37"/>
  <c r="HI10" i="37"/>
  <c r="HA11" i="37"/>
  <c r="HI11" i="37"/>
  <c r="I58" i="37"/>
  <c r="Q58" i="37"/>
  <c r="M13" i="37"/>
  <c r="M59" i="37" s="1"/>
  <c r="CU13" i="37"/>
  <c r="AT13" i="37"/>
  <c r="E14" i="37"/>
  <c r="E60" i="37" s="1"/>
  <c r="AP14" i="37"/>
  <c r="BF14" i="37"/>
  <c r="GW15" i="37"/>
  <c r="HE15" i="37"/>
  <c r="GW16" i="37"/>
  <c r="HE16" i="37"/>
  <c r="GW17" i="37"/>
  <c r="HE17" i="37"/>
  <c r="E64" i="37"/>
  <c r="GX18" i="37"/>
  <c r="HF18" i="37"/>
  <c r="GX19" i="37"/>
  <c r="HF19" i="37"/>
  <c r="H67" i="37"/>
  <c r="P67" i="37"/>
  <c r="Z21" i="37"/>
  <c r="HA21" i="37"/>
  <c r="HI21" i="37"/>
  <c r="AB22" i="37"/>
  <c r="BA22" i="37"/>
  <c r="HI22" i="37"/>
  <c r="EB22" i="37"/>
  <c r="CR7" i="37"/>
  <c r="Q8" i="37"/>
  <c r="Q30" i="37" s="1"/>
  <c r="BV8" i="37"/>
  <c r="GW8" i="37" s="1"/>
  <c r="EA8" i="37"/>
  <c r="FH8" i="37"/>
  <c r="GO8" i="37"/>
  <c r="HT8" i="37"/>
  <c r="SK8" i="38" s="1"/>
  <c r="CO9" i="37"/>
  <c r="CW9" i="37"/>
  <c r="AA13" i="37"/>
  <c r="AP13" i="37"/>
  <c r="EE13" i="37"/>
  <c r="HZ13" i="37"/>
  <c r="SQ13" i="38" s="1"/>
  <c r="Y14" i="37"/>
  <c r="BB14" i="37"/>
  <c r="BP14" i="37"/>
  <c r="DL14" i="37"/>
  <c r="FH14" i="37"/>
  <c r="GK14" i="37"/>
  <c r="CK17" i="37"/>
  <c r="CS17" i="37"/>
  <c r="HA20" i="37"/>
  <c r="HI20" i="37"/>
  <c r="O8" i="37"/>
  <c r="AC8" i="37"/>
  <c r="BH8" i="37"/>
  <c r="HH8" i="37"/>
  <c r="DL8" i="37"/>
  <c r="EY8" i="38" s="1"/>
  <c r="GM8" i="37"/>
  <c r="CN9" i="37"/>
  <c r="CV9" i="37"/>
  <c r="CN10" i="37"/>
  <c r="CV10" i="37"/>
  <c r="GX12" i="37"/>
  <c r="HF12" i="37"/>
  <c r="DL13" i="37"/>
  <c r="EY13" i="38" s="1"/>
  <c r="W14" i="37"/>
  <c r="AZ14" i="37"/>
  <c r="BN14" i="37"/>
  <c r="EA14" i="37"/>
  <c r="HN14" i="37"/>
  <c r="SE14" i="38" s="1"/>
  <c r="HB16" i="37"/>
  <c r="HB17" i="37"/>
  <c r="HJ17" i="37"/>
  <c r="HC19" i="37"/>
  <c r="K66" i="37"/>
  <c r="HH20" i="37"/>
  <c r="HC22" i="37"/>
  <c r="DI22" i="37"/>
  <c r="EV22" i="38" s="1"/>
  <c r="CM9" i="37"/>
  <c r="CU9" i="37"/>
  <c r="CM10" i="37"/>
  <c r="CU10" i="37"/>
  <c r="CP19" i="37"/>
  <c r="CX19" i="37"/>
  <c r="CP7" i="37"/>
  <c r="CX7" i="37"/>
  <c r="CO7" i="37"/>
  <c r="CW7" i="37"/>
  <c r="K8" i="37"/>
  <c r="K30" i="37" s="1"/>
  <c r="W8" i="37"/>
  <c r="GX8" i="37"/>
  <c r="CY8" i="37"/>
  <c r="DY8" i="37"/>
  <c r="GQ8" i="37"/>
  <c r="GW9" i="37"/>
  <c r="HE9" i="37"/>
  <c r="GW10" i="37"/>
  <c r="HE10" i="37"/>
  <c r="E57" i="37"/>
  <c r="M57" i="37"/>
  <c r="CL11" i="37"/>
  <c r="CT11" i="37"/>
  <c r="GW12" i="37"/>
  <c r="HE12" i="37"/>
  <c r="AR13" i="37"/>
  <c r="EC13" i="37"/>
  <c r="GO13" i="37"/>
  <c r="HR13" i="37"/>
  <c r="SI13" i="38" s="1"/>
  <c r="BX14" i="37"/>
  <c r="CN14" i="37" s="1"/>
  <c r="CH14" i="37"/>
  <c r="DJ14" i="37"/>
  <c r="EW14" i="38" s="1"/>
  <c r="DW14" i="37"/>
  <c r="HV14" i="37"/>
  <c r="SM14" i="38" s="1"/>
  <c r="CO15" i="37"/>
  <c r="CW15" i="37"/>
  <c r="CN15" i="37"/>
  <c r="CV15" i="37"/>
  <c r="CN16" i="37"/>
  <c r="CV16" i="37"/>
  <c r="G64" i="37"/>
  <c r="O64" i="37"/>
  <c r="CO18" i="37"/>
  <c r="CW18" i="37"/>
  <c r="HH19" i="37"/>
  <c r="CS20" i="37"/>
  <c r="CX21" i="37"/>
  <c r="CO21" i="37"/>
  <c r="CW21" i="37"/>
  <c r="R22" i="37"/>
  <c r="R68" i="37" s="1"/>
  <c r="BQ22" i="37"/>
  <c r="DV22" i="37"/>
  <c r="CK9" i="37"/>
  <c r="CS9" i="37"/>
  <c r="CK12" i="37"/>
  <c r="CS12" i="37"/>
  <c r="CK13" i="37"/>
  <c r="Q13" i="37"/>
  <c r="Q59" i="37" s="1"/>
  <c r="DH14" i="37"/>
  <c r="EU14" i="38" s="1"/>
  <c r="DU14" i="37"/>
  <c r="FB14" i="37"/>
  <c r="HT14" i="37"/>
  <c r="SK14" i="38" s="1"/>
  <c r="F62" i="37"/>
  <c r="N62" i="37"/>
  <c r="CM16" i="37"/>
  <c r="CU16" i="37"/>
  <c r="CM17" i="37"/>
  <c r="CU17" i="37"/>
  <c r="CN18" i="37"/>
  <c r="CV18" i="37"/>
  <c r="CN19" i="37"/>
  <c r="CV19" i="37"/>
  <c r="CR20" i="37"/>
  <c r="CN7" i="37"/>
  <c r="CV7" i="37"/>
  <c r="CM7" i="37"/>
  <c r="CU7" i="37"/>
  <c r="AE8" i="37"/>
  <c r="DJ8" i="37"/>
  <c r="EZ8" i="37"/>
  <c r="HP8" i="37"/>
  <c r="SG8" i="38" s="1"/>
  <c r="CR9" i="37"/>
  <c r="K56" i="37"/>
  <c r="CR10" i="37"/>
  <c r="CK11" i="37"/>
  <c r="CS11" i="37"/>
  <c r="HC11" i="37"/>
  <c r="AZ13" i="37"/>
  <c r="BL13" i="37"/>
  <c r="GX13" i="37"/>
  <c r="FF13" i="37"/>
  <c r="HN13" i="37"/>
  <c r="SE13" i="38" s="1"/>
  <c r="AV14" i="37"/>
  <c r="BH14" i="37"/>
  <c r="BV14" i="37"/>
  <c r="CF14" i="37"/>
  <c r="CM15" i="37"/>
  <c r="CU15" i="37"/>
  <c r="M64" i="37"/>
  <c r="CM18" i="37"/>
  <c r="HB20" i="37"/>
  <c r="HJ20" i="37"/>
  <c r="CM21" i="37"/>
  <c r="CU21" i="37"/>
  <c r="AD22" i="37"/>
  <c r="AY22" i="37"/>
  <c r="CL7" i="37"/>
  <c r="CT7" i="37"/>
  <c r="HF8" i="37"/>
  <c r="HB9" i="37"/>
  <c r="HJ9" i="37"/>
  <c r="HB10" i="37"/>
  <c r="HJ10" i="37"/>
  <c r="J57" i="37"/>
  <c r="R57" i="37"/>
  <c r="CQ11" i="37"/>
  <c r="CY11" i="37"/>
  <c r="HB12" i="37"/>
  <c r="BV13" i="37"/>
  <c r="HF14" i="37"/>
  <c r="DS14" i="37"/>
  <c r="EE14" i="37"/>
  <c r="GO14" i="37"/>
  <c r="CK15" i="37"/>
  <c r="CS15" i="37"/>
  <c r="L62" i="37"/>
  <c r="CK16" i="37"/>
  <c r="CS16" i="37"/>
  <c r="CU18" i="37"/>
  <c r="CL18" i="37"/>
  <c r="CT18" i="37"/>
  <c r="E65" i="37"/>
  <c r="M65" i="37"/>
  <c r="CL19" i="37"/>
  <c r="CT19" i="37"/>
  <c r="D30" i="37"/>
  <c r="CP9" i="37"/>
  <c r="CX9" i="37"/>
  <c r="CP12" i="37"/>
  <c r="CX12" i="37"/>
  <c r="Y13" i="37"/>
  <c r="AV13" i="37"/>
  <c r="DJ13" i="37"/>
  <c r="EW13" i="38" s="1"/>
  <c r="DW13" i="37"/>
  <c r="FB13" i="37"/>
  <c r="GI13" i="37"/>
  <c r="HX13" i="37"/>
  <c r="SO13" i="38" s="1"/>
  <c r="K14" i="37"/>
  <c r="K60" i="37" s="1"/>
  <c r="CD14" i="37"/>
  <c r="HP14" i="37"/>
  <c r="SG14" i="38" s="1"/>
  <c r="CR17" i="37"/>
  <c r="CK21" i="37"/>
  <c r="CS21" i="37"/>
  <c r="DE22" i="37"/>
  <c r="ER22" i="38" s="1"/>
  <c r="CK7" i="37"/>
  <c r="CS7" i="37"/>
  <c r="HC7" i="37"/>
  <c r="BP8" i="37"/>
  <c r="CQ8" i="37"/>
  <c r="FF8" i="37"/>
  <c r="GZ9" i="37"/>
  <c r="HH9" i="37"/>
  <c r="H56" i="37"/>
  <c r="P56" i="37"/>
  <c r="CP10" i="37"/>
  <c r="CX10" i="37"/>
  <c r="CO10" i="37"/>
  <c r="CW10" i="37"/>
  <c r="CP11" i="37"/>
  <c r="CX11" i="37"/>
  <c r="GZ11" i="37"/>
  <c r="HH11" i="37"/>
  <c r="K13" i="37"/>
  <c r="K59" i="37" s="1"/>
  <c r="CD13" i="37"/>
  <c r="CT13" i="37" s="1"/>
  <c r="DH13" i="37"/>
  <c r="DU13" i="37"/>
  <c r="J61" i="37"/>
  <c r="R61" i="37"/>
  <c r="CQ15" i="37"/>
  <c r="CY15" i="37"/>
  <c r="HJ16" i="37"/>
  <c r="CR18" i="37"/>
  <c r="J67" i="37"/>
  <c r="R67" i="37"/>
  <c r="CR21" i="37"/>
  <c r="Z22" i="37"/>
  <c r="CQ7" i="37"/>
  <c r="CY7" i="37"/>
  <c r="GY9" i="37"/>
  <c r="HG9" i="37"/>
  <c r="GY10" i="37"/>
  <c r="HG10" i="37"/>
  <c r="G57" i="37"/>
  <c r="O57" i="37"/>
  <c r="CN11" i="37"/>
  <c r="CV11" i="37"/>
  <c r="G58" i="37"/>
  <c r="O58" i="37"/>
  <c r="CN12" i="37"/>
  <c r="CV12" i="37"/>
  <c r="I13" i="37"/>
  <c r="I59" i="37" s="1"/>
  <c r="BF13" i="37"/>
  <c r="BR13" i="37"/>
  <c r="HD13" i="37"/>
  <c r="EZ13" i="37"/>
  <c r="FL13" i="37"/>
  <c r="AE14" i="37"/>
  <c r="BZ14" i="37"/>
  <c r="FF14" i="37"/>
  <c r="HA15" i="37"/>
  <c r="HI15" i="37"/>
  <c r="I62" i="37"/>
  <c r="Q62" i="37"/>
  <c r="CP16" i="37"/>
  <c r="CX16" i="37"/>
  <c r="I63" i="37"/>
  <c r="Q63" i="37"/>
  <c r="CP17" i="37"/>
  <c r="CX17" i="37"/>
  <c r="HB18" i="37"/>
  <c r="HJ18" i="37"/>
  <c r="J65" i="37"/>
  <c r="R65" i="37"/>
  <c r="CQ19" i="37"/>
  <c r="CY19" i="37"/>
  <c r="CQ21" i="37"/>
  <c r="CY21" i="37"/>
  <c r="V22" i="37"/>
  <c r="DC22" i="37"/>
  <c r="EP22" i="38" s="1"/>
  <c r="DX22" i="37"/>
  <c r="FC22" i="37"/>
  <c r="Q54" i="37"/>
  <c r="GZ20" i="37"/>
  <c r="GY20" i="37" s="1"/>
  <c r="GX20" i="37" s="1"/>
  <c r="GW20" i="37" s="1"/>
  <c r="GV20" i="37" s="1"/>
  <c r="R53" i="37"/>
  <c r="R29" i="37"/>
  <c r="F55" i="37"/>
  <c r="F31" i="37"/>
  <c r="N55" i="37"/>
  <c r="N31" i="37"/>
  <c r="GV8" i="37"/>
  <c r="HD8" i="37"/>
  <c r="GX9" i="37"/>
  <c r="HF9" i="37"/>
  <c r="GZ10" i="37"/>
  <c r="HH10" i="37"/>
  <c r="HB11" i="37"/>
  <c r="HJ11" i="37"/>
  <c r="GV12" i="37"/>
  <c r="HD12" i="37"/>
  <c r="GY15" i="37"/>
  <c r="HG15" i="37"/>
  <c r="HA16" i="37"/>
  <c r="HI16" i="37"/>
  <c r="HC17" i="37"/>
  <c r="GW18" i="37"/>
  <c r="HE18" i="37"/>
  <c r="GY19" i="37"/>
  <c r="HG19" i="37"/>
  <c r="CP21" i="37"/>
  <c r="GZ21" i="37"/>
  <c r="HH21" i="37"/>
  <c r="J53" i="37"/>
  <c r="J29" i="37"/>
  <c r="L30" i="37"/>
  <c r="I53" i="37"/>
  <c r="Q53" i="37"/>
  <c r="E55" i="37"/>
  <c r="M55" i="37"/>
  <c r="EF27" i="37"/>
  <c r="HJ27" i="37"/>
  <c r="CY27" i="37"/>
  <c r="HB7" i="37"/>
  <c r="HJ7" i="37"/>
  <c r="CB8" i="37"/>
  <c r="CK8" i="37"/>
  <c r="CS8" i="37"/>
  <c r="G56" i="37"/>
  <c r="O56" i="37"/>
  <c r="I57" i="37"/>
  <c r="Q57" i="37"/>
  <c r="K58" i="37"/>
  <c r="W13" i="37"/>
  <c r="AE13" i="37"/>
  <c r="BX13" i="37"/>
  <c r="CF13" i="37"/>
  <c r="CO13" i="37"/>
  <c r="CW13" i="37"/>
  <c r="CB14" i="37"/>
  <c r="CK14" i="37"/>
  <c r="CS14" i="37"/>
  <c r="GV14" i="37"/>
  <c r="HD14" i="37"/>
  <c r="F61" i="37"/>
  <c r="N61" i="37"/>
  <c r="H62" i="37"/>
  <c r="P62" i="37"/>
  <c r="J63" i="37"/>
  <c r="R63" i="37"/>
  <c r="L64" i="37"/>
  <c r="F65" i="37"/>
  <c r="N65" i="37"/>
  <c r="H66" i="37"/>
  <c r="P66" i="37"/>
  <c r="CP20" i="37"/>
  <c r="CX20" i="37"/>
  <c r="G67" i="37"/>
  <c r="O67" i="37"/>
  <c r="Q68" i="37"/>
  <c r="CA22" i="37"/>
  <c r="CI22" i="37"/>
  <c r="CR22" i="37"/>
  <c r="H53" i="37"/>
  <c r="H29" i="37"/>
  <c r="P53" i="37"/>
  <c r="P29" i="37"/>
  <c r="J30" i="37"/>
  <c r="S54" i="37"/>
  <c r="R30" i="37"/>
  <c r="L55" i="37"/>
  <c r="L31" i="37"/>
  <c r="GZ7" i="37"/>
  <c r="HH7" i="37"/>
  <c r="HB8" i="37"/>
  <c r="HJ8" i="37"/>
  <c r="D31" i="37"/>
  <c r="GV9" i="37"/>
  <c r="HD9" i="37"/>
  <c r="GX10" i="37"/>
  <c r="HF10" i="37"/>
  <c r="H57" i="37"/>
  <c r="P57" i="37"/>
  <c r="J58" i="37"/>
  <c r="R58" i="37"/>
  <c r="HJ12" i="37"/>
  <c r="E13" i="37"/>
  <c r="E59" i="37" s="1"/>
  <c r="GZ13" i="37"/>
  <c r="HH13" i="37"/>
  <c r="HJ13" i="37" s="1"/>
  <c r="J60" i="37"/>
  <c r="R60" i="37"/>
  <c r="E61" i="37"/>
  <c r="M61" i="37"/>
  <c r="G62" i="37"/>
  <c r="O62" i="37"/>
  <c r="CO16" i="37"/>
  <c r="CW16" i="37"/>
  <c r="GY16" i="37"/>
  <c r="HG16" i="37"/>
  <c r="CQ17" i="37"/>
  <c r="CY17" i="37"/>
  <c r="HA17" i="37"/>
  <c r="HI17" i="37"/>
  <c r="CS18" i="37"/>
  <c r="HC18" i="37"/>
  <c r="CM19" i="37"/>
  <c r="CU19" i="37"/>
  <c r="GW19" i="37"/>
  <c r="HE19" i="37"/>
  <c r="CO20" i="37"/>
  <c r="CW20" i="37"/>
  <c r="HD20" i="37"/>
  <c r="CN21" i="37"/>
  <c r="CV21" i="37"/>
  <c r="GX21" i="37"/>
  <c r="HF21" i="37"/>
  <c r="G53" i="37"/>
  <c r="O53" i="37"/>
  <c r="K55" i="37"/>
  <c r="BZ8" i="37"/>
  <c r="CH8" i="37"/>
  <c r="HC9" i="37"/>
  <c r="E56" i="37"/>
  <c r="M56" i="37"/>
  <c r="CO11" i="37"/>
  <c r="CW11" i="37"/>
  <c r="GY11" i="37"/>
  <c r="HG11" i="37"/>
  <c r="CQ12" i="37"/>
  <c r="CY12" i="37"/>
  <c r="HA12" i="37"/>
  <c r="HI12" i="37"/>
  <c r="CQ14" i="37"/>
  <c r="CY14" i="37"/>
  <c r="CL15" i="37"/>
  <c r="CT15" i="37"/>
  <c r="GV15" i="37"/>
  <c r="HD15" i="37"/>
  <c r="GX16" i="37"/>
  <c r="HF16" i="37"/>
  <c r="H63" i="37"/>
  <c r="P63" i="37"/>
  <c r="J64" i="37"/>
  <c r="R64" i="37"/>
  <c r="L65" i="37"/>
  <c r="F66" i="37"/>
  <c r="N66" i="37"/>
  <c r="CN20" i="37"/>
  <c r="CV20" i="37"/>
  <c r="HC20" i="37"/>
  <c r="E67" i="37"/>
  <c r="M67" i="37"/>
  <c r="G68" i="37"/>
  <c r="O68" i="37"/>
  <c r="X22" i="37"/>
  <c r="AF22" i="37"/>
  <c r="BG22" i="37"/>
  <c r="BO22" i="37"/>
  <c r="BY22" i="37"/>
  <c r="CG22" i="37"/>
  <c r="CP22" i="37"/>
  <c r="CX22" i="37"/>
  <c r="N53" i="37"/>
  <c r="N29" i="37"/>
  <c r="H30" i="37"/>
  <c r="P30" i="37"/>
  <c r="J55" i="37"/>
  <c r="J31" i="37"/>
  <c r="S55" i="37"/>
  <c r="R55" i="37"/>
  <c r="R31" i="37"/>
  <c r="GX7" i="37"/>
  <c r="HF7" i="37"/>
  <c r="L56" i="37"/>
  <c r="CL10" i="37"/>
  <c r="CT10" i="37"/>
  <c r="F57" i="37"/>
  <c r="N57" i="37"/>
  <c r="H58" i="37"/>
  <c r="P58" i="37"/>
  <c r="P60" i="37"/>
  <c r="K61" i="37"/>
  <c r="E62" i="37"/>
  <c r="M62" i="37"/>
  <c r="G63" i="37"/>
  <c r="O63" i="37"/>
  <c r="CO17" i="37"/>
  <c r="CW17" i="37"/>
  <c r="I64" i="37"/>
  <c r="Q64" i="37"/>
  <c r="CY18" i="37"/>
  <c r="K65" i="37"/>
  <c r="CS19" i="37"/>
  <c r="E66" i="37"/>
  <c r="M66" i="37"/>
  <c r="CM20" i="37"/>
  <c r="CU20" i="37"/>
  <c r="L67" i="37"/>
  <c r="CL21" i="37"/>
  <c r="CT21" i="37"/>
  <c r="GV21" i="37"/>
  <c r="HD21" i="37"/>
  <c r="I55" i="37"/>
  <c r="Q55" i="37"/>
  <c r="GW7" i="37"/>
  <c r="HE7" i="37"/>
  <c r="CO8" i="37"/>
  <c r="CW8" i="37"/>
  <c r="CQ9" i="37"/>
  <c r="CY9" i="37"/>
  <c r="HA9" i="37"/>
  <c r="HI9" i="37"/>
  <c r="CS10" i="37"/>
  <c r="HC10" i="37"/>
  <c r="CM11" i="37"/>
  <c r="CU11" i="37"/>
  <c r="GW11" i="37"/>
  <c r="HE11" i="37"/>
  <c r="CO12" i="37"/>
  <c r="CW12" i="37"/>
  <c r="GY12" i="37"/>
  <c r="HG12" i="37"/>
  <c r="CS13" i="37"/>
  <c r="CO14" i="37"/>
  <c r="CW14" i="37"/>
  <c r="CR15" i="37"/>
  <c r="HB15" i="37"/>
  <c r="HJ15" i="37"/>
  <c r="CL16" i="37"/>
  <c r="CT16" i="37"/>
  <c r="GV16" i="37"/>
  <c r="HD16" i="37"/>
  <c r="CN17" i="37"/>
  <c r="CV17" i="37"/>
  <c r="GX17" i="37"/>
  <c r="HF17" i="37"/>
  <c r="CP18" i="37"/>
  <c r="CX18" i="37"/>
  <c r="GZ18" i="37"/>
  <c r="HH18" i="37"/>
  <c r="CR19" i="37"/>
  <c r="HB19" i="37"/>
  <c r="HJ19" i="37"/>
  <c r="CL20" i="37"/>
  <c r="CT20" i="37"/>
  <c r="HC21" i="37"/>
  <c r="BW22" i="37"/>
  <c r="CE22" i="37"/>
  <c r="CN22" i="37"/>
  <c r="CV22" i="37"/>
  <c r="F53" i="37"/>
  <c r="F29" i="37"/>
  <c r="E53" i="37"/>
  <c r="L53" i="37"/>
  <c r="L29" i="37"/>
  <c r="F30" i="37"/>
  <c r="N30" i="37"/>
  <c r="H55" i="37"/>
  <c r="H31" i="37"/>
  <c r="P55" i="37"/>
  <c r="P31" i="37"/>
  <c r="D29" i="37"/>
  <c r="IA27" i="37" s="1"/>
  <c r="J56" i="37"/>
  <c r="R56" i="37"/>
  <c r="L57" i="37"/>
  <c r="F58" i="37"/>
  <c r="N58" i="37"/>
  <c r="CI13" i="37"/>
  <c r="F60" i="37"/>
  <c r="GG14" i="37"/>
  <c r="I61" i="37"/>
  <c r="Q61" i="37"/>
  <c r="K62" i="37"/>
  <c r="E63" i="37"/>
  <c r="M63" i="37"/>
  <c r="GY18" i="37"/>
  <c r="HG18" i="37"/>
  <c r="HA19" i="37"/>
  <c r="HI19" i="37"/>
  <c r="CK20" i="37"/>
  <c r="HB21" i="37"/>
  <c r="HJ21" i="37"/>
  <c r="D22" i="37"/>
  <c r="E68" i="37" s="1"/>
  <c r="L22" i="37"/>
  <c r="L68" i="37" s="1"/>
  <c r="GW22" i="37"/>
  <c r="HE22" i="37"/>
  <c r="M53" i="37"/>
  <c r="K53" i="37"/>
  <c r="G55" i="37"/>
  <c r="O55" i="37"/>
  <c r="E8" i="37"/>
  <c r="E31" i="37" s="1"/>
  <c r="M8" i="37"/>
  <c r="CM8" i="37"/>
  <c r="CU8" i="37"/>
  <c r="I56" i="37"/>
  <c r="Q56" i="37"/>
  <c r="K57" i="37"/>
  <c r="E58" i="37"/>
  <c r="M58" i="37"/>
  <c r="CM12" i="37"/>
  <c r="CU12" i="37"/>
  <c r="P59" i="37"/>
  <c r="CQ13" i="37"/>
  <c r="DB13" i="37"/>
  <c r="EO13" i="38" s="1"/>
  <c r="M14" i="37"/>
  <c r="M60" i="37" s="1"/>
  <c r="CM14" i="37"/>
  <c r="CU14" i="37"/>
  <c r="H61" i="37"/>
  <c r="P61" i="37"/>
  <c r="CP15" i="37"/>
  <c r="CX15" i="37"/>
  <c r="J62" i="37"/>
  <c r="R62" i="37"/>
  <c r="CR16" i="37"/>
  <c r="L63" i="37"/>
  <c r="CL17" i="37"/>
  <c r="CT17" i="37"/>
  <c r="F64" i="37"/>
  <c r="N64" i="37"/>
  <c r="H65" i="37"/>
  <c r="P65" i="37"/>
  <c r="J66" i="37"/>
  <c r="R66" i="37"/>
  <c r="I67" i="37"/>
  <c r="Q67" i="37"/>
  <c r="K68" i="37"/>
  <c r="BU22" i="37"/>
  <c r="CC22" i="37"/>
  <c r="CL22" i="37"/>
  <c r="CT22" i="37"/>
  <c r="EY6" i="37"/>
  <c r="EV6" i="37"/>
  <c r="EU6" i="37"/>
  <c r="ET6" i="37"/>
  <c r="ES6" i="37"/>
  <c r="ER6" i="37"/>
  <c r="EQ6" i="37"/>
  <c r="EP6" i="37"/>
  <c r="EO6" i="37"/>
  <c r="EN6" i="37"/>
  <c r="EM6" i="37"/>
  <c r="EL6" i="37"/>
  <c r="EK6" i="37"/>
  <c r="EJ6" i="37"/>
  <c r="EI6" i="37"/>
  <c r="EH6" i="37"/>
  <c r="EF6" i="37"/>
  <c r="EE6" i="37"/>
  <c r="ED6" i="37"/>
  <c r="EC6" i="37"/>
  <c r="EB6" i="37"/>
  <c r="EA6" i="37"/>
  <c r="DZ6" i="37"/>
  <c r="DY6" i="37"/>
  <c r="DX6" i="37"/>
  <c r="DW6" i="37"/>
  <c r="DV6" i="37"/>
  <c r="DU6" i="37"/>
  <c r="DT6" i="37"/>
  <c r="DS6" i="37"/>
  <c r="DR6" i="37"/>
  <c r="DO6" i="37"/>
  <c r="DN6" i="37"/>
  <c r="FA6" i="38" s="1"/>
  <c r="DM6" i="37"/>
  <c r="EZ6" i="38" s="1"/>
  <c r="DL6" i="37"/>
  <c r="EY6" i="38" s="1"/>
  <c r="DK6" i="37"/>
  <c r="EX6" i="38" s="1"/>
  <c r="DJ6" i="37"/>
  <c r="EW6" i="38" s="1"/>
  <c r="DI6" i="37"/>
  <c r="EV6" i="38" s="1"/>
  <c r="DH6" i="37"/>
  <c r="EU6" i="38" s="1"/>
  <c r="DG6" i="37"/>
  <c r="ET6" i="38" s="1"/>
  <c r="DF6" i="37"/>
  <c r="ES6" i="38" s="1"/>
  <c r="DE6" i="37"/>
  <c r="ER6" i="38" s="1"/>
  <c r="DD6" i="37"/>
  <c r="EQ6" i="38" s="1"/>
  <c r="DC6" i="37"/>
  <c r="EP6" i="38" s="1"/>
  <c r="DB6" i="37"/>
  <c r="EO6" i="38" s="1"/>
  <c r="DA6" i="37"/>
  <c r="EN6" i="38" s="1"/>
  <c r="CI6" i="37"/>
  <c r="CH6" i="37"/>
  <c r="CG6" i="37"/>
  <c r="CF6" i="37"/>
  <c r="CE6" i="37"/>
  <c r="CD6" i="37"/>
  <c r="CC6" i="37"/>
  <c r="CB6" i="37"/>
  <c r="CA6" i="37"/>
  <c r="BZ6" i="37"/>
  <c r="BY6" i="37"/>
  <c r="BX6" i="37"/>
  <c r="BW6" i="37"/>
  <c r="BV6" i="37"/>
  <c r="BU6" i="37"/>
  <c r="BS6" i="37"/>
  <c r="BR6" i="37"/>
  <c r="BQ6" i="37"/>
  <c r="BP6" i="37"/>
  <c r="BO6" i="37"/>
  <c r="BN6" i="37"/>
  <c r="BM6" i="37"/>
  <c r="BL6" i="37"/>
  <c r="BK6" i="37"/>
  <c r="BJ6" i="37"/>
  <c r="BI6" i="37"/>
  <c r="BH6" i="37"/>
  <c r="BG6" i="37"/>
  <c r="BF6" i="37"/>
  <c r="BE6" i="37"/>
  <c r="BC6" i="37"/>
  <c r="BB6" i="37"/>
  <c r="BA6" i="37"/>
  <c r="AZ6" i="37"/>
  <c r="AY6" i="37"/>
  <c r="AX6" i="37"/>
  <c r="AW6" i="37"/>
  <c r="AV6" i="37"/>
  <c r="AU6" i="37"/>
  <c r="AT6" i="37"/>
  <c r="AS6" i="37"/>
  <c r="AR6" i="37"/>
  <c r="AQ6" i="37"/>
  <c r="AP6" i="37"/>
  <c r="AO6" i="37"/>
  <c r="AM6" i="37"/>
  <c r="AL6" i="37"/>
  <c r="AK6" i="37"/>
  <c r="AJ6" i="37"/>
  <c r="AH6" i="37"/>
  <c r="AG6" i="37"/>
  <c r="AF6" i="37"/>
  <c r="AE6" i="37"/>
  <c r="AD6" i="37"/>
  <c r="AC6" i="37"/>
  <c r="AB6" i="37"/>
  <c r="AA6" i="37"/>
  <c r="Z6" i="37"/>
  <c r="Y6" i="37"/>
  <c r="X6" i="37"/>
  <c r="W6" i="37"/>
  <c r="V6" i="37"/>
  <c r="U6" i="37"/>
  <c r="T6" i="37"/>
  <c r="R6" i="37"/>
  <c r="Q6" i="37"/>
  <c r="P6" i="37"/>
  <c r="O6" i="37"/>
  <c r="N6" i="37"/>
  <c r="M6" i="37"/>
  <c r="L6" i="37"/>
  <c r="K6" i="37"/>
  <c r="J6" i="37"/>
  <c r="I6" i="37"/>
  <c r="H6" i="37"/>
  <c r="G6" i="37"/>
  <c r="F6" i="37"/>
  <c r="E6" i="37"/>
  <c r="D6" i="37"/>
  <c r="IA5" i="37"/>
  <c r="HZ5" i="37"/>
  <c r="HY5" i="37"/>
  <c r="HX5" i="37"/>
  <c r="HW5" i="37"/>
  <c r="HV5" i="37"/>
  <c r="HU5" i="37"/>
  <c r="HT5" i="37"/>
  <c r="HS5" i="37"/>
  <c r="HR5" i="37"/>
  <c r="HQ5" i="37"/>
  <c r="HP5" i="37"/>
  <c r="HO5" i="37"/>
  <c r="HN5" i="37"/>
  <c r="HM5" i="37"/>
  <c r="GT5" i="37"/>
  <c r="GS5" i="37"/>
  <c r="GR5" i="37"/>
  <c r="GQ5" i="37"/>
  <c r="GP5" i="37"/>
  <c r="GO5" i="37"/>
  <c r="GN5" i="37"/>
  <c r="GM5" i="37"/>
  <c r="GL5" i="37"/>
  <c r="GK5" i="37"/>
  <c r="GJ5" i="37"/>
  <c r="GI5" i="37"/>
  <c r="GH5" i="37"/>
  <c r="GG5" i="37"/>
  <c r="GF5" i="37"/>
  <c r="GC5" i="37"/>
  <c r="GB5" i="37"/>
  <c r="GA5" i="37"/>
  <c r="FZ5" i="37"/>
  <c r="FY5" i="37"/>
  <c r="FX5" i="37"/>
  <c r="FW5" i="37"/>
  <c r="FV5" i="37"/>
  <c r="FU5" i="37"/>
  <c r="FT5" i="37"/>
  <c r="FS5" i="37"/>
  <c r="FR5" i="37"/>
  <c r="FQ5" i="37"/>
  <c r="FP5" i="37"/>
  <c r="FO5" i="37"/>
  <c r="FM5" i="37"/>
  <c r="FL5" i="37"/>
  <c r="FK5" i="37"/>
  <c r="FJ5" i="37"/>
  <c r="FI5" i="37"/>
  <c r="FH5" i="37"/>
  <c r="FG5" i="37"/>
  <c r="FF5" i="37"/>
  <c r="FE5" i="37"/>
  <c r="FD5" i="37"/>
  <c r="FC5" i="37"/>
  <c r="FB5" i="37"/>
  <c r="FA5" i="37"/>
  <c r="EZ5" i="37"/>
  <c r="EY5" i="37" s="1"/>
  <c r="EV5" i="37"/>
  <c r="EU5" i="37"/>
  <c r="ET5" i="37"/>
  <c r="ES5" i="37"/>
  <c r="ER5" i="37"/>
  <c r="EQ5" i="37"/>
  <c r="EP5" i="37"/>
  <c r="EO5" i="37"/>
  <c r="EN5" i="37"/>
  <c r="EM5" i="37"/>
  <c r="EL5" i="37"/>
  <c r="EK5" i="37"/>
  <c r="EJ5" i="37"/>
  <c r="EI5" i="37"/>
  <c r="EH5" i="37"/>
  <c r="EF5" i="37"/>
  <c r="EE5" i="37"/>
  <c r="ED5" i="37"/>
  <c r="EC5" i="37"/>
  <c r="EB5" i="37"/>
  <c r="EA5" i="37"/>
  <c r="DZ5" i="37"/>
  <c r="DY5" i="37"/>
  <c r="DX5" i="37"/>
  <c r="DW5" i="37"/>
  <c r="DV5" i="37"/>
  <c r="DU5" i="37"/>
  <c r="DT5" i="37"/>
  <c r="DS5" i="37"/>
  <c r="DR5" i="37"/>
  <c r="DO5" i="37"/>
  <c r="DN5" i="37"/>
  <c r="FA5" i="38" s="1"/>
  <c r="DM5" i="37"/>
  <c r="EZ5" i="38" s="1"/>
  <c r="DL5" i="37"/>
  <c r="EY5" i="38" s="1"/>
  <c r="DK5" i="37"/>
  <c r="EX5" i="38" s="1"/>
  <c r="DJ5" i="37"/>
  <c r="EW5" i="38" s="1"/>
  <c r="DI5" i="37"/>
  <c r="EV5" i="38" s="1"/>
  <c r="DH5" i="37"/>
  <c r="EU5" i="38" s="1"/>
  <c r="DG5" i="37"/>
  <c r="ET5" i="38" s="1"/>
  <c r="DF5" i="37"/>
  <c r="ES5" i="38" s="1"/>
  <c r="DE5" i="37"/>
  <c r="ER5" i="38" s="1"/>
  <c r="DD5" i="37"/>
  <c r="EQ5" i="38" s="1"/>
  <c r="DC5" i="37"/>
  <c r="EP5" i="38" s="1"/>
  <c r="DB5" i="37"/>
  <c r="EO5" i="38" s="1"/>
  <c r="DA5" i="37"/>
  <c r="EN5" i="38" s="1"/>
  <c r="CI5" i="37"/>
  <c r="CH5" i="37"/>
  <c r="CG5" i="37"/>
  <c r="CF5" i="37"/>
  <c r="CE5" i="37"/>
  <c r="HF5" i="37" s="1"/>
  <c r="CD5" i="37"/>
  <c r="CC5" i="37"/>
  <c r="CB5" i="37"/>
  <c r="CA5" i="37"/>
  <c r="BZ5" i="37"/>
  <c r="BY5" i="37"/>
  <c r="BX5" i="37"/>
  <c r="BW5" i="37"/>
  <c r="GX5" i="37" s="1"/>
  <c r="BV5" i="37"/>
  <c r="BU5" i="37"/>
  <c r="BS5" i="37"/>
  <c r="BR5" i="37"/>
  <c r="BQ5" i="37"/>
  <c r="BP5" i="37"/>
  <c r="BO5" i="37"/>
  <c r="BN5" i="37"/>
  <c r="BM5" i="37"/>
  <c r="BL5" i="37"/>
  <c r="BK5" i="37"/>
  <c r="BJ5" i="37"/>
  <c r="BI5" i="37"/>
  <c r="BH5" i="37"/>
  <c r="BG5" i="37"/>
  <c r="BF5" i="37"/>
  <c r="BE5" i="37"/>
  <c r="BC5" i="37"/>
  <c r="BB5" i="37"/>
  <c r="BA5" i="37"/>
  <c r="AZ5" i="37"/>
  <c r="AY5" i="37"/>
  <c r="AX5" i="37"/>
  <c r="AV5" i="37"/>
  <c r="AU5" i="37"/>
  <c r="AT5" i="37"/>
  <c r="AS5" i="37"/>
  <c r="AR5" i="37"/>
  <c r="AQ5" i="37"/>
  <c r="AP5" i="37"/>
  <c r="AO5" i="37"/>
  <c r="AM5" i="37"/>
  <c r="AL5" i="37"/>
  <c r="AK5" i="37"/>
  <c r="AJ5" i="37"/>
  <c r="AH5" i="37"/>
  <c r="AG5" i="37"/>
  <c r="AF5" i="37"/>
  <c r="AE5" i="37"/>
  <c r="AD5" i="37"/>
  <c r="AC5" i="37"/>
  <c r="AB5" i="37"/>
  <c r="AA5" i="37"/>
  <c r="Z5" i="37"/>
  <c r="Y5" i="37"/>
  <c r="X5" i="37"/>
  <c r="W5" i="37"/>
  <c r="V5" i="37"/>
  <c r="U5" i="37"/>
  <c r="T5" i="37"/>
  <c r="R5" i="37"/>
  <c r="Q5" i="37"/>
  <c r="P5" i="37"/>
  <c r="O5" i="37"/>
  <c r="N5" i="37"/>
  <c r="M5" i="37"/>
  <c r="M51" i="37" s="1"/>
  <c r="L5" i="37"/>
  <c r="K5" i="37"/>
  <c r="J5" i="37"/>
  <c r="I5" i="37"/>
  <c r="H5" i="37"/>
  <c r="G5" i="37"/>
  <c r="F5" i="37"/>
  <c r="E5" i="37"/>
  <c r="E51" i="37" s="1"/>
  <c r="D5" i="37"/>
  <c r="K85" i="47"/>
  <c r="J85" i="47"/>
  <c r="I85" i="47"/>
  <c r="H85" i="47"/>
  <c r="G85" i="47"/>
  <c r="F85" i="47"/>
  <c r="E85" i="47"/>
  <c r="D85" i="47"/>
  <c r="K84" i="47"/>
  <c r="J84" i="47"/>
  <c r="I84" i="47"/>
  <c r="H84" i="47"/>
  <c r="G84" i="47"/>
  <c r="F84" i="47"/>
  <c r="E84" i="47"/>
  <c r="D84" i="47"/>
  <c r="K83" i="47"/>
  <c r="J83" i="47"/>
  <c r="I83" i="47"/>
  <c r="H83" i="47"/>
  <c r="G83" i="47"/>
  <c r="F83" i="47"/>
  <c r="E83" i="47"/>
  <c r="D83" i="47"/>
  <c r="K82" i="47"/>
  <c r="J82" i="47"/>
  <c r="I82" i="47"/>
  <c r="H82" i="47"/>
  <c r="G82" i="47"/>
  <c r="F82" i="47"/>
  <c r="E82" i="47"/>
  <c r="D82" i="47"/>
  <c r="K81" i="47"/>
  <c r="J81" i="47"/>
  <c r="I81" i="47"/>
  <c r="H81" i="47"/>
  <c r="G81" i="47"/>
  <c r="F81" i="47"/>
  <c r="E81" i="47"/>
  <c r="D81" i="47"/>
  <c r="P80" i="47"/>
  <c r="K80" i="47"/>
  <c r="J80" i="47"/>
  <c r="I80" i="47"/>
  <c r="H80" i="47"/>
  <c r="G80" i="47"/>
  <c r="F80" i="47"/>
  <c r="E80" i="47"/>
  <c r="D80" i="47"/>
  <c r="P79" i="47"/>
  <c r="K79" i="47"/>
  <c r="J79" i="47"/>
  <c r="I79" i="47"/>
  <c r="H79" i="47"/>
  <c r="G79" i="47"/>
  <c r="F79" i="47"/>
  <c r="E79" i="47"/>
  <c r="D79" i="47"/>
  <c r="K78" i="47"/>
  <c r="J78" i="47"/>
  <c r="I78" i="47"/>
  <c r="H78" i="47"/>
  <c r="G78" i="47"/>
  <c r="F78" i="47"/>
  <c r="E78" i="47"/>
  <c r="D78" i="47"/>
  <c r="K77" i="47"/>
  <c r="J77" i="47"/>
  <c r="I77" i="47"/>
  <c r="H77" i="47"/>
  <c r="G77" i="47"/>
  <c r="F77" i="47"/>
  <c r="E77" i="47"/>
  <c r="D77" i="47"/>
  <c r="K76" i="47"/>
  <c r="J76" i="47"/>
  <c r="I76" i="47"/>
  <c r="H76" i="47"/>
  <c r="G76" i="47"/>
  <c r="F76" i="47"/>
  <c r="E76" i="47"/>
  <c r="D76" i="47"/>
  <c r="K75" i="47"/>
  <c r="J75" i="47"/>
  <c r="I75" i="47"/>
  <c r="H75" i="47"/>
  <c r="G75" i="47"/>
  <c r="F75" i="47"/>
  <c r="E75" i="47"/>
  <c r="D75" i="47"/>
  <c r="K74" i="47"/>
  <c r="J74" i="47"/>
  <c r="I74" i="47"/>
  <c r="H74" i="47"/>
  <c r="G74" i="47"/>
  <c r="F74" i="47"/>
  <c r="E74" i="47"/>
  <c r="D74" i="47"/>
  <c r="K73" i="47"/>
  <c r="J73" i="47"/>
  <c r="I73" i="47"/>
  <c r="H73" i="47"/>
  <c r="G73" i="47"/>
  <c r="F73" i="47"/>
  <c r="E73" i="47"/>
  <c r="D73" i="47"/>
  <c r="K72" i="47"/>
  <c r="J72" i="47"/>
  <c r="I72" i="47"/>
  <c r="H72" i="47"/>
  <c r="G72" i="47"/>
  <c r="F72" i="47"/>
  <c r="E72" i="47"/>
  <c r="D72" i="47"/>
  <c r="K71" i="47"/>
  <c r="J71" i="47"/>
  <c r="I71" i="47"/>
  <c r="H71" i="47"/>
  <c r="G71" i="47"/>
  <c r="F71" i="47"/>
  <c r="E71" i="47"/>
  <c r="D71" i="47"/>
  <c r="M70" i="47"/>
  <c r="K70" i="47"/>
  <c r="J70" i="47"/>
  <c r="I70" i="47"/>
  <c r="H70" i="47"/>
  <c r="G70" i="47"/>
  <c r="F70" i="47"/>
  <c r="E70" i="47"/>
  <c r="D70" i="47"/>
  <c r="N69" i="47"/>
  <c r="M69" i="47"/>
  <c r="O69" i="47" s="1"/>
  <c r="K69" i="47"/>
  <c r="J69" i="47"/>
  <c r="I69" i="47"/>
  <c r="H69" i="47"/>
  <c r="G69" i="47"/>
  <c r="F69" i="47"/>
  <c r="E69" i="47"/>
  <c r="D69" i="47"/>
  <c r="N68" i="47"/>
  <c r="O68" i="47" s="1"/>
  <c r="M68" i="47"/>
  <c r="K68" i="47"/>
  <c r="J68" i="47"/>
  <c r="I68" i="47"/>
  <c r="H68" i="47"/>
  <c r="G68" i="47"/>
  <c r="F68" i="47"/>
  <c r="E68" i="47"/>
  <c r="D68" i="47"/>
  <c r="N67" i="47"/>
  <c r="O67" i="47" s="1"/>
  <c r="M67" i="47"/>
  <c r="K67" i="47"/>
  <c r="J67" i="47"/>
  <c r="I67" i="47"/>
  <c r="H67" i="47"/>
  <c r="G67" i="47"/>
  <c r="F67" i="47"/>
  <c r="E67" i="47"/>
  <c r="D67" i="47"/>
  <c r="N66" i="47"/>
  <c r="O66" i="47" s="1"/>
  <c r="M66" i="47"/>
  <c r="K66" i="47"/>
  <c r="J66" i="47"/>
  <c r="I66" i="47"/>
  <c r="H66" i="47"/>
  <c r="G66" i="47"/>
  <c r="F66" i="47"/>
  <c r="E66" i="47"/>
  <c r="D66" i="47"/>
  <c r="N65" i="47"/>
  <c r="M65" i="47"/>
  <c r="O65" i="47" s="1"/>
  <c r="K65" i="47"/>
  <c r="J65" i="47"/>
  <c r="I65" i="47"/>
  <c r="H65" i="47"/>
  <c r="G65" i="47"/>
  <c r="F65" i="47"/>
  <c r="E65" i="47"/>
  <c r="D65" i="47"/>
  <c r="H54" i="37" l="1"/>
  <c r="IA29" i="37"/>
  <c r="G52" i="37"/>
  <c r="O52" i="37"/>
  <c r="GY6" i="37"/>
  <c r="HG6" i="37"/>
  <c r="L60" i="37"/>
  <c r="GY14" i="37"/>
  <c r="G54" i="37"/>
  <c r="L59" i="37"/>
  <c r="N59" i="37"/>
  <c r="CR13" i="37"/>
  <c r="EU32" i="38"/>
  <c r="EP30" i="38"/>
  <c r="EP32" i="38"/>
  <c r="EP29" i="38"/>
  <c r="ET30" i="38"/>
  <c r="ET32" i="38"/>
  <c r="ET29" i="38"/>
  <c r="EX32" i="38"/>
  <c r="EX30" i="38"/>
  <c r="EX29" i="38"/>
  <c r="SE5" i="38"/>
  <c r="HN29" i="37"/>
  <c r="SI5" i="38"/>
  <c r="HR29" i="37"/>
  <c r="SM5" i="38"/>
  <c r="HV29" i="37"/>
  <c r="SQ5" i="38"/>
  <c r="HZ29" i="37"/>
  <c r="HA13" i="37"/>
  <c r="ES13" i="38"/>
  <c r="ES30" i="38" s="1"/>
  <c r="G31" i="37"/>
  <c r="Q31" i="37"/>
  <c r="G30" i="37"/>
  <c r="CL13" i="37"/>
  <c r="R54" i="37"/>
  <c r="Q29" i="37"/>
  <c r="EQ30" i="38"/>
  <c r="EQ32" i="38"/>
  <c r="EQ29" i="38"/>
  <c r="EY30" i="38"/>
  <c r="SF5" i="38"/>
  <c r="HO29" i="37"/>
  <c r="SJ5" i="38"/>
  <c r="HS29" i="37"/>
  <c r="SN5" i="38"/>
  <c r="HW29" i="37"/>
  <c r="EO30" i="38"/>
  <c r="EO32" i="38"/>
  <c r="EO29" i="38"/>
  <c r="ES32" i="38"/>
  <c r="ES29" i="38"/>
  <c r="EW29" i="38"/>
  <c r="FA30" i="38"/>
  <c r="FA32" i="38"/>
  <c r="FA29" i="38"/>
  <c r="SD5" i="38"/>
  <c r="HM29" i="37"/>
  <c r="SH5" i="38"/>
  <c r="HQ29" i="37"/>
  <c r="SL5" i="38"/>
  <c r="HU29" i="37"/>
  <c r="SP5" i="38"/>
  <c r="HY29" i="37"/>
  <c r="EN32" i="38"/>
  <c r="EN30" i="38"/>
  <c r="EN29" i="38"/>
  <c r="ER30" i="38"/>
  <c r="ER32" i="38"/>
  <c r="ER29" i="38"/>
  <c r="EV32" i="38"/>
  <c r="EV30" i="38"/>
  <c r="EV29" i="38"/>
  <c r="EZ30" i="38"/>
  <c r="EZ32" i="38"/>
  <c r="EZ29" i="38"/>
  <c r="SG5" i="38"/>
  <c r="HP29" i="37"/>
  <c r="SK5" i="38"/>
  <c r="HT29" i="37"/>
  <c r="SO5" i="38"/>
  <c r="HX29" i="37"/>
  <c r="HC13" i="37"/>
  <c r="EU13" i="38"/>
  <c r="EU30" i="38" s="1"/>
  <c r="HE8" i="37"/>
  <c r="EW8" i="38"/>
  <c r="EW32" i="38" s="1"/>
  <c r="HG14" i="37"/>
  <c r="EY14" i="38"/>
  <c r="EY32" i="38" s="1"/>
  <c r="CV8" i="37"/>
  <c r="I31" i="37"/>
  <c r="CV14" i="37"/>
  <c r="CL14" i="37"/>
  <c r="HI14" i="37"/>
  <c r="CN8" i="37"/>
  <c r="GY8" i="37"/>
  <c r="O54" i="37"/>
  <c r="P54" i="37"/>
  <c r="H59" i="37"/>
  <c r="O31" i="37"/>
  <c r="O30" i="37"/>
  <c r="J54" i="37"/>
  <c r="I29" i="37"/>
  <c r="HA14" i="37"/>
  <c r="O29" i="37"/>
  <c r="I68" i="37"/>
  <c r="I54" i="37"/>
  <c r="HE13" i="37"/>
  <c r="G51" i="37"/>
  <c r="O51" i="37"/>
  <c r="I52" i="37"/>
  <c r="Q52" i="37"/>
  <c r="HA6" i="37"/>
  <c r="HI6" i="37"/>
  <c r="R59" i="37"/>
  <c r="H60" i="37"/>
  <c r="L54" i="37"/>
  <c r="HC5" i="37"/>
  <c r="DO13" i="37"/>
  <c r="GW13" i="37"/>
  <c r="J59" i="37"/>
  <c r="HE14" i="37"/>
  <c r="CO5" i="37"/>
  <c r="CX14" i="37"/>
  <c r="GW14" i="37"/>
  <c r="CR6" i="37"/>
  <c r="L51" i="37"/>
  <c r="GW5" i="37"/>
  <c r="HE5" i="37"/>
  <c r="K54" i="37"/>
  <c r="GV5" i="37"/>
  <c r="HD5" i="37"/>
  <c r="K29" i="37"/>
  <c r="K31" i="37"/>
  <c r="L52" i="37"/>
  <c r="CW5" i="37"/>
  <c r="F51" i="37"/>
  <c r="CP14" i="37"/>
  <c r="N51" i="37"/>
  <c r="AW5" i="37"/>
  <c r="GY5" i="37"/>
  <c r="HG5" i="37"/>
  <c r="GZ5" i="37"/>
  <c r="HH5" i="37"/>
  <c r="H52" i="37"/>
  <c r="P52" i="37"/>
  <c r="GZ6" i="37"/>
  <c r="HH6" i="37"/>
  <c r="N54" i="37"/>
  <c r="E29" i="37"/>
  <c r="F59" i="37"/>
  <c r="M68" i="37"/>
  <c r="CM6" i="37"/>
  <c r="CU6" i="37"/>
  <c r="GW6" i="37"/>
  <c r="HE6" i="37"/>
  <c r="CR5" i="37"/>
  <c r="I51" i="37"/>
  <c r="Q51" i="37"/>
  <c r="HB5" i="37"/>
  <c r="HJ5" i="37"/>
  <c r="CP13" i="37"/>
  <c r="HA5" i="37"/>
  <c r="HI5" i="37"/>
  <c r="J52" i="37"/>
  <c r="R52" i="37"/>
  <c r="HB6" i="37"/>
  <c r="HJ6" i="37"/>
  <c r="M29" i="37"/>
  <c r="HD22" i="37"/>
  <c r="CS22" i="37"/>
  <c r="HC14" i="37"/>
  <c r="CR14" i="37"/>
  <c r="CR8" i="37"/>
  <c r="HC8" i="37"/>
  <c r="CN5" i="37"/>
  <c r="CV5" i="37"/>
  <c r="CQ6" i="37"/>
  <c r="CY6" i="37"/>
  <c r="CH13" i="37"/>
  <c r="HI13" i="37" s="1"/>
  <c r="E54" i="37"/>
  <c r="E30" i="37"/>
  <c r="GX22" i="37"/>
  <c r="CM22" i="37"/>
  <c r="CM5" i="37"/>
  <c r="CU5" i="37"/>
  <c r="CP6" i="37"/>
  <c r="CX6" i="37"/>
  <c r="M54" i="37"/>
  <c r="M30" i="37"/>
  <c r="HF22" i="37"/>
  <c r="CU22" i="37"/>
  <c r="CL5" i="37"/>
  <c r="CT5" i="37"/>
  <c r="CO6" i="37"/>
  <c r="CW6" i="37"/>
  <c r="N60" i="37"/>
  <c r="M31" i="37"/>
  <c r="GY13" i="37"/>
  <c r="CN13" i="37"/>
  <c r="K51" i="37"/>
  <c r="CK5" i="37"/>
  <c r="CS5" i="37"/>
  <c r="F52" i="37"/>
  <c r="N52" i="37"/>
  <c r="GX6" i="37"/>
  <c r="HF6" i="37"/>
  <c r="CN6" i="37"/>
  <c r="CV6" i="37"/>
  <c r="CT8" i="37"/>
  <c r="GZ22" i="37"/>
  <c r="CO22" i="37"/>
  <c r="CP8" i="37"/>
  <c r="HA8" i="37"/>
  <c r="HG13" i="37"/>
  <c r="CV13" i="37"/>
  <c r="J51" i="37"/>
  <c r="R51" i="37"/>
  <c r="E52" i="37"/>
  <c r="M52" i="37"/>
  <c r="HH22" i="37"/>
  <c r="CW22" i="37"/>
  <c r="CX8" i="37"/>
  <c r="HI8" i="37"/>
  <c r="HB22" i="37"/>
  <c r="CQ22" i="37"/>
  <c r="CQ5" i="37"/>
  <c r="CY5" i="37"/>
  <c r="GV6" i="37"/>
  <c r="HD6" i="37"/>
  <c r="CL6" i="37"/>
  <c r="CT6" i="37"/>
  <c r="F54" i="37"/>
  <c r="CY13" i="37"/>
  <c r="CL8" i="37"/>
  <c r="CT14" i="37"/>
  <c r="BS22" i="37"/>
  <c r="GV22" i="37"/>
  <c r="GT22" i="37" s="1"/>
  <c r="CK22" i="37"/>
  <c r="HJ22" i="37"/>
  <c r="CY22" i="37"/>
  <c r="H51" i="37"/>
  <c r="P51" i="37"/>
  <c r="CP5" i="37"/>
  <c r="CX5" i="37"/>
  <c r="K52" i="37"/>
  <c r="HC6" i="37"/>
  <c r="CK6" i="37"/>
  <c r="CS6" i="37"/>
  <c r="K64" i="47"/>
  <c r="J64" i="47"/>
  <c r="I64" i="47"/>
  <c r="H64" i="47"/>
  <c r="G64" i="47"/>
  <c r="F64" i="47"/>
  <c r="E64" i="47"/>
  <c r="D64" i="47"/>
  <c r="EW30" i="38" l="1"/>
  <c r="EU29" i="38"/>
  <c r="SO30" i="38"/>
  <c r="SO32" i="38"/>
  <c r="SO29" i="38"/>
  <c r="SG32" i="38"/>
  <c r="SG30" i="38"/>
  <c r="SG29" i="38"/>
  <c r="SL30" i="38"/>
  <c r="SL32" i="38"/>
  <c r="SL29" i="38"/>
  <c r="SD32" i="38"/>
  <c r="SD30" i="38"/>
  <c r="SD29" i="38"/>
  <c r="SJ32" i="38"/>
  <c r="SJ30" i="38"/>
  <c r="SJ29" i="38"/>
  <c r="SM30" i="38"/>
  <c r="SM32" i="38"/>
  <c r="SM29" i="38"/>
  <c r="SE32" i="38"/>
  <c r="SE30" i="38"/>
  <c r="SE29" i="38"/>
  <c r="EY29" i="38"/>
  <c r="SK30" i="38"/>
  <c r="SK32" i="38"/>
  <c r="SK29" i="38"/>
  <c r="SP32" i="38"/>
  <c r="SP30" i="38"/>
  <c r="SP29" i="38"/>
  <c r="SH32" i="38"/>
  <c r="SH30" i="38"/>
  <c r="SH29" i="38"/>
  <c r="SN32" i="38"/>
  <c r="SN30" i="38"/>
  <c r="SN29" i="38"/>
  <c r="SF32" i="38"/>
  <c r="SF30" i="38"/>
  <c r="SF29" i="38"/>
  <c r="SQ30" i="38"/>
  <c r="SQ32" i="38"/>
  <c r="SQ29" i="38"/>
  <c r="SI30" i="38"/>
  <c r="SI32" i="38"/>
  <c r="SI29" i="38"/>
  <c r="CX13" i="37"/>
  <c r="Y63" i="47"/>
  <c r="K63" i="47"/>
  <c r="J63" i="47"/>
  <c r="I63" i="47"/>
  <c r="H63" i="47"/>
  <c r="G63" i="47"/>
  <c r="F63" i="47"/>
  <c r="E63" i="47"/>
  <c r="D63" i="47"/>
  <c r="K62" i="47"/>
  <c r="J62" i="47"/>
  <c r="I62" i="47"/>
  <c r="H62" i="47"/>
  <c r="G62" i="47"/>
  <c r="F62" i="47"/>
  <c r="E62" i="47"/>
  <c r="D62" i="47"/>
  <c r="P61" i="47"/>
  <c r="K61" i="47"/>
  <c r="J61" i="47"/>
  <c r="I61" i="47"/>
  <c r="H61" i="47"/>
  <c r="G61" i="47"/>
  <c r="F61" i="47"/>
  <c r="E61" i="47"/>
  <c r="D61" i="47"/>
  <c r="K60" i="47"/>
  <c r="J60" i="47"/>
  <c r="I60" i="47"/>
  <c r="H60" i="47"/>
  <c r="G60" i="47"/>
  <c r="F60" i="47"/>
  <c r="E60" i="47"/>
  <c r="D60" i="47"/>
  <c r="K59" i="47"/>
  <c r="J59" i="47"/>
  <c r="I59" i="47"/>
  <c r="H59" i="47"/>
  <c r="G59" i="47"/>
  <c r="F59" i="47"/>
  <c r="E59" i="47"/>
  <c r="D59" i="47"/>
  <c r="K58" i="47"/>
  <c r="J58" i="47"/>
  <c r="I58" i="47"/>
  <c r="H58" i="47"/>
  <c r="G58" i="47"/>
  <c r="F58" i="47"/>
  <c r="E58" i="47"/>
  <c r="D58" i="47"/>
  <c r="K57" i="47"/>
  <c r="J57" i="47"/>
  <c r="I57" i="47"/>
  <c r="H57" i="47"/>
  <c r="G57" i="47"/>
  <c r="F57" i="47"/>
  <c r="E57" i="47"/>
  <c r="D57" i="47"/>
  <c r="K56" i="47"/>
  <c r="J56" i="47"/>
  <c r="I56" i="47"/>
  <c r="H56" i="47"/>
  <c r="G56" i="47"/>
  <c r="F56" i="47"/>
  <c r="E56" i="47"/>
  <c r="D56" i="47"/>
  <c r="K55" i="47"/>
  <c r="J55" i="47"/>
  <c r="I55" i="47"/>
  <c r="H55" i="47"/>
  <c r="G55" i="47"/>
  <c r="F55" i="47"/>
  <c r="E55" i="47"/>
  <c r="D55" i="47"/>
  <c r="K54" i="47"/>
  <c r="J54" i="47"/>
  <c r="I54" i="47"/>
  <c r="H54" i="47"/>
  <c r="G54" i="47"/>
  <c r="F54" i="47"/>
  <c r="E54" i="47"/>
  <c r="D54" i="47"/>
  <c r="K53" i="47"/>
  <c r="J53" i="47"/>
  <c r="I53" i="47"/>
  <c r="H53" i="47"/>
  <c r="G53" i="47"/>
  <c r="F53" i="47"/>
  <c r="E53" i="47"/>
  <c r="D53" i="47"/>
  <c r="Y53" i="47" l="1"/>
  <c r="Y64" i="47" s="1"/>
  <c r="Y52" i="47"/>
  <c r="Y54" i="47" s="1"/>
  <c r="K52" i="47"/>
  <c r="J52" i="47"/>
  <c r="I52" i="47"/>
  <c r="H52" i="47"/>
  <c r="G52" i="47"/>
  <c r="F52" i="47"/>
  <c r="E52" i="47"/>
  <c r="D52" i="47"/>
  <c r="K51" i="47"/>
  <c r="J51" i="47"/>
  <c r="I51" i="47"/>
  <c r="H51" i="47"/>
  <c r="G51" i="47"/>
  <c r="F51" i="47"/>
  <c r="E51" i="47"/>
  <c r="D51" i="47"/>
  <c r="K50" i="47"/>
  <c r="J50" i="47"/>
  <c r="I50" i="47"/>
  <c r="H50" i="47"/>
  <c r="G50" i="47"/>
  <c r="F50" i="47"/>
  <c r="E50" i="47"/>
  <c r="D50" i="47"/>
  <c r="K49" i="47"/>
  <c r="J49" i="47"/>
  <c r="I49" i="47"/>
  <c r="H49" i="47"/>
  <c r="G49" i="47"/>
  <c r="F49" i="47"/>
  <c r="E49" i="47"/>
  <c r="D49" i="47"/>
  <c r="K48" i="47"/>
  <c r="J48" i="47"/>
  <c r="I48" i="47"/>
  <c r="H48" i="47"/>
  <c r="G48" i="47"/>
  <c r="F48" i="47"/>
  <c r="E48" i="47"/>
  <c r="D48" i="47"/>
  <c r="K47" i="47"/>
  <c r="J47" i="47"/>
  <c r="I47" i="47"/>
  <c r="H47" i="47"/>
  <c r="G47" i="47"/>
  <c r="F47" i="47"/>
  <c r="E47" i="47"/>
  <c r="D47" i="47"/>
  <c r="K46" i="47"/>
  <c r="J46" i="47"/>
  <c r="I46" i="47"/>
  <c r="H46" i="47"/>
  <c r="G46" i="47"/>
  <c r="F46" i="47"/>
  <c r="E46" i="47"/>
  <c r="D46" i="47"/>
  <c r="K45" i="47"/>
  <c r="J45" i="47"/>
  <c r="I45" i="47"/>
  <c r="H45" i="47"/>
  <c r="G45" i="47"/>
  <c r="F45" i="47"/>
  <c r="E45" i="47"/>
  <c r="D45" i="47"/>
  <c r="K44" i="47"/>
  <c r="J44" i="47"/>
  <c r="I44" i="47"/>
  <c r="H44" i="47"/>
  <c r="G44" i="47"/>
  <c r="F44" i="47"/>
  <c r="E44" i="47"/>
  <c r="D44" i="47"/>
  <c r="K43" i="47"/>
  <c r="J43" i="47"/>
  <c r="I43" i="47"/>
  <c r="H43" i="47"/>
  <c r="G43" i="47"/>
  <c r="F43" i="47"/>
  <c r="E43" i="47"/>
  <c r="D43" i="47"/>
  <c r="K42" i="47"/>
  <c r="J42" i="47"/>
  <c r="I42" i="47"/>
  <c r="H42" i="47"/>
  <c r="G42" i="47"/>
  <c r="F42" i="47"/>
  <c r="E42" i="47"/>
  <c r="D42" i="47"/>
  <c r="K41" i="47"/>
  <c r="J41" i="47"/>
  <c r="I41" i="47"/>
  <c r="H41" i="47"/>
  <c r="G41" i="47"/>
  <c r="F41" i="47"/>
  <c r="E41" i="47"/>
  <c r="D41" i="47"/>
  <c r="K40" i="47"/>
  <c r="J40" i="47"/>
  <c r="I40" i="47"/>
  <c r="H40" i="47"/>
  <c r="G40" i="47"/>
  <c r="F40" i="47"/>
  <c r="E40" i="47"/>
  <c r="Y65" i="47" l="1"/>
  <c r="D40" i="47"/>
  <c r="K39" i="47"/>
  <c r="J39" i="47"/>
  <c r="I39" i="47"/>
  <c r="H39" i="47"/>
  <c r="G39" i="47"/>
  <c r="F39" i="47"/>
  <c r="E39" i="47"/>
  <c r="D39" i="47"/>
  <c r="G31" i="47"/>
  <c r="G30" i="47"/>
  <c r="G29" i="47"/>
  <c r="AH27" i="47"/>
  <c r="Z27" i="47"/>
  <c r="R27" i="47"/>
  <c r="O27" i="47"/>
  <c r="BP27" i="47" s="1"/>
  <c r="DO66" i="38" s="1"/>
  <c r="J27" i="47"/>
  <c r="AH26" i="47"/>
  <c r="AF26" i="47"/>
  <c r="AE26" i="47" s="1"/>
  <c r="Z26" i="47"/>
  <c r="X26" i="47"/>
  <c r="W26" i="47" s="1"/>
  <c r="R26" i="47"/>
  <c r="P26" i="47"/>
  <c r="O26" i="47" s="1"/>
  <c r="J26" i="47"/>
  <c r="H26" i="47"/>
  <c r="G26" i="47" s="1"/>
  <c r="AH25" i="47"/>
  <c r="Z25" i="47"/>
  <c r="R25" i="47"/>
  <c r="J25" i="47"/>
  <c r="AH24" i="47"/>
  <c r="AF24" i="47"/>
  <c r="AE24" i="47" s="1"/>
  <c r="Z24" i="47"/>
  <c r="X24" i="47"/>
  <c r="W24" i="47" s="1"/>
  <c r="R24" i="47"/>
  <c r="P24" i="47"/>
  <c r="O24" i="47" s="1"/>
  <c r="J24" i="47"/>
  <c r="H24" i="47"/>
  <c r="G24" i="47" s="1"/>
  <c r="I26" i="47" l="1"/>
  <c r="K26" i="47" s="1"/>
  <c r="Y26" i="47"/>
  <c r="AA26" i="47" s="1"/>
  <c r="AG24" i="47"/>
  <c r="AI24" i="47" s="1"/>
  <c r="Q24" i="47"/>
  <c r="S24" i="47" s="1"/>
  <c r="Q26" i="47"/>
  <c r="S26" i="47" s="1"/>
  <c r="AO26" i="47" s="1"/>
  <c r="I24" i="47"/>
  <c r="K24" i="47" s="1"/>
  <c r="AN24" i="47" s="1"/>
  <c r="AG26" i="47"/>
  <c r="AI26" i="47" s="1"/>
  <c r="AQ26" i="47" s="1"/>
  <c r="Y24" i="47"/>
  <c r="AA24" i="47" s="1"/>
  <c r="AP24" i="47" s="1"/>
  <c r="AH23" i="47"/>
  <c r="Z23" i="47"/>
  <c r="R23" i="47"/>
  <c r="O23" i="47"/>
  <c r="J23" i="47"/>
  <c r="AH22" i="47"/>
  <c r="Z22" i="47"/>
  <c r="R22" i="47"/>
  <c r="J22" i="47"/>
  <c r="AH21" i="47"/>
  <c r="Z21" i="47"/>
  <c r="R21" i="47"/>
  <c r="J21" i="47"/>
  <c r="AH20" i="47"/>
  <c r="Z20" i="47"/>
  <c r="R20" i="47"/>
  <c r="J20" i="47"/>
  <c r="AH19" i="47"/>
  <c r="AF19" i="47"/>
  <c r="AE19" i="47" s="1"/>
  <c r="Z19" i="47"/>
  <c r="X19" i="47"/>
  <c r="W19" i="47" s="1"/>
  <c r="R19" i="47"/>
  <c r="P19" i="47"/>
  <c r="O19" i="47" s="1"/>
  <c r="J19" i="47"/>
  <c r="H19" i="47"/>
  <c r="G19" i="47" s="1"/>
  <c r="AH18" i="47"/>
  <c r="Z18" i="47"/>
  <c r="R18" i="47"/>
  <c r="J18" i="47"/>
  <c r="AH17" i="47"/>
  <c r="Z17" i="47"/>
  <c r="R17" i="47"/>
  <c r="J17" i="47"/>
  <c r="AH16" i="47"/>
  <c r="Z16" i="47"/>
  <c r="R16" i="47"/>
  <c r="J16" i="47"/>
  <c r="AH15" i="47"/>
  <c r="Z15" i="47"/>
  <c r="R15" i="47"/>
  <c r="J15" i="47"/>
  <c r="AH14" i="47"/>
  <c r="AF14" i="47"/>
  <c r="AE14" i="47" s="1"/>
  <c r="Z14" i="47"/>
  <c r="X14" i="47"/>
  <c r="W14" i="47" s="1"/>
  <c r="R14" i="47"/>
  <c r="P14" i="47"/>
  <c r="Q14" i="47" s="1"/>
  <c r="O14" i="47"/>
  <c r="J14" i="47"/>
  <c r="H14" i="47"/>
  <c r="G14" i="47" s="1"/>
  <c r="AH13" i="47"/>
  <c r="AF13" i="47"/>
  <c r="AE13" i="47" s="1"/>
  <c r="Z13" i="47"/>
  <c r="X13" i="47"/>
  <c r="W13" i="47" s="1"/>
  <c r="R13" i="47"/>
  <c r="P13" i="47"/>
  <c r="O13" i="47" s="1"/>
  <c r="J13" i="47"/>
  <c r="H13" i="47"/>
  <c r="G13" i="47" s="1"/>
  <c r="AH12" i="47"/>
  <c r="Z12" i="47"/>
  <c r="R12" i="47"/>
  <c r="J12" i="47"/>
  <c r="AH11" i="47"/>
  <c r="Z11" i="47"/>
  <c r="R11" i="47"/>
  <c r="J11" i="47"/>
  <c r="AH10" i="47"/>
  <c r="Z10" i="47"/>
  <c r="R10" i="47"/>
  <c r="J10" i="47"/>
  <c r="AH9" i="47"/>
  <c r="Z9" i="47"/>
  <c r="X9" i="47"/>
  <c r="W9" i="47" s="1"/>
  <c r="R9" i="47"/>
  <c r="P9" i="47"/>
  <c r="O9" i="47" s="1"/>
  <c r="J9" i="47"/>
  <c r="H9" i="47"/>
  <c r="G9" i="47" s="1"/>
  <c r="AH8" i="47"/>
  <c r="AF8" i="47"/>
  <c r="AE8" i="47" s="1"/>
  <c r="Z8" i="47"/>
  <c r="X8" i="47"/>
  <c r="W8" i="47" s="1"/>
  <c r="R8" i="47"/>
  <c r="P8" i="47"/>
  <c r="O8" i="47" s="1"/>
  <c r="J8" i="47"/>
  <c r="H8" i="47"/>
  <c r="G8" i="47" s="1"/>
  <c r="AH7" i="47"/>
  <c r="Z7" i="47"/>
  <c r="R7" i="47"/>
  <c r="J7" i="47"/>
  <c r="AH6" i="47"/>
  <c r="Z6" i="47"/>
  <c r="R6" i="47"/>
  <c r="J6" i="47"/>
  <c r="AH5" i="47"/>
  <c r="Z5" i="47"/>
  <c r="M26" i="47" l="1"/>
  <c r="AN26" i="47"/>
  <c r="BC26" i="47"/>
  <c r="AP26" i="47"/>
  <c r="AR26" i="47" s="1"/>
  <c r="AL24" i="47"/>
  <c r="AQ24" i="47"/>
  <c r="V24" i="47"/>
  <c r="AO24" i="47"/>
  <c r="I19" i="47"/>
  <c r="N26" i="47"/>
  <c r="Y8" i="47"/>
  <c r="AA8" i="47" s="1"/>
  <c r="AU26" i="47"/>
  <c r="AD26" i="47"/>
  <c r="L26" i="47"/>
  <c r="AJ24" i="47"/>
  <c r="AB26" i="47"/>
  <c r="AC26" i="47"/>
  <c r="Y13" i="47"/>
  <c r="AA13" i="47" s="1"/>
  <c r="Y9" i="47"/>
  <c r="AG14" i="47"/>
  <c r="AG19" i="47"/>
  <c r="AY24" i="47"/>
  <c r="U24" i="47"/>
  <c r="T24" i="47"/>
  <c r="AG13" i="47"/>
  <c r="AI13" i="47" s="1"/>
  <c r="Y14" i="47"/>
  <c r="BG24" i="47"/>
  <c r="BH24" i="47" s="1"/>
  <c r="BI24" i="47" s="1"/>
  <c r="I8" i="47"/>
  <c r="K8" i="47" s="1"/>
  <c r="AK24" i="47"/>
  <c r="Y19" i="47"/>
  <c r="AB24" i="47"/>
  <c r="BC24" i="47"/>
  <c r="AD24" i="47"/>
  <c r="AC24" i="47"/>
  <c r="M24" i="47"/>
  <c r="N24" i="47"/>
  <c r="AU24" i="47"/>
  <c r="L24" i="47"/>
  <c r="AK26" i="47"/>
  <c r="AJ26" i="47"/>
  <c r="AL26" i="47"/>
  <c r="BG26" i="47"/>
  <c r="BH26" i="47" s="1"/>
  <c r="BI26" i="47" s="1"/>
  <c r="Q8" i="47"/>
  <c r="S8" i="47" s="1"/>
  <c r="AO8" i="47" s="1"/>
  <c r="I9" i="47"/>
  <c r="AG8" i="47"/>
  <c r="AI8" i="47" s="1"/>
  <c r="AQ8" i="47" s="1"/>
  <c r="Q9" i="47"/>
  <c r="I13" i="47"/>
  <c r="K13" i="47" s="1"/>
  <c r="AN13" i="47" s="1"/>
  <c r="I14" i="47"/>
  <c r="T26" i="47"/>
  <c r="U26" i="47"/>
  <c r="V26" i="47"/>
  <c r="AY26" i="47"/>
  <c r="Q13" i="47"/>
  <c r="S13" i="47" s="1"/>
  <c r="AO13" i="47" s="1"/>
  <c r="Q19" i="47"/>
  <c r="R5" i="47"/>
  <c r="J5" i="47"/>
  <c r="AF2" i="47"/>
  <c r="X2" i="47"/>
  <c r="P2" i="47"/>
  <c r="H2" i="47"/>
  <c r="AX26" i="47" l="1"/>
  <c r="AL13" i="47"/>
  <c r="AQ13" i="47"/>
  <c r="AD13" i="47"/>
  <c r="AP13" i="47"/>
  <c r="AC8" i="47"/>
  <c r="AP8" i="47"/>
  <c r="AR8" i="47" s="1"/>
  <c r="N8" i="47"/>
  <c r="AN8" i="47"/>
  <c r="AR24" i="47"/>
  <c r="AD8" i="47"/>
  <c r="C26" i="47"/>
  <c r="BC8" i="47"/>
  <c r="BC13" i="47"/>
  <c r="AB8" i="47"/>
  <c r="AZ24" i="47"/>
  <c r="BA24" i="47"/>
  <c r="BB24" i="47"/>
  <c r="AB13" i="47"/>
  <c r="AC13" i="47"/>
  <c r="AK13" i="47"/>
  <c r="M8" i="47"/>
  <c r="AU8" i="47"/>
  <c r="L8" i="47"/>
  <c r="BG13" i="47"/>
  <c r="BH13" i="47" s="1"/>
  <c r="BI13" i="47" s="1"/>
  <c r="AJ13" i="47"/>
  <c r="C24" i="47"/>
  <c r="BD26" i="47"/>
  <c r="V8" i="47"/>
  <c r="T8" i="47"/>
  <c r="AY8" i="47"/>
  <c r="U8" i="47"/>
  <c r="AV26" i="47"/>
  <c r="BE26" i="47"/>
  <c r="W5" i="47"/>
  <c r="AW26" i="47"/>
  <c r="BF26" i="47"/>
  <c r="BG8" i="47"/>
  <c r="BH8" i="47" s="1"/>
  <c r="BI8" i="47" s="1"/>
  <c r="AJ8" i="47"/>
  <c r="AL8" i="47"/>
  <c r="AK8" i="47"/>
  <c r="AY13" i="47"/>
  <c r="T13" i="47"/>
  <c r="U13" i="47"/>
  <c r="V13" i="47"/>
  <c r="N13" i="47"/>
  <c r="AU13" i="47"/>
  <c r="L13" i="47"/>
  <c r="M13" i="47"/>
  <c r="BA26" i="47"/>
  <c r="BB26" i="47"/>
  <c r="AZ26" i="47"/>
  <c r="AV24" i="47"/>
  <c r="AW24" i="47"/>
  <c r="AX24" i="47"/>
  <c r="BD24" i="47"/>
  <c r="BE24" i="47"/>
  <c r="BF24" i="47"/>
  <c r="R45" i="38"/>
  <c r="R44" i="38"/>
  <c r="R43" i="38"/>
  <c r="R42" i="38"/>
  <c r="EP41" i="38"/>
  <c r="R41" i="38"/>
  <c r="QE40" i="38"/>
  <c r="QD40" i="38" s="1"/>
  <c r="QC40" i="38" s="1"/>
  <c r="QB40" i="38" s="1"/>
  <c r="QA40" i="38" s="1"/>
  <c r="PZ40" i="38" s="1"/>
  <c r="PY40" i="38" s="1"/>
  <c r="PX40" i="38" s="1"/>
  <c r="EP40" i="38"/>
  <c r="EP39" i="38"/>
  <c r="R39" i="38"/>
  <c r="EP38" i="38"/>
  <c r="R38" i="38"/>
  <c r="EP37" i="38"/>
  <c r="R37" i="38"/>
  <c r="FD38" i="38" l="1"/>
  <c r="FE38" i="38"/>
  <c r="FD37" i="38"/>
  <c r="FE37" i="38"/>
  <c r="FD39" i="38"/>
  <c r="FE39" i="38"/>
  <c r="FD41" i="38"/>
  <c r="FE41" i="38"/>
  <c r="FD40" i="38"/>
  <c r="FE40" i="38"/>
  <c r="AR13" i="47"/>
  <c r="BF13" i="47"/>
  <c r="BD13" i="47"/>
  <c r="BE13" i="47"/>
  <c r="BE8" i="47"/>
  <c r="C13" i="47"/>
  <c r="C8" i="47"/>
  <c r="AW13" i="47"/>
  <c r="AX13" i="47"/>
  <c r="AV13" i="47"/>
  <c r="BB8" i="47"/>
  <c r="AZ8" i="47"/>
  <c r="BA8" i="47"/>
  <c r="AV8" i="47"/>
  <c r="AX8" i="47"/>
  <c r="AW8" i="47"/>
  <c r="BD8" i="47"/>
  <c r="AZ13" i="47"/>
  <c r="BA13" i="47"/>
  <c r="BB13" i="47"/>
  <c r="BF8" i="47"/>
  <c r="QJ36" i="38"/>
  <c r="QI36" i="38" s="1"/>
  <c r="QH36" i="38" s="1"/>
  <c r="QG36" i="38" s="1"/>
  <c r="QF36" i="38" s="1"/>
  <c r="QE36" i="38" s="1"/>
  <c r="QD36" i="38" s="1"/>
  <c r="QC36" i="38" s="1"/>
  <c r="QB36" i="38" s="1"/>
  <c r="QA36" i="38" s="1"/>
  <c r="PZ36" i="38" s="1"/>
  <c r="PY36" i="38" s="1"/>
  <c r="PX36" i="38" s="1"/>
  <c r="QP36" i="38" s="1"/>
  <c r="EP36" i="38"/>
  <c r="QE35" i="38"/>
  <c r="QD35" i="38" s="1"/>
  <c r="QC35" i="38" s="1"/>
  <c r="QB35" i="38" s="1"/>
  <c r="QA35" i="38" s="1"/>
  <c r="PZ35" i="38" s="1"/>
  <c r="PY35" i="38" s="1"/>
  <c r="PX35" i="38" s="1"/>
  <c r="EP35" i="38"/>
  <c r="R35" i="38"/>
  <c r="SR27" i="38"/>
  <c r="QL27" i="38"/>
  <c r="QK27" i="38"/>
  <c r="QJ27" i="38"/>
  <c r="QI27" i="38"/>
  <c r="QH27" i="38"/>
  <c r="QG27" i="38"/>
  <c r="QF27" i="38"/>
  <c r="QE27" i="38"/>
  <c r="QE66" i="38" s="1"/>
  <c r="QD27" i="38"/>
  <c r="QC27" i="38"/>
  <c r="QB27" i="38"/>
  <c r="QA27" i="38"/>
  <c r="PZ27" i="38"/>
  <c r="PY27" i="38"/>
  <c r="PX27" i="38"/>
  <c r="OZ27" i="38"/>
  <c r="OY27" i="38"/>
  <c r="OX27" i="38"/>
  <c r="OW27" i="38"/>
  <c r="OV27" i="38"/>
  <c r="OU27" i="38"/>
  <c r="OT27" i="38"/>
  <c r="OS27" i="38"/>
  <c r="OR27" i="38"/>
  <c r="OQ27" i="38"/>
  <c r="OP27" i="38"/>
  <c r="OO27" i="38"/>
  <c r="ON27" i="38"/>
  <c r="OM27" i="38"/>
  <c r="OL27" i="38"/>
  <c r="NB27" i="38"/>
  <c r="NA27" i="38"/>
  <c r="MZ27" i="38" s="1"/>
  <c r="MY27" i="38"/>
  <c r="MX27" i="38"/>
  <c r="MW27" i="38" s="1"/>
  <c r="MV27" i="38" s="1"/>
  <c r="MU27" i="38"/>
  <c r="MT27" i="38" s="1"/>
  <c r="MS27" i="38" s="1"/>
  <c r="MR27" i="38" s="1"/>
  <c r="MQ27" i="38" s="1"/>
  <c r="MP27" i="38" s="1"/>
  <c r="MO27" i="38"/>
  <c r="SV27" i="38" l="1"/>
  <c r="SU27" i="38"/>
  <c r="ST27" i="38"/>
  <c r="FD36" i="38"/>
  <c r="FE36" i="38"/>
  <c r="FD35" i="38"/>
  <c r="FE35" i="38"/>
  <c r="QP27" i="38"/>
  <c r="QO27" i="38"/>
  <c r="QN27" i="38"/>
  <c r="QD66" i="38"/>
  <c r="QC66" i="38" s="1"/>
  <c r="QA66" i="38" s="1"/>
  <c r="PZ66" i="38" s="1"/>
  <c r="PY66" i="38" s="1"/>
  <c r="KO27" i="38" l="1"/>
  <c r="KN27" i="38"/>
  <c r="KM27" i="38"/>
  <c r="KL27" i="38"/>
  <c r="KK27" i="38"/>
  <c r="KJ27" i="38"/>
  <c r="KI27" i="38"/>
  <c r="KH27" i="38"/>
  <c r="KG27" i="38"/>
  <c r="KF27" i="38"/>
  <c r="KE27" i="38"/>
  <c r="KD27" i="38"/>
  <c r="KC27" i="38"/>
  <c r="KB27" i="38"/>
  <c r="KA27" i="38"/>
  <c r="HM27" i="38"/>
  <c r="IF27" i="38" s="1"/>
  <c r="HL27" i="38"/>
  <c r="IE27" i="38" s="1"/>
  <c r="HK27" i="38"/>
  <c r="HJ27" i="38"/>
  <c r="HI27" i="38"/>
  <c r="HH27" i="38"/>
  <c r="HG27" i="38"/>
  <c r="HF27" i="38"/>
  <c r="HE27" i="38"/>
  <c r="HD27" i="38"/>
  <c r="HC27" i="38"/>
  <c r="HB27" i="38"/>
  <c r="HA27" i="38"/>
  <c r="HT27" i="38" s="1"/>
  <c r="GZ27" i="38"/>
  <c r="GY27" i="38"/>
  <c r="FB27" i="38"/>
  <c r="EK27" i="38"/>
  <c r="EI27" i="38" s="1"/>
  <c r="EH27" i="38" s="1"/>
  <c r="EG27" i="38" s="1"/>
  <c r="EF27" i="38"/>
  <c r="DO27" i="38"/>
  <c r="DI27" i="38"/>
  <c r="DH27" i="38"/>
  <c r="DG27" i="38"/>
  <c r="AW27" i="38"/>
  <c r="AV27" i="38"/>
  <c r="AU27" i="38"/>
  <c r="AT27" i="38"/>
  <c r="AS27" i="38"/>
  <c r="AR27" i="38"/>
  <c r="AQ27" i="38"/>
  <c r="AO27" i="38"/>
  <c r="AN27" i="38"/>
  <c r="AM27" i="38"/>
  <c r="AK27" i="38"/>
  <c r="AJ27" i="38"/>
  <c r="AI27" i="38"/>
  <c r="AH27" i="38" s="1"/>
  <c r="AG27" i="38"/>
  <c r="AF27" i="38"/>
  <c r="AE27" i="38"/>
  <c r="AD27" i="38"/>
  <c r="AC27" i="38"/>
  <c r="AB27" i="38"/>
  <c r="AA27" i="38"/>
  <c r="Z27" i="38"/>
  <c r="Y27" i="38" s="1"/>
  <c r="X27" i="38"/>
  <c r="W27" i="38"/>
  <c r="N27" i="38"/>
  <c r="M27" i="38"/>
  <c r="L27" i="38"/>
  <c r="K27" i="38"/>
  <c r="J27" i="38"/>
  <c r="I27" i="38"/>
  <c r="H27" i="38"/>
  <c r="G27" i="38"/>
  <c r="SR26" i="38"/>
  <c r="QL26" i="38"/>
  <c r="QK26" i="38"/>
  <c r="QJ26" i="38"/>
  <c r="M509" i="58" s="1"/>
  <c r="QI26" i="38"/>
  <c r="QH26" i="38"/>
  <c r="QG26" i="38"/>
  <c r="QF26" i="38"/>
  <c r="QE26" i="38"/>
  <c r="QD26" i="38"/>
  <c r="QC26" i="38"/>
  <c r="QB26" i="38"/>
  <c r="K509" i="58" s="1"/>
  <c r="QA26" i="38"/>
  <c r="QA65" i="38" s="1"/>
  <c r="PZ26" i="38"/>
  <c r="PY26" i="38"/>
  <c r="PX26" i="38"/>
  <c r="J509" i="58" s="1"/>
  <c r="OZ26" i="38"/>
  <c r="OY26" i="38"/>
  <c r="OX26" i="38"/>
  <c r="OW26" i="38"/>
  <c r="OV26" i="38"/>
  <c r="OU26" i="38"/>
  <c r="OT26" i="38"/>
  <c r="OS26" i="38"/>
  <c r="OR26" i="38"/>
  <c r="OQ26" i="38"/>
  <c r="OP26" i="38"/>
  <c r="OO26" i="38"/>
  <c r="ON26" i="38"/>
  <c r="OM26" i="38"/>
  <c r="OL26" i="38"/>
  <c r="NB26" i="38"/>
  <c r="NA26" i="38"/>
  <c r="MZ26" i="38"/>
  <c r="MY26" i="38"/>
  <c r="MX26" i="38"/>
  <c r="MW26" i="38"/>
  <c r="MV26" i="38"/>
  <c r="MU26" i="38"/>
  <c r="MT26" i="38"/>
  <c r="MS26" i="38"/>
  <c r="MR26" i="38"/>
  <c r="MQ26" i="38"/>
  <c r="MP26" i="38"/>
  <c r="MO26" i="38"/>
  <c r="KO26" i="38"/>
  <c r="KN26" i="38"/>
  <c r="KM26" i="38"/>
  <c r="KL26" i="38"/>
  <c r="KK26" i="38"/>
  <c r="KJ26" i="38"/>
  <c r="KI26" i="38"/>
  <c r="KH26" i="38"/>
  <c r="KG26" i="38"/>
  <c r="KF26" i="38"/>
  <c r="KE26" i="38"/>
  <c r="KD26" i="38"/>
  <c r="KC26" i="38"/>
  <c r="KB26" i="38"/>
  <c r="KA26" i="38"/>
  <c r="IY26" i="38"/>
  <c r="K35" i="58" s="1"/>
  <c r="IX26" i="38"/>
  <c r="IW26" i="38"/>
  <c r="IV26" i="38"/>
  <c r="IU26" i="38"/>
  <c r="IT26" i="38"/>
  <c r="IS26" i="38"/>
  <c r="IR26" i="38"/>
  <c r="IQ26" i="38"/>
  <c r="IP26" i="38"/>
  <c r="IO26" i="38"/>
  <c r="IN26" i="38"/>
  <c r="IM26" i="38"/>
  <c r="IL26" i="38"/>
  <c r="IK26" i="38"/>
  <c r="HM26" i="38"/>
  <c r="H35" i="58" s="1"/>
  <c r="HL26" i="38"/>
  <c r="IE26" i="38" s="1"/>
  <c r="HK26" i="38"/>
  <c r="HJ26" i="38"/>
  <c r="HI26" i="38"/>
  <c r="HH26" i="38"/>
  <c r="HG26" i="38"/>
  <c r="HF26" i="38"/>
  <c r="HE26" i="38"/>
  <c r="HD26" i="38"/>
  <c r="HC26" i="38"/>
  <c r="HB26" i="38"/>
  <c r="HA26" i="38"/>
  <c r="HT26" i="38" s="1"/>
  <c r="GZ26" i="38"/>
  <c r="GY26" i="38"/>
  <c r="FB26" i="38"/>
  <c r="EK26" i="38"/>
  <c r="EI26" i="38" s="1"/>
  <c r="EH26" i="38" s="1"/>
  <c r="EG26" i="38" s="1"/>
  <c r="EF26" i="38"/>
  <c r="DI26" i="38"/>
  <c r="DH26" i="38"/>
  <c r="DG26" i="38"/>
  <c r="CI26" i="38"/>
  <c r="CH26" i="38"/>
  <c r="CG26" i="38"/>
  <c r="CF26" i="38"/>
  <c r="CE26" i="38"/>
  <c r="CD26" i="38"/>
  <c r="CC26" i="38"/>
  <c r="CB26" i="38"/>
  <c r="CA26" i="38"/>
  <c r="BZ26" i="38"/>
  <c r="BY26" i="38"/>
  <c r="BX26" i="38"/>
  <c r="BW26" i="38"/>
  <c r="BV26" i="38"/>
  <c r="BU26" i="38"/>
  <c r="AW26" i="38"/>
  <c r="AV26" i="38"/>
  <c r="AU26" i="38"/>
  <c r="AT26" i="38"/>
  <c r="AS26" i="38"/>
  <c r="AR26" i="38"/>
  <c r="AQ26" i="38"/>
  <c r="AO26" i="38"/>
  <c r="AN26" i="38"/>
  <c r="AM26" i="38"/>
  <c r="AK26" i="38"/>
  <c r="AJ26" i="38"/>
  <c r="AI26" i="38"/>
  <c r="AH26" i="38"/>
  <c r="AG26" i="38"/>
  <c r="AF26" i="38"/>
  <c r="AE26" i="38"/>
  <c r="AD26" i="38"/>
  <c r="AC26" i="38"/>
  <c r="AB26" i="38"/>
  <c r="AA26" i="38"/>
  <c r="Z26" i="38"/>
  <c r="Y26" i="38" s="1"/>
  <c r="X26" i="38"/>
  <c r="W26" i="38"/>
  <c r="N26" i="38"/>
  <c r="M26" i="38"/>
  <c r="L26" i="38"/>
  <c r="K26" i="38"/>
  <c r="J26" i="38"/>
  <c r="I26" i="38"/>
  <c r="H26" i="38"/>
  <c r="G26" i="38"/>
  <c r="SR25" i="38"/>
  <c r="QL25" i="38"/>
  <c r="QK25" i="38"/>
  <c r="QJ25" i="38"/>
  <c r="QI25" i="38"/>
  <c r="QH25" i="38"/>
  <c r="QG25" i="38"/>
  <c r="QF25" i="38"/>
  <c r="QE25" i="38"/>
  <c r="QD25" i="38"/>
  <c r="QC25" i="38"/>
  <c r="QB25" i="38"/>
  <c r="QA25" i="38"/>
  <c r="QA64" i="38" s="1"/>
  <c r="PZ25" i="38"/>
  <c r="PY25" i="38"/>
  <c r="PX25" i="38"/>
  <c r="OZ25" i="38"/>
  <c r="OY25" i="38"/>
  <c r="OX25" i="38"/>
  <c r="OW25" i="38"/>
  <c r="OV25" i="38"/>
  <c r="OU25" i="38"/>
  <c r="OT25" i="38"/>
  <c r="OS25" i="38"/>
  <c r="OR25" i="38"/>
  <c r="OQ25" i="38"/>
  <c r="OP25" i="38"/>
  <c r="OO25" i="38"/>
  <c r="ON25" i="38"/>
  <c r="OM25" i="38"/>
  <c r="OL25" i="38"/>
  <c r="NB25" i="38"/>
  <c r="NA25" i="38"/>
  <c r="MZ25" i="38"/>
  <c r="MY25" i="38"/>
  <c r="MX25" i="38"/>
  <c r="MW25" i="38"/>
  <c r="MV25" i="38"/>
  <c r="MU25" i="38"/>
  <c r="MT25" i="38"/>
  <c r="MS25" i="38"/>
  <c r="MR25" i="38"/>
  <c r="MQ25" i="38" s="1"/>
  <c r="MP25" i="38"/>
  <c r="MO25" i="38"/>
  <c r="KO25" i="38"/>
  <c r="KN25" i="38"/>
  <c r="KM25" i="38"/>
  <c r="KL25" i="38"/>
  <c r="KK25" i="38"/>
  <c r="KJ25" i="38"/>
  <c r="KI25" i="38"/>
  <c r="KH25" i="38"/>
  <c r="KG25" i="38"/>
  <c r="KF25" i="38"/>
  <c r="KE25" i="38"/>
  <c r="KD25" i="38"/>
  <c r="KC25" i="38"/>
  <c r="KB25" i="38"/>
  <c r="KA25" i="38"/>
  <c r="HM25" i="38"/>
  <c r="H34" i="58" s="1"/>
  <c r="HL25" i="38"/>
  <c r="HK25" i="38"/>
  <c r="HJ25" i="38"/>
  <c r="HI25" i="38"/>
  <c r="HH25" i="38"/>
  <c r="HG25" i="38"/>
  <c r="HF25" i="38"/>
  <c r="HE25" i="38"/>
  <c r="HD25" i="38"/>
  <c r="HC25" i="38"/>
  <c r="HB25" i="38"/>
  <c r="HA25" i="38"/>
  <c r="GZ25" i="38"/>
  <c r="GY25" i="38"/>
  <c r="HR25" i="38" s="1"/>
  <c r="FB25" i="38"/>
  <c r="EK25" i="38"/>
  <c r="EI25" i="38" s="1"/>
  <c r="EH25" i="38" s="1"/>
  <c r="EG25" i="38" s="1"/>
  <c r="EF25" i="38"/>
  <c r="DI25" i="38"/>
  <c r="DH25" i="38"/>
  <c r="DG25" i="38"/>
  <c r="AW25" i="38"/>
  <c r="AV25" i="38"/>
  <c r="AU25" i="38"/>
  <c r="AT25" i="38"/>
  <c r="AS25" i="38"/>
  <c r="AR25" i="38"/>
  <c r="AQ25" i="38"/>
  <c r="AO25" i="38"/>
  <c r="AN25" i="38"/>
  <c r="AM25" i="38"/>
  <c r="AK25" i="38"/>
  <c r="AJ25" i="38"/>
  <c r="AI25" i="38"/>
  <c r="AH25" i="38"/>
  <c r="AG25" i="38"/>
  <c r="AF25" i="38"/>
  <c r="AE25" i="38"/>
  <c r="AD25" i="38"/>
  <c r="AC25" i="38"/>
  <c r="AB25" i="38"/>
  <c r="AA25" i="38"/>
  <c r="Z25" i="38"/>
  <c r="Y25" i="38" s="1"/>
  <c r="X25" i="38"/>
  <c r="W25" i="38"/>
  <c r="S25" i="38"/>
  <c r="N25" i="38"/>
  <c r="M25" i="38"/>
  <c r="L25" i="38"/>
  <c r="K25" i="38"/>
  <c r="J25" i="38"/>
  <c r="I25" i="38"/>
  <c r="H25" i="38"/>
  <c r="G25" i="38"/>
  <c r="SR24" i="38"/>
  <c r="QL24" i="38"/>
  <c r="QK24" i="38"/>
  <c r="QJ24" i="38"/>
  <c r="QI24" i="38"/>
  <c r="QH24" i="38"/>
  <c r="QG24" i="38"/>
  <c r="QF24" i="38"/>
  <c r="QE24" i="38"/>
  <c r="QD24" i="38"/>
  <c r="QC24" i="38"/>
  <c r="QB24" i="38"/>
  <c r="QA24" i="38"/>
  <c r="PZ24" i="38"/>
  <c r="PY24" i="38"/>
  <c r="PX24" i="38"/>
  <c r="OZ24" i="38"/>
  <c r="OY24" i="38"/>
  <c r="OX24" i="38"/>
  <c r="OW24" i="38"/>
  <c r="OV24" i="38"/>
  <c r="OU24" i="38"/>
  <c r="OT24" i="38"/>
  <c r="OS24" i="38"/>
  <c r="OR24" i="38"/>
  <c r="OQ24" i="38"/>
  <c r="OP24" i="38"/>
  <c r="OO24" i="38"/>
  <c r="ON24" i="38"/>
  <c r="OM24" i="38"/>
  <c r="OL24" i="38"/>
  <c r="MW24" i="38"/>
  <c r="MV24" i="38" s="1"/>
  <c r="MU24" i="38" s="1"/>
  <c r="MT24" i="38" s="1"/>
  <c r="MS24" i="38"/>
  <c r="MR24" i="38" s="1"/>
  <c r="MQ24" i="38" s="1"/>
  <c r="MP24" i="38" s="1"/>
  <c r="MO24" i="38" s="1"/>
  <c r="KO24" i="38"/>
  <c r="KN24" i="38"/>
  <c r="KM24" i="38"/>
  <c r="KL24" i="38"/>
  <c r="KK24" i="38"/>
  <c r="KJ24" i="38"/>
  <c r="KI24" i="38"/>
  <c r="KH24" i="38"/>
  <c r="KG24" i="38"/>
  <c r="KF24" i="38"/>
  <c r="KE24" i="38"/>
  <c r="KD24" i="38"/>
  <c r="KC24" i="38"/>
  <c r="KB24" i="38"/>
  <c r="KA24" i="38"/>
  <c r="IY24" i="38"/>
  <c r="K33" i="58" s="1"/>
  <c r="IX24" i="38"/>
  <c r="IW24" i="38"/>
  <c r="IV24" i="38"/>
  <c r="IU24" i="38"/>
  <c r="IT24" i="38"/>
  <c r="IS24" i="38"/>
  <c r="IR24" i="38"/>
  <c r="IQ24" i="38"/>
  <c r="IP24" i="38"/>
  <c r="IO24" i="38"/>
  <c r="IN24" i="38"/>
  <c r="IM24" i="38"/>
  <c r="IL24" i="38"/>
  <c r="IK24" i="38"/>
  <c r="HM24" i="38"/>
  <c r="HL24" i="38"/>
  <c r="HK24" i="38"/>
  <c r="HJ24" i="38"/>
  <c r="HI24" i="38"/>
  <c r="HH24" i="38"/>
  <c r="HG24" i="38"/>
  <c r="HF24" i="38"/>
  <c r="HE24" i="38"/>
  <c r="HD24" i="38"/>
  <c r="HC24" i="38"/>
  <c r="HB24" i="38"/>
  <c r="HA24" i="38"/>
  <c r="GZ24" i="38"/>
  <c r="GY24" i="38"/>
  <c r="FB24" i="38"/>
  <c r="EK24" i="38"/>
  <c r="EI24" i="38" s="1"/>
  <c r="EH24" i="38" s="1"/>
  <c r="EG24" i="38" s="1"/>
  <c r="EF24" i="38"/>
  <c r="DI24" i="38"/>
  <c r="DH24" i="38"/>
  <c r="DG24" i="38"/>
  <c r="CI24" i="38"/>
  <c r="CH24" i="38"/>
  <c r="CG24" i="38"/>
  <c r="CF24" i="38"/>
  <c r="CE24" i="38"/>
  <c r="CD24" i="38"/>
  <c r="CC24" i="38"/>
  <c r="CB24" i="38"/>
  <c r="CA24" i="38"/>
  <c r="BZ24" i="38"/>
  <c r="BY24" i="38"/>
  <c r="BX24" i="38"/>
  <c r="BW24" i="38"/>
  <c r="BV24" i="38"/>
  <c r="BU24" i="38"/>
  <c r="BP24" i="38"/>
  <c r="BO24" i="38"/>
  <c r="BN24" i="38"/>
  <c r="BM24" i="38"/>
  <c r="BL24" i="38"/>
  <c r="BK24" i="38"/>
  <c r="BJ24" i="38"/>
  <c r="BI24" i="38"/>
  <c r="BH24" i="38"/>
  <c r="BG24" i="38"/>
  <c r="BF24" i="38"/>
  <c r="BE24" i="38"/>
  <c r="BD24" i="38"/>
  <c r="BC24" i="38"/>
  <c r="BB24" i="38"/>
  <c r="AW24" i="38"/>
  <c r="AV24" i="38"/>
  <c r="AU24" i="38"/>
  <c r="AT24" i="38"/>
  <c r="AS24" i="38"/>
  <c r="AR24" i="38"/>
  <c r="AQ24" i="38"/>
  <c r="AO24" i="38"/>
  <c r="AN24" i="38"/>
  <c r="AM24" i="38"/>
  <c r="AK24" i="38"/>
  <c r="AJ24" i="38"/>
  <c r="AI24" i="38"/>
  <c r="AH24" i="38"/>
  <c r="AG24" i="38"/>
  <c r="AF24" i="38"/>
  <c r="AE24" i="38" s="1"/>
  <c r="AD24" i="38" s="1"/>
  <c r="AC24" i="38"/>
  <c r="AB24" i="38"/>
  <c r="AA24" i="38"/>
  <c r="Z24" i="38"/>
  <c r="Y24" i="38" s="1"/>
  <c r="X24" i="38"/>
  <c r="W24" i="38"/>
  <c r="S24" i="38"/>
  <c r="N24" i="38"/>
  <c r="M24" i="38"/>
  <c r="L24" i="38"/>
  <c r="K24" i="38"/>
  <c r="J24" i="38"/>
  <c r="I24" i="38"/>
  <c r="H24" i="38"/>
  <c r="G24" i="38"/>
  <c r="SR23" i="38"/>
  <c r="QL23" i="38"/>
  <c r="QK23" i="38"/>
  <c r="QJ23" i="38"/>
  <c r="QI23" i="38"/>
  <c r="QH23" i="38"/>
  <c r="QG23" i="38"/>
  <c r="QF23" i="38"/>
  <c r="QE23" i="38"/>
  <c r="QD23" i="38"/>
  <c r="QC23" i="38"/>
  <c r="QB23" i="38"/>
  <c r="QA23" i="38"/>
  <c r="PZ23" i="38"/>
  <c r="PY23" i="38"/>
  <c r="PX23" i="38"/>
  <c r="OZ23" i="38"/>
  <c r="OY23" i="38"/>
  <c r="OX23" i="38"/>
  <c r="OW23" i="38"/>
  <c r="OV23" i="38"/>
  <c r="OU23" i="38"/>
  <c r="OT23" i="38"/>
  <c r="OS23" i="38"/>
  <c r="OR23" i="38"/>
  <c r="OQ23" i="38"/>
  <c r="OP23" i="38"/>
  <c r="OO23" i="38"/>
  <c r="ON23" i="38"/>
  <c r="OM23" i="38"/>
  <c r="OL23" i="38"/>
  <c r="NB23" i="38"/>
  <c r="NA23" i="38"/>
  <c r="MZ23" i="38"/>
  <c r="MY23" i="38"/>
  <c r="MX23" i="38"/>
  <c r="MW23" i="38"/>
  <c r="MV23" i="38"/>
  <c r="MU23" i="38"/>
  <c r="MT23" i="38"/>
  <c r="MS23" i="38"/>
  <c r="MR23" i="38"/>
  <c r="MQ23" i="38" s="1"/>
  <c r="MP23" i="38"/>
  <c r="MO23" i="38"/>
  <c r="KO23" i="38"/>
  <c r="KN23" i="38"/>
  <c r="KM23" i="38"/>
  <c r="KL23" i="38"/>
  <c r="KK23" i="38"/>
  <c r="KJ23" i="38"/>
  <c r="KI23" i="38"/>
  <c r="KH23" i="38"/>
  <c r="KG23" i="38"/>
  <c r="KF23" i="38"/>
  <c r="KE23" i="38"/>
  <c r="KD23" i="38"/>
  <c r="KC23" i="38"/>
  <c r="KB23" i="38"/>
  <c r="KA23" i="38"/>
  <c r="HM23" i="38"/>
  <c r="HL23" i="38"/>
  <c r="HK23" i="38"/>
  <c r="HJ23" i="38"/>
  <c r="HI23" i="38"/>
  <c r="HH23" i="38"/>
  <c r="HG23" i="38"/>
  <c r="HF23" i="38"/>
  <c r="HE23" i="38"/>
  <c r="HD23" i="38"/>
  <c r="HC23" i="38"/>
  <c r="HB23" i="38"/>
  <c r="HA23" i="38"/>
  <c r="GZ23" i="38"/>
  <c r="GY23" i="38"/>
  <c r="FB23" i="38"/>
  <c r="EK23" i="38"/>
  <c r="EI23" i="38" s="1"/>
  <c r="EH23" i="38" s="1"/>
  <c r="EG23" i="38" s="1"/>
  <c r="EF23" i="38"/>
  <c r="DI23" i="38"/>
  <c r="DH23" i="38"/>
  <c r="DG23" i="38"/>
  <c r="AW23" i="38"/>
  <c r="AV23" i="38"/>
  <c r="AU23" i="38"/>
  <c r="AT23" i="38"/>
  <c r="AS23" i="38"/>
  <c r="AR23" i="38"/>
  <c r="AQ23" i="38"/>
  <c r="AO23" i="38"/>
  <c r="AN23" i="38"/>
  <c r="AM23" i="38"/>
  <c r="AK23" i="38"/>
  <c r="AJ23" i="38"/>
  <c r="AI23" i="38"/>
  <c r="AH23" i="38"/>
  <c r="AG23" i="38"/>
  <c r="AF23" i="38"/>
  <c r="AE23" i="38"/>
  <c r="AD23" i="38"/>
  <c r="AC23" i="38"/>
  <c r="AB23" i="38"/>
  <c r="AA23" i="38"/>
  <c r="Z23" i="38"/>
  <c r="Y23" i="38" s="1"/>
  <c r="X23" i="38"/>
  <c r="W23" i="38"/>
  <c r="S23" i="38"/>
  <c r="N23" i="38"/>
  <c r="M23" i="38"/>
  <c r="L23" i="38"/>
  <c r="K23" i="38"/>
  <c r="J23" i="38"/>
  <c r="I23" i="38"/>
  <c r="H23" i="38"/>
  <c r="G23" i="38"/>
  <c r="SR22" i="38"/>
  <c r="QL22" i="38"/>
  <c r="QK22" i="38"/>
  <c r="QJ22" i="38"/>
  <c r="M506" i="58" s="1"/>
  <c r="QI22" i="38"/>
  <c r="QH22" i="38"/>
  <c r="QG22" i="38"/>
  <c r="QF22" i="38"/>
  <c r="QE22" i="38"/>
  <c r="QD22" i="38"/>
  <c r="QC22" i="38"/>
  <c r="QB22" i="38"/>
  <c r="K506" i="58" s="1"/>
  <c r="QA22" i="38"/>
  <c r="PZ22" i="38"/>
  <c r="PY22" i="38"/>
  <c r="PX22" i="38"/>
  <c r="J506" i="58" s="1"/>
  <c r="OZ22" i="38"/>
  <c r="OY22" i="38"/>
  <c r="OX22" i="38"/>
  <c r="OW22" i="38"/>
  <c r="OV22" i="38"/>
  <c r="OU22" i="38"/>
  <c r="OT22" i="38"/>
  <c r="OS22" i="38"/>
  <c r="OR22" i="38"/>
  <c r="OQ22" i="38"/>
  <c r="OP22" i="38"/>
  <c r="OO22" i="38"/>
  <c r="ON22" i="38"/>
  <c r="OM22" i="38"/>
  <c r="OL22" i="38"/>
  <c r="NB22" i="38"/>
  <c r="NA22" i="38"/>
  <c r="MZ22" i="38"/>
  <c r="MY22" i="38"/>
  <c r="MX22" i="38"/>
  <c r="MW22" i="38" s="1"/>
  <c r="MV22" i="38"/>
  <c r="MU22" i="38"/>
  <c r="MT22" i="38"/>
  <c r="MS22" i="38"/>
  <c r="MR22" i="38"/>
  <c r="MQ22" i="38" s="1"/>
  <c r="MP22" i="38"/>
  <c r="MO22" i="38"/>
  <c r="KO22" i="38"/>
  <c r="KN22" i="38"/>
  <c r="KM22" i="38"/>
  <c r="KL22" i="38"/>
  <c r="KK22" i="38"/>
  <c r="KJ22" i="38"/>
  <c r="KI22" i="38"/>
  <c r="KH22" i="38"/>
  <c r="KG22" i="38"/>
  <c r="KF22" i="38"/>
  <c r="KE22" i="38"/>
  <c r="KD22" i="38"/>
  <c r="KC22" i="38"/>
  <c r="KB22" i="38"/>
  <c r="KA22" i="38"/>
  <c r="HM22" i="38"/>
  <c r="H31" i="58" s="1"/>
  <c r="HL22" i="38"/>
  <c r="HK22" i="38"/>
  <c r="HJ22" i="38"/>
  <c r="HI22" i="38"/>
  <c r="HH22" i="38"/>
  <c r="HG22" i="38"/>
  <c r="HF22" i="38"/>
  <c r="HE22" i="38"/>
  <c r="HD22" i="38"/>
  <c r="HC22" i="38"/>
  <c r="HB22" i="38"/>
  <c r="HA22" i="38"/>
  <c r="GZ22" i="38"/>
  <c r="GY22" i="38"/>
  <c r="FB22" i="38"/>
  <c r="EK22" i="38"/>
  <c r="EI22" i="38" s="1"/>
  <c r="EH22" i="38" s="1"/>
  <c r="EG22" i="38" s="1"/>
  <c r="EF22" i="38"/>
  <c r="DI22" i="38"/>
  <c r="DH22" i="38"/>
  <c r="DG22" i="38"/>
  <c r="AW22" i="38"/>
  <c r="AV22" i="38"/>
  <c r="AU22" i="38"/>
  <c r="AT22" i="38"/>
  <c r="AS22" i="38"/>
  <c r="AR22" i="38"/>
  <c r="AQ22" i="38"/>
  <c r="AO22" i="38"/>
  <c r="AN22" i="38"/>
  <c r="AM22" i="38"/>
  <c r="AK22" i="38"/>
  <c r="AJ22" i="38"/>
  <c r="AI22" i="38"/>
  <c r="AH22" i="38"/>
  <c r="AG22" i="38"/>
  <c r="AF22" i="38"/>
  <c r="AE22" i="38"/>
  <c r="AD22" i="38"/>
  <c r="AC22" i="38"/>
  <c r="AB22" i="38" s="1"/>
  <c r="AA22" i="38"/>
  <c r="Z22" i="38"/>
  <c r="Y22" i="38"/>
  <c r="X22" i="38"/>
  <c r="W22" i="38"/>
  <c r="S22" i="38"/>
  <c r="N22" i="38"/>
  <c r="M22" i="38"/>
  <c r="L22" i="38"/>
  <c r="K22" i="38"/>
  <c r="J22" i="38"/>
  <c r="I22" i="38"/>
  <c r="H22" i="38"/>
  <c r="G22" i="38"/>
  <c r="SR21" i="38"/>
  <c r="QL21" i="38"/>
  <c r="QK21" i="38"/>
  <c r="QJ21" i="38"/>
  <c r="QI21" i="38"/>
  <c r="QH21" i="38"/>
  <c r="QG21" i="38"/>
  <c r="QF21" i="38"/>
  <c r="QE21" i="38"/>
  <c r="QD21" i="38"/>
  <c r="QC21" i="38"/>
  <c r="QB21" i="38"/>
  <c r="K510" i="58" s="1"/>
  <c r="QA21" i="38"/>
  <c r="PZ21" i="38"/>
  <c r="PY21" i="38"/>
  <c r="PX21" i="38"/>
  <c r="OZ21" i="38"/>
  <c r="OY21" i="38"/>
  <c r="OX21" i="38"/>
  <c r="OW21" i="38"/>
  <c r="OV21" i="38"/>
  <c r="OU21" i="38"/>
  <c r="OT21" i="38"/>
  <c r="OS21" i="38"/>
  <c r="OR21" i="38"/>
  <c r="OQ21" i="38"/>
  <c r="OP21" i="38"/>
  <c r="OO21" i="38"/>
  <c r="ON21" i="38"/>
  <c r="OM21" i="38"/>
  <c r="OL21" i="38"/>
  <c r="NB21" i="38"/>
  <c r="NA21" i="38"/>
  <c r="MZ21" i="38"/>
  <c r="MY21" i="38"/>
  <c r="MX21" i="38"/>
  <c r="MW21" i="38"/>
  <c r="MV21" i="38"/>
  <c r="MU21" i="38" s="1"/>
  <c r="MT21" i="38"/>
  <c r="MS21" i="38"/>
  <c r="MR21" i="38"/>
  <c r="MQ21" i="38" s="1"/>
  <c r="MP21" i="38"/>
  <c r="MO21" i="38"/>
  <c r="KO21" i="38"/>
  <c r="KN21" i="38"/>
  <c r="KM21" i="38"/>
  <c r="KL21" i="38"/>
  <c r="KK21" i="38"/>
  <c r="KJ21" i="38"/>
  <c r="KI21" i="38"/>
  <c r="KH21" i="38"/>
  <c r="KG21" i="38"/>
  <c r="KF21" i="38"/>
  <c r="KE21" i="38"/>
  <c r="KD21" i="38"/>
  <c r="KC21" i="38"/>
  <c r="KB21" i="38"/>
  <c r="KA21" i="38"/>
  <c r="HM21" i="38"/>
  <c r="HL21" i="38"/>
  <c r="HK21" i="38"/>
  <c r="HJ21" i="38"/>
  <c r="HI21" i="38"/>
  <c r="HH21" i="38"/>
  <c r="HG21" i="38"/>
  <c r="HF21" i="38"/>
  <c r="HE21" i="38"/>
  <c r="HX21" i="38" s="1"/>
  <c r="HD21" i="38"/>
  <c r="HC21" i="38"/>
  <c r="HB21" i="38"/>
  <c r="HA21" i="38"/>
  <c r="GZ21" i="38"/>
  <c r="GY21" i="38"/>
  <c r="FB21" i="38"/>
  <c r="EK21" i="38"/>
  <c r="EI21" i="38" s="1"/>
  <c r="EH21" i="38" s="1"/>
  <c r="EG21" i="38" s="1"/>
  <c r="EF21" i="38"/>
  <c r="DI21" i="38"/>
  <c r="DH21" i="38"/>
  <c r="DG21" i="38"/>
  <c r="AW21" i="38"/>
  <c r="AV21" i="38"/>
  <c r="AU21" i="38"/>
  <c r="AT21" i="38"/>
  <c r="AS21" i="38"/>
  <c r="AR21" i="38"/>
  <c r="AQ21" i="38"/>
  <c r="AO21" i="38"/>
  <c r="AN21" i="38"/>
  <c r="AM21" i="38"/>
  <c r="AK21" i="38" s="1"/>
  <c r="AJ21" i="38" s="1"/>
  <c r="AI21" i="38"/>
  <c r="AH21" i="38"/>
  <c r="AG21" i="38"/>
  <c r="AF21" i="38"/>
  <c r="AE21" i="38"/>
  <c r="AD21" i="38"/>
  <c r="AC21" i="38"/>
  <c r="AB21" i="38" s="1"/>
  <c r="AA21" i="38" s="1"/>
  <c r="Z21" i="38"/>
  <c r="Y21" i="38" s="1"/>
  <c r="X21" i="38"/>
  <c r="W21" i="38"/>
  <c r="S21" i="38"/>
  <c r="N21" i="38"/>
  <c r="M21" i="38"/>
  <c r="L21" i="38"/>
  <c r="K21" i="38"/>
  <c r="J21" i="38"/>
  <c r="I21" i="38"/>
  <c r="H21" i="38"/>
  <c r="G21" i="38"/>
  <c r="SR20" i="38"/>
  <c r="QL20" i="38"/>
  <c r="QK20" i="38"/>
  <c r="QJ20" i="38"/>
  <c r="M503" i="58" s="1"/>
  <c r="QI20" i="38"/>
  <c r="QH20" i="38"/>
  <c r="QG20" i="38"/>
  <c r="QF20" i="38"/>
  <c r="QE20" i="38"/>
  <c r="QD20" i="38"/>
  <c r="QC20" i="38"/>
  <c r="QB20" i="38"/>
  <c r="K503" i="58" s="1"/>
  <c r="QA20" i="38"/>
  <c r="PZ20" i="38"/>
  <c r="PY20" i="38"/>
  <c r="PX20" i="38"/>
  <c r="J503" i="58" s="1"/>
  <c r="OZ20" i="38"/>
  <c r="OY20" i="38"/>
  <c r="OX20" i="38"/>
  <c r="OW20" i="38"/>
  <c r="OV20" i="38"/>
  <c r="OU20" i="38"/>
  <c r="OT20" i="38"/>
  <c r="OS20" i="38"/>
  <c r="OR20" i="38"/>
  <c r="OQ20" i="38"/>
  <c r="OP20" i="38"/>
  <c r="OO20" i="38"/>
  <c r="ON20" i="38"/>
  <c r="OM20" i="38"/>
  <c r="OL20" i="38"/>
  <c r="NB20" i="38"/>
  <c r="NA20" i="38"/>
  <c r="MZ20" i="38"/>
  <c r="MY20" i="38"/>
  <c r="MX20" i="38"/>
  <c r="MW20" i="38"/>
  <c r="MV20" i="38"/>
  <c r="MU20" i="38"/>
  <c r="MT20" i="38"/>
  <c r="MS20" i="38"/>
  <c r="MR20" i="38"/>
  <c r="MQ20" i="38" s="1"/>
  <c r="MP20" i="38"/>
  <c r="MO20" i="38"/>
  <c r="KO20" i="38"/>
  <c r="KN20" i="38"/>
  <c r="KM20" i="38"/>
  <c r="KL20" i="38"/>
  <c r="KK20" i="38"/>
  <c r="KJ20" i="38"/>
  <c r="KI20" i="38"/>
  <c r="KH20" i="38"/>
  <c r="KG20" i="38"/>
  <c r="KF20" i="38"/>
  <c r="KE20" i="38"/>
  <c r="KD20" i="38"/>
  <c r="KC20" i="38"/>
  <c r="KB20" i="38"/>
  <c r="KA20" i="38"/>
  <c r="HM20" i="38"/>
  <c r="HL20" i="38"/>
  <c r="HK20" i="38"/>
  <c r="HJ20" i="38"/>
  <c r="HI20" i="38"/>
  <c r="HH20" i="38"/>
  <c r="HG20" i="38"/>
  <c r="HF20" i="38"/>
  <c r="HE20" i="38"/>
  <c r="HD20" i="38"/>
  <c r="HC20" i="38"/>
  <c r="HB20" i="38"/>
  <c r="HA20" i="38"/>
  <c r="GZ20" i="38"/>
  <c r="GY20" i="38"/>
  <c r="FB20" i="38"/>
  <c r="EK20" i="38"/>
  <c r="EI20" i="38" s="1"/>
  <c r="EH20" i="38" s="1"/>
  <c r="EG20" i="38" s="1"/>
  <c r="EF20" i="38"/>
  <c r="DI20" i="38"/>
  <c r="DH20" i="38"/>
  <c r="DG20" i="38"/>
  <c r="AW20" i="38"/>
  <c r="AV20" i="38"/>
  <c r="AU20" i="38"/>
  <c r="AT20" i="38"/>
  <c r="AS20" i="38"/>
  <c r="AR20" i="38"/>
  <c r="AQ20" i="38"/>
  <c r="AO20" i="38"/>
  <c r="AN20" i="38"/>
  <c r="AM20" i="38"/>
  <c r="AK20" i="38"/>
  <c r="AJ20" i="38"/>
  <c r="AI20" i="38"/>
  <c r="AH20" i="38"/>
  <c r="AG20" i="38"/>
  <c r="AF20" i="38"/>
  <c r="AE20" i="38"/>
  <c r="AD20" i="38"/>
  <c r="AC20" i="38"/>
  <c r="AB20" i="38"/>
  <c r="AA20" i="38"/>
  <c r="Z20" i="38"/>
  <c r="Y20" i="38" s="1"/>
  <c r="X20" i="38"/>
  <c r="W20" i="38"/>
  <c r="N20" i="38"/>
  <c r="M20" i="38"/>
  <c r="L20" i="38"/>
  <c r="K20" i="38"/>
  <c r="J20" i="38"/>
  <c r="I20" i="38"/>
  <c r="H20" i="38"/>
  <c r="G20" i="38"/>
  <c r="SR19" i="38"/>
  <c r="QL19" i="38"/>
  <c r="QK19" i="38"/>
  <c r="QJ19" i="38"/>
  <c r="QI19" i="38"/>
  <c r="QH19" i="38"/>
  <c r="QG19" i="38"/>
  <c r="QF19" i="38"/>
  <c r="QE19" i="38"/>
  <c r="QD19" i="38"/>
  <c r="QC19" i="38"/>
  <c r="QB19" i="38"/>
  <c r="K502" i="58" s="1"/>
  <c r="QA19" i="38"/>
  <c r="PZ19" i="38"/>
  <c r="PY19" i="38"/>
  <c r="PX19" i="38"/>
  <c r="J502" i="58" s="1"/>
  <c r="OZ19" i="38"/>
  <c r="OY19" i="38"/>
  <c r="OX19" i="38"/>
  <c r="OW19" i="38"/>
  <c r="OV19" i="38"/>
  <c r="OU19" i="38"/>
  <c r="OT19" i="38"/>
  <c r="OS19" i="38"/>
  <c r="OR19" i="38"/>
  <c r="OQ19" i="38"/>
  <c r="OP19" i="38"/>
  <c r="OO19" i="38"/>
  <c r="ON19" i="38"/>
  <c r="OM19" i="38"/>
  <c r="OL19" i="38"/>
  <c r="NC19" i="38"/>
  <c r="NB19" i="38"/>
  <c r="NA19" i="38" s="1"/>
  <c r="MZ19" i="38"/>
  <c r="MY19" i="38"/>
  <c r="MX19" i="38"/>
  <c r="MW19" i="38"/>
  <c r="MV19" i="38"/>
  <c r="MU19" i="38"/>
  <c r="MT19" i="38"/>
  <c r="MS19" i="38"/>
  <c r="MR19" i="38"/>
  <c r="MQ19" i="38" s="1"/>
  <c r="MP19" i="38"/>
  <c r="MO19" i="38"/>
  <c r="KO19" i="38"/>
  <c r="KN19" i="38"/>
  <c r="KM19" i="38"/>
  <c r="KL19" i="38"/>
  <c r="KK19" i="38"/>
  <c r="KJ19" i="38"/>
  <c r="KI19" i="38"/>
  <c r="KH19" i="38"/>
  <c r="KG19" i="38"/>
  <c r="KF19" i="38"/>
  <c r="KE19" i="38"/>
  <c r="KD19" i="38"/>
  <c r="KC19" i="38"/>
  <c r="KB19" i="38"/>
  <c r="KA19" i="38"/>
  <c r="HM19" i="38"/>
  <c r="HL19" i="38"/>
  <c r="HK19" i="38"/>
  <c r="HJ19" i="38"/>
  <c r="HI19" i="38"/>
  <c r="HH19" i="38"/>
  <c r="HG19" i="38"/>
  <c r="HF19" i="38"/>
  <c r="HE19" i="38"/>
  <c r="HD19" i="38"/>
  <c r="HC19" i="38"/>
  <c r="HB19" i="38"/>
  <c r="HA19" i="38"/>
  <c r="GZ19" i="38"/>
  <c r="GY19" i="38"/>
  <c r="FB19" i="38"/>
  <c r="EK19" i="38"/>
  <c r="EI19" i="38" s="1"/>
  <c r="EH19" i="38" s="1"/>
  <c r="EG19" i="38" s="1"/>
  <c r="EF19" i="38"/>
  <c r="DI19" i="38"/>
  <c r="DH19" i="38"/>
  <c r="DG19" i="38"/>
  <c r="AW19" i="38"/>
  <c r="AV19" i="38"/>
  <c r="AU19" i="38"/>
  <c r="AT19" i="38"/>
  <c r="AS19" i="38"/>
  <c r="AR19" i="38"/>
  <c r="AQ19" i="38"/>
  <c r="AO19" i="38"/>
  <c r="AN19" i="38"/>
  <c r="AM19" i="38"/>
  <c r="AK19" i="38"/>
  <c r="AJ19" i="38"/>
  <c r="AI19" i="38"/>
  <c r="AH19" i="38"/>
  <c r="AG19" i="38"/>
  <c r="AF19" i="38"/>
  <c r="AE19" i="38"/>
  <c r="AD19" i="38"/>
  <c r="AC19" i="38"/>
  <c r="AB19" i="38"/>
  <c r="AA19" i="38"/>
  <c r="Z19" i="38"/>
  <c r="Y19" i="38" s="1"/>
  <c r="X19" i="38"/>
  <c r="W19" i="38"/>
  <c r="S19" i="38"/>
  <c r="N19" i="38"/>
  <c r="M19" i="38"/>
  <c r="L19" i="38"/>
  <c r="K19" i="38"/>
  <c r="J19" i="38"/>
  <c r="I19" i="38"/>
  <c r="H19" i="38"/>
  <c r="G19" i="38"/>
  <c r="SR18" i="38"/>
  <c r="QL18" i="38"/>
  <c r="QK18" i="38"/>
  <c r="QJ18" i="38"/>
  <c r="M493" i="58" s="1"/>
  <c r="QI18" i="38"/>
  <c r="QH18" i="38"/>
  <c r="QG18" i="38"/>
  <c r="QF18" i="38"/>
  <c r="QE18" i="38"/>
  <c r="QD18" i="38"/>
  <c r="QC18" i="38"/>
  <c r="QB18" i="38"/>
  <c r="K493" i="58" s="1"/>
  <c r="QA18" i="38"/>
  <c r="PZ18" i="38"/>
  <c r="PY18" i="38"/>
  <c r="PX18" i="38"/>
  <c r="J493" i="58" s="1"/>
  <c r="OZ18" i="38"/>
  <c r="OY18" i="38"/>
  <c r="OX18" i="38"/>
  <c r="OW18" i="38"/>
  <c r="OV18" i="38"/>
  <c r="OU18" i="38"/>
  <c r="OT18" i="38"/>
  <c r="OS18" i="38"/>
  <c r="OR18" i="38"/>
  <c r="OQ18" i="38"/>
  <c r="OP18" i="38"/>
  <c r="OO18" i="38"/>
  <c r="ON18" i="38"/>
  <c r="OM18" i="38"/>
  <c r="OL18" i="38"/>
  <c r="NB18" i="38"/>
  <c r="NA18" i="38"/>
  <c r="MZ18" i="38"/>
  <c r="MY18" i="38"/>
  <c r="MX18" i="38"/>
  <c r="MW18" i="38"/>
  <c r="MV18" i="38"/>
  <c r="MU18" i="38" s="1"/>
  <c r="MT18" i="38"/>
  <c r="MS18" i="38"/>
  <c r="MR18" i="38"/>
  <c r="MQ18" i="38" s="1"/>
  <c r="MP18" i="38"/>
  <c r="MO18" i="38"/>
  <c r="KO18" i="38"/>
  <c r="KN18" i="38"/>
  <c r="KM18" i="38"/>
  <c r="KL18" i="38"/>
  <c r="KK18" i="38"/>
  <c r="KJ18" i="38"/>
  <c r="KI18" i="38"/>
  <c r="KH18" i="38"/>
  <c r="KG18" i="38"/>
  <c r="KF18" i="38"/>
  <c r="KE18" i="38"/>
  <c r="KD18" i="38"/>
  <c r="KC18" i="38"/>
  <c r="KB18" i="38"/>
  <c r="KA18" i="38"/>
  <c r="HM18" i="38"/>
  <c r="HL18" i="38"/>
  <c r="HK18" i="38"/>
  <c r="HJ18" i="38"/>
  <c r="HI18" i="38"/>
  <c r="HH18" i="38"/>
  <c r="HG18" i="38"/>
  <c r="HF18" i="38"/>
  <c r="HE18" i="38"/>
  <c r="HX18" i="38" s="1"/>
  <c r="HD18" i="38"/>
  <c r="HC18" i="38"/>
  <c r="HB18" i="38"/>
  <c r="HA18" i="38"/>
  <c r="GZ18" i="38"/>
  <c r="GY18" i="38"/>
  <c r="FB18" i="38"/>
  <c r="EK18" i="38"/>
  <c r="EI18" i="38" s="1"/>
  <c r="EH18" i="38" s="1"/>
  <c r="EG18" i="38" s="1"/>
  <c r="EF18" i="38"/>
  <c r="DI18" i="38"/>
  <c r="DH18" i="38"/>
  <c r="DG18" i="38"/>
  <c r="AW18" i="38"/>
  <c r="AV18" i="38"/>
  <c r="AU18" i="38"/>
  <c r="AT18" i="38"/>
  <c r="AS18" i="38"/>
  <c r="AR18" i="38"/>
  <c r="AQ18" i="38"/>
  <c r="AO18" i="38"/>
  <c r="AN18" i="38"/>
  <c r="AM18" i="38"/>
  <c r="AK18" i="38"/>
  <c r="AJ18" i="38"/>
  <c r="AI18" i="38"/>
  <c r="AH18" i="38"/>
  <c r="AG18" i="38"/>
  <c r="AF18" i="38" s="1"/>
  <c r="AE18" i="38" s="1"/>
  <c r="AD18" i="38"/>
  <c r="AC18" i="38"/>
  <c r="AB18" i="38"/>
  <c r="AA18" i="38"/>
  <c r="Z18" i="38"/>
  <c r="Y18" i="38" s="1"/>
  <c r="X18" i="38"/>
  <c r="W18" i="38"/>
  <c r="N18" i="38"/>
  <c r="M18" i="38"/>
  <c r="L18" i="38"/>
  <c r="K18" i="38"/>
  <c r="J18" i="38"/>
  <c r="I18" i="38"/>
  <c r="H18" i="38"/>
  <c r="G18" i="38"/>
  <c r="SR17" i="38"/>
  <c r="QL17" i="38"/>
  <c r="QK17" i="38"/>
  <c r="QJ17" i="38"/>
  <c r="QI17" i="38"/>
  <c r="QH17" i="38"/>
  <c r="QG17" i="38"/>
  <c r="QF17" i="38"/>
  <c r="QE17" i="38"/>
  <c r="QD17" i="38"/>
  <c r="QC17" i="38"/>
  <c r="QB17" i="38"/>
  <c r="QA17" i="38"/>
  <c r="PZ17" i="38"/>
  <c r="PY17" i="38"/>
  <c r="PX17" i="38"/>
  <c r="OZ17" i="38"/>
  <c r="OY17" i="38"/>
  <c r="OX17" i="38"/>
  <c r="OW17" i="38"/>
  <c r="OV17" i="38"/>
  <c r="OU17" i="38"/>
  <c r="OT17" i="38"/>
  <c r="OS17" i="38"/>
  <c r="OR17" i="38"/>
  <c r="OQ17" i="38"/>
  <c r="OP17" i="38"/>
  <c r="OO17" i="38"/>
  <c r="ON17" i="38"/>
  <c r="OM17" i="38"/>
  <c r="OL17" i="38"/>
  <c r="NB17" i="38"/>
  <c r="NA17" i="38"/>
  <c r="MZ17" i="38"/>
  <c r="MY17" i="38"/>
  <c r="MX17" i="38"/>
  <c r="MW17" i="38"/>
  <c r="MV17" i="38"/>
  <c r="MU17" i="38"/>
  <c r="MT17" i="38"/>
  <c r="MS17" i="38"/>
  <c r="MR17" i="38"/>
  <c r="MQ17" i="38" s="1"/>
  <c r="MP17" i="38"/>
  <c r="MO17" i="38"/>
  <c r="KO17" i="38"/>
  <c r="KN17" i="38"/>
  <c r="KM17" i="38"/>
  <c r="KL17" i="38"/>
  <c r="KK17" i="38"/>
  <c r="KJ17" i="38"/>
  <c r="KI17" i="38"/>
  <c r="KH17" i="38"/>
  <c r="KG17" i="38"/>
  <c r="KF17" i="38"/>
  <c r="KE17" i="38"/>
  <c r="KD17" i="38"/>
  <c r="KC17" i="38"/>
  <c r="KB17" i="38"/>
  <c r="KA17" i="38"/>
  <c r="HM17" i="38"/>
  <c r="HL17" i="38"/>
  <c r="HK17" i="38"/>
  <c r="HJ17" i="38"/>
  <c r="HI17" i="38"/>
  <c r="HH17" i="38"/>
  <c r="HG17" i="38"/>
  <c r="HF17" i="38"/>
  <c r="HE17" i="38"/>
  <c r="HD17" i="38"/>
  <c r="HC17" i="38"/>
  <c r="HB17" i="38"/>
  <c r="HA17" i="38"/>
  <c r="GZ17" i="38"/>
  <c r="GY17" i="38"/>
  <c r="FB17" i="38"/>
  <c r="EK17" i="38"/>
  <c r="EI17" i="38" s="1"/>
  <c r="EH17" i="38" s="1"/>
  <c r="EG17" i="38" s="1"/>
  <c r="EF17" i="38"/>
  <c r="DI17" i="38"/>
  <c r="DH17" i="38"/>
  <c r="DG17" i="38"/>
  <c r="AW17" i="38"/>
  <c r="AV17" i="38"/>
  <c r="AU17" i="38"/>
  <c r="AT17" i="38"/>
  <c r="AS17" i="38"/>
  <c r="AR17" i="38"/>
  <c r="AQ17" i="38"/>
  <c r="AO17" i="38"/>
  <c r="AN17" i="38"/>
  <c r="AM17" i="38"/>
  <c r="AK17" i="38"/>
  <c r="AJ17" i="38"/>
  <c r="AI17" i="38"/>
  <c r="AH17" i="38"/>
  <c r="AG17" i="38"/>
  <c r="AF17" i="38"/>
  <c r="AE17" i="38"/>
  <c r="AD17" i="38"/>
  <c r="AC17" i="38"/>
  <c r="AB17" i="38"/>
  <c r="AA17" i="38"/>
  <c r="Z17" i="38"/>
  <c r="Y17" i="38" s="1"/>
  <c r="X17" i="38"/>
  <c r="W17" i="38"/>
  <c r="S17" i="38"/>
  <c r="N17" i="38"/>
  <c r="M17" i="38"/>
  <c r="L17" i="38"/>
  <c r="K17" i="38"/>
  <c r="J17" i="38"/>
  <c r="I17" i="38"/>
  <c r="H17" i="38"/>
  <c r="G17" i="38"/>
  <c r="SR16" i="38"/>
  <c r="QL16" i="38"/>
  <c r="QK16" i="38"/>
  <c r="QJ16" i="38"/>
  <c r="QI16" i="38"/>
  <c r="QH16" i="38"/>
  <c r="QG16" i="38"/>
  <c r="QF16" i="38"/>
  <c r="QE16" i="38"/>
  <c r="QD16" i="38"/>
  <c r="QC16" i="38"/>
  <c r="QB16" i="38"/>
  <c r="QA16" i="38"/>
  <c r="PZ16" i="38"/>
  <c r="PY16" i="38"/>
  <c r="PX16" i="38"/>
  <c r="OZ16" i="38"/>
  <c r="OY16" i="38"/>
  <c r="OX16" i="38"/>
  <c r="OW16" i="38"/>
  <c r="OV16" i="38"/>
  <c r="OU16" i="38"/>
  <c r="OT16" i="38"/>
  <c r="OS16" i="38"/>
  <c r="OR16" i="38"/>
  <c r="OQ16" i="38"/>
  <c r="OP16" i="38"/>
  <c r="OO16" i="38"/>
  <c r="ON16" i="38"/>
  <c r="OM16" i="38"/>
  <c r="OL16" i="38"/>
  <c r="NB16" i="38"/>
  <c r="NA16" i="38"/>
  <c r="MZ16" i="38"/>
  <c r="MY16" i="38"/>
  <c r="MX16" i="38"/>
  <c r="MW16" i="38"/>
  <c r="MV16" i="38"/>
  <c r="MU16" i="38"/>
  <c r="MT16" i="38"/>
  <c r="MS16" i="38"/>
  <c r="MR16" i="38"/>
  <c r="MQ16" i="38" s="1"/>
  <c r="MP16" i="38"/>
  <c r="MO16" i="38"/>
  <c r="KO16" i="38"/>
  <c r="KN16" i="38"/>
  <c r="KM16" i="38"/>
  <c r="KL16" i="38"/>
  <c r="KK16" i="38"/>
  <c r="KJ16" i="38"/>
  <c r="KI16" i="38"/>
  <c r="KH16" i="38"/>
  <c r="KG16" i="38"/>
  <c r="KF16" i="38"/>
  <c r="KE16" i="38"/>
  <c r="KD16" i="38"/>
  <c r="KC16" i="38"/>
  <c r="KB16" i="38"/>
  <c r="KA16" i="38"/>
  <c r="HM16" i="38"/>
  <c r="H25" i="58" s="1"/>
  <c r="HL16" i="38"/>
  <c r="HK16" i="38"/>
  <c r="HJ16" i="38"/>
  <c r="HI16" i="38"/>
  <c r="HH16" i="38"/>
  <c r="HG16" i="38"/>
  <c r="HF16" i="38"/>
  <c r="HE16" i="38"/>
  <c r="HD16" i="38"/>
  <c r="HC16" i="38"/>
  <c r="HB16" i="38"/>
  <c r="HA16" i="38"/>
  <c r="GZ16" i="38"/>
  <c r="GY16" i="38"/>
  <c r="FB16" i="38"/>
  <c r="EK16" i="38"/>
  <c r="EI16" i="38" s="1"/>
  <c r="EH16" i="38" s="1"/>
  <c r="EG16" i="38" s="1"/>
  <c r="EF16" i="38"/>
  <c r="DI16" i="38"/>
  <c r="DH16" i="38"/>
  <c r="DG16" i="38"/>
  <c r="AW16" i="38"/>
  <c r="AV16" i="38"/>
  <c r="AU16" i="38"/>
  <c r="AT16" i="38"/>
  <c r="AS16" i="38"/>
  <c r="AR16" i="38"/>
  <c r="AQ16" i="38"/>
  <c r="AO16" i="38"/>
  <c r="AN16" i="38"/>
  <c r="AM16" i="38"/>
  <c r="AK16" i="38" s="1"/>
  <c r="AJ16" i="38"/>
  <c r="AI16" i="38"/>
  <c r="AH16" i="38"/>
  <c r="AG16" i="38"/>
  <c r="AF16" i="38"/>
  <c r="AE16" i="38"/>
  <c r="AD16" i="38"/>
  <c r="AC16" i="38" s="1"/>
  <c r="AB16" i="38"/>
  <c r="AA16" i="38"/>
  <c r="Z16" i="38"/>
  <c r="Y16" i="38" s="1"/>
  <c r="X16" i="38"/>
  <c r="W16" i="38"/>
  <c r="N16" i="38"/>
  <c r="M16" i="38"/>
  <c r="L16" i="38"/>
  <c r="K16" i="38"/>
  <c r="J16" i="38"/>
  <c r="I16" i="38"/>
  <c r="H16" i="38"/>
  <c r="G16" i="38"/>
  <c r="SR15" i="38"/>
  <c r="QL15" i="38"/>
  <c r="QK15" i="38"/>
  <c r="QJ15" i="38"/>
  <c r="M504" i="58" s="1"/>
  <c r="QI15" i="38"/>
  <c r="QH15" i="38"/>
  <c r="QG15" i="38"/>
  <c r="QF15" i="38"/>
  <c r="QE15" i="38"/>
  <c r="QD15" i="38"/>
  <c r="QC15" i="38"/>
  <c r="QB15" i="38"/>
  <c r="K504" i="58" s="1"/>
  <c r="QA15" i="38"/>
  <c r="PZ15" i="38"/>
  <c r="PY15" i="38"/>
  <c r="PX15" i="38"/>
  <c r="J504" i="58" s="1"/>
  <c r="OZ15" i="38"/>
  <c r="OY15" i="38"/>
  <c r="OX15" i="38"/>
  <c r="OW15" i="38"/>
  <c r="OV15" i="38"/>
  <c r="OU15" i="38"/>
  <c r="OT15" i="38"/>
  <c r="OS15" i="38"/>
  <c r="OR15" i="38"/>
  <c r="OQ15" i="38"/>
  <c r="OP15" i="38"/>
  <c r="OO15" i="38"/>
  <c r="ON15" i="38"/>
  <c r="OM15" i="38"/>
  <c r="OL15" i="38"/>
  <c r="NB15" i="38"/>
  <c r="NA15" i="38"/>
  <c r="MZ15" i="38"/>
  <c r="MY15" i="38"/>
  <c r="MX15" i="38"/>
  <c r="MW15" i="38"/>
  <c r="MV15" i="38"/>
  <c r="MU15" i="38"/>
  <c r="MT15" i="38"/>
  <c r="MS15" i="38"/>
  <c r="MR15" i="38"/>
  <c r="MQ15" i="38" s="1"/>
  <c r="MP15" i="38"/>
  <c r="MO15" i="38"/>
  <c r="KO15" i="38"/>
  <c r="KN15" i="38"/>
  <c r="KM15" i="38"/>
  <c r="KL15" i="38"/>
  <c r="KK15" i="38"/>
  <c r="KJ15" i="38"/>
  <c r="KI15" i="38"/>
  <c r="KH15" i="38"/>
  <c r="KG15" i="38"/>
  <c r="KF15" i="38"/>
  <c r="KE15" i="38"/>
  <c r="KD15" i="38"/>
  <c r="KC15" i="38"/>
  <c r="KB15" i="38"/>
  <c r="KA15" i="38"/>
  <c r="HM15" i="38"/>
  <c r="H24" i="58" s="1"/>
  <c r="HL15" i="38"/>
  <c r="HK15" i="38"/>
  <c r="HJ15" i="38"/>
  <c r="HI15" i="38"/>
  <c r="HH15" i="38"/>
  <c r="HG15" i="38"/>
  <c r="HF15" i="38"/>
  <c r="HE15" i="38"/>
  <c r="HD15" i="38"/>
  <c r="HC15" i="38"/>
  <c r="HB15" i="38"/>
  <c r="HA15" i="38"/>
  <c r="GZ15" i="38"/>
  <c r="GY15" i="38"/>
  <c r="FB15" i="38"/>
  <c r="EK15" i="38"/>
  <c r="EI15" i="38" s="1"/>
  <c r="EH15" i="38" s="1"/>
  <c r="EG15" i="38" s="1"/>
  <c r="EF15" i="38"/>
  <c r="DI15" i="38"/>
  <c r="DH15" i="38"/>
  <c r="DG15" i="38"/>
  <c r="AW15" i="38"/>
  <c r="AV15" i="38"/>
  <c r="AU15" i="38"/>
  <c r="AT15" i="38"/>
  <c r="AS15" i="38"/>
  <c r="AR15" i="38"/>
  <c r="AQ15" i="38"/>
  <c r="AO15" i="38"/>
  <c r="AN15" i="38"/>
  <c r="AM15" i="38"/>
  <c r="AK15" i="38"/>
  <c r="AJ15" i="38" s="1"/>
  <c r="AI15" i="38" s="1"/>
  <c r="AH15" i="38"/>
  <c r="AG15" i="38"/>
  <c r="AF15" i="38"/>
  <c r="AE15" i="38"/>
  <c r="AD15" i="38"/>
  <c r="AC15" i="38"/>
  <c r="AB15" i="38" s="1"/>
  <c r="AA15" i="38" s="1"/>
  <c r="Z15" i="38"/>
  <c r="Y15" i="38" s="1"/>
  <c r="X15" i="38"/>
  <c r="W15" i="38"/>
  <c r="N15" i="38"/>
  <c r="M15" i="38"/>
  <c r="L15" i="38"/>
  <c r="K15" i="38"/>
  <c r="J15" i="38"/>
  <c r="I15" i="38"/>
  <c r="H15" i="38"/>
  <c r="G15" i="38"/>
  <c r="SR14" i="38"/>
  <c r="QL14" i="38"/>
  <c r="QK14" i="38"/>
  <c r="QJ14" i="38"/>
  <c r="M507" i="58" s="1"/>
  <c r="QI14" i="38"/>
  <c r="QH14" i="38"/>
  <c r="QG14" i="38"/>
  <c r="QF14" i="38"/>
  <c r="QE14" i="38"/>
  <c r="QD14" i="38"/>
  <c r="QC14" i="38"/>
  <c r="QB14" i="38"/>
  <c r="QA14" i="38"/>
  <c r="PZ14" i="38"/>
  <c r="PY14" i="38"/>
  <c r="PX14" i="38"/>
  <c r="J507" i="58" s="1"/>
  <c r="OZ14" i="38"/>
  <c r="OY14" i="38"/>
  <c r="OX14" i="38"/>
  <c r="OW14" i="38"/>
  <c r="OV14" i="38"/>
  <c r="OU14" i="38"/>
  <c r="OT14" i="38"/>
  <c r="OS14" i="38"/>
  <c r="OR14" i="38"/>
  <c r="OQ14" i="38"/>
  <c r="OP14" i="38"/>
  <c r="OO14" i="38"/>
  <c r="ON14" i="38"/>
  <c r="OM14" i="38"/>
  <c r="OL14" i="38"/>
  <c r="NC14" i="38"/>
  <c r="NB14" i="38"/>
  <c r="NA14" i="38"/>
  <c r="MZ14" i="38"/>
  <c r="MY14" i="38"/>
  <c r="MX14" i="38"/>
  <c r="MW14" i="38"/>
  <c r="MV14" i="38"/>
  <c r="MU14" i="38"/>
  <c r="MT14" i="38"/>
  <c r="MS14" i="38"/>
  <c r="MR14" i="38" s="1"/>
  <c r="MQ14" i="38"/>
  <c r="MP14" i="38" s="1"/>
  <c r="MO14" i="38"/>
  <c r="KO14" i="38"/>
  <c r="KN14" i="38"/>
  <c r="KM14" i="38"/>
  <c r="KL14" i="38"/>
  <c r="KK14" i="38"/>
  <c r="KJ14" i="38"/>
  <c r="KI14" i="38"/>
  <c r="KH14" i="38"/>
  <c r="KG14" i="38"/>
  <c r="KF14" i="38"/>
  <c r="KE14" i="38"/>
  <c r="KD14" i="38"/>
  <c r="KC14" i="38"/>
  <c r="KB14" i="38"/>
  <c r="KA14" i="38"/>
  <c r="HM14" i="38"/>
  <c r="H23" i="58" s="1"/>
  <c r="HL14" i="38"/>
  <c r="HK14" i="38"/>
  <c r="HJ14" i="38"/>
  <c r="HI14" i="38"/>
  <c r="HH14" i="38"/>
  <c r="HG14" i="38"/>
  <c r="HF14" i="38"/>
  <c r="HE14" i="38"/>
  <c r="HD14" i="38"/>
  <c r="HC14" i="38"/>
  <c r="HB14" i="38"/>
  <c r="HA14" i="38"/>
  <c r="GZ14" i="38"/>
  <c r="GY14" i="38"/>
  <c r="FB14" i="38"/>
  <c r="EK14" i="38"/>
  <c r="EI14" i="38" s="1"/>
  <c r="EH14" i="38" s="1"/>
  <c r="EG14" i="38" s="1"/>
  <c r="EF14" i="38"/>
  <c r="DI14" i="38"/>
  <c r="DH14" i="38"/>
  <c r="DG14" i="38"/>
  <c r="AW14" i="38"/>
  <c r="AV14" i="38"/>
  <c r="AU14" i="38"/>
  <c r="AT14" i="38"/>
  <c r="AS14" i="38"/>
  <c r="AR14" i="38"/>
  <c r="AQ14" i="38"/>
  <c r="AO14" i="38"/>
  <c r="AN14" i="38"/>
  <c r="AM14" i="38"/>
  <c r="AK14" i="38"/>
  <c r="AJ14" i="38"/>
  <c r="AI14" i="38"/>
  <c r="AH14" i="38"/>
  <c r="AG14" i="38" s="1"/>
  <c r="AF14" i="38"/>
  <c r="AE14" i="38"/>
  <c r="AD14" i="38"/>
  <c r="AC14" i="38"/>
  <c r="AB14" i="38"/>
  <c r="AA14" i="38"/>
  <c r="Z14" i="38"/>
  <c r="Y14" i="38" s="1"/>
  <c r="X14" i="38"/>
  <c r="W14" i="38"/>
  <c r="N14" i="38"/>
  <c r="M14" i="38"/>
  <c r="L14" i="38"/>
  <c r="K14" i="38"/>
  <c r="J14" i="38"/>
  <c r="I14" i="38"/>
  <c r="H14" i="38"/>
  <c r="G14" i="38"/>
  <c r="SR13" i="38"/>
  <c r="QL13" i="38"/>
  <c r="QK13" i="38"/>
  <c r="QJ13" i="38"/>
  <c r="M491" i="58" s="1"/>
  <c r="QI13" i="38"/>
  <c r="QH13" i="38"/>
  <c r="QG13" i="38"/>
  <c r="QF13" i="38"/>
  <c r="QE13" i="38"/>
  <c r="QD13" i="38"/>
  <c r="QC13" i="38"/>
  <c r="QB13" i="38"/>
  <c r="K491" i="58" s="1"/>
  <c r="QA13" i="38"/>
  <c r="PZ13" i="38"/>
  <c r="PY13" i="38"/>
  <c r="PX13" i="38"/>
  <c r="J491" i="58" s="1"/>
  <c r="OZ13" i="38"/>
  <c r="OY13" i="38"/>
  <c r="OX13" i="38"/>
  <c r="OW13" i="38"/>
  <c r="OV13" i="38"/>
  <c r="OU13" i="38"/>
  <c r="OT13" i="38"/>
  <c r="OS13" i="38"/>
  <c r="OR13" i="38"/>
  <c r="OQ13" i="38"/>
  <c r="OP13" i="38"/>
  <c r="OO13" i="38"/>
  <c r="ON13" i="38"/>
  <c r="OM13" i="38"/>
  <c r="OL13" i="38"/>
  <c r="MX13" i="38"/>
  <c r="MW13" i="38" s="1"/>
  <c r="MV13" i="38" s="1"/>
  <c r="MU13" i="38" s="1"/>
  <c r="MT13" i="38" s="1"/>
  <c r="MS13" i="38" s="1"/>
  <c r="MR13" i="38" s="1"/>
  <c r="MQ13" i="38" s="1"/>
  <c r="MP13" i="38" s="1"/>
  <c r="MO13" i="38" s="1"/>
  <c r="KO13" i="38"/>
  <c r="KN13" i="38"/>
  <c r="KM13" i="38"/>
  <c r="KL13" i="38"/>
  <c r="KK13" i="38"/>
  <c r="KJ13" i="38"/>
  <c r="KI13" i="38"/>
  <c r="KH13" i="38"/>
  <c r="KG13" i="38"/>
  <c r="KF13" i="38"/>
  <c r="KE13" i="38"/>
  <c r="KD13" i="38"/>
  <c r="KC13" i="38"/>
  <c r="KB13" i="38"/>
  <c r="KA13" i="38"/>
  <c r="IY13" i="38"/>
  <c r="K22" i="58" s="1"/>
  <c r="IX13" i="38"/>
  <c r="IW13" i="38"/>
  <c r="IV13" i="38"/>
  <c r="IU13" i="38"/>
  <c r="IT13" i="38"/>
  <c r="IS13" i="38"/>
  <c r="IR13" i="38"/>
  <c r="IQ13" i="38"/>
  <c r="IP13" i="38"/>
  <c r="IO13" i="38"/>
  <c r="IN13" i="38"/>
  <c r="IM13" i="38"/>
  <c r="IL13" i="38"/>
  <c r="IK13" i="38"/>
  <c r="HM13" i="38"/>
  <c r="H22" i="58" s="1"/>
  <c r="HL13" i="38"/>
  <c r="IE13" i="38" s="1"/>
  <c r="HK13" i="38"/>
  <c r="HJ13" i="38"/>
  <c r="HI13" i="38"/>
  <c r="HH13" i="38"/>
  <c r="HG13" i="38"/>
  <c r="HF13" i="38"/>
  <c r="HE13" i="38"/>
  <c r="HD13" i="38"/>
  <c r="HC13" i="38"/>
  <c r="HB13" i="38"/>
  <c r="HA13" i="38"/>
  <c r="GZ13" i="38"/>
  <c r="GY13" i="38"/>
  <c r="FB13" i="38"/>
  <c r="EK13" i="38"/>
  <c r="EI13" i="38" s="1"/>
  <c r="EH13" i="38" s="1"/>
  <c r="EG13" i="38" s="1"/>
  <c r="EF13" i="38"/>
  <c r="DI13" i="38"/>
  <c r="DH13" i="38"/>
  <c r="DG13" i="38"/>
  <c r="CI13" i="38"/>
  <c r="CH13" i="38"/>
  <c r="CG13" i="38"/>
  <c r="CF13" i="38"/>
  <c r="CE13" i="38"/>
  <c r="CD13" i="38"/>
  <c r="CC13" i="38"/>
  <c r="CB13" i="38"/>
  <c r="CA13" i="38"/>
  <c r="BZ13" i="38"/>
  <c r="BY13" i="38"/>
  <c r="BX13" i="38"/>
  <c r="BW13" i="38"/>
  <c r="BV13" i="38"/>
  <c r="BU13" i="38"/>
  <c r="BO13" i="38"/>
  <c r="BN13" i="38"/>
  <c r="BM13" i="38"/>
  <c r="BL13" i="38"/>
  <c r="BK13" i="38"/>
  <c r="BJ13" i="38"/>
  <c r="BI13" i="38"/>
  <c r="BH13" i="38"/>
  <c r="BG13" i="38"/>
  <c r="H171" i="58" l="1"/>
  <c r="H138" i="58"/>
  <c r="H186" i="58"/>
  <c r="H57" i="58"/>
  <c r="H504" i="58"/>
  <c r="K508" i="58"/>
  <c r="M508" i="58"/>
  <c r="H53" i="58"/>
  <c r="H133" i="58"/>
  <c r="H163" i="58"/>
  <c r="H198" i="58"/>
  <c r="IF23" i="38"/>
  <c r="H32" i="58"/>
  <c r="J500" i="58"/>
  <c r="M500" i="58"/>
  <c r="M502" i="58"/>
  <c r="M510" i="58"/>
  <c r="H128" i="58"/>
  <c r="H197" i="58"/>
  <c r="H50" i="58"/>
  <c r="H158" i="58"/>
  <c r="K507" i="58"/>
  <c r="L507" i="58"/>
  <c r="H130" i="58"/>
  <c r="H45" i="58"/>
  <c r="H169" i="58"/>
  <c r="H202" i="58"/>
  <c r="L504" i="58"/>
  <c r="P504" i="58" s="1"/>
  <c r="H508" i="58"/>
  <c r="L493" i="58"/>
  <c r="P493" i="58" s="1"/>
  <c r="H500" i="58"/>
  <c r="H162" i="58"/>
  <c r="H131" i="58"/>
  <c r="H195" i="58"/>
  <c r="H46" i="58"/>
  <c r="J492" i="58"/>
  <c r="K492" i="58"/>
  <c r="L492" i="58"/>
  <c r="M492" i="58"/>
  <c r="H507" i="58"/>
  <c r="H123" i="58"/>
  <c r="H156" i="58"/>
  <c r="H42" i="58"/>
  <c r="H200" i="58"/>
  <c r="J508" i="58"/>
  <c r="L508" i="58"/>
  <c r="H493" i="58"/>
  <c r="IF21" i="38"/>
  <c r="H30" i="58"/>
  <c r="K500" i="58"/>
  <c r="L500" i="58"/>
  <c r="H492" i="58"/>
  <c r="L491" i="58"/>
  <c r="P491" i="58" s="1"/>
  <c r="H499" i="58"/>
  <c r="IF18" i="38"/>
  <c r="H27" i="58"/>
  <c r="IF19" i="38"/>
  <c r="H28" i="58"/>
  <c r="L502" i="58"/>
  <c r="IF20" i="38"/>
  <c r="H29" i="58"/>
  <c r="L503" i="58"/>
  <c r="P503" i="58" s="1"/>
  <c r="J510" i="58"/>
  <c r="L510" i="58"/>
  <c r="L506" i="58"/>
  <c r="P506" i="58" s="1"/>
  <c r="H496" i="58"/>
  <c r="H509" i="58"/>
  <c r="QV27" i="38"/>
  <c r="RO27" i="38"/>
  <c r="H491" i="58"/>
  <c r="IF17" i="38"/>
  <c r="H26" i="58"/>
  <c r="J499" i="58"/>
  <c r="K499" i="58"/>
  <c r="L499" i="58"/>
  <c r="M499" i="58"/>
  <c r="H502" i="58"/>
  <c r="H503" i="58"/>
  <c r="H510" i="58"/>
  <c r="H506" i="58"/>
  <c r="IF24" i="38"/>
  <c r="H33" i="58"/>
  <c r="J496" i="58"/>
  <c r="K496" i="58"/>
  <c r="L496" i="58"/>
  <c r="M496" i="58"/>
  <c r="H59" i="58"/>
  <c r="H135" i="58"/>
  <c r="H199" i="58"/>
  <c r="H167" i="58"/>
  <c r="L509" i="58"/>
  <c r="P509" i="58" s="1"/>
  <c r="FD18" i="38"/>
  <c r="FF18" i="38"/>
  <c r="FD14" i="38"/>
  <c r="FF14" i="38"/>
  <c r="FD15" i="38"/>
  <c r="FF15" i="38"/>
  <c r="FD25" i="38"/>
  <c r="FF25" i="38"/>
  <c r="FD17" i="38"/>
  <c r="FF17" i="38"/>
  <c r="FD24" i="38"/>
  <c r="FF24" i="38"/>
  <c r="FD26" i="38"/>
  <c r="FF26" i="38"/>
  <c r="FD27" i="38"/>
  <c r="FF27" i="38"/>
  <c r="FD19" i="38"/>
  <c r="FF19" i="38"/>
  <c r="FD20" i="38"/>
  <c r="FF20" i="38"/>
  <c r="FD13" i="38"/>
  <c r="FF13" i="38"/>
  <c r="FD16" i="38"/>
  <c r="FF16" i="38"/>
  <c r="FD21" i="38"/>
  <c r="FF21" i="38"/>
  <c r="FD22" i="38"/>
  <c r="FF22" i="38"/>
  <c r="FD23" i="38"/>
  <c r="FF23" i="38"/>
  <c r="SU26" i="38"/>
  <c r="SV26" i="38"/>
  <c r="ST26" i="38"/>
  <c r="SV16" i="38"/>
  <c r="SU16" i="38"/>
  <c r="ST16" i="38"/>
  <c r="SV23" i="38"/>
  <c r="SU23" i="38"/>
  <c r="ST23" i="38"/>
  <c r="SV17" i="38"/>
  <c r="SU17" i="38"/>
  <c r="ST17" i="38"/>
  <c r="SV19" i="38"/>
  <c r="SU19" i="38"/>
  <c r="ST19" i="38"/>
  <c r="SV20" i="38"/>
  <c r="SU20" i="38"/>
  <c r="ST20" i="38"/>
  <c r="SV21" i="38"/>
  <c r="SU21" i="38"/>
  <c r="ST21" i="38"/>
  <c r="SU22" i="38"/>
  <c r="SV22" i="38"/>
  <c r="ST22" i="38"/>
  <c r="SV24" i="38"/>
  <c r="SU24" i="38"/>
  <c r="ST24" i="38"/>
  <c r="SV13" i="38"/>
  <c r="SU13" i="38"/>
  <c r="ST13" i="38"/>
  <c r="SU14" i="38"/>
  <c r="SV14" i="38"/>
  <c r="ST14" i="38"/>
  <c r="SV15" i="38"/>
  <c r="SU15" i="38"/>
  <c r="ST15" i="38"/>
  <c r="SU18" i="38"/>
  <c r="SV18" i="38"/>
  <c r="ST18" i="38"/>
  <c r="SV25" i="38"/>
  <c r="SU25" i="38"/>
  <c r="ST25" i="38"/>
  <c r="IQ52" i="38"/>
  <c r="IN65" i="38"/>
  <c r="IV65" i="38"/>
  <c r="QB57" i="38"/>
  <c r="QJ57" i="38"/>
  <c r="QB61" i="38"/>
  <c r="QJ61" i="38"/>
  <c r="PX65" i="38"/>
  <c r="IL52" i="38"/>
  <c r="IT52" i="38"/>
  <c r="IL63" i="38"/>
  <c r="IT63" i="38"/>
  <c r="QB54" i="38"/>
  <c r="QJ54" i="38"/>
  <c r="QB58" i="38"/>
  <c r="PX59" i="38"/>
  <c r="PX52" i="38"/>
  <c r="QJ53" i="38"/>
  <c r="PX57" i="38"/>
  <c r="PX61" i="38"/>
  <c r="QB65" i="38"/>
  <c r="QJ65" i="38"/>
  <c r="QB60" i="38"/>
  <c r="IO63" i="38"/>
  <c r="PX54" i="38"/>
  <c r="PX58" i="38"/>
  <c r="QB59" i="38"/>
  <c r="QJ59" i="38"/>
  <c r="QB52" i="38"/>
  <c r="QJ52" i="38"/>
  <c r="PX53" i="38"/>
  <c r="IM63" i="38"/>
  <c r="IO65" i="38"/>
  <c r="IW63" i="38"/>
  <c r="IQ65" i="38"/>
  <c r="IU63" i="38"/>
  <c r="IW65" i="38"/>
  <c r="IK52" i="38"/>
  <c r="IS52" i="38"/>
  <c r="IK63" i="38"/>
  <c r="IS63" i="38"/>
  <c r="IM65" i="38"/>
  <c r="IU65" i="38"/>
  <c r="IR52" i="38"/>
  <c r="IR63" i="38"/>
  <c r="IL65" i="38"/>
  <c r="IT65" i="38"/>
  <c r="JT13" i="38"/>
  <c r="IY52" i="38"/>
  <c r="JT24" i="38"/>
  <c r="IY63" i="38"/>
  <c r="IQ63" i="38"/>
  <c r="IK65" i="38"/>
  <c r="IS65" i="38"/>
  <c r="JS13" i="38"/>
  <c r="IX52" i="38"/>
  <c r="IP52" i="38"/>
  <c r="IP63" i="38"/>
  <c r="IX63" i="38"/>
  <c r="IR65" i="38"/>
  <c r="JT26" i="38"/>
  <c r="IY65" i="38"/>
  <c r="IO52" i="38"/>
  <c r="IW52" i="38"/>
  <c r="IN52" i="38"/>
  <c r="IV52" i="38"/>
  <c r="IN63" i="38"/>
  <c r="IV63" i="38"/>
  <c r="IP65" i="38"/>
  <c r="IX65" i="38"/>
  <c r="JH13" i="38"/>
  <c r="IM52" i="38"/>
  <c r="IU52" i="38"/>
  <c r="KT27" i="38"/>
  <c r="ID13" i="38"/>
  <c r="IC13" i="38" s="1"/>
  <c r="IB13" i="38" s="1"/>
  <c r="NF19" i="38"/>
  <c r="QA54" i="38"/>
  <c r="HW21" i="38"/>
  <c r="HV21" i="38" s="1"/>
  <c r="ID27" i="38"/>
  <c r="IE21" i="38"/>
  <c r="ID21" i="38" s="1"/>
  <c r="R17" i="38"/>
  <c r="IC27" i="38"/>
  <c r="IB27" i="38" s="1"/>
  <c r="IA27" i="38" s="1"/>
  <c r="HZ27" i="38" s="1"/>
  <c r="HY27" i="38" s="1"/>
  <c r="KQ16" i="38"/>
  <c r="KR16" i="38"/>
  <c r="Q17" i="38"/>
  <c r="HU21" i="38"/>
  <c r="QP17" i="38"/>
  <c r="QA59" i="38"/>
  <c r="KQ20" i="38"/>
  <c r="IE24" i="38"/>
  <c r="HT21" i="38"/>
  <c r="HS21" i="38" s="1"/>
  <c r="PZ59" i="38"/>
  <c r="PY59" i="38" s="1"/>
  <c r="QA52" i="38"/>
  <c r="PZ52" i="38" s="1"/>
  <c r="PY52" i="38" s="1"/>
  <c r="HW18" i="38"/>
  <c r="KT22" i="38"/>
  <c r="KR18" i="38"/>
  <c r="QO23" i="38"/>
  <c r="HP24" i="38"/>
  <c r="G33" i="58" s="1"/>
  <c r="KR15" i="38"/>
  <c r="AZ18" i="38"/>
  <c r="Q24" i="38"/>
  <c r="AZ24" i="38"/>
  <c r="KQ13" i="38"/>
  <c r="KR14" i="38"/>
  <c r="AZ17" i="38"/>
  <c r="Q20" i="38"/>
  <c r="KQ21" i="38"/>
  <c r="R22" i="38"/>
  <c r="HP22" i="38"/>
  <c r="G31" i="58" s="1"/>
  <c r="QA61" i="38"/>
  <c r="PZ61" i="38" s="1"/>
  <c r="QE61" i="38"/>
  <c r="QD61" i="38" s="1"/>
  <c r="QE52" i="38"/>
  <c r="QD52" i="38" s="1"/>
  <c r="KT14" i="38"/>
  <c r="QO17" i="38"/>
  <c r="QP21" i="38"/>
  <c r="FE14" i="38"/>
  <c r="PZ54" i="38"/>
  <c r="PY54" i="38" s="1"/>
  <c r="HO20" i="38"/>
  <c r="F29" i="58" s="1"/>
  <c r="KQ22" i="38"/>
  <c r="R27" i="38"/>
  <c r="S27" i="38" s="1"/>
  <c r="KQ14" i="38"/>
  <c r="KQ15" i="38"/>
  <c r="AZ21" i="38"/>
  <c r="AY14" i="38"/>
  <c r="AZ15" i="38"/>
  <c r="R19" i="38"/>
  <c r="IE19" i="38"/>
  <c r="ID19" i="38" s="1"/>
  <c r="IC19" i="38" s="1"/>
  <c r="IB19" i="38" s="1"/>
  <c r="IA19" i="38" s="1"/>
  <c r="HZ19" i="38" s="1"/>
  <c r="HY19" i="38" s="1"/>
  <c r="QA58" i="38"/>
  <c r="KS20" i="38"/>
  <c r="KQ27" i="38"/>
  <c r="R14" i="38"/>
  <c r="S14" i="38" s="1"/>
  <c r="NH14" i="38"/>
  <c r="HR21" i="38"/>
  <c r="IC21" i="38"/>
  <c r="IB21" i="38" s="1"/>
  <c r="IA21" i="38" s="1"/>
  <c r="HZ21" i="38" s="1"/>
  <c r="HY21" i="38" s="1"/>
  <c r="AY22" i="38"/>
  <c r="KS22" i="38"/>
  <c r="R25" i="38"/>
  <c r="R26" i="38"/>
  <c r="S26" i="38" s="1"/>
  <c r="AZ26" i="38"/>
  <c r="QE53" i="38"/>
  <c r="QD53" i="38" s="1"/>
  <c r="QC53" i="38" s="1"/>
  <c r="P15" i="38"/>
  <c r="P16" i="38"/>
  <c r="AZ20" i="38"/>
  <c r="KS16" i="38"/>
  <c r="QP16" i="38"/>
  <c r="KQ19" i="38"/>
  <c r="QP23" i="38"/>
  <c r="QP24" i="38"/>
  <c r="HO25" i="38"/>
  <c r="F34" i="58" s="1"/>
  <c r="Q26" i="38"/>
  <c r="IA13" i="38"/>
  <c r="HZ13" i="38" s="1"/>
  <c r="HY13" i="38" s="1"/>
  <c r="HX13" i="38" s="1"/>
  <c r="HW13" i="38" s="1"/>
  <c r="HV13" i="38" s="1"/>
  <c r="HU13" i="38" s="1"/>
  <c r="HT13" i="38" s="1"/>
  <c r="EL13" i="38"/>
  <c r="KR19" i="38"/>
  <c r="PY61" i="38"/>
  <c r="QO13" i="38"/>
  <c r="QO16" i="38"/>
  <c r="HO17" i="38"/>
  <c r="F26" i="58" s="1"/>
  <c r="HV18" i="38"/>
  <c r="HU18" i="38" s="1"/>
  <c r="HT18" i="38" s="1"/>
  <c r="HS18" i="38" s="1"/>
  <c r="HR18" i="38" s="1"/>
  <c r="IE18" i="38"/>
  <c r="ID18" i="38" s="1"/>
  <c r="IC18" i="38" s="1"/>
  <c r="IB18" i="38" s="1"/>
  <c r="KR20" i="38"/>
  <c r="R23" i="38"/>
  <c r="KT26" i="38"/>
  <c r="HO14" i="38"/>
  <c r="F23" i="58" s="1"/>
  <c r="Q15" i="38"/>
  <c r="QN15" i="38"/>
  <c r="AZ16" i="38"/>
  <c r="KS17" i="38"/>
  <c r="QA57" i="38"/>
  <c r="PZ57" i="38" s="1"/>
  <c r="PY57" i="38" s="1"/>
  <c r="FE25" i="38"/>
  <c r="Q27" i="38"/>
  <c r="HP14" i="38"/>
  <c r="G23" i="58" s="1"/>
  <c r="HP16" i="38"/>
  <c r="G25" i="58" s="1"/>
  <c r="AY18" i="38"/>
  <c r="HP18" i="38"/>
  <c r="G27" i="58" s="1"/>
  <c r="KT18" i="38"/>
  <c r="HO19" i="38"/>
  <c r="F28" i="58" s="1"/>
  <c r="HP19" i="38"/>
  <c r="G28" i="58" s="1"/>
  <c r="NI19" i="38"/>
  <c r="QN19" i="38"/>
  <c r="KT20" i="38"/>
  <c r="HO21" i="38"/>
  <c r="F30" i="58" s="1"/>
  <c r="Q22" i="38"/>
  <c r="HO24" i="38"/>
  <c r="F33" i="58" s="1"/>
  <c r="QN25" i="38"/>
  <c r="HO26" i="38"/>
  <c r="F35" i="58" s="1"/>
  <c r="HO27" i="38"/>
  <c r="HP27" i="38"/>
  <c r="AZ14" i="38"/>
  <c r="QO15" i="38"/>
  <c r="KT16" i="38"/>
  <c r="HX19" i="38"/>
  <c r="HW19" i="38" s="1"/>
  <c r="HV19" i="38" s="1"/>
  <c r="HU19" i="38" s="1"/>
  <c r="HT19" i="38" s="1"/>
  <c r="KT19" i="38"/>
  <c r="R21" i="38"/>
  <c r="FE23" i="38"/>
  <c r="P24" i="38"/>
  <c r="HP13" i="38"/>
  <c r="G22" i="58" s="1"/>
  <c r="Q14" i="38"/>
  <c r="R15" i="38"/>
  <c r="S15" i="38" s="1"/>
  <c r="KS15" i="38"/>
  <c r="Q18" i="38"/>
  <c r="KQ18" i="38"/>
  <c r="Q19" i="38"/>
  <c r="NH19" i="38"/>
  <c r="HX27" i="38"/>
  <c r="HW27" i="38" s="1"/>
  <c r="HV27" i="38" s="1"/>
  <c r="HU27" i="38" s="1"/>
  <c r="EL18" i="38"/>
  <c r="NE19" i="38"/>
  <c r="QP19" i="38"/>
  <c r="Q21" i="38"/>
  <c r="FE21" i="38"/>
  <c r="IF22" i="38"/>
  <c r="IE22" i="38" s="1"/>
  <c r="ID22" i="38" s="1"/>
  <c r="IC22" i="38" s="1"/>
  <c r="IB22" i="38" s="1"/>
  <c r="IA22" i="38" s="1"/>
  <c r="Q25" i="38"/>
  <c r="KT13" i="38"/>
  <c r="P14" i="38"/>
  <c r="NJ14" i="38"/>
  <c r="HO15" i="38"/>
  <c r="F24" i="58" s="1"/>
  <c r="HP21" i="38"/>
  <c r="G30" i="58" s="1"/>
  <c r="KT21" i="38"/>
  <c r="QO25" i="38"/>
  <c r="KQ26" i="38"/>
  <c r="KR27" i="38"/>
  <c r="AY16" i="38"/>
  <c r="QN18" i="38"/>
  <c r="QO18" i="38"/>
  <c r="QO20" i="38"/>
  <c r="QP26" i="38"/>
  <c r="KS27" i="38"/>
  <c r="HO13" i="38"/>
  <c r="F22" i="58" s="1"/>
  <c r="KS13" i="38"/>
  <c r="QO14" i="38"/>
  <c r="R16" i="38"/>
  <c r="S16" i="38" s="1"/>
  <c r="KS18" i="38"/>
  <c r="AY19" i="38"/>
  <c r="P20" i="38"/>
  <c r="QN21" i="38"/>
  <c r="HO23" i="38"/>
  <c r="F32" i="58" s="1"/>
  <c r="HP25" i="38"/>
  <c r="G34" i="58" s="1"/>
  <c r="P26" i="38"/>
  <c r="QO26" i="38"/>
  <c r="P19" i="38"/>
  <c r="KS19" i="38"/>
  <c r="QE59" i="38"/>
  <c r="QD59" i="38" s="1"/>
  <c r="QC59" i="38" s="1"/>
  <c r="KR22" i="38"/>
  <c r="Q23" i="38"/>
  <c r="KT25" i="38"/>
  <c r="PZ64" i="38"/>
  <c r="PY64" i="38" s="1"/>
  <c r="QE63" i="38" s="1"/>
  <c r="QD63" i="38" s="1"/>
  <c r="P27" i="38"/>
  <c r="AY27" i="38"/>
  <c r="JG13" i="38"/>
  <c r="JR13" i="38"/>
  <c r="JQ13" i="38" s="1"/>
  <c r="JP13" i="38" s="1"/>
  <c r="JO13" i="38" s="1"/>
  <c r="CL24" i="38"/>
  <c r="JN13" i="38"/>
  <c r="JF13" i="38"/>
  <c r="JM13" i="38"/>
  <c r="JL13" i="38" s="1"/>
  <c r="CL26" i="38"/>
  <c r="JB26" i="38"/>
  <c r="J35" i="58" s="1"/>
  <c r="JK13" i="38"/>
  <c r="JJ13" i="38" s="1"/>
  <c r="JI13" i="38" s="1"/>
  <c r="CK13" i="38"/>
  <c r="JA24" i="38"/>
  <c r="I33" i="58" s="1"/>
  <c r="JB24" i="38"/>
  <c r="J33" i="58" s="1"/>
  <c r="CL13" i="38"/>
  <c r="HS13" i="38"/>
  <c r="HR13" i="38" s="1"/>
  <c r="JS26" i="38"/>
  <c r="JR26" i="38" s="1"/>
  <c r="JQ26" i="38" s="1"/>
  <c r="JP26" i="38" s="1"/>
  <c r="JO26" i="38" s="1"/>
  <c r="JN26" i="38" s="1"/>
  <c r="JM26" i="38" s="1"/>
  <c r="JL26" i="38" s="1"/>
  <c r="JK26" i="38" s="1"/>
  <c r="JJ26" i="38" s="1"/>
  <c r="JI26" i="38" s="1"/>
  <c r="JH26" i="38" s="1"/>
  <c r="JG26" i="38" s="1"/>
  <c r="JF26" i="38" s="1"/>
  <c r="EL27" i="38"/>
  <c r="FE27" i="38"/>
  <c r="HR27" i="38"/>
  <c r="IF14" i="38"/>
  <c r="IE14" i="38" s="1"/>
  <c r="ID14" i="38" s="1"/>
  <c r="IC14" i="38" s="1"/>
  <c r="IB14" i="38" s="1"/>
  <c r="IA14" i="38" s="1"/>
  <c r="HZ14" i="38" s="1"/>
  <c r="HY14" i="38" s="1"/>
  <c r="HX14" i="38" s="1"/>
  <c r="HW14" i="38" s="1"/>
  <c r="HV14" i="38" s="1"/>
  <c r="HU14" i="38" s="1"/>
  <c r="HT14" i="38" s="1"/>
  <c r="KS14" i="38"/>
  <c r="QN14" i="38"/>
  <c r="AY15" i="38"/>
  <c r="QN16" i="38"/>
  <c r="IA18" i="38"/>
  <c r="HZ18" i="38" s="1"/>
  <c r="HY18" i="38" s="1"/>
  <c r="P21" i="38"/>
  <c r="QO21" i="38"/>
  <c r="KS23" i="38"/>
  <c r="BR24" i="38"/>
  <c r="CK24" i="38"/>
  <c r="KR25" i="38"/>
  <c r="QP25" i="38"/>
  <c r="CK26" i="38"/>
  <c r="KR26" i="38"/>
  <c r="EL26" i="38"/>
  <c r="HS27" i="38"/>
  <c r="HP15" i="38"/>
  <c r="G24" i="58" s="1"/>
  <c r="IF15" i="38"/>
  <c r="IE15" i="38" s="1"/>
  <c r="ID15" i="38" s="1"/>
  <c r="IC15" i="38" s="1"/>
  <c r="IB15" i="38" s="1"/>
  <c r="IA15" i="38" s="1"/>
  <c r="HZ15" i="38" s="1"/>
  <c r="HY15" i="38" s="1"/>
  <c r="HX15" i="38" s="1"/>
  <c r="HW15" i="38" s="1"/>
  <c r="HV15" i="38" s="1"/>
  <c r="HU15" i="38" s="1"/>
  <c r="HT15" i="38" s="1"/>
  <c r="HP26" i="38"/>
  <c r="G35" i="58" s="1"/>
  <c r="IF26" i="38"/>
  <c r="II26" i="38" s="1"/>
  <c r="FE19" i="38"/>
  <c r="FE22" i="38"/>
  <c r="JB13" i="38"/>
  <c r="Q16" i="38"/>
  <c r="AY17" i="38"/>
  <c r="P18" i="38"/>
  <c r="AY20" i="38"/>
  <c r="QN20" i="38"/>
  <c r="HO22" i="38"/>
  <c r="F31" i="58" s="1"/>
  <c r="QN22" i="38"/>
  <c r="AY24" i="38"/>
  <c r="KS25" i="38"/>
  <c r="KS26" i="38"/>
  <c r="EL15" i="38"/>
  <c r="EL19" i="38"/>
  <c r="JS24" i="38"/>
  <c r="JR24" i="38" s="1"/>
  <c r="JQ24" i="38" s="1"/>
  <c r="JP24" i="38" s="1"/>
  <c r="JO24" i="38" s="1"/>
  <c r="JN24" i="38" s="1"/>
  <c r="JM24" i="38" s="1"/>
  <c r="JL24" i="38" s="1"/>
  <c r="JK24" i="38" s="1"/>
  <c r="JJ24" i="38" s="1"/>
  <c r="JI24" i="38" s="1"/>
  <c r="JH24" i="38" s="1"/>
  <c r="JG24" i="38" s="1"/>
  <c r="JF24" i="38" s="1"/>
  <c r="QC52" i="38"/>
  <c r="HO16" i="38"/>
  <c r="F25" i="58" s="1"/>
  <c r="AZ19" i="38"/>
  <c r="FE13" i="38"/>
  <c r="IF13" i="38"/>
  <c r="AY21" i="38"/>
  <c r="R24" i="38"/>
  <c r="QN24" i="38"/>
  <c r="JA26" i="38"/>
  <c r="I35" i="58" s="1"/>
  <c r="KQ23" i="38"/>
  <c r="KR23" i="38"/>
  <c r="KQ24" i="38"/>
  <c r="KR24" i="38"/>
  <c r="HS26" i="38"/>
  <c r="HR26" i="38" s="1"/>
  <c r="KQ25" i="38"/>
  <c r="KR13" i="38"/>
  <c r="QP13" i="38"/>
  <c r="P17" i="38"/>
  <c r="QN17" i="38"/>
  <c r="QO19" i="38"/>
  <c r="HZ22" i="38"/>
  <c r="HY22" i="38" s="1"/>
  <c r="HX22" i="38" s="1"/>
  <c r="HW22" i="38" s="1"/>
  <c r="HV22" i="38" s="1"/>
  <c r="HU22" i="38" s="1"/>
  <c r="HT22" i="38" s="1"/>
  <c r="QB53" i="38"/>
  <c r="QA53" i="38" s="1"/>
  <c r="PZ53" i="38" s="1"/>
  <c r="PY53" i="38" s="1"/>
  <c r="QP14" i="38"/>
  <c r="HS19" i="38"/>
  <c r="HR19" i="38" s="1"/>
  <c r="QC61" i="38"/>
  <c r="QN13" i="38"/>
  <c r="EL14" i="38"/>
  <c r="NI14" i="38"/>
  <c r="HO18" i="38"/>
  <c r="F27" i="58" s="1"/>
  <c r="R20" i="38"/>
  <c r="AY23" i="38"/>
  <c r="AY25" i="38"/>
  <c r="AY26" i="38"/>
  <c r="FE15" i="38"/>
  <c r="KQ17" i="38"/>
  <c r="KR17" i="38"/>
  <c r="FE26" i="38"/>
  <c r="P22" i="38"/>
  <c r="KS21" i="38"/>
  <c r="KR21" i="38"/>
  <c r="P23" i="38"/>
  <c r="QN23" i="38"/>
  <c r="KS24" i="38"/>
  <c r="P25" i="38"/>
  <c r="QC63" i="38"/>
  <c r="QA63" i="38" s="1"/>
  <c r="PZ63" i="38" s="1"/>
  <c r="PY63" i="38" s="1"/>
  <c r="QE62" i="38" s="1"/>
  <c r="QD62" i="38" s="1"/>
  <c r="QC62" i="38" s="1"/>
  <c r="QA62" i="38" s="1"/>
  <c r="PZ62" i="38" s="1"/>
  <c r="PY62" i="38" s="1"/>
  <c r="QN26" i="38"/>
  <c r="FE16" i="38"/>
  <c r="EL22" i="38"/>
  <c r="FE24" i="38"/>
  <c r="QE64" i="38"/>
  <c r="QD64" i="38" s="1"/>
  <c r="QC64" i="38" s="1"/>
  <c r="II27" i="38"/>
  <c r="QE54" i="38"/>
  <c r="QD54" i="38" s="1"/>
  <c r="QC54" i="38" s="1"/>
  <c r="IF16" i="38"/>
  <c r="IE16" i="38" s="1"/>
  <c r="ID16" i="38" s="1"/>
  <c r="IC16" i="38" s="1"/>
  <c r="IB16" i="38" s="1"/>
  <c r="IA16" i="38" s="1"/>
  <c r="HZ16" i="38" s="1"/>
  <c r="HY16" i="38" s="1"/>
  <c r="HX16" i="38" s="1"/>
  <c r="HW16" i="38" s="1"/>
  <c r="HV16" i="38" s="1"/>
  <c r="HU16" i="38" s="1"/>
  <c r="HT16" i="38" s="1"/>
  <c r="FE17" i="38"/>
  <c r="KT17" i="38"/>
  <c r="R18" i="38"/>
  <c r="QE57" i="38"/>
  <c r="QD57" i="38" s="1"/>
  <c r="QC57" i="38" s="1"/>
  <c r="QP20" i="38"/>
  <c r="KT23" i="38"/>
  <c r="ID24" i="38"/>
  <c r="IC24" i="38" s="1"/>
  <c r="IB24" i="38" s="1"/>
  <c r="IA24" i="38" s="1"/>
  <c r="HZ24" i="38" s="1"/>
  <c r="HY24" i="38" s="1"/>
  <c r="HX24" i="38" s="1"/>
  <c r="HW24" i="38" s="1"/>
  <c r="HV24" i="38" s="1"/>
  <c r="HU24" i="38" s="1"/>
  <c r="HT24" i="38" s="1"/>
  <c r="KT24" i="38"/>
  <c r="IF25" i="38"/>
  <c r="IE25" i="38" s="1"/>
  <c r="ID25" i="38" s="1"/>
  <c r="IC25" i="38" s="1"/>
  <c r="IB25" i="38" s="1"/>
  <c r="IA25" i="38" s="1"/>
  <c r="HZ25" i="38" s="1"/>
  <c r="HY25" i="38" s="1"/>
  <c r="HX25" i="38" s="1"/>
  <c r="HW25" i="38" s="1"/>
  <c r="HV25" i="38" s="1"/>
  <c r="HU25" i="38" s="1"/>
  <c r="HT25" i="38" s="1"/>
  <c r="IE17" i="38"/>
  <c r="ID17" i="38" s="1"/>
  <c r="IC17" i="38" s="1"/>
  <c r="IB17" i="38" s="1"/>
  <c r="IA17" i="38" s="1"/>
  <c r="HZ17" i="38" s="1"/>
  <c r="HY17" i="38" s="1"/>
  <c r="HX17" i="38" s="1"/>
  <c r="HW17" i="38" s="1"/>
  <c r="HV17" i="38" s="1"/>
  <c r="HU17" i="38" s="1"/>
  <c r="HT17" i="38" s="1"/>
  <c r="IE20" i="38"/>
  <c r="ID20" i="38" s="1"/>
  <c r="IC20" i="38" s="1"/>
  <c r="IB20" i="38" s="1"/>
  <c r="IA20" i="38" s="1"/>
  <c r="HZ20" i="38" s="1"/>
  <c r="HY20" i="38" s="1"/>
  <c r="HX20" i="38" s="1"/>
  <c r="HW20" i="38" s="1"/>
  <c r="HV20" i="38" s="1"/>
  <c r="HU20" i="38" s="1"/>
  <c r="HT20" i="38" s="1"/>
  <c r="QE58" i="38"/>
  <c r="QD58" i="38" s="1"/>
  <c r="QC58" i="38" s="1"/>
  <c r="QP22" i="38"/>
  <c r="IE23" i="38"/>
  <c r="ID23" i="38" s="1"/>
  <c r="IC23" i="38" s="1"/>
  <c r="IB23" i="38" s="1"/>
  <c r="IA23" i="38" s="1"/>
  <c r="HZ23" i="38" s="1"/>
  <c r="HY23" i="38" s="1"/>
  <c r="HX23" i="38" s="1"/>
  <c r="HW23" i="38" s="1"/>
  <c r="HV23" i="38" s="1"/>
  <c r="HU23" i="38" s="1"/>
  <c r="HT23" i="38" s="1"/>
  <c r="AZ27" i="38"/>
  <c r="HP17" i="38"/>
  <c r="G26" i="58" s="1"/>
  <c r="HP20" i="38"/>
  <c r="G29" i="58" s="1"/>
  <c r="EL21" i="38"/>
  <c r="AZ22" i="38"/>
  <c r="QE60" i="38"/>
  <c r="QD60" i="38" s="1"/>
  <c r="QC60" i="38" s="1"/>
  <c r="QO22" i="38"/>
  <c r="AZ23" i="38"/>
  <c r="HP23" i="38"/>
  <c r="G32" i="58" s="1"/>
  <c r="BS24" i="38"/>
  <c r="U201" i="58" s="1"/>
  <c r="QO24" i="38"/>
  <c r="AZ25" i="38"/>
  <c r="ID26" i="38"/>
  <c r="IC26" i="38" s="1"/>
  <c r="IB26" i="38" s="1"/>
  <c r="IA26" i="38" s="1"/>
  <c r="HZ26" i="38" s="1"/>
  <c r="HY26" i="38" s="1"/>
  <c r="HX26" i="38" s="1"/>
  <c r="HW26" i="38" s="1"/>
  <c r="HV26" i="38" s="1"/>
  <c r="HU26" i="38" s="1"/>
  <c r="KT15" i="38"/>
  <c r="QP15" i="38"/>
  <c r="EL16" i="38"/>
  <c r="QP18" i="38"/>
  <c r="PZ58" i="38"/>
  <c r="PY58" i="38" s="1"/>
  <c r="EL20" i="38"/>
  <c r="EL24" i="38"/>
  <c r="QE65" i="38"/>
  <c r="QD65" i="38" s="1"/>
  <c r="QC65" i="38" s="1"/>
  <c r="EL17" i="38"/>
  <c r="FE18" i="38"/>
  <c r="QE56" i="38"/>
  <c r="QD56" i="38" s="1"/>
  <c r="QC56" i="38" s="1"/>
  <c r="QA56" i="38" s="1"/>
  <c r="PZ56" i="38" s="1"/>
  <c r="PY56" i="38" s="1"/>
  <c r="QE55" i="38" s="1"/>
  <c r="QD55" i="38" s="1"/>
  <c r="QC55" i="38" s="1"/>
  <c r="QA55" i="38" s="1"/>
  <c r="PZ55" i="38" s="1"/>
  <c r="PY55" i="38" s="1"/>
  <c r="EL23" i="38"/>
  <c r="EL25" i="38"/>
  <c r="PZ65" i="38"/>
  <c r="PY65" i="38" s="1"/>
  <c r="BF13" i="38"/>
  <c r="BE13" i="38"/>
  <c r="BD13" i="38"/>
  <c r="BC13" i="38"/>
  <c r="BB13" i="38"/>
  <c r="AW13" i="38"/>
  <c r="AV13" i="38"/>
  <c r="AU13" i="38"/>
  <c r="AT13" i="38"/>
  <c r="AS13" i="38"/>
  <c r="AR13" i="38"/>
  <c r="AQ13" i="38"/>
  <c r="AO13" i="38"/>
  <c r="AN13" i="38"/>
  <c r="AM13" i="38"/>
  <c r="AK13" i="38" s="1"/>
  <c r="AJ13" i="38"/>
  <c r="AI13" i="38"/>
  <c r="AH13" i="38"/>
  <c r="AG13" i="38"/>
  <c r="AF13" i="38"/>
  <c r="AE13" i="38" s="1"/>
  <c r="AD13" i="38"/>
  <c r="AC13" i="38" s="1"/>
  <c r="AB13" i="38"/>
  <c r="AA13" i="38"/>
  <c r="Z13" i="38"/>
  <c r="Y13" i="38" s="1"/>
  <c r="X13" i="38"/>
  <c r="W13" i="38"/>
  <c r="N13" i="38"/>
  <c r="M13" i="38"/>
  <c r="L13" i="38"/>
  <c r="K13" i="38"/>
  <c r="J13" i="38"/>
  <c r="I13" i="38"/>
  <c r="H13" i="38"/>
  <c r="G13" i="38"/>
  <c r="SR12" i="38"/>
  <c r="QL12" i="38"/>
  <c r="QK12" i="38"/>
  <c r="QJ12" i="38"/>
  <c r="QI12" i="38"/>
  <c r="QH12" i="38"/>
  <c r="QG12" i="38"/>
  <c r="QF12" i="38"/>
  <c r="QE12" i="38"/>
  <c r="QE51" i="38" s="1"/>
  <c r="QD12" i="38"/>
  <c r="QC12" i="38"/>
  <c r="QB12" i="38"/>
  <c r="QA12" i="38"/>
  <c r="PZ12" i="38"/>
  <c r="PY12" i="38"/>
  <c r="PX12" i="38"/>
  <c r="OZ12" i="38"/>
  <c r="OY12" i="38"/>
  <c r="OX12" i="38"/>
  <c r="OW12" i="38"/>
  <c r="OV12" i="38"/>
  <c r="OU12" i="38"/>
  <c r="OT12" i="38"/>
  <c r="OS12" i="38"/>
  <c r="OR12" i="38"/>
  <c r="OQ12" i="38"/>
  <c r="OP12" i="38"/>
  <c r="OO12" i="38"/>
  <c r="ON12" i="38"/>
  <c r="OM12" i="38"/>
  <c r="OL12" i="38"/>
  <c r="NB12" i="38"/>
  <c r="NA12" i="38"/>
  <c r="MZ12" i="38"/>
  <c r="MY12" i="38"/>
  <c r="MX12" i="38"/>
  <c r="MW12" i="38"/>
  <c r="MV12" i="38"/>
  <c r="MU12" i="38"/>
  <c r="MT12" i="38"/>
  <c r="MS12" i="38"/>
  <c r="MR12" i="38"/>
  <c r="MQ12" i="38"/>
  <c r="MP12" i="38"/>
  <c r="MO12" i="38"/>
  <c r="KO12" i="38"/>
  <c r="KN12" i="38"/>
  <c r="KM12" i="38"/>
  <c r="KL12" i="38"/>
  <c r="KK12" i="38"/>
  <c r="KJ12" i="38"/>
  <c r="KI12" i="38"/>
  <c r="KH12" i="38"/>
  <c r="KG12" i="38"/>
  <c r="KF12" i="38"/>
  <c r="KE12" i="38"/>
  <c r="KD12" i="38"/>
  <c r="KC12" i="38"/>
  <c r="KB12" i="38"/>
  <c r="KA12" i="38"/>
  <c r="HM12" i="38"/>
  <c r="HL12" i="38"/>
  <c r="HK12" i="38"/>
  <c r="HJ12" i="38"/>
  <c r="HI12" i="38"/>
  <c r="HH12" i="38"/>
  <c r="HG12" i="38"/>
  <c r="HF12" i="38"/>
  <c r="HE12" i="38"/>
  <c r="HD12" i="38"/>
  <c r="HC12" i="38"/>
  <c r="HB12" i="38"/>
  <c r="HA12" i="38"/>
  <c r="GZ12" i="38"/>
  <c r="GY12" i="38"/>
  <c r="FB12" i="38"/>
  <c r="EK12" i="38"/>
  <c r="EI12" i="38" s="1"/>
  <c r="EH12" i="38" s="1"/>
  <c r="EG12" i="38" s="1"/>
  <c r="EF12" i="38"/>
  <c r="DI12" i="38"/>
  <c r="DH12" i="38"/>
  <c r="DG12" i="38"/>
  <c r="AW12" i="38"/>
  <c r="AV12" i="38"/>
  <c r="AU12" i="38"/>
  <c r="AT12" i="38"/>
  <c r="AS12" i="38"/>
  <c r="AR12" i="38"/>
  <c r="AQ12" i="38"/>
  <c r="AO12" i="38"/>
  <c r="AN12" i="38"/>
  <c r="AM12" i="38"/>
  <c r="AK12" i="38"/>
  <c r="AJ12" i="38"/>
  <c r="AI12" i="38"/>
  <c r="AH12" i="38"/>
  <c r="AG12" i="38"/>
  <c r="AF12" i="38"/>
  <c r="AE12" i="38"/>
  <c r="AD12" i="38"/>
  <c r="AC12" i="38"/>
  <c r="AB12" i="38"/>
  <c r="AA12" i="38"/>
  <c r="Z12" i="38"/>
  <c r="Y12" i="38" s="1"/>
  <c r="X12" i="38"/>
  <c r="W12" i="38"/>
  <c r="N12" i="38"/>
  <c r="M12" i="38"/>
  <c r="L12" i="38"/>
  <c r="K12" i="38"/>
  <c r="J12" i="38"/>
  <c r="I12" i="38"/>
  <c r="H12" i="38"/>
  <c r="G12" i="38"/>
  <c r="SR11" i="38"/>
  <c r="QL11" i="38"/>
  <c r="QK11" i="38"/>
  <c r="QJ11" i="38"/>
  <c r="M498" i="58" s="1"/>
  <c r="QI11" i="38"/>
  <c r="QH11" i="38"/>
  <c r="QG11" i="38"/>
  <c r="QF11" i="38"/>
  <c r="QE11" i="38"/>
  <c r="QD11" i="38"/>
  <c r="QC11" i="38"/>
  <c r="QB11" i="38"/>
  <c r="QA11" i="38"/>
  <c r="PZ11" i="38"/>
  <c r="PY11" i="38"/>
  <c r="PX11" i="38"/>
  <c r="OZ11" i="38"/>
  <c r="OY11" i="38"/>
  <c r="OX11" i="38"/>
  <c r="OW11" i="38"/>
  <c r="OV11" i="38"/>
  <c r="OU11" i="38"/>
  <c r="OT11" i="38"/>
  <c r="OS11" i="38"/>
  <c r="OR11" i="38"/>
  <c r="OQ11" i="38"/>
  <c r="OP11" i="38"/>
  <c r="OO11" i="38"/>
  <c r="ON11" i="38"/>
  <c r="OM11" i="38"/>
  <c r="OL11" i="38"/>
  <c r="NB11" i="38"/>
  <c r="NA11" i="38"/>
  <c r="MZ11" i="38"/>
  <c r="MY11" i="38"/>
  <c r="MX11" i="38"/>
  <c r="MW11" i="38"/>
  <c r="MV11" i="38"/>
  <c r="MU11" i="38"/>
  <c r="MT11" i="38"/>
  <c r="MS11" i="38"/>
  <c r="MR11" i="38"/>
  <c r="MQ11" i="38" s="1"/>
  <c r="MP11" i="38"/>
  <c r="MO11" i="38"/>
  <c r="KO11" i="38"/>
  <c r="KN11" i="38"/>
  <c r="KM11" i="38"/>
  <c r="KL11" i="38"/>
  <c r="KK11" i="38"/>
  <c r="KJ11" i="38"/>
  <c r="KI11" i="38"/>
  <c r="KH11" i="38"/>
  <c r="KG11" i="38"/>
  <c r="KF11" i="38"/>
  <c r="KE11" i="38"/>
  <c r="KD11" i="38"/>
  <c r="KC11" i="38"/>
  <c r="KB11" i="38"/>
  <c r="KA11" i="38"/>
  <c r="HM11" i="38"/>
  <c r="HL11" i="38"/>
  <c r="HK11" i="38"/>
  <c r="HJ11" i="38"/>
  <c r="HI11" i="38"/>
  <c r="HH11" i="38"/>
  <c r="HG11" i="38"/>
  <c r="HF11" i="38"/>
  <c r="HE11" i="38"/>
  <c r="HD11" i="38"/>
  <c r="HC11" i="38"/>
  <c r="HB11" i="38"/>
  <c r="HA11" i="38"/>
  <c r="GZ11" i="38"/>
  <c r="GY11" i="38"/>
  <c r="FB11" i="38"/>
  <c r="EK11" i="38"/>
  <c r="EI11" i="38" s="1"/>
  <c r="EH11" i="38" s="1"/>
  <c r="EG11" i="38" s="1"/>
  <c r="EF11" i="38"/>
  <c r="DI11" i="38"/>
  <c r="DH11" i="38"/>
  <c r="DG11" i="38"/>
  <c r="AW11" i="38"/>
  <c r="AV11" i="38"/>
  <c r="AU11" i="38"/>
  <c r="AT11" i="38"/>
  <c r="AS11" i="38"/>
  <c r="AR11" i="38"/>
  <c r="AQ11" i="38"/>
  <c r="AO11" i="38"/>
  <c r="AN11" i="38"/>
  <c r="AM11" i="38"/>
  <c r="AK11" i="38"/>
  <c r="AJ11" i="38"/>
  <c r="AI11" i="38"/>
  <c r="AH11" i="38"/>
  <c r="AG11" i="38"/>
  <c r="AF11" i="38"/>
  <c r="AE11" i="38"/>
  <c r="AD11" i="38"/>
  <c r="AC11" i="38"/>
  <c r="AB11" i="38"/>
  <c r="AA11" i="38"/>
  <c r="Z11" i="38"/>
  <c r="Y11" i="38" s="1"/>
  <c r="X11" i="38"/>
  <c r="W11" i="38"/>
  <c r="N11" i="38"/>
  <c r="M11" i="38"/>
  <c r="L11" i="38"/>
  <c r="K11" i="38"/>
  <c r="J11" i="38"/>
  <c r="I11" i="38"/>
  <c r="H11" i="38"/>
  <c r="G11" i="38"/>
  <c r="SR10" i="38"/>
  <c r="QL10" i="38"/>
  <c r="QK10" i="38"/>
  <c r="QJ10" i="38"/>
  <c r="QI10" i="38"/>
  <c r="QH10" i="38"/>
  <c r="QG10" i="38"/>
  <c r="QF10" i="38"/>
  <c r="QE10" i="38"/>
  <c r="QD10" i="38"/>
  <c r="QC10" i="38"/>
  <c r="QB10" i="38"/>
  <c r="QA10" i="38"/>
  <c r="PZ10" i="38"/>
  <c r="PY10" i="38"/>
  <c r="PX10" i="38"/>
  <c r="OZ10" i="38"/>
  <c r="OY10" i="38"/>
  <c r="OX10" i="38"/>
  <c r="OW10" i="38"/>
  <c r="OV10" i="38"/>
  <c r="OU10" i="38"/>
  <c r="OT10" i="38"/>
  <c r="OS10" i="38"/>
  <c r="OR10" i="38"/>
  <c r="OQ10" i="38"/>
  <c r="OP10" i="38"/>
  <c r="OO10" i="38"/>
  <c r="ON10" i="38"/>
  <c r="OM10" i="38"/>
  <c r="OL10" i="38"/>
  <c r="NB10" i="38"/>
  <c r="NA10" i="38"/>
  <c r="MZ10" i="38"/>
  <c r="MY10" i="38"/>
  <c r="MX10" i="38"/>
  <c r="MW10" i="38"/>
  <c r="MV10" i="38"/>
  <c r="MU10" i="38"/>
  <c r="MT10" i="38"/>
  <c r="MS10" i="38"/>
  <c r="MR10" i="38"/>
  <c r="MQ10" i="38" s="1"/>
  <c r="MP10" i="38"/>
  <c r="MO10" i="38"/>
  <c r="KO10" i="38"/>
  <c r="KN10" i="38"/>
  <c r="KM10" i="38"/>
  <c r="KL10" i="38"/>
  <c r="KK10" i="38"/>
  <c r="KJ10" i="38"/>
  <c r="KI10" i="38"/>
  <c r="KH10" i="38"/>
  <c r="KG10" i="38"/>
  <c r="KF10" i="38"/>
  <c r="KE10" i="38"/>
  <c r="KD10" i="38"/>
  <c r="KC10" i="38"/>
  <c r="KB10" i="38"/>
  <c r="KA10" i="38"/>
  <c r="HM10" i="38"/>
  <c r="H19" i="58" s="1"/>
  <c r="HL10" i="38"/>
  <c r="HK10" i="38"/>
  <c r="HJ10" i="38"/>
  <c r="HI10" i="38"/>
  <c r="HH10" i="38"/>
  <c r="HG10" i="38"/>
  <c r="HF10" i="38"/>
  <c r="HE10" i="38"/>
  <c r="HD10" i="38"/>
  <c r="HC10" i="38"/>
  <c r="HB10" i="38"/>
  <c r="HA10" i="38"/>
  <c r="GZ10" i="38"/>
  <c r="GY10" i="38"/>
  <c r="FB10" i="38"/>
  <c r="EK10" i="38"/>
  <c r="EI10" i="38" s="1"/>
  <c r="EH10" i="38" s="1"/>
  <c r="EG10" i="38" s="1"/>
  <c r="EF10" i="38"/>
  <c r="DI10" i="38"/>
  <c r="DH10" i="38"/>
  <c r="DG10" i="38"/>
  <c r="AW10" i="38"/>
  <c r="AV10" i="38"/>
  <c r="AU10" i="38"/>
  <c r="AT10" i="38"/>
  <c r="AS10" i="38"/>
  <c r="AR10" i="38"/>
  <c r="AQ10" i="38"/>
  <c r="AO10" i="38"/>
  <c r="AN10" i="38"/>
  <c r="AM10" i="38"/>
  <c r="AK10" i="38"/>
  <c r="AJ10" i="38"/>
  <c r="AI10" i="38"/>
  <c r="AH10" i="38"/>
  <c r="AG10" i="38"/>
  <c r="AF10" i="38"/>
  <c r="AE10" i="38"/>
  <c r="AD10" i="38"/>
  <c r="AC10" i="38"/>
  <c r="AB10" i="38"/>
  <c r="AA10" i="38"/>
  <c r="Z10" i="38"/>
  <c r="Y10" i="38" s="1"/>
  <c r="X10" i="38"/>
  <c r="W10" i="38"/>
  <c r="S10" i="38"/>
  <c r="N10" i="38"/>
  <c r="M10" i="38"/>
  <c r="L10" i="38"/>
  <c r="K10" i="38"/>
  <c r="J10" i="38"/>
  <c r="I10" i="38"/>
  <c r="H10" i="38"/>
  <c r="G10" i="38"/>
  <c r="SR9" i="38"/>
  <c r="QL9" i="38"/>
  <c r="QK9" i="38"/>
  <c r="QJ9" i="38"/>
  <c r="QI9" i="38"/>
  <c r="QH9" i="38"/>
  <c r="QG9" i="38"/>
  <c r="QF9" i="38"/>
  <c r="QE9" i="38"/>
  <c r="QD9" i="38"/>
  <c r="QC9" i="38"/>
  <c r="QB9" i="38"/>
  <c r="K511" i="58" s="1"/>
  <c r="QA9" i="38"/>
  <c r="PZ9" i="38"/>
  <c r="PY9" i="38"/>
  <c r="PX9" i="38"/>
  <c r="J511" i="58" s="1"/>
  <c r="OZ9" i="38"/>
  <c r="OY9" i="38"/>
  <c r="OX9" i="38"/>
  <c r="OW9" i="38"/>
  <c r="OV9" i="38"/>
  <c r="OU9" i="38"/>
  <c r="OT9" i="38"/>
  <c r="OS9" i="38"/>
  <c r="OR9" i="38"/>
  <c r="OQ9" i="38"/>
  <c r="OP9" i="38"/>
  <c r="OO9" i="38"/>
  <c r="ON9" i="38"/>
  <c r="OM9" i="38"/>
  <c r="OL9" i="38"/>
  <c r="NB9" i="38"/>
  <c r="NA9" i="38"/>
  <c r="MZ9" i="38"/>
  <c r="MY9" i="38"/>
  <c r="MX9" i="38"/>
  <c r="MW9" i="38"/>
  <c r="MV9" i="38"/>
  <c r="MU9" i="38"/>
  <c r="MT9" i="38"/>
  <c r="MS9" i="38"/>
  <c r="MR9" i="38"/>
  <c r="MQ9" i="38" s="1"/>
  <c r="MP9" i="38"/>
  <c r="MO9" i="38"/>
  <c r="KO9" i="38"/>
  <c r="KN9" i="38"/>
  <c r="KM9" i="38"/>
  <c r="KL9" i="38"/>
  <c r="KK9" i="38"/>
  <c r="KJ9" i="38"/>
  <c r="KI9" i="38"/>
  <c r="KH9" i="38"/>
  <c r="KG9" i="38"/>
  <c r="KF9" i="38"/>
  <c r="KE9" i="38"/>
  <c r="KD9" i="38"/>
  <c r="KC9" i="38"/>
  <c r="KB9" i="38"/>
  <c r="KA9" i="38"/>
  <c r="HM9" i="38"/>
  <c r="HL9" i="38"/>
  <c r="HK9" i="38"/>
  <c r="HJ9" i="38"/>
  <c r="HI9" i="38"/>
  <c r="HH9" i="38"/>
  <c r="HG9" i="38"/>
  <c r="HF9" i="38"/>
  <c r="HE9" i="38"/>
  <c r="HD9" i="38"/>
  <c r="HC9" i="38"/>
  <c r="HB9" i="38"/>
  <c r="HA9" i="38"/>
  <c r="GZ9" i="38"/>
  <c r="GY9" i="38"/>
  <c r="FB9" i="38"/>
  <c r="EK9" i="38"/>
  <c r="EI9" i="38" s="1"/>
  <c r="EH9" i="38" s="1"/>
  <c r="EG9" i="38" s="1"/>
  <c r="EF9" i="38"/>
  <c r="DI9" i="38"/>
  <c r="DH9" i="38"/>
  <c r="DG9" i="38"/>
  <c r="AW9" i="38"/>
  <c r="AV9" i="38"/>
  <c r="AU9" i="38"/>
  <c r="AT9" i="38"/>
  <c r="AS9" i="38"/>
  <c r="AR9" i="38"/>
  <c r="AQ9" i="38"/>
  <c r="AO9" i="38"/>
  <c r="AN9" i="38"/>
  <c r="AM9" i="38"/>
  <c r="AK9" i="38"/>
  <c r="AJ9" i="38"/>
  <c r="AI9" i="38"/>
  <c r="AH9" i="38"/>
  <c r="AG9" i="38"/>
  <c r="AF9" i="38"/>
  <c r="AE9" i="38"/>
  <c r="AD9" i="38"/>
  <c r="AC9" i="38"/>
  <c r="AB9" i="38"/>
  <c r="AA9" i="38"/>
  <c r="Z9" i="38"/>
  <c r="Y9" i="38"/>
  <c r="X9" i="38"/>
  <c r="W9" i="38"/>
  <c r="N9" i="38"/>
  <c r="M9" i="38"/>
  <c r="L9" i="38"/>
  <c r="K9" i="38"/>
  <c r="J9" i="38"/>
  <c r="I9" i="38"/>
  <c r="H9" i="38"/>
  <c r="G9" i="38"/>
  <c r="SR8" i="38"/>
  <c r="QL8" i="38"/>
  <c r="QK8" i="38"/>
  <c r="QJ8" i="38"/>
  <c r="M490" i="58" s="1"/>
  <c r="QI8" i="38"/>
  <c r="QH8" i="38"/>
  <c r="QG8" i="38"/>
  <c r="QF8" i="38"/>
  <c r="QE8" i="38"/>
  <c r="QD8" i="38"/>
  <c r="QC8" i="38"/>
  <c r="QB8" i="38"/>
  <c r="K490" i="58" s="1"/>
  <c r="QA8" i="38"/>
  <c r="PZ8" i="38"/>
  <c r="PY8" i="38"/>
  <c r="PX8" i="38"/>
  <c r="J490" i="58" s="1"/>
  <c r="OZ8" i="38"/>
  <c r="OY8" i="38"/>
  <c r="OX8" i="38"/>
  <c r="OW8" i="38"/>
  <c r="OV8" i="38"/>
  <c r="OU8" i="38"/>
  <c r="OT8" i="38"/>
  <c r="OS8" i="38"/>
  <c r="OR8" i="38"/>
  <c r="OQ8" i="38"/>
  <c r="OP8" i="38"/>
  <c r="OO8" i="38"/>
  <c r="ON8" i="38"/>
  <c r="OM8" i="38"/>
  <c r="OL8" i="38"/>
  <c r="NC8" i="38"/>
  <c r="NA8" i="38"/>
  <c r="MZ8" i="38" s="1"/>
  <c r="MY8" i="38" s="1"/>
  <c r="MX8" i="38" s="1"/>
  <c r="MW8" i="38" s="1"/>
  <c r="MV8" i="38" s="1"/>
  <c r="MU8" i="38" s="1"/>
  <c r="MT8" i="38" s="1"/>
  <c r="MS8" i="38" s="1"/>
  <c r="MR8" i="38" s="1"/>
  <c r="MQ8" i="38" s="1"/>
  <c r="MP8" i="38" s="1"/>
  <c r="MO8" i="38" s="1"/>
  <c r="KO8" i="38"/>
  <c r="BS37" i="57" s="1"/>
  <c r="KN8" i="38"/>
  <c r="KM8" i="38"/>
  <c r="BR37" i="57" s="1"/>
  <c r="KL8" i="38"/>
  <c r="KK8" i="38"/>
  <c r="KJ8" i="38"/>
  <c r="KI8" i="38"/>
  <c r="BQ37" i="57" s="1"/>
  <c r="KH8" i="38"/>
  <c r="KG8" i="38"/>
  <c r="KF8" i="38"/>
  <c r="KE8" i="38"/>
  <c r="BP37" i="57" s="1"/>
  <c r="KD8" i="38"/>
  <c r="KC8" i="38"/>
  <c r="KB8" i="38"/>
  <c r="KA8" i="38"/>
  <c r="BO37" i="57" s="1"/>
  <c r="IY8" i="38"/>
  <c r="K17" i="58" s="1"/>
  <c r="IX8" i="38"/>
  <c r="IW8" i="38"/>
  <c r="IV8" i="38"/>
  <c r="IU8" i="38"/>
  <c r="IU37" i="38" s="1"/>
  <c r="IT8" i="38"/>
  <c r="IS8" i="38"/>
  <c r="IR8" i="38"/>
  <c r="IQ8" i="38"/>
  <c r="IQ37" i="38" s="1"/>
  <c r="IP8" i="38"/>
  <c r="IO8" i="38"/>
  <c r="IN8" i="38"/>
  <c r="IM8" i="38"/>
  <c r="IM37" i="38" s="1"/>
  <c r="IL8" i="38"/>
  <c r="IK8" i="38"/>
  <c r="HM8" i="38"/>
  <c r="HL8" i="38"/>
  <c r="IE8" i="38" s="1"/>
  <c r="HK8" i="38"/>
  <c r="HJ8" i="38"/>
  <c r="HI8" i="38"/>
  <c r="HH8" i="38"/>
  <c r="HG8" i="38"/>
  <c r="HF8" i="38"/>
  <c r="HE8" i="38"/>
  <c r="HD8" i="38"/>
  <c r="HC8" i="38"/>
  <c r="HB8" i="38"/>
  <c r="HA8" i="38"/>
  <c r="GZ8" i="38"/>
  <c r="GY8" i="38"/>
  <c r="FB8" i="38"/>
  <c r="EK8" i="38"/>
  <c r="EI8" i="38" s="1"/>
  <c r="EH8" i="38" s="1"/>
  <c r="EG8" i="38" s="1"/>
  <c r="EF8" i="38"/>
  <c r="DI8" i="38"/>
  <c r="DH8" i="38"/>
  <c r="DG8" i="38"/>
  <c r="CI8" i="38"/>
  <c r="CH8" i="38"/>
  <c r="CG8" i="38"/>
  <c r="CF8" i="38"/>
  <c r="CE8" i="38"/>
  <c r="CD8" i="38"/>
  <c r="CC8" i="38"/>
  <c r="CB8" i="38"/>
  <c r="CA8" i="38"/>
  <c r="BZ8" i="38"/>
  <c r="BY8" i="38"/>
  <c r="BX8" i="38"/>
  <c r="BW8" i="38"/>
  <c r="BV8" i="38"/>
  <c r="BU8" i="38"/>
  <c r="BP8" i="38"/>
  <c r="BO8" i="38"/>
  <c r="BN8" i="38"/>
  <c r="BM8" i="38"/>
  <c r="BL8" i="38"/>
  <c r="BK8" i="38"/>
  <c r="BJ8" i="38"/>
  <c r="BI8" i="38"/>
  <c r="BH8" i="38"/>
  <c r="BG8" i="38"/>
  <c r="BF8" i="38"/>
  <c r="BE8" i="38"/>
  <c r="BD8" i="38"/>
  <c r="BC8" i="38"/>
  <c r="BB8" i="38"/>
  <c r="AW8" i="38"/>
  <c r="AV8" i="38"/>
  <c r="AU8" i="38"/>
  <c r="AT8" i="38"/>
  <c r="AS8" i="38"/>
  <c r="AR8" i="38"/>
  <c r="AQ8" i="38"/>
  <c r="AO8" i="38"/>
  <c r="AN8" i="38"/>
  <c r="AM8" i="38"/>
  <c r="AK8" i="38"/>
  <c r="AJ8" i="38"/>
  <c r="AI8" i="38"/>
  <c r="AH8" i="38"/>
  <c r="AG8" i="38"/>
  <c r="AF8" i="38"/>
  <c r="AE8" i="38"/>
  <c r="AD8" i="38"/>
  <c r="AC8" i="38"/>
  <c r="AB8" i="38"/>
  <c r="AA8" i="38"/>
  <c r="Z8" i="38"/>
  <c r="Y8" i="38"/>
  <c r="X8" i="38"/>
  <c r="W8" i="38"/>
  <c r="N8" i="38"/>
  <c r="M8" i="38"/>
  <c r="L8" i="38"/>
  <c r="K8" i="38"/>
  <c r="J8" i="38"/>
  <c r="I8" i="38"/>
  <c r="H8" i="38"/>
  <c r="G8" i="38"/>
  <c r="SR7" i="38"/>
  <c r="QL7" i="38"/>
  <c r="QK7" i="38"/>
  <c r="QJ7" i="38"/>
  <c r="M497" i="58" s="1"/>
  <c r="QI7" i="38"/>
  <c r="QH7" i="38"/>
  <c r="QG7" i="38"/>
  <c r="QF7" i="38"/>
  <c r="QE7" i="38"/>
  <c r="QD7" i="38"/>
  <c r="QC7" i="38"/>
  <c r="QB7" i="38"/>
  <c r="K497" i="58" s="1"/>
  <c r="QA7" i="38"/>
  <c r="PZ7" i="38"/>
  <c r="PY7" i="38"/>
  <c r="PX7" i="38"/>
  <c r="J497" i="58" s="1"/>
  <c r="OZ7" i="38"/>
  <c r="OY7" i="38"/>
  <c r="OX7" i="38"/>
  <c r="OW7" i="38"/>
  <c r="OV7" i="38"/>
  <c r="OU7" i="38"/>
  <c r="OT7" i="38"/>
  <c r="OS7" i="38"/>
  <c r="OR7" i="38"/>
  <c r="OQ7" i="38"/>
  <c r="OP7" i="38"/>
  <c r="OO7" i="38"/>
  <c r="ON7" i="38"/>
  <c r="OM7" i="38"/>
  <c r="OL7" i="38"/>
  <c r="NB7" i="38"/>
  <c r="NA7" i="38"/>
  <c r="MZ7" i="38"/>
  <c r="MY7" i="38"/>
  <c r="MX7" i="38"/>
  <c r="MW7" i="38"/>
  <c r="MV7" i="38"/>
  <c r="MU7" i="38"/>
  <c r="MT7" i="38"/>
  <c r="MS7" i="38"/>
  <c r="MR7" i="38"/>
  <c r="MQ7" i="38" s="1"/>
  <c r="MP7" i="38"/>
  <c r="MO7" i="38"/>
  <c r="KO7" i="38"/>
  <c r="KN7" i="38"/>
  <c r="KM7" i="38"/>
  <c r="KL7" i="38"/>
  <c r="KK7" i="38"/>
  <c r="KJ7" i="38"/>
  <c r="KI7" i="38"/>
  <c r="KH7" i="38"/>
  <c r="KG7" i="38"/>
  <c r="KF7" i="38"/>
  <c r="KE7" i="38"/>
  <c r="KD7" i="38"/>
  <c r="KC7" i="38"/>
  <c r="KB7" i="38"/>
  <c r="KA7" i="38"/>
  <c r="HM7" i="38"/>
  <c r="HL7" i="38"/>
  <c r="HK7" i="38"/>
  <c r="HJ7" i="38"/>
  <c r="HI7" i="38"/>
  <c r="HH7" i="38"/>
  <c r="HG7" i="38"/>
  <c r="HF7" i="38"/>
  <c r="HE7" i="38"/>
  <c r="HD7" i="38"/>
  <c r="HC7" i="38"/>
  <c r="HB7" i="38"/>
  <c r="HA7" i="38"/>
  <c r="GZ7" i="38"/>
  <c r="GY7" i="38"/>
  <c r="FB7" i="38"/>
  <c r="EK7" i="38"/>
  <c r="EI7" i="38" s="1"/>
  <c r="EH7" i="38" s="1"/>
  <c r="EG7" i="38" s="1"/>
  <c r="EF7" i="38"/>
  <c r="DI7" i="38"/>
  <c r="DH7" i="38"/>
  <c r="DG7" i="38"/>
  <c r="AW7" i="38"/>
  <c r="AV7" i="38"/>
  <c r="AU7" i="38"/>
  <c r="AT7" i="38"/>
  <c r="AS7" i="38"/>
  <c r="AR7" i="38"/>
  <c r="AQ7" i="38"/>
  <c r="AO7" i="38"/>
  <c r="AN7" i="38"/>
  <c r="AM7" i="38"/>
  <c r="AK7" i="38"/>
  <c r="AJ7" i="38"/>
  <c r="AI7" i="38"/>
  <c r="AH7" i="38"/>
  <c r="AG7" i="38"/>
  <c r="AF7" i="38"/>
  <c r="AE7" i="38"/>
  <c r="AD7" i="38"/>
  <c r="AC7" i="38"/>
  <c r="AB7" i="38"/>
  <c r="AA7" i="38"/>
  <c r="Z7" i="38"/>
  <c r="Y7" i="38"/>
  <c r="X7" i="38"/>
  <c r="W7" i="38"/>
  <c r="N7" i="38"/>
  <c r="M7" i="38"/>
  <c r="L7" i="38"/>
  <c r="K7" i="38"/>
  <c r="J7" i="38"/>
  <c r="I7" i="38"/>
  <c r="H7" i="38"/>
  <c r="G7" i="38"/>
  <c r="SR6" i="38"/>
  <c r="QL6" i="38"/>
  <c r="QK6" i="38"/>
  <c r="QJ6" i="38"/>
  <c r="QI6" i="38"/>
  <c r="QH6" i="38"/>
  <c r="QG6" i="38"/>
  <c r="QF6" i="38"/>
  <c r="QE6" i="38"/>
  <c r="QD6" i="38"/>
  <c r="QC6" i="38"/>
  <c r="QB6" i="38"/>
  <c r="QA6" i="38"/>
  <c r="PZ6" i="38"/>
  <c r="PY6" i="38"/>
  <c r="PX6" i="38"/>
  <c r="OZ6" i="38"/>
  <c r="OY6" i="38"/>
  <c r="OX6" i="38"/>
  <c r="OW6" i="38"/>
  <c r="OV6" i="38"/>
  <c r="OU6" i="38"/>
  <c r="OT6" i="38"/>
  <c r="OS6" i="38"/>
  <c r="OR6" i="38"/>
  <c r="OQ6" i="38"/>
  <c r="OP6" i="38"/>
  <c r="OO6" i="38"/>
  <c r="ON6" i="38"/>
  <c r="OM6" i="38"/>
  <c r="OL6" i="38"/>
  <c r="NB6" i="38"/>
  <c r="NA6" i="38"/>
  <c r="MZ6" i="38"/>
  <c r="MY6" i="38"/>
  <c r="MX6" i="38"/>
  <c r="MW6" i="38"/>
  <c r="MV6" i="38"/>
  <c r="MU6" i="38"/>
  <c r="MT6" i="38"/>
  <c r="MS6" i="38"/>
  <c r="MR6" i="38"/>
  <c r="MQ6" i="38" s="1"/>
  <c r="MP6" i="38"/>
  <c r="MO6" i="38"/>
  <c r="KO6" i="38"/>
  <c r="KN6" i="38"/>
  <c r="KM6" i="38"/>
  <c r="KL6" i="38"/>
  <c r="KK6" i="38"/>
  <c r="KJ6" i="38"/>
  <c r="KI6" i="38"/>
  <c r="KH6" i="38"/>
  <c r="KG6" i="38"/>
  <c r="KF6" i="38"/>
  <c r="KE6" i="38"/>
  <c r="KD6" i="38"/>
  <c r="KC6" i="38"/>
  <c r="KB6" i="38"/>
  <c r="KA6" i="38"/>
  <c r="HM6" i="38"/>
  <c r="HL6" i="38"/>
  <c r="HK6" i="38"/>
  <c r="HJ6" i="38"/>
  <c r="HI6" i="38"/>
  <c r="HH6" i="38"/>
  <c r="HG6" i="38"/>
  <c r="HF6" i="38"/>
  <c r="HE6" i="38"/>
  <c r="HD6" i="38"/>
  <c r="HC6" i="38"/>
  <c r="HB6" i="38"/>
  <c r="HA6" i="38"/>
  <c r="GZ6" i="38"/>
  <c r="GY6" i="38"/>
  <c r="FB6" i="38"/>
  <c r="EK6" i="38"/>
  <c r="EI6" i="38" s="1"/>
  <c r="EH6" i="38" s="1"/>
  <c r="EG6" i="38" s="1"/>
  <c r="EF6" i="38"/>
  <c r="DI6" i="38"/>
  <c r="DH6" i="38"/>
  <c r="DG6" i="38"/>
  <c r="AW6" i="38"/>
  <c r="AV6" i="38"/>
  <c r="AU6" i="38"/>
  <c r="AT6" i="38"/>
  <c r="AS6" i="38"/>
  <c r="AR6" i="38"/>
  <c r="AQ6" i="38"/>
  <c r="AO6" i="38"/>
  <c r="AN6" i="38"/>
  <c r="AM6" i="38"/>
  <c r="AK6" i="38"/>
  <c r="AJ6" i="38"/>
  <c r="AI6" i="38"/>
  <c r="AH6" i="38"/>
  <c r="AG6" i="38"/>
  <c r="AF6" i="38"/>
  <c r="AE6" i="38"/>
  <c r="AD6" i="38"/>
  <c r="AC6" i="38" s="1"/>
  <c r="AB6" i="38"/>
  <c r="AA6" i="38"/>
  <c r="Z6" i="38"/>
  <c r="Y6" i="38" s="1"/>
  <c r="X6" i="38"/>
  <c r="W6" i="38"/>
  <c r="N6" i="38"/>
  <c r="M6" i="38"/>
  <c r="L6" i="38"/>
  <c r="K6" i="38"/>
  <c r="J6" i="38"/>
  <c r="I6" i="38"/>
  <c r="H6" i="38"/>
  <c r="G6" i="38"/>
  <c r="QL5" i="38"/>
  <c r="H505" i="58" s="1"/>
  <c r="QK5" i="38"/>
  <c r="QJ5" i="38"/>
  <c r="M505" i="58" s="1"/>
  <c r="QI5" i="38"/>
  <c r="QH5" i="38"/>
  <c r="QG5" i="38"/>
  <c r="QF5" i="38"/>
  <c r="L505" i="58" s="1"/>
  <c r="QE5" i="38"/>
  <c r="QD5" i="38"/>
  <c r="QC5" i="38"/>
  <c r="QB5" i="38"/>
  <c r="K505" i="58" s="1"/>
  <c r="QA5" i="38"/>
  <c r="PZ5" i="38"/>
  <c r="PY5" i="38"/>
  <c r="PX5" i="38"/>
  <c r="J505" i="58" s="1"/>
  <c r="OZ5" i="38"/>
  <c r="OY5" i="38"/>
  <c r="OX5" i="38"/>
  <c r="OW5" i="38"/>
  <c r="OV5" i="38"/>
  <c r="OU5" i="38"/>
  <c r="OT5" i="38"/>
  <c r="OS5" i="38"/>
  <c r="OR5" i="38"/>
  <c r="OQ5" i="38"/>
  <c r="OP5" i="38"/>
  <c r="OO5" i="38"/>
  <c r="ON5" i="38"/>
  <c r="IL37" i="38" l="1"/>
  <c r="IP37" i="38"/>
  <c r="IT37" i="38"/>
  <c r="IX37" i="38"/>
  <c r="P505" i="58"/>
  <c r="P502" i="58"/>
  <c r="P507" i="58"/>
  <c r="K59" i="58"/>
  <c r="K199" i="58"/>
  <c r="K138" i="58"/>
  <c r="K167" i="58"/>
  <c r="P499" i="58"/>
  <c r="P510" i="58"/>
  <c r="P508" i="58"/>
  <c r="K135" i="58"/>
  <c r="K57" i="58"/>
  <c r="H494" i="58"/>
  <c r="H490" i="58"/>
  <c r="K501" i="58"/>
  <c r="M501" i="58"/>
  <c r="J498" i="58"/>
  <c r="IF12" i="38"/>
  <c r="H21" i="58"/>
  <c r="AJ93" i="58"/>
  <c r="G130" i="58"/>
  <c r="G45" i="58"/>
  <c r="G202" i="58"/>
  <c r="G169" i="58"/>
  <c r="AJ85" i="58"/>
  <c r="F49" i="58"/>
  <c r="AJ49" i="58" s="1"/>
  <c r="F165" i="58"/>
  <c r="F187" i="58"/>
  <c r="F134" i="58"/>
  <c r="F171" i="58"/>
  <c r="F186" i="58"/>
  <c r="F138" i="58"/>
  <c r="F57" i="58"/>
  <c r="AJ57" i="58" s="1"/>
  <c r="F130" i="58"/>
  <c r="F169" i="58"/>
  <c r="F45" i="58"/>
  <c r="AJ45" i="58" s="1"/>
  <c r="F202" i="58"/>
  <c r="AJ80" i="58"/>
  <c r="F137" i="58"/>
  <c r="F182" i="58"/>
  <c r="F61" i="58"/>
  <c r="AJ61" i="58" s="1"/>
  <c r="F170" i="58"/>
  <c r="AJ92" i="58"/>
  <c r="H122" i="58"/>
  <c r="H154" i="58"/>
  <c r="H44" i="58"/>
  <c r="H191" i="58"/>
  <c r="IF9" i="38"/>
  <c r="H18" i="58"/>
  <c r="L511" i="58"/>
  <c r="H495" i="58"/>
  <c r="G191" i="58"/>
  <c r="G122" i="58"/>
  <c r="G44" i="58"/>
  <c r="G154" i="58"/>
  <c r="F509" i="58"/>
  <c r="AJ88" i="58"/>
  <c r="F492" i="58"/>
  <c r="G200" i="58"/>
  <c r="G156" i="58"/>
  <c r="G42" i="58"/>
  <c r="G123" i="58"/>
  <c r="AJ75" i="58"/>
  <c r="AJ86" i="58"/>
  <c r="IF6" i="38"/>
  <c r="H15" i="58"/>
  <c r="J494" i="58"/>
  <c r="K494" i="58"/>
  <c r="L494" i="58"/>
  <c r="M494" i="58"/>
  <c r="IF8" i="38"/>
  <c r="H17" i="58"/>
  <c r="L490" i="58"/>
  <c r="P490" i="58" s="1"/>
  <c r="H501" i="58"/>
  <c r="H498" i="58"/>
  <c r="AJ94" i="58"/>
  <c r="AJ95" i="58"/>
  <c r="F499" i="58"/>
  <c r="G135" i="58"/>
  <c r="G199" i="58"/>
  <c r="G167" i="58"/>
  <c r="G59" i="58"/>
  <c r="F59" i="58"/>
  <c r="AJ59" i="58" s="1"/>
  <c r="F167" i="58"/>
  <c r="F199" i="58"/>
  <c r="F135" i="58"/>
  <c r="F201" i="58"/>
  <c r="F132" i="58"/>
  <c r="F60" i="58"/>
  <c r="AJ60" i="58" s="1"/>
  <c r="F166" i="58"/>
  <c r="G174" i="58"/>
  <c r="G183" i="58"/>
  <c r="G142" i="58"/>
  <c r="G54" i="58"/>
  <c r="F504" i="58"/>
  <c r="F194" i="58"/>
  <c r="F58" i="58"/>
  <c r="AJ58" i="58" s="1"/>
  <c r="F140" i="58"/>
  <c r="F173" i="58"/>
  <c r="F195" i="58"/>
  <c r="F131" i="58"/>
  <c r="F162" i="58"/>
  <c r="F46" i="58"/>
  <c r="AJ46" i="58" s="1"/>
  <c r="AJ76" i="58"/>
  <c r="G163" i="58"/>
  <c r="G198" i="58"/>
  <c r="G133" i="58"/>
  <c r="G53" i="58"/>
  <c r="H194" i="58"/>
  <c r="H58" i="58"/>
  <c r="H140" i="58"/>
  <c r="H173" i="58"/>
  <c r="H126" i="58"/>
  <c r="H161" i="58"/>
  <c r="H196" i="58"/>
  <c r="H47" i="58"/>
  <c r="H132" i="58"/>
  <c r="H201" i="58"/>
  <c r="H166" i="58"/>
  <c r="H60" i="58"/>
  <c r="IO37" i="38"/>
  <c r="IW37" i="38"/>
  <c r="K171" i="58"/>
  <c r="IN37" i="38"/>
  <c r="IR37" i="38"/>
  <c r="IV37" i="38"/>
  <c r="P496" i="58"/>
  <c r="H56" i="58"/>
  <c r="H127" i="58"/>
  <c r="H203" i="58"/>
  <c r="H159" i="58"/>
  <c r="J501" i="58"/>
  <c r="L501" i="58"/>
  <c r="IF11" i="38"/>
  <c r="H20" i="58"/>
  <c r="K498" i="58"/>
  <c r="L498" i="58"/>
  <c r="G194" i="58"/>
  <c r="G58" i="58"/>
  <c r="G173" i="58"/>
  <c r="G140" i="58"/>
  <c r="F196" i="58"/>
  <c r="F161" i="58"/>
  <c r="F47" i="58"/>
  <c r="AJ47" i="58" s="1"/>
  <c r="F126" i="58"/>
  <c r="F198" i="58"/>
  <c r="F133" i="58"/>
  <c r="F53" i="58"/>
  <c r="AJ53" i="58" s="1"/>
  <c r="F163" i="58"/>
  <c r="AJ84" i="58"/>
  <c r="F502" i="58"/>
  <c r="G158" i="58"/>
  <c r="G128" i="58"/>
  <c r="G50" i="58"/>
  <c r="G197" i="58"/>
  <c r="F158" i="58"/>
  <c r="F50" i="58"/>
  <c r="AJ50" i="58" s="1"/>
  <c r="F197" i="58"/>
  <c r="F128" i="58"/>
  <c r="H182" i="58"/>
  <c r="H170" i="58"/>
  <c r="H137" i="58"/>
  <c r="H61" i="58"/>
  <c r="H183" i="58"/>
  <c r="H142" i="58"/>
  <c r="H174" i="58"/>
  <c r="H54" i="58"/>
  <c r="IF7" i="38"/>
  <c r="H16" i="58"/>
  <c r="L497" i="58"/>
  <c r="P497" i="58" s="1"/>
  <c r="M511" i="58"/>
  <c r="F500" i="58"/>
  <c r="F491" i="58"/>
  <c r="F123" i="58"/>
  <c r="F200" i="58"/>
  <c r="F156" i="58"/>
  <c r="F42" i="58"/>
  <c r="AJ42" i="58" s="1"/>
  <c r="F506" i="58"/>
  <c r="F507" i="58"/>
  <c r="G195" i="58"/>
  <c r="G162" i="58"/>
  <c r="G131" i="58"/>
  <c r="G46" i="58"/>
  <c r="AJ91" i="58"/>
  <c r="G132" i="58"/>
  <c r="G166" i="58"/>
  <c r="G60" i="58"/>
  <c r="G201" i="58"/>
  <c r="G138" i="58"/>
  <c r="G186" i="58"/>
  <c r="G57" i="58"/>
  <c r="G171" i="58"/>
  <c r="F54" i="58"/>
  <c r="AJ54" i="58" s="1"/>
  <c r="F174" i="58"/>
  <c r="F142" i="58"/>
  <c r="F183" i="58"/>
  <c r="H49" i="58"/>
  <c r="H134" i="58"/>
  <c r="H187" i="58"/>
  <c r="H165" i="58"/>
  <c r="H497" i="58"/>
  <c r="H511" i="58"/>
  <c r="J495" i="58"/>
  <c r="K495" i="58"/>
  <c r="L495" i="58"/>
  <c r="M495" i="58"/>
  <c r="G187" i="58"/>
  <c r="G49" i="58"/>
  <c r="G165" i="58"/>
  <c r="G134" i="58"/>
  <c r="F496" i="58"/>
  <c r="AJ78" i="58"/>
  <c r="F503" i="58"/>
  <c r="AJ81" i="58"/>
  <c r="F508" i="58"/>
  <c r="F510" i="58"/>
  <c r="F493" i="58"/>
  <c r="G126" i="58"/>
  <c r="G161" i="58"/>
  <c r="G47" i="58"/>
  <c r="G196" i="58"/>
  <c r="F154" i="58"/>
  <c r="F191" i="58"/>
  <c r="F44" i="58"/>
  <c r="AJ44" i="58" s="1"/>
  <c r="F122" i="58"/>
  <c r="G170" i="58"/>
  <c r="G182" i="58"/>
  <c r="G137" i="58"/>
  <c r="G61" i="58"/>
  <c r="P492" i="58"/>
  <c r="IK37" i="38"/>
  <c r="IS37" i="38"/>
  <c r="I170" i="58"/>
  <c r="K186" i="58"/>
  <c r="P500" i="58"/>
  <c r="J61" i="58"/>
  <c r="J137" i="58"/>
  <c r="J170" i="58"/>
  <c r="J182" i="58"/>
  <c r="J199" i="58"/>
  <c r="J59" i="58"/>
  <c r="J135" i="58"/>
  <c r="J167" i="58"/>
  <c r="JA13" i="38"/>
  <c r="I22" i="58" s="1"/>
  <c r="J22" i="58"/>
  <c r="IY37" i="38"/>
  <c r="FD8" i="38"/>
  <c r="FF8" i="38"/>
  <c r="G421" i="44" s="1"/>
  <c r="FD10" i="38"/>
  <c r="FF10" i="38"/>
  <c r="FD11" i="38"/>
  <c r="FF11" i="38"/>
  <c r="FD12" i="38"/>
  <c r="FF12" i="38"/>
  <c r="FD6" i="38"/>
  <c r="FF6" i="38"/>
  <c r="FD7" i="38"/>
  <c r="FF7" i="38"/>
  <c r="F421" i="44" s="1"/>
  <c r="FD9" i="38"/>
  <c r="FF9" i="38"/>
  <c r="E421" i="44" s="1"/>
  <c r="SV12" i="38"/>
  <c r="SU12" i="38"/>
  <c r="ST12" i="38"/>
  <c r="SU10" i="38"/>
  <c r="SV10" i="38"/>
  <c r="ST10" i="38"/>
  <c r="SV11" i="38"/>
  <c r="SU11" i="38"/>
  <c r="ST11" i="38"/>
  <c r="SU6" i="38"/>
  <c r="SV6" i="38"/>
  <c r="ST6" i="38"/>
  <c r="SV8" i="38"/>
  <c r="SU8" i="38"/>
  <c r="ST8" i="38"/>
  <c r="SV7" i="38"/>
  <c r="SU7" i="38"/>
  <c r="ST7" i="38"/>
  <c r="SV9" i="38"/>
  <c r="SU9" i="38"/>
  <c r="ST9" i="38"/>
  <c r="QH30" i="38"/>
  <c r="QH32" i="38"/>
  <c r="QH29" i="38"/>
  <c r="PY30" i="38"/>
  <c r="PY32" i="38"/>
  <c r="PY29" i="38"/>
  <c r="QG30" i="38"/>
  <c r="QG32" i="38"/>
  <c r="QG29" i="38"/>
  <c r="QJ29" i="38"/>
  <c r="QJ30" i="38"/>
  <c r="QJ32" i="38"/>
  <c r="PZ30" i="38"/>
  <c r="PZ32" i="38"/>
  <c r="PZ29" i="38"/>
  <c r="QD30" i="38"/>
  <c r="QD32" i="38"/>
  <c r="QD29" i="38"/>
  <c r="QL30" i="38"/>
  <c r="QL32" i="38"/>
  <c r="QL29" i="38"/>
  <c r="QC30" i="38"/>
  <c r="QC32" i="38"/>
  <c r="QC29" i="38"/>
  <c r="QK32" i="38"/>
  <c r="QK30" i="38"/>
  <c r="QK29" i="38"/>
  <c r="PX29" i="38"/>
  <c r="PX30" i="38"/>
  <c r="PX32" i="38"/>
  <c r="QB29" i="38"/>
  <c r="QB30" i="38"/>
  <c r="QB32" i="38"/>
  <c r="QF29" i="38"/>
  <c r="QF30" i="38"/>
  <c r="QF32" i="38"/>
  <c r="QA29" i="38"/>
  <c r="QA30" i="38"/>
  <c r="QA32" i="38"/>
  <c r="QE29" i="38"/>
  <c r="QE30" i="38"/>
  <c r="QE32" i="38"/>
  <c r="QI30" i="38"/>
  <c r="QI32" i="38"/>
  <c r="QI29" i="38"/>
  <c r="F39" i="38"/>
  <c r="IQ47" i="38"/>
  <c r="PX47" i="38"/>
  <c r="PZ44" i="38"/>
  <c r="QE44" i="38"/>
  <c r="PX48" i="38"/>
  <c r="QB46" i="38"/>
  <c r="QJ46" i="38"/>
  <c r="QJ50" i="38"/>
  <c r="QB47" i="38"/>
  <c r="QJ47" i="38"/>
  <c r="QB48" i="38"/>
  <c r="PX46" i="38"/>
  <c r="JA63" i="38"/>
  <c r="IP47" i="38"/>
  <c r="IX47" i="38"/>
  <c r="IO47" i="38"/>
  <c r="IW47" i="38"/>
  <c r="JA52" i="38"/>
  <c r="IN47" i="38"/>
  <c r="IV47" i="38"/>
  <c r="IM47" i="38"/>
  <c r="IU47" i="38"/>
  <c r="JA65" i="38"/>
  <c r="IL47" i="38"/>
  <c r="IT47" i="38"/>
  <c r="JT8" i="38"/>
  <c r="IY47" i="38"/>
  <c r="IK47" i="38"/>
  <c r="IS47" i="38"/>
  <c r="IR47" i="38"/>
  <c r="IH27" i="38"/>
  <c r="IH13" i="38"/>
  <c r="JC24" i="38"/>
  <c r="D24" i="47" s="1"/>
  <c r="IE11" i="38"/>
  <c r="QP6" i="38"/>
  <c r="QA48" i="38"/>
  <c r="IE12" i="38"/>
  <c r="ID8" i="38"/>
  <c r="KQ10" i="38"/>
  <c r="QO10" i="38"/>
  <c r="IH19" i="38"/>
  <c r="AZ9" i="38"/>
  <c r="AZ12" i="38"/>
  <c r="IH26" i="38"/>
  <c r="H38" i="38"/>
  <c r="ID12" i="38"/>
  <c r="IC12" i="38" s="1"/>
  <c r="IB12" i="38" s="1"/>
  <c r="R6" i="38"/>
  <c r="S6" i="38" s="1"/>
  <c r="JC26" i="38"/>
  <c r="JD26" i="38" s="1"/>
  <c r="NG19" i="38"/>
  <c r="H39" i="38"/>
  <c r="KR8" i="38"/>
  <c r="AZ8" i="38"/>
  <c r="KT8" i="38"/>
  <c r="QP11" i="38"/>
  <c r="QP12" i="38"/>
  <c r="Q9" i="38"/>
  <c r="QO12" i="38"/>
  <c r="Q11" i="38"/>
  <c r="AZ11" i="38"/>
  <c r="IC8" i="38"/>
  <c r="ID11" i="38"/>
  <c r="IC11" i="38" s="1"/>
  <c r="IB11" i="38" s="1"/>
  <c r="QP10" i="38"/>
  <c r="KS7" i="38"/>
  <c r="Q8" i="38"/>
  <c r="AY13" i="38"/>
  <c r="Q6" i="38"/>
  <c r="KQ11" i="38"/>
  <c r="KR10" i="38"/>
  <c r="KR11" i="38"/>
  <c r="KQ12" i="38"/>
  <c r="QN6" i="38"/>
  <c r="R7" i="38"/>
  <c r="S7" i="38" s="1"/>
  <c r="QA47" i="38"/>
  <c r="P9" i="38"/>
  <c r="KR12" i="38"/>
  <c r="QD51" i="38"/>
  <c r="QC51" i="38" s="1"/>
  <c r="QP5" i="38"/>
  <c r="P13" i="38"/>
  <c r="KQ7" i="38"/>
  <c r="F38" i="38"/>
  <c r="PY44" i="38"/>
  <c r="KQ9" i="38"/>
  <c r="Q10" i="38"/>
  <c r="HP10" i="38"/>
  <c r="G19" i="58" s="1"/>
  <c r="AY6" i="38"/>
  <c r="AZ7" i="38"/>
  <c r="QN8" i="38"/>
  <c r="Q13" i="38"/>
  <c r="AZ13" i="38"/>
  <c r="IE6" i="38"/>
  <c r="ID6" i="38" s="1"/>
  <c r="IC6" i="38" s="1"/>
  <c r="IB6" i="38" s="1"/>
  <c r="IA6" i="38" s="1"/>
  <c r="HZ6" i="38" s="1"/>
  <c r="HY6" i="38" s="1"/>
  <c r="HX6" i="38" s="1"/>
  <c r="HW6" i="38" s="1"/>
  <c r="HV6" i="38" s="1"/>
  <c r="HU6" i="38" s="1"/>
  <c r="HT6" i="38" s="1"/>
  <c r="P7" i="38"/>
  <c r="IE7" i="38"/>
  <c r="ID7" i="38" s="1"/>
  <c r="IC7" i="38" s="1"/>
  <c r="IB7" i="38" s="1"/>
  <c r="IA7" i="38" s="1"/>
  <c r="HZ7" i="38" s="1"/>
  <c r="HY7" i="38" s="1"/>
  <c r="HX7" i="38" s="1"/>
  <c r="HW7" i="38" s="1"/>
  <c r="HV7" i="38" s="1"/>
  <c r="HU7" i="38" s="1"/>
  <c r="HT7" i="38" s="1"/>
  <c r="QA46" i="38"/>
  <c r="PZ46" i="38" s="1"/>
  <c r="PY46" i="38" s="1"/>
  <c r="QE46" i="38"/>
  <c r="QD46" i="38" s="1"/>
  <c r="QC46" i="38" s="1"/>
  <c r="AY8" i="38"/>
  <c r="HO8" i="38"/>
  <c r="F17" i="58" s="1"/>
  <c r="HO9" i="38"/>
  <c r="F18" i="58" s="1"/>
  <c r="KS9" i="38"/>
  <c r="EL11" i="38"/>
  <c r="EL12" i="38"/>
  <c r="EL6" i="38"/>
  <c r="KT6" i="38"/>
  <c r="EL7" i="38"/>
  <c r="KT7" i="38"/>
  <c r="KS8" i="38"/>
  <c r="QO9" i="38"/>
  <c r="HO10" i="38"/>
  <c r="F19" i="58" s="1"/>
  <c r="QN10" i="38"/>
  <c r="QA51" i="38"/>
  <c r="PZ51" i="38" s="1"/>
  <c r="PY51" i="38" s="1"/>
  <c r="QN7" i="38"/>
  <c r="AY10" i="38"/>
  <c r="KS10" i="38"/>
  <c r="HO11" i="38"/>
  <c r="F20" i="58" s="1"/>
  <c r="HO12" i="38"/>
  <c r="F21" i="58" s="1"/>
  <c r="QO5" i="38"/>
  <c r="R8" i="38"/>
  <c r="S8" i="38" s="1"/>
  <c r="FE8" i="38"/>
  <c r="QO8" i="38"/>
  <c r="AY9" i="38"/>
  <c r="FE9" i="38"/>
  <c r="PZ48" i="38"/>
  <c r="PY48" i="38" s="1"/>
  <c r="AY11" i="38"/>
  <c r="KS11" i="38"/>
  <c r="QO11" i="38"/>
  <c r="KS12" i="38"/>
  <c r="R13" i="38"/>
  <c r="S13" i="38" s="1"/>
  <c r="HO6" i="38"/>
  <c r="F15" i="58" s="1"/>
  <c r="KR6" i="38"/>
  <c r="Q7" i="38"/>
  <c r="HO7" i="38"/>
  <c r="F16" i="58" s="1"/>
  <c r="HP8" i="38"/>
  <c r="G17" i="58" s="1"/>
  <c r="AZ10" i="38"/>
  <c r="P11" i="38"/>
  <c r="P12" i="38"/>
  <c r="AY12" i="38"/>
  <c r="KS6" i="38"/>
  <c r="AY7" i="38"/>
  <c r="P6" i="38"/>
  <c r="QO6" i="38"/>
  <c r="QO7" i="38"/>
  <c r="KQ8" i="38"/>
  <c r="R9" i="38"/>
  <c r="S9" i="38" s="1"/>
  <c r="EL10" i="38"/>
  <c r="HP11" i="38"/>
  <c r="G20" i="58" s="1"/>
  <c r="KT11" i="38"/>
  <c r="QN11" i="38"/>
  <c r="Q12" i="38"/>
  <c r="HP12" i="38"/>
  <c r="G21" i="58" s="1"/>
  <c r="KT12" i="38"/>
  <c r="QN12" i="38"/>
  <c r="BS8" i="38"/>
  <c r="U185" i="58" s="1"/>
  <c r="BR8" i="38"/>
  <c r="JA8" i="38"/>
  <c r="I17" i="58" s="1"/>
  <c r="JS8" i="38"/>
  <c r="JR8" i="38" s="1"/>
  <c r="JQ8" i="38" s="1"/>
  <c r="JP8" i="38" s="1"/>
  <c r="JO8" i="38" s="1"/>
  <c r="JN8" i="38" s="1"/>
  <c r="JM8" i="38" s="1"/>
  <c r="JL8" i="38" s="1"/>
  <c r="JK8" i="38" s="1"/>
  <c r="JJ8" i="38" s="1"/>
  <c r="JI8" i="38" s="1"/>
  <c r="JH8" i="38" s="1"/>
  <c r="HS6" i="38"/>
  <c r="HR6" i="38" s="1"/>
  <c r="HS7" i="38"/>
  <c r="HR7" i="38" s="1"/>
  <c r="JG8" i="38"/>
  <c r="JF8" i="38" s="1"/>
  <c r="SR5" i="38"/>
  <c r="HS23" i="38"/>
  <c r="HR23" i="38" s="1"/>
  <c r="IH23" i="38"/>
  <c r="HS22" i="38"/>
  <c r="HR22" i="38" s="1"/>
  <c r="IH22" i="38"/>
  <c r="AZ6" i="38"/>
  <c r="HP6" i="38"/>
  <c r="G15" i="58" s="1"/>
  <c r="HP7" i="38"/>
  <c r="G16" i="58" s="1"/>
  <c r="KR7" i="38"/>
  <c r="HP9" i="38"/>
  <c r="G18" i="58" s="1"/>
  <c r="KR9" i="38"/>
  <c r="QN9" i="38"/>
  <c r="IF10" i="38"/>
  <c r="IE10" i="38" s="1"/>
  <c r="ID10" i="38" s="1"/>
  <c r="IC10" i="38" s="1"/>
  <c r="IB10" i="38" s="1"/>
  <c r="IA10" i="38" s="1"/>
  <c r="HZ10" i="38" s="1"/>
  <c r="HY10" i="38" s="1"/>
  <c r="HX10" i="38" s="1"/>
  <c r="HW10" i="38" s="1"/>
  <c r="HV10" i="38" s="1"/>
  <c r="HU10" i="38" s="1"/>
  <c r="HT10" i="38" s="1"/>
  <c r="KT10" i="38"/>
  <c r="R11" i="38"/>
  <c r="R12" i="38"/>
  <c r="NB8" i="38"/>
  <c r="NI8" i="38" s="1"/>
  <c r="NJ36" i="38"/>
  <c r="KQ6" i="38"/>
  <c r="JB8" i="38"/>
  <c r="J17" i="58" s="1"/>
  <c r="PZ47" i="38"/>
  <c r="PY47" i="38" s="1"/>
  <c r="QE47" i="38"/>
  <c r="QD47" i="38" s="1"/>
  <c r="QC47" i="38" s="1"/>
  <c r="HS17" i="38"/>
  <c r="HR17" i="38" s="1"/>
  <c r="IH17" i="38"/>
  <c r="HS16" i="38"/>
  <c r="HR16" i="38" s="1"/>
  <c r="IH16" i="38"/>
  <c r="EL9" i="38"/>
  <c r="FE11" i="38"/>
  <c r="FE12" i="38"/>
  <c r="II13" i="38"/>
  <c r="JW26" i="38"/>
  <c r="JV26" i="38" s="1"/>
  <c r="HS20" i="38"/>
  <c r="HR20" i="38" s="1"/>
  <c r="IH20" i="38"/>
  <c r="HS24" i="38"/>
  <c r="HR24" i="38" s="1"/>
  <c r="IH24" i="38"/>
  <c r="HS14" i="38"/>
  <c r="HR14" i="38" s="1"/>
  <c r="IH14" i="38"/>
  <c r="IB8" i="38"/>
  <c r="IA8" i="38" s="1"/>
  <c r="HZ8" i="38" s="1"/>
  <c r="HY8" i="38" s="1"/>
  <c r="HX8" i="38" s="1"/>
  <c r="HW8" i="38" s="1"/>
  <c r="HV8" i="38" s="1"/>
  <c r="HU8" i="38" s="1"/>
  <c r="HT8" i="38" s="1"/>
  <c r="HS8" i="38" s="1"/>
  <c r="HR8" i="38" s="1"/>
  <c r="IA11" i="38"/>
  <c r="HZ11" i="38" s="1"/>
  <c r="HY11" i="38" s="1"/>
  <c r="HX11" i="38" s="1"/>
  <c r="HW11" i="38" s="1"/>
  <c r="HV11" i="38" s="1"/>
  <c r="HU11" i="38" s="1"/>
  <c r="HT11" i="38" s="1"/>
  <c r="IA12" i="38"/>
  <c r="HZ12" i="38" s="1"/>
  <c r="HY12" i="38" s="1"/>
  <c r="HX12" i="38" s="1"/>
  <c r="HW12" i="38" s="1"/>
  <c r="HV12" i="38" s="1"/>
  <c r="HU12" i="38" s="1"/>
  <c r="HT12" i="38" s="1"/>
  <c r="NJ8" i="38"/>
  <c r="QP8" i="38"/>
  <c r="JW24" i="38"/>
  <c r="JV24" i="38" s="1"/>
  <c r="S18" i="38"/>
  <c r="QD44" i="38"/>
  <c r="QC44" i="38" s="1"/>
  <c r="QA44" i="38" s="1"/>
  <c r="QN5" i="38"/>
  <c r="F505" i="58" s="1"/>
  <c r="QP7" i="38"/>
  <c r="KT36" i="38"/>
  <c r="R10" i="38"/>
  <c r="QE50" i="38"/>
  <c r="QD50" i="38" s="1"/>
  <c r="QC50" i="38" s="1"/>
  <c r="QA50" i="38" s="1"/>
  <c r="PZ50" i="38" s="1"/>
  <c r="PY50" i="38" s="1"/>
  <c r="QE49" i="38" s="1"/>
  <c r="QD49" i="38" s="1"/>
  <c r="QC49" i="38" s="1"/>
  <c r="QA49" i="38" s="1"/>
  <c r="PZ49" i="38" s="1"/>
  <c r="PY49" i="38" s="1"/>
  <c r="QC48" i="38" s="1"/>
  <c r="HS25" i="38"/>
  <c r="IH25" i="38"/>
  <c r="HS15" i="38"/>
  <c r="HR15" i="38" s="1"/>
  <c r="IH15" i="38"/>
  <c r="FE6" i="38"/>
  <c r="FE7" i="38"/>
  <c r="CL8" i="38"/>
  <c r="KT9" i="38"/>
  <c r="QP9" i="38"/>
  <c r="S20" i="38"/>
  <c r="P8" i="38"/>
  <c r="CK8" i="38"/>
  <c r="EL8" i="38"/>
  <c r="IE9" i="38"/>
  <c r="ID9" i="38" s="1"/>
  <c r="IC9" i="38" s="1"/>
  <c r="IB9" i="38" s="1"/>
  <c r="IA9" i="38" s="1"/>
  <c r="HZ9" i="38" s="1"/>
  <c r="HY9" i="38" s="1"/>
  <c r="HX9" i="38" s="1"/>
  <c r="HW9" i="38" s="1"/>
  <c r="HV9" i="38" s="1"/>
  <c r="HU9" i="38" s="1"/>
  <c r="HT9" i="38" s="1"/>
  <c r="P10" i="38"/>
  <c r="FE10" i="38"/>
  <c r="II24" i="38"/>
  <c r="OM5" i="38"/>
  <c r="OL5" i="38"/>
  <c r="NB5" i="38"/>
  <c r="NA5" i="38"/>
  <c r="MZ5" i="38"/>
  <c r="MY5" i="38"/>
  <c r="MX5" i="38"/>
  <c r="MW5" i="38"/>
  <c r="MV5" i="38"/>
  <c r="MU5" i="38"/>
  <c r="MT5" i="38"/>
  <c r="MS5" i="38"/>
  <c r="MR5" i="38"/>
  <c r="MP5" i="38"/>
  <c r="MO5" i="38"/>
  <c r="KO5" i="38"/>
  <c r="KN5" i="38"/>
  <c r="KM5" i="38"/>
  <c r="KL5" i="38"/>
  <c r="KK5" i="38"/>
  <c r="KJ5" i="38"/>
  <c r="KI5" i="38"/>
  <c r="KH5" i="38"/>
  <c r="KG5" i="38"/>
  <c r="KF5" i="38"/>
  <c r="KE5" i="38"/>
  <c r="KD5" i="38"/>
  <c r="KC5" i="38"/>
  <c r="KB5" i="38"/>
  <c r="KA5" i="38"/>
  <c r="HM5" i="38"/>
  <c r="H14" i="58" s="1"/>
  <c r="HL5" i="38"/>
  <c r="HK5" i="38"/>
  <c r="HJ5" i="38"/>
  <c r="HI5" i="38"/>
  <c r="HH5" i="38"/>
  <c r="HG5" i="38"/>
  <c r="HF5" i="38"/>
  <c r="HE5" i="38"/>
  <c r="HD5" i="38"/>
  <c r="HC5" i="38"/>
  <c r="HB5" i="38"/>
  <c r="HA5" i="38"/>
  <c r="GZ5" i="38"/>
  <c r="GY5" i="38"/>
  <c r="FB5" i="38"/>
  <c r="FF5" i="38" s="1"/>
  <c r="EK5" i="38"/>
  <c r="EK29" i="38" s="1"/>
  <c r="EF5" i="38"/>
  <c r="DI5" i="38"/>
  <c r="DH5" i="38"/>
  <c r="DG5" i="38"/>
  <c r="AW5" i="38"/>
  <c r="AV5" i="38"/>
  <c r="AU5" i="38"/>
  <c r="AT5" i="38"/>
  <c r="AS5" i="38"/>
  <c r="AR5" i="38"/>
  <c r="AQ5" i="38"/>
  <c r="AO5" i="38"/>
  <c r="AN5" i="38"/>
  <c r="AM5" i="38"/>
  <c r="AK5" i="38"/>
  <c r="AJ5" i="38" s="1"/>
  <c r="AI5" i="38"/>
  <c r="AH5" i="38"/>
  <c r="AG5" i="38"/>
  <c r="AF5" i="38"/>
  <c r="AE5" i="38"/>
  <c r="AD5" i="38"/>
  <c r="AC5" i="38"/>
  <c r="AB5" i="38" s="1"/>
  <c r="AA5" i="38" s="1"/>
  <c r="Z5" i="38"/>
  <c r="Y5" i="38" s="1"/>
  <c r="X5" i="38"/>
  <c r="W5" i="38"/>
  <c r="N5" i="38"/>
  <c r="M5" i="38"/>
  <c r="M32" i="38" s="1"/>
  <c r="L5" i="38"/>
  <c r="L32" i="38" s="1"/>
  <c r="K5" i="38"/>
  <c r="K32" i="38" s="1"/>
  <c r="J5" i="38"/>
  <c r="J32" i="38" s="1"/>
  <c r="I5" i="38"/>
  <c r="I32" i="38" s="1"/>
  <c r="H5" i="38"/>
  <c r="G5" i="38"/>
  <c r="GE1" i="38"/>
  <c r="T422" i="43"/>
  <c r="S422" i="43"/>
  <c r="S423" i="43" s="1"/>
  <c r="T421" i="43"/>
  <c r="T423" i="43" s="1"/>
  <c r="S421" i="43"/>
  <c r="V409" i="43"/>
  <c r="U409" i="43"/>
  <c r="T409" i="43"/>
  <c r="S409" i="43"/>
  <c r="R409" i="43"/>
  <c r="U403" i="43"/>
  <c r="V402" i="43"/>
  <c r="U402" i="43"/>
  <c r="T402" i="43"/>
  <c r="S402" i="43"/>
  <c r="R402" i="43"/>
  <c r="M402" i="43"/>
  <c r="M403" i="43" s="1"/>
  <c r="L402" i="43"/>
  <c r="L403" i="43" s="1"/>
  <c r="K402" i="43"/>
  <c r="K403" i="43" s="1"/>
  <c r="N397" i="43"/>
  <c r="M397" i="43"/>
  <c r="L397" i="43"/>
  <c r="K397" i="43"/>
  <c r="G395" i="43"/>
  <c r="F395" i="43"/>
  <c r="E395" i="43"/>
  <c r="N392" i="43"/>
  <c r="M392" i="43"/>
  <c r="L392" i="43"/>
  <c r="K392" i="43"/>
  <c r="L383" i="43"/>
  <c r="K383" i="43"/>
  <c r="N378" i="43"/>
  <c r="M378" i="43"/>
  <c r="L378" i="43"/>
  <c r="K378" i="43"/>
  <c r="J378" i="43"/>
  <c r="N377" i="43"/>
  <c r="M377" i="43"/>
  <c r="L377" i="43"/>
  <c r="K377" i="43"/>
  <c r="J377" i="43"/>
  <c r="L376" i="43"/>
  <c r="K376" i="43"/>
  <c r="K384" i="43" s="1"/>
  <c r="N374" i="43"/>
  <c r="N383" i="43" s="1"/>
  <c r="M374" i="43"/>
  <c r="M376" i="43" s="1"/>
  <c r="L374" i="43"/>
  <c r="L382" i="43" s="1"/>
  <c r="K374" i="43"/>
  <c r="K382" i="43" s="1"/>
  <c r="J374" i="43"/>
  <c r="N366" i="43"/>
  <c r="N367" i="43" s="1"/>
  <c r="M366" i="43"/>
  <c r="M367" i="43" s="1"/>
  <c r="L367" i="43" s="1"/>
  <c r="K367" i="43" s="1"/>
  <c r="L366" i="43"/>
  <c r="L368" i="43" s="1"/>
  <c r="K366" i="43"/>
  <c r="K368" i="43" s="1"/>
  <c r="J366" i="43"/>
  <c r="J367" i="43" s="1"/>
  <c r="N358" i="43"/>
  <c r="M358" i="43"/>
  <c r="L358" i="43"/>
  <c r="K358" i="43"/>
  <c r="O358" i="43" s="1"/>
  <c r="N357" i="43"/>
  <c r="M357" i="43"/>
  <c r="L357" i="43"/>
  <c r="K357" i="43"/>
  <c r="O357" i="43" s="1"/>
  <c r="M356" i="43"/>
  <c r="S354" i="43"/>
  <c r="L350" i="43" s="1"/>
  <c r="L356" i="43" s="1"/>
  <c r="R354" i="43"/>
  <c r="H353" i="43"/>
  <c r="G353" i="43"/>
  <c r="F353" i="43"/>
  <c r="E353" i="43"/>
  <c r="S352" i="43"/>
  <c r="R352" i="43"/>
  <c r="H352" i="43"/>
  <c r="G352" i="43"/>
  <c r="F352" i="43"/>
  <c r="E352" i="43"/>
  <c r="M350" i="43"/>
  <c r="K350" i="43"/>
  <c r="N348" i="43"/>
  <c r="M348" i="43"/>
  <c r="L348" i="43"/>
  <c r="K348" i="43"/>
  <c r="S345" i="43"/>
  <c r="S350" i="43" s="1"/>
  <c r="R345" i="43"/>
  <c r="V338" i="43"/>
  <c r="S338" i="43"/>
  <c r="R338" i="43"/>
  <c r="U336" i="43"/>
  <c r="T336" i="43"/>
  <c r="T338" i="43" s="1"/>
  <c r="N336" i="43"/>
  <c r="M336" i="43" s="1"/>
  <c r="K336" i="43"/>
  <c r="J336" i="43"/>
  <c r="T331" i="43"/>
  <c r="T330" i="43"/>
  <c r="S330" i="43"/>
  <c r="R330" i="43"/>
  <c r="R331" i="43" s="1"/>
  <c r="H328" i="43"/>
  <c r="G328" i="43"/>
  <c r="F328" i="43"/>
  <c r="E328" i="43"/>
  <c r="N327" i="43"/>
  <c r="M327" i="43"/>
  <c r="L327" i="43"/>
  <c r="K327" i="43"/>
  <c r="V316" i="43"/>
  <c r="U316" i="43"/>
  <c r="T316" i="43"/>
  <c r="S316" i="43"/>
  <c r="R316" i="43"/>
  <c r="T314" i="43"/>
  <c r="S314" i="43"/>
  <c r="R314" i="43"/>
  <c r="T308" i="43"/>
  <c r="S308" i="43"/>
  <c r="R308" i="43"/>
  <c r="V300" i="43"/>
  <c r="V302" i="43" s="1"/>
  <c r="U300" i="43"/>
  <c r="U302" i="43" s="1"/>
  <c r="T300" i="43"/>
  <c r="T302" i="43" s="1"/>
  <c r="S300" i="43"/>
  <c r="S302" i="43" s="1"/>
  <c r="R302" i="43" s="1"/>
  <c r="R300" i="43"/>
  <c r="N286" i="43"/>
  <c r="M286" i="43"/>
  <c r="L286" i="43"/>
  <c r="K286" i="43"/>
  <c r="N281" i="43"/>
  <c r="M281" i="43"/>
  <c r="L281" i="43"/>
  <c r="K281" i="43"/>
  <c r="V277" i="43"/>
  <c r="U277" i="43"/>
  <c r="U273" i="43" s="1"/>
  <c r="T277" i="43"/>
  <c r="S277" i="43"/>
  <c r="S275" i="43" s="1"/>
  <c r="R277" i="43"/>
  <c r="T275" i="43"/>
  <c r="T273" i="43"/>
  <c r="S273" i="43"/>
  <c r="V268" i="43"/>
  <c r="U268" i="43"/>
  <c r="U262" i="43" s="1"/>
  <c r="T268" i="43"/>
  <c r="S268" i="43"/>
  <c r="S266" i="43" s="1"/>
  <c r="R268" i="43"/>
  <c r="U264" i="43"/>
  <c r="T264" i="43"/>
  <c r="S264" i="43" s="1"/>
  <c r="M264" i="43"/>
  <c r="N263" i="43"/>
  <c r="N264" i="43" s="1"/>
  <c r="M263" i="43"/>
  <c r="L263" i="43"/>
  <c r="K263" i="43"/>
  <c r="K264" i="43" s="1"/>
  <c r="J263" i="43"/>
  <c r="J264" i="43" s="1"/>
  <c r="T262" i="43"/>
  <c r="L275" i="43" s="1"/>
  <c r="K275" i="43" s="1"/>
  <c r="S262" i="43"/>
  <c r="M261" i="43"/>
  <c r="N260" i="43"/>
  <c r="N261" i="43" s="1"/>
  <c r="M260" i="43"/>
  <c r="L260" i="43"/>
  <c r="K260" i="43"/>
  <c r="K261" i="43" s="1"/>
  <c r="J260" i="43"/>
  <c r="J261" i="43" s="1"/>
  <c r="V259" i="43"/>
  <c r="U259" i="43"/>
  <c r="T259" i="43"/>
  <c r="S259" i="43"/>
  <c r="S253" i="43" s="1"/>
  <c r="R259" i="43"/>
  <c r="R257" i="43" s="1"/>
  <c r="M258" i="43"/>
  <c r="U257" i="43"/>
  <c r="T257" i="43"/>
  <c r="N257" i="43"/>
  <c r="N258" i="43" s="1"/>
  <c r="M257" i="43"/>
  <c r="L257" i="43"/>
  <c r="K257" i="43"/>
  <c r="K258" i="43" s="1"/>
  <c r="J257" i="43"/>
  <c r="V255" i="43"/>
  <c r="U255" i="43"/>
  <c r="T255" i="43"/>
  <c r="S255" i="43"/>
  <c r="R255" i="43" s="1"/>
  <c r="V253" i="43"/>
  <c r="U253" i="43" s="1"/>
  <c r="T253" i="43" s="1"/>
  <c r="L274" i="43" s="1"/>
  <c r="V250" i="43"/>
  <c r="U250" i="43"/>
  <c r="U246" i="43" s="1"/>
  <c r="T250" i="43"/>
  <c r="S250" i="43"/>
  <c r="R250" i="43"/>
  <c r="R246" i="43" s="1"/>
  <c r="N249" i="43"/>
  <c r="M249" i="43"/>
  <c r="L249" i="43"/>
  <c r="K249" i="43"/>
  <c r="O249" i="43" s="1"/>
  <c r="J249" i="43"/>
  <c r="U248" i="43"/>
  <c r="T248" i="43" s="1"/>
  <c r="S248" i="43"/>
  <c r="N247" i="43"/>
  <c r="M247" i="43"/>
  <c r="L247" i="43"/>
  <c r="K247" i="43"/>
  <c r="T246" i="43"/>
  <c r="S246" i="43"/>
  <c r="T244" i="43"/>
  <c r="S244" i="43" s="1"/>
  <c r="L234" i="43"/>
  <c r="K234" i="43"/>
  <c r="N233" i="43"/>
  <c r="M233" i="43"/>
  <c r="M234" i="43" s="1"/>
  <c r="L233" i="43"/>
  <c r="K233" i="43"/>
  <c r="O233" i="43" s="1"/>
  <c r="N232" i="43"/>
  <c r="M232" i="43"/>
  <c r="L232" i="43"/>
  <c r="K232" i="43"/>
  <c r="N226" i="43"/>
  <c r="M226" i="43"/>
  <c r="L226" i="43"/>
  <c r="K226" i="43"/>
  <c r="M225" i="43"/>
  <c r="L225" i="43"/>
  <c r="K225" i="43"/>
  <c r="M224" i="43"/>
  <c r="L224" i="43"/>
  <c r="K224" i="43"/>
  <c r="N234" i="43" l="1"/>
  <c r="O234" i="43"/>
  <c r="R266" i="43"/>
  <c r="V264" i="43" s="1"/>
  <c r="R262" i="43"/>
  <c r="R275" i="43"/>
  <c r="R271" i="43"/>
  <c r="L384" i="43"/>
  <c r="V244" i="43"/>
  <c r="U244" i="43" s="1"/>
  <c r="V248" i="43"/>
  <c r="R273" i="43"/>
  <c r="O281" i="43"/>
  <c r="R244" i="43"/>
  <c r="L264" i="43"/>
  <c r="O264" i="43" s="1"/>
  <c r="L261" i="43"/>
  <c r="O261" i="43" s="1"/>
  <c r="L258" i="43"/>
  <c r="K274" i="43"/>
  <c r="J383" i="43"/>
  <c r="O383" i="43" s="1"/>
  <c r="J376" i="43"/>
  <c r="J382" i="43"/>
  <c r="J258" i="43"/>
  <c r="O257" i="43"/>
  <c r="V266" i="43"/>
  <c r="U266" i="43" s="1"/>
  <c r="T266" i="43" s="1"/>
  <c r="V262" i="43"/>
  <c r="N275" i="43" s="1"/>
  <c r="M275" i="43" s="1"/>
  <c r="V273" i="43"/>
  <c r="V271" i="43"/>
  <c r="N276" i="43" s="1"/>
  <c r="M276" i="43" s="1"/>
  <c r="J368" i="43"/>
  <c r="V246" i="43"/>
  <c r="R248" i="43"/>
  <c r="S257" i="43"/>
  <c r="R264" i="43"/>
  <c r="N274" i="43"/>
  <c r="J327" i="43"/>
  <c r="N324" i="43" s="1"/>
  <c r="M324" i="43" s="1"/>
  <c r="L324" i="43" s="1"/>
  <c r="K324" i="43" s="1"/>
  <c r="S331" i="43"/>
  <c r="S332" i="43" s="1"/>
  <c r="L336" i="43"/>
  <c r="N376" i="43"/>
  <c r="M382" i="43"/>
  <c r="N382" i="43"/>
  <c r="O232" i="43"/>
  <c r="R253" i="43"/>
  <c r="T332" i="43"/>
  <c r="K375" i="43"/>
  <c r="J375" i="43" s="1"/>
  <c r="M383" i="43"/>
  <c r="U271" i="43"/>
  <c r="T271" i="43" s="1"/>
  <c r="M274" i="43"/>
  <c r="K356" i="43"/>
  <c r="L375" i="43"/>
  <c r="IH7" i="38"/>
  <c r="P511" i="58"/>
  <c r="I59" i="58"/>
  <c r="AK59" i="58" s="1"/>
  <c r="I135" i="58"/>
  <c r="P501" i="58"/>
  <c r="L33" i="58"/>
  <c r="I199" i="58"/>
  <c r="L35" i="58"/>
  <c r="I137" i="58"/>
  <c r="I167" i="58"/>
  <c r="F511" i="58"/>
  <c r="F192" i="58"/>
  <c r="F124" i="58"/>
  <c r="F157" i="58"/>
  <c r="F48" i="58"/>
  <c r="AJ48" i="58" s="1"/>
  <c r="AJ96" i="58"/>
  <c r="F495" i="58"/>
  <c r="F52" i="58"/>
  <c r="AJ52" i="58" s="1"/>
  <c r="F172" i="58"/>
  <c r="F141" i="58"/>
  <c r="F184" i="58"/>
  <c r="F136" i="58"/>
  <c r="F51" i="58"/>
  <c r="AJ51" i="58" s="1"/>
  <c r="F164" i="58"/>
  <c r="F188" i="58"/>
  <c r="F497" i="58"/>
  <c r="AJ74" i="58"/>
  <c r="H193" i="58"/>
  <c r="H125" i="58"/>
  <c r="H155" i="58"/>
  <c r="H4" i="58"/>
  <c r="H5" i="58"/>
  <c r="H55" i="58"/>
  <c r="G41" i="58"/>
  <c r="G190" i="58"/>
  <c r="G121" i="58"/>
  <c r="G153" i="58"/>
  <c r="G168" i="58"/>
  <c r="G62" i="58"/>
  <c r="G185" i="58"/>
  <c r="G139" i="58"/>
  <c r="F189" i="58"/>
  <c r="F43" i="58"/>
  <c r="AJ43" i="58" s="1"/>
  <c r="F129" i="58"/>
  <c r="F160" i="58"/>
  <c r="AJ82" i="58"/>
  <c r="F56" i="58"/>
  <c r="AJ56" i="58" s="1"/>
  <c r="F203" i="58"/>
  <c r="F127" i="58"/>
  <c r="F159" i="58"/>
  <c r="F490" i="58"/>
  <c r="F494" i="58"/>
  <c r="AJ87" i="58"/>
  <c r="K61" i="58"/>
  <c r="K182" i="58"/>
  <c r="K170" i="58"/>
  <c r="K137" i="58"/>
  <c r="P498" i="58"/>
  <c r="I182" i="58"/>
  <c r="G141" i="58"/>
  <c r="G172" i="58"/>
  <c r="G184" i="58"/>
  <c r="G52" i="58"/>
  <c r="AJ83" i="58"/>
  <c r="F41" i="58"/>
  <c r="AJ41" i="58" s="1"/>
  <c r="F121" i="58"/>
  <c r="F190" i="58"/>
  <c r="F153" i="58"/>
  <c r="H48" i="58"/>
  <c r="H157" i="58"/>
  <c r="H192" i="58"/>
  <c r="H124" i="58"/>
  <c r="F498" i="58"/>
  <c r="H43" i="58"/>
  <c r="H160" i="58"/>
  <c r="H129" i="58"/>
  <c r="H189" i="58"/>
  <c r="G129" i="58"/>
  <c r="G160" i="58"/>
  <c r="G43" i="58"/>
  <c r="G189" i="58"/>
  <c r="G164" i="58"/>
  <c r="G51" i="58"/>
  <c r="G188" i="58"/>
  <c r="G136" i="58"/>
  <c r="G157" i="58"/>
  <c r="G124" i="58"/>
  <c r="G192" i="58"/>
  <c r="G48" i="58"/>
  <c r="AJ77" i="58"/>
  <c r="AJ89" i="58"/>
  <c r="F501" i="58"/>
  <c r="F62" i="58"/>
  <c r="AJ62" i="58" s="1"/>
  <c r="F185" i="58"/>
  <c r="F139" i="58"/>
  <c r="F168" i="58"/>
  <c r="G56" i="58"/>
  <c r="G127" i="58"/>
  <c r="G159" i="58"/>
  <c r="G203" i="58"/>
  <c r="H172" i="58"/>
  <c r="H184" i="58"/>
  <c r="H141" i="58"/>
  <c r="H52" i="58"/>
  <c r="H168" i="58"/>
  <c r="H139" i="58"/>
  <c r="H185" i="58"/>
  <c r="H62" i="58"/>
  <c r="H121" i="58"/>
  <c r="H41" i="58"/>
  <c r="H153" i="58"/>
  <c r="H190" i="58"/>
  <c r="H136" i="58"/>
  <c r="H164" i="58"/>
  <c r="H51" i="58"/>
  <c r="H188" i="58"/>
  <c r="IH6" i="38"/>
  <c r="P495" i="58"/>
  <c r="I61" i="58"/>
  <c r="AK61" i="58" s="1"/>
  <c r="P494" i="58"/>
  <c r="JC13" i="38"/>
  <c r="D13" i="47" s="1"/>
  <c r="K185" i="58"/>
  <c r="K62" i="58"/>
  <c r="K139" i="58"/>
  <c r="K168" i="58"/>
  <c r="J168" i="58"/>
  <c r="J62" i="58"/>
  <c r="J185" i="58"/>
  <c r="J139" i="58"/>
  <c r="I138" i="58"/>
  <c r="L22" i="58"/>
  <c r="I186" i="58"/>
  <c r="I57" i="58"/>
  <c r="AK57" i="58" s="1"/>
  <c r="I171" i="58"/>
  <c r="J138" i="58"/>
  <c r="J186" i="58"/>
  <c r="J57" i="58"/>
  <c r="J171" i="58"/>
  <c r="SV5" i="38"/>
  <c r="SU5" i="38"/>
  <c r="ST5" i="38"/>
  <c r="QO30" i="38"/>
  <c r="QO32" i="38"/>
  <c r="QO29" i="38"/>
  <c r="JV8" i="38"/>
  <c r="SR29" i="38"/>
  <c r="SR32" i="38"/>
  <c r="SR30" i="38"/>
  <c r="QP29" i="38"/>
  <c r="QN30" i="38"/>
  <c r="QN32" i="38"/>
  <c r="QP30" i="38"/>
  <c r="QN29" i="38"/>
  <c r="QP32" i="38"/>
  <c r="HO32" i="38"/>
  <c r="KA32" i="38"/>
  <c r="KA29" i="38"/>
  <c r="KA30" i="38"/>
  <c r="KI30" i="38"/>
  <c r="KI32" i="38"/>
  <c r="KI29" i="38"/>
  <c r="MP29" i="38"/>
  <c r="MP30" i="38"/>
  <c r="MP32" i="38"/>
  <c r="KC29" i="38"/>
  <c r="KC30" i="38"/>
  <c r="KC32" i="38"/>
  <c r="KG29" i="38"/>
  <c r="KG30" i="38"/>
  <c r="KG32" i="38"/>
  <c r="KK29" i="38"/>
  <c r="KK30" i="38"/>
  <c r="KK32" i="38"/>
  <c r="KO29" i="38"/>
  <c r="KO30" i="38"/>
  <c r="KO32" i="38"/>
  <c r="MS29" i="38"/>
  <c r="MS30" i="38"/>
  <c r="MS32" i="38"/>
  <c r="MW29" i="38"/>
  <c r="MW30" i="38"/>
  <c r="MW32" i="38"/>
  <c r="HO31" i="38"/>
  <c r="KE30" i="38"/>
  <c r="KE32" i="38"/>
  <c r="KE29" i="38"/>
  <c r="KM30" i="38"/>
  <c r="KM32" i="38"/>
  <c r="KM29" i="38"/>
  <c r="MU30" i="38"/>
  <c r="MU32" i="38"/>
  <c r="MU29" i="38"/>
  <c r="KD29" i="38"/>
  <c r="KD30" i="38"/>
  <c r="KD32" i="38"/>
  <c r="KH29" i="38"/>
  <c r="KH30" i="38"/>
  <c r="KH32" i="38"/>
  <c r="KL29" i="38"/>
  <c r="KL30" i="38"/>
  <c r="KL32" i="38"/>
  <c r="MO29" i="38"/>
  <c r="MO30" i="38"/>
  <c r="MO32" i="38"/>
  <c r="MT30" i="38"/>
  <c r="MT32" i="38"/>
  <c r="MT29" i="38"/>
  <c r="KB30" i="38"/>
  <c r="KB29" i="38"/>
  <c r="KB32" i="38"/>
  <c r="KF30" i="38"/>
  <c r="KF29" i="38"/>
  <c r="KF32" i="38"/>
  <c r="KJ30" i="38"/>
  <c r="KJ29" i="38"/>
  <c r="KJ32" i="38"/>
  <c r="KN30" i="38"/>
  <c r="KN29" i="38"/>
  <c r="KN32" i="38"/>
  <c r="MR30" i="38"/>
  <c r="MR32" i="38"/>
  <c r="MR29" i="38"/>
  <c r="MV29" i="38"/>
  <c r="MV30" i="38"/>
  <c r="MV32" i="38"/>
  <c r="HA29" i="38"/>
  <c r="HA32" i="38"/>
  <c r="HA30" i="38"/>
  <c r="HE29" i="38"/>
  <c r="HE30" i="38"/>
  <c r="HE32" i="38"/>
  <c r="HI29" i="38"/>
  <c r="HI32" i="38"/>
  <c r="HI30" i="38"/>
  <c r="HM29" i="38"/>
  <c r="HM32" i="38"/>
  <c r="HM30" i="38"/>
  <c r="GY29" i="38"/>
  <c r="GY32" i="38"/>
  <c r="GY30" i="38"/>
  <c r="HC29" i="38"/>
  <c r="HC30" i="38"/>
  <c r="HC32" i="38"/>
  <c r="HG29" i="38"/>
  <c r="HG30" i="38"/>
  <c r="HG32" i="38"/>
  <c r="HK29" i="38"/>
  <c r="HK30" i="38"/>
  <c r="HK32" i="38"/>
  <c r="FB29" i="38"/>
  <c r="FB30" i="38"/>
  <c r="FB32" i="38"/>
  <c r="FD5" i="38"/>
  <c r="HB29" i="38"/>
  <c r="HB30" i="38"/>
  <c r="HB32" i="38"/>
  <c r="HF29" i="38"/>
  <c r="HF30" i="38"/>
  <c r="HF32" i="38"/>
  <c r="HJ29" i="38"/>
  <c r="HJ30" i="38"/>
  <c r="HJ32" i="38"/>
  <c r="GZ29" i="38"/>
  <c r="GZ30" i="38"/>
  <c r="GZ32" i="38"/>
  <c r="HD29" i="38"/>
  <c r="HD30" i="38"/>
  <c r="HD32" i="38"/>
  <c r="HH29" i="38"/>
  <c r="HH30" i="38"/>
  <c r="HH32" i="38"/>
  <c r="HL29" i="38"/>
  <c r="HL30" i="38"/>
  <c r="HL32" i="38"/>
  <c r="N29" i="38"/>
  <c r="N32" i="38"/>
  <c r="AQ30" i="38"/>
  <c r="AQ32" i="38"/>
  <c r="AU30" i="38"/>
  <c r="AU32" i="38"/>
  <c r="H29" i="38"/>
  <c r="H32" i="38"/>
  <c r="AT30" i="38"/>
  <c r="AT32" i="38"/>
  <c r="AR30" i="38"/>
  <c r="AR32" i="38"/>
  <c r="AV30" i="38"/>
  <c r="AV32" i="38"/>
  <c r="G29" i="38"/>
  <c r="G32" i="38"/>
  <c r="AS32" i="38"/>
  <c r="AS30" i="38"/>
  <c r="AW29" i="38"/>
  <c r="AW32" i="38"/>
  <c r="AZ32" i="38" s="1"/>
  <c r="AW30" i="38"/>
  <c r="EF29" i="38"/>
  <c r="EF30" i="38"/>
  <c r="EF32" i="38"/>
  <c r="MQ5" i="38"/>
  <c r="K33" i="38"/>
  <c r="K29" i="38"/>
  <c r="AS29" i="38"/>
  <c r="J33" i="38"/>
  <c r="J29" i="38"/>
  <c r="AR33" i="38"/>
  <c r="AR29" i="38"/>
  <c r="AV33" i="38"/>
  <c r="AV29" i="38"/>
  <c r="L33" i="38"/>
  <c r="L29" i="38"/>
  <c r="AT33" i="38"/>
  <c r="AT29" i="38"/>
  <c r="I33" i="38"/>
  <c r="I29" i="38"/>
  <c r="M30" i="38"/>
  <c r="M29" i="38"/>
  <c r="AQ29" i="38"/>
  <c r="AU29" i="38"/>
  <c r="JA47" i="38"/>
  <c r="JD24" i="38"/>
  <c r="KQ5" i="38"/>
  <c r="AQ33" i="38"/>
  <c r="JC8" i="38"/>
  <c r="JD8" i="38" s="1"/>
  <c r="HP5" i="38"/>
  <c r="G14" i="58" s="1"/>
  <c r="KR5" i="38"/>
  <c r="HO5" i="38"/>
  <c r="F14" i="58" s="1"/>
  <c r="KS5" i="38"/>
  <c r="IF5" i="38"/>
  <c r="N33" i="38"/>
  <c r="N30" i="38"/>
  <c r="NH8" i="38"/>
  <c r="NF8" i="38"/>
  <c r="KT5" i="38"/>
  <c r="L30" i="38"/>
  <c r="AS33" i="38"/>
  <c r="FE5" i="38"/>
  <c r="DC26" i="38"/>
  <c r="DB13" i="38"/>
  <c r="DA13" i="38" s="1"/>
  <c r="CZ13" i="38" s="1"/>
  <c r="CY13" i="38" s="1"/>
  <c r="CX13" i="38" s="1"/>
  <c r="CW13" i="38" s="1"/>
  <c r="CV13" i="38" s="1"/>
  <c r="CU13" i="38" s="1"/>
  <c r="CT13" i="38" s="1"/>
  <c r="CS13" i="38" s="1"/>
  <c r="CR13" i="38" s="1"/>
  <c r="CQ13" i="38" s="1"/>
  <c r="DC13" i="38"/>
  <c r="AA22" i="58" s="1"/>
  <c r="DC8" i="38"/>
  <c r="AA17" i="58" s="1"/>
  <c r="CU8" i="38"/>
  <c r="CV8" i="38"/>
  <c r="CW8" i="38"/>
  <c r="CO8" i="38"/>
  <c r="CM8" i="38" s="1"/>
  <c r="CX8" i="38"/>
  <c r="CP8" i="38"/>
  <c r="CY8" i="38"/>
  <c r="CQ8" i="38"/>
  <c r="CZ8" i="38"/>
  <c r="CR8" i="38"/>
  <c r="DA8" i="38"/>
  <c r="CS8" i="38"/>
  <c r="DB8" i="38"/>
  <c r="CT8" i="38"/>
  <c r="HS11" i="38"/>
  <c r="HR11" i="38" s="1"/>
  <c r="IH11" i="38"/>
  <c r="HS10" i="38"/>
  <c r="HR10" i="38" s="1"/>
  <c r="IH10" i="38"/>
  <c r="IC5" i="38"/>
  <c r="HS12" i="38"/>
  <c r="HR12" i="38" s="1"/>
  <c r="IH12" i="38"/>
  <c r="HS9" i="38"/>
  <c r="HR9" i="38" s="1"/>
  <c r="IH9" i="38"/>
  <c r="S11" i="38"/>
  <c r="AZ5" i="38"/>
  <c r="R5" i="38"/>
  <c r="AY5" i="38"/>
  <c r="AY29" i="38" s="1"/>
  <c r="H36" i="38"/>
  <c r="H30" i="38"/>
  <c r="H33" i="38"/>
  <c r="AW33" i="38"/>
  <c r="EI5" i="38"/>
  <c r="EK30" i="38"/>
  <c r="EK32" i="38"/>
  <c r="S12" i="38"/>
  <c r="Q5" i="38"/>
  <c r="Q29" i="38" s="1"/>
  <c r="II8" i="38"/>
  <c r="IH8" i="38" s="1"/>
  <c r="G30" i="38"/>
  <c r="G33" i="38"/>
  <c r="F36" i="38"/>
  <c r="P5" i="38"/>
  <c r="AU33" i="38"/>
  <c r="V222" i="43"/>
  <c r="U222" i="43"/>
  <c r="T222" i="43"/>
  <c r="T223" i="43" s="1"/>
  <c r="S222" i="43"/>
  <c r="T218" i="43"/>
  <c r="S218" i="43"/>
  <c r="V217" i="43"/>
  <c r="U217" i="43"/>
  <c r="V257" i="43" l="1"/>
  <c r="O258" i="43"/>
  <c r="S223" i="43"/>
  <c r="K360" i="43"/>
  <c r="N375" i="43"/>
  <c r="M375" i="43" s="1"/>
  <c r="J384" i="43"/>
  <c r="O376" i="43"/>
  <c r="J275" i="43"/>
  <c r="O275" i="43" s="1"/>
  <c r="S271" i="43"/>
  <c r="K276" i="43" s="1"/>
  <c r="J276" i="43" s="1"/>
  <c r="L276" i="43"/>
  <c r="J274" i="43"/>
  <c r="O274" i="43" s="1"/>
  <c r="O382" i="43"/>
  <c r="I62" i="58"/>
  <c r="AK62" i="58" s="1"/>
  <c r="I185" i="58"/>
  <c r="L135" i="58"/>
  <c r="I168" i="58"/>
  <c r="M35" i="58"/>
  <c r="L170" i="58"/>
  <c r="I139" i="58"/>
  <c r="L167" i="58"/>
  <c r="L59" i="58"/>
  <c r="L17" i="58"/>
  <c r="M17" i="58" s="1"/>
  <c r="L199" i="58"/>
  <c r="L182" i="58"/>
  <c r="L61" i="58"/>
  <c r="L137" i="58"/>
  <c r="M33" i="58"/>
  <c r="M182" i="58" s="1"/>
  <c r="AJ90" i="58"/>
  <c r="G155" i="58"/>
  <c r="G125" i="58"/>
  <c r="G193" i="58"/>
  <c r="G55" i="58"/>
  <c r="F125" i="58"/>
  <c r="F4" i="58"/>
  <c r="F155" i="58"/>
  <c r="F5" i="58"/>
  <c r="F193" i="58"/>
  <c r="F55" i="58"/>
  <c r="AJ55" i="58" s="1"/>
  <c r="JD13" i="38"/>
  <c r="DB26" i="38"/>
  <c r="DA26" i="38" s="1"/>
  <c r="CZ26" i="38" s="1"/>
  <c r="CY26" i="38" s="1"/>
  <c r="CX26" i="38" s="1"/>
  <c r="CW26" i="38" s="1"/>
  <c r="CV26" i="38" s="1"/>
  <c r="CU26" i="38" s="1"/>
  <c r="CT26" i="38" s="1"/>
  <c r="CS26" i="38" s="1"/>
  <c r="CR26" i="38" s="1"/>
  <c r="CQ26" i="38" s="1"/>
  <c r="DE26" i="38" s="1"/>
  <c r="Z35" i="58" s="1"/>
  <c r="AA35" i="58"/>
  <c r="L186" i="58"/>
  <c r="M22" i="58"/>
  <c r="L171" i="58"/>
  <c r="L57" i="58"/>
  <c r="L138" i="58"/>
  <c r="FD30" i="38"/>
  <c r="FF30" i="38"/>
  <c r="FD32" i="38"/>
  <c r="FF32" i="38"/>
  <c r="FD29" i="38"/>
  <c r="FF29" i="38"/>
  <c r="SU32" i="38"/>
  <c r="SV32" i="38"/>
  <c r="ST32" i="38"/>
  <c r="SU30" i="38"/>
  <c r="SV30" i="38"/>
  <c r="ST30" i="38"/>
  <c r="SU29" i="38"/>
  <c r="SV29" i="38"/>
  <c r="ST29" i="38"/>
  <c r="AZ33" i="38"/>
  <c r="JX8" i="38"/>
  <c r="JY8" i="38" s="1"/>
  <c r="F8" i="47" s="1"/>
  <c r="E8" i="47" s="1"/>
  <c r="D8" i="47" s="1"/>
  <c r="KT30" i="38"/>
  <c r="KT32" i="38"/>
  <c r="HP32" i="38"/>
  <c r="KT29" i="38"/>
  <c r="HP30" i="38"/>
  <c r="KQ29" i="38"/>
  <c r="MQ30" i="38"/>
  <c r="MQ32" i="38"/>
  <c r="MQ29" i="38"/>
  <c r="KS29" i="38"/>
  <c r="HO29" i="38"/>
  <c r="KR29" i="38"/>
  <c r="KQ30" i="38"/>
  <c r="HP29" i="38"/>
  <c r="KR30" i="38"/>
  <c r="KQ32" i="38"/>
  <c r="KS30" i="38"/>
  <c r="IC30" i="38"/>
  <c r="IC32" i="38"/>
  <c r="IF32" i="38"/>
  <c r="IF30" i="38"/>
  <c r="KR32" i="38"/>
  <c r="KS32" i="38"/>
  <c r="AZ30" i="38"/>
  <c r="R29" i="38"/>
  <c r="AZ29" i="38"/>
  <c r="FE29" i="38"/>
  <c r="P32" i="38"/>
  <c r="K30" i="38"/>
  <c r="J30" i="38" s="1"/>
  <c r="I30" i="38" s="1"/>
  <c r="P30" i="38" s="1"/>
  <c r="Q30" i="38"/>
  <c r="R30" i="38"/>
  <c r="R32" i="38"/>
  <c r="Q32" i="38"/>
  <c r="AY30" i="38"/>
  <c r="P29" i="38"/>
  <c r="AY32" i="38"/>
  <c r="FE30" i="38"/>
  <c r="EI30" i="38"/>
  <c r="EL30" i="38" s="1"/>
  <c r="EI32" i="38"/>
  <c r="EL32" i="38" s="1"/>
  <c r="FE32" i="38"/>
  <c r="IB5" i="38"/>
  <c r="IC29" i="38"/>
  <c r="IE5" i="38"/>
  <c r="IF29" i="38"/>
  <c r="EH5" i="38"/>
  <c r="EI29" i="38"/>
  <c r="EL29" i="38" s="1"/>
  <c r="HO30" i="38"/>
  <c r="DE8" i="38"/>
  <c r="Z17" i="58" s="1"/>
  <c r="CP13" i="38"/>
  <c r="CO13" i="38" s="1"/>
  <c r="CM13" i="38" s="1"/>
  <c r="DE13" i="38"/>
  <c r="Z22" i="58" s="1"/>
  <c r="M33" i="38"/>
  <c r="R33" i="38"/>
  <c r="T5" i="38" s="1"/>
  <c r="JW8" i="38"/>
  <c r="S5" i="38"/>
  <c r="HS5" i="38"/>
  <c r="NE8" i="38"/>
  <c r="NG8" i="38"/>
  <c r="EL5" i="38"/>
  <c r="CP26" i="38"/>
  <c r="CO26" i="38" s="1"/>
  <c r="CM26" i="38" s="1"/>
  <c r="G36" i="38"/>
  <c r="H37" i="38"/>
  <c r="I37" i="38" s="1"/>
  <c r="I36" i="38"/>
  <c r="G38" i="38"/>
  <c r="G39" i="38"/>
  <c r="F37" i="38"/>
  <c r="G37" i="38" s="1"/>
  <c r="AY33" i="38"/>
  <c r="P33" i="38"/>
  <c r="PY31" i="38" s="1"/>
  <c r="Q33" i="38"/>
  <c r="I39" i="38"/>
  <c r="I38" i="38"/>
  <c r="AE214" i="43"/>
  <c r="H210" i="43"/>
  <c r="G210" i="43"/>
  <c r="F210" i="43"/>
  <c r="E210" i="43"/>
  <c r="H209" i="43"/>
  <c r="G209" i="43"/>
  <c r="E209" i="43"/>
  <c r="F208" i="43"/>
  <c r="N207" i="43" s="1"/>
  <c r="M207" i="43" s="1"/>
  <c r="L207" i="43"/>
  <c r="N206" i="43"/>
  <c r="M206" i="43"/>
  <c r="L206" i="43"/>
  <c r="K206" i="43"/>
  <c r="N204" i="43"/>
  <c r="N203" i="43"/>
  <c r="M203" i="43"/>
  <c r="M204" i="43" s="1"/>
  <c r="L203" i="43"/>
  <c r="L204" i="43" s="1"/>
  <c r="K203" i="43"/>
  <c r="K204" i="43" s="1"/>
  <c r="J203" i="43"/>
  <c r="N200" i="43"/>
  <c r="M200" i="43"/>
  <c r="L200" i="43"/>
  <c r="K200" i="43"/>
  <c r="O200" i="43" s="1"/>
  <c r="O199" i="43"/>
  <c r="O197" i="43"/>
  <c r="O196" i="43"/>
  <c r="S185" i="43"/>
  <c r="S189" i="43" s="1"/>
  <c r="R189" i="43" s="1"/>
  <c r="R185" i="43"/>
  <c r="S184" i="43"/>
  <c r="S186" i="43" s="1"/>
  <c r="R184" i="43"/>
  <c r="R186" i="43" s="1"/>
  <c r="V185" i="43" s="1"/>
  <c r="U185" i="43" s="1"/>
  <c r="T185" i="43" s="1"/>
  <c r="T189" i="43" s="1"/>
  <c r="S180" i="43"/>
  <c r="R180" i="43"/>
  <c r="V179" i="43"/>
  <c r="U179" i="43"/>
  <c r="T179" i="43"/>
  <c r="N179" i="43"/>
  <c r="M179" i="43"/>
  <c r="L179" i="43"/>
  <c r="K179" i="43"/>
  <c r="V178" i="43"/>
  <c r="V180" i="43" s="1"/>
  <c r="U178" i="43"/>
  <c r="U180" i="43" s="1"/>
  <c r="T178" i="43"/>
  <c r="T180" i="43" s="1"/>
  <c r="U168" i="43"/>
  <c r="AQ167" i="43"/>
  <c r="U167" i="43"/>
  <c r="AL166" i="43"/>
  <c r="O204" i="43" l="1"/>
  <c r="V186" i="43"/>
  <c r="R190" i="43"/>
  <c r="V189" i="43" s="1"/>
  <c r="U189" i="43" s="1"/>
  <c r="V184" i="43"/>
  <c r="K207" i="43"/>
  <c r="V210" i="43"/>
  <c r="U210" i="43" s="1"/>
  <c r="T210" i="43" s="1"/>
  <c r="S210" i="43" s="1"/>
  <c r="AE222" i="43"/>
  <c r="AE223" i="43"/>
  <c r="V275" i="43"/>
  <c r="U275" i="43" s="1"/>
  <c r="O276" i="43"/>
  <c r="M137" i="58"/>
  <c r="M135" i="58"/>
  <c r="M170" i="58"/>
  <c r="M61" i="58"/>
  <c r="AL61" i="58" s="1"/>
  <c r="M199" i="58"/>
  <c r="M167" i="58"/>
  <c r="M59" i="58"/>
  <c r="AL59" i="58" s="1"/>
  <c r="L62" i="58"/>
  <c r="L185" i="58"/>
  <c r="L139" i="58"/>
  <c r="L168" i="58"/>
  <c r="M57" i="58"/>
  <c r="AL57" i="58" s="1"/>
  <c r="M171" i="58"/>
  <c r="M186" i="58"/>
  <c r="M138" i="58"/>
  <c r="M185" i="58"/>
  <c r="M62" i="58"/>
  <c r="AL62" i="58" s="1"/>
  <c r="M168" i="58"/>
  <c r="M139" i="58"/>
  <c r="SQ31" i="38"/>
  <c r="SN31" i="38"/>
  <c r="SP31" i="38"/>
  <c r="SG31" i="38"/>
  <c r="SI31" i="38"/>
  <c r="SD31" i="38"/>
  <c r="SE31" i="38"/>
  <c r="SO31" i="38"/>
  <c r="SF31" i="38"/>
  <c r="SH31" i="38"/>
  <c r="SK31" i="38"/>
  <c r="SM31" i="38"/>
  <c r="SJ31" i="38"/>
  <c r="SL31" i="38"/>
  <c r="QF31" i="38"/>
  <c r="QB31" i="38"/>
  <c r="PZ31" i="38"/>
  <c r="QK31" i="38"/>
  <c r="QD31" i="38"/>
  <c r="QE31" i="38"/>
  <c r="QJ31" i="38"/>
  <c r="QL31" i="38"/>
  <c r="KO31" i="38"/>
  <c r="SR31" i="38"/>
  <c r="QA31" i="38"/>
  <c r="QI31" i="38"/>
  <c r="QH31" i="38"/>
  <c r="PX31" i="38"/>
  <c r="QC31" i="38"/>
  <c r="QG31" i="38"/>
  <c r="IB31" i="38"/>
  <c r="IB32" i="38"/>
  <c r="IB30" i="38"/>
  <c r="IE31" i="38"/>
  <c r="IE30" i="38"/>
  <c r="IE32" i="38"/>
  <c r="FA31" i="38"/>
  <c r="KJ31" i="38"/>
  <c r="KG31" i="38"/>
  <c r="MQ31" i="38"/>
  <c r="HH31" i="38"/>
  <c r="KF31" i="38"/>
  <c r="KH31" i="38"/>
  <c r="MS31" i="38"/>
  <c r="HC31" i="38"/>
  <c r="HM31" i="38"/>
  <c r="KE31" i="38"/>
  <c r="KB31" i="38"/>
  <c r="KD31" i="38"/>
  <c r="HA31" i="38"/>
  <c r="KA31" i="38"/>
  <c r="KL31" i="38"/>
  <c r="MW31" i="38"/>
  <c r="MT31" i="38"/>
  <c r="MU31" i="38"/>
  <c r="MR31" i="38"/>
  <c r="HS31" i="38"/>
  <c r="HS32" i="38"/>
  <c r="HS30" i="38"/>
  <c r="MP31" i="38"/>
  <c r="IF31" i="38"/>
  <c r="KI31" i="38"/>
  <c r="EU31" i="38"/>
  <c r="KM31" i="38"/>
  <c r="KC31" i="38"/>
  <c r="EP31" i="38"/>
  <c r="MO31" i="38"/>
  <c r="KN31" i="38"/>
  <c r="IC31" i="38"/>
  <c r="MV31" i="38"/>
  <c r="KK31" i="38"/>
  <c r="ES31" i="38"/>
  <c r="HI31" i="38"/>
  <c r="FB31" i="38"/>
  <c r="HK31" i="38"/>
  <c r="EZ31" i="38"/>
  <c r="ER31" i="38"/>
  <c r="EO31" i="38"/>
  <c r="EN31" i="38"/>
  <c r="GY31" i="38"/>
  <c r="HL31" i="38"/>
  <c r="HB31" i="38"/>
  <c r="HJ31" i="38"/>
  <c r="HF31" i="38"/>
  <c r="HE31" i="38"/>
  <c r="EV31" i="38"/>
  <c r="EX31" i="38"/>
  <c r="HD31" i="38"/>
  <c r="HG31" i="38"/>
  <c r="EY31" i="38"/>
  <c r="EQ31" i="38"/>
  <c r="EW31" i="38"/>
  <c r="ET31" i="38"/>
  <c r="GZ31" i="38"/>
  <c r="AS31" i="38"/>
  <c r="AT31" i="38"/>
  <c r="EI31" i="38"/>
  <c r="AR31" i="38"/>
  <c r="AU31" i="38"/>
  <c r="AV31" i="38"/>
  <c r="AW31" i="38"/>
  <c r="AQ31" i="38"/>
  <c r="EH31" i="38"/>
  <c r="EH32" i="38"/>
  <c r="EH30" i="38"/>
  <c r="EF31" i="38"/>
  <c r="IA5" i="38"/>
  <c r="IB29" i="38"/>
  <c r="HR5" i="38"/>
  <c r="HS29" i="38"/>
  <c r="ID5" i="38"/>
  <c r="IE29" i="38"/>
  <c r="T29" i="38"/>
  <c r="EG5" i="38"/>
  <c r="EH29" i="38"/>
  <c r="T26" i="38"/>
  <c r="T23" i="38"/>
  <c r="T17" i="38"/>
  <c r="T19" i="38"/>
  <c r="T16" i="38"/>
  <c r="T21" i="38"/>
  <c r="T15" i="38"/>
  <c r="T25" i="38"/>
  <c r="T14" i="38"/>
  <c r="T22" i="38"/>
  <c r="T27" i="38"/>
  <c r="T6" i="38"/>
  <c r="T24" i="38"/>
  <c r="T7" i="38"/>
  <c r="T13" i="38"/>
  <c r="T20" i="38"/>
  <c r="T9" i="38"/>
  <c r="T8" i="38"/>
  <c r="T18" i="38"/>
  <c r="T12" i="38"/>
  <c r="T11" i="38"/>
  <c r="T10" i="38"/>
  <c r="EK31" i="38"/>
  <c r="U164" i="43"/>
  <c r="T164" i="43"/>
  <c r="N162" i="43"/>
  <c r="M162" i="43"/>
  <c r="L162" i="43"/>
  <c r="K162" i="43"/>
  <c r="N161" i="43"/>
  <c r="N163" i="43" s="1"/>
  <c r="M161" i="43"/>
  <c r="L161" i="43" s="1"/>
  <c r="K161" i="43"/>
  <c r="M156" i="43"/>
  <c r="L156" i="43"/>
  <c r="K156" i="43"/>
  <c r="K154" i="43" s="1"/>
  <c r="J156" i="43"/>
  <c r="O156" i="43" s="1"/>
  <c r="M155" i="43"/>
  <c r="L155" i="43"/>
  <c r="L154" i="43" s="1"/>
  <c r="K155" i="43"/>
  <c r="J155" i="43"/>
  <c r="O155" i="43" s="1"/>
  <c r="M154" i="43"/>
  <c r="J154" i="43"/>
  <c r="M153" i="43"/>
  <c r="L153" i="43"/>
  <c r="K153" i="43"/>
  <c r="J153" i="43"/>
  <c r="O153" i="43" s="1"/>
  <c r="M152" i="43"/>
  <c r="L152" i="43"/>
  <c r="K152" i="43"/>
  <c r="O152" i="43" s="1"/>
  <c r="M151" i="43"/>
  <c r="L151" i="43"/>
  <c r="K151" i="43"/>
  <c r="K149" i="43" s="1"/>
  <c r="J151" i="43"/>
  <c r="O151" i="43" s="1"/>
  <c r="M150" i="43"/>
  <c r="L150" i="43"/>
  <c r="L149" i="43" s="1"/>
  <c r="K150" i="43"/>
  <c r="J150" i="43"/>
  <c r="O150" i="43" s="1"/>
  <c r="M149" i="43"/>
  <c r="M135" i="43"/>
  <c r="M133" i="43" s="1"/>
  <c r="M143" i="43" s="1"/>
  <c r="L135" i="43"/>
  <c r="L145" i="43" s="1"/>
  <c r="K135" i="43"/>
  <c r="K145" i="43" s="1"/>
  <c r="J135" i="43"/>
  <c r="O135" i="43" s="1"/>
  <c r="O134" i="43"/>
  <c r="M134" i="43"/>
  <c r="M144" i="43" s="1"/>
  <c r="L134" i="43"/>
  <c r="L144" i="43" s="1"/>
  <c r="K134" i="43"/>
  <c r="K144" i="43" s="1"/>
  <c r="J134" i="43"/>
  <c r="J133" i="43" s="1"/>
  <c r="L133" i="43"/>
  <c r="L143" i="43" s="1"/>
  <c r="K133" i="43"/>
  <c r="K143" i="43" s="1"/>
  <c r="M132" i="43"/>
  <c r="M142" i="43" s="1"/>
  <c r="L132" i="43"/>
  <c r="O132" i="43" s="1"/>
  <c r="K132" i="43"/>
  <c r="K142" i="43" s="1"/>
  <c r="J132" i="43"/>
  <c r="J142" i="43" s="1"/>
  <c r="M131" i="43"/>
  <c r="O131" i="43" s="1"/>
  <c r="L131" i="43"/>
  <c r="L141" i="43" s="1"/>
  <c r="K131" i="43"/>
  <c r="K141" i="43" s="1"/>
  <c r="M130" i="43"/>
  <c r="M128" i="43" s="1"/>
  <c r="L130" i="43"/>
  <c r="L140" i="43" s="1"/>
  <c r="K130" i="43"/>
  <c r="K140" i="43" s="1"/>
  <c r="J130" i="43"/>
  <c r="J140" i="43" s="1"/>
  <c r="M129" i="43"/>
  <c r="M139" i="43" s="1"/>
  <c r="L129" i="43"/>
  <c r="L139" i="43" s="1"/>
  <c r="K129" i="43"/>
  <c r="K139" i="43" s="1"/>
  <c r="J129" i="43"/>
  <c r="J128" i="43" s="1"/>
  <c r="K128" i="43"/>
  <c r="M125" i="43"/>
  <c r="M123" i="43" s="1"/>
  <c r="L125" i="43"/>
  <c r="K125" i="43"/>
  <c r="J125" i="43"/>
  <c r="O125" i="43" s="1"/>
  <c r="M124" i="43"/>
  <c r="L124" i="43"/>
  <c r="K124" i="43"/>
  <c r="J124" i="43"/>
  <c r="J123" i="43" s="1"/>
  <c r="L123" i="43"/>
  <c r="K123" i="43"/>
  <c r="M122" i="43"/>
  <c r="L122" i="43"/>
  <c r="K122" i="43"/>
  <c r="J122" i="43"/>
  <c r="O122" i="43" s="1"/>
  <c r="M121" i="43"/>
  <c r="O121" i="43" s="1"/>
  <c r="L121" i="43"/>
  <c r="K121" i="43"/>
  <c r="M120" i="43"/>
  <c r="M118" i="43" s="1"/>
  <c r="L120" i="43"/>
  <c r="K120" i="43"/>
  <c r="J120" i="43"/>
  <c r="O120" i="43" s="1"/>
  <c r="O119" i="43"/>
  <c r="M119" i="43"/>
  <c r="L119" i="43"/>
  <c r="K119" i="43"/>
  <c r="K118" i="43" s="1"/>
  <c r="J119" i="43"/>
  <c r="J118" i="43" s="1"/>
  <c r="O118" i="43" s="1"/>
  <c r="N118" i="43"/>
  <c r="L118" i="43"/>
  <c r="N113" i="43"/>
  <c r="M113" i="43"/>
  <c r="L113" i="43"/>
  <c r="K113" i="43"/>
  <c r="J113" i="43"/>
  <c r="N100" i="43"/>
  <c r="M100" i="43"/>
  <c r="L100" i="43"/>
  <c r="K100" i="43"/>
  <c r="J100" i="43"/>
  <c r="N98" i="43"/>
  <c r="M98" i="43"/>
  <c r="L98" i="43"/>
  <c r="N97" i="43"/>
  <c r="M97" i="43"/>
  <c r="L97" i="43"/>
  <c r="K97" i="43"/>
  <c r="AL95" i="43"/>
  <c r="V95" i="43"/>
  <c r="U95" i="43"/>
  <c r="T95" i="43"/>
  <c r="S95" i="43"/>
  <c r="R95" i="43"/>
  <c r="J143" i="43" l="1"/>
  <c r="O143" i="43" s="1"/>
  <c r="O133" i="43"/>
  <c r="K138" i="43"/>
  <c r="O142" i="43"/>
  <c r="J138" i="43"/>
  <c r="O141" i="43"/>
  <c r="O157" i="43"/>
  <c r="O154" i="43"/>
  <c r="O123" i="43"/>
  <c r="M138" i="43"/>
  <c r="N128" i="43" s="1"/>
  <c r="O124" i="43"/>
  <c r="O126" i="43" s="1"/>
  <c r="O129" i="43"/>
  <c r="R146" i="43" s="1"/>
  <c r="J139" i="43"/>
  <c r="O139" i="43" s="1"/>
  <c r="M141" i="43"/>
  <c r="L142" i="43"/>
  <c r="J144" i="43"/>
  <c r="O144" i="43" s="1"/>
  <c r="M145" i="43"/>
  <c r="L128" i="43"/>
  <c r="L138" i="43" s="1"/>
  <c r="O130" i="43"/>
  <c r="J145" i="43"/>
  <c r="J149" i="43"/>
  <c r="O149" i="43" s="1"/>
  <c r="O128" i="43"/>
  <c r="M140" i="43"/>
  <c r="O140" i="43" s="1"/>
  <c r="V223" i="43"/>
  <c r="U223" i="43" s="1"/>
  <c r="U184" i="43"/>
  <c r="V190" i="43"/>
  <c r="V191" i="43" s="1"/>
  <c r="FF31" i="38"/>
  <c r="ST31" i="38"/>
  <c r="SV31" i="38"/>
  <c r="SU31" i="38"/>
  <c r="QP31" i="38"/>
  <c r="QN31" i="38"/>
  <c r="KT31" i="38"/>
  <c r="QO31" i="38"/>
  <c r="HP31" i="38"/>
  <c r="ID29" i="38"/>
  <c r="ID30" i="38"/>
  <c r="ID32" i="38"/>
  <c r="ID31" i="38"/>
  <c r="IA31" i="38"/>
  <c r="IA32" i="38"/>
  <c r="IA30" i="38"/>
  <c r="HR29" i="38"/>
  <c r="HR31" i="38"/>
  <c r="HR32" i="38"/>
  <c r="HR30" i="38"/>
  <c r="KS31" i="38"/>
  <c r="FD31" i="38"/>
  <c r="KQ31" i="38"/>
  <c r="KR31" i="38"/>
  <c r="EL31" i="38"/>
  <c r="AY31" i="38"/>
  <c r="AZ31" i="38"/>
  <c r="FE31" i="38"/>
  <c r="EG29" i="38"/>
  <c r="EG32" i="38"/>
  <c r="EG30" i="38"/>
  <c r="EG31" i="38"/>
  <c r="HZ5" i="38"/>
  <c r="IA29" i="38"/>
  <c r="AK92" i="43"/>
  <c r="AK91" i="43"/>
  <c r="T184" i="43" l="1"/>
  <c r="U190" i="43"/>
  <c r="U191" i="43" s="1"/>
  <c r="U186" i="43"/>
  <c r="O145" i="43"/>
  <c r="O136" i="43"/>
  <c r="O146" i="43" s="1"/>
  <c r="R145" i="43"/>
  <c r="O138" i="43"/>
  <c r="HZ30" i="38"/>
  <c r="HZ32" i="38"/>
  <c r="HZ31" i="38"/>
  <c r="HY5" i="38"/>
  <c r="HZ29" i="38"/>
  <c r="V90" i="43"/>
  <c r="U90" i="43"/>
  <c r="T90" i="43"/>
  <c r="S90" i="43"/>
  <c r="R90" i="43"/>
  <c r="AJ89" i="43"/>
  <c r="V88" i="43"/>
  <c r="U88" i="43"/>
  <c r="T88" i="43"/>
  <c r="V87" i="43"/>
  <c r="V85" i="43" s="1"/>
  <c r="U87" i="43"/>
  <c r="T87" i="43"/>
  <c r="U85" i="43"/>
  <c r="T85" i="43"/>
  <c r="S85" i="43"/>
  <c r="R85" i="43"/>
  <c r="M191" i="43" l="1"/>
  <c r="T190" i="43"/>
  <c r="S190" i="43" s="1"/>
  <c r="T186" i="43"/>
  <c r="HY30" i="38"/>
  <c r="HY32" i="38"/>
  <c r="HY31" i="38"/>
  <c r="HX5" i="38"/>
  <c r="HY29" i="38"/>
  <c r="N84" i="43"/>
  <c r="N87" i="43" s="1"/>
  <c r="N93" i="43" s="1"/>
  <c r="N90" i="43" l="1"/>
  <c r="M90" i="43" s="1"/>
  <c r="T191" i="43"/>
  <c r="S191" i="43" s="1"/>
  <c r="R191" i="43" s="1"/>
  <c r="N191" i="43" s="1"/>
  <c r="HX31" i="38"/>
  <c r="HX30" i="38"/>
  <c r="HX32" i="38"/>
  <c r="HW5" i="38"/>
  <c r="HX29" i="38"/>
  <c r="M84" i="43"/>
  <c r="M87" i="43" s="1"/>
  <c r="M93" i="43" s="1"/>
  <c r="L84" i="43"/>
  <c r="N83" i="43"/>
  <c r="M83" i="43"/>
  <c r="K83" i="43"/>
  <c r="L83" i="43" l="1"/>
  <c r="M91" i="43"/>
  <c r="M85" i="43"/>
  <c r="L85" i="43" s="1"/>
  <c r="N91" i="43"/>
  <c r="N85" i="43"/>
  <c r="N92" i="43"/>
  <c r="M92" i="43" s="1"/>
  <c r="N89" i="43"/>
  <c r="M89" i="43" s="1"/>
  <c r="N88" i="43"/>
  <c r="M88" i="43" s="1"/>
  <c r="K84" i="43"/>
  <c r="L90" i="43"/>
  <c r="K90" i="43" s="1"/>
  <c r="K91" i="43" s="1"/>
  <c r="L87" i="43"/>
  <c r="L93" i="43" s="1"/>
  <c r="K85" i="43"/>
  <c r="K86" i="43" s="1"/>
  <c r="L191" i="43"/>
  <c r="K191" i="43" s="1"/>
  <c r="J191" i="43" s="1"/>
  <c r="HW31" i="38"/>
  <c r="HW30" i="38"/>
  <c r="HW32" i="38"/>
  <c r="HV5" i="38"/>
  <c r="HW29" i="38"/>
  <c r="J83" i="43"/>
  <c r="U81" i="43"/>
  <c r="T81" i="43"/>
  <c r="S81" i="43"/>
  <c r="R81" i="43"/>
  <c r="H80" i="43"/>
  <c r="G80" i="43"/>
  <c r="F80" i="43"/>
  <c r="E80" i="43"/>
  <c r="U76" i="43"/>
  <c r="T76" i="43"/>
  <c r="S76" i="43"/>
  <c r="R76" i="43"/>
  <c r="F75" i="43"/>
  <c r="E75" i="43"/>
  <c r="U74" i="43"/>
  <c r="L89" i="43" l="1"/>
  <c r="J84" i="43"/>
  <c r="J85" i="43" s="1"/>
  <c r="J86" i="43" s="1"/>
  <c r="K87" i="43"/>
  <c r="K93" i="43" s="1"/>
  <c r="L91" i="43"/>
  <c r="L92" i="43" s="1"/>
  <c r="K92" i="43" s="1"/>
  <c r="L88" i="43"/>
  <c r="HV30" i="38"/>
  <c r="HV32" i="38"/>
  <c r="HV31" i="38"/>
  <c r="HU5" i="38"/>
  <c r="HV29" i="38"/>
  <c r="U73" i="43"/>
  <c r="U71" i="43"/>
  <c r="T71" i="43"/>
  <c r="S71" i="43"/>
  <c r="R71" i="43"/>
  <c r="AL91" i="43" l="1"/>
  <c r="AL92" i="43"/>
  <c r="AL90" i="43"/>
  <c r="AK90" i="43" s="1"/>
  <c r="K88" i="43"/>
  <c r="K89" i="43" s="1"/>
  <c r="J87" i="43"/>
  <c r="J90" i="43"/>
  <c r="J91" i="43" s="1"/>
  <c r="J92" i="43" s="1"/>
  <c r="HU30" i="38"/>
  <c r="HU32" i="38"/>
  <c r="HU31" i="38"/>
  <c r="HT5" i="38"/>
  <c r="HU29" i="38"/>
  <c r="E71" i="43"/>
  <c r="L70" i="43"/>
  <c r="K70" i="43"/>
  <c r="K71" i="43" l="1"/>
  <c r="L76" i="43"/>
  <c r="L73" i="43"/>
  <c r="N86" i="43"/>
  <c r="M86" i="43" s="1"/>
  <c r="L86" i="43" s="1"/>
  <c r="J88" i="43"/>
  <c r="J89" i="43" s="1"/>
  <c r="K76" i="43"/>
  <c r="K73" i="43"/>
  <c r="M70" i="43"/>
  <c r="K98" i="43"/>
  <c r="J93" i="43"/>
  <c r="J94" i="43" s="1"/>
  <c r="HT31" i="38"/>
  <c r="HT32" i="38"/>
  <c r="HT30" i="38"/>
  <c r="HT29" i="38"/>
  <c r="IH5" i="38"/>
  <c r="J70" i="43"/>
  <c r="M69" i="43"/>
  <c r="L69" i="43"/>
  <c r="L71" i="43" s="1"/>
  <c r="K69" i="43"/>
  <c r="J69" i="43"/>
  <c r="S61" i="43"/>
  <c r="R61" i="43"/>
  <c r="K61" i="43"/>
  <c r="J61" i="43"/>
  <c r="N53" i="43"/>
  <c r="M53" i="43"/>
  <c r="L53" i="43"/>
  <c r="K53" i="43"/>
  <c r="N41" i="43"/>
  <c r="M41" i="43"/>
  <c r="J76" i="43" l="1"/>
  <c r="J73" i="43"/>
  <c r="J71" i="43"/>
  <c r="M76" i="43"/>
  <c r="M73" i="43"/>
  <c r="M71" i="43"/>
  <c r="K79" i="43"/>
  <c r="K74" i="43"/>
  <c r="L74" i="43"/>
  <c r="L79" i="43"/>
  <c r="IH31" i="38"/>
  <c r="II31" i="38"/>
  <c r="IH32" i="38"/>
  <c r="II32" i="38"/>
  <c r="IH30" i="38"/>
  <c r="II30" i="38"/>
  <c r="IH29" i="38"/>
  <c r="II29" i="38"/>
  <c r="M72" i="43" l="1"/>
  <c r="L72" i="43" s="1"/>
  <c r="K72" i="43" s="1"/>
  <c r="J72" i="43" s="1"/>
  <c r="J79" i="43"/>
  <c r="J74" i="43"/>
  <c r="M74" i="43"/>
  <c r="M79" i="43"/>
  <c r="M75" i="43"/>
  <c r="L75" i="43" s="1"/>
  <c r="K75" i="43" s="1"/>
  <c r="J75" i="43" s="1"/>
  <c r="U16" i="43" l="1"/>
  <c r="AA15" i="43"/>
  <c r="Z15" i="43"/>
  <c r="X15" i="43"/>
  <c r="X16" i="43" s="1"/>
  <c r="AA16" i="43" s="1"/>
  <c r="Z16" i="43" s="1"/>
  <c r="V15" i="43"/>
  <c r="U15" i="43"/>
  <c r="R15" i="43"/>
  <c r="R16" i="43" l="1"/>
  <c r="V16" i="43"/>
  <c r="S15" i="43"/>
  <c r="T15" i="43"/>
  <c r="T16" i="43"/>
  <c r="S16" i="43"/>
  <c r="AA13" i="43" l="1"/>
  <c r="W13" i="43"/>
  <c r="V13" i="43"/>
  <c r="U13" i="43"/>
  <c r="T13" i="43"/>
  <c r="S13" i="43"/>
  <c r="R13" i="43"/>
  <c r="AA12" i="43"/>
  <c r="AA14" i="43" s="1"/>
  <c r="W12" i="43"/>
  <c r="V12" i="43"/>
  <c r="U12" i="43"/>
  <c r="U14" i="43" s="1"/>
  <c r="T12" i="43"/>
  <c r="S12" i="43"/>
  <c r="R12" i="43"/>
  <c r="O385" i="51"/>
  <c r="O359" i="51"/>
  <c r="O333" i="51"/>
  <c r="O312" i="51"/>
  <c r="O271" i="51"/>
  <c r="O262" i="51"/>
  <c r="O225" i="51"/>
  <c r="O208" i="51"/>
  <c r="O185" i="51"/>
  <c r="O141" i="51"/>
  <c r="AF129" i="51"/>
  <c r="AF117" i="51"/>
  <c r="O117" i="51"/>
  <c r="O91" i="51"/>
  <c r="V17" i="43" l="1"/>
  <c r="V14" i="43"/>
  <c r="T17" i="43"/>
  <c r="T14" i="43"/>
  <c r="L11" i="43" s="1"/>
  <c r="R17" i="43"/>
  <c r="R14" i="43"/>
  <c r="S14" i="43"/>
  <c r="W14" i="43"/>
  <c r="N12" i="43" s="1"/>
  <c r="J12" i="43" s="1"/>
  <c r="N11" i="43" s="1"/>
  <c r="M11" i="43" s="1"/>
  <c r="O75" i="51"/>
  <c r="S17" i="43" l="1"/>
  <c r="K11" i="43"/>
  <c r="J11" i="43" s="1"/>
  <c r="U17" i="43"/>
  <c r="O52" i="51"/>
  <c r="AI28" i="51"/>
  <c r="Y28" i="51"/>
  <c r="V28" i="51"/>
  <c r="U28" i="51"/>
  <c r="U62" i="51" s="1"/>
  <c r="T28" i="51"/>
  <c r="S28" i="51"/>
  <c r="S62" i="51" s="1"/>
  <c r="R28" i="51"/>
  <c r="Q28" i="51"/>
  <c r="J28" i="51"/>
  <c r="J62" i="51" s="1"/>
  <c r="T388" i="51" l="1"/>
  <c r="T330" i="51"/>
  <c r="T299" i="51"/>
  <c r="T269" i="51"/>
  <c r="T250" i="51"/>
  <c r="T355" i="51"/>
  <c r="T237" i="51"/>
  <c r="T159" i="51"/>
  <c r="T192" i="51"/>
  <c r="T168" i="51"/>
  <c r="T136" i="51"/>
  <c r="T96" i="51"/>
  <c r="T87" i="51"/>
  <c r="S87" i="51" s="1"/>
  <c r="R87" i="51" s="1"/>
  <c r="T62" i="51"/>
  <c r="R330" i="51"/>
  <c r="R355" i="51"/>
  <c r="R237" i="51"/>
  <c r="R388" i="51"/>
  <c r="R299" i="51"/>
  <c r="R269" i="51"/>
  <c r="R250" i="51"/>
  <c r="R159" i="51"/>
  <c r="R192" i="51"/>
  <c r="R168" i="51"/>
  <c r="R136" i="51"/>
  <c r="R96" i="51"/>
  <c r="Q355" i="51"/>
  <c r="Q388" i="51"/>
  <c r="Q330" i="51"/>
  <c r="Q237" i="51"/>
  <c r="Q299" i="51"/>
  <c r="Q269" i="51"/>
  <c r="Q250" i="51"/>
  <c r="Q192" i="51"/>
  <c r="Q168" i="51"/>
  <c r="Q159" i="51"/>
  <c r="Q96" i="51"/>
  <c r="Q136" i="51"/>
  <c r="Q87" i="51"/>
  <c r="R62" i="51"/>
  <c r="Y355" i="51"/>
  <c r="Y388" i="51"/>
  <c r="Y330" i="51"/>
  <c r="Y237" i="51"/>
  <c r="Y299" i="51"/>
  <c r="Y269" i="51"/>
  <c r="Y250" i="51"/>
  <c r="Y192" i="51"/>
  <c r="Y168" i="51"/>
  <c r="Y159" i="51"/>
  <c r="Y96" i="51"/>
  <c r="Y87" i="51"/>
  <c r="Y136" i="51"/>
  <c r="Q62" i="51"/>
  <c r="Y62" i="51"/>
  <c r="W28" i="51"/>
  <c r="S388" i="51"/>
  <c r="S330" i="51"/>
  <c r="S355" i="51"/>
  <c r="S299" i="51"/>
  <c r="S269" i="51"/>
  <c r="S250" i="51"/>
  <c r="S237" i="51"/>
  <c r="S159" i="51"/>
  <c r="S192" i="51"/>
  <c r="S168" i="51"/>
  <c r="S136" i="51"/>
  <c r="S96" i="51"/>
  <c r="J330" i="51"/>
  <c r="J355" i="51"/>
  <c r="J237" i="51"/>
  <c r="J388" i="51"/>
  <c r="J299" i="51"/>
  <c r="J269" i="51"/>
  <c r="J250" i="51"/>
  <c r="J159" i="51"/>
  <c r="J192" i="51"/>
  <c r="J168" i="51"/>
  <c r="J136" i="51"/>
  <c r="J96" i="51"/>
  <c r="V355" i="51"/>
  <c r="V388" i="51"/>
  <c r="V330" i="51"/>
  <c r="V299" i="51"/>
  <c r="V269" i="51"/>
  <c r="V250" i="51"/>
  <c r="V192" i="51"/>
  <c r="V168" i="51"/>
  <c r="V237" i="51"/>
  <c r="V159" i="51"/>
  <c r="V136" i="51"/>
  <c r="V96" i="51"/>
  <c r="V87" i="51"/>
  <c r="U87" i="51" s="1"/>
  <c r="U355" i="51"/>
  <c r="U388" i="51"/>
  <c r="U330" i="51"/>
  <c r="U299" i="51"/>
  <c r="U269" i="51"/>
  <c r="U250" i="51"/>
  <c r="U168" i="51"/>
  <c r="U237" i="51"/>
  <c r="U159" i="51"/>
  <c r="U192" i="51"/>
  <c r="U136" i="51"/>
  <c r="U96" i="51"/>
  <c r="V62" i="51"/>
  <c r="I28" i="51"/>
  <c r="G28" i="51"/>
  <c r="F28" i="51"/>
  <c r="E28" i="51"/>
  <c r="C28" i="51"/>
  <c r="AI27" i="51"/>
  <c r="Z27" i="51"/>
  <c r="Y27" i="51"/>
  <c r="S27" i="51"/>
  <c r="R27" i="51"/>
  <c r="Q27" i="51"/>
  <c r="J27" i="51"/>
  <c r="I27" i="51"/>
  <c r="G27" i="51"/>
  <c r="F27" i="51"/>
  <c r="E27" i="51"/>
  <c r="C27" i="51"/>
  <c r="AI26" i="51"/>
  <c r="Y26" i="51"/>
  <c r="V26" i="51"/>
  <c r="U26" i="51"/>
  <c r="T26" i="51"/>
  <c r="S26" i="51"/>
  <c r="R26" i="51"/>
  <c r="Q26" i="51"/>
  <c r="J26" i="51"/>
  <c r="I26" i="51"/>
  <c r="G26" i="51"/>
  <c r="F26" i="51"/>
  <c r="E26" i="51"/>
  <c r="C26" i="51"/>
  <c r="AI25" i="51"/>
  <c r="Z25" i="51"/>
  <c r="Y25" i="51"/>
  <c r="S25" i="51"/>
  <c r="R25" i="51"/>
  <c r="Q25" i="51"/>
  <c r="J25" i="51"/>
  <c r="I25" i="51"/>
  <c r="G25" i="51"/>
  <c r="F25" i="51"/>
  <c r="E25" i="51"/>
  <c r="C25" i="51"/>
  <c r="AI24" i="51"/>
  <c r="Z24" i="51"/>
  <c r="Y24" i="51"/>
  <c r="S24" i="51"/>
  <c r="R24" i="51"/>
  <c r="Q24" i="51"/>
  <c r="J24" i="51"/>
  <c r="I24" i="51"/>
  <c r="G24" i="51"/>
  <c r="F24" i="51"/>
  <c r="E24" i="51"/>
  <c r="C24" i="51"/>
  <c r="AI23" i="51"/>
  <c r="Z23" i="51"/>
  <c r="Y23" i="51"/>
  <c r="S23" i="51"/>
  <c r="R23" i="51"/>
  <c r="Q23" i="51"/>
  <c r="O23" i="51"/>
  <c r="J23" i="51"/>
  <c r="I23" i="51"/>
  <c r="G23" i="51"/>
  <c r="F23" i="51"/>
  <c r="E23" i="51"/>
  <c r="C23" i="51"/>
  <c r="Z22" i="51"/>
  <c r="Y22" i="51"/>
  <c r="S22" i="51"/>
  <c r="R22" i="51"/>
  <c r="Q22" i="51"/>
  <c r="J22" i="51"/>
  <c r="I22" i="51"/>
  <c r="G22" i="51"/>
  <c r="F22" i="51"/>
  <c r="E22" i="51"/>
  <c r="C22" i="51"/>
  <c r="AI21" i="51"/>
  <c r="Z21" i="51"/>
  <c r="Y21" i="51"/>
  <c r="S21" i="51"/>
  <c r="R21" i="51"/>
  <c r="Q21" i="51"/>
  <c r="J21" i="51"/>
  <c r="I21" i="51"/>
  <c r="G21" i="51"/>
  <c r="F21" i="51"/>
  <c r="E21" i="51"/>
  <c r="C21" i="51"/>
  <c r="Z20" i="51"/>
  <c r="Y20" i="51"/>
  <c r="S20" i="51"/>
  <c r="R20" i="51"/>
  <c r="Q20" i="51"/>
  <c r="J20" i="51"/>
  <c r="I20" i="51"/>
  <c r="G20" i="51"/>
  <c r="F20" i="51"/>
  <c r="E20" i="51"/>
  <c r="C20" i="51"/>
  <c r="AI19" i="51"/>
  <c r="Z19" i="51"/>
  <c r="Y19" i="51"/>
  <c r="S19" i="51"/>
  <c r="R19" i="51"/>
  <c r="Q19" i="51"/>
  <c r="J19" i="51"/>
  <c r="I19" i="51"/>
  <c r="G19" i="51"/>
  <c r="F19" i="51"/>
  <c r="E19" i="51"/>
  <c r="C19" i="51"/>
  <c r="AI18" i="51"/>
  <c r="Z18" i="51"/>
  <c r="Y18" i="51"/>
  <c r="S18" i="51"/>
  <c r="R18" i="51"/>
  <c r="Q18" i="51"/>
  <c r="J18" i="51"/>
  <c r="I18" i="51"/>
  <c r="G18" i="51"/>
  <c r="F18" i="51"/>
  <c r="E18" i="51"/>
  <c r="C18" i="51"/>
  <c r="Z17" i="51"/>
  <c r="Y17" i="51"/>
  <c r="S17" i="51"/>
  <c r="R17" i="51"/>
  <c r="Q17" i="51"/>
  <c r="J17" i="51"/>
  <c r="I17" i="51"/>
  <c r="G17" i="51"/>
  <c r="F17" i="51"/>
  <c r="E17" i="51"/>
  <c r="C17" i="51"/>
  <c r="AI16" i="51"/>
  <c r="Z16" i="51"/>
  <c r="Y16" i="51"/>
  <c r="S16" i="51"/>
  <c r="R16" i="51"/>
  <c r="Q16" i="51"/>
  <c r="J16" i="51"/>
  <c r="I16" i="51"/>
  <c r="G16" i="51"/>
  <c r="F16" i="51"/>
  <c r="E16" i="51"/>
  <c r="C16" i="51"/>
  <c r="Y15" i="51"/>
  <c r="V15" i="51"/>
  <c r="U15" i="51"/>
  <c r="T15" i="51"/>
  <c r="S15" i="51"/>
  <c r="R15" i="51"/>
  <c r="Q15" i="51"/>
  <c r="J15" i="51"/>
  <c r="I15" i="51"/>
  <c r="G15" i="51"/>
  <c r="F15" i="51"/>
  <c r="E15" i="51"/>
  <c r="C15" i="51"/>
  <c r="AI14" i="51"/>
  <c r="Z14" i="51"/>
  <c r="Y14" i="51"/>
  <c r="S14" i="51"/>
  <c r="R14" i="51"/>
  <c r="Q14" i="51"/>
  <c r="J14" i="51"/>
  <c r="I14" i="51"/>
  <c r="G14" i="51"/>
  <c r="F14" i="51"/>
  <c r="E14" i="51"/>
  <c r="C14" i="51"/>
  <c r="Z13" i="51"/>
  <c r="Y13" i="51"/>
  <c r="S13" i="51"/>
  <c r="R13" i="51"/>
  <c r="Q13" i="51"/>
  <c r="J13" i="51"/>
  <c r="I13" i="51"/>
  <c r="G13" i="51"/>
  <c r="F13" i="51"/>
  <c r="E13" i="51"/>
  <c r="C13" i="51"/>
  <c r="AI12" i="51"/>
  <c r="Z12" i="51"/>
  <c r="Y12" i="51"/>
  <c r="S12" i="51"/>
  <c r="R12" i="51"/>
  <c r="Q12" i="51"/>
  <c r="J12" i="51"/>
  <c r="I12" i="51"/>
  <c r="G12" i="51"/>
  <c r="F12" i="51"/>
  <c r="E12" i="51"/>
  <c r="C12" i="51"/>
  <c r="AI11" i="51"/>
  <c r="Z11" i="51"/>
  <c r="Y11" i="51"/>
  <c r="S11" i="51"/>
  <c r="R11" i="51"/>
  <c r="Q11" i="51"/>
  <c r="J11" i="51"/>
  <c r="I11" i="51"/>
  <c r="G11" i="51"/>
  <c r="F11" i="51"/>
  <c r="E11" i="51"/>
  <c r="C11" i="51"/>
  <c r="Y10" i="51"/>
  <c r="V10" i="51"/>
  <c r="U10" i="51"/>
  <c r="T10" i="51"/>
  <c r="S10" i="51"/>
  <c r="R10" i="51"/>
  <c r="Q10" i="51"/>
  <c r="J10" i="51"/>
  <c r="I10" i="51"/>
  <c r="G10" i="51"/>
  <c r="F10" i="51"/>
  <c r="E10" i="51"/>
  <c r="C10" i="51"/>
  <c r="AI9" i="51"/>
  <c r="Z9" i="51"/>
  <c r="Y9" i="51"/>
  <c r="S9" i="51"/>
  <c r="R9" i="51"/>
  <c r="Q9" i="51"/>
  <c r="C510" i="58" l="1"/>
  <c r="C469" i="58"/>
  <c r="C467" i="58"/>
  <c r="C504" i="58"/>
  <c r="C466" i="58"/>
  <c r="C492" i="58"/>
  <c r="C509" i="58"/>
  <c r="C482" i="58"/>
  <c r="C480" i="58"/>
  <c r="C502" i="58"/>
  <c r="C503" i="58"/>
  <c r="C470" i="58"/>
  <c r="C506" i="58"/>
  <c r="C483" i="58"/>
  <c r="C481" i="58"/>
  <c r="C500" i="58"/>
  <c r="C496" i="58"/>
  <c r="C477" i="58"/>
  <c r="C511" i="58"/>
  <c r="C484" i="58"/>
  <c r="C475" i="58"/>
  <c r="C501" i="58"/>
  <c r="C468" i="58"/>
  <c r="C498" i="58"/>
  <c r="C507" i="58"/>
  <c r="C476" i="58"/>
  <c r="C465" i="58"/>
  <c r="C490" i="58"/>
  <c r="C495" i="58"/>
  <c r="C471" i="58"/>
  <c r="C491" i="58"/>
  <c r="C473" i="58"/>
  <c r="C508" i="58"/>
  <c r="C478" i="58"/>
  <c r="C499" i="58"/>
  <c r="C479" i="58"/>
  <c r="C493" i="58"/>
  <c r="C463" i="58"/>
  <c r="W10" i="51"/>
  <c r="W266" i="51" s="1"/>
  <c r="Z378" i="51"/>
  <c r="Z247" i="51"/>
  <c r="Z297" i="51"/>
  <c r="Z280" i="51"/>
  <c r="Z319" i="51"/>
  <c r="Z345" i="51"/>
  <c r="Z217" i="51"/>
  <c r="Z197" i="51"/>
  <c r="Z173" i="51"/>
  <c r="Z153" i="51"/>
  <c r="Z105" i="51"/>
  <c r="Z126" i="51"/>
  <c r="Z67" i="51"/>
  <c r="Z42" i="51"/>
  <c r="R385" i="51"/>
  <c r="R359" i="51"/>
  <c r="R271" i="51"/>
  <c r="R333" i="51"/>
  <c r="R312" i="51"/>
  <c r="R262" i="51"/>
  <c r="R208" i="51"/>
  <c r="R185" i="51"/>
  <c r="R225" i="51"/>
  <c r="R117" i="51"/>
  <c r="R141" i="51"/>
  <c r="R91" i="51"/>
  <c r="R75" i="51"/>
  <c r="R52" i="51"/>
  <c r="F344" i="51"/>
  <c r="F318" i="51"/>
  <c r="F380" i="51"/>
  <c r="F241" i="51"/>
  <c r="F291" i="51"/>
  <c r="F286" i="51"/>
  <c r="F182" i="51"/>
  <c r="F224" i="51"/>
  <c r="F157" i="51"/>
  <c r="F206" i="51"/>
  <c r="F106" i="51"/>
  <c r="F133" i="51"/>
  <c r="F49" i="51"/>
  <c r="Z341" i="51"/>
  <c r="Z382" i="51"/>
  <c r="Z298" i="51"/>
  <c r="Z252" i="51"/>
  <c r="Z287" i="51"/>
  <c r="Z316" i="51"/>
  <c r="Z211" i="51"/>
  <c r="Z229" i="51"/>
  <c r="Z186" i="51"/>
  <c r="Z93" i="51"/>
  <c r="Z142" i="51"/>
  <c r="Z116" i="51"/>
  <c r="Z79" i="51"/>
  <c r="Z58" i="51"/>
  <c r="J334" i="51"/>
  <c r="J387" i="51"/>
  <c r="J300" i="51"/>
  <c r="J266" i="51"/>
  <c r="J236" i="51"/>
  <c r="J255" i="51"/>
  <c r="J356" i="51"/>
  <c r="J191" i="51"/>
  <c r="J166" i="51"/>
  <c r="J161" i="51"/>
  <c r="J128" i="51"/>
  <c r="J111" i="51"/>
  <c r="J61" i="51"/>
  <c r="S356" i="51"/>
  <c r="S334" i="51"/>
  <c r="S387" i="51"/>
  <c r="S300" i="51"/>
  <c r="S266" i="51"/>
  <c r="S236" i="51"/>
  <c r="S255" i="51"/>
  <c r="S191" i="51"/>
  <c r="S166" i="51"/>
  <c r="S161" i="51"/>
  <c r="S128" i="51"/>
  <c r="S111" i="51"/>
  <c r="S61" i="51"/>
  <c r="AU11" i="51"/>
  <c r="AT11" i="51" s="1"/>
  <c r="C347" i="51"/>
  <c r="C321" i="51"/>
  <c r="C374" i="51"/>
  <c r="C251" i="51"/>
  <c r="C302" i="51"/>
  <c r="C272" i="51"/>
  <c r="C228" i="51"/>
  <c r="C184" i="51"/>
  <c r="C210" i="51"/>
  <c r="C102" i="51"/>
  <c r="C148" i="51"/>
  <c r="C124" i="51"/>
  <c r="AF123" i="51" s="1"/>
  <c r="C78" i="51"/>
  <c r="C54" i="51"/>
  <c r="S347" i="51"/>
  <c r="S321" i="51"/>
  <c r="S251" i="51"/>
  <c r="S374" i="51"/>
  <c r="S302" i="51"/>
  <c r="S272" i="51"/>
  <c r="S228" i="51"/>
  <c r="S184" i="51"/>
  <c r="S210" i="51"/>
  <c r="S102" i="51"/>
  <c r="S148" i="51"/>
  <c r="S124" i="51"/>
  <c r="S54" i="51"/>
  <c r="F345" i="51"/>
  <c r="F319" i="51"/>
  <c r="F378" i="51"/>
  <c r="F247" i="51"/>
  <c r="F297" i="51"/>
  <c r="F280" i="51"/>
  <c r="F153" i="51"/>
  <c r="F217" i="51"/>
  <c r="F197" i="51"/>
  <c r="F173" i="51"/>
  <c r="F126" i="51"/>
  <c r="F105" i="51"/>
  <c r="F42" i="51"/>
  <c r="J331" i="51"/>
  <c r="J305" i="51"/>
  <c r="J376" i="51"/>
  <c r="J352" i="51"/>
  <c r="J277" i="51"/>
  <c r="J233" i="51"/>
  <c r="J256" i="51"/>
  <c r="J172" i="51"/>
  <c r="J196" i="51"/>
  <c r="J121" i="51"/>
  <c r="J98" i="51"/>
  <c r="J146" i="51"/>
  <c r="J59" i="51"/>
  <c r="R331" i="51"/>
  <c r="R305" i="51"/>
  <c r="R376" i="51"/>
  <c r="R352" i="51"/>
  <c r="R277" i="51"/>
  <c r="R233" i="51"/>
  <c r="R256" i="51"/>
  <c r="R172" i="51"/>
  <c r="R196" i="51"/>
  <c r="R121" i="51"/>
  <c r="R98" i="51"/>
  <c r="R146" i="51"/>
  <c r="R59" i="51"/>
  <c r="Z331" i="51"/>
  <c r="Z305" i="51"/>
  <c r="Z376" i="51"/>
  <c r="Z352" i="51"/>
  <c r="Z277" i="51"/>
  <c r="Z233" i="51"/>
  <c r="Z256" i="51"/>
  <c r="Z172" i="51"/>
  <c r="Z196" i="51"/>
  <c r="Z121" i="51"/>
  <c r="Z98" i="51"/>
  <c r="Z146" i="51"/>
  <c r="Z83" i="51"/>
  <c r="Z59" i="51"/>
  <c r="E312" i="51"/>
  <c r="E359" i="51"/>
  <c r="E333" i="51"/>
  <c r="E385" i="51"/>
  <c r="E262" i="51"/>
  <c r="E271" i="51"/>
  <c r="E185" i="51"/>
  <c r="E225" i="51"/>
  <c r="E208" i="51"/>
  <c r="E117" i="51"/>
  <c r="E141" i="51"/>
  <c r="E91" i="51"/>
  <c r="E75" i="51"/>
  <c r="E52" i="51"/>
  <c r="V312" i="51"/>
  <c r="V359" i="51"/>
  <c r="V333" i="51"/>
  <c r="V385" i="51"/>
  <c r="V262" i="51"/>
  <c r="V271" i="51"/>
  <c r="V185" i="51"/>
  <c r="V225" i="51"/>
  <c r="V208" i="51"/>
  <c r="V141" i="51"/>
  <c r="V91" i="51"/>
  <c r="V117" i="51"/>
  <c r="V75" i="51"/>
  <c r="U75" i="51" s="1"/>
  <c r="V52" i="51"/>
  <c r="AU15" i="51"/>
  <c r="AT15" i="51" s="1"/>
  <c r="C372" i="51"/>
  <c r="C346" i="51"/>
  <c r="C323" i="51"/>
  <c r="C278" i="51"/>
  <c r="C246" i="51"/>
  <c r="C293" i="51"/>
  <c r="C222" i="51"/>
  <c r="C200" i="51"/>
  <c r="C176" i="51"/>
  <c r="C155" i="51"/>
  <c r="C108" i="51"/>
  <c r="C131" i="51"/>
  <c r="AF130" i="51" s="1"/>
  <c r="C72" i="51"/>
  <c r="C44" i="51"/>
  <c r="S372" i="51"/>
  <c r="S346" i="51"/>
  <c r="S323" i="51"/>
  <c r="S278" i="51"/>
  <c r="S246" i="51"/>
  <c r="S293" i="51"/>
  <c r="S222" i="51"/>
  <c r="S200" i="51"/>
  <c r="S176" i="51"/>
  <c r="S155" i="51"/>
  <c r="S108" i="51"/>
  <c r="S131" i="51"/>
  <c r="S44" i="51"/>
  <c r="F326" i="51"/>
  <c r="F383" i="51"/>
  <c r="F231" i="51"/>
  <c r="F358" i="51"/>
  <c r="F242" i="51"/>
  <c r="F301" i="51"/>
  <c r="F283" i="51"/>
  <c r="F178" i="51"/>
  <c r="F203" i="51"/>
  <c r="F160" i="51"/>
  <c r="F137" i="51"/>
  <c r="F99" i="51"/>
  <c r="F60" i="51"/>
  <c r="J344" i="51"/>
  <c r="J318" i="51"/>
  <c r="J291" i="51"/>
  <c r="J286" i="51"/>
  <c r="J380" i="51"/>
  <c r="J241" i="51"/>
  <c r="J157" i="51"/>
  <c r="J206" i="51"/>
  <c r="J182" i="51"/>
  <c r="J224" i="51"/>
  <c r="J133" i="51"/>
  <c r="J106" i="51"/>
  <c r="J49" i="51"/>
  <c r="R344" i="51"/>
  <c r="R318" i="51"/>
  <c r="R291" i="51"/>
  <c r="R286" i="51"/>
  <c r="R241" i="51"/>
  <c r="R380" i="51"/>
  <c r="R157" i="51"/>
  <c r="R206" i="51"/>
  <c r="R182" i="51"/>
  <c r="R224" i="51"/>
  <c r="R133" i="51"/>
  <c r="R106" i="51"/>
  <c r="R49" i="51"/>
  <c r="Z344" i="51"/>
  <c r="Z318" i="51"/>
  <c r="Z380" i="51"/>
  <c r="Z291" i="51"/>
  <c r="Z286" i="51"/>
  <c r="Z241" i="51"/>
  <c r="Z157" i="51"/>
  <c r="Z206" i="51"/>
  <c r="Z182" i="51"/>
  <c r="Z224" i="51"/>
  <c r="Z133" i="51"/>
  <c r="Z106" i="51"/>
  <c r="Z74" i="51"/>
  <c r="Z49" i="51"/>
  <c r="E368" i="51"/>
  <c r="E361" i="51"/>
  <c r="E335" i="51"/>
  <c r="E261" i="51"/>
  <c r="E311" i="51"/>
  <c r="E270" i="51"/>
  <c r="E169" i="51"/>
  <c r="E194" i="51"/>
  <c r="E220" i="51"/>
  <c r="E125" i="51"/>
  <c r="E147" i="51"/>
  <c r="E94" i="51"/>
  <c r="E70" i="51"/>
  <c r="E46" i="51"/>
  <c r="G342" i="51"/>
  <c r="G381" i="51"/>
  <c r="G292" i="51"/>
  <c r="G317" i="51"/>
  <c r="G284" i="51"/>
  <c r="G244" i="51"/>
  <c r="G179" i="51"/>
  <c r="G152" i="51"/>
  <c r="G204" i="51"/>
  <c r="G232" i="51"/>
  <c r="G123" i="51"/>
  <c r="G112" i="51"/>
  <c r="G82" i="51"/>
  <c r="F82" i="51" s="1"/>
  <c r="E82" i="51" s="1"/>
  <c r="G55" i="51"/>
  <c r="AU22" i="51"/>
  <c r="AT22" i="51" s="1"/>
  <c r="C375" i="51"/>
  <c r="C354" i="51"/>
  <c r="C303" i="51"/>
  <c r="C268" i="51"/>
  <c r="C249" i="51"/>
  <c r="C324" i="51"/>
  <c r="C219" i="51"/>
  <c r="C187" i="51"/>
  <c r="C212" i="51"/>
  <c r="C149" i="51"/>
  <c r="C132" i="51"/>
  <c r="AF131" i="51" s="1"/>
  <c r="C92" i="51"/>
  <c r="C69" i="51"/>
  <c r="C47" i="51"/>
  <c r="S375" i="51"/>
  <c r="S354" i="51"/>
  <c r="S324" i="51"/>
  <c r="S303" i="51"/>
  <c r="S268" i="51"/>
  <c r="S249" i="51"/>
  <c r="S219" i="51"/>
  <c r="S187" i="51"/>
  <c r="S212" i="51"/>
  <c r="S149" i="51"/>
  <c r="S132" i="51"/>
  <c r="S92" i="51"/>
  <c r="S47" i="51"/>
  <c r="F350" i="51"/>
  <c r="F310" i="51"/>
  <c r="F370" i="51"/>
  <c r="F328" i="51"/>
  <c r="F275" i="51"/>
  <c r="F254" i="51"/>
  <c r="F216" i="51"/>
  <c r="F193" i="51"/>
  <c r="F167" i="51"/>
  <c r="F143" i="51"/>
  <c r="F119" i="51"/>
  <c r="F97" i="51"/>
  <c r="F41" i="51"/>
  <c r="I308" i="51"/>
  <c r="I329" i="51"/>
  <c r="I369" i="51"/>
  <c r="I353" i="51"/>
  <c r="I257" i="51"/>
  <c r="I279" i="51"/>
  <c r="I170" i="51"/>
  <c r="I195" i="51"/>
  <c r="I221" i="51"/>
  <c r="I144" i="51"/>
  <c r="I118" i="51"/>
  <c r="I101" i="51"/>
  <c r="I45" i="51"/>
  <c r="Q308" i="51"/>
  <c r="Q329" i="51"/>
  <c r="Q369" i="51"/>
  <c r="Q353" i="51"/>
  <c r="Q257" i="51"/>
  <c r="Q279" i="51"/>
  <c r="Q170" i="51"/>
  <c r="Q195" i="51"/>
  <c r="Q221" i="51"/>
  <c r="Q144" i="51"/>
  <c r="Q118" i="51"/>
  <c r="Q101" i="51"/>
  <c r="Q71" i="51"/>
  <c r="Q45" i="51"/>
  <c r="Y308" i="51"/>
  <c r="Y329" i="51"/>
  <c r="Y369" i="51"/>
  <c r="Y353" i="51"/>
  <c r="Y257" i="51"/>
  <c r="Y279" i="51"/>
  <c r="Y170" i="51"/>
  <c r="Y195" i="51"/>
  <c r="Y221" i="51"/>
  <c r="Y144" i="51"/>
  <c r="Y118" i="51"/>
  <c r="Y101" i="51"/>
  <c r="Y71" i="51"/>
  <c r="Y45" i="51"/>
  <c r="T357" i="51"/>
  <c r="T386" i="51"/>
  <c r="T332" i="51"/>
  <c r="T309" i="51"/>
  <c r="T267" i="51"/>
  <c r="T258" i="51"/>
  <c r="T150" i="51"/>
  <c r="T198" i="51"/>
  <c r="T171" i="51"/>
  <c r="T230" i="51"/>
  <c r="T122" i="51"/>
  <c r="T103" i="51"/>
  <c r="T80" i="51"/>
  <c r="S80" i="51" s="1"/>
  <c r="R80" i="51" s="1"/>
  <c r="T53" i="51"/>
  <c r="AU27" i="51"/>
  <c r="AT27" i="51" s="1"/>
  <c r="C388" i="51"/>
  <c r="C330" i="51"/>
  <c r="C355" i="51"/>
  <c r="C299" i="51"/>
  <c r="C269" i="51"/>
  <c r="C250" i="51"/>
  <c r="C237" i="51"/>
  <c r="C159" i="51"/>
  <c r="C192" i="51"/>
  <c r="C168" i="51"/>
  <c r="C136" i="51"/>
  <c r="AF135" i="51" s="1"/>
  <c r="C96" i="51"/>
  <c r="C87" i="51"/>
  <c r="C62" i="51"/>
  <c r="Z347" i="51"/>
  <c r="Z374" i="51"/>
  <c r="Z321" i="51"/>
  <c r="Z251" i="51"/>
  <c r="Z302" i="51"/>
  <c r="Z272" i="51"/>
  <c r="Z184" i="51"/>
  <c r="Z210" i="51"/>
  <c r="Z228" i="51"/>
  <c r="Z102" i="51"/>
  <c r="Z148" i="51"/>
  <c r="Z124" i="51"/>
  <c r="Z78" i="51"/>
  <c r="Z54" i="51"/>
  <c r="E345" i="51"/>
  <c r="E319" i="51"/>
  <c r="E378" i="51"/>
  <c r="E247" i="51"/>
  <c r="E297" i="51"/>
  <c r="E280" i="51"/>
  <c r="E153" i="51"/>
  <c r="E217" i="51"/>
  <c r="E197" i="51"/>
  <c r="E173" i="51"/>
  <c r="E105" i="51"/>
  <c r="E126" i="51"/>
  <c r="E67" i="51"/>
  <c r="E42" i="51"/>
  <c r="I331" i="51"/>
  <c r="I376" i="51"/>
  <c r="I352" i="51"/>
  <c r="I305" i="51"/>
  <c r="I277" i="51"/>
  <c r="I233" i="51"/>
  <c r="I256" i="51"/>
  <c r="I172" i="51"/>
  <c r="I196" i="51"/>
  <c r="I121" i="51"/>
  <c r="I98" i="51"/>
  <c r="I146" i="51"/>
  <c r="I59" i="51"/>
  <c r="Q331" i="51"/>
  <c r="Q376" i="51"/>
  <c r="Q352" i="51"/>
  <c r="Q277" i="51"/>
  <c r="Q233" i="51"/>
  <c r="Q305" i="51"/>
  <c r="Q256" i="51"/>
  <c r="Q172" i="51"/>
  <c r="Q196" i="51"/>
  <c r="Q121" i="51"/>
  <c r="Q98" i="51"/>
  <c r="Q146" i="51"/>
  <c r="Q83" i="51"/>
  <c r="Q59" i="51"/>
  <c r="Y331" i="51"/>
  <c r="Y376" i="51"/>
  <c r="Y352" i="51"/>
  <c r="Y277" i="51"/>
  <c r="Y233" i="51"/>
  <c r="Y305" i="51"/>
  <c r="Y256" i="51"/>
  <c r="Y172" i="51"/>
  <c r="Y196" i="51"/>
  <c r="Y121" i="51"/>
  <c r="Y98" i="51"/>
  <c r="Y146" i="51"/>
  <c r="Y83" i="51"/>
  <c r="Y59" i="51"/>
  <c r="U312" i="51"/>
  <c r="U359" i="51"/>
  <c r="U333" i="51"/>
  <c r="U385" i="51"/>
  <c r="U262" i="51"/>
  <c r="U271" i="51"/>
  <c r="U225" i="51"/>
  <c r="U208" i="51"/>
  <c r="U185" i="51"/>
  <c r="U117" i="51"/>
  <c r="U141" i="51"/>
  <c r="U91" i="51"/>
  <c r="U52" i="51"/>
  <c r="J372" i="51"/>
  <c r="J346" i="51"/>
  <c r="J323" i="51"/>
  <c r="J278" i="51"/>
  <c r="J246" i="51"/>
  <c r="J293" i="51"/>
  <c r="J222" i="51"/>
  <c r="J200" i="51"/>
  <c r="J176" i="51"/>
  <c r="J155" i="51"/>
  <c r="J108" i="51"/>
  <c r="J131" i="51"/>
  <c r="J44" i="51"/>
  <c r="R372" i="51"/>
  <c r="R346" i="51"/>
  <c r="R323" i="51"/>
  <c r="R278" i="51"/>
  <c r="R246" i="51"/>
  <c r="R293" i="51"/>
  <c r="R222" i="51"/>
  <c r="R200" i="51"/>
  <c r="R176" i="51"/>
  <c r="R155" i="51"/>
  <c r="R108" i="51"/>
  <c r="R131" i="51"/>
  <c r="R44" i="51"/>
  <c r="Z372" i="51"/>
  <c r="Z346" i="51"/>
  <c r="Z323" i="51"/>
  <c r="Z278" i="51"/>
  <c r="Z246" i="51"/>
  <c r="Z293" i="51"/>
  <c r="Z222" i="51"/>
  <c r="Z200" i="51"/>
  <c r="Z176" i="51"/>
  <c r="Z155" i="51"/>
  <c r="Z108" i="51"/>
  <c r="Z131" i="51"/>
  <c r="Z72" i="51"/>
  <c r="Z44" i="51"/>
  <c r="E383" i="51"/>
  <c r="E358" i="51"/>
  <c r="E242" i="51"/>
  <c r="E326" i="51"/>
  <c r="E301" i="51"/>
  <c r="E283" i="51"/>
  <c r="E231" i="51"/>
  <c r="E178" i="51"/>
  <c r="E203" i="51"/>
  <c r="E160" i="51"/>
  <c r="E137" i="51"/>
  <c r="E99" i="51"/>
  <c r="E81" i="51"/>
  <c r="E60" i="51"/>
  <c r="I344" i="51"/>
  <c r="I318" i="51"/>
  <c r="I380" i="51"/>
  <c r="I286" i="51"/>
  <c r="I241" i="51"/>
  <c r="I291" i="51"/>
  <c r="I157" i="51"/>
  <c r="I206" i="51"/>
  <c r="I182" i="51"/>
  <c r="I224" i="51"/>
  <c r="I133" i="51"/>
  <c r="I106" i="51"/>
  <c r="I49" i="51"/>
  <c r="Q344" i="51"/>
  <c r="Q318" i="51"/>
  <c r="Q380" i="51"/>
  <c r="Q286" i="51"/>
  <c r="Q241" i="51"/>
  <c r="Q291" i="51"/>
  <c r="Q157" i="51"/>
  <c r="Q206" i="51"/>
  <c r="Q182" i="51"/>
  <c r="Q224" i="51"/>
  <c r="Q106" i="51"/>
  <c r="Q133" i="51"/>
  <c r="Q74" i="51"/>
  <c r="Q49" i="51"/>
  <c r="Y344" i="51"/>
  <c r="Y318" i="51"/>
  <c r="Y380" i="51"/>
  <c r="Y286" i="51"/>
  <c r="Y241" i="51"/>
  <c r="Y291" i="51"/>
  <c r="Y157" i="51"/>
  <c r="Y206" i="51"/>
  <c r="Y182" i="51"/>
  <c r="Y224" i="51"/>
  <c r="Y106" i="51"/>
  <c r="Y133" i="51"/>
  <c r="Y74" i="51"/>
  <c r="Y49" i="51"/>
  <c r="G379" i="51"/>
  <c r="G348" i="51"/>
  <c r="G322" i="51"/>
  <c r="G281" i="51"/>
  <c r="G294" i="51"/>
  <c r="G201" i="51"/>
  <c r="G177" i="51"/>
  <c r="G156" i="51"/>
  <c r="G226" i="51"/>
  <c r="G245" i="51"/>
  <c r="G129" i="51"/>
  <c r="G110" i="51"/>
  <c r="G76" i="51"/>
  <c r="F76" i="51" s="1"/>
  <c r="E76" i="51" s="1"/>
  <c r="G50" i="51"/>
  <c r="AU20" i="51"/>
  <c r="AT20" i="51" s="1"/>
  <c r="C337" i="51"/>
  <c r="C373" i="51"/>
  <c r="C362" i="51"/>
  <c r="C274" i="51"/>
  <c r="C260" i="51"/>
  <c r="C304" i="51"/>
  <c r="C162" i="51"/>
  <c r="C205" i="51"/>
  <c r="C234" i="51"/>
  <c r="C180" i="51"/>
  <c r="C109" i="51"/>
  <c r="C135" i="51"/>
  <c r="AF134" i="51" s="1"/>
  <c r="C84" i="51"/>
  <c r="C56" i="51"/>
  <c r="S337" i="51"/>
  <c r="S373" i="51"/>
  <c r="S362" i="51"/>
  <c r="S274" i="51"/>
  <c r="S260" i="51"/>
  <c r="S304" i="51"/>
  <c r="S234" i="51"/>
  <c r="S162" i="51"/>
  <c r="S205" i="51"/>
  <c r="S180" i="51"/>
  <c r="S109" i="51"/>
  <c r="S135" i="51"/>
  <c r="S56" i="51"/>
  <c r="F342" i="51"/>
  <c r="F381" i="51"/>
  <c r="F317" i="51"/>
  <c r="F284" i="51"/>
  <c r="F244" i="51"/>
  <c r="F292" i="51"/>
  <c r="F204" i="51"/>
  <c r="F232" i="51"/>
  <c r="F179" i="51"/>
  <c r="F152" i="51"/>
  <c r="F112" i="51"/>
  <c r="F123" i="51"/>
  <c r="F55" i="51"/>
  <c r="J375" i="51"/>
  <c r="J354" i="51"/>
  <c r="J324" i="51"/>
  <c r="J303" i="51"/>
  <c r="J268" i="51"/>
  <c r="J249" i="51"/>
  <c r="J187" i="51"/>
  <c r="J212" i="51"/>
  <c r="J149" i="51"/>
  <c r="J219" i="51"/>
  <c r="J132" i="51"/>
  <c r="J92" i="51"/>
  <c r="J47" i="51"/>
  <c r="R375" i="51"/>
  <c r="R354" i="51"/>
  <c r="R324" i="51"/>
  <c r="R303" i="51"/>
  <c r="R268" i="51"/>
  <c r="R249" i="51"/>
  <c r="R187" i="51"/>
  <c r="R212" i="51"/>
  <c r="R149" i="51"/>
  <c r="R219" i="51"/>
  <c r="R132" i="51"/>
  <c r="R92" i="51"/>
  <c r="R47" i="51"/>
  <c r="Z375" i="51"/>
  <c r="Z354" i="51"/>
  <c r="Z324" i="51"/>
  <c r="Z303" i="51"/>
  <c r="Z268" i="51"/>
  <c r="Z249" i="51"/>
  <c r="Z187" i="51"/>
  <c r="Z212" i="51"/>
  <c r="Z149" i="51"/>
  <c r="Z219" i="51"/>
  <c r="Z132" i="51"/>
  <c r="Z92" i="51"/>
  <c r="Z69" i="51"/>
  <c r="Z47" i="51"/>
  <c r="E350" i="51"/>
  <c r="E310" i="51"/>
  <c r="E370" i="51"/>
  <c r="E275" i="51"/>
  <c r="E328" i="51"/>
  <c r="E254" i="51"/>
  <c r="E216" i="51"/>
  <c r="E193" i="51"/>
  <c r="E167" i="51"/>
  <c r="E143" i="51"/>
  <c r="E119" i="51"/>
  <c r="E97" i="51"/>
  <c r="E41" i="51"/>
  <c r="AU25" i="51"/>
  <c r="AT25" i="51" s="1"/>
  <c r="C357" i="51"/>
  <c r="C386" i="51"/>
  <c r="C332" i="51"/>
  <c r="C309" i="51"/>
  <c r="C267" i="51"/>
  <c r="C258" i="51"/>
  <c r="C198" i="51"/>
  <c r="C171" i="51"/>
  <c r="C230" i="51"/>
  <c r="C150" i="51"/>
  <c r="C122" i="51"/>
  <c r="AF121" i="51" s="1"/>
  <c r="C103" i="51"/>
  <c r="C80" i="51"/>
  <c r="C53" i="51"/>
  <c r="S357" i="51"/>
  <c r="S386" i="51"/>
  <c r="S332" i="51"/>
  <c r="S309" i="51"/>
  <c r="S267" i="51"/>
  <c r="S258" i="51"/>
  <c r="S198" i="51"/>
  <c r="S171" i="51"/>
  <c r="S230" i="51"/>
  <c r="S150" i="51"/>
  <c r="S122" i="51"/>
  <c r="S103" i="51"/>
  <c r="S53" i="51"/>
  <c r="G306" i="51"/>
  <c r="G327" i="51"/>
  <c r="G351" i="51"/>
  <c r="G367" i="51"/>
  <c r="G253" i="51"/>
  <c r="G282" i="51"/>
  <c r="G223" i="51"/>
  <c r="G209" i="51"/>
  <c r="G183" i="51"/>
  <c r="G120" i="51"/>
  <c r="G145" i="51"/>
  <c r="G95" i="51"/>
  <c r="G73" i="51"/>
  <c r="F73" i="51" s="1"/>
  <c r="E73" i="51" s="1"/>
  <c r="G48" i="51"/>
  <c r="G347" i="51"/>
  <c r="G321" i="51"/>
  <c r="G374" i="51"/>
  <c r="G302" i="51"/>
  <c r="G272" i="51"/>
  <c r="G251" i="51"/>
  <c r="G210" i="51"/>
  <c r="G228" i="51"/>
  <c r="G184" i="51"/>
  <c r="G148" i="51"/>
  <c r="G124" i="51"/>
  <c r="G102" i="51"/>
  <c r="G78" i="51"/>
  <c r="F78" i="51" s="1"/>
  <c r="E78" i="51" s="1"/>
  <c r="G54" i="51"/>
  <c r="R378" i="51"/>
  <c r="R247" i="51"/>
  <c r="R319" i="51"/>
  <c r="R297" i="51"/>
  <c r="R280" i="51"/>
  <c r="R345" i="51"/>
  <c r="R217" i="51"/>
  <c r="R197" i="51"/>
  <c r="R173" i="51"/>
  <c r="R153" i="51"/>
  <c r="R105" i="51"/>
  <c r="R126" i="51"/>
  <c r="R42" i="51"/>
  <c r="I334" i="51"/>
  <c r="I387" i="51"/>
  <c r="I356" i="51"/>
  <c r="I300" i="51"/>
  <c r="I266" i="51"/>
  <c r="I236" i="51"/>
  <c r="I255" i="51"/>
  <c r="I191" i="51"/>
  <c r="I166" i="51"/>
  <c r="I161" i="51"/>
  <c r="I128" i="51"/>
  <c r="I111" i="51"/>
  <c r="I61" i="51"/>
  <c r="G341" i="51"/>
  <c r="G382" i="51"/>
  <c r="G316" i="51"/>
  <c r="G252" i="51"/>
  <c r="G298" i="51"/>
  <c r="G287" i="51"/>
  <c r="G186" i="51"/>
  <c r="G211" i="51"/>
  <c r="G229" i="51"/>
  <c r="G142" i="51"/>
  <c r="G116" i="51"/>
  <c r="G93" i="51"/>
  <c r="G79" i="51"/>
  <c r="F79" i="51" s="1"/>
  <c r="E79" i="51" s="1"/>
  <c r="G58" i="51"/>
  <c r="Y334" i="51"/>
  <c r="Y387" i="51"/>
  <c r="Y356" i="51"/>
  <c r="Y300" i="51"/>
  <c r="Y266" i="51"/>
  <c r="Y236" i="51"/>
  <c r="Y255" i="51"/>
  <c r="Y191" i="51"/>
  <c r="Y166" i="51"/>
  <c r="Y161" i="51"/>
  <c r="Y128" i="51"/>
  <c r="Y111" i="51"/>
  <c r="Y86" i="51"/>
  <c r="Y61" i="51"/>
  <c r="Q347" i="51"/>
  <c r="Q321" i="51"/>
  <c r="Q374" i="51"/>
  <c r="Q251" i="51"/>
  <c r="Q302" i="51"/>
  <c r="Q272" i="51"/>
  <c r="Q184" i="51"/>
  <c r="Q210" i="51"/>
  <c r="Q228" i="51"/>
  <c r="Q102" i="51"/>
  <c r="Q148" i="51"/>
  <c r="Q124" i="51"/>
  <c r="Q78" i="51"/>
  <c r="Q54" i="51"/>
  <c r="Y347" i="51"/>
  <c r="Y321" i="51"/>
  <c r="Y374" i="51"/>
  <c r="Y251" i="51"/>
  <c r="Y302" i="51"/>
  <c r="Y272" i="51"/>
  <c r="Y184" i="51"/>
  <c r="Y210" i="51"/>
  <c r="Y228" i="51"/>
  <c r="Y102" i="51"/>
  <c r="Y148" i="51"/>
  <c r="Y124" i="51"/>
  <c r="Y78" i="51"/>
  <c r="Y54" i="51"/>
  <c r="AU14" i="51"/>
  <c r="AT14" i="51" s="1"/>
  <c r="C333" i="51"/>
  <c r="C385" i="51"/>
  <c r="C312" i="51"/>
  <c r="C359" i="51"/>
  <c r="C262" i="51"/>
  <c r="C271" i="51"/>
  <c r="C225" i="51"/>
  <c r="C208" i="51"/>
  <c r="C185" i="51"/>
  <c r="C117" i="51"/>
  <c r="AF116" i="51" s="1"/>
  <c r="C141" i="51"/>
  <c r="AF137" i="51" s="1"/>
  <c r="C91" i="51"/>
  <c r="C75" i="51"/>
  <c r="C52" i="51"/>
  <c r="T359" i="51"/>
  <c r="T333" i="51"/>
  <c r="T385" i="51"/>
  <c r="T262" i="51"/>
  <c r="T271" i="51"/>
  <c r="T312" i="51"/>
  <c r="T225" i="51"/>
  <c r="T208" i="51"/>
  <c r="T185" i="51"/>
  <c r="T91" i="51"/>
  <c r="T117" i="51"/>
  <c r="T141" i="51"/>
  <c r="T75" i="51"/>
  <c r="T52" i="51"/>
  <c r="I346" i="51"/>
  <c r="I323" i="51"/>
  <c r="I372" i="51"/>
  <c r="I278" i="51"/>
  <c r="I246" i="51"/>
  <c r="I293" i="51"/>
  <c r="I200" i="51"/>
  <c r="I176" i="51"/>
  <c r="I155" i="51"/>
  <c r="I222" i="51"/>
  <c r="I108" i="51"/>
  <c r="I131" i="51"/>
  <c r="I44" i="51"/>
  <c r="Q346" i="51"/>
  <c r="Q323" i="51"/>
  <c r="Q278" i="51"/>
  <c r="Q372" i="51"/>
  <c r="Q246" i="51"/>
  <c r="Q293" i="51"/>
  <c r="Q200" i="51"/>
  <c r="Q176" i="51"/>
  <c r="Q155" i="51"/>
  <c r="Q222" i="51"/>
  <c r="Q108" i="51"/>
  <c r="Q131" i="51"/>
  <c r="Q72" i="51"/>
  <c r="Q44" i="51"/>
  <c r="Y346" i="51"/>
  <c r="Y323" i="51"/>
  <c r="Y278" i="51"/>
  <c r="Y246" i="51"/>
  <c r="Y372" i="51"/>
  <c r="Y293" i="51"/>
  <c r="Y200" i="51"/>
  <c r="Y176" i="51"/>
  <c r="Y155" i="51"/>
  <c r="Y222" i="51"/>
  <c r="Y108" i="51"/>
  <c r="Y131" i="51"/>
  <c r="Y72" i="51"/>
  <c r="Y44" i="51"/>
  <c r="AU18" i="51"/>
  <c r="AT18" i="51" s="1"/>
  <c r="C361" i="51"/>
  <c r="C335" i="51"/>
  <c r="C311" i="51"/>
  <c r="C368" i="51"/>
  <c r="C270" i="51"/>
  <c r="C261" i="51"/>
  <c r="C194" i="51"/>
  <c r="C220" i="51"/>
  <c r="C169" i="51"/>
  <c r="C125" i="51"/>
  <c r="AF124" i="51" s="1"/>
  <c r="C147" i="51"/>
  <c r="C94" i="51"/>
  <c r="C70" i="51"/>
  <c r="C46" i="51"/>
  <c r="S361" i="51"/>
  <c r="S335" i="51"/>
  <c r="S311" i="51"/>
  <c r="S368" i="51"/>
  <c r="S270" i="51"/>
  <c r="S261" i="51"/>
  <c r="S194" i="51"/>
  <c r="S220" i="51"/>
  <c r="S169" i="51"/>
  <c r="S125" i="51"/>
  <c r="S147" i="51"/>
  <c r="S94" i="51"/>
  <c r="S46" i="51"/>
  <c r="F379" i="51"/>
  <c r="F348" i="51"/>
  <c r="F322" i="51"/>
  <c r="F281" i="51"/>
  <c r="F294" i="51"/>
  <c r="F245" i="51"/>
  <c r="F201" i="51"/>
  <c r="F177" i="51"/>
  <c r="F156" i="51"/>
  <c r="F226" i="51"/>
  <c r="F129" i="51"/>
  <c r="F110" i="51"/>
  <c r="F50" i="51"/>
  <c r="J337" i="51"/>
  <c r="J373" i="51"/>
  <c r="J362" i="51"/>
  <c r="J304" i="51"/>
  <c r="J274" i="51"/>
  <c r="J260" i="51"/>
  <c r="J234" i="51"/>
  <c r="J205" i="51"/>
  <c r="J180" i="51"/>
  <c r="J162" i="51"/>
  <c r="J109" i="51"/>
  <c r="J135" i="51"/>
  <c r="J56" i="51"/>
  <c r="R337" i="51"/>
  <c r="R373" i="51"/>
  <c r="R362" i="51"/>
  <c r="R274" i="51"/>
  <c r="R260" i="51"/>
  <c r="R304" i="51"/>
  <c r="R234" i="51"/>
  <c r="R205" i="51"/>
  <c r="R180" i="51"/>
  <c r="R162" i="51"/>
  <c r="R109" i="51"/>
  <c r="R135" i="51"/>
  <c r="R56" i="51"/>
  <c r="Z337" i="51"/>
  <c r="Z373" i="51"/>
  <c r="Z362" i="51"/>
  <c r="Z304" i="51"/>
  <c r="Z274" i="51"/>
  <c r="Z260" i="51"/>
  <c r="Z234" i="51"/>
  <c r="Z205" i="51"/>
  <c r="Z180" i="51"/>
  <c r="Z162" i="51"/>
  <c r="Z109" i="51"/>
  <c r="Z135" i="51"/>
  <c r="Z84" i="51"/>
  <c r="Z56" i="51"/>
  <c r="E342" i="51"/>
  <c r="E381" i="51"/>
  <c r="E317" i="51"/>
  <c r="E284" i="51"/>
  <c r="E244" i="51"/>
  <c r="E232" i="51"/>
  <c r="E292" i="51"/>
  <c r="E204" i="51"/>
  <c r="E179" i="51"/>
  <c r="E152" i="51"/>
  <c r="E123" i="51"/>
  <c r="E112" i="51"/>
  <c r="E55" i="51"/>
  <c r="I375" i="51"/>
  <c r="I354" i="51"/>
  <c r="I303" i="51"/>
  <c r="I324" i="51"/>
  <c r="I268" i="51"/>
  <c r="I249" i="51"/>
  <c r="I212" i="51"/>
  <c r="I219" i="51"/>
  <c r="I187" i="51"/>
  <c r="I149" i="51"/>
  <c r="I132" i="51"/>
  <c r="I92" i="51"/>
  <c r="I47" i="51"/>
  <c r="Q354" i="51"/>
  <c r="Q303" i="51"/>
  <c r="Q324" i="51"/>
  <c r="Q268" i="51"/>
  <c r="Q249" i="51"/>
  <c r="Q375" i="51"/>
  <c r="Q212" i="51"/>
  <c r="Q219" i="51"/>
  <c r="Q187" i="51"/>
  <c r="Q149" i="51"/>
  <c r="Q132" i="51"/>
  <c r="Q92" i="51"/>
  <c r="Q69" i="51"/>
  <c r="Q47" i="51"/>
  <c r="Y354" i="51"/>
  <c r="Y303" i="51"/>
  <c r="Y268" i="51"/>
  <c r="Y249" i="51"/>
  <c r="Y324" i="51"/>
  <c r="Y375" i="51"/>
  <c r="Y212" i="51"/>
  <c r="Y149" i="51"/>
  <c r="Y219" i="51"/>
  <c r="Y187" i="51"/>
  <c r="Y132" i="51"/>
  <c r="Y92" i="51"/>
  <c r="Y69" i="51"/>
  <c r="Y47" i="51"/>
  <c r="G308" i="51"/>
  <c r="G329" i="51"/>
  <c r="G369" i="51"/>
  <c r="G353" i="51"/>
  <c r="G279" i="51"/>
  <c r="G257" i="51"/>
  <c r="G195" i="51"/>
  <c r="G221" i="51"/>
  <c r="G170" i="51"/>
  <c r="G118" i="51"/>
  <c r="G101" i="51"/>
  <c r="G144" i="51"/>
  <c r="G71" i="51"/>
  <c r="F71" i="51" s="1"/>
  <c r="E71" i="51" s="1"/>
  <c r="G45" i="51"/>
  <c r="J357" i="51"/>
  <c r="J386" i="51"/>
  <c r="J332" i="51"/>
  <c r="J267" i="51"/>
  <c r="J258" i="51"/>
  <c r="J309" i="51"/>
  <c r="J198" i="51"/>
  <c r="J171" i="51"/>
  <c r="J230" i="51"/>
  <c r="J122" i="51"/>
  <c r="J103" i="51"/>
  <c r="J150" i="51"/>
  <c r="J53" i="51"/>
  <c r="R357" i="51"/>
  <c r="R386" i="51"/>
  <c r="R332" i="51"/>
  <c r="R309" i="51"/>
  <c r="R267" i="51"/>
  <c r="R258" i="51"/>
  <c r="R198" i="51"/>
  <c r="R171" i="51"/>
  <c r="R230" i="51"/>
  <c r="R150" i="51"/>
  <c r="R122" i="51"/>
  <c r="R103" i="51"/>
  <c r="R53" i="51"/>
  <c r="F327" i="51"/>
  <c r="F351" i="51"/>
  <c r="F367" i="51"/>
  <c r="F306" i="51"/>
  <c r="F253" i="51"/>
  <c r="F282" i="51"/>
  <c r="F183" i="51"/>
  <c r="F223" i="51"/>
  <c r="F209" i="51"/>
  <c r="F145" i="51"/>
  <c r="F95" i="51"/>
  <c r="F120" i="51"/>
  <c r="F48" i="51"/>
  <c r="I355" i="51"/>
  <c r="I388" i="51"/>
  <c r="I330" i="51"/>
  <c r="I237" i="51"/>
  <c r="I299" i="51"/>
  <c r="I269" i="51"/>
  <c r="I250" i="51"/>
  <c r="I192" i="51"/>
  <c r="I168" i="51"/>
  <c r="I159" i="51"/>
  <c r="I96" i="51"/>
  <c r="I136" i="51"/>
  <c r="I62" i="51"/>
  <c r="F387" i="51"/>
  <c r="F356" i="51"/>
  <c r="F334" i="51"/>
  <c r="F255" i="51"/>
  <c r="F300" i="51"/>
  <c r="F266" i="51"/>
  <c r="F236" i="51"/>
  <c r="F161" i="51"/>
  <c r="F191" i="51"/>
  <c r="F166" i="51"/>
  <c r="F128" i="51"/>
  <c r="F111" i="51"/>
  <c r="F61" i="51"/>
  <c r="F352" i="51"/>
  <c r="F331" i="51"/>
  <c r="F305" i="51"/>
  <c r="F376" i="51"/>
  <c r="F256" i="51"/>
  <c r="F277" i="51"/>
  <c r="F172" i="51"/>
  <c r="F196" i="51"/>
  <c r="F233" i="51"/>
  <c r="F121" i="51"/>
  <c r="F98" i="51"/>
  <c r="F146" i="51"/>
  <c r="F59" i="51"/>
  <c r="I385" i="51"/>
  <c r="I312" i="51"/>
  <c r="I359" i="51"/>
  <c r="I333" i="51"/>
  <c r="I271" i="51"/>
  <c r="I262" i="51"/>
  <c r="I208" i="51"/>
  <c r="I185" i="51"/>
  <c r="I225" i="51"/>
  <c r="I117" i="51"/>
  <c r="I141" i="51"/>
  <c r="I91" i="51"/>
  <c r="I52" i="51"/>
  <c r="J358" i="51"/>
  <c r="J326" i="51"/>
  <c r="J383" i="51"/>
  <c r="J242" i="51"/>
  <c r="J301" i="51"/>
  <c r="J283" i="51"/>
  <c r="J178" i="51"/>
  <c r="J203" i="51"/>
  <c r="J160" i="51"/>
  <c r="J231" i="51"/>
  <c r="J137" i="51"/>
  <c r="J99" i="51"/>
  <c r="J60" i="51"/>
  <c r="R334" i="51"/>
  <c r="R387" i="51"/>
  <c r="R356" i="51"/>
  <c r="R300" i="51"/>
  <c r="R266" i="51"/>
  <c r="R236" i="51"/>
  <c r="R255" i="51"/>
  <c r="R191" i="51"/>
  <c r="R166" i="51"/>
  <c r="R161" i="51"/>
  <c r="R128" i="51"/>
  <c r="R111" i="51"/>
  <c r="R61" i="51"/>
  <c r="J347" i="51"/>
  <c r="J374" i="51"/>
  <c r="J251" i="51"/>
  <c r="J321" i="51"/>
  <c r="J302" i="51"/>
  <c r="J272" i="51"/>
  <c r="J184" i="51"/>
  <c r="J210" i="51"/>
  <c r="J228" i="51"/>
  <c r="J102" i="51"/>
  <c r="J148" i="51"/>
  <c r="J124" i="51"/>
  <c r="J54" i="51"/>
  <c r="R347" i="51"/>
  <c r="R374" i="51"/>
  <c r="R251" i="51"/>
  <c r="R302" i="51"/>
  <c r="R272" i="51"/>
  <c r="R321" i="51"/>
  <c r="R184" i="51"/>
  <c r="R210" i="51"/>
  <c r="R228" i="51"/>
  <c r="R102" i="51"/>
  <c r="R148" i="51"/>
  <c r="R124" i="51"/>
  <c r="R54" i="51"/>
  <c r="Q334" i="51"/>
  <c r="Q387" i="51"/>
  <c r="Q356" i="51"/>
  <c r="Q300" i="51"/>
  <c r="Q266" i="51"/>
  <c r="Q236" i="51"/>
  <c r="Q255" i="51"/>
  <c r="Q191" i="51"/>
  <c r="Q166" i="51"/>
  <c r="Q161" i="51"/>
  <c r="Q128" i="51"/>
  <c r="Q111" i="51"/>
  <c r="Q86" i="51"/>
  <c r="Q61" i="51"/>
  <c r="F382" i="51"/>
  <c r="F316" i="51"/>
  <c r="F252" i="51"/>
  <c r="F298" i="51"/>
  <c r="F287" i="51"/>
  <c r="F341" i="51"/>
  <c r="F186" i="51"/>
  <c r="F211" i="51"/>
  <c r="F229" i="51"/>
  <c r="F142" i="51"/>
  <c r="F116" i="51"/>
  <c r="F93" i="51"/>
  <c r="F58" i="51"/>
  <c r="I347" i="51"/>
  <c r="I321" i="51"/>
  <c r="I374" i="51"/>
  <c r="I251" i="51"/>
  <c r="I302" i="51"/>
  <c r="I272" i="51"/>
  <c r="I184" i="51"/>
  <c r="I210" i="51"/>
  <c r="I228" i="51"/>
  <c r="I102" i="51"/>
  <c r="I148" i="51"/>
  <c r="I124" i="51"/>
  <c r="I54" i="51"/>
  <c r="G387" i="51"/>
  <c r="G356" i="51"/>
  <c r="G334" i="51"/>
  <c r="G255" i="51"/>
  <c r="G300" i="51"/>
  <c r="G266" i="51"/>
  <c r="G236" i="51"/>
  <c r="G161" i="51"/>
  <c r="G191" i="51"/>
  <c r="G166" i="51"/>
  <c r="G128" i="51"/>
  <c r="G111" i="51"/>
  <c r="G86" i="51"/>
  <c r="F86" i="51" s="1"/>
  <c r="E86" i="51" s="1"/>
  <c r="G61" i="51"/>
  <c r="E316" i="51"/>
  <c r="E341" i="51"/>
  <c r="E298" i="51"/>
  <c r="E287" i="51"/>
  <c r="E382" i="51"/>
  <c r="E252" i="51"/>
  <c r="E186" i="51"/>
  <c r="E211" i="51"/>
  <c r="E229" i="51"/>
  <c r="E142" i="51"/>
  <c r="E116" i="51"/>
  <c r="E93" i="51"/>
  <c r="E58" i="51"/>
  <c r="AU12" i="51"/>
  <c r="AT12" i="51" s="1"/>
  <c r="C345" i="51"/>
  <c r="C319" i="51"/>
  <c r="C378" i="51"/>
  <c r="C247" i="51"/>
  <c r="C297" i="51"/>
  <c r="C280" i="51"/>
  <c r="C217" i="51"/>
  <c r="C197" i="51"/>
  <c r="C173" i="51"/>
  <c r="C153" i="51"/>
  <c r="C105" i="51"/>
  <c r="C126" i="51"/>
  <c r="AF125" i="51" s="1"/>
  <c r="C67" i="51"/>
  <c r="C42" i="51"/>
  <c r="S345" i="51"/>
  <c r="S319" i="51"/>
  <c r="S378" i="51"/>
  <c r="S247" i="51"/>
  <c r="S297" i="51"/>
  <c r="S280" i="51"/>
  <c r="S217" i="51"/>
  <c r="S197" i="51"/>
  <c r="S173" i="51"/>
  <c r="S153" i="51"/>
  <c r="S105" i="51"/>
  <c r="S126" i="51"/>
  <c r="S42" i="51"/>
  <c r="G376" i="51"/>
  <c r="G352" i="51"/>
  <c r="G331" i="51"/>
  <c r="G256" i="51"/>
  <c r="G305" i="51"/>
  <c r="G277" i="51"/>
  <c r="G233" i="51"/>
  <c r="G172" i="51"/>
  <c r="G196" i="51"/>
  <c r="G121" i="51"/>
  <c r="G98" i="51"/>
  <c r="G146" i="51"/>
  <c r="G83" i="51"/>
  <c r="F83" i="51" s="1"/>
  <c r="E83" i="51" s="1"/>
  <c r="G59" i="51"/>
  <c r="J385" i="51"/>
  <c r="J359" i="51"/>
  <c r="J333" i="51"/>
  <c r="J312" i="51"/>
  <c r="J271" i="51"/>
  <c r="J262" i="51"/>
  <c r="J225" i="51"/>
  <c r="J208" i="51"/>
  <c r="J185" i="51"/>
  <c r="J117" i="51"/>
  <c r="J141" i="51"/>
  <c r="J91" i="51"/>
  <c r="J52" i="51"/>
  <c r="S333" i="51"/>
  <c r="S385" i="51"/>
  <c r="S312" i="51"/>
  <c r="S262" i="51"/>
  <c r="S359" i="51"/>
  <c r="S271" i="51"/>
  <c r="S225" i="51"/>
  <c r="S208" i="51"/>
  <c r="S185" i="51"/>
  <c r="S117" i="51"/>
  <c r="S141" i="51"/>
  <c r="S91" i="51"/>
  <c r="S75" i="51"/>
  <c r="S52" i="51"/>
  <c r="AU16" i="51"/>
  <c r="AT16" i="51" s="1"/>
  <c r="C383" i="51"/>
  <c r="C358" i="51"/>
  <c r="C242" i="51"/>
  <c r="C326" i="51"/>
  <c r="C301" i="51"/>
  <c r="C283" i="51"/>
  <c r="C178" i="51"/>
  <c r="C203" i="51"/>
  <c r="C160" i="51"/>
  <c r="C231" i="51"/>
  <c r="C137" i="51"/>
  <c r="AF136" i="51" s="1"/>
  <c r="C99" i="51"/>
  <c r="C81" i="51"/>
  <c r="C60" i="51"/>
  <c r="S383" i="51"/>
  <c r="S358" i="51"/>
  <c r="S326" i="51"/>
  <c r="S242" i="51"/>
  <c r="S301" i="51"/>
  <c r="S283" i="51"/>
  <c r="S178" i="51"/>
  <c r="S231" i="51"/>
  <c r="S203" i="51"/>
  <c r="S160" i="51"/>
  <c r="S137" i="51"/>
  <c r="S99" i="51"/>
  <c r="S60" i="51"/>
  <c r="G344" i="51"/>
  <c r="G318" i="51"/>
  <c r="G380" i="51"/>
  <c r="G241" i="51"/>
  <c r="G291" i="51"/>
  <c r="G286" i="51"/>
  <c r="G206" i="51"/>
  <c r="G182" i="51"/>
  <c r="G224" i="51"/>
  <c r="G157" i="51"/>
  <c r="G106" i="51"/>
  <c r="G133" i="51"/>
  <c r="G74" i="51"/>
  <c r="F74" i="51" s="1"/>
  <c r="E74" i="51" s="1"/>
  <c r="G49" i="51"/>
  <c r="J361" i="51"/>
  <c r="J335" i="51"/>
  <c r="J311" i="51"/>
  <c r="J368" i="51"/>
  <c r="J270" i="51"/>
  <c r="J261" i="51"/>
  <c r="J194" i="51"/>
  <c r="J220" i="51"/>
  <c r="J169" i="51"/>
  <c r="J125" i="51"/>
  <c r="J147" i="51"/>
  <c r="J94" i="51"/>
  <c r="J46" i="51"/>
  <c r="R361" i="51"/>
  <c r="R335" i="51"/>
  <c r="R311" i="51"/>
  <c r="R368" i="51"/>
  <c r="R270" i="51"/>
  <c r="R261" i="51"/>
  <c r="R194" i="51"/>
  <c r="R220" i="51"/>
  <c r="R169" i="51"/>
  <c r="R125" i="51"/>
  <c r="R147" i="51"/>
  <c r="R94" i="51"/>
  <c r="R46" i="51"/>
  <c r="Z361" i="51"/>
  <c r="Z335" i="51"/>
  <c r="Z311" i="51"/>
  <c r="Z368" i="51"/>
  <c r="Z270" i="51"/>
  <c r="Z261" i="51"/>
  <c r="Z194" i="51"/>
  <c r="Z220" i="51"/>
  <c r="Z169" i="51"/>
  <c r="Z125" i="51"/>
  <c r="Z147" i="51"/>
  <c r="Z94" i="51"/>
  <c r="Z70" i="51"/>
  <c r="Z46" i="51"/>
  <c r="E348" i="51"/>
  <c r="E322" i="51"/>
  <c r="E281" i="51"/>
  <c r="E379" i="51"/>
  <c r="E294" i="51"/>
  <c r="E245" i="51"/>
  <c r="E177" i="51"/>
  <c r="E156" i="51"/>
  <c r="E226" i="51"/>
  <c r="E201" i="51"/>
  <c r="E110" i="51"/>
  <c r="E129" i="51"/>
  <c r="E50" i="51"/>
  <c r="I373" i="51"/>
  <c r="I362" i="51"/>
  <c r="I337" i="51"/>
  <c r="I274" i="51"/>
  <c r="I260" i="51"/>
  <c r="I234" i="51"/>
  <c r="I304" i="51"/>
  <c r="I180" i="51"/>
  <c r="I162" i="51"/>
  <c r="I205" i="51"/>
  <c r="I109" i="51"/>
  <c r="I135" i="51"/>
  <c r="I56" i="51"/>
  <c r="Q373" i="51"/>
  <c r="Q362" i="51"/>
  <c r="Q274" i="51"/>
  <c r="Q260" i="51"/>
  <c r="Q337" i="51"/>
  <c r="Q304" i="51"/>
  <c r="Q234" i="51"/>
  <c r="Q180" i="51"/>
  <c r="Q162" i="51"/>
  <c r="Q205" i="51"/>
  <c r="Q109" i="51"/>
  <c r="Q135" i="51"/>
  <c r="Q56" i="51"/>
  <c r="Y373" i="51"/>
  <c r="Y362" i="51"/>
  <c r="Y304" i="51"/>
  <c r="Y274" i="51"/>
  <c r="Y260" i="51"/>
  <c r="Y337" i="51"/>
  <c r="Y234" i="51"/>
  <c r="Y180" i="51"/>
  <c r="Y162" i="51"/>
  <c r="Y205" i="51"/>
  <c r="Y109" i="51"/>
  <c r="Y135" i="51"/>
  <c r="Y84" i="51"/>
  <c r="Y56" i="51"/>
  <c r="AU23" i="51"/>
  <c r="AT23" i="51" s="1"/>
  <c r="C310" i="51"/>
  <c r="C370" i="51"/>
  <c r="C328" i="51"/>
  <c r="C350" i="51"/>
  <c r="C254" i="51"/>
  <c r="C275" i="51"/>
  <c r="C167" i="51"/>
  <c r="C216" i="51"/>
  <c r="C193" i="51"/>
  <c r="C143" i="51"/>
  <c r="C119" i="51"/>
  <c r="AF118" i="51" s="1"/>
  <c r="C97" i="51"/>
  <c r="C66" i="51"/>
  <c r="C41" i="51"/>
  <c r="S310" i="51"/>
  <c r="S370" i="51"/>
  <c r="S328" i="51"/>
  <c r="S254" i="51"/>
  <c r="S350" i="51"/>
  <c r="S275" i="51"/>
  <c r="S167" i="51"/>
  <c r="S216" i="51"/>
  <c r="S193" i="51"/>
  <c r="S143" i="51"/>
  <c r="S119" i="51"/>
  <c r="S97" i="51"/>
  <c r="S41" i="51"/>
  <c r="F329" i="51"/>
  <c r="F369" i="51"/>
  <c r="F353" i="51"/>
  <c r="F308" i="51"/>
  <c r="F279" i="51"/>
  <c r="F257" i="51"/>
  <c r="F195" i="51"/>
  <c r="F221" i="51"/>
  <c r="F170" i="51"/>
  <c r="F118" i="51"/>
  <c r="F101" i="51"/>
  <c r="F144" i="51"/>
  <c r="F45" i="51"/>
  <c r="I357" i="51"/>
  <c r="I386" i="51"/>
  <c r="I332" i="51"/>
  <c r="I309" i="51"/>
  <c r="I267" i="51"/>
  <c r="I258" i="51"/>
  <c r="I198" i="51"/>
  <c r="I171" i="51"/>
  <c r="I230" i="51"/>
  <c r="I150" i="51"/>
  <c r="I122" i="51"/>
  <c r="I103" i="51"/>
  <c r="I53" i="51"/>
  <c r="Q357" i="51"/>
  <c r="Q386" i="51"/>
  <c r="Q332" i="51"/>
  <c r="Q309" i="51"/>
  <c r="Q267" i="51"/>
  <c r="Q258" i="51"/>
  <c r="Q198" i="51"/>
  <c r="Q171" i="51"/>
  <c r="Q230" i="51"/>
  <c r="Q150" i="51"/>
  <c r="Q122" i="51"/>
  <c r="Q103" i="51"/>
  <c r="Q80" i="51"/>
  <c r="Q53" i="51"/>
  <c r="Y357" i="51"/>
  <c r="Y386" i="51"/>
  <c r="Y332" i="51"/>
  <c r="Y309" i="51"/>
  <c r="Y267" i="51"/>
  <c r="Y258" i="51"/>
  <c r="Y230" i="51"/>
  <c r="Y198" i="51"/>
  <c r="Y171" i="51"/>
  <c r="Y150" i="51"/>
  <c r="Y122" i="51"/>
  <c r="Y103" i="51"/>
  <c r="Y80" i="51"/>
  <c r="Y53" i="51"/>
  <c r="E306" i="51"/>
  <c r="E327" i="51"/>
  <c r="E351" i="51"/>
  <c r="E367" i="51"/>
  <c r="E253" i="51"/>
  <c r="E282" i="51"/>
  <c r="E183" i="51"/>
  <c r="E223" i="51"/>
  <c r="E209" i="51"/>
  <c r="E95" i="51"/>
  <c r="E120" i="51"/>
  <c r="E145" i="51"/>
  <c r="E48" i="51"/>
  <c r="Y361" i="51"/>
  <c r="Y335" i="51"/>
  <c r="Y311" i="51"/>
  <c r="Y368" i="51"/>
  <c r="Y270" i="51"/>
  <c r="Y261" i="51"/>
  <c r="Y194" i="51"/>
  <c r="Y220" i="51"/>
  <c r="Y169" i="51"/>
  <c r="Y125" i="51"/>
  <c r="Y147" i="51"/>
  <c r="Y94" i="51"/>
  <c r="Y70" i="51"/>
  <c r="Y46" i="51"/>
  <c r="AU21" i="51"/>
  <c r="AT21" i="51" s="1"/>
  <c r="C381" i="51"/>
  <c r="C317" i="51"/>
  <c r="C292" i="51"/>
  <c r="C342" i="51"/>
  <c r="C284" i="51"/>
  <c r="C244" i="51"/>
  <c r="C179" i="51"/>
  <c r="C152" i="51"/>
  <c r="C232" i="51"/>
  <c r="C204" i="51"/>
  <c r="C123" i="51"/>
  <c r="AF122" i="51" s="1"/>
  <c r="C112" i="51"/>
  <c r="C82" i="51"/>
  <c r="C55" i="51"/>
  <c r="S381" i="51"/>
  <c r="S317" i="51"/>
  <c r="S244" i="51"/>
  <c r="S342" i="51"/>
  <c r="S292" i="51"/>
  <c r="S284" i="51"/>
  <c r="S232" i="51"/>
  <c r="S179" i="51"/>
  <c r="S152" i="51"/>
  <c r="S204" i="51"/>
  <c r="S123" i="51"/>
  <c r="S112" i="51"/>
  <c r="S55" i="51"/>
  <c r="G324" i="51"/>
  <c r="G375" i="51"/>
  <c r="G354" i="51"/>
  <c r="G303" i="51"/>
  <c r="G268" i="51"/>
  <c r="G249" i="51"/>
  <c r="G212" i="51"/>
  <c r="G219" i="51"/>
  <c r="G187" i="51"/>
  <c r="G149" i="51"/>
  <c r="G132" i="51"/>
  <c r="G92" i="51"/>
  <c r="G69" i="51"/>
  <c r="F69" i="51" s="1"/>
  <c r="E69" i="51" s="1"/>
  <c r="G47" i="51"/>
  <c r="O324" i="51"/>
  <c r="O375" i="51"/>
  <c r="O303" i="51"/>
  <c r="O354" i="51"/>
  <c r="O268" i="51"/>
  <c r="O249" i="51"/>
  <c r="O212" i="51"/>
  <c r="O219" i="51"/>
  <c r="O187" i="51"/>
  <c r="O149" i="51"/>
  <c r="O132" i="51"/>
  <c r="O92" i="51"/>
  <c r="O47" i="51"/>
  <c r="J370" i="51"/>
  <c r="J328" i="51"/>
  <c r="J350" i="51"/>
  <c r="J254" i="51"/>
  <c r="J275" i="51"/>
  <c r="J310" i="51"/>
  <c r="J167" i="51"/>
  <c r="J216" i="51"/>
  <c r="J193" i="51"/>
  <c r="J143" i="51"/>
  <c r="J119" i="51"/>
  <c r="J97" i="51"/>
  <c r="J41" i="51"/>
  <c r="R370" i="51"/>
  <c r="R328" i="51"/>
  <c r="R350" i="51"/>
  <c r="R310" i="51"/>
  <c r="R254" i="51"/>
  <c r="R275" i="51"/>
  <c r="R167" i="51"/>
  <c r="R216" i="51"/>
  <c r="R193" i="51"/>
  <c r="R119" i="51"/>
  <c r="R97" i="51"/>
  <c r="R143" i="51"/>
  <c r="R41" i="51"/>
  <c r="Z370" i="51"/>
  <c r="Z328" i="51"/>
  <c r="Z350" i="51"/>
  <c r="Z310" i="51"/>
  <c r="Z254" i="51"/>
  <c r="Z275" i="51"/>
  <c r="Z167" i="51"/>
  <c r="Z216" i="51"/>
  <c r="Z193" i="51"/>
  <c r="Z119" i="51"/>
  <c r="Z97" i="51"/>
  <c r="Z143" i="51"/>
  <c r="Z66" i="51"/>
  <c r="Z41" i="51"/>
  <c r="E329" i="51"/>
  <c r="E369" i="51"/>
  <c r="E353" i="51"/>
  <c r="E308" i="51"/>
  <c r="E279" i="51"/>
  <c r="E257" i="51"/>
  <c r="E221" i="51"/>
  <c r="E170" i="51"/>
  <c r="E195" i="51"/>
  <c r="E118" i="51"/>
  <c r="E101" i="51"/>
  <c r="E144" i="51"/>
  <c r="E45" i="51"/>
  <c r="G355" i="51"/>
  <c r="G388" i="51"/>
  <c r="G330" i="51"/>
  <c r="G237" i="51"/>
  <c r="G299" i="51"/>
  <c r="G269" i="51"/>
  <c r="G250" i="51"/>
  <c r="G192" i="51"/>
  <c r="G168" i="51"/>
  <c r="G159" i="51"/>
  <c r="G136" i="51"/>
  <c r="G96" i="51"/>
  <c r="G87" i="51"/>
  <c r="F87" i="51" s="1"/>
  <c r="E87" i="51" s="1"/>
  <c r="G62" i="51"/>
  <c r="Z307" i="51"/>
  <c r="Z336" i="51"/>
  <c r="Z366" i="51"/>
  <c r="Z360" i="51"/>
  <c r="Z276" i="51"/>
  <c r="Z259" i="51"/>
  <c r="Z181" i="51"/>
  <c r="Z154" i="51"/>
  <c r="Z227" i="51"/>
  <c r="Z207" i="51"/>
  <c r="Z130" i="51"/>
  <c r="Z104" i="51"/>
  <c r="Z77" i="51"/>
  <c r="Z51" i="51"/>
  <c r="E387" i="51"/>
  <c r="E356" i="51"/>
  <c r="E334" i="51"/>
  <c r="E255" i="51"/>
  <c r="E300" i="51"/>
  <c r="E266" i="51"/>
  <c r="E236" i="51"/>
  <c r="E161" i="51"/>
  <c r="E191" i="51"/>
  <c r="E166" i="51"/>
  <c r="E128" i="51"/>
  <c r="E111" i="51"/>
  <c r="E61" i="51"/>
  <c r="V387" i="51"/>
  <c r="V356" i="51"/>
  <c r="V334" i="51"/>
  <c r="V255" i="51"/>
  <c r="V300" i="51"/>
  <c r="V266" i="51"/>
  <c r="V161" i="51"/>
  <c r="V236" i="51"/>
  <c r="V191" i="51"/>
  <c r="V166" i="51"/>
  <c r="V128" i="51"/>
  <c r="V111" i="51"/>
  <c r="V86" i="51"/>
  <c r="V61" i="51"/>
  <c r="AU10" i="51"/>
  <c r="AT10" i="51" s="1"/>
  <c r="C316" i="51"/>
  <c r="C341" i="51"/>
  <c r="C382" i="51"/>
  <c r="C252" i="51"/>
  <c r="C298" i="51"/>
  <c r="C287" i="51"/>
  <c r="C211" i="51"/>
  <c r="C229" i="51"/>
  <c r="C186" i="51"/>
  <c r="C116" i="51"/>
  <c r="C93" i="51"/>
  <c r="C142" i="51"/>
  <c r="C79" i="51"/>
  <c r="C58" i="51"/>
  <c r="S316" i="51"/>
  <c r="S341" i="51"/>
  <c r="S382" i="51"/>
  <c r="S252" i="51"/>
  <c r="S298" i="51"/>
  <c r="S287" i="51"/>
  <c r="S211" i="51"/>
  <c r="S229" i="51"/>
  <c r="S186" i="51"/>
  <c r="S116" i="51"/>
  <c r="S93" i="51"/>
  <c r="S142" i="51"/>
  <c r="S58" i="51"/>
  <c r="F347" i="51"/>
  <c r="F321" i="51"/>
  <c r="F374" i="51"/>
  <c r="F302" i="51"/>
  <c r="F272" i="51"/>
  <c r="F251" i="51"/>
  <c r="F210" i="51"/>
  <c r="F228" i="51"/>
  <c r="F184" i="51"/>
  <c r="F148" i="51"/>
  <c r="F124" i="51"/>
  <c r="F102" i="51"/>
  <c r="F54" i="51"/>
  <c r="I378" i="51"/>
  <c r="I345" i="51"/>
  <c r="I319" i="51"/>
  <c r="I297" i="51"/>
  <c r="I280" i="51"/>
  <c r="I247" i="51"/>
  <c r="I217" i="51"/>
  <c r="I197" i="51"/>
  <c r="I173" i="51"/>
  <c r="I153" i="51"/>
  <c r="I105" i="51"/>
  <c r="I126" i="51"/>
  <c r="I42" i="51"/>
  <c r="Q378" i="51"/>
  <c r="Q345" i="51"/>
  <c r="Q319" i="51"/>
  <c r="Q297" i="51"/>
  <c r="Q280" i="51"/>
  <c r="Q247" i="51"/>
  <c r="Q217" i="51"/>
  <c r="Q197" i="51"/>
  <c r="Q173" i="51"/>
  <c r="Q153" i="51"/>
  <c r="Q105" i="51"/>
  <c r="Q126" i="51"/>
  <c r="Q67" i="51"/>
  <c r="Q42" i="51"/>
  <c r="Y378" i="51"/>
  <c r="Y345" i="51"/>
  <c r="Y319" i="51"/>
  <c r="Y297" i="51"/>
  <c r="Y280" i="51"/>
  <c r="Y247" i="51"/>
  <c r="Y217" i="51"/>
  <c r="Y197" i="51"/>
  <c r="Y173" i="51"/>
  <c r="Y153" i="51"/>
  <c r="Y105" i="51"/>
  <c r="Y126" i="51"/>
  <c r="Y67" i="51"/>
  <c r="Y42" i="51"/>
  <c r="E331" i="51"/>
  <c r="E376" i="51"/>
  <c r="E352" i="51"/>
  <c r="E256" i="51"/>
  <c r="E305" i="51"/>
  <c r="E277" i="51"/>
  <c r="E233" i="51"/>
  <c r="E172" i="51"/>
  <c r="E196" i="51"/>
  <c r="E121" i="51"/>
  <c r="E98" i="51"/>
  <c r="E146" i="51"/>
  <c r="E59" i="51"/>
  <c r="Q385" i="51"/>
  <c r="Q312" i="51"/>
  <c r="Q359" i="51"/>
  <c r="Q333" i="51"/>
  <c r="Q271" i="51"/>
  <c r="Q262" i="51"/>
  <c r="Q208" i="51"/>
  <c r="Q185" i="51"/>
  <c r="Q225" i="51"/>
  <c r="Q117" i="51"/>
  <c r="Q141" i="51"/>
  <c r="Q91" i="51"/>
  <c r="Q75" i="51"/>
  <c r="Q52" i="51"/>
  <c r="Y385" i="51"/>
  <c r="Y359" i="51"/>
  <c r="Y312" i="51"/>
  <c r="Y333" i="51"/>
  <c r="Y271" i="51"/>
  <c r="Y262" i="51"/>
  <c r="Y208" i="51"/>
  <c r="Y185" i="51"/>
  <c r="Y225" i="51"/>
  <c r="Y117" i="51"/>
  <c r="Y141" i="51"/>
  <c r="Y91" i="51"/>
  <c r="Y75" i="51"/>
  <c r="Y52" i="51"/>
  <c r="F372" i="51"/>
  <c r="F346" i="51"/>
  <c r="F278" i="51"/>
  <c r="F323" i="51"/>
  <c r="F246" i="51"/>
  <c r="F293" i="51"/>
  <c r="F155" i="51"/>
  <c r="F222" i="51"/>
  <c r="F200" i="51"/>
  <c r="F176" i="51"/>
  <c r="F108" i="51"/>
  <c r="F131" i="51"/>
  <c r="F44" i="51"/>
  <c r="I358" i="51"/>
  <c r="I326" i="51"/>
  <c r="I383" i="51"/>
  <c r="I301" i="51"/>
  <c r="I283" i="51"/>
  <c r="I203" i="51"/>
  <c r="I160" i="51"/>
  <c r="I231" i="51"/>
  <c r="I242" i="51"/>
  <c r="I178" i="51"/>
  <c r="I137" i="51"/>
  <c r="I99" i="51"/>
  <c r="I60" i="51"/>
  <c r="Q358" i="51"/>
  <c r="Q326" i="51"/>
  <c r="Q383" i="51"/>
  <c r="Q301" i="51"/>
  <c r="Q283" i="51"/>
  <c r="Q242" i="51"/>
  <c r="Q203" i="51"/>
  <c r="Q160" i="51"/>
  <c r="Q178" i="51"/>
  <c r="Q137" i="51"/>
  <c r="Q99" i="51"/>
  <c r="Q81" i="51"/>
  <c r="Q60" i="51"/>
  <c r="Y358" i="51"/>
  <c r="Y326" i="51"/>
  <c r="Y383" i="51"/>
  <c r="Y301" i="51"/>
  <c r="Y283" i="51"/>
  <c r="Y231" i="51"/>
  <c r="Y203" i="51"/>
  <c r="Y160" i="51"/>
  <c r="Y242" i="51"/>
  <c r="Y178" i="51"/>
  <c r="Y137" i="51"/>
  <c r="Y99" i="51"/>
  <c r="Y81" i="51"/>
  <c r="Y60" i="51"/>
  <c r="E380" i="51"/>
  <c r="E241" i="51"/>
  <c r="E291" i="51"/>
  <c r="E286" i="51"/>
  <c r="E344" i="51"/>
  <c r="E318" i="51"/>
  <c r="E224" i="51"/>
  <c r="E157" i="51"/>
  <c r="E206" i="51"/>
  <c r="E182" i="51"/>
  <c r="E133" i="51"/>
  <c r="E106" i="51"/>
  <c r="E49" i="51"/>
  <c r="AU19" i="51"/>
  <c r="AT19" i="51" s="1"/>
  <c r="C348" i="51"/>
  <c r="C322" i="51"/>
  <c r="C379" i="51"/>
  <c r="C294" i="51"/>
  <c r="C245" i="51"/>
  <c r="C281" i="51"/>
  <c r="C156" i="51"/>
  <c r="C226" i="51"/>
  <c r="C201" i="51"/>
  <c r="C177" i="51"/>
  <c r="C110" i="51"/>
  <c r="C129" i="51"/>
  <c r="AF128" i="51" s="1"/>
  <c r="C76" i="51"/>
  <c r="C50" i="51"/>
  <c r="S348" i="51"/>
  <c r="S322" i="51"/>
  <c r="S379" i="51"/>
  <c r="S294" i="51"/>
  <c r="S245" i="51"/>
  <c r="S281" i="51"/>
  <c r="S156" i="51"/>
  <c r="S226" i="51"/>
  <c r="S201" i="51"/>
  <c r="S177" i="51"/>
  <c r="S110" i="51"/>
  <c r="S129" i="51"/>
  <c r="S50" i="51"/>
  <c r="G373" i="51"/>
  <c r="G362" i="51"/>
  <c r="G304" i="51"/>
  <c r="G337" i="51"/>
  <c r="G234" i="51"/>
  <c r="G274" i="51"/>
  <c r="G260" i="51"/>
  <c r="G180" i="51"/>
  <c r="G162" i="51"/>
  <c r="G205" i="51"/>
  <c r="G109" i="51"/>
  <c r="G135" i="51"/>
  <c r="G84" i="51"/>
  <c r="F84" i="51" s="1"/>
  <c r="E84" i="51" s="1"/>
  <c r="G56" i="51"/>
  <c r="J381" i="51"/>
  <c r="J317" i="51"/>
  <c r="J342" i="51"/>
  <c r="J292" i="51"/>
  <c r="J284" i="51"/>
  <c r="J232" i="51"/>
  <c r="J244" i="51"/>
  <c r="J179" i="51"/>
  <c r="J152" i="51"/>
  <c r="J204" i="51"/>
  <c r="J123" i="51"/>
  <c r="J112" i="51"/>
  <c r="J55" i="51"/>
  <c r="R381" i="51"/>
  <c r="R317" i="51"/>
  <c r="R342" i="51"/>
  <c r="R292" i="51"/>
  <c r="R284" i="51"/>
  <c r="R179" i="51"/>
  <c r="R152" i="51"/>
  <c r="R244" i="51"/>
  <c r="R204" i="51"/>
  <c r="R232" i="51"/>
  <c r="R123" i="51"/>
  <c r="R112" i="51"/>
  <c r="R55" i="51"/>
  <c r="Z381" i="51"/>
  <c r="Z317" i="51"/>
  <c r="Z342" i="51"/>
  <c r="Z292" i="51"/>
  <c r="Z284" i="51"/>
  <c r="Z179" i="51"/>
  <c r="Z152" i="51"/>
  <c r="Z232" i="51"/>
  <c r="Z204" i="51"/>
  <c r="Z244" i="51"/>
  <c r="Z123" i="51"/>
  <c r="Z112" i="51"/>
  <c r="Z82" i="51"/>
  <c r="Z55" i="51"/>
  <c r="F324" i="51"/>
  <c r="F375" i="51"/>
  <c r="F354" i="51"/>
  <c r="F303" i="51"/>
  <c r="F268" i="51"/>
  <c r="F249" i="51"/>
  <c r="F219" i="51"/>
  <c r="F187" i="51"/>
  <c r="F212" i="51"/>
  <c r="F149" i="51"/>
  <c r="F132" i="51"/>
  <c r="F92" i="51"/>
  <c r="F47" i="51"/>
  <c r="I370" i="51"/>
  <c r="I328" i="51"/>
  <c r="I350" i="51"/>
  <c r="I310" i="51"/>
  <c r="I254" i="51"/>
  <c r="I275" i="51"/>
  <c r="I167" i="51"/>
  <c r="I216" i="51"/>
  <c r="I193" i="51"/>
  <c r="I97" i="51"/>
  <c r="I143" i="51"/>
  <c r="I119" i="51"/>
  <c r="I41" i="51"/>
  <c r="Q370" i="51"/>
  <c r="Q328" i="51"/>
  <c r="Q350" i="51"/>
  <c r="Q310" i="51"/>
  <c r="Q254" i="51"/>
  <c r="Q275" i="51"/>
  <c r="Q167" i="51"/>
  <c r="Q216" i="51"/>
  <c r="Q193" i="51"/>
  <c r="Q97" i="51"/>
  <c r="Q143" i="51"/>
  <c r="Q119" i="51"/>
  <c r="Q66" i="51"/>
  <c r="Q41" i="51"/>
  <c r="Y370" i="51"/>
  <c r="Y328" i="51"/>
  <c r="Y350" i="51"/>
  <c r="Y310" i="51"/>
  <c r="Y254" i="51"/>
  <c r="Y275" i="51"/>
  <c r="Y167" i="51"/>
  <c r="Y216" i="51"/>
  <c r="Y193" i="51"/>
  <c r="Y97" i="51"/>
  <c r="Y143" i="51"/>
  <c r="Y119" i="51"/>
  <c r="Y66" i="51"/>
  <c r="Y41" i="51"/>
  <c r="G386" i="51"/>
  <c r="G332" i="51"/>
  <c r="G309" i="51"/>
  <c r="G357" i="51"/>
  <c r="G267" i="51"/>
  <c r="G258" i="51"/>
  <c r="G198" i="51"/>
  <c r="G171" i="51"/>
  <c r="G230" i="51"/>
  <c r="G150" i="51"/>
  <c r="G103" i="51"/>
  <c r="G122" i="51"/>
  <c r="G80" i="51"/>
  <c r="F80" i="51" s="1"/>
  <c r="E80" i="51" s="1"/>
  <c r="G53" i="51"/>
  <c r="AU26" i="51"/>
  <c r="AT26" i="51" s="1"/>
  <c r="C327" i="51"/>
  <c r="C351" i="51"/>
  <c r="C367" i="51"/>
  <c r="C306" i="51"/>
  <c r="C253" i="51"/>
  <c r="C282" i="51"/>
  <c r="C183" i="51"/>
  <c r="C223" i="51"/>
  <c r="C209" i="51"/>
  <c r="C95" i="51"/>
  <c r="C120" i="51"/>
  <c r="AF119" i="51" s="1"/>
  <c r="C145" i="51"/>
  <c r="C73" i="51"/>
  <c r="C48" i="51"/>
  <c r="S327" i="51"/>
  <c r="S351" i="51"/>
  <c r="S367" i="51"/>
  <c r="S306" i="51"/>
  <c r="S253" i="51"/>
  <c r="S282" i="51"/>
  <c r="S183" i="51"/>
  <c r="S223" i="51"/>
  <c r="S209" i="51"/>
  <c r="S95" i="51"/>
  <c r="S120" i="51"/>
  <c r="S145" i="51"/>
  <c r="S48" i="51"/>
  <c r="F355" i="51"/>
  <c r="F388" i="51"/>
  <c r="F330" i="51"/>
  <c r="F299" i="51"/>
  <c r="F269" i="51"/>
  <c r="F250" i="51"/>
  <c r="F237" i="51"/>
  <c r="F192" i="51"/>
  <c r="F168" i="51"/>
  <c r="F159" i="51"/>
  <c r="F136" i="51"/>
  <c r="F96" i="51"/>
  <c r="F62" i="51"/>
  <c r="W26" i="51"/>
  <c r="Z358" i="51"/>
  <c r="Z326" i="51"/>
  <c r="Z242" i="51"/>
  <c r="Z383" i="51"/>
  <c r="Z301" i="51"/>
  <c r="Z283" i="51"/>
  <c r="Z178" i="51"/>
  <c r="Z231" i="51"/>
  <c r="Z203" i="51"/>
  <c r="Z160" i="51"/>
  <c r="Z137" i="51"/>
  <c r="Z99" i="51"/>
  <c r="Z81" i="51"/>
  <c r="Z60" i="51"/>
  <c r="Q361" i="51"/>
  <c r="Q335" i="51"/>
  <c r="Q311" i="51"/>
  <c r="Q368" i="51"/>
  <c r="Q270" i="51"/>
  <c r="Q261" i="51"/>
  <c r="Q194" i="51"/>
  <c r="Q220" i="51"/>
  <c r="Q169" i="51"/>
  <c r="Q125" i="51"/>
  <c r="Q147" i="51"/>
  <c r="Q94" i="51"/>
  <c r="Q70" i="51"/>
  <c r="Q46" i="51"/>
  <c r="R366" i="51"/>
  <c r="R307" i="51"/>
  <c r="R336" i="51"/>
  <c r="R276" i="51"/>
  <c r="R360" i="51"/>
  <c r="R259" i="51"/>
  <c r="R181" i="51"/>
  <c r="R154" i="51"/>
  <c r="R227" i="51"/>
  <c r="R207" i="51"/>
  <c r="R130" i="51"/>
  <c r="R104" i="51"/>
  <c r="R51" i="51"/>
  <c r="Q336" i="51"/>
  <c r="Q360" i="51"/>
  <c r="Q366" i="51"/>
  <c r="Q307" i="51"/>
  <c r="Q259" i="51"/>
  <c r="Q276" i="51"/>
  <c r="Q181" i="51"/>
  <c r="Q154" i="51"/>
  <c r="Q227" i="51"/>
  <c r="Q207" i="51"/>
  <c r="Q104" i="51"/>
  <c r="Q130" i="51"/>
  <c r="Q77" i="51"/>
  <c r="Q51" i="51"/>
  <c r="R341" i="51"/>
  <c r="R382" i="51"/>
  <c r="R252" i="51"/>
  <c r="R316" i="51"/>
  <c r="R298" i="51"/>
  <c r="R287" i="51"/>
  <c r="R211" i="51"/>
  <c r="R229" i="51"/>
  <c r="R186" i="51"/>
  <c r="R93" i="51"/>
  <c r="R142" i="51"/>
  <c r="R116" i="51"/>
  <c r="R58" i="51"/>
  <c r="G368" i="51"/>
  <c r="G361" i="51"/>
  <c r="G335" i="51"/>
  <c r="G261" i="51"/>
  <c r="G311" i="51"/>
  <c r="G270" i="51"/>
  <c r="G169" i="51"/>
  <c r="G194" i="51"/>
  <c r="G220" i="51"/>
  <c r="G94" i="51"/>
  <c r="G125" i="51"/>
  <c r="G147" i="51"/>
  <c r="G70" i="51"/>
  <c r="G46" i="51"/>
  <c r="J348" i="51"/>
  <c r="J322" i="51"/>
  <c r="J379" i="51"/>
  <c r="J294" i="51"/>
  <c r="J245" i="51"/>
  <c r="J281" i="51"/>
  <c r="J226" i="51"/>
  <c r="J201" i="51"/>
  <c r="J177" i="51"/>
  <c r="J156" i="51"/>
  <c r="J129" i="51"/>
  <c r="J110" i="51"/>
  <c r="J50" i="51"/>
  <c r="R348" i="51"/>
  <c r="R322" i="51"/>
  <c r="R379" i="51"/>
  <c r="R294" i="51"/>
  <c r="R245" i="51"/>
  <c r="R281" i="51"/>
  <c r="R226" i="51"/>
  <c r="R201" i="51"/>
  <c r="R177" i="51"/>
  <c r="R156" i="51"/>
  <c r="R129" i="51"/>
  <c r="R110" i="51"/>
  <c r="R50" i="51"/>
  <c r="Z348" i="51"/>
  <c r="Z322" i="51"/>
  <c r="Z379" i="51"/>
  <c r="Z294" i="51"/>
  <c r="Z245" i="51"/>
  <c r="Z281" i="51"/>
  <c r="Z226" i="51"/>
  <c r="Z201" i="51"/>
  <c r="Z177" i="51"/>
  <c r="Z156" i="51"/>
  <c r="Z129" i="51"/>
  <c r="Z110" i="51"/>
  <c r="Z76" i="51"/>
  <c r="Z50" i="51"/>
  <c r="F362" i="51"/>
  <c r="F304" i="51"/>
  <c r="F337" i="51"/>
  <c r="F234" i="51"/>
  <c r="F373" i="51"/>
  <c r="F274" i="51"/>
  <c r="F260" i="51"/>
  <c r="F180" i="51"/>
  <c r="F162" i="51"/>
  <c r="F205" i="51"/>
  <c r="F109" i="51"/>
  <c r="F135" i="51"/>
  <c r="F56" i="51"/>
  <c r="I381" i="51"/>
  <c r="I317" i="51"/>
  <c r="I342" i="51"/>
  <c r="I292" i="51"/>
  <c r="I284" i="51"/>
  <c r="I244" i="51"/>
  <c r="I232" i="51"/>
  <c r="I179" i="51"/>
  <c r="I152" i="51"/>
  <c r="I204" i="51"/>
  <c r="I123" i="51"/>
  <c r="I112" i="51"/>
  <c r="I55" i="51"/>
  <c r="Q381" i="51"/>
  <c r="Q317" i="51"/>
  <c r="Q342" i="51"/>
  <c r="Q292" i="51"/>
  <c r="Q284" i="51"/>
  <c r="Q244" i="51"/>
  <c r="Q179" i="51"/>
  <c r="Q152" i="51"/>
  <c r="Q204" i="51"/>
  <c r="Q232" i="51"/>
  <c r="Q123" i="51"/>
  <c r="Q112" i="51"/>
  <c r="Q82" i="51"/>
  <c r="Q55" i="51"/>
  <c r="Y381" i="51"/>
  <c r="Y317" i="51"/>
  <c r="Y342" i="51"/>
  <c r="Y292" i="51"/>
  <c r="Y284" i="51"/>
  <c r="Y244" i="51"/>
  <c r="Y179" i="51"/>
  <c r="Y152" i="51"/>
  <c r="Y232" i="51"/>
  <c r="Y204" i="51"/>
  <c r="Y123" i="51"/>
  <c r="Y112" i="51"/>
  <c r="Y82" i="51"/>
  <c r="Y55" i="51"/>
  <c r="E324" i="51"/>
  <c r="E375" i="51"/>
  <c r="E354" i="51"/>
  <c r="E249" i="51"/>
  <c r="E303" i="51"/>
  <c r="E268" i="51"/>
  <c r="E219" i="51"/>
  <c r="E187" i="51"/>
  <c r="E212" i="51"/>
  <c r="E149" i="51"/>
  <c r="E132" i="51"/>
  <c r="E92" i="51"/>
  <c r="E47" i="51"/>
  <c r="AU24" i="51"/>
  <c r="AT24" i="51" s="1"/>
  <c r="C369" i="51"/>
  <c r="C353" i="51"/>
  <c r="C308" i="51"/>
  <c r="C329" i="51"/>
  <c r="C279" i="51"/>
  <c r="C257" i="51"/>
  <c r="C170" i="51"/>
  <c r="C195" i="51"/>
  <c r="C221" i="51"/>
  <c r="C144" i="51"/>
  <c r="C118" i="51"/>
  <c r="C101" i="51"/>
  <c r="C71" i="51"/>
  <c r="C45" i="51"/>
  <c r="S369" i="51"/>
  <c r="S353" i="51"/>
  <c r="S308" i="51"/>
  <c r="S329" i="51"/>
  <c r="S279" i="51"/>
  <c r="S257" i="51"/>
  <c r="S170" i="51"/>
  <c r="S195" i="51"/>
  <c r="S221" i="51"/>
  <c r="S144" i="51"/>
  <c r="S118" i="51"/>
  <c r="S101" i="51"/>
  <c r="S45" i="51"/>
  <c r="F332" i="51"/>
  <c r="F309" i="51"/>
  <c r="F357" i="51"/>
  <c r="F258" i="51"/>
  <c r="F386" i="51"/>
  <c r="F267" i="51"/>
  <c r="F198" i="51"/>
  <c r="F171" i="51"/>
  <c r="F230" i="51"/>
  <c r="F150" i="51"/>
  <c r="F103" i="51"/>
  <c r="F122" i="51"/>
  <c r="F53" i="51"/>
  <c r="V332" i="51"/>
  <c r="V309" i="51"/>
  <c r="V357" i="51"/>
  <c r="V386" i="51"/>
  <c r="V258" i="51"/>
  <c r="V267" i="51"/>
  <c r="V198" i="51"/>
  <c r="V171" i="51"/>
  <c r="V230" i="51"/>
  <c r="V150" i="51"/>
  <c r="V103" i="51"/>
  <c r="V122" i="51"/>
  <c r="V80" i="51"/>
  <c r="U80" i="51" s="1"/>
  <c r="V53" i="51"/>
  <c r="J351" i="51"/>
  <c r="J367" i="51"/>
  <c r="J282" i="51"/>
  <c r="J306" i="51"/>
  <c r="J327" i="51"/>
  <c r="J253" i="51"/>
  <c r="J223" i="51"/>
  <c r="J209" i="51"/>
  <c r="J183" i="51"/>
  <c r="J120" i="51"/>
  <c r="J145" i="51"/>
  <c r="J95" i="51"/>
  <c r="J48" i="51"/>
  <c r="R351" i="51"/>
  <c r="R367" i="51"/>
  <c r="R282" i="51"/>
  <c r="R306" i="51"/>
  <c r="R327" i="51"/>
  <c r="R253" i="51"/>
  <c r="R223" i="51"/>
  <c r="R209" i="51"/>
  <c r="R183" i="51"/>
  <c r="R120" i="51"/>
  <c r="R145" i="51"/>
  <c r="R95" i="51"/>
  <c r="R48" i="51"/>
  <c r="Z351" i="51"/>
  <c r="Z367" i="51"/>
  <c r="Z282" i="51"/>
  <c r="Z327" i="51"/>
  <c r="Z306" i="51"/>
  <c r="Z253" i="51"/>
  <c r="Z223" i="51"/>
  <c r="Z209" i="51"/>
  <c r="Z183" i="51"/>
  <c r="Z120" i="51"/>
  <c r="Z145" i="51"/>
  <c r="Z95" i="51"/>
  <c r="Z73" i="51"/>
  <c r="Z48" i="51"/>
  <c r="E355" i="51"/>
  <c r="E388" i="51"/>
  <c r="E330" i="51"/>
  <c r="E299" i="51"/>
  <c r="E269" i="51"/>
  <c r="E250" i="51"/>
  <c r="E168" i="51"/>
  <c r="E159" i="51"/>
  <c r="E237" i="51"/>
  <c r="E192" i="51"/>
  <c r="E136" i="51"/>
  <c r="E96" i="51"/>
  <c r="E62" i="51"/>
  <c r="S360" i="51"/>
  <c r="S366" i="51"/>
  <c r="S307" i="51"/>
  <c r="S336" i="51"/>
  <c r="S259" i="51"/>
  <c r="S276" i="51"/>
  <c r="S181" i="51"/>
  <c r="S154" i="51"/>
  <c r="S227" i="51"/>
  <c r="S207" i="51"/>
  <c r="S130" i="51"/>
  <c r="S104" i="51"/>
  <c r="S51" i="51"/>
  <c r="J378" i="51"/>
  <c r="J247" i="51"/>
  <c r="J345" i="51"/>
  <c r="J297" i="51"/>
  <c r="J280" i="51"/>
  <c r="J319" i="51"/>
  <c r="J217" i="51"/>
  <c r="J197" i="51"/>
  <c r="J173" i="51"/>
  <c r="J153" i="51"/>
  <c r="J105" i="51"/>
  <c r="J126" i="51"/>
  <c r="J42" i="51"/>
  <c r="G323" i="51"/>
  <c r="G372" i="51"/>
  <c r="G278" i="51"/>
  <c r="G246" i="51"/>
  <c r="G293" i="51"/>
  <c r="G346" i="51"/>
  <c r="G155" i="51"/>
  <c r="G222" i="51"/>
  <c r="G200" i="51"/>
  <c r="G176" i="51"/>
  <c r="G131" i="51"/>
  <c r="G108" i="51"/>
  <c r="G72" i="51"/>
  <c r="F72" i="51" s="1"/>
  <c r="G44" i="51"/>
  <c r="R358" i="51"/>
  <c r="R326" i="51"/>
  <c r="R383" i="51"/>
  <c r="R242" i="51"/>
  <c r="R301" i="51"/>
  <c r="R283" i="51"/>
  <c r="R178" i="51"/>
  <c r="R231" i="51"/>
  <c r="Q231" i="51" s="1"/>
  <c r="R203" i="51"/>
  <c r="R160" i="51"/>
  <c r="R137" i="51"/>
  <c r="R99" i="51"/>
  <c r="R60" i="51"/>
  <c r="I361" i="51"/>
  <c r="I335" i="51"/>
  <c r="I311" i="51"/>
  <c r="I368" i="51"/>
  <c r="I270" i="51"/>
  <c r="I261" i="51"/>
  <c r="I194" i="51"/>
  <c r="I220" i="51"/>
  <c r="I169" i="51"/>
  <c r="I125" i="51"/>
  <c r="I147" i="51"/>
  <c r="I94" i="51"/>
  <c r="I46" i="51"/>
  <c r="Y336" i="51"/>
  <c r="Y366" i="51"/>
  <c r="Y360" i="51"/>
  <c r="Y307" i="51"/>
  <c r="Y276" i="51"/>
  <c r="Y259" i="51"/>
  <c r="Y181" i="51"/>
  <c r="Y154" i="51"/>
  <c r="Y227" i="51"/>
  <c r="Y207" i="51"/>
  <c r="Y104" i="51"/>
  <c r="Y130" i="51"/>
  <c r="Y77" i="51"/>
  <c r="Y51" i="51"/>
  <c r="U387" i="51"/>
  <c r="U356" i="51"/>
  <c r="U334" i="51"/>
  <c r="U255" i="51"/>
  <c r="U300" i="51"/>
  <c r="U266" i="51"/>
  <c r="U236" i="51"/>
  <c r="U161" i="51"/>
  <c r="U191" i="51"/>
  <c r="U166" i="51"/>
  <c r="U128" i="51"/>
  <c r="U111" i="51"/>
  <c r="U86" i="51"/>
  <c r="U61" i="51"/>
  <c r="J341" i="51"/>
  <c r="J382" i="51"/>
  <c r="J316" i="51"/>
  <c r="J252" i="51"/>
  <c r="J298" i="51"/>
  <c r="J287" i="51"/>
  <c r="J211" i="51"/>
  <c r="J229" i="51"/>
  <c r="J186" i="51"/>
  <c r="J93" i="51"/>
  <c r="J142" i="51"/>
  <c r="J116" i="51"/>
  <c r="J58" i="51"/>
  <c r="E347" i="51"/>
  <c r="E321" i="51"/>
  <c r="E374" i="51"/>
  <c r="E272" i="51"/>
  <c r="E251" i="51"/>
  <c r="E302" i="51"/>
  <c r="E210" i="51"/>
  <c r="E228" i="51"/>
  <c r="E184" i="51"/>
  <c r="E148" i="51"/>
  <c r="E124" i="51"/>
  <c r="E102" i="51"/>
  <c r="E54" i="51"/>
  <c r="G312" i="51"/>
  <c r="G359" i="51"/>
  <c r="G333" i="51"/>
  <c r="G385" i="51"/>
  <c r="G271" i="51"/>
  <c r="G262" i="51"/>
  <c r="G185" i="51"/>
  <c r="G225" i="51"/>
  <c r="G208" i="51"/>
  <c r="G141" i="51"/>
  <c r="G91" i="51"/>
  <c r="G117" i="51"/>
  <c r="G75" i="51"/>
  <c r="F75" i="51" s="1"/>
  <c r="G52" i="51"/>
  <c r="E372" i="51"/>
  <c r="E346" i="51"/>
  <c r="E323" i="51"/>
  <c r="E246" i="51"/>
  <c r="E293" i="51"/>
  <c r="E278" i="51"/>
  <c r="E222" i="51"/>
  <c r="E200" i="51"/>
  <c r="E176" i="51"/>
  <c r="E155" i="51"/>
  <c r="E108" i="51"/>
  <c r="E131" i="51"/>
  <c r="E72" i="51"/>
  <c r="E44" i="51"/>
  <c r="AU9" i="51"/>
  <c r="AT9" i="51" s="1"/>
  <c r="C356" i="51"/>
  <c r="C334" i="51"/>
  <c r="C387" i="51"/>
  <c r="C300" i="51"/>
  <c r="C266" i="51"/>
  <c r="C236" i="51"/>
  <c r="C255" i="51"/>
  <c r="C191" i="51"/>
  <c r="C166" i="51"/>
  <c r="C161" i="51"/>
  <c r="C128" i="51"/>
  <c r="AF127" i="51" s="1"/>
  <c r="C111" i="51"/>
  <c r="C86" i="51"/>
  <c r="C61" i="51"/>
  <c r="T356" i="51"/>
  <c r="T334" i="51"/>
  <c r="T300" i="51"/>
  <c r="T266" i="51"/>
  <c r="T387" i="51"/>
  <c r="T236" i="51"/>
  <c r="T255" i="51"/>
  <c r="T191" i="51"/>
  <c r="T166" i="51"/>
  <c r="T161" i="51"/>
  <c r="T128" i="51"/>
  <c r="T111" i="51"/>
  <c r="T86" i="51"/>
  <c r="S86" i="51" s="1"/>
  <c r="R86" i="51" s="1"/>
  <c r="T61" i="51"/>
  <c r="I341" i="51"/>
  <c r="I382" i="51"/>
  <c r="I316" i="51"/>
  <c r="I252" i="51"/>
  <c r="I298" i="51"/>
  <c r="I287" i="51"/>
  <c r="I229" i="51"/>
  <c r="I186" i="51"/>
  <c r="I211" i="51"/>
  <c r="I93" i="51"/>
  <c r="I142" i="51"/>
  <c r="I116" i="51"/>
  <c r="I58" i="51"/>
  <c r="Q341" i="51"/>
  <c r="Q382" i="51"/>
  <c r="Q316" i="51"/>
  <c r="Q252" i="51"/>
  <c r="Q298" i="51"/>
  <c r="Q287" i="51"/>
  <c r="Q229" i="51"/>
  <c r="Q186" i="51"/>
  <c r="Q211" i="51"/>
  <c r="Q93" i="51"/>
  <c r="Q142" i="51"/>
  <c r="Q116" i="51"/>
  <c r="Q79" i="51"/>
  <c r="Q58" i="51"/>
  <c r="Y341" i="51"/>
  <c r="Y382" i="51"/>
  <c r="Y316" i="51"/>
  <c r="Y298" i="51"/>
  <c r="Y252" i="51"/>
  <c r="Y287" i="51"/>
  <c r="Y229" i="51"/>
  <c r="Y186" i="51"/>
  <c r="Y211" i="51"/>
  <c r="Y93" i="51"/>
  <c r="Y142" i="51"/>
  <c r="Y116" i="51"/>
  <c r="Y79" i="51"/>
  <c r="Y58" i="51"/>
  <c r="G345" i="51"/>
  <c r="G319" i="51"/>
  <c r="G378" i="51"/>
  <c r="G247" i="51"/>
  <c r="G297" i="51"/>
  <c r="G280" i="51"/>
  <c r="G153" i="51"/>
  <c r="G217" i="51"/>
  <c r="G197" i="51"/>
  <c r="G173" i="51"/>
  <c r="G126" i="51"/>
  <c r="G105" i="51"/>
  <c r="G67" i="51"/>
  <c r="F67" i="51" s="1"/>
  <c r="G42" i="51"/>
  <c r="AU13" i="51"/>
  <c r="AT13" i="51" s="1"/>
  <c r="C331" i="51"/>
  <c r="C305" i="51"/>
  <c r="C376" i="51"/>
  <c r="C352" i="51"/>
  <c r="C256" i="51"/>
  <c r="C277" i="51"/>
  <c r="C233" i="51"/>
  <c r="C196" i="51"/>
  <c r="C172" i="51"/>
  <c r="C146" i="51"/>
  <c r="C121" i="51"/>
  <c r="AF120" i="51" s="1"/>
  <c r="C98" i="51"/>
  <c r="C83" i="51"/>
  <c r="C59" i="51"/>
  <c r="S331" i="51"/>
  <c r="S305" i="51"/>
  <c r="S376" i="51"/>
  <c r="S352" i="51"/>
  <c r="S256" i="51"/>
  <c r="S277" i="51"/>
  <c r="S233" i="51"/>
  <c r="S196" i="51"/>
  <c r="S172" i="51"/>
  <c r="S146" i="51"/>
  <c r="S121" i="51"/>
  <c r="S98" i="51"/>
  <c r="S59" i="51"/>
  <c r="F312" i="51"/>
  <c r="F359" i="51"/>
  <c r="F333" i="51"/>
  <c r="F385" i="51"/>
  <c r="F262" i="51"/>
  <c r="F271" i="51"/>
  <c r="F185" i="51"/>
  <c r="F225" i="51"/>
  <c r="F208" i="51"/>
  <c r="F141" i="51"/>
  <c r="F91" i="51"/>
  <c r="F117" i="51"/>
  <c r="F52" i="51"/>
  <c r="G358" i="51"/>
  <c r="G326" i="51"/>
  <c r="G383" i="51"/>
  <c r="G301" i="51"/>
  <c r="G283" i="51"/>
  <c r="G242" i="51"/>
  <c r="G231" i="51"/>
  <c r="G178" i="51"/>
  <c r="G203" i="51"/>
  <c r="G160" i="51"/>
  <c r="G137" i="51"/>
  <c r="G99" i="51"/>
  <c r="G81" i="51"/>
  <c r="F81" i="51" s="1"/>
  <c r="G60" i="51"/>
  <c r="AU17" i="51"/>
  <c r="AT17" i="51" s="1"/>
  <c r="C380" i="51"/>
  <c r="C344" i="51"/>
  <c r="C291" i="51"/>
  <c r="C286" i="51"/>
  <c r="C318" i="51"/>
  <c r="C157" i="51"/>
  <c r="C206" i="51"/>
  <c r="C241" i="51"/>
  <c r="C182" i="51"/>
  <c r="C224" i="51"/>
  <c r="C133" i="51"/>
  <c r="AF132" i="51" s="1"/>
  <c r="C106" i="51"/>
  <c r="C74" i="51"/>
  <c r="C49" i="51"/>
  <c r="S380" i="51"/>
  <c r="S344" i="51"/>
  <c r="S291" i="51"/>
  <c r="S318" i="51"/>
  <c r="S286" i="51"/>
  <c r="S241" i="51"/>
  <c r="S157" i="51"/>
  <c r="S206" i="51"/>
  <c r="S182" i="51"/>
  <c r="S224" i="51"/>
  <c r="S133" i="51"/>
  <c r="S106" i="51"/>
  <c r="S49" i="51"/>
  <c r="F368" i="51"/>
  <c r="F361" i="51"/>
  <c r="F335" i="51"/>
  <c r="F311" i="51"/>
  <c r="F261" i="51"/>
  <c r="F270" i="51"/>
  <c r="F169" i="51"/>
  <c r="F194" i="51"/>
  <c r="F220" i="51"/>
  <c r="F94" i="51"/>
  <c r="F125" i="51"/>
  <c r="F147" i="51"/>
  <c r="F70" i="51"/>
  <c r="F46" i="51"/>
  <c r="I379" i="51"/>
  <c r="I294" i="51"/>
  <c r="I245" i="51"/>
  <c r="I322" i="51"/>
  <c r="I348" i="51"/>
  <c r="I281" i="51"/>
  <c r="I226" i="51"/>
  <c r="I201" i="51"/>
  <c r="I177" i="51"/>
  <c r="I156" i="51"/>
  <c r="I129" i="51"/>
  <c r="I110" i="51"/>
  <c r="I50" i="51"/>
  <c r="Q379" i="51"/>
  <c r="Q294" i="51"/>
  <c r="Q245" i="51"/>
  <c r="Q281" i="51"/>
  <c r="Q348" i="51"/>
  <c r="Q322" i="51"/>
  <c r="Q226" i="51"/>
  <c r="Q201" i="51"/>
  <c r="Q177" i="51"/>
  <c r="Q156" i="51"/>
  <c r="Q129" i="51"/>
  <c r="Q110" i="51"/>
  <c r="Q76" i="51"/>
  <c r="Q50" i="51"/>
  <c r="Y379" i="51"/>
  <c r="Y294" i="51"/>
  <c r="Y245" i="51"/>
  <c r="Y281" i="51"/>
  <c r="Y348" i="51"/>
  <c r="Y322" i="51"/>
  <c r="Y226" i="51"/>
  <c r="Y201" i="51"/>
  <c r="Y177" i="51"/>
  <c r="Y156" i="51"/>
  <c r="Y129" i="51"/>
  <c r="Y110" i="51"/>
  <c r="Y76" i="51"/>
  <c r="Y50" i="51"/>
  <c r="E362" i="51"/>
  <c r="E304" i="51"/>
  <c r="E337" i="51"/>
  <c r="E373" i="51"/>
  <c r="E274" i="51"/>
  <c r="E260" i="51"/>
  <c r="E180" i="51"/>
  <c r="E162" i="51"/>
  <c r="E205" i="51"/>
  <c r="E234" i="51"/>
  <c r="E135" i="51"/>
  <c r="E109" i="51"/>
  <c r="E56" i="51"/>
  <c r="G350" i="51"/>
  <c r="G310" i="51"/>
  <c r="G275" i="51"/>
  <c r="G328" i="51"/>
  <c r="G370" i="51"/>
  <c r="G254" i="51"/>
  <c r="G167" i="51"/>
  <c r="G216" i="51"/>
  <c r="G193" i="51"/>
  <c r="G97" i="51"/>
  <c r="G143" i="51"/>
  <c r="G119" i="51"/>
  <c r="G66" i="51"/>
  <c r="F66" i="51" s="1"/>
  <c r="E66" i="51" s="1"/>
  <c r="G41" i="51"/>
  <c r="J308" i="51"/>
  <c r="J369" i="51"/>
  <c r="J329" i="51"/>
  <c r="J257" i="51"/>
  <c r="J353" i="51"/>
  <c r="J279" i="51"/>
  <c r="J170" i="51"/>
  <c r="J195" i="51"/>
  <c r="J221" i="51"/>
  <c r="J144" i="51"/>
  <c r="J118" i="51"/>
  <c r="J101" i="51"/>
  <c r="J45" i="51"/>
  <c r="R308" i="51"/>
  <c r="R369" i="51"/>
  <c r="R257" i="51"/>
  <c r="R329" i="51"/>
  <c r="R353" i="51"/>
  <c r="R279" i="51"/>
  <c r="R170" i="51"/>
  <c r="R195" i="51"/>
  <c r="R221" i="51"/>
  <c r="R144" i="51"/>
  <c r="R118" i="51"/>
  <c r="R101" i="51"/>
  <c r="R45" i="51"/>
  <c r="Z308" i="51"/>
  <c r="Z257" i="51"/>
  <c r="Z369" i="51"/>
  <c r="Z329" i="51"/>
  <c r="Z353" i="51"/>
  <c r="Z279" i="51"/>
  <c r="Z170" i="51"/>
  <c r="Z195" i="51"/>
  <c r="Z221" i="51"/>
  <c r="Z144" i="51"/>
  <c r="Z118" i="51"/>
  <c r="Z101" i="51"/>
  <c r="Z71" i="51"/>
  <c r="Z45" i="51"/>
  <c r="E332" i="51"/>
  <c r="E309" i="51"/>
  <c r="E357" i="51"/>
  <c r="E386" i="51"/>
  <c r="E258" i="51"/>
  <c r="E267" i="51"/>
  <c r="E230" i="51"/>
  <c r="E198" i="51"/>
  <c r="E171" i="51"/>
  <c r="E150" i="51"/>
  <c r="E122" i="51"/>
  <c r="E103" i="51"/>
  <c r="E53" i="51"/>
  <c r="U332" i="51"/>
  <c r="U309" i="51"/>
  <c r="U357" i="51"/>
  <c r="U386" i="51"/>
  <c r="U258" i="51"/>
  <c r="U267" i="51"/>
  <c r="U230" i="51"/>
  <c r="U150" i="51"/>
  <c r="U198" i="51"/>
  <c r="U171" i="51"/>
  <c r="U122" i="51"/>
  <c r="U103" i="51"/>
  <c r="U53" i="51"/>
  <c r="I351" i="51"/>
  <c r="I367" i="51"/>
  <c r="I306" i="51"/>
  <c r="I327" i="51"/>
  <c r="I253" i="51"/>
  <c r="I282" i="51"/>
  <c r="I223" i="51"/>
  <c r="I209" i="51"/>
  <c r="I183" i="51"/>
  <c r="I120" i="51"/>
  <c r="I145" i="51"/>
  <c r="I95" i="51"/>
  <c r="I48" i="51"/>
  <c r="Q351" i="51"/>
  <c r="Q367" i="51"/>
  <c r="Q306" i="51"/>
  <c r="Q327" i="51"/>
  <c r="Q253" i="51"/>
  <c r="Q282" i="51"/>
  <c r="Q223" i="51"/>
  <c r="Q209" i="51"/>
  <c r="Q183" i="51"/>
  <c r="Q120" i="51"/>
  <c r="Q145" i="51"/>
  <c r="Q95" i="51"/>
  <c r="Q73" i="51"/>
  <c r="Q48" i="51"/>
  <c r="Y351" i="51"/>
  <c r="Y367" i="51"/>
  <c r="Y306" i="51"/>
  <c r="Y327" i="51"/>
  <c r="Y253" i="51"/>
  <c r="Y282" i="51"/>
  <c r="Y223" i="51"/>
  <c r="Y209" i="51"/>
  <c r="Y183" i="51"/>
  <c r="Y120" i="51"/>
  <c r="Y145" i="51"/>
  <c r="Y95" i="51"/>
  <c r="Y73" i="51"/>
  <c r="Y48" i="51"/>
  <c r="W355" i="51"/>
  <c r="W388" i="51"/>
  <c r="W330" i="51"/>
  <c r="W237" i="51"/>
  <c r="W299" i="51"/>
  <c r="W269" i="51"/>
  <c r="W250" i="51"/>
  <c r="W192" i="51"/>
  <c r="W168" i="51"/>
  <c r="W159" i="51"/>
  <c r="W136" i="51"/>
  <c r="W96" i="51"/>
  <c r="W87" i="51"/>
  <c r="W62" i="51"/>
  <c r="X28" i="51"/>
  <c r="W15" i="51"/>
  <c r="J9" i="51"/>
  <c r="I9" i="51"/>
  <c r="G9" i="51"/>
  <c r="K16" i="48" s="1"/>
  <c r="F9" i="51"/>
  <c r="E9" i="51"/>
  <c r="C9" i="51"/>
  <c r="AI8" i="51"/>
  <c r="Z8" i="51"/>
  <c r="Y8" i="51"/>
  <c r="S8" i="51"/>
  <c r="R8" i="51"/>
  <c r="Q8" i="51"/>
  <c r="J8" i="51"/>
  <c r="I8" i="51"/>
  <c r="G8" i="51"/>
  <c r="F8" i="51"/>
  <c r="E8" i="51"/>
  <c r="C8" i="51"/>
  <c r="AI7" i="51"/>
  <c r="Z7" i="51"/>
  <c r="Y7" i="51"/>
  <c r="S7" i="51"/>
  <c r="R7" i="51"/>
  <c r="Q7" i="51"/>
  <c r="O7" i="51"/>
  <c r="J7" i="51"/>
  <c r="I7" i="51"/>
  <c r="G7" i="51"/>
  <c r="F7" i="51"/>
  <c r="E7" i="51"/>
  <c r="C7" i="51"/>
  <c r="C474" i="58" l="1"/>
  <c r="C505" i="58"/>
  <c r="C464" i="58"/>
  <c r="C494" i="58"/>
  <c r="J16" i="48"/>
  <c r="C472" i="58"/>
  <c r="C497" i="58"/>
  <c r="B3" i="51"/>
  <c r="J19" i="48"/>
  <c r="K18" i="48"/>
  <c r="K17" i="48"/>
  <c r="K20" i="48"/>
  <c r="J18" i="48"/>
  <c r="J17" i="48"/>
  <c r="K19" i="48"/>
  <c r="J20" i="48"/>
  <c r="W161" i="51"/>
  <c r="W236" i="51"/>
  <c r="W191" i="51"/>
  <c r="W387" i="51"/>
  <c r="W166" i="51"/>
  <c r="W356" i="51"/>
  <c r="W128" i="51"/>
  <c r="W334" i="51"/>
  <c r="X10" i="51"/>
  <c r="X334" i="51" s="1"/>
  <c r="W111" i="51"/>
  <c r="W255" i="51"/>
  <c r="W86" i="51"/>
  <c r="W300" i="51"/>
  <c r="W61" i="51"/>
  <c r="AU7" i="51"/>
  <c r="AT7" i="51" s="1"/>
  <c r="C325" i="51"/>
  <c r="C349" i="51"/>
  <c r="C285" i="51"/>
  <c r="C235" i="51"/>
  <c r="C377" i="51"/>
  <c r="C248" i="51"/>
  <c r="C295" i="51"/>
  <c r="C202" i="51"/>
  <c r="C175" i="51"/>
  <c r="C158" i="51"/>
  <c r="C107" i="51"/>
  <c r="C134" i="51"/>
  <c r="AF133" i="51" s="1"/>
  <c r="C85" i="51"/>
  <c r="C57" i="51"/>
  <c r="S325" i="51"/>
  <c r="S349" i="51"/>
  <c r="S285" i="51"/>
  <c r="S235" i="51"/>
  <c r="S248" i="51"/>
  <c r="S377" i="51"/>
  <c r="S295" i="51"/>
  <c r="S202" i="51"/>
  <c r="S175" i="51"/>
  <c r="S158" i="51"/>
  <c r="S107" i="51"/>
  <c r="S134" i="51"/>
  <c r="S57" i="51"/>
  <c r="F336" i="51"/>
  <c r="F360" i="51"/>
  <c r="F366" i="51"/>
  <c r="F307" i="51"/>
  <c r="F259" i="51"/>
  <c r="F276" i="51"/>
  <c r="F227" i="51"/>
  <c r="F207" i="51"/>
  <c r="F181" i="51"/>
  <c r="F154" i="51"/>
  <c r="F104" i="51"/>
  <c r="F130" i="51"/>
  <c r="F51" i="51"/>
  <c r="Z325" i="51"/>
  <c r="Z349" i="51"/>
  <c r="Z377" i="51"/>
  <c r="Z248" i="51"/>
  <c r="Z295" i="51"/>
  <c r="Z285" i="51"/>
  <c r="Z235" i="51"/>
  <c r="Z158" i="51"/>
  <c r="Z202" i="51"/>
  <c r="Z175" i="51"/>
  <c r="Z134" i="51"/>
  <c r="Z107" i="51"/>
  <c r="Z85" i="51"/>
  <c r="Z57" i="51"/>
  <c r="G371" i="51"/>
  <c r="G343" i="51"/>
  <c r="G243" i="51"/>
  <c r="G296" i="51"/>
  <c r="G273" i="51"/>
  <c r="G320" i="51"/>
  <c r="G218" i="51"/>
  <c r="G174" i="51"/>
  <c r="G199" i="51"/>
  <c r="G151" i="51"/>
  <c r="G100" i="51"/>
  <c r="G127" i="51"/>
  <c r="G68" i="51"/>
  <c r="F68" i="51" s="1"/>
  <c r="G43" i="51"/>
  <c r="R325" i="51"/>
  <c r="R349" i="51"/>
  <c r="R377" i="51"/>
  <c r="R248" i="51"/>
  <c r="R295" i="51"/>
  <c r="R285" i="51"/>
  <c r="R158" i="51"/>
  <c r="R235" i="51"/>
  <c r="R202" i="51"/>
  <c r="R175" i="51"/>
  <c r="R134" i="51"/>
  <c r="R107" i="51"/>
  <c r="R57" i="51"/>
  <c r="F371" i="51"/>
  <c r="F343" i="51"/>
  <c r="F320" i="51"/>
  <c r="F296" i="51"/>
  <c r="F273" i="51"/>
  <c r="F218" i="51"/>
  <c r="F174" i="51"/>
  <c r="F199" i="51"/>
  <c r="F243" i="51"/>
  <c r="F100" i="51"/>
  <c r="F127" i="51"/>
  <c r="F151" i="51"/>
  <c r="F43" i="51"/>
  <c r="I325" i="51"/>
  <c r="I349" i="51"/>
  <c r="I377" i="51"/>
  <c r="I248" i="51"/>
  <c r="I295" i="51"/>
  <c r="I285" i="51"/>
  <c r="I235" i="51"/>
  <c r="I158" i="51"/>
  <c r="I202" i="51"/>
  <c r="I175" i="51"/>
  <c r="I134" i="51"/>
  <c r="I107" i="51"/>
  <c r="I57" i="51"/>
  <c r="Q325" i="51"/>
  <c r="Q349" i="51"/>
  <c r="Q377" i="51"/>
  <c r="Q248" i="51"/>
  <c r="Q295" i="51"/>
  <c r="Q285" i="51"/>
  <c r="Q158" i="51"/>
  <c r="Q235" i="51"/>
  <c r="Q202" i="51"/>
  <c r="Q175" i="51"/>
  <c r="Q134" i="51"/>
  <c r="Q107" i="51"/>
  <c r="Q85" i="51"/>
  <c r="Q57" i="51"/>
  <c r="Y325" i="51"/>
  <c r="Y349" i="51"/>
  <c r="Y377" i="51"/>
  <c r="Y248" i="51"/>
  <c r="Y295" i="51"/>
  <c r="Y285" i="51"/>
  <c r="Y158" i="51"/>
  <c r="Y202" i="51"/>
  <c r="Y175" i="51"/>
  <c r="Y235" i="51"/>
  <c r="Y134" i="51"/>
  <c r="Y107" i="51"/>
  <c r="Y85" i="51"/>
  <c r="Y57" i="51"/>
  <c r="O371" i="51"/>
  <c r="O343" i="51"/>
  <c r="O243" i="51"/>
  <c r="O296" i="51"/>
  <c r="O273" i="51"/>
  <c r="O320" i="51"/>
  <c r="O218" i="51"/>
  <c r="O174" i="51"/>
  <c r="O199" i="51"/>
  <c r="O151" i="51"/>
  <c r="O100" i="51"/>
  <c r="O127" i="51"/>
  <c r="O43" i="51"/>
  <c r="J325" i="51"/>
  <c r="J349" i="51"/>
  <c r="J377" i="51"/>
  <c r="J248" i="51"/>
  <c r="J295" i="51"/>
  <c r="J285" i="51"/>
  <c r="J235" i="51"/>
  <c r="J158" i="51"/>
  <c r="J202" i="51"/>
  <c r="J175" i="51"/>
  <c r="J134" i="51"/>
  <c r="J107" i="51"/>
  <c r="J57" i="51"/>
  <c r="E336" i="51"/>
  <c r="E360" i="51"/>
  <c r="E366" i="51"/>
  <c r="E307" i="51"/>
  <c r="E259" i="51"/>
  <c r="E276" i="51"/>
  <c r="E207" i="51"/>
  <c r="E181" i="51"/>
  <c r="E154" i="51"/>
  <c r="E227" i="51"/>
  <c r="E104" i="51"/>
  <c r="E130" i="51"/>
  <c r="E51" i="51"/>
  <c r="G349" i="51"/>
  <c r="G377" i="51"/>
  <c r="G325" i="51"/>
  <c r="G248" i="51"/>
  <c r="G295" i="51"/>
  <c r="G285" i="51"/>
  <c r="G235" i="51"/>
  <c r="G158" i="51"/>
  <c r="G202" i="51"/>
  <c r="G175" i="51"/>
  <c r="G134" i="51"/>
  <c r="G107" i="51"/>
  <c r="G85" i="51"/>
  <c r="F85" i="51" s="1"/>
  <c r="E85" i="51" s="1"/>
  <c r="G57" i="51"/>
  <c r="J366" i="51"/>
  <c r="J307" i="51"/>
  <c r="J336" i="51"/>
  <c r="J276" i="51"/>
  <c r="J360" i="51"/>
  <c r="J259" i="51"/>
  <c r="J181" i="51"/>
  <c r="J154" i="51"/>
  <c r="J227" i="51"/>
  <c r="J207" i="51"/>
  <c r="J130" i="51"/>
  <c r="J104" i="51"/>
  <c r="J51" i="51"/>
  <c r="W386" i="51"/>
  <c r="W332" i="51"/>
  <c r="W309" i="51"/>
  <c r="W357" i="51"/>
  <c r="W267" i="51"/>
  <c r="W230" i="51"/>
  <c r="W258" i="51"/>
  <c r="W198" i="51"/>
  <c r="W171" i="51"/>
  <c r="W150" i="51"/>
  <c r="W103" i="51"/>
  <c r="W122" i="51"/>
  <c r="W80" i="51"/>
  <c r="W53" i="51"/>
  <c r="X26" i="51"/>
  <c r="X80" i="51" s="1"/>
  <c r="I343" i="51"/>
  <c r="I320" i="51"/>
  <c r="I371" i="51"/>
  <c r="I243" i="51"/>
  <c r="I296" i="51"/>
  <c r="I273" i="51"/>
  <c r="I218" i="51"/>
  <c r="I174" i="51"/>
  <c r="I199" i="51"/>
  <c r="I151" i="51"/>
  <c r="I100" i="51"/>
  <c r="I127" i="51"/>
  <c r="I68" i="51"/>
  <c r="I43" i="51"/>
  <c r="Q343" i="51"/>
  <c r="Q320" i="51"/>
  <c r="Q371" i="51"/>
  <c r="Q243" i="51"/>
  <c r="Q296" i="51"/>
  <c r="Q273" i="51"/>
  <c r="Q218" i="51"/>
  <c r="Q174" i="51"/>
  <c r="Q199" i="51"/>
  <c r="Q151" i="51"/>
  <c r="Q100" i="51"/>
  <c r="Q127" i="51"/>
  <c r="Q68" i="51"/>
  <c r="Q43" i="51"/>
  <c r="W312" i="51"/>
  <c r="W333" i="51"/>
  <c r="W385" i="51"/>
  <c r="W271" i="51"/>
  <c r="W262" i="51"/>
  <c r="W185" i="51"/>
  <c r="W225" i="51"/>
  <c r="W208" i="51"/>
  <c r="W141" i="51"/>
  <c r="W91" i="51"/>
  <c r="W117" i="51"/>
  <c r="W75" i="51"/>
  <c r="W52" i="51"/>
  <c r="X15" i="51"/>
  <c r="E371" i="51"/>
  <c r="E343" i="51"/>
  <c r="E296" i="51"/>
  <c r="E273" i="51"/>
  <c r="E320" i="51"/>
  <c r="E199" i="51"/>
  <c r="E243" i="51"/>
  <c r="E151" i="51"/>
  <c r="E218" i="51"/>
  <c r="E174" i="51"/>
  <c r="E127" i="51"/>
  <c r="E100" i="51"/>
  <c r="E68" i="51"/>
  <c r="E43" i="51"/>
  <c r="AU8" i="51"/>
  <c r="AT8" i="51" s="1"/>
  <c r="C360" i="51"/>
  <c r="C366" i="51"/>
  <c r="C307" i="51"/>
  <c r="C336" i="51"/>
  <c r="C259" i="51"/>
  <c r="C276" i="51"/>
  <c r="C181" i="51"/>
  <c r="C154" i="51"/>
  <c r="C227" i="51"/>
  <c r="C207" i="51"/>
  <c r="C130" i="51"/>
  <c r="C104" i="51"/>
  <c r="C77" i="51"/>
  <c r="C51" i="51"/>
  <c r="C343" i="51"/>
  <c r="C320" i="51"/>
  <c r="C371" i="51"/>
  <c r="C296" i="51"/>
  <c r="C273" i="51"/>
  <c r="C243" i="51"/>
  <c r="C151" i="51"/>
  <c r="C218" i="51"/>
  <c r="C174" i="51"/>
  <c r="C199" i="51"/>
  <c r="C127" i="51"/>
  <c r="AF126" i="51" s="1"/>
  <c r="C100" i="51"/>
  <c r="C68" i="51"/>
  <c r="C43" i="51"/>
  <c r="S343" i="51"/>
  <c r="S320" i="51"/>
  <c r="S371" i="51"/>
  <c r="S296" i="51"/>
  <c r="S273" i="51"/>
  <c r="S243" i="51"/>
  <c r="S151" i="51"/>
  <c r="S218" i="51"/>
  <c r="S174" i="51"/>
  <c r="S199" i="51"/>
  <c r="S127" i="51"/>
  <c r="S100" i="51"/>
  <c r="S43" i="51"/>
  <c r="F377" i="51"/>
  <c r="F295" i="51"/>
  <c r="F285" i="51"/>
  <c r="F235" i="51"/>
  <c r="F325" i="51"/>
  <c r="F349" i="51"/>
  <c r="F248" i="51"/>
  <c r="F158" i="51"/>
  <c r="F202" i="51"/>
  <c r="F175" i="51"/>
  <c r="F107" i="51"/>
  <c r="F134" i="51"/>
  <c r="F57" i="51"/>
  <c r="I336" i="51"/>
  <c r="I360" i="51"/>
  <c r="I307" i="51"/>
  <c r="I259" i="51"/>
  <c r="I366" i="51"/>
  <c r="I276" i="51"/>
  <c r="I181" i="51"/>
  <c r="I154" i="51"/>
  <c r="I227" i="51"/>
  <c r="I207" i="51"/>
  <c r="I104" i="51"/>
  <c r="I130" i="51"/>
  <c r="I51" i="51"/>
  <c r="X355" i="51"/>
  <c r="X388" i="51"/>
  <c r="X330" i="51"/>
  <c r="X237" i="51"/>
  <c r="X299" i="51"/>
  <c r="X269" i="51"/>
  <c r="X250" i="51"/>
  <c r="X192" i="51"/>
  <c r="X168" i="51"/>
  <c r="X159" i="51"/>
  <c r="X87" i="51"/>
  <c r="X96" i="51"/>
  <c r="X62" i="51"/>
  <c r="Y343" i="51"/>
  <c r="Y320" i="51"/>
  <c r="Y371" i="51"/>
  <c r="Y243" i="51"/>
  <c r="Y296" i="51"/>
  <c r="Y273" i="51"/>
  <c r="Y218" i="51"/>
  <c r="Y174" i="51"/>
  <c r="Y199" i="51"/>
  <c r="Y151" i="51"/>
  <c r="Y100" i="51"/>
  <c r="Y127" i="51"/>
  <c r="Y68" i="51"/>
  <c r="Y43" i="51"/>
  <c r="G336" i="51"/>
  <c r="G360" i="51"/>
  <c r="G366" i="51"/>
  <c r="G307" i="51"/>
  <c r="G259" i="51"/>
  <c r="G276" i="51"/>
  <c r="G227" i="51"/>
  <c r="G207" i="51"/>
  <c r="G181" i="51"/>
  <c r="G154" i="51"/>
  <c r="G104" i="51"/>
  <c r="G130" i="51"/>
  <c r="G77" i="51"/>
  <c r="F77" i="51" s="1"/>
  <c r="E77" i="51" s="1"/>
  <c r="G51" i="51"/>
  <c r="J343" i="51"/>
  <c r="J320" i="51"/>
  <c r="J371" i="51"/>
  <c r="J243" i="51"/>
  <c r="J296" i="51"/>
  <c r="J273" i="51"/>
  <c r="J151" i="51"/>
  <c r="J218" i="51"/>
  <c r="J174" i="51"/>
  <c r="J199" i="51"/>
  <c r="J100" i="51"/>
  <c r="J127" i="51"/>
  <c r="J43" i="51"/>
  <c r="R343" i="51"/>
  <c r="R320" i="51"/>
  <c r="R371" i="51"/>
  <c r="R243" i="51"/>
  <c r="R296" i="51"/>
  <c r="R273" i="51"/>
  <c r="R151" i="51"/>
  <c r="R218" i="51"/>
  <c r="R174" i="51"/>
  <c r="R199" i="51"/>
  <c r="R100" i="51"/>
  <c r="R127" i="51"/>
  <c r="R43" i="51"/>
  <c r="Z343" i="51"/>
  <c r="Z320" i="51"/>
  <c r="Z371" i="51"/>
  <c r="Z243" i="51"/>
  <c r="Z296" i="51"/>
  <c r="Z273" i="51"/>
  <c r="Z151" i="51"/>
  <c r="Z218" i="51"/>
  <c r="Z174" i="51"/>
  <c r="Z199" i="51"/>
  <c r="Z100" i="51"/>
  <c r="Z127" i="51"/>
  <c r="Z68" i="51"/>
  <c r="Z43" i="51"/>
  <c r="E377" i="51"/>
  <c r="E325" i="51"/>
  <c r="E349" i="51"/>
  <c r="E285" i="51"/>
  <c r="E235" i="51"/>
  <c r="E248" i="51"/>
  <c r="E295" i="51"/>
  <c r="E158" i="51"/>
  <c r="E202" i="51"/>
  <c r="E175" i="51"/>
  <c r="E107" i="51"/>
  <c r="E134" i="51"/>
  <c r="E57" i="51"/>
  <c r="X136" i="51"/>
  <c r="E6" i="51"/>
  <c r="S5" i="51"/>
  <c r="Q5" i="51"/>
  <c r="G5" i="51"/>
  <c r="E5" i="51"/>
  <c r="C5" i="51"/>
  <c r="S4" i="51"/>
  <c r="Q4" i="51"/>
  <c r="J4" i="51"/>
  <c r="I4" i="51"/>
  <c r="G4" i="51"/>
  <c r="E4" i="51"/>
  <c r="C4" i="51"/>
  <c r="X236" i="51" l="1"/>
  <c r="H9" i="51"/>
  <c r="H336" i="51" s="1"/>
  <c r="X111" i="51"/>
  <c r="D9" i="51"/>
  <c r="D276" i="51" s="1"/>
  <c r="X86" i="51"/>
  <c r="X255" i="51"/>
  <c r="X61" i="51"/>
  <c r="X300" i="51"/>
  <c r="X266" i="51"/>
  <c r="X191" i="51"/>
  <c r="X166" i="51"/>
  <c r="X387" i="51"/>
  <c r="X161" i="51"/>
  <c r="X356" i="51"/>
  <c r="X128" i="51"/>
  <c r="X359" i="51"/>
  <c r="W359" i="51" s="1"/>
  <c r="X312" i="51"/>
  <c r="X333" i="51"/>
  <c r="X271" i="51"/>
  <c r="X262" i="51"/>
  <c r="X385" i="51"/>
  <c r="X185" i="51"/>
  <c r="X225" i="51"/>
  <c r="X208" i="51"/>
  <c r="X117" i="51"/>
  <c r="X141" i="51"/>
  <c r="X91" i="51"/>
  <c r="X52" i="51"/>
  <c r="H7" i="51"/>
  <c r="H68" i="51" s="1"/>
  <c r="D14" i="51"/>
  <c r="D10" i="51"/>
  <c r="D18" i="51"/>
  <c r="D27" i="51"/>
  <c r="D20" i="51"/>
  <c r="D11" i="51"/>
  <c r="D13" i="51"/>
  <c r="D15" i="51"/>
  <c r="D25" i="51"/>
  <c r="D8" i="51"/>
  <c r="D85" i="51" s="1"/>
  <c r="D19" i="51"/>
  <c r="D12" i="51"/>
  <c r="D28" i="51"/>
  <c r="D7" i="51"/>
  <c r="D68" i="51" s="1"/>
  <c r="D17" i="51"/>
  <c r="D22" i="51"/>
  <c r="D21" i="51"/>
  <c r="D23" i="51"/>
  <c r="D26" i="51"/>
  <c r="D24" i="51"/>
  <c r="D16" i="51"/>
  <c r="X386" i="51"/>
  <c r="X332" i="51"/>
  <c r="X309" i="51"/>
  <c r="X267" i="51"/>
  <c r="X258" i="51"/>
  <c r="X357" i="51"/>
  <c r="X230" i="51"/>
  <c r="X198" i="51"/>
  <c r="X171" i="51"/>
  <c r="X150" i="51"/>
  <c r="X103" i="51"/>
  <c r="X122" i="51"/>
  <c r="X53" i="51"/>
  <c r="X75" i="51"/>
  <c r="H24" i="51"/>
  <c r="H17" i="51"/>
  <c r="H26" i="51"/>
  <c r="H21" i="51"/>
  <c r="H10" i="51"/>
  <c r="H14" i="51"/>
  <c r="H25" i="51"/>
  <c r="H13" i="51"/>
  <c r="H27" i="51"/>
  <c r="H16" i="51"/>
  <c r="H28" i="51"/>
  <c r="H15" i="51"/>
  <c r="H12" i="51"/>
  <c r="H8" i="51"/>
  <c r="H23" i="51"/>
  <c r="H11" i="51"/>
  <c r="H20" i="51"/>
  <c r="H18" i="51"/>
  <c r="H22" i="51"/>
  <c r="H19" i="51"/>
  <c r="D130" i="51" l="1"/>
  <c r="D154" i="51"/>
  <c r="D259" i="51"/>
  <c r="D360" i="51"/>
  <c r="H104" i="51"/>
  <c r="H366" i="51"/>
  <c r="D77" i="51"/>
  <c r="H154" i="51"/>
  <c r="D336" i="51"/>
  <c r="D207" i="51"/>
  <c r="D181" i="51"/>
  <c r="D227" i="51"/>
  <c r="D366" i="51"/>
  <c r="D104" i="51"/>
  <c r="D307" i="51"/>
  <c r="D51" i="51"/>
  <c r="H360" i="51"/>
  <c r="H130" i="51"/>
  <c r="H307" i="51"/>
  <c r="H77" i="51"/>
  <c r="H259" i="51"/>
  <c r="H51" i="51"/>
  <c r="H276" i="51"/>
  <c r="H227" i="51"/>
  <c r="H207" i="51"/>
  <c r="H181" i="51"/>
  <c r="H341" i="51"/>
  <c r="H382" i="51"/>
  <c r="H316" i="51"/>
  <c r="H252" i="51"/>
  <c r="H298" i="51"/>
  <c r="H287" i="51"/>
  <c r="H229" i="51"/>
  <c r="H186" i="51"/>
  <c r="H211" i="51"/>
  <c r="H142" i="51"/>
  <c r="H116" i="51"/>
  <c r="H93" i="51"/>
  <c r="H79" i="51"/>
  <c r="H58" i="51"/>
  <c r="H345" i="51"/>
  <c r="H297" i="51"/>
  <c r="H280" i="51"/>
  <c r="H319" i="51"/>
  <c r="H247" i="51"/>
  <c r="H378" i="51"/>
  <c r="H153" i="51"/>
  <c r="H217" i="51"/>
  <c r="H197" i="51"/>
  <c r="H173" i="51"/>
  <c r="H126" i="51"/>
  <c r="H105" i="51"/>
  <c r="H42" i="51"/>
  <c r="D343" i="51"/>
  <c r="D320" i="51"/>
  <c r="D296" i="51"/>
  <c r="D273" i="51"/>
  <c r="D243" i="51"/>
  <c r="D371" i="51"/>
  <c r="D199" i="51"/>
  <c r="D151" i="51"/>
  <c r="D218" i="51"/>
  <c r="D174" i="51"/>
  <c r="D127" i="51"/>
  <c r="D100" i="51"/>
  <c r="D43" i="51"/>
  <c r="D32" i="51"/>
  <c r="D33" i="51" s="1"/>
  <c r="Q6" i="51"/>
  <c r="F6" i="58" s="1"/>
  <c r="I6" i="51"/>
  <c r="D316" i="51"/>
  <c r="D341" i="51"/>
  <c r="D382" i="51"/>
  <c r="D252" i="51"/>
  <c r="D298" i="51"/>
  <c r="D287" i="51"/>
  <c r="D186" i="51"/>
  <c r="D211" i="51"/>
  <c r="D229" i="51"/>
  <c r="D142" i="51"/>
  <c r="D116" i="51"/>
  <c r="D93" i="51"/>
  <c r="D58" i="51"/>
  <c r="D79" i="51"/>
  <c r="H320" i="51"/>
  <c r="H371" i="51"/>
  <c r="H243" i="51"/>
  <c r="H343" i="51"/>
  <c r="H296" i="51"/>
  <c r="H273" i="51"/>
  <c r="H218" i="51"/>
  <c r="H174" i="51"/>
  <c r="H199" i="51"/>
  <c r="H100" i="51"/>
  <c r="H151" i="51"/>
  <c r="H127" i="51"/>
  <c r="H32" i="51"/>
  <c r="H33" i="51" s="1"/>
  <c r="H43" i="51"/>
  <c r="S6" i="51"/>
  <c r="H6" i="58" s="1"/>
  <c r="J6" i="51"/>
  <c r="D383" i="51"/>
  <c r="D358" i="51"/>
  <c r="D326" i="51"/>
  <c r="D242" i="51"/>
  <c r="D301" i="51"/>
  <c r="D283" i="51"/>
  <c r="D178" i="51"/>
  <c r="D203" i="51"/>
  <c r="D160" i="51"/>
  <c r="D231" i="51"/>
  <c r="D137" i="51"/>
  <c r="D99" i="51"/>
  <c r="D60" i="51"/>
  <c r="D81" i="51"/>
  <c r="D345" i="51"/>
  <c r="D319" i="51"/>
  <c r="D378" i="51"/>
  <c r="D247" i="51"/>
  <c r="D297" i="51"/>
  <c r="D280" i="51"/>
  <c r="D153" i="51"/>
  <c r="D217" i="51"/>
  <c r="D197" i="51"/>
  <c r="D173" i="51"/>
  <c r="D105" i="51"/>
  <c r="D126" i="51"/>
  <c r="D42" i="51"/>
  <c r="D67" i="51"/>
  <c r="D342" i="51"/>
  <c r="D381" i="51"/>
  <c r="D317" i="51"/>
  <c r="D284" i="51"/>
  <c r="D244" i="51"/>
  <c r="D232" i="51"/>
  <c r="D292" i="51"/>
  <c r="D179" i="51"/>
  <c r="D152" i="51"/>
  <c r="D204" i="51"/>
  <c r="D123" i="51"/>
  <c r="D112" i="51"/>
  <c r="D55" i="51"/>
  <c r="D82" i="51"/>
  <c r="D359" i="51"/>
  <c r="D333" i="51"/>
  <c r="D385" i="51"/>
  <c r="D262" i="51"/>
  <c r="D312" i="51"/>
  <c r="D271" i="51"/>
  <c r="D225" i="51"/>
  <c r="D208" i="51"/>
  <c r="D185" i="51"/>
  <c r="D91" i="51"/>
  <c r="D117" i="51"/>
  <c r="D141" i="51"/>
  <c r="D52" i="51"/>
  <c r="D75" i="51"/>
  <c r="D337" i="51"/>
  <c r="D373" i="51"/>
  <c r="D362" i="51"/>
  <c r="D274" i="51"/>
  <c r="D260" i="51"/>
  <c r="D304" i="51"/>
  <c r="D180" i="51"/>
  <c r="D162" i="51"/>
  <c r="D205" i="51"/>
  <c r="D234" i="51"/>
  <c r="D135" i="51"/>
  <c r="D109" i="51"/>
  <c r="D56" i="51"/>
  <c r="D84" i="51"/>
  <c r="D369" i="51"/>
  <c r="D353" i="51"/>
  <c r="D329" i="51"/>
  <c r="D279" i="51"/>
  <c r="D257" i="51"/>
  <c r="D308" i="51"/>
  <c r="D170" i="51"/>
  <c r="D195" i="51"/>
  <c r="D221" i="51"/>
  <c r="D101" i="51"/>
  <c r="D144" i="51"/>
  <c r="D118" i="51"/>
  <c r="D45" i="51"/>
  <c r="D71" i="51"/>
  <c r="D331" i="51"/>
  <c r="D305" i="51"/>
  <c r="D376" i="51"/>
  <c r="D352" i="51"/>
  <c r="D256" i="51"/>
  <c r="D277" i="51"/>
  <c r="D172" i="51"/>
  <c r="D196" i="51"/>
  <c r="D233" i="51"/>
  <c r="D121" i="51"/>
  <c r="D98" i="51"/>
  <c r="D146" i="51"/>
  <c r="D59" i="51"/>
  <c r="D83" i="51"/>
  <c r="H379" i="51"/>
  <c r="H348" i="51"/>
  <c r="H322" i="51"/>
  <c r="H245" i="51"/>
  <c r="H281" i="51"/>
  <c r="H294" i="51"/>
  <c r="H201" i="51"/>
  <c r="H177" i="51"/>
  <c r="H156" i="51"/>
  <c r="H226" i="51"/>
  <c r="H129" i="51"/>
  <c r="H110" i="51"/>
  <c r="H50" i="51"/>
  <c r="H344" i="51"/>
  <c r="H318" i="51"/>
  <c r="H380" i="51"/>
  <c r="H286" i="51"/>
  <c r="H241" i="51"/>
  <c r="H291" i="51"/>
  <c r="H157" i="51"/>
  <c r="H206" i="51"/>
  <c r="H182" i="51"/>
  <c r="H224" i="51"/>
  <c r="H106" i="51"/>
  <c r="H133" i="51"/>
  <c r="H49" i="51"/>
  <c r="H358" i="51"/>
  <c r="H326" i="51"/>
  <c r="H383" i="51"/>
  <c r="H301" i="51"/>
  <c r="H283" i="51"/>
  <c r="H203" i="51"/>
  <c r="H160" i="51"/>
  <c r="H231" i="51"/>
  <c r="H242" i="51"/>
  <c r="H178" i="51"/>
  <c r="H137" i="51"/>
  <c r="H99" i="51"/>
  <c r="H60" i="51"/>
  <c r="D324" i="51"/>
  <c r="D375" i="51"/>
  <c r="D354" i="51"/>
  <c r="D303" i="51"/>
  <c r="D268" i="51"/>
  <c r="D249" i="51"/>
  <c r="D219" i="51"/>
  <c r="D187" i="51"/>
  <c r="D212" i="51"/>
  <c r="D132" i="51"/>
  <c r="D92" i="51"/>
  <c r="D149" i="51"/>
  <c r="D47" i="51"/>
  <c r="D69" i="51"/>
  <c r="D377" i="51"/>
  <c r="D325" i="51"/>
  <c r="D349" i="51"/>
  <c r="D285" i="51"/>
  <c r="D235" i="51"/>
  <c r="D248" i="51"/>
  <c r="D295" i="51"/>
  <c r="D202" i="51"/>
  <c r="D175" i="51"/>
  <c r="D158" i="51"/>
  <c r="D107" i="51"/>
  <c r="D134" i="51"/>
  <c r="D57" i="51"/>
  <c r="D356" i="51"/>
  <c r="D334" i="51"/>
  <c r="D387" i="51"/>
  <c r="D300" i="51"/>
  <c r="D266" i="51"/>
  <c r="D236" i="51"/>
  <c r="D255" i="51"/>
  <c r="D191" i="51"/>
  <c r="D166" i="51"/>
  <c r="D161" i="51"/>
  <c r="D128" i="51"/>
  <c r="D111" i="51"/>
  <c r="D35" i="51"/>
  <c r="D61" i="51"/>
  <c r="D86" i="51"/>
  <c r="H367" i="51"/>
  <c r="H306" i="51"/>
  <c r="H327" i="51"/>
  <c r="H253" i="51"/>
  <c r="H351" i="51"/>
  <c r="H282" i="51"/>
  <c r="H223" i="51"/>
  <c r="H209" i="51"/>
  <c r="H183" i="51"/>
  <c r="H120" i="51"/>
  <c r="H145" i="51"/>
  <c r="H95" i="51"/>
  <c r="H48" i="51"/>
  <c r="H346" i="51"/>
  <c r="H323" i="51"/>
  <c r="H372" i="51"/>
  <c r="H278" i="51"/>
  <c r="H246" i="51"/>
  <c r="H293" i="51"/>
  <c r="H176" i="51"/>
  <c r="H155" i="51"/>
  <c r="H222" i="51"/>
  <c r="H200" i="51"/>
  <c r="H108" i="51"/>
  <c r="H131" i="51"/>
  <c r="H44" i="51"/>
  <c r="H386" i="51"/>
  <c r="H332" i="51"/>
  <c r="H309" i="51"/>
  <c r="H267" i="51"/>
  <c r="H357" i="51"/>
  <c r="H258" i="51"/>
  <c r="H198" i="51"/>
  <c r="H171" i="51"/>
  <c r="H230" i="51"/>
  <c r="H103" i="51"/>
  <c r="H150" i="51"/>
  <c r="H122" i="51"/>
  <c r="H53" i="51"/>
  <c r="H347" i="51"/>
  <c r="H321" i="51"/>
  <c r="H374" i="51"/>
  <c r="H302" i="51"/>
  <c r="H272" i="51"/>
  <c r="H251" i="51"/>
  <c r="H184" i="51"/>
  <c r="H210" i="51"/>
  <c r="H228" i="51"/>
  <c r="H148" i="51"/>
  <c r="H124" i="51"/>
  <c r="H102" i="51"/>
  <c r="H34" i="51"/>
  <c r="H54" i="51"/>
  <c r="H387" i="51"/>
  <c r="H356" i="51"/>
  <c r="H236" i="51"/>
  <c r="H255" i="51"/>
  <c r="H334" i="51"/>
  <c r="H300" i="51"/>
  <c r="H266" i="51"/>
  <c r="H191" i="51"/>
  <c r="H166" i="51"/>
  <c r="H161" i="51"/>
  <c r="H128" i="51"/>
  <c r="H111" i="51"/>
  <c r="H61" i="51"/>
  <c r="H35" i="51"/>
  <c r="D357" i="51"/>
  <c r="D386" i="51"/>
  <c r="D267" i="51"/>
  <c r="D309" i="51"/>
  <c r="D332" i="51"/>
  <c r="D258" i="51"/>
  <c r="D198" i="51"/>
  <c r="D171" i="51"/>
  <c r="D230" i="51"/>
  <c r="D150" i="51"/>
  <c r="D122" i="51"/>
  <c r="D103" i="51"/>
  <c r="D53" i="51"/>
  <c r="D80" i="51"/>
  <c r="D361" i="51"/>
  <c r="D335" i="51"/>
  <c r="D311" i="51"/>
  <c r="D270" i="51"/>
  <c r="D368" i="51"/>
  <c r="D261" i="51"/>
  <c r="D169" i="51"/>
  <c r="D194" i="51"/>
  <c r="D220" i="51"/>
  <c r="D125" i="51"/>
  <c r="D147" i="51"/>
  <c r="D94" i="51"/>
  <c r="D70" i="51"/>
  <c r="D46" i="51"/>
  <c r="D380" i="51"/>
  <c r="D344" i="51"/>
  <c r="D318" i="51"/>
  <c r="D291" i="51"/>
  <c r="D286" i="51"/>
  <c r="D157" i="51"/>
  <c r="D206" i="51"/>
  <c r="D241" i="51"/>
  <c r="D182" i="51"/>
  <c r="D224" i="51"/>
  <c r="D133" i="51"/>
  <c r="D106" i="51"/>
  <c r="D49" i="51"/>
  <c r="D74" i="51"/>
  <c r="H370" i="51"/>
  <c r="H328" i="51"/>
  <c r="H350" i="51"/>
  <c r="H254" i="51"/>
  <c r="H275" i="51"/>
  <c r="H310" i="51"/>
  <c r="H167" i="51"/>
  <c r="H216" i="51"/>
  <c r="H193" i="51"/>
  <c r="H97" i="51"/>
  <c r="H143" i="51"/>
  <c r="H119" i="51"/>
  <c r="H66" i="51"/>
  <c r="H41" i="51"/>
  <c r="H31" i="51"/>
  <c r="H317" i="51"/>
  <c r="H342" i="51"/>
  <c r="H381" i="51"/>
  <c r="H292" i="51"/>
  <c r="H284" i="51"/>
  <c r="H244" i="51"/>
  <c r="H232" i="51"/>
  <c r="H179" i="51"/>
  <c r="H152" i="51"/>
  <c r="H204" i="51"/>
  <c r="H123" i="51"/>
  <c r="H112" i="51"/>
  <c r="H55" i="51"/>
  <c r="H355" i="51"/>
  <c r="H388" i="51"/>
  <c r="H330" i="51"/>
  <c r="H237" i="51"/>
  <c r="H299" i="51"/>
  <c r="H269" i="51"/>
  <c r="H250" i="51"/>
  <c r="H192" i="51"/>
  <c r="H168" i="51"/>
  <c r="H159" i="51"/>
  <c r="H136" i="51"/>
  <c r="H96" i="51"/>
  <c r="H62" i="51"/>
  <c r="H331" i="51"/>
  <c r="H376" i="51"/>
  <c r="H352" i="51"/>
  <c r="H277" i="51"/>
  <c r="H256" i="51"/>
  <c r="H305" i="51"/>
  <c r="H233" i="51"/>
  <c r="H172" i="51"/>
  <c r="H196" i="51"/>
  <c r="H121" i="51"/>
  <c r="H98" i="51"/>
  <c r="H146" i="51"/>
  <c r="H59" i="51"/>
  <c r="D350" i="51"/>
  <c r="D310" i="51"/>
  <c r="D370" i="51"/>
  <c r="D328" i="51"/>
  <c r="D254" i="51"/>
  <c r="D275" i="51"/>
  <c r="D216" i="51"/>
  <c r="D193" i="51"/>
  <c r="D167" i="51"/>
  <c r="D143" i="51"/>
  <c r="D119" i="51"/>
  <c r="D97" i="51"/>
  <c r="D31" i="51"/>
  <c r="AU28" i="51" s="1"/>
  <c r="AT28" i="51" s="1"/>
  <c r="D41" i="51"/>
  <c r="D66" i="51"/>
  <c r="D374" i="51"/>
  <c r="D302" i="51"/>
  <c r="D347" i="51"/>
  <c r="D321" i="51"/>
  <c r="D251" i="51"/>
  <c r="D272" i="51"/>
  <c r="D228" i="51"/>
  <c r="D184" i="51"/>
  <c r="D210" i="51"/>
  <c r="D124" i="51"/>
  <c r="D102" i="51"/>
  <c r="D148" i="51"/>
  <c r="D34" i="51"/>
  <c r="D54" i="51"/>
  <c r="D78" i="51"/>
  <c r="D327" i="51"/>
  <c r="D351" i="51"/>
  <c r="D367" i="51"/>
  <c r="D306" i="51"/>
  <c r="D253" i="51"/>
  <c r="D282" i="51"/>
  <c r="D183" i="51"/>
  <c r="D223" i="51"/>
  <c r="D209" i="51"/>
  <c r="D95" i="51"/>
  <c r="D120" i="51"/>
  <c r="D145" i="51"/>
  <c r="D48" i="51"/>
  <c r="D73" i="51"/>
  <c r="H361" i="51"/>
  <c r="H335" i="51"/>
  <c r="H311" i="51"/>
  <c r="H368" i="51"/>
  <c r="H261" i="51"/>
  <c r="H270" i="51"/>
  <c r="H220" i="51"/>
  <c r="H169" i="51"/>
  <c r="H194" i="51"/>
  <c r="H147" i="51"/>
  <c r="H94" i="51"/>
  <c r="H125" i="51"/>
  <c r="H70" i="51"/>
  <c r="H46" i="51"/>
  <c r="H312" i="51"/>
  <c r="H359" i="51"/>
  <c r="H333" i="51"/>
  <c r="H271" i="51"/>
  <c r="H385" i="51"/>
  <c r="H262" i="51"/>
  <c r="H185" i="51"/>
  <c r="H225" i="51"/>
  <c r="H208" i="51"/>
  <c r="H117" i="51"/>
  <c r="H141" i="51"/>
  <c r="H91" i="51"/>
  <c r="H52" i="51"/>
  <c r="H373" i="51"/>
  <c r="H362" i="51"/>
  <c r="H337" i="51"/>
  <c r="H274" i="51"/>
  <c r="H260" i="51"/>
  <c r="H234" i="51"/>
  <c r="H304" i="51"/>
  <c r="H180" i="51"/>
  <c r="H162" i="51"/>
  <c r="H205" i="51"/>
  <c r="H109" i="51"/>
  <c r="H135" i="51"/>
  <c r="H56" i="51"/>
  <c r="H349" i="51"/>
  <c r="H377" i="51"/>
  <c r="H248" i="51"/>
  <c r="H295" i="51"/>
  <c r="H285" i="51"/>
  <c r="H235" i="51"/>
  <c r="H325" i="51"/>
  <c r="H158" i="51"/>
  <c r="H202" i="51"/>
  <c r="H175" i="51"/>
  <c r="H134" i="51"/>
  <c r="H107" i="51"/>
  <c r="H57" i="51"/>
  <c r="H354" i="51"/>
  <c r="H324" i="51"/>
  <c r="H303" i="51"/>
  <c r="H268" i="51"/>
  <c r="H249" i="51"/>
  <c r="H375" i="51"/>
  <c r="H212" i="51"/>
  <c r="H219" i="51"/>
  <c r="H187" i="51"/>
  <c r="H149" i="51"/>
  <c r="H132" i="51"/>
  <c r="H92" i="51"/>
  <c r="H47" i="51"/>
  <c r="H308" i="51"/>
  <c r="H329" i="51"/>
  <c r="H369" i="51"/>
  <c r="H353" i="51"/>
  <c r="H257" i="51"/>
  <c r="H279" i="51"/>
  <c r="H195" i="51"/>
  <c r="H221" i="51"/>
  <c r="H170" i="51"/>
  <c r="H144" i="51"/>
  <c r="H118" i="51"/>
  <c r="H101" i="51"/>
  <c r="H45" i="51"/>
  <c r="D372" i="51"/>
  <c r="D346" i="51"/>
  <c r="D323" i="51"/>
  <c r="D293" i="51"/>
  <c r="D278" i="51"/>
  <c r="D246" i="51"/>
  <c r="D222" i="51"/>
  <c r="D200" i="51"/>
  <c r="D176" i="51"/>
  <c r="D155" i="51"/>
  <c r="D108" i="51"/>
  <c r="D131" i="51"/>
  <c r="D44" i="51"/>
  <c r="D72" i="51"/>
  <c r="D388" i="51"/>
  <c r="D330" i="51"/>
  <c r="D299" i="51"/>
  <c r="D269" i="51"/>
  <c r="D250" i="51"/>
  <c r="D355" i="51"/>
  <c r="D237" i="51"/>
  <c r="D159" i="51"/>
  <c r="D192" i="51"/>
  <c r="D168" i="51"/>
  <c r="D136" i="51"/>
  <c r="D96" i="51"/>
  <c r="D62" i="51"/>
  <c r="D87" i="51"/>
  <c r="D348" i="51"/>
  <c r="D322" i="51"/>
  <c r="D379" i="51"/>
  <c r="D294" i="51"/>
  <c r="D245" i="51"/>
  <c r="D281" i="51"/>
  <c r="D156" i="51"/>
  <c r="D226" i="51"/>
  <c r="D201" i="51"/>
  <c r="D177" i="51"/>
  <c r="D110" i="51"/>
  <c r="D129" i="51"/>
  <c r="D50" i="51"/>
  <c r="D76" i="51"/>
  <c r="G306" i="48" l="1"/>
  <c r="F306" i="48" l="1"/>
  <c r="S288" i="48"/>
  <c r="R288" i="48" s="1"/>
  <c r="Q288" i="48" s="1"/>
  <c r="S287" i="48"/>
  <c r="R287" i="48"/>
  <c r="Q287" i="48"/>
  <c r="S285" i="48"/>
  <c r="R285" i="48" s="1"/>
  <c r="Q285" i="48" s="1"/>
  <c r="S284" i="48"/>
  <c r="R284" i="48"/>
  <c r="Q284" i="48" s="1"/>
  <c r="S283" i="48"/>
  <c r="R283" i="48" s="1"/>
  <c r="H242" i="48"/>
  <c r="G242" i="48"/>
  <c r="I241" i="48"/>
  <c r="H241" i="48"/>
  <c r="G241" i="48"/>
  <c r="H240" i="48"/>
  <c r="G240" i="48"/>
  <c r="H239" i="48"/>
  <c r="G239" i="48"/>
  <c r="I238" i="48"/>
  <c r="H238" i="48"/>
  <c r="G238" i="48"/>
  <c r="H237" i="48"/>
  <c r="G237" i="48"/>
  <c r="H236" i="48"/>
  <c r="G236" i="48"/>
  <c r="H235" i="48"/>
  <c r="G235" i="48"/>
  <c r="H234" i="48"/>
  <c r="G234" i="48"/>
  <c r="H233" i="48"/>
  <c r="G233" i="48"/>
  <c r="H232" i="48"/>
  <c r="G232" i="48"/>
  <c r="G231" i="48" s="1"/>
  <c r="I230" i="48"/>
  <c r="H230" i="48"/>
  <c r="G230" i="48"/>
  <c r="H229" i="48"/>
  <c r="G229" i="48"/>
  <c r="H228" i="48"/>
  <c r="G228" i="48"/>
  <c r="H227" i="48"/>
  <c r="G227" i="48"/>
  <c r="G226" i="48" s="1"/>
  <c r="H225" i="48"/>
  <c r="G225" i="48"/>
  <c r="H224" i="48"/>
  <c r="G224" i="48"/>
  <c r="H223" i="48"/>
  <c r="G223" i="48"/>
  <c r="H222" i="48"/>
  <c r="G222" i="48"/>
  <c r="H221" i="48"/>
  <c r="G221" i="48"/>
  <c r="H220" i="48"/>
  <c r="G220" i="48"/>
  <c r="H219" i="48"/>
  <c r="G219" i="48"/>
  <c r="X94" i="48"/>
  <c r="V94" i="48"/>
  <c r="Q94" i="48"/>
  <c r="K94" i="48"/>
  <c r="F94" i="48"/>
  <c r="X93" i="48"/>
  <c r="V93" i="48"/>
  <c r="Q93" i="48"/>
  <c r="L93" i="48"/>
  <c r="K93" i="48"/>
  <c r="F93" i="48"/>
  <c r="X92" i="48"/>
  <c r="V92" i="48"/>
  <c r="Q92" i="48"/>
  <c r="L92" i="48"/>
  <c r="K92" i="48"/>
  <c r="Q286" i="48" l="1"/>
  <c r="S286" i="48"/>
  <c r="R286" i="48" s="1"/>
  <c r="F92" i="48"/>
  <c r="X91" i="48"/>
  <c r="V91" i="48"/>
  <c r="Q91" i="48"/>
  <c r="L91" i="48"/>
  <c r="K91" i="48"/>
  <c r="F91" i="48"/>
  <c r="X90" i="48"/>
  <c r="V90" i="48"/>
  <c r="Q90" i="48"/>
  <c r="L90" i="48"/>
  <c r="K90" i="48"/>
  <c r="G90" i="48"/>
  <c r="F90" i="48"/>
  <c r="X89" i="48"/>
  <c r="V89" i="48"/>
  <c r="Q89" i="48"/>
  <c r="L89" i="48"/>
  <c r="K89" i="48"/>
  <c r="G89" i="48"/>
  <c r="F89" i="48"/>
  <c r="X88" i="48"/>
  <c r="V88" i="48"/>
  <c r="Q88" i="48"/>
  <c r="L88" i="48"/>
  <c r="K88" i="48"/>
  <c r="G88" i="48"/>
  <c r="F88" i="48"/>
  <c r="X87" i="48"/>
  <c r="V87" i="48"/>
  <c r="Q87" i="48"/>
  <c r="L87" i="48"/>
  <c r="K87" i="48"/>
  <c r="G87" i="48"/>
  <c r="F87" i="48"/>
  <c r="X86" i="48"/>
  <c r="V86" i="48"/>
  <c r="Q86" i="48"/>
  <c r="L86" i="48"/>
  <c r="K86" i="48"/>
  <c r="G86" i="48"/>
  <c r="F86" i="48"/>
  <c r="X85" i="48"/>
  <c r="V85" i="48"/>
  <c r="Q85" i="48"/>
  <c r="L85" i="48"/>
  <c r="K85" i="48"/>
  <c r="G85" i="48"/>
  <c r="F85" i="48"/>
  <c r="X84" i="48"/>
  <c r="V84" i="48"/>
  <c r="Q84" i="48"/>
  <c r="L84" i="48"/>
  <c r="K84" i="48"/>
  <c r="F84" i="48"/>
  <c r="X83" i="48"/>
  <c r="V83" i="48"/>
  <c r="Q83" i="48"/>
  <c r="K83" i="48"/>
  <c r="G83" i="48"/>
  <c r="F83" i="48"/>
  <c r="X82" i="48"/>
  <c r="V82" i="48"/>
  <c r="Q82" i="48"/>
  <c r="L82" i="48"/>
  <c r="K82" i="48"/>
  <c r="G82" i="48"/>
  <c r="F82" i="48"/>
  <c r="X81" i="48"/>
  <c r="V81" i="48"/>
  <c r="Q81" i="48"/>
  <c r="L81" i="48"/>
  <c r="K81" i="48"/>
  <c r="G81" i="48"/>
  <c r="F81" i="48"/>
  <c r="X80" i="48"/>
  <c r="V80" i="48"/>
  <c r="Q80" i="48"/>
  <c r="L80" i="48"/>
  <c r="K80" i="48"/>
  <c r="G80" i="48"/>
  <c r="F80" i="48"/>
  <c r="F38" i="48" l="1"/>
  <c r="R820" i="55"/>
  <c r="Y94" i="48" s="1"/>
  <c r="R818" i="55"/>
  <c r="W94" i="48" s="1"/>
  <c r="R816" i="55"/>
  <c r="U94" i="48" s="1"/>
  <c r="R815" i="55"/>
  <c r="T94" i="48" s="1"/>
  <c r="R814" i="55"/>
  <c r="S94" i="48" s="1"/>
  <c r="R813" i="55"/>
  <c r="R94" i="48" s="1"/>
  <c r="R811" i="55"/>
  <c r="P94" i="48" s="1"/>
  <c r="R810" i="55"/>
  <c r="O94" i="48" s="1"/>
  <c r="R809" i="55"/>
  <c r="N94" i="48" s="1"/>
  <c r="R808" i="55"/>
  <c r="M94" i="48" s="1"/>
  <c r="R807" i="55"/>
  <c r="L94" i="48" s="1"/>
  <c r="R805" i="55"/>
  <c r="J94" i="48" s="1"/>
  <c r="R804" i="55"/>
  <c r="I94" i="48" s="1"/>
  <c r="R803" i="55"/>
  <c r="H94" i="48" s="1"/>
  <c r="R802" i="55"/>
  <c r="G94" i="48" s="1"/>
  <c r="R800" i="55"/>
  <c r="E94" i="48" s="1"/>
  <c r="R799" i="55"/>
  <c r="D94" i="48" s="1"/>
  <c r="R798" i="55"/>
  <c r="C94" i="48" s="1"/>
  <c r="R797" i="55"/>
  <c r="Q797" i="55"/>
  <c r="P797" i="55"/>
  <c r="O797" i="55"/>
  <c r="N797" i="55"/>
  <c r="M797" i="55"/>
  <c r="L797" i="55"/>
  <c r="K797" i="55"/>
  <c r="J797" i="55"/>
  <c r="I797" i="55"/>
  <c r="H797" i="55"/>
  <c r="G797" i="55"/>
  <c r="F797" i="55"/>
  <c r="E797" i="55"/>
  <c r="D797" i="55"/>
  <c r="U239" i="55"/>
  <c r="N239" i="55"/>
  <c r="G596" i="48" s="1"/>
  <c r="H239" i="55"/>
  <c r="F596" i="48" s="1"/>
  <c r="F239" i="55"/>
  <c r="D239" i="55"/>
  <c r="U238" i="55"/>
  <c r="N238" i="55"/>
  <c r="G598" i="48" s="1"/>
  <c r="H238" i="55"/>
  <c r="F598" i="48" s="1"/>
  <c r="F238" i="55"/>
  <c r="D238" i="55"/>
  <c r="U237" i="55"/>
  <c r="N237" i="55"/>
  <c r="G597" i="48" s="1"/>
  <c r="H237" i="55"/>
  <c r="F597" i="48" s="1"/>
  <c r="F237" i="55"/>
  <c r="D237" i="55"/>
  <c r="U236" i="55"/>
  <c r="N236" i="55"/>
  <c r="G595" i="48" s="1"/>
  <c r="H236" i="55"/>
  <c r="F595" i="48" s="1"/>
  <c r="F236" i="55"/>
  <c r="E798" i="55" l="1"/>
  <c r="H798" i="55"/>
  <c r="C84" i="48" s="1"/>
  <c r="G798" i="55"/>
  <c r="O802" i="55"/>
  <c r="O803" i="55"/>
  <c r="D805" i="55"/>
  <c r="H12" i="47" s="1"/>
  <c r="N813" i="55"/>
  <c r="G813" i="55"/>
  <c r="N798" i="55"/>
  <c r="K805" i="55"/>
  <c r="J87" i="48" s="1"/>
  <c r="K798" i="55"/>
  <c r="P802" i="55"/>
  <c r="F805" i="55"/>
  <c r="J82" i="48" s="1"/>
  <c r="M820" i="55"/>
  <c r="O800" i="55"/>
  <c r="E91" i="48" s="1"/>
  <c r="D804" i="55"/>
  <c r="D799" i="55"/>
  <c r="D80" i="48" s="1"/>
  <c r="H803" i="55"/>
  <c r="H84" i="48" s="1"/>
  <c r="G84" i="48" s="1"/>
  <c r="M805" i="55"/>
  <c r="J89" i="48" s="1"/>
  <c r="Q798" i="55"/>
  <c r="O799" i="55"/>
  <c r="E803" i="55"/>
  <c r="P804" i="55"/>
  <c r="I92" i="48" s="1"/>
  <c r="Q805" i="55"/>
  <c r="J93" i="48" s="1"/>
  <c r="P798" i="55"/>
  <c r="C92" i="48" s="1"/>
  <c r="M799" i="55"/>
  <c r="J804" i="55"/>
  <c r="O805" i="55"/>
  <c r="J91" i="48" s="1"/>
  <c r="J799" i="55"/>
  <c r="I799" i="55"/>
  <c r="D85" i="48" s="1"/>
  <c r="I798" i="55"/>
  <c r="H799" i="55"/>
  <c r="P6" i="47" s="1"/>
  <c r="Q803" i="55"/>
  <c r="H93" i="48" s="1"/>
  <c r="J805" i="55"/>
  <c r="I805" i="55" s="1"/>
  <c r="J85" i="48" s="1"/>
  <c r="K816" i="55"/>
  <c r="J816" i="55" s="1"/>
  <c r="U86" i="48" s="1"/>
  <c r="E799" i="55"/>
  <c r="D91" i="48"/>
  <c r="Q799" i="55"/>
  <c r="D93" i="48" s="1"/>
  <c r="C93" i="48" s="1"/>
  <c r="G803" i="55"/>
  <c r="O804" i="55"/>
  <c r="I91" i="48" s="1"/>
  <c r="P814" i="55"/>
  <c r="S92" i="48" s="1"/>
  <c r="G820" i="55"/>
  <c r="F820" i="55" s="1"/>
  <c r="M804" i="55"/>
  <c r="I89" i="48" s="1"/>
  <c r="I814" i="55"/>
  <c r="N799" i="55"/>
  <c r="H804" i="55"/>
  <c r="P11" i="47" s="1"/>
  <c r="H805" i="55"/>
  <c r="P12" i="47" s="1"/>
  <c r="N808" i="55"/>
  <c r="P813" i="55"/>
  <c r="R92" i="48" s="1"/>
  <c r="N816" i="55"/>
  <c r="U90" i="48" s="1"/>
  <c r="K799" i="55"/>
  <c r="J813" i="55"/>
  <c r="I813" i="55" s="1"/>
  <c r="E816" i="55"/>
  <c r="U81" i="48" s="1"/>
  <c r="H800" i="55"/>
  <c r="P7" i="47" s="1"/>
  <c r="I803" i="55"/>
  <c r="H809" i="55"/>
  <c r="P16" i="47" s="1"/>
  <c r="I811" i="55"/>
  <c r="P85" i="48" s="1"/>
  <c r="J820" i="55"/>
  <c r="F800" i="55"/>
  <c r="E82" i="48" s="1"/>
  <c r="G811" i="55"/>
  <c r="P83" i="48" s="1"/>
  <c r="P816" i="55"/>
  <c r="U92" i="48" s="1"/>
  <c r="H820" i="55"/>
  <c r="Y84" i="48" s="1"/>
  <c r="E811" i="55"/>
  <c r="P81" i="48" s="1"/>
  <c r="D800" i="55"/>
  <c r="H7" i="47" s="1"/>
  <c r="F798" i="55"/>
  <c r="O798" i="55"/>
  <c r="C91" i="48" s="1"/>
  <c r="Q800" i="55"/>
  <c r="E93" i="48" s="1"/>
  <c r="F803" i="55"/>
  <c r="P803" i="55"/>
  <c r="AF10" i="47" s="1"/>
  <c r="K804" i="55"/>
  <c r="I87" i="48" s="1"/>
  <c r="E808" i="55"/>
  <c r="E813" i="55"/>
  <c r="K814" i="55"/>
  <c r="L816" i="55"/>
  <c r="U88" i="48" s="1"/>
  <c r="D820" i="55"/>
  <c r="Y80" i="48" s="1"/>
  <c r="D798" i="55"/>
  <c r="C80" i="48" s="1"/>
  <c r="M798" i="55"/>
  <c r="L798" i="55" s="1"/>
  <c r="X5" i="47" s="1"/>
  <c r="Y5" i="47" s="1"/>
  <c r="F799" i="55"/>
  <c r="P799" i="55"/>
  <c r="D92" i="48" s="1"/>
  <c r="M800" i="55"/>
  <c r="E89" i="48" s="1"/>
  <c r="D803" i="55"/>
  <c r="H80" i="48" s="1"/>
  <c r="N803" i="55"/>
  <c r="I804" i="55"/>
  <c r="I85" i="48" s="1"/>
  <c r="P809" i="55"/>
  <c r="N92" i="48" s="1"/>
  <c r="P811" i="55"/>
  <c r="P92" i="48" s="1"/>
  <c r="G814" i="55"/>
  <c r="I816" i="55"/>
  <c r="U85" i="48" s="1"/>
  <c r="N818" i="55"/>
  <c r="W90" i="48" s="1"/>
  <c r="P820" i="55"/>
  <c r="AF27" i="47" s="1"/>
  <c r="K800" i="55"/>
  <c r="J800" i="55" s="1"/>
  <c r="E86" i="48" s="1"/>
  <c r="M803" i="55"/>
  <c r="L809" i="55"/>
  <c r="N88" i="48" s="1"/>
  <c r="N811" i="55"/>
  <c r="P90" i="48" s="1"/>
  <c r="G816" i="55"/>
  <c r="U83" i="48" s="1"/>
  <c r="J818" i="55"/>
  <c r="W86" i="48" s="1"/>
  <c r="O820" i="55"/>
  <c r="J798" i="55"/>
  <c r="I800" i="55"/>
  <c r="E85" i="48" s="1"/>
  <c r="Q802" i="55"/>
  <c r="J803" i="55"/>
  <c r="G804" i="55"/>
  <c r="F804" i="55" s="1"/>
  <c r="I82" i="48" s="1"/>
  <c r="Q804" i="55"/>
  <c r="I93" i="48" s="1"/>
  <c r="J809" i="55"/>
  <c r="L811" i="55"/>
  <c r="X18" i="47" s="1"/>
  <c r="E818" i="55"/>
  <c r="W81" i="48" s="1"/>
  <c r="K811" i="55"/>
  <c r="P87" i="48" s="1"/>
  <c r="G799" i="55"/>
  <c r="L805" i="55"/>
  <c r="D808" i="55"/>
  <c r="M808" i="55"/>
  <c r="G809" i="55"/>
  <c r="O809" i="55"/>
  <c r="I810" i="55"/>
  <c r="H810" i="55" s="1"/>
  <c r="P17" i="47" s="1"/>
  <c r="Q810" i="55"/>
  <c r="J811" i="55"/>
  <c r="P86" i="48" s="1"/>
  <c r="D813" i="55"/>
  <c r="M813" i="55"/>
  <c r="F814" i="55"/>
  <c r="O814" i="55"/>
  <c r="I815" i="55"/>
  <c r="T85" i="48" s="1"/>
  <c r="S85" i="48" s="1"/>
  <c r="R85" i="48" s="1"/>
  <c r="Q815" i="55"/>
  <c r="D818" i="55"/>
  <c r="M818" i="55"/>
  <c r="W89" i="48" s="1"/>
  <c r="L808" i="55"/>
  <c r="F809" i="55"/>
  <c r="E809" i="55" s="1"/>
  <c r="N809" i="55"/>
  <c r="G810" i="55"/>
  <c r="O83" i="48" s="1"/>
  <c r="P810" i="55"/>
  <c r="L813" i="55"/>
  <c r="E814" i="55"/>
  <c r="N814" i="55"/>
  <c r="H815" i="55"/>
  <c r="P815" i="55"/>
  <c r="L818" i="55"/>
  <c r="E820" i="55"/>
  <c r="Y81" i="48" s="1"/>
  <c r="N820" i="55"/>
  <c r="Y90" i="48" s="1"/>
  <c r="G800" i="55"/>
  <c r="E83" i="48" s="1"/>
  <c r="P800" i="55"/>
  <c r="K808" i="55"/>
  <c r="J808" i="55" s="1"/>
  <c r="D809" i="55"/>
  <c r="M809" i="55"/>
  <c r="F810" i="55"/>
  <c r="O810" i="55"/>
  <c r="H811" i="55"/>
  <c r="Q811" i="55"/>
  <c r="P93" i="48" s="1"/>
  <c r="K813" i="55"/>
  <c r="D814" i="55"/>
  <c r="M814" i="55"/>
  <c r="L814" i="55" s="1"/>
  <c r="X21" i="47" s="1"/>
  <c r="F815" i="55"/>
  <c r="O815" i="55"/>
  <c r="H816" i="55"/>
  <c r="Q816" i="55"/>
  <c r="U93" i="48" s="1"/>
  <c r="K818" i="55"/>
  <c r="W87" i="48" s="1"/>
  <c r="X16" i="47"/>
  <c r="I808" i="55"/>
  <c r="N810" i="55"/>
  <c r="O90" i="48" s="1"/>
  <c r="E815" i="55"/>
  <c r="T81" i="48" s="1"/>
  <c r="N815" i="55"/>
  <c r="T90" i="48" s="1"/>
  <c r="L820" i="55"/>
  <c r="E810" i="55"/>
  <c r="O81" i="48" s="1"/>
  <c r="L799" i="55"/>
  <c r="E800" i="55"/>
  <c r="E81" i="48" s="1"/>
  <c r="D81" i="48" s="1"/>
  <c r="N800" i="55"/>
  <c r="E90" i="48" s="1"/>
  <c r="L803" i="55"/>
  <c r="E804" i="55"/>
  <c r="N804" i="55"/>
  <c r="G805" i="55"/>
  <c r="J83" i="48" s="1"/>
  <c r="P805" i="55"/>
  <c r="H808" i="55"/>
  <c r="Q808" i="55"/>
  <c r="K809" i="55"/>
  <c r="D810" i="55"/>
  <c r="M810" i="55"/>
  <c r="F811" i="55"/>
  <c r="P82" i="48" s="1"/>
  <c r="O811" i="55"/>
  <c r="P91" i="48" s="1"/>
  <c r="H813" i="55"/>
  <c r="Q813" i="55"/>
  <c r="J814" i="55"/>
  <c r="D815" i="55"/>
  <c r="M815" i="55"/>
  <c r="F816" i="55"/>
  <c r="U82" i="48" s="1"/>
  <c r="O816" i="55"/>
  <c r="U91" i="48" s="1"/>
  <c r="I818" i="55"/>
  <c r="Q818" i="55"/>
  <c r="W93" i="48" s="1"/>
  <c r="K820" i="55"/>
  <c r="H11" i="47"/>
  <c r="I80" i="48"/>
  <c r="L810" i="55"/>
  <c r="L815" i="55"/>
  <c r="G818" i="55"/>
  <c r="W83" i="48" s="1"/>
  <c r="P818" i="55"/>
  <c r="N84" i="48"/>
  <c r="E80" i="48"/>
  <c r="AF9" i="47"/>
  <c r="G92" i="48"/>
  <c r="J810" i="55"/>
  <c r="J815" i="55"/>
  <c r="T86" i="48" s="1"/>
  <c r="G808" i="55"/>
  <c r="P808" i="55"/>
  <c r="L800" i="55"/>
  <c r="L804" i="55"/>
  <c r="E805" i="55"/>
  <c r="J81" i="48" s="1"/>
  <c r="N805" i="55"/>
  <c r="J90" i="48" s="1"/>
  <c r="F808" i="55"/>
  <c r="O808" i="55"/>
  <c r="I809" i="55"/>
  <c r="Q809" i="55"/>
  <c r="K810" i="55"/>
  <c r="D811" i="55"/>
  <c r="M811" i="55"/>
  <c r="P89" i="48" s="1"/>
  <c r="F813" i="55"/>
  <c r="O813" i="55"/>
  <c r="H814" i="55"/>
  <c r="Q814" i="55"/>
  <c r="K815" i="55"/>
  <c r="D816" i="55"/>
  <c r="M816" i="55"/>
  <c r="U89" i="48" s="1"/>
  <c r="F818" i="55"/>
  <c r="W82" i="48" s="1"/>
  <c r="O818" i="55"/>
  <c r="W91" i="48" s="1"/>
  <c r="I820" i="55"/>
  <c r="Y85" i="48" s="1"/>
  <c r="Q820" i="55"/>
  <c r="Y93" i="48" s="1"/>
  <c r="D236" i="55"/>
  <c r="W235" i="55"/>
  <c r="J594" i="48" s="1"/>
  <c r="U235" i="55"/>
  <c r="I594" i="48" s="1"/>
  <c r="H235" i="55"/>
  <c r="F594" i="48" s="1"/>
  <c r="F235" i="55"/>
  <c r="D235" i="55"/>
  <c r="W234" i="55"/>
  <c r="J593" i="48" s="1"/>
  <c r="U234" i="55"/>
  <c r="I593" i="48" s="1"/>
  <c r="H234" i="55"/>
  <c r="F593" i="48" s="1"/>
  <c r="F234" i="55"/>
  <c r="D234" i="55"/>
  <c r="W233" i="55"/>
  <c r="J592" i="48" s="1"/>
  <c r="U233" i="55"/>
  <c r="I592" i="48" s="1"/>
  <c r="H233" i="55"/>
  <c r="F592" i="48" s="1"/>
  <c r="F233" i="55"/>
  <c r="D233" i="55"/>
  <c r="W232" i="55"/>
  <c r="J591" i="48" s="1"/>
  <c r="U232" i="55"/>
  <c r="I591" i="48" s="1"/>
  <c r="H232" i="55"/>
  <c r="F591" i="48" s="1"/>
  <c r="F232" i="55"/>
  <c r="D232" i="55"/>
  <c r="W231" i="55"/>
  <c r="J590" i="48" s="1"/>
  <c r="U231" i="55"/>
  <c r="I590" i="48" s="1"/>
  <c r="H231" i="55"/>
  <c r="F590" i="48" s="1"/>
  <c r="F231" i="55"/>
  <c r="D231" i="55"/>
  <c r="W230" i="55"/>
  <c r="J589" i="48" s="1"/>
  <c r="U230" i="55"/>
  <c r="I589" i="48" s="1"/>
  <c r="H230" i="55"/>
  <c r="F589" i="48" s="1"/>
  <c r="F230" i="55"/>
  <c r="D230" i="55"/>
  <c r="W229" i="55"/>
  <c r="J588" i="48" s="1"/>
  <c r="U229" i="55"/>
  <c r="I588" i="48" s="1"/>
  <c r="H229" i="55"/>
  <c r="F588" i="48" s="1"/>
  <c r="F229" i="55"/>
  <c r="D229" i="55"/>
  <c r="W228" i="55"/>
  <c r="J587" i="48" s="1"/>
  <c r="U228" i="55"/>
  <c r="I587" i="48" s="1"/>
  <c r="H228" i="55"/>
  <c r="F587" i="48" s="1"/>
  <c r="F228" i="55"/>
  <c r="D228" i="55"/>
  <c r="W227" i="55"/>
  <c r="J585" i="48" s="1"/>
  <c r="U227" i="55"/>
  <c r="I585" i="48" s="1"/>
  <c r="H227" i="55"/>
  <c r="F585" i="48" s="1"/>
  <c r="F227" i="55"/>
  <c r="D227" i="55"/>
  <c r="W226" i="55"/>
  <c r="J586" i="48" s="1"/>
  <c r="U226" i="55"/>
  <c r="I586" i="48" s="1"/>
  <c r="H226" i="55"/>
  <c r="F586" i="48" s="1"/>
  <c r="F226" i="55"/>
  <c r="D226" i="55"/>
  <c r="W225" i="55"/>
  <c r="J584" i="48" s="1"/>
  <c r="U225" i="55"/>
  <c r="I584" i="48" s="1"/>
  <c r="H225" i="55"/>
  <c r="F584" i="48" s="1"/>
  <c r="F225" i="55"/>
  <c r="D225" i="55"/>
  <c r="W224" i="55"/>
  <c r="J583" i="48" s="1"/>
  <c r="U224" i="55"/>
  <c r="I583" i="48" s="1"/>
  <c r="H224" i="55"/>
  <c r="F583" i="48" s="1"/>
  <c r="F224" i="55"/>
  <c r="D224" i="55"/>
  <c r="W223" i="55"/>
  <c r="J582" i="48" s="1"/>
  <c r="U223" i="55"/>
  <c r="I582" i="48" s="1"/>
  <c r="H223" i="55"/>
  <c r="F582" i="48" s="1"/>
  <c r="F223" i="55"/>
  <c r="D223" i="55"/>
  <c r="W222" i="55"/>
  <c r="J581" i="48" s="1"/>
  <c r="U222" i="55"/>
  <c r="I581" i="48" s="1"/>
  <c r="H222" i="55"/>
  <c r="F581" i="48" s="1"/>
  <c r="F222" i="55"/>
  <c r="D222" i="55"/>
  <c r="W221" i="55"/>
  <c r="J580" i="48" s="1"/>
  <c r="U221" i="55"/>
  <c r="I580" i="48" s="1"/>
  <c r="H221" i="55"/>
  <c r="F580" i="48" s="1"/>
  <c r="F221" i="55"/>
  <c r="D221" i="55"/>
  <c r="W220" i="55"/>
  <c r="J579" i="48" s="1"/>
  <c r="U220" i="55"/>
  <c r="I579" i="48" s="1"/>
  <c r="H220" i="55"/>
  <c r="F579" i="48" s="1"/>
  <c r="F220" i="55"/>
  <c r="D220" i="55"/>
  <c r="W219" i="55"/>
  <c r="J578" i="48" s="1"/>
  <c r="U219" i="55"/>
  <c r="I578" i="48" s="1"/>
  <c r="H219" i="55"/>
  <c r="F578" i="48" s="1"/>
  <c r="F219" i="55"/>
  <c r="D219" i="55"/>
  <c r="W218" i="55"/>
  <c r="J577" i="48" s="1"/>
  <c r="U218" i="55"/>
  <c r="I577" i="48" s="1"/>
  <c r="H218" i="55"/>
  <c r="F577" i="48" s="1"/>
  <c r="F218" i="55"/>
  <c r="D218" i="55"/>
  <c r="AF11" i="47" l="1"/>
  <c r="J80" i="48"/>
  <c r="P27" i="47"/>
  <c r="Q27" i="47" s="1"/>
  <c r="S27" i="47" s="1"/>
  <c r="AO27" i="47" s="1"/>
  <c r="AF23" i="47"/>
  <c r="AG23" i="47" s="1"/>
  <c r="I84" i="48"/>
  <c r="E84" i="48"/>
  <c r="AF18" i="47"/>
  <c r="AG18" i="47" s="1"/>
  <c r="O91" i="48"/>
  <c r="I83" i="48"/>
  <c r="H83" i="48" s="1"/>
  <c r="D84" i="48"/>
  <c r="T89" i="48"/>
  <c r="S89" i="48" s="1"/>
  <c r="N91" i="48"/>
  <c r="T93" i="48"/>
  <c r="O93" i="48"/>
  <c r="H92" i="48"/>
  <c r="C85" i="48"/>
  <c r="J84" i="48"/>
  <c r="Y83" i="48"/>
  <c r="AF5" i="47"/>
  <c r="AG5" i="47" s="1"/>
  <c r="E87" i="48"/>
  <c r="I90" i="48"/>
  <c r="AF21" i="47"/>
  <c r="AG21" i="47" s="1"/>
  <c r="J86" i="48"/>
  <c r="R89" i="48"/>
  <c r="X23" i="47"/>
  <c r="Y23" i="47" s="1"/>
  <c r="P5" i="47"/>
  <c r="Q5" i="47" s="1"/>
  <c r="C81" i="48"/>
  <c r="H90" i="48"/>
  <c r="P10" i="47"/>
  <c r="Q10" i="47" s="1"/>
  <c r="S86" i="48"/>
  <c r="R86" i="48" s="1"/>
  <c r="T91" i="48"/>
  <c r="Y92" i="48"/>
  <c r="AF6" i="47"/>
  <c r="AG6" i="47" s="1"/>
  <c r="AF20" i="47"/>
  <c r="AG20" i="47" s="1"/>
  <c r="S81" i="48"/>
  <c r="R81" i="48" s="1"/>
  <c r="H6" i="47"/>
  <c r="I6" i="47" s="1"/>
  <c r="D89" i="48"/>
  <c r="D87" i="48"/>
  <c r="C87" i="48" s="1"/>
  <c r="Y86" i="48" s="1"/>
  <c r="H27" i="47"/>
  <c r="I27" i="47" s="1"/>
  <c r="G93" i="48"/>
  <c r="C89" i="48"/>
  <c r="I86" i="48"/>
  <c r="U87" i="48"/>
  <c r="N81" i="48"/>
  <c r="M81" i="48" s="1"/>
  <c r="AF16" i="47"/>
  <c r="AG16" i="47" s="1"/>
  <c r="H91" i="48"/>
  <c r="G91" i="48" s="1"/>
  <c r="D90" i="48"/>
  <c r="C90" i="48" s="1"/>
  <c r="Y89" i="48" s="1"/>
  <c r="H5" i="47"/>
  <c r="I5" i="47" s="1"/>
  <c r="T82" i="48"/>
  <c r="S82" i="48" s="1"/>
  <c r="H86" i="48"/>
  <c r="D86" i="48"/>
  <c r="S91" i="48"/>
  <c r="D83" i="48"/>
  <c r="C83" i="48" s="1"/>
  <c r="Y82" i="48" s="1"/>
  <c r="H85" i="48"/>
  <c r="O89" i="48"/>
  <c r="N89" i="48" s="1"/>
  <c r="M89" i="48" s="1"/>
  <c r="I81" i="48"/>
  <c r="H81" i="48" s="1"/>
  <c r="N90" i="48"/>
  <c r="M90" i="48" s="1"/>
  <c r="H82" i="48"/>
  <c r="O82" i="48"/>
  <c r="N82" i="48" s="1"/>
  <c r="M91" i="48"/>
  <c r="D82" i="48"/>
  <c r="T87" i="48"/>
  <c r="S87" i="48" s="1"/>
  <c r="R87" i="48" s="1"/>
  <c r="P88" i="48"/>
  <c r="C82" i="48"/>
  <c r="H10" i="47"/>
  <c r="I10" i="47" s="1"/>
  <c r="C86" i="48"/>
  <c r="Y91" i="48"/>
  <c r="S90" i="48"/>
  <c r="R90" i="48" s="1"/>
  <c r="H89" i="48"/>
  <c r="R91" i="48"/>
  <c r="N83" i="48"/>
  <c r="M83" i="48" s="1"/>
  <c r="L83" i="48" s="1"/>
  <c r="AE20" i="47"/>
  <c r="H818" i="55"/>
  <c r="W85" i="48"/>
  <c r="AE16" i="47"/>
  <c r="AE27" i="47"/>
  <c r="AG27" i="47"/>
  <c r="AF7" i="47"/>
  <c r="E92" i="48"/>
  <c r="X20" i="47"/>
  <c r="R88" i="48"/>
  <c r="O7" i="47"/>
  <c r="Q7" i="47"/>
  <c r="O6" i="47"/>
  <c r="Q6" i="47"/>
  <c r="O85" i="48"/>
  <c r="N85" i="48" s="1"/>
  <c r="M85" i="48" s="1"/>
  <c r="P21" i="47"/>
  <c r="S84" i="48"/>
  <c r="G7" i="47"/>
  <c r="I7" i="47"/>
  <c r="O16" i="47"/>
  <c r="Q16" i="47"/>
  <c r="P20" i="47"/>
  <c r="R84" i="48"/>
  <c r="AF12" i="47"/>
  <c r="J92" i="48"/>
  <c r="H21" i="47"/>
  <c r="S80" i="48"/>
  <c r="O11" i="47"/>
  <c r="Q11" i="47"/>
  <c r="P15" i="47"/>
  <c r="M84" i="48"/>
  <c r="X6" i="47"/>
  <c r="D88" i="48"/>
  <c r="C88" i="48" s="1"/>
  <c r="Y87" i="48" s="1"/>
  <c r="G10" i="47"/>
  <c r="G6" i="47"/>
  <c r="W21" i="47"/>
  <c r="Y21" i="47"/>
  <c r="H16" i="47"/>
  <c r="N80" i="48"/>
  <c r="AE6" i="47"/>
  <c r="AF15" i="47"/>
  <c r="M92" i="48"/>
  <c r="AE5" i="47"/>
  <c r="AE21" i="47"/>
  <c r="X17" i="47"/>
  <c r="O88" i="48"/>
  <c r="AE11" i="47"/>
  <c r="AG11" i="47"/>
  <c r="G815" i="55"/>
  <c r="T83" i="48" s="1"/>
  <c r="S83" i="48" s="1"/>
  <c r="R83" i="48" s="1"/>
  <c r="P22" i="47"/>
  <c r="T84" i="48"/>
  <c r="X15" i="47"/>
  <c r="M88" i="48"/>
  <c r="O17" i="47"/>
  <c r="Q17" i="47"/>
  <c r="H23" i="47"/>
  <c r="U80" i="48"/>
  <c r="X7" i="47"/>
  <c r="E88" i="48"/>
  <c r="X22" i="47"/>
  <c r="T88" i="48"/>
  <c r="S88" i="48" s="1"/>
  <c r="O5" i="47"/>
  <c r="H22" i="47"/>
  <c r="T80" i="48"/>
  <c r="O12" i="47"/>
  <c r="Q12" i="47"/>
  <c r="W16" i="47"/>
  <c r="Y16" i="47"/>
  <c r="AF22" i="47"/>
  <c r="T92" i="48"/>
  <c r="H25" i="47"/>
  <c r="W80" i="48"/>
  <c r="AE10" i="47"/>
  <c r="AG10" i="47"/>
  <c r="O87" i="48"/>
  <c r="N87" i="48" s="1"/>
  <c r="M87" i="48" s="1"/>
  <c r="H18" i="47"/>
  <c r="P80" i="48"/>
  <c r="X11" i="47"/>
  <c r="I88" i="48"/>
  <c r="AE9" i="47"/>
  <c r="AG9" i="47"/>
  <c r="W23" i="47"/>
  <c r="H17" i="47"/>
  <c r="O80" i="48"/>
  <c r="K803" i="55"/>
  <c r="H87" i="48" s="1"/>
  <c r="X10" i="47"/>
  <c r="H88" i="48"/>
  <c r="X27" i="47"/>
  <c r="Y88" i="48"/>
  <c r="P23" i="47"/>
  <c r="Q23" i="47" s="1"/>
  <c r="U84" i="48"/>
  <c r="G27" i="47"/>
  <c r="X25" i="47"/>
  <c r="W88" i="48"/>
  <c r="W18" i="47"/>
  <c r="Y18" i="47"/>
  <c r="O86" i="48"/>
  <c r="N86" i="48" s="1"/>
  <c r="M86" i="48" s="1"/>
  <c r="AF25" i="47"/>
  <c r="W92" i="48"/>
  <c r="G11" i="47"/>
  <c r="I11" i="47"/>
  <c r="AE18" i="47"/>
  <c r="G12" i="47"/>
  <c r="I12" i="47"/>
  <c r="AE23" i="47"/>
  <c r="P18" i="47"/>
  <c r="P84" i="48"/>
  <c r="O84" i="48" s="1"/>
  <c r="G5" i="47"/>
  <c r="H20" i="47"/>
  <c r="R80" i="48"/>
  <c r="X12" i="47"/>
  <c r="J88" i="48"/>
  <c r="R82" i="48"/>
  <c r="S93" i="48"/>
  <c r="R93" i="48" s="1"/>
  <c r="O10" i="47"/>
  <c r="AF17" i="47"/>
  <c r="O92" i="48"/>
  <c r="H15" i="47"/>
  <c r="M80" i="48"/>
  <c r="M82" i="48"/>
  <c r="N93" i="48"/>
  <c r="M93" i="48" s="1"/>
  <c r="AD728" i="55"/>
  <c r="AB728" i="55"/>
  <c r="AA728" i="55"/>
  <c r="Z728" i="55" s="1"/>
  <c r="AD727" i="55"/>
  <c r="AB727" i="55"/>
  <c r="AA727" i="55"/>
  <c r="Z727" i="55"/>
  <c r="AD726" i="55"/>
  <c r="AB726" i="55"/>
  <c r="AA726" i="55"/>
  <c r="Z726" i="55"/>
  <c r="V27" i="47" l="1"/>
  <c r="U27" i="47"/>
  <c r="T27" i="47"/>
  <c r="K27" i="47"/>
  <c r="AN27" i="47" s="1"/>
  <c r="AI27" i="47"/>
  <c r="AK27" i="47" s="1"/>
  <c r="W27" i="47"/>
  <c r="BT27" i="47" s="1"/>
  <c r="DS66" i="38" s="1"/>
  <c r="Y27" i="47"/>
  <c r="W7" i="47"/>
  <c r="Y7" i="47"/>
  <c r="O22" i="47"/>
  <c r="Q22" i="47"/>
  <c r="AE7" i="47"/>
  <c r="AG7" i="47"/>
  <c r="G20" i="47"/>
  <c r="I20" i="47"/>
  <c r="G16" i="47"/>
  <c r="I16" i="47"/>
  <c r="W6" i="47"/>
  <c r="Y6" i="47"/>
  <c r="AE12" i="47"/>
  <c r="AG12" i="47"/>
  <c r="O21" i="47"/>
  <c r="Q21" i="47"/>
  <c r="W22" i="47"/>
  <c r="Y22" i="47"/>
  <c r="W15" i="47"/>
  <c r="Y15" i="47"/>
  <c r="W20" i="47"/>
  <c r="Y20" i="47"/>
  <c r="P25" i="47"/>
  <c r="W84" i="48"/>
  <c r="W12" i="47"/>
  <c r="Y12" i="47"/>
  <c r="AE25" i="47"/>
  <c r="AG25" i="47"/>
  <c r="G17" i="47"/>
  <c r="I17" i="47"/>
  <c r="G18" i="47"/>
  <c r="I18" i="47"/>
  <c r="W17" i="47"/>
  <c r="Y17" i="47"/>
  <c r="G21" i="47"/>
  <c r="I21" i="47"/>
  <c r="AE22" i="47"/>
  <c r="AG22" i="47"/>
  <c r="AE17" i="47"/>
  <c r="AG17" i="47"/>
  <c r="O18" i="47"/>
  <c r="Q18" i="47"/>
  <c r="W11" i="47"/>
  <c r="Y11" i="47"/>
  <c r="AE15" i="47"/>
  <c r="AG15" i="47"/>
  <c r="G15" i="47"/>
  <c r="I15" i="47"/>
  <c r="W25" i="47"/>
  <c r="Y25" i="47"/>
  <c r="W10" i="47"/>
  <c r="Y10" i="47"/>
  <c r="G25" i="47"/>
  <c r="I25" i="47"/>
  <c r="G22" i="47"/>
  <c r="I22" i="47"/>
  <c r="G23" i="47"/>
  <c r="I23" i="47"/>
  <c r="O15" i="47"/>
  <c r="Q15" i="47"/>
  <c r="O20" i="47"/>
  <c r="Q20" i="47"/>
  <c r="L27" i="47" l="1"/>
  <c r="M27" i="47"/>
  <c r="AU27" i="47"/>
  <c r="IK27" i="38" s="1"/>
  <c r="IK66" i="38" s="1"/>
  <c r="BG27" i="47"/>
  <c r="CG27" i="38" s="1"/>
  <c r="AQ27" i="47"/>
  <c r="AL27" i="47"/>
  <c r="N27" i="47"/>
  <c r="AJ27" i="47"/>
  <c r="AA27" i="47"/>
  <c r="BS27" i="47"/>
  <c r="DR66" i="38" s="1"/>
  <c r="BR27" i="47"/>
  <c r="DQ66" i="38" s="1"/>
  <c r="BQ27" i="47"/>
  <c r="DP66" i="38" s="1"/>
  <c r="DS27" i="38"/>
  <c r="O25" i="47"/>
  <c r="Q25" i="47"/>
  <c r="QZ27" i="38" l="1"/>
  <c r="RS27" i="38"/>
  <c r="BU27" i="38"/>
  <c r="AC27" i="47"/>
  <c r="AP27" i="47"/>
  <c r="AR27" i="47" s="1"/>
  <c r="IW27" i="38"/>
  <c r="IW66" i="38" s="1"/>
  <c r="BH27" i="47"/>
  <c r="IX27" i="38" s="1"/>
  <c r="PJ27" i="38"/>
  <c r="DR27" i="38"/>
  <c r="PI27" i="38"/>
  <c r="DQ27" i="38"/>
  <c r="PH27" i="38"/>
  <c r="PG27" i="38" s="1"/>
  <c r="DP27" i="38"/>
  <c r="AB27" i="47"/>
  <c r="C27" i="47" s="1"/>
  <c r="BC27" i="47"/>
  <c r="CC27" i="38" s="1"/>
  <c r="AD27" i="47"/>
  <c r="QW27" i="38" l="1"/>
  <c r="RP27" i="38"/>
  <c r="QY27" i="38"/>
  <c r="RR27" i="38"/>
  <c r="QX27" i="38"/>
  <c r="RQ27" i="38"/>
  <c r="JS27" i="38"/>
  <c r="IX66" i="38"/>
  <c r="JR27" i="38"/>
  <c r="BI27" i="47"/>
  <c r="IY27" i="38" s="1"/>
  <c r="CH27" i="38"/>
  <c r="BF27" i="47"/>
  <c r="CF27" i="38" s="1"/>
  <c r="LE27" i="38"/>
  <c r="MB27" i="38" s="1"/>
  <c r="FP27" i="38"/>
  <c r="GM27" i="38" s="1"/>
  <c r="BE27" i="47"/>
  <c r="IU27" i="38" s="1"/>
  <c r="BJ27" i="38"/>
  <c r="IS27" i="38"/>
  <c r="IS66" i="38" s="1"/>
  <c r="BD27" i="47"/>
  <c r="JP27" i="38" l="1"/>
  <c r="IU66" i="38"/>
  <c r="JT27" i="38"/>
  <c r="IY66" i="38"/>
  <c r="IV27" i="38"/>
  <c r="BM27" i="38"/>
  <c r="CI27" i="38"/>
  <c r="DC27" i="38" s="1"/>
  <c r="DB27" i="38" s="1"/>
  <c r="DA27" i="38" s="1"/>
  <c r="NV27" i="38"/>
  <c r="NV66" i="38" s="1"/>
  <c r="CE27" i="38"/>
  <c r="BL27" i="38"/>
  <c r="CZ27" i="38"/>
  <c r="BK27" i="38"/>
  <c r="IT27" i="38"/>
  <c r="CD27" i="38"/>
  <c r="CX27" i="38" s="1"/>
  <c r="CW27" i="38" s="1"/>
  <c r="JO27" i="38" l="1"/>
  <c r="JN27" i="38" s="1"/>
  <c r="IT66" i="38"/>
  <c r="JQ27" i="38"/>
  <c r="IV66" i="38"/>
  <c r="CY27" i="38"/>
  <c r="R325" i="44" l="1"/>
  <c r="O325" i="44"/>
  <c r="R324" i="44"/>
  <c r="O324" i="44"/>
  <c r="R323" i="44"/>
  <c r="O323" i="44"/>
  <c r="R322" i="44"/>
  <c r="O322" i="44"/>
  <c r="R321" i="44"/>
  <c r="O321" i="44"/>
  <c r="R320" i="44"/>
  <c r="O320" i="44"/>
  <c r="R319" i="44"/>
  <c r="O319" i="44"/>
  <c r="R318" i="44"/>
  <c r="O318" i="44"/>
  <c r="D318" i="44" s="1"/>
  <c r="R317" i="44"/>
  <c r="O317" i="44"/>
  <c r="R316" i="44"/>
  <c r="O316" i="44"/>
  <c r="O315" i="44"/>
  <c r="D323" i="44" s="1"/>
  <c r="O314" i="44"/>
  <c r="D324" i="44" s="1"/>
  <c r="O313" i="44"/>
  <c r="D325" i="44" s="1"/>
  <c r="P323" i="44" l="1"/>
  <c r="P317" i="44"/>
  <c r="P316" i="44"/>
  <c r="D313" i="44"/>
  <c r="P320" i="44"/>
  <c r="P319" i="44"/>
  <c r="P322" i="44"/>
  <c r="D316" i="44"/>
  <c r="P315" i="44"/>
  <c r="P318" i="44"/>
  <c r="P325" i="44"/>
  <c r="D319" i="44"/>
  <c r="P321" i="44"/>
  <c r="P314" i="44"/>
  <c r="P313" i="44"/>
  <c r="P324" i="44"/>
  <c r="Y313" i="44" s="1"/>
  <c r="D311" i="44"/>
  <c r="L276" i="44"/>
  <c r="F276" i="44"/>
  <c r="D276" i="44"/>
  <c r="L275" i="44"/>
  <c r="D275" i="44"/>
  <c r="L274" i="44"/>
  <c r="D274" i="44" l="1"/>
  <c r="L273" i="44"/>
  <c r="D273" i="44"/>
  <c r="L272" i="44"/>
  <c r="F272" i="44"/>
  <c r="D272" i="44"/>
  <c r="L271" i="44"/>
  <c r="F271" i="44"/>
  <c r="D271" i="44"/>
  <c r="L270" i="44"/>
  <c r="F270" i="44"/>
  <c r="D270" i="44"/>
  <c r="L269" i="44"/>
  <c r="F269" i="44"/>
  <c r="D269" i="44"/>
  <c r="L268" i="44"/>
  <c r="F268" i="44"/>
  <c r="D268" i="44"/>
  <c r="L267" i="44"/>
  <c r="D267" i="44"/>
  <c r="L266" i="44"/>
  <c r="F266" i="44"/>
  <c r="D266" i="44"/>
  <c r="L265" i="44"/>
  <c r="F265" i="44" l="1"/>
  <c r="D265" i="44"/>
  <c r="L264" i="44"/>
  <c r="F264" i="44"/>
  <c r="D264" i="44"/>
  <c r="L263" i="44"/>
  <c r="F263" i="44"/>
  <c r="D263" i="44"/>
  <c r="L262" i="44"/>
  <c r="D262" i="44"/>
  <c r="L261" i="44"/>
  <c r="F261" i="44"/>
  <c r="D261" i="44"/>
  <c r="L260" i="44"/>
  <c r="D260" i="44"/>
  <c r="L259" i="44"/>
  <c r="F259" i="44"/>
  <c r="D259" i="44"/>
  <c r="L258" i="44"/>
  <c r="F258" i="44"/>
  <c r="D258" i="44"/>
  <c r="L257" i="44"/>
  <c r="F257" i="44"/>
  <c r="D257" i="44"/>
  <c r="L256" i="44" l="1"/>
  <c r="F256" i="44"/>
  <c r="D256" i="44"/>
  <c r="L255" i="44"/>
  <c r="F255" i="44"/>
  <c r="D255" i="44" l="1"/>
  <c r="AJ507" i="44" s="1"/>
  <c r="K503" i="44"/>
  <c r="AI502" i="44"/>
  <c r="X502" i="44" s="1"/>
  <c r="J502" i="44"/>
  <c r="E502" i="44" s="1"/>
  <c r="AJ486" i="44"/>
  <c r="X486" i="44" s="1"/>
  <c r="E486" i="44"/>
  <c r="D486" i="44"/>
  <c r="K234" i="44"/>
  <c r="B234" i="44"/>
  <c r="K228" i="44"/>
  <c r="B228" i="44"/>
  <c r="X227" i="44" s="1"/>
  <c r="K227" i="44"/>
  <c r="B227" i="44"/>
  <c r="X226" i="44" s="1"/>
  <c r="K226" i="44"/>
  <c r="B226" i="44"/>
  <c r="B223" i="44"/>
  <c r="AK218" i="44"/>
  <c r="AK217" i="44"/>
  <c r="AK216" i="44"/>
  <c r="AK215" i="44"/>
  <c r="AK214" i="44"/>
  <c r="AK213" i="44"/>
  <c r="AK211" i="44"/>
  <c r="AK210" i="44"/>
  <c r="AK209" i="44"/>
  <c r="AK208" i="44"/>
  <c r="AK207" i="44"/>
  <c r="AK206" i="44"/>
  <c r="AK204" i="44"/>
  <c r="AK203" i="44"/>
  <c r="AK202" i="44"/>
  <c r="AJ213" i="44" l="1"/>
  <c r="X230" i="44"/>
  <c r="K230" i="44" s="1"/>
  <c r="B230" i="44" s="1"/>
  <c r="X228" i="44" s="1"/>
  <c r="AK200" i="44"/>
  <c r="AK199" i="44"/>
  <c r="AK198" i="44"/>
  <c r="D197" i="44"/>
  <c r="D138" i="44"/>
  <c r="H122" i="44"/>
  <c r="G122" i="44" s="1"/>
  <c r="F122" i="44" s="1"/>
  <c r="E122" i="44"/>
  <c r="D122" i="44"/>
  <c r="H121" i="44"/>
  <c r="G121" i="44"/>
  <c r="F121" i="44" s="1"/>
  <c r="E121" i="44"/>
  <c r="D121" i="44"/>
  <c r="J215" i="44" s="1"/>
  <c r="G273" i="44" s="1"/>
  <c r="E32" i="58" s="1"/>
  <c r="D119" i="44"/>
  <c r="J213" i="44" s="1"/>
  <c r="G271" i="44" s="1"/>
  <c r="E30" i="58" s="1"/>
  <c r="H113" i="44"/>
  <c r="D113" i="44"/>
  <c r="J207" i="44" s="1"/>
  <c r="G265" i="44" s="1"/>
  <c r="E24" i="58" s="1"/>
  <c r="D96" i="44"/>
  <c r="E95" i="44"/>
  <c r="D95" i="44"/>
  <c r="J504" i="44" s="1"/>
  <c r="E504" i="44" s="1"/>
  <c r="E93" i="44"/>
  <c r="F93" i="44" s="1"/>
  <c r="G91" i="44"/>
  <c r="F91" i="44"/>
  <c r="E91" i="44" s="1"/>
  <c r="D88" i="44"/>
  <c r="H87" i="44"/>
  <c r="D87" i="44"/>
  <c r="J496" i="44" s="1"/>
  <c r="E496" i="44" s="1"/>
  <c r="H85" i="44"/>
  <c r="W494" i="44" s="1"/>
  <c r="K494" i="44" s="1"/>
  <c r="G85" i="44"/>
  <c r="F85" i="44"/>
  <c r="E85" i="44" s="1"/>
  <c r="E111" i="44" s="1"/>
  <c r="D85" i="44"/>
  <c r="J494" i="44" s="1"/>
  <c r="E494" i="44" s="1"/>
  <c r="D84" i="44"/>
  <c r="H83" i="44"/>
  <c r="W492" i="44" s="1"/>
  <c r="K492" i="44" s="1"/>
  <c r="G83" i="44"/>
  <c r="F83" i="44"/>
  <c r="E83" i="44"/>
  <c r="E109" i="44" s="1"/>
  <c r="D83" i="44"/>
  <c r="J492" i="44" s="1"/>
  <c r="E492" i="44" s="1"/>
  <c r="E82" i="44"/>
  <c r="D82" i="44" s="1"/>
  <c r="J491" i="44" s="1"/>
  <c r="E491" i="44" s="1"/>
  <c r="G81" i="44"/>
  <c r="F81" i="44" s="1"/>
  <c r="E81" i="44" s="1"/>
  <c r="D81" i="44" s="1"/>
  <c r="J490" i="44" s="1"/>
  <c r="E490" i="44" s="1"/>
  <c r="F77" i="44"/>
  <c r="E77" i="44"/>
  <c r="D77" i="44"/>
  <c r="L42" i="44"/>
  <c r="L41" i="44"/>
  <c r="L40" i="44"/>
  <c r="L39" i="44"/>
  <c r="L38" i="44"/>
  <c r="L37" i="44"/>
  <c r="E202" i="58" l="1"/>
  <c r="E45" i="58"/>
  <c r="E169" i="58"/>
  <c r="E130" i="58"/>
  <c r="E134" i="58"/>
  <c r="E49" i="58"/>
  <c r="E165" i="58"/>
  <c r="E187" i="58"/>
  <c r="E60" i="58"/>
  <c r="E132" i="58"/>
  <c r="E201" i="58"/>
  <c r="E166" i="58"/>
  <c r="N122" i="44"/>
  <c r="J122" i="44"/>
  <c r="D216" i="44" s="1"/>
  <c r="E274" i="44" s="1"/>
  <c r="P23" i="51"/>
  <c r="D32" i="48"/>
  <c r="O271" i="44"/>
  <c r="N83" i="44"/>
  <c r="J151" i="44"/>
  <c r="E255" i="44"/>
  <c r="C14" i="58" s="1"/>
  <c r="H109" i="44"/>
  <c r="D109" i="44"/>
  <c r="J203" i="44" s="1"/>
  <c r="G261" i="44" s="1"/>
  <c r="G93" i="44"/>
  <c r="J93" i="44" s="1"/>
  <c r="D502" i="44" s="1"/>
  <c r="AJ501" i="44" s="1"/>
  <c r="F119" i="44"/>
  <c r="G87" i="44"/>
  <c r="W496" i="44"/>
  <c r="K496" i="44" s="1"/>
  <c r="P25" i="51"/>
  <c r="D34" i="48"/>
  <c r="O273" i="44"/>
  <c r="D111" i="44"/>
  <c r="G107" i="44"/>
  <c r="F107" i="44" s="1"/>
  <c r="E107" i="44" s="1"/>
  <c r="D107" i="44"/>
  <c r="G113" i="44"/>
  <c r="F113" i="44" s="1"/>
  <c r="E113" i="44" s="1"/>
  <c r="J113" i="44" s="1"/>
  <c r="D207" i="44" s="1"/>
  <c r="E265" i="44" s="1"/>
  <c r="W207" i="44"/>
  <c r="N121" i="44"/>
  <c r="D32" i="58" s="1"/>
  <c r="J216" i="44"/>
  <c r="G274" i="44" s="1"/>
  <c r="E33" i="58" s="1"/>
  <c r="G109" i="44"/>
  <c r="F109" i="44" s="1"/>
  <c r="P17" i="51"/>
  <c r="D26" i="48"/>
  <c r="O265" i="44"/>
  <c r="J505" i="44"/>
  <c r="E505" i="44" s="1"/>
  <c r="E119" i="44"/>
  <c r="J85" i="44"/>
  <c r="D494" i="44" s="1"/>
  <c r="AJ493" i="44" s="1"/>
  <c r="J121" i="44"/>
  <c r="D215" i="44" s="1"/>
  <c r="E273" i="44" s="1"/>
  <c r="J83" i="44"/>
  <c r="D492" i="44" s="1"/>
  <c r="AJ491" i="44" s="1"/>
  <c r="D108" i="44"/>
  <c r="H77" i="44"/>
  <c r="H111" i="44"/>
  <c r="G111" i="44" s="1"/>
  <c r="F111" i="44" s="1"/>
  <c r="L36" i="44"/>
  <c r="L35" i="44"/>
  <c r="L33" i="44" s="1"/>
  <c r="E29" i="44"/>
  <c r="D29" i="44"/>
  <c r="L28" i="44" s="1"/>
  <c r="K253" i="48" s="1"/>
  <c r="E28" i="44"/>
  <c r="D28" i="44"/>
  <c r="L27" i="44" s="1"/>
  <c r="K252" i="48" s="1"/>
  <c r="E27" i="44"/>
  <c r="D27" i="44"/>
  <c r="L26" i="44" s="1"/>
  <c r="K251" i="48" s="1"/>
  <c r="E26" i="44"/>
  <c r="D26" i="44"/>
  <c r="L25" i="44" s="1"/>
  <c r="K250" i="48" s="1"/>
  <c r="E25" i="44"/>
  <c r="D25" i="44"/>
  <c r="L24" i="44" s="1"/>
  <c r="K249" i="48" s="1"/>
  <c r="E24" i="44"/>
  <c r="D24" i="44" s="1"/>
  <c r="L23" i="44" s="1"/>
  <c r="K248" i="48" s="1"/>
  <c r="E23" i="44"/>
  <c r="D23" i="44" s="1"/>
  <c r="L22" i="44" s="1"/>
  <c r="K247" i="48" s="1"/>
  <c r="E22" i="44"/>
  <c r="D22" i="44" s="1"/>
  <c r="L21" i="44" s="1"/>
  <c r="E21" i="44"/>
  <c r="D21" i="44" s="1"/>
  <c r="L20" i="44" s="1"/>
  <c r="H252" i="48" s="1"/>
  <c r="E20" i="44"/>
  <c r="D20" i="44" s="1"/>
  <c r="L19" i="44" s="1"/>
  <c r="E19" i="44"/>
  <c r="D19" i="44" s="1"/>
  <c r="L18" i="44" s="1"/>
  <c r="H250" i="48" s="1"/>
  <c r="E18" i="44"/>
  <c r="D18" i="44" s="1"/>
  <c r="L17" i="44" s="1"/>
  <c r="H249" i="48" s="1"/>
  <c r="E17" i="44"/>
  <c r="D17" i="44" s="1"/>
  <c r="L16" i="44" s="1"/>
  <c r="H248" i="48" s="1"/>
  <c r="E16" i="44"/>
  <c r="D16" i="44" s="1"/>
  <c r="L15" i="44" s="1"/>
  <c r="H247" i="48" s="1"/>
  <c r="E15" i="44"/>
  <c r="D15" i="44" s="1"/>
  <c r="L14" i="44" s="1"/>
  <c r="E253" i="48" s="1"/>
  <c r="E14" i="44"/>
  <c r="D14" i="44"/>
  <c r="L13" i="44" s="1"/>
  <c r="E252" i="48" s="1"/>
  <c r="E13" i="44"/>
  <c r="D13" i="44"/>
  <c r="L12" i="44" s="1"/>
  <c r="E12" i="44"/>
  <c r="D12" i="44"/>
  <c r="L11" i="44" s="1"/>
  <c r="E250" i="48" s="1"/>
  <c r="E11" i="44"/>
  <c r="D11" i="44"/>
  <c r="L10" i="44" s="1"/>
  <c r="E10" i="44"/>
  <c r="D10" i="44"/>
  <c r="L9" i="44" s="1"/>
  <c r="E248" i="48" s="1"/>
  <c r="E9" i="44"/>
  <c r="D9" i="44"/>
  <c r="L8" i="44" s="1"/>
  <c r="E8" i="44"/>
  <c r="D8" i="44"/>
  <c r="G204" i="48" l="1"/>
  <c r="C24" i="58"/>
  <c r="E170" i="58"/>
  <c r="E61" i="58"/>
  <c r="E137" i="58"/>
  <c r="E182" i="58"/>
  <c r="D33" i="58"/>
  <c r="D187" i="58"/>
  <c r="D165" i="58"/>
  <c r="D49" i="58"/>
  <c r="D134" i="58"/>
  <c r="O261" i="44"/>
  <c r="E20" i="58"/>
  <c r="G196" i="48"/>
  <c r="C32" i="58"/>
  <c r="C55" i="58"/>
  <c r="C125" i="58"/>
  <c r="C155" i="58"/>
  <c r="C193" i="58"/>
  <c r="G197" i="48"/>
  <c r="C33" i="58"/>
  <c r="O26" i="51"/>
  <c r="O386" i="51" s="1"/>
  <c r="J137" i="44"/>
  <c r="J109" i="44"/>
  <c r="D203" i="44" s="1"/>
  <c r="E261" i="44" s="1"/>
  <c r="N113" i="44"/>
  <c r="N26" i="51"/>
  <c r="N386" i="51" s="1"/>
  <c r="C35" i="48"/>
  <c r="J274" i="44"/>
  <c r="N274" i="44"/>
  <c r="P268" i="51"/>
  <c r="P47" i="51"/>
  <c r="P303" i="51"/>
  <c r="P92" i="51"/>
  <c r="P375" i="51"/>
  <c r="P132" i="51"/>
  <c r="P324" i="51"/>
  <c r="P149" i="51"/>
  <c r="P354" i="51"/>
  <c r="P187" i="51"/>
  <c r="P219" i="51"/>
  <c r="P212" i="51"/>
  <c r="P249" i="51"/>
  <c r="P69" i="51"/>
  <c r="O69" i="51" s="1"/>
  <c r="G200" i="48"/>
  <c r="N7" i="51"/>
  <c r="C16" i="48"/>
  <c r="J255" i="44"/>
  <c r="N255" i="44"/>
  <c r="P13" i="51"/>
  <c r="P319" i="51" s="1"/>
  <c r="D22" i="48"/>
  <c r="N109" i="44"/>
  <c r="H12" i="44"/>
  <c r="G12" i="44" s="1"/>
  <c r="E251" i="48"/>
  <c r="H19" i="44"/>
  <c r="G19" i="44" s="1"/>
  <c r="H251" i="48"/>
  <c r="H8" i="44"/>
  <c r="G8" i="44" s="1"/>
  <c r="E247" i="48"/>
  <c r="H10" i="44"/>
  <c r="G10" i="44" s="1"/>
  <c r="E249" i="48"/>
  <c r="H21" i="44"/>
  <c r="G21" i="44" s="1"/>
  <c r="H253" i="48"/>
  <c r="E32" i="44"/>
  <c r="D32" i="44" s="1"/>
  <c r="E31" i="44"/>
  <c r="N25" i="51"/>
  <c r="C34" i="48"/>
  <c r="J273" i="44"/>
  <c r="N273" i="44"/>
  <c r="G77" i="44"/>
  <c r="W486" i="44"/>
  <c r="K486" i="44" s="1"/>
  <c r="H103" i="44"/>
  <c r="P358" i="51"/>
  <c r="P326" i="51"/>
  <c r="P383" i="51"/>
  <c r="P283" i="51"/>
  <c r="P203" i="51"/>
  <c r="P160" i="51"/>
  <c r="P231" i="51"/>
  <c r="P178" i="51"/>
  <c r="P242" i="51"/>
  <c r="P137" i="51"/>
  <c r="P99" i="51"/>
  <c r="P81" i="51"/>
  <c r="P60" i="51"/>
  <c r="P301" i="51"/>
  <c r="J205" i="44"/>
  <c r="J111" i="44"/>
  <c r="D205" i="44" s="1"/>
  <c r="E263" i="44" s="1"/>
  <c r="J148" i="44"/>
  <c r="J202" i="44"/>
  <c r="G260" i="44" s="1"/>
  <c r="E19" i="58" s="1"/>
  <c r="J201" i="44"/>
  <c r="G259" i="44" s="1"/>
  <c r="E18" i="58" s="1"/>
  <c r="F87" i="44"/>
  <c r="E87" i="44" s="1"/>
  <c r="N87" i="44"/>
  <c r="P308" i="51"/>
  <c r="P329" i="51"/>
  <c r="P369" i="51"/>
  <c r="P353" i="51"/>
  <c r="P257" i="51"/>
  <c r="P279" i="51"/>
  <c r="P195" i="51"/>
  <c r="P221" i="51"/>
  <c r="P170" i="51"/>
  <c r="P144" i="51"/>
  <c r="P118" i="51"/>
  <c r="P101" i="51"/>
  <c r="P45" i="51"/>
  <c r="P71" i="51"/>
  <c r="N17" i="51"/>
  <c r="C26" i="48"/>
  <c r="J265" i="44"/>
  <c r="N265" i="44"/>
  <c r="P26" i="51"/>
  <c r="D35" i="48"/>
  <c r="O274" i="44"/>
  <c r="G119" i="44"/>
  <c r="H93" i="44"/>
  <c r="D31" i="44"/>
  <c r="L29" i="44" s="1"/>
  <c r="A32" i="44"/>
  <c r="O25" i="51"/>
  <c r="N258" i="51" l="1"/>
  <c r="C170" i="58"/>
  <c r="C137" i="58"/>
  <c r="C61" i="58"/>
  <c r="C182" i="58"/>
  <c r="C49" i="58"/>
  <c r="C187" i="58"/>
  <c r="C165" i="58"/>
  <c r="C134" i="58"/>
  <c r="D61" i="58"/>
  <c r="D137" i="58"/>
  <c r="D170" i="58"/>
  <c r="D182" i="58"/>
  <c r="E153" i="58"/>
  <c r="E190" i="58"/>
  <c r="E41" i="58"/>
  <c r="E121" i="58"/>
  <c r="E157" i="58"/>
  <c r="E48" i="58"/>
  <c r="E124" i="58"/>
  <c r="E192" i="58"/>
  <c r="E127" i="58"/>
  <c r="E203" i="58"/>
  <c r="E56" i="58"/>
  <c r="E159" i="58"/>
  <c r="G211" i="48"/>
  <c r="C22" i="58"/>
  <c r="O13" i="51"/>
  <c r="O345" i="51" s="1"/>
  <c r="D20" i="58"/>
  <c r="D24" i="58"/>
  <c r="C202" i="58"/>
  <c r="C169" i="58"/>
  <c r="C45" i="58"/>
  <c r="C130" i="58"/>
  <c r="G199" i="48"/>
  <c r="C20" i="58"/>
  <c r="P247" i="51"/>
  <c r="P217" i="51"/>
  <c r="P67" i="51"/>
  <c r="P173" i="51"/>
  <c r="P378" i="51"/>
  <c r="P105" i="51"/>
  <c r="P297" i="51"/>
  <c r="P42" i="51"/>
  <c r="P197" i="51"/>
  <c r="P280" i="51"/>
  <c r="P345" i="51"/>
  <c r="P126" i="51"/>
  <c r="P153" i="51"/>
  <c r="O258" i="51"/>
  <c r="O150" i="51"/>
  <c r="O17" i="51"/>
  <c r="O81" i="51" s="1"/>
  <c r="O332" i="51"/>
  <c r="O103" i="51"/>
  <c r="O309" i="51"/>
  <c r="O122" i="51"/>
  <c r="O171" i="51"/>
  <c r="O357" i="51"/>
  <c r="O198" i="51"/>
  <c r="O53" i="51"/>
  <c r="O230" i="51"/>
  <c r="O267" i="51"/>
  <c r="N53" i="51"/>
  <c r="N267" i="51"/>
  <c r="N261" i="44"/>
  <c r="D137" i="44"/>
  <c r="N13" i="51"/>
  <c r="N247" i="51" s="1"/>
  <c r="C22" i="48"/>
  <c r="J261" i="44"/>
  <c r="N198" i="51"/>
  <c r="N171" i="51"/>
  <c r="N230" i="51"/>
  <c r="N332" i="51"/>
  <c r="N150" i="51"/>
  <c r="N309" i="51"/>
  <c r="N103" i="51"/>
  <c r="N357" i="51"/>
  <c r="N122" i="51"/>
  <c r="N343" i="51"/>
  <c r="N100" i="51"/>
  <c r="N371" i="51"/>
  <c r="N243" i="51"/>
  <c r="N199" i="51"/>
  <c r="N174" i="51"/>
  <c r="N218" i="51"/>
  <c r="N43" i="51"/>
  <c r="N273" i="51"/>
  <c r="N68" i="51"/>
  <c r="N296" i="51"/>
  <c r="N151" i="51"/>
  <c r="N320" i="51"/>
  <c r="N127" i="51"/>
  <c r="J87" i="44"/>
  <c r="D496" i="44" s="1"/>
  <c r="AJ495" i="44" s="1"/>
  <c r="L31" i="44"/>
  <c r="K254" i="48"/>
  <c r="O308" i="51"/>
  <c r="O329" i="51"/>
  <c r="O369" i="51"/>
  <c r="O353" i="51"/>
  <c r="O279" i="51"/>
  <c r="O257" i="51"/>
  <c r="O195" i="51"/>
  <c r="O221" i="51"/>
  <c r="O170" i="51"/>
  <c r="O118" i="51"/>
  <c r="O101" i="51"/>
  <c r="O144" i="51"/>
  <c r="O45" i="51"/>
  <c r="N329" i="51"/>
  <c r="N369" i="51"/>
  <c r="N353" i="51"/>
  <c r="N308" i="51"/>
  <c r="N279" i="51"/>
  <c r="N257" i="51"/>
  <c r="N195" i="51"/>
  <c r="N221" i="51"/>
  <c r="N170" i="51"/>
  <c r="N118" i="51"/>
  <c r="N101" i="51"/>
  <c r="N144" i="51"/>
  <c r="N45" i="51"/>
  <c r="N326" i="51"/>
  <c r="N383" i="51"/>
  <c r="N231" i="51"/>
  <c r="N242" i="51"/>
  <c r="N358" i="51"/>
  <c r="N301" i="51"/>
  <c r="N283" i="51"/>
  <c r="N178" i="51"/>
  <c r="N203" i="51"/>
  <c r="N160" i="51"/>
  <c r="N137" i="51"/>
  <c r="N99" i="51"/>
  <c r="N81" i="51"/>
  <c r="N60" i="51"/>
  <c r="O71" i="51"/>
  <c r="N71" i="51" s="1"/>
  <c r="N15" i="51"/>
  <c r="C24" i="48"/>
  <c r="N263" i="44"/>
  <c r="J263" i="44"/>
  <c r="P11" i="51"/>
  <c r="D20" i="48"/>
  <c r="O259" i="44"/>
  <c r="P386" i="51"/>
  <c r="P332" i="51"/>
  <c r="P309" i="51"/>
  <c r="P267" i="51"/>
  <c r="P357" i="51"/>
  <c r="P258" i="51"/>
  <c r="P198" i="51"/>
  <c r="P171" i="51"/>
  <c r="P230" i="51"/>
  <c r="P150" i="51"/>
  <c r="P103" i="51"/>
  <c r="P122" i="51"/>
  <c r="P53" i="51"/>
  <c r="P80" i="51"/>
  <c r="O80" i="51" s="1"/>
  <c r="N80" i="51" s="1"/>
  <c r="P12" i="51"/>
  <c r="D21" i="48"/>
  <c r="O260" i="44"/>
  <c r="J486" i="44"/>
  <c r="G103" i="44"/>
  <c r="W502" i="44"/>
  <c r="K502" i="44" s="1"/>
  <c r="H119" i="44"/>
  <c r="L32" i="44"/>
  <c r="G263" i="44"/>
  <c r="E22" i="58" s="1"/>
  <c r="O67" i="51" l="1"/>
  <c r="O280" i="51"/>
  <c r="O126" i="51"/>
  <c r="O378" i="51"/>
  <c r="O153" i="51"/>
  <c r="O173" i="51"/>
  <c r="O319" i="51"/>
  <c r="O105" i="51"/>
  <c r="O217" i="51"/>
  <c r="O247" i="51"/>
  <c r="O42" i="51"/>
  <c r="O197" i="51"/>
  <c r="O297" i="51"/>
  <c r="O242" i="51"/>
  <c r="E138" i="58"/>
  <c r="E57" i="58"/>
  <c r="E186" i="58"/>
  <c r="E171" i="58"/>
  <c r="C157" i="58"/>
  <c r="C124" i="58"/>
  <c r="C48" i="58"/>
  <c r="C192" i="58"/>
  <c r="D130" i="58"/>
  <c r="D202" i="58"/>
  <c r="D169" i="58"/>
  <c r="D45" i="58"/>
  <c r="C171" i="58"/>
  <c r="C138" i="58"/>
  <c r="C186" i="58"/>
  <c r="C57" i="58"/>
  <c r="D48" i="58"/>
  <c r="D157" i="58"/>
  <c r="D192" i="58"/>
  <c r="D124" i="58"/>
  <c r="O137" i="51"/>
  <c r="O383" i="51"/>
  <c r="O231" i="51"/>
  <c r="N345" i="51"/>
  <c r="O160" i="51"/>
  <c r="O326" i="51"/>
  <c r="O99" i="51"/>
  <c r="O178" i="51"/>
  <c r="O301" i="51"/>
  <c r="N67" i="51"/>
  <c r="O60" i="51"/>
  <c r="O203" i="51"/>
  <c r="O283" i="51"/>
  <c r="O358" i="51"/>
  <c r="N297" i="51"/>
  <c r="N197" i="51"/>
  <c r="N42" i="51"/>
  <c r="N173" i="51"/>
  <c r="N280" i="51"/>
  <c r="N319" i="51"/>
  <c r="N126" i="51"/>
  <c r="N153" i="51"/>
  <c r="N378" i="51"/>
  <c r="N105" i="51"/>
  <c r="N217" i="51"/>
  <c r="P341" i="51"/>
  <c r="P382" i="51"/>
  <c r="P252" i="51"/>
  <c r="P298" i="51"/>
  <c r="P287" i="51"/>
  <c r="P316" i="51"/>
  <c r="P229" i="51"/>
  <c r="P186" i="51"/>
  <c r="P211" i="51"/>
  <c r="P142" i="51"/>
  <c r="P116" i="51"/>
  <c r="P93" i="51"/>
  <c r="P58" i="51"/>
  <c r="P79" i="51"/>
  <c r="P347" i="51"/>
  <c r="P321" i="51"/>
  <c r="P374" i="51"/>
  <c r="P302" i="51"/>
  <c r="P272" i="51"/>
  <c r="P251" i="51"/>
  <c r="P184" i="51"/>
  <c r="P210" i="51"/>
  <c r="P228" i="51"/>
  <c r="P148" i="51"/>
  <c r="P124" i="51"/>
  <c r="P102" i="51"/>
  <c r="P54" i="51"/>
  <c r="P78" i="51"/>
  <c r="N312" i="51"/>
  <c r="N359" i="51"/>
  <c r="N333" i="51"/>
  <c r="N385" i="51"/>
  <c r="N262" i="51"/>
  <c r="N271" i="51"/>
  <c r="N185" i="51"/>
  <c r="N225" i="51"/>
  <c r="N208" i="51"/>
  <c r="N141" i="51"/>
  <c r="N91" i="51"/>
  <c r="N117" i="51"/>
  <c r="N75" i="51"/>
  <c r="N52" i="51"/>
  <c r="F103" i="44"/>
  <c r="E103" i="44" s="1"/>
  <c r="D103" i="44" s="1"/>
  <c r="J138" i="44"/>
  <c r="J197" i="44"/>
  <c r="G255" i="44" s="1"/>
  <c r="E14" i="58" s="1"/>
  <c r="P15" i="51"/>
  <c r="D24" i="48"/>
  <c r="O263" i="44"/>
  <c r="E193" i="58" l="1"/>
  <c r="E55" i="58"/>
  <c r="E125" i="58"/>
  <c r="E155" i="58"/>
  <c r="P312" i="51"/>
  <c r="P359" i="51"/>
  <c r="P333" i="51"/>
  <c r="P271" i="51"/>
  <c r="P385" i="51"/>
  <c r="P262" i="51"/>
  <c r="P185" i="51"/>
  <c r="P225" i="51"/>
  <c r="P208" i="51"/>
  <c r="P117" i="51"/>
  <c r="P141" i="51"/>
  <c r="P91" i="51"/>
  <c r="P52" i="51"/>
  <c r="P75" i="51"/>
  <c r="P7" i="51"/>
  <c r="D16" i="48"/>
  <c r="O255" i="44"/>
  <c r="P320" i="51" l="1"/>
  <c r="P371" i="51"/>
  <c r="P243" i="51"/>
  <c r="P343" i="51"/>
  <c r="P296" i="51"/>
  <c r="P273" i="51"/>
  <c r="P218" i="51"/>
  <c r="P174" i="51"/>
  <c r="P199" i="51"/>
  <c r="P100" i="51"/>
  <c r="P127" i="51"/>
  <c r="P151" i="51"/>
  <c r="P43" i="51"/>
  <c r="P68" i="51"/>
  <c r="O68" i="51" s="1"/>
  <c r="K6" i="47"/>
  <c r="N6" i="47" s="1"/>
  <c r="S6" i="47"/>
  <c r="V6" i="47" s="1"/>
  <c r="AA6" i="47"/>
  <c r="AD6" i="47" s="1"/>
  <c r="AI6" i="47"/>
  <c r="K10" i="47"/>
  <c r="S10" i="47"/>
  <c r="AA10" i="47"/>
  <c r="AD10" i="47" s="1"/>
  <c r="AI10" i="47"/>
  <c r="AK10" i="47" s="1"/>
  <c r="D80" i="44"/>
  <c r="J489" i="44" s="1"/>
  <c r="BP13" i="38"/>
  <c r="BS13" i="38" s="1"/>
  <c r="K18" i="47"/>
  <c r="M18" i="47" s="1"/>
  <c r="S18" i="47"/>
  <c r="AA18" i="47"/>
  <c r="AC18" i="47" s="1"/>
  <c r="AI18" i="47"/>
  <c r="AJ18" i="47" s="1"/>
  <c r="K11" i="47"/>
  <c r="S11" i="47"/>
  <c r="AA11" i="47"/>
  <c r="AC11" i="47" s="1"/>
  <c r="AI11" i="47"/>
  <c r="AL11" i="47" s="1"/>
  <c r="K17" i="47"/>
  <c r="L17" i="47" s="1"/>
  <c r="S17" i="47"/>
  <c r="U17" i="47" s="1"/>
  <c r="AA17" i="47"/>
  <c r="AC17" i="47" s="1"/>
  <c r="AI17" i="47"/>
  <c r="K20" i="47"/>
  <c r="S20" i="47"/>
  <c r="T20" i="47" s="1"/>
  <c r="AA20" i="47"/>
  <c r="AD20" i="47" s="1"/>
  <c r="AI20" i="47"/>
  <c r="AJ20" i="47" s="1"/>
  <c r="E108" i="44"/>
  <c r="F82" i="44"/>
  <c r="F108" i="44" s="1"/>
  <c r="G82" i="44"/>
  <c r="H82" i="44"/>
  <c r="H108" i="44" s="1"/>
  <c r="W202" i="44" s="1"/>
  <c r="K9" i="47"/>
  <c r="L9" i="47" s="1"/>
  <c r="BL9" i="47"/>
  <c r="DK48" i="38" s="1"/>
  <c r="H81" i="44"/>
  <c r="H107" i="44" s="1"/>
  <c r="D86" i="44"/>
  <c r="D112" i="44" s="1"/>
  <c r="J206" i="44" s="1"/>
  <c r="G264" i="44" s="1"/>
  <c r="E23" i="58" s="1"/>
  <c r="G86" i="44"/>
  <c r="G112" i="44" s="1"/>
  <c r="H86" i="44"/>
  <c r="H112" i="44" s="1"/>
  <c r="W206" i="44" s="1"/>
  <c r="H87" i="51"/>
  <c r="H29" i="44" s="1"/>
  <c r="G29" i="44"/>
  <c r="K21" i="47"/>
  <c r="L21" i="47" s="1"/>
  <c r="S21" i="47"/>
  <c r="V21" i="47" s="1"/>
  <c r="AA21" i="47"/>
  <c r="AD21" i="47" s="1"/>
  <c r="AI21" i="47"/>
  <c r="AL21" i="47" s="1"/>
  <c r="H73" i="51"/>
  <c r="H15" i="44" s="1"/>
  <c r="G15" i="44"/>
  <c r="H72" i="51"/>
  <c r="H14" i="44" s="1"/>
  <c r="G14" i="44"/>
  <c r="H81" i="51"/>
  <c r="H23" i="44" s="1"/>
  <c r="G23" i="44"/>
  <c r="H69" i="51"/>
  <c r="H11" i="44" s="1"/>
  <c r="G11" i="44"/>
  <c r="H85" i="51"/>
  <c r="H27" i="44" s="1"/>
  <c r="G27" i="44"/>
  <c r="H74" i="51"/>
  <c r="H16" i="44" s="1"/>
  <c r="G16" i="44"/>
  <c r="H84" i="51"/>
  <c r="H26" i="44" s="1"/>
  <c r="G26" i="44"/>
  <c r="H75" i="51"/>
  <c r="H17" i="44" s="1"/>
  <c r="G17" i="44"/>
  <c r="H83" i="51"/>
  <c r="H25" i="44" s="1"/>
  <c r="G25" i="44"/>
  <c r="H80" i="51"/>
  <c r="H22" i="44" s="1"/>
  <c r="G22" i="44"/>
  <c r="E96" i="44"/>
  <c r="F96" i="44"/>
  <c r="G96" i="44"/>
  <c r="H96" i="44"/>
  <c r="W505" i="44" s="1"/>
  <c r="AJ504" i="44"/>
  <c r="H82" i="51"/>
  <c r="H24" i="44" s="1"/>
  <c r="G24" i="44"/>
  <c r="E84" i="44"/>
  <c r="E110" i="44" s="1"/>
  <c r="G84" i="44"/>
  <c r="G110" i="44" s="1"/>
  <c r="H84" i="44"/>
  <c r="H110" i="44" s="1"/>
  <c r="W204" i="44" s="1"/>
  <c r="G9" i="44"/>
  <c r="G13" i="44"/>
  <c r="G18" i="44"/>
  <c r="G20" i="44"/>
  <c r="G28" i="44"/>
  <c r="H67" i="51"/>
  <c r="H9" i="44" s="1"/>
  <c r="H86" i="51"/>
  <c r="H28" i="44" s="1"/>
  <c r="BP8" i="47"/>
  <c r="DO47" i="38" s="1"/>
  <c r="BT8" i="47"/>
  <c r="DS47" i="38" s="1"/>
  <c r="BX8" i="47"/>
  <c r="BP7" i="47"/>
  <c r="DO46" i="38" s="1"/>
  <c r="BT7" i="47"/>
  <c r="PK7" i="38" s="1"/>
  <c r="BX7" i="47"/>
  <c r="H71" i="51"/>
  <c r="H13" i="44" s="1"/>
  <c r="H76" i="51"/>
  <c r="H18" i="44" s="1"/>
  <c r="H78" i="51"/>
  <c r="H20" i="44" s="1"/>
  <c r="E117" i="44"/>
  <c r="G80" i="44"/>
  <c r="G106" i="44" s="1"/>
  <c r="H80" i="44"/>
  <c r="H106" i="44" s="1"/>
  <c r="BL8" i="47"/>
  <c r="DK47" i="38" s="1"/>
  <c r="X489" i="44"/>
  <c r="BL6" i="47"/>
  <c r="X487" i="44"/>
  <c r="X488" i="44"/>
  <c r="K19" i="47"/>
  <c r="BL19" i="47"/>
  <c r="X500" i="44"/>
  <c r="K12" i="47"/>
  <c r="N12" i="47" s="1"/>
  <c r="BL12" i="47"/>
  <c r="AI12" i="47"/>
  <c r="BX12" i="47"/>
  <c r="X493" i="44"/>
  <c r="BL26" i="47"/>
  <c r="DK65" i="38" s="1"/>
  <c r="X507" i="44"/>
  <c r="AI496" i="44"/>
  <c r="AJ207" i="44" s="1"/>
  <c r="K15" i="47"/>
  <c r="AU15" i="47" s="1"/>
  <c r="BL15" i="47"/>
  <c r="X496" i="44"/>
  <c r="F35" i="38"/>
  <c r="G35" i="38" s="1"/>
  <c r="X223" i="44" s="1"/>
  <c r="K223" i="44"/>
  <c r="BL17" i="47"/>
  <c r="DK56" i="38" s="1"/>
  <c r="X498" i="44"/>
  <c r="K14" i="47"/>
  <c r="L14" i="47" s="1"/>
  <c r="BL14" i="47"/>
  <c r="X495" i="44"/>
  <c r="E88" i="44"/>
  <c r="G88" i="44"/>
  <c r="G114" i="44" s="1"/>
  <c r="H88" i="44"/>
  <c r="H114" i="44" s="1"/>
  <c r="W208" i="44" s="1"/>
  <c r="K16" i="47"/>
  <c r="BL16" i="47"/>
  <c r="AI16" i="47"/>
  <c r="BX16" i="47"/>
  <c r="X497" i="44"/>
  <c r="BL21" i="47"/>
  <c r="W213" i="44"/>
  <c r="BP21" i="47"/>
  <c r="BT21" i="47"/>
  <c r="BX21" i="47"/>
  <c r="BL24" i="47"/>
  <c r="W216" i="44"/>
  <c r="X505" i="44"/>
  <c r="BL10" i="47"/>
  <c r="X491" i="44"/>
  <c r="E80" i="44"/>
  <c r="E106" i="44" s="1"/>
  <c r="F80" i="44"/>
  <c r="F106" i="44" s="1"/>
  <c r="D97" i="44"/>
  <c r="D123" i="44" s="1"/>
  <c r="E97" i="44"/>
  <c r="E123" i="44" s="1"/>
  <c r="F97" i="44"/>
  <c r="F123" i="44" s="1"/>
  <c r="G97" i="44"/>
  <c r="G123" i="44" s="1"/>
  <c r="H97" i="44"/>
  <c r="H123" i="44" s="1"/>
  <c r="W217" i="44" s="1"/>
  <c r="BL18" i="47"/>
  <c r="X499" i="44"/>
  <c r="E94" i="44"/>
  <c r="E120" i="44" s="1"/>
  <c r="J214" i="44" s="1"/>
  <c r="G272" i="44" s="1"/>
  <c r="E31" i="58" s="1"/>
  <c r="H94" i="44"/>
  <c r="H120" i="44" s="1"/>
  <c r="W214" i="44" s="1"/>
  <c r="K22" i="47"/>
  <c r="M22" i="47" s="1"/>
  <c r="BL22" i="47"/>
  <c r="DK61" i="38" s="1"/>
  <c r="AI22" i="47"/>
  <c r="AJ22" i="47" s="1"/>
  <c r="BX22" i="47"/>
  <c r="X503" i="44"/>
  <c r="AI492" i="44"/>
  <c r="AJ203" i="44" s="1"/>
  <c r="BL11" i="47"/>
  <c r="DK50" i="38" s="1"/>
  <c r="W203" i="44"/>
  <c r="X492" i="44"/>
  <c r="K23" i="47"/>
  <c r="M23" i="47" s="1"/>
  <c r="BL23" i="47"/>
  <c r="W215" i="44"/>
  <c r="X504" i="44"/>
  <c r="K25" i="47"/>
  <c r="BL25" i="47"/>
  <c r="X506" i="44"/>
  <c r="K498" i="44"/>
  <c r="F84" i="44"/>
  <c r="AJ492" i="44"/>
  <c r="F88" i="44"/>
  <c r="F114" i="44" s="1"/>
  <c r="D114" i="44"/>
  <c r="K487" i="44"/>
  <c r="AJ497" i="44"/>
  <c r="AJ489" i="44"/>
  <c r="E86" i="44"/>
  <c r="E112" i="44" s="1"/>
  <c r="F86" i="44"/>
  <c r="F112" i="44" s="1"/>
  <c r="X494" i="44"/>
  <c r="K497" i="44"/>
  <c r="AJ503" i="44"/>
  <c r="K507" i="44"/>
  <c r="E507" i="44"/>
  <c r="AJ506" i="44"/>
  <c r="E493" i="44"/>
  <c r="K5" i="47"/>
  <c r="BL5" i="47"/>
  <c r="DK44" i="38" s="1"/>
  <c r="W197" i="44"/>
  <c r="S5" i="47"/>
  <c r="V5" i="47" s="1"/>
  <c r="BP5" i="47"/>
  <c r="K504" i="44"/>
  <c r="J135" i="44"/>
  <c r="D135" i="44"/>
  <c r="J134" i="44"/>
  <c r="D134" i="44"/>
  <c r="D110" i="44"/>
  <c r="J119" i="44"/>
  <c r="D151" i="44" s="1"/>
  <c r="J150" i="44"/>
  <c r="J149" i="44"/>
  <c r="D149" i="44"/>
  <c r="K489" i="44"/>
  <c r="E497" i="44"/>
  <c r="K500" i="44"/>
  <c r="E500" i="44"/>
  <c r="G94" i="44"/>
  <c r="G120" i="44" s="1"/>
  <c r="F94" i="44"/>
  <c r="F120" i="44" s="1"/>
  <c r="K506" i="44"/>
  <c r="E498" i="44"/>
  <c r="E489" i="44"/>
  <c r="AJ496" i="44"/>
  <c r="AJ499" i="44"/>
  <c r="E506" i="44"/>
  <c r="E488" i="44"/>
  <c r="AJ487" i="44"/>
  <c r="AI7" i="47"/>
  <c r="AK7" i="47" s="1"/>
  <c r="K7" i="47"/>
  <c r="N7" i="47" s="1"/>
  <c r="S7" i="47"/>
  <c r="U7" i="47" s="1"/>
  <c r="BL7" i="47"/>
  <c r="DK46" i="38" s="1"/>
  <c r="E495" i="44"/>
  <c r="AJ488" i="44"/>
  <c r="K491" i="44"/>
  <c r="K499" i="44"/>
  <c r="E503" i="44"/>
  <c r="AJ505" i="44"/>
  <c r="X490" i="44"/>
  <c r="K490" i="44"/>
  <c r="K495" i="44"/>
  <c r="K488" i="44"/>
  <c r="K493" i="44"/>
  <c r="E499" i="44"/>
  <c r="AJ498" i="44"/>
  <c r="AJ502" i="44"/>
  <c r="K505" i="44"/>
  <c r="BL13" i="47"/>
  <c r="W205" i="44"/>
  <c r="S19" i="47"/>
  <c r="T19" i="47" s="1"/>
  <c r="AA19" i="47"/>
  <c r="AI19" i="47"/>
  <c r="AJ19" i="47" s="1"/>
  <c r="Y314" i="44"/>
  <c r="H319" i="48" s="1"/>
  <c r="BP11" i="47"/>
  <c r="BT11" i="47"/>
  <c r="DS50" i="38" s="1"/>
  <c r="BX11" i="47"/>
  <c r="AA7" i="47"/>
  <c r="W314" i="44"/>
  <c r="F325" i="44" s="1"/>
  <c r="Y316" i="44"/>
  <c r="H314" i="48" s="1"/>
  <c r="BP6" i="47"/>
  <c r="DO45" i="38" s="1"/>
  <c r="BT6" i="47"/>
  <c r="BX6" i="47"/>
  <c r="Y315" i="44"/>
  <c r="H318" i="48" s="1"/>
  <c r="AA5" i="47"/>
  <c r="BT5" i="47"/>
  <c r="AI5" i="47"/>
  <c r="BX5" i="47"/>
  <c r="W315" i="44"/>
  <c r="F324" i="44" s="1"/>
  <c r="BP10" i="47"/>
  <c r="BT10" i="47"/>
  <c r="DS49" i="38" s="1"/>
  <c r="BX10" i="47"/>
  <c r="PO10" i="38" s="1"/>
  <c r="S9" i="47"/>
  <c r="AA9" i="47"/>
  <c r="AI9" i="47"/>
  <c r="AJ9" i="47" s="1"/>
  <c r="S12" i="47"/>
  <c r="U12" i="47" s="1"/>
  <c r="AA12" i="47"/>
  <c r="AC12" i="47" s="1"/>
  <c r="S14" i="47"/>
  <c r="U14" i="47" s="1"/>
  <c r="AA14" i="47"/>
  <c r="AI14" i="47"/>
  <c r="S15" i="47"/>
  <c r="AY15" i="47" s="1"/>
  <c r="AA15" i="47"/>
  <c r="AI15" i="47"/>
  <c r="AK15" i="47" s="1"/>
  <c r="S16" i="47"/>
  <c r="U16" i="47" s="1"/>
  <c r="AA16" i="47"/>
  <c r="AD16" i="47" s="1"/>
  <c r="S22" i="47"/>
  <c r="T22" i="47" s="1"/>
  <c r="AA22" i="47"/>
  <c r="S23" i="47"/>
  <c r="AA23" i="47"/>
  <c r="AI23" i="47"/>
  <c r="S25" i="47"/>
  <c r="U25" i="47" s="1"/>
  <c r="AA25" i="47"/>
  <c r="AB25" i="47" s="1"/>
  <c r="AI25" i="47"/>
  <c r="BP25" i="47"/>
  <c r="BT25" i="47"/>
  <c r="BX25" i="47"/>
  <c r="Y319" i="44"/>
  <c r="H315" i="48" s="1"/>
  <c r="BP15" i="47"/>
  <c r="DO54" i="38" s="1"/>
  <c r="BT15" i="47"/>
  <c r="BX15" i="47"/>
  <c r="W319" i="44"/>
  <c r="F321" i="44" s="1"/>
  <c r="BP12" i="47"/>
  <c r="BT12" i="47"/>
  <c r="D322" i="44"/>
  <c r="Y322" i="44"/>
  <c r="H307" i="48" s="1"/>
  <c r="BP9" i="47"/>
  <c r="DO48" i="38" s="1"/>
  <c r="BT9" i="47"/>
  <c r="BX9" i="47"/>
  <c r="Y324" i="44"/>
  <c r="H313" i="48" s="1"/>
  <c r="Y323" i="44"/>
  <c r="H310" i="48" s="1"/>
  <c r="BP16" i="47"/>
  <c r="DO55" i="38" s="1"/>
  <c r="BT16" i="47"/>
  <c r="DS55" i="38" s="1"/>
  <c r="Y320" i="44"/>
  <c r="H311" i="48" s="1"/>
  <c r="BL20" i="47"/>
  <c r="BP20" i="47"/>
  <c r="BT20" i="47"/>
  <c r="BX20" i="47"/>
  <c r="Y321" i="44"/>
  <c r="H308" i="48" s="1"/>
  <c r="BP19" i="47"/>
  <c r="DO58" i="38" s="1"/>
  <c r="BT19" i="47"/>
  <c r="BX19" i="47"/>
  <c r="Y318" i="44"/>
  <c r="H312" i="48" s="1"/>
  <c r="BP18" i="47"/>
  <c r="BT18" i="47"/>
  <c r="DS57" i="38" s="1"/>
  <c r="BX18" i="47"/>
  <c r="BP14" i="47"/>
  <c r="BT14" i="47"/>
  <c r="DS53" i="38" s="1"/>
  <c r="BX14" i="47"/>
  <c r="Y325" i="44"/>
  <c r="H309" i="48" s="1"/>
  <c r="D317" i="44"/>
  <c r="Y317" i="44"/>
  <c r="H317" i="48" s="1"/>
  <c r="BP13" i="47"/>
  <c r="BT13" i="47"/>
  <c r="BX13" i="47"/>
  <c r="BP17" i="47"/>
  <c r="BT17" i="47"/>
  <c r="BX17" i="47"/>
  <c r="CQ24" i="38"/>
  <c r="CR24" i="38"/>
  <c r="CS24" i="38"/>
  <c r="CT24" i="38"/>
  <c r="CU24" i="38"/>
  <c r="CV24" i="38"/>
  <c r="CW24" i="38"/>
  <c r="CX24" i="38"/>
  <c r="CY24" i="38"/>
  <c r="CZ24" i="38"/>
  <c r="DA24" i="38"/>
  <c r="DB24" i="38"/>
  <c r="DC24" i="38"/>
  <c r="BP26" i="38"/>
  <c r="BD26" i="38"/>
  <c r="BP22" i="47"/>
  <c r="BT22" i="47"/>
  <c r="BP24" i="47"/>
  <c r="BT24" i="47"/>
  <c r="BX24" i="47"/>
  <c r="BP26" i="47"/>
  <c r="PG26" i="38" s="1"/>
  <c r="BT26" i="47"/>
  <c r="BX26" i="47"/>
  <c r="BP23" i="47"/>
  <c r="BT23" i="47"/>
  <c r="BX23" i="47"/>
  <c r="NK8" i="38"/>
  <c r="H35" i="38"/>
  <c r="I35" i="38" s="1"/>
  <c r="Q283" i="48" s="1"/>
  <c r="D320" i="44"/>
  <c r="D315" i="44"/>
  <c r="D314" i="44"/>
  <c r="H316" i="48"/>
  <c r="H306" i="48"/>
  <c r="D321" i="44"/>
  <c r="AI15" i="51"/>
  <c r="AI13" i="51"/>
  <c r="AI17" i="51"/>
  <c r="AI22" i="51"/>
  <c r="AI20" i="51"/>
  <c r="AI10" i="51"/>
  <c r="J78" i="51"/>
  <c r="I78" i="51"/>
  <c r="S83" i="51"/>
  <c r="R83" i="51"/>
  <c r="J70" i="51"/>
  <c r="I70" i="51"/>
  <c r="S70" i="51"/>
  <c r="R70" i="51"/>
  <c r="J83" i="51"/>
  <c r="I83" i="51"/>
  <c r="S68" i="51"/>
  <c r="R68" i="51"/>
  <c r="S67" i="51"/>
  <c r="R67" i="51"/>
  <c r="J86" i="51"/>
  <c r="I86" i="51"/>
  <c r="J85" i="51"/>
  <c r="I85" i="51"/>
  <c r="S84" i="51"/>
  <c r="R84" i="51"/>
  <c r="Q84" i="51"/>
  <c r="J68" i="51"/>
  <c r="S76" i="51"/>
  <c r="R76" i="51"/>
  <c r="S72" i="51"/>
  <c r="R72" i="51"/>
  <c r="J82" i="51"/>
  <c r="I82" i="51"/>
  <c r="J79" i="51"/>
  <c r="I79" i="51"/>
  <c r="S79" i="51"/>
  <c r="R79" i="51"/>
  <c r="S73" i="51"/>
  <c r="R73" i="51"/>
  <c r="J84" i="51"/>
  <c r="I84" i="51"/>
  <c r="S78" i="51"/>
  <c r="R78" i="51"/>
  <c r="J76" i="51"/>
  <c r="I76" i="51"/>
  <c r="S77" i="51"/>
  <c r="R77" i="51"/>
  <c r="J71" i="51"/>
  <c r="I71" i="51"/>
  <c r="S71" i="51"/>
  <c r="R71" i="51"/>
  <c r="J72" i="51"/>
  <c r="I72" i="51"/>
  <c r="S74" i="51"/>
  <c r="R74" i="51"/>
  <c r="J87" i="51"/>
  <c r="I87" i="51"/>
  <c r="J69" i="51"/>
  <c r="I69" i="51"/>
  <c r="S69" i="51"/>
  <c r="R69" i="51"/>
  <c r="S81" i="51"/>
  <c r="R81" i="51"/>
  <c r="J73" i="51"/>
  <c r="I73" i="51"/>
  <c r="J80" i="51"/>
  <c r="I80" i="51"/>
  <c r="J75" i="51"/>
  <c r="I75" i="51"/>
  <c r="S82" i="51"/>
  <c r="R82" i="51"/>
  <c r="J67" i="51"/>
  <c r="I67" i="51"/>
  <c r="J66" i="51"/>
  <c r="I66" i="51"/>
  <c r="S66" i="51"/>
  <c r="R66" i="51"/>
  <c r="J77" i="51"/>
  <c r="I77" i="51"/>
  <c r="S85" i="51"/>
  <c r="R85" i="51"/>
  <c r="J74" i="51"/>
  <c r="I74" i="51"/>
  <c r="J81" i="51"/>
  <c r="I81" i="51"/>
  <c r="IH18" i="38"/>
  <c r="IH21" i="38"/>
  <c r="FE20" i="38"/>
  <c r="AY27" i="47"/>
  <c r="BA27" i="47" s="1"/>
  <c r="BL27" i="47"/>
  <c r="PX38" i="38"/>
  <c r="QB38" i="38"/>
  <c r="QF38" i="38"/>
  <c r="QJ38" i="38"/>
  <c r="QL38" i="38"/>
  <c r="PZ38" i="38"/>
  <c r="BM5" i="47"/>
  <c r="NC5" i="38"/>
  <c r="NE5" i="38" s="1"/>
  <c r="PK8" i="38"/>
  <c r="NC10" i="38"/>
  <c r="NF10" i="38" s="1"/>
  <c r="MX24" i="38"/>
  <c r="MY24" i="38"/>
  <c r="MZ24" i="38"/>
  <c r="NA24" i="38"/>
  <c r="NB24" i="38"/>
  <c r="NC24" i="38"/>
  <c r="NE24" i="38" s="1"/>
  <c r="CO27" i="38"/>
  <c r="NC11" i="38"/>
  <c r="NJ11" i="38" s="1"/>
  <c r="NC12" i="38"/>
  <c r="NE12" i="38" s="1"/>
  <c r="BO26" i="38"/>
  <c r="BN26" i="38"/>
  <c r="BM26" i="38"/>
  <c r="BL26" i="38"/>
  <c r="BK26" i="38"/>
  <c r="BJ26" i="38"/>
  <c r="BI26" i="38"/>
  <c r="BH26" i="38"/>
  <c r="BG26" i="38"/>
  <c r="BF26" i="38"/>
  <c r="BE26" i="38"/>
  <c r="NC9" i="38"/>
  <c r="NE9" i="38" s="1"/>
  <c r="PO11" i="38"/>
  <c r="JX24" i="38"/>
  <c r="JY24" i="38" s="1"/>
  <c r="F24" i="47" s="1"/>
  <c r="JX26" i="38"/>
  <c r="JY26" i="38" s="1"/>
  <c r="F26" i="47" s="1"/>
  <c r="BP27" i="38"/>
  <c r="BO27" i="38"/>
  <c r="BN27" i="38"/>
  <c r="NC6" i="38"/>
  <c r="NJ6" i="38" s="1"/>
  <c r="NC7" i="38"/>
  <c r="NJ7" i="38" s="1"/>
  <c r="MY13" i="38"/>
  <c r="MZ13" i="38"/>
  <c r="NA13" i="38"/>
  <c r="NB13" i="38"/>
  <c r="NC13" i="38"/>
  <c r="NE13" i="38" s="1"/>
  <c r="JV13" i="38"/>
  <c r="JX13" i="38" s="1"/>
  <c r="JY13" i="38" s="1"/>
  <c r="F13" i="47" s="1"/>
  <c r="JW13" i="38"/>
  <c r="BX27" i="47"/>
  <c r="PG5" i="38"/>
  <c r="PC5" i="38"/>
  <c r="PC6" i="38"/>
  <c r="NC16" i="38"/>
  <c r="NI16" i="38" s="1"/>
  <c r="NK16" i="38" s="1"/>
  <c r="NC22" i="38"/>
  <c r="NI22" i="38" s="1"/>
  <c r="NK22" i="38" s="1"/>
  <c r="NF14" i="38"/>
  <c r="NG14" i="38" s="1"/>
  <c r="NE14" i="38"/>
  <c r="PO15" i="38"/>
  <c r="NK14" i="38"/>
  <c r="NC26" i="38"/>
  <c r="NE26" i="38" s="1"/>
  <c r="JF27" i="38"/>
  <c r="NC17" i="38"/>
  <c r="NI17" i="38" s="1"/>
  <c r="NK17" i="38" s="1"/>
  <c r="NC21" i="38"/>
  <c r="NI21" i="38" s="1"/>
  <c r="NK21" i="38" s="1"/>
  <c r="NC23" i="38"/>
  <c r="NF23" i="38" s="1"/>
  <c r="NG23" i="38" s="1"/>
  <c r="NC25" i="38"/>
  <c r="NI25" i="38" s="1"/>
  <c r="NK25" i="38" s="1"/>
  <c r="NC20" i="38"/>
  <c r="NH20" i="38" s="1"/>
  <c r="PC23" i="38"/>
  <c r="CP24" i="38"/>
  <c r="CO24" i="38"/>
  <c r="CM24" i="38"/>
  <c r="NC18" i="38"/>
  <c r="NF18" i="38" s="1"/>
  <c r="NG18" i="38" s="1"/>
  <c r="PK21" i="38"/>
  <c r="NC15" i="38"/>
  <c r="NF15" i="38" s="1"/>
  <c r="NG15" i="38" s="1"/>
  <c r="PC21" i="38"/>
  <c r="BC26" i="38"/>
  <c r="BB26" i="38"/>
  <c r="BB27" i="38"/>
  <c r="PC25" i="38"/>
  <c r="NK19" i="38"/>
  <c r="NJ19" i="38"/>
  <c r="QL36" i="38"/>
  <c r="QO36" i="38" s="1"/>
  <c r="QK36" i="38"/>
  <c r="NC27" i="38"/>
  <c r="NJ27" i="38" s="1"/>
  <c r="PK27" i="38"/>
  <c r="PX39" i="38"/>
  <c r="QB39" i="38"/>
  <c r="QF39" i="38"/>
  <c r="QJ39" i="38"/>
  <c r="QL39" i="38"/>
  <c r="PZ39" i="38"/>
  <c r="X234" i="44"/>
  <c r="QF40" i="38"/>
  <c r="QJ40" i="38"/>
  <c r="QL40" i="38"/>
  <c r="QO40" i="38" s="1"/>
  <c r="QG40" i="38"/>
  <c r="QH40" i="38"/>
  <c r="QI40" i="38"/>
  <c r="QK40" i="38"/>
  <c r="QF35" i="38"/>
  <c r="QJ35" i="38"/>
  <c r="QL35" i="38"/>
  <c r="QO35" i="38" s="1"/>
  <c r="QG35" i="38"/>
  <c r="QH35" i="38"/>
  <c r="QI35" i="38"/>
  <c r="QK35" i="38"/>
  <c r="II5" i="38"/>
  <c r="II6" i="38"/>
  <c r="II7" i="38"/>
  <c r="II9" i="38"/>
  <c r="II10" i="38"/>
  <c r="II11" i="38"/>
  <c r="II12" i="38"/>
  <c r="II14" i="38"/>
  <c r="II15" i="38"/>
  <c r="II16" i="38"/>
  <c r="II17" i="38"/>
  <c r="II18" i="38"/>
  <c r="II19" i="38"/>
  <c r="II20" i="38"/>
  <c r="II21" i="38"/>
  <c r="II22" i="38"/>
  <c r="II23" i="38"/>
  <c r="II25" i="38"/>
  <c r="QE45" i="38"/>
  <c r="QD45" i="38"/>
  <c r="QC45" i="38"/>
  <c r="QA45" i="38"/>
  <c r="PZ45" i="38"/>
  <c r="PY45" i="38"/>
  <c r="QA39" i="38"/>
  <c r="QC39" i="38"/>
  <c r="QD39" i="38"/>
  <c r="QE39" i="38"/>
  <c r="QG39" i="38"/>
  <c r="QH39" i="38"/>
  <c r="QI39" i="38"/>
  <c r="QK39" i="38"/>
  <c r="PY39" i="38"/>
  <c r="QA38" i="38"/>
  <c r="QC38" i="38"/>
  <c r="QD38" i="38"/>
  <c r="QE38" i="38"/>
  <c r="QG38" i="38"/>
  <c r="QH38" i="38"/>
  <c r="QI38" i="38"/>
  <c r="QK38" i="38"/>
  <c r="PY38" i="38"/>
  <c r="AG2" i="47"/>
  <c r="AH2" i="47" s="1"/>
  <c r="AI2" i="47" s="1"/>
  <c r="AJ2" i="47" s="1"/>
  <c r="AK2" i="47" s="1"/>
  <c r="AL2" i="47" s="1"/>
  <c r="E13" i="47"/>
  <c r="E24" i="47"/>
  <c r="E26" i="47"/>
  <c r="D26" i="47"/>
  <c r="BM8" i="47" l="1"/>
  <c r="PK16" i="38"/>
  <c r="PK14" i="38"/>
  <c r="DL5" i="38"/>
  <c r="QS5" i="38" s="1"/>
  <c r="DL44" i="38"/>
  <c r="BY23" i="47"/>
  <c r="DX62" i="38" s="1"/>
  <c r="DW62" i="38"/>
  <c r="DS26" i="38"/>
  <c r="LE26" i="38" s="1"/>
  <c r="DS65" i="38"/>
  <c r="DO24" i="38"/>
  <c r="QV24" i="38" s="1"/>
  <c r="DO63" i="38"/>
  <c r="DO17" i="38"/>
  <c r="QV17" i="38" s="1"/>
  <c r="DO56" i="38"/>
  <c r="PG18" i="38"/>
  <c r="DO57" i="38"/>
  <c r="DS20" i="38"/>
  <c r="QZ20" i="38" s="1"/>
  <c r="DS59" i="38"/>
  <c r="DW9" i="38"/>
  <c r="RD9" i="38" s="1"/>
  <c r="DW48" i="38"/>
  <c r="DW15" i="38"/>
  <c r="RD15" i="38" s="1"/>
  <c r="DW54" i="38"/>
  <c r="BY25" i="47"/>
  <c r="DX64" i="38" s="1"/>
  <c r="DW64" i="38"/>
  <c r="DW10" i="38"/>
  <c r="RD10" i="38" s="1"/>
  <c r="DW49" i="38"/>
  <c r="DW5" i="38"/>
  <c r="RD5" i="38" s="1"/>
  <c r="DW44" i="38"/>
  <c r="DK13" i="38"/>
  <c r="QR13" i="38" s="1"/>
  <c r="DK52" i="38"/>
  <c r="DO5" i="38"/>
  <c r="QV5" i="38" s="1"/>
  <c r="DO44" i="38"/>
  <c r="DK24" i="38"/>
  <c r="QR24" i="38" s="1"/>
  <c r="DK63" i="38"/>
  <c r="PG21" i="38"/>
  <c r="DO60" i="38"/>
  <c r="DW16" i="38"/>
  <c r="RD16" i="38" s="1"/>
  <c r="DW55" i="38"/>
  <c r="DK15" i="38"/>
  <c r="QR15" i="38" s="1"/>
  <c r="DK54" i="38"/>
  <c r="DW12" i="38"/>
  <c r="RD12" i="38" s="1"/>
  <c r="DW51" i="38"/>
  <c r="PO8" i="38"/>
  <c r="DW47" i="38"/>
  <c r="BM27" i="47"/>
  <c r="DL66" i="38" s="1"/>
  <c r="DK66" i="38"/>
  <c r="DW26" i="38"/>
  <c r="RD26" i="38" s="1"/>
  <c r="DW65" i="38"/>
  <c r="PK24" i="38"/>
  <c r="DS63" i="38"/>
  <c r="PK17" i="38"/>
  <c r="DS56" i="38"/>
  <c r="BM13" i="47"/>
  <c r="DO52" i="38"/>
  <c r="BY14" i="47"/>
  <c r="DX53" i="38" s="1"/>
  <c r="DW53" i="38"/>
  <c r="DS19" i="38"/>
  <c r="QZ19" i="38" s="1"/>
  <c r="DS58" i="38"/>
  <c r="BY20" i="47"/>
  <c r="DX59" i="38" s="1"/>
  <c r="DW59" i="38"/>
  <c r="BY11" i="47"/>
  <c r="DX50" i="38" s="1"/>
  <c r="DW50" i="38"/>
  <c r="DK25" i="38"/>
  <c r="QR25" i="38" s="1"/>
  <c r="DK64" i="38"/>
  <c r="DK23" i="38"/>
  <c r="QR23" i="38" s="1"/>
  <c r="DK62" i="38"/>
  <c r="DS21" i="38"/>
  <c r="QZ21" i="38" s="1"/>
  <c r="DS60" i="38"/>
  <c r="DK6" i="38"/>
  <c r="QR6" i="38" s="1"/>
  <c r="DK45" i="38"/>
  <c r="PK26" i="38"/>
  <c r="PO23" i="38"/>
  <c r="PC13" i="38"/>
  <c r="DK7" i="38"/>
  <c r="PG8" i="38"/>
  <c r="DL8" i="38"/>
  <c r="RL8" i="38" s="1"/>
  <c r="DL47" i="38"/>
  <c r="BM23" i="47"/>
  <c r="DO62" i="38"/>
  <c r="DW24" i="38"/>
  <c r="RW24" i="38" s="1"/>
  <c r="DW63" i="38"/>
  <c r="DO22" i="38"/>
  <c r="DO61" i="38"/>
  <c r="BY17" i="47"/>
  <c r="DX56" i="38" s="1"/>
  <c r="DW56" i="38"/>
  <c r="PK13" i="38"/>
  <c r="DS52" i="38"/>
  <c r="DW18" i="38"/>
  <c r="RW18" i="38" s="1"/>
  <c r="DW57" i="38"/>
  <c r="BY19" i="47"/>
  <c r="DX58" i="38" s="1"/>
  <c r="DW58" i="38"/>
  <c r="DK20" i="38"/>
  <c r="QR20" i="38" s="1"/>
  <c r="DK59" i="38"/>
  <c r="DO12" i="38"/>
  <c r="DO51" i="38"/>
  <c r="BM25" i="47"/>
  <c r="DO64" i="38"/>
  <c r="DO10" i="38"/>
  <c r="DO49" i="38"/>
  <c r="PK5" i="38"/>
  <c r="DS44" i="38"/>
  <c r="PK6" i="38"/>
  <c r="DS45" i="38"/>
  <c r="BY22" i="47"/>
  <c r="DX61" i="38" s="1"/>
  <c r="DW61" i="38"/>
  <c r="BY21" i="47"/>
  <c r="DX60" i="38" s="1"/>
  <c r="DW60" i="38"/>
  <c r="DK21" i="38"/>
  <c r="RK21" i="38" s="1"/>
  <c r="DK60" i="38"/>
  <c r="DK16" i="38"/>
  <c r="DK55" i="38"/>
  <c r="PC14" i="38"/>
  <c r="DK53" i="38"/>
  <c r="DK12" i="38"/>
  <c r="DK51" i="38"/>
  <c r="DS7" i="38"/>
  <c r="QZ7" i="38" s="1"/>
  <c r="DS46" i="38"/>
  <c r="BY27" i="47"/>
  <c r="DX66" i="38" s="1"/>
  <c r="DW66" i="38"/>
  <c r="PK23" i="38"/>
  <c r="DS62" i="38"/>
  <c r="DO26" i="38"/>
  <c r="DO65" i="38"/>
  <c r="DS22" i="38"/>
  <c r="RS22" i="38" s="1"/>
  <c r="DS61" i="38"/>
  <c r="DW13" i="38"/>
  <c r="DW52" i="38"/>
  <c r="DO14" i="38"/>
  <c r="RO14" i="38" s="1"/>
  <c r="DO53" i="38"/>
  <c r="DO20" i="38"/>
  <c r="DO59" i="38"/>
  <c r="PK9" i="38"/>
  <c r="DS48" i="38"/>
  <c r="DS12" i="38"/>
  <c r="DS51" i="38"/>
  <c r="PK15" i="38"/>
  <c r="DS54" i="38"/>
  <c r="DS25" i="38"/>
  <c r="DS64" i="38"/>
  <c r="PO6" i="38"/>
  <c r="DW45" i="38"/>
  <c r="DO11" i="38"/>
  <c r="DO50" i="38"/>
  <c r="DK18" i="38"/>
  <c r="QR18" i="38" s="1"/>
  <c r="DK57" i="38"/>
  <c r="DK10" i="38"/>
  <c r="DK49" i="38"/>
  <c r="DK19" i="38"/>
  <c r="QR19" i="38" s="1"/>
  <c r="DK58" i="38"/>
  <c r="BW7" i="47"/>
  <c r="DV46" i="38" s="1"/>
  <c r="DW46" i="38"/>
  <c r="PG24" i="38"/>
  <c r="PO25" i="38"/>
  <c r="PC8" i="38"/>
  <c r="PC12" i="38"/>
  <c r="PC7" i="38"/>
  <c r="DK8" i="38"/>
  <c r="QR8" i="38" s="1"/>
  <c r="RS26" i="38"/>
  <c r="RO24" i="38"/>
  <c r="RO17" i="38"/>
  <c r="RS20" i="38"/>
  <c r="RW15" i="38"/>
  <c r="RW10" i="38"/>
  <c r="RK13" i="38"/>
  <c r="RO5" i="38"/>
  <c r="RK24" i="38"/>
  <c r="RW16" i="38"/>
  <c r="RW12" i="38"/>
  <c r="RL5" i="38"/>
  <c r="RS19" i="38"/>
  <c r="RK25" i="38"/>
  <c r="RK23" i="38"/>
  <c r="RK6" i="38"/>
  <c r="QR7" i="38"/>
  <c r="RK7" i="38"/>
  <c r="QV22" i="38"/>
  <c r="RO22" i="38"/>
  <c r="RK20" i="38"/>
  <c r="QV12" i="38"/>
  <c r="RO12" i="38"/>
  <c r="QV10" i="38"/>
  <c r="RO10" i="38"/>
  <c r="QR16" i="38"/>
  <c r="RK16" i="38"/>
  <c r="QR12" i="38"/>
  <c r="RK12" i="38"/>
  <c r="RS7" i="38"/>
  <c r="QV26" i="38"/>
  <c r="RO26" i="38"/>
  <c r="RD13" i="38"/>
  <c r="RW13" i="38"/>
  <c r="QV20" i="38"/>
  <c r="RO20" i="38"/>
  <c r="QZ12" i="38"/>
  <c r="RS12" i="38"/>
  <c r="QZ25" i="38"/>
  <c r="RS25" i="38"/>
  <c r="QV11" i="38"/>
  <c r="RO11" i="38"/>
  <c r="RK18" i="38"/>
  <c r="QR10" i="38"/>
  <c r="RK10" i="38"/>
  <c r="RK19" i="38"/>
  <c r="RK8" i="38"/>
  <c r="E198" i="58"/>
  <c r="E133" i="58"/>
  <c r="E53" i="58"/>
  <c r="E163" i="58"/>
  <c r="E197" i="58"/>
  <c r="E50" i="58"/>
  <c r="E128" i="58"/>
  <c r="E158" i="58"/>
  <c r="L18" i="47"/>
  <c r="N18" i="47"/>
  <c r="AB10" i="47"/>
  <c r="AC10" i="47"/>
  <c r="U190" i="58"/>
  <c r="AA33" i="58"/>
  <c r="NA32" i="38"/>
  <c r="NA31" i="38"/>
  <c r="NA30" i="38"/>
  <c r="NA29" i="38"/>
  <c r="NB29" i="38"/>
  <c r="NB30" i="38"/>
  <c r="NB31" i="38"/>
  <c r="NB32" i="38"/>
  <c r="MY31" i="38"/>
  <c r="MY29" i="38"/>
  <c r="MY32" i="38"/>
  <c r="MY30" i="38"/>
  <c r="MX30" i="38"/>
  <c r="MX29" i="38"/>
  <c r="MX31" i="38"/>
  <c r="MX32" i="38"/>
  <c r="MZ29" i="38"/>
  <c r="MZ32" i="38"/>
  <c r="MZ30" i="38"/>
  <c r="MZ31" i="38"/>
  <c r="NC30" i="38"/>
  <c r="NC32" i="38"/>
  <c r="NC29" i="38"/>
  <c r="NC31" i="38"/>
  <c r="AL20" i="47"/>
  <c r="AC6" i="47"/>
  <c r="AK21" i="47"/>
  <c r="AK11" i="47"/>
  <c r="AK20" i="47"/>
  <c r="AJ21" i="47"/>
  <c r="AB6" i="47"/>
  <c r="AJ11" i="47"/>
  <c r="KW8" i="38"/>
  <c r="PG14" i="38"/>
  <c r="PO13" i="38"/>
  <c r="PO12" i="38"/>
  <c r="BR7" i="47"/>
  <c r="PC20" i="38"/>
  <c r="PO24" i="38"/>
  <c r="PC27" i="38"/>
  <c r="PG22" i="38"/>
  <c r="PO17" i="38"/>
  <c r="PO19" i="38"/>
  <c r="PC15" i="38"/>
  <c r="PC19" i="38"/>
  <c r="PK19" i="38"/>
  <c r="PG13" i="38"/>
  <c r="PO20" i="38"/>
  <c r="PO16" i="38"/>
  <c r="PO26" i="38"/>
  <c r="BM19" i="47"/>
  <c r="PO18" i="38"/>
  <c r="PC10" i="38"/>
  <c r="BO19" i="47"/>
  <c r="BY16" i="47"/>
  <c r="PG17" i="38"/>
  <c r="PK25" i="38"/>
  <c r="PG19" i="38"/>
  <c r="PO14" i="38"/>
  <c r="PG12" i="38"/>
  <c r="PG11" i="38"/>
  <c r="BY12" i="47"/>
  <c r="DX51" i="38" s="1"/>
  <c r="BO8" i="47"/>
  <c r="BW16" i="47"/>
  <c r="NJ5" i="38"/>
  <c r="J495" i="44"/>
  <c r="J503" i="44"/>
  <c r="W491" i="44"/>
  <c r="W495" i="44"/>
  <c r="N81" i="44"/>
  <c r="AB20" i="47"/>
  <c r="AB11" i="47"/>
  <c r="AD11" i="47"/>
  <c r="AC20" i="47"/>
  <c r="AB21" i="47"/>
  <c r="T6" i="47"/>
  <c r="T5" i="47"/>
  <c r="AC21" i="47"/>
  <c r="N23" i="47"/>
  <c r="U5" i="47"/>
  <c r="L6" i="47"/>
  <c r="U6" i="47"/>
  <c r="AB17" i="47"/>
  <c r="AJ15" i="47"/>
  <c r="T21" i="47"/>
  <c r="T25" i="47"/>
  <c r="M15" i="47"/>
  <c r="V25" i="47"/>
  <c r="AL15" i="47"/>
  <c r="AK9" i="47"/>
  <c r="M6" i="47"/>
  <c r="L15" i="47"/>
  <c r="AL9" i="47"/>
  <c r="BS5" i="47"/>
  <c r="DR44" i="38" s="1"/>
  <c r="BO25" i="47"/>
  <c r="BN13" i="47"/>
  <c r="BQ8" i="47"/>
  <c r="DK27" i="38"/>
  <c r="PK20" i="38"/>
  <c r="PO7" i="38"/>
  <c r="BM20" i="47"/>
  <c r="PG10" i="38"/>
  <c r="BU8" i="47"/>
  <c r="DW22" i="38"/>
  <c r="PC16" i="38"/>
  <c r="BM18" i="47"/>
  <c r="BM10" i="47"/>
  <c r="PO9" i="38"/>
  <c r="PG25" i="38"/>
  <c r="PC18" i="38"/>
  <c r="BM12" i="47"/>
  <c r="PG20" i="38"/>
  <c r="PO22" i="38"/>
  <c r="DO7" i="38"/>
  <c r="PO27" i="38"/>
  <c r="BN8" i="47"/>
  <c r="DM47" i="38" s="1"/>
  <c r="DO8" i="38"/>
  <c r="BO5" i="47"/>
  <c r="BV18" i="47"/>
  <c r="AL19" i="47"/>
  <c r="AK19" i="47"/>
  <c r="M21" i="47"/>
  <c r="N9" i="47"/>
  <c r="AJ10" i="47"/>
  <c r="M9" i="47"/>
  <c r="N21" i="47"/>
  <c r="AL10" i="47"/>
  <c r="AL18" i="47"/>
  <c r="AK18" i="47"/>
  <c r="AD17" i="47"/>
  <c r="AB18" i="47"/>
  <c r="T17" i="47"/>
  <c r="AD18" i="47"/>
  <c r="U22" i="47"/>
  <c r="V22" i="47"/>
  <c r="N14" i="47"/>
  <c r="M14" i="47"/>
  <c r="T7" i="47"/>
  <c r="V17" i="47"/>
  <c r="T14" i="47"/>
  <c r="V7" i="47"/>
  <c r="V14" i="47"/>
  <c r="LA26" i="38"/>
  <c r="LX26" i="38" s="1"/>
  <c r="FH8" i="38"/>
  <c r="N96" i="44"/>
  <c r="AI505" i="44" s="1"/>
  <c r="AJ216" i="44" s="1"/>
  <c r="N82" i="44"/>
  <c r="AI491" i="44" s="1"/>
  <c r="AJ202" i="44" s="1"/>
  <c r="W506" i="44"/>
  <c r="W490" i="44"/>
  <c r="W497" i="44"/>
  <c r="W489" i="44"/>
  <c r="W493" i="44"/>
  <c r="J84" i="44"/>
  <c r="D493" i="44" s="1"/>
  <c r="J493" i="44"/>
  <c r="J80" i="44"/>
  <c r="D489" i="44" s="1"/>
  <c r="N86" i="44"/>
  <c r="AI495" i="44" s="1"/>
  <c r="AJ206" i="44" s="1"/>
  <c r="J82" i="44"/>
  <c r="D491" i="44" s="1"/>
  <c r="J81" i="44"/>
  <c r="D490" i="44" s="1"/>
  <c r="N97" i="44"/>
  <c r="AI506" i="44" s="1"/>
  <c r="AJ217" i="44" s="1"/>
  <c r="N94" i="44"/>
  <c r="AI503" i="44" s="1"/>
  <c r="AJ214" i="44" s="1"/>
  <c r="G108" i="44"/>
  <c r="N108" i="44" s="1"/>
  <c r="J97" i="44"/>
  <c r="D506" i="44" s="1"/>
  <c r="J88" i="44"/>
  <c r="D497" i="44" s="1"/>
  <c r="N80" i="44"/>
  <c r="AI489" i="44" s="1"/>
  <c r="AJ200" i="44" s="1"/>
  <c r="J506" i="44"/>
  <c r="N120" i="44"/>
  <c r="W503" i="44"/>
  <c r="J107" i="44"/>
  <c r="N107" i="44"/>
  <c r="D18" i="58" s="1"/>
  <c r="W201" i="44"/>
  <c r="J204" i="44"/>
  <c r="G262" i="44" s="1"/>
  <c r="E21" i="58" s="1"/>
  <c r="J136" i="44"/>
  <c r="J131" i="44"/>
  <c r="D213" i="44"/>
  <c r="E271" i="44" s="1"/>
  <c r="C30" i="58" s="1"/>
  <c r="N110" i="44"/>
  <c r="J86" i="44"/>
  <c r="D495" i="44" s="1"/>
  <c r="F110" i="44"/>
  <c r="J110" i="44" s="1"/>
  <c r="N88" i="44"/>
  <c r="AI497" i="44" s="1"/>
  <c r="AJ208" i="44" s="1"/>
  <c r="N112" i="44"/>
  <c r="J96" i="44"/>
  <c r="D505" i="44" s="1"/>
  <c r="J120" i="44"/>
  <c r="D214" i="44" s="1"/>
  <c r="E272" i="44" s="1"/>
  <c r="C31" i="58" s="1"/>
  <c r="J497" i="44"/>
  <c r="J94" i="44"/>
  <c r="D503" i="44" s="1"/>
  <c r="N84" i="44"/>
  <c r="AI493" i="44" s="1"/>
  <c r="AJ204" i="44" s="1"/>
  <c r="D106" i="44"/>
  <c r="J106" i="44" s="1"/>
  <c r="P24" i="51"/>
  <c r="P143" i="51" s="1"/>
  <c r="D33" i="48"/>
  <c r="O272" i="44"/>
  <c r="D25" i="48"/>
  <c r="O264" i="44"/>
  <c r="P16" i="51"/>
  <c r="P293" i="51" s="1"/>
  <c r="J123" i="44"/>
  <c r="J147" i="44"/>
  <c r="J217" i="44"/>
  <c r="G275" i="44" s="1"/>
  <c r="E34" i="58" s="1"/>
  <c r="N123" i="44"/>
  <c r="D34" i="58" s="1"/>
  <c r="W200" i="44"/>
  <c r="E114" i="44"/>
  <c r="J140" i="44"/>
  <c r="J112" i="44"/>
  <c r="L23" i="47"/>
  <c r="V20" i="47"/>
  <c r="V12" i="47"/>
  <c r="AD25" i="47"/>
  <c r="T12" i="47"/>
  <c r="T16" i="47"/>
  <c r="AC25" i="47"/>
  <c r="AL22" i="47"/>
  <c r="V16" i="47"/>
  <c r="AK22" i="47"/>
  <c r="V19" i="47"/>
  <c r="U19" i="47"/>
  <c r="NJ21" i="38"/>
  <c r="BR13" i="38"/>
  <c r="NH16" i="38"/>
  <c r="NF25" i="38"/>
  <c r="NG25" i="38" s="1"/>
  <c r="NF16" i="38"/>
  <c r="NG16" i="38" s="1"/>
  <c r="NJ16" i="38"/>
  <c r="NE16" i="38"/>
  <c r="NE17" i="38"/>
  <c r="NJ17" i="38"/>
  <c r="NJ24" i="38"/>
  <c r="NF24" i="38"/>
  <c r="NG24" i="38" s="1"/>
  <c r="NJ13" i="38"/>
  <c r="NF21" i="38"/>
  <c r="NG21" i="38" s="1"/>
  <c r="NE21" i="38"/>
  <c r="AK212" i="44"/>
  <c r="NF22" i="38"/>
  <c r="NG22" i="38" s="1"/>
  <c r="NE11" i="38"/>
  <c r="NF12" i="38"/>
  <c r="NG12" i="38" s="1"/>
  <c r="NE22" i="38"/>
  <c r="NH22" i="38"/>
  <c r="QO39" i="38"/>
  <c r="NJ15" i="38"/>
  <c r="NH25" i="38"/>
  <c r="NF7" i="38"/>
  <c r="NG7" i="38" s="1"/>
  <c r="QP38" i="38"/>
  <c r="NJ25" i="38"/>
  <c r="NE25" i="38"/>
  <c r="NJ22" i="38"/>
  <c r="NJ12" i="38"/>
  <c r="QP40" i="38"/>
  <c r="QP39" i="38"/>
  <c r="NH21" i="38"/>
  <c r="NE15" i="38"/>
  <c r="NE20" i="38"/>
  <c r="NI13" i="38"/>
  <c r="NK13" i="38" s="1"/>
  <c r="NF13" i="38"/>
  <c r="NG13" i="38" s="1"/>
  <c r="NI6" i="38"/>
  <c r="NK6" i="38" s="1"/>
  <c r="NH5" i="38"/>
  <c r="QN36" i="38"/>
  <c r="NI15" i="38"/>
  <c r="NK15" i="38" s="1"/>
  <c r="NH18" i="38"/>
  <c r="NF6" i="38"/>
  <c r="NG6" i="38" s="1"/>
  <c r="NF9" i="38"/>
  <c r="NG9" i="38" s="1"/>
  <c r="NI11" i="38"/>
  <c r="NK11" i="38" s="1"/>
  <c r="NH13" i="38"/>
  <c r="NJ9" i="38"/>
  <c r="NH6" i="38"/>
  <c r="NI7" i="38"/>
  <c r="NK7" i="38" s="1"/>
  <c r="NI9" i="38"/>
  <c r="NK9" i="38" s="1"/>
  <c r="NI24" i="38"/>
  <c r="NK24" i="38" s="1"/>
  <c r="QO38" i="38"/>
  <c r="QN35" i="38"/>
  <c r="NF11" i="38"/>
  <c r="NG11" i="38" s="1"/>
  <c r="NH9" i="38"/>
  <c r="NF5" i="38"/>
  <c r="NG5" i="38" s="1"/>
  <c r="QN39" i="38"/>
  <c r="NH26" i="38"/>
  <c r="NH11" i="38"/>
  <c r="NE6" i="38"/>
  <c r="QN38" i="38"/>
  <c r="QP35" i="38"/>
  <c r="NG10" i="38"/>
  <c r="NH27" i="38"/>
  <c r="QN40" i="38"/>
  <c r="NF27" i="38"/>
  <c r="NG27" i="38" s="1"/>
  <c r="NI27" i="38"/>
  <c r="NK27" i="38" s="1"/>
  <c r="NJ23" i="38"/>
  <c r="NF17" i="38"/>
  <c r="NG17" i="38" s="1"/>
  <c r="NH15" i="38"/>
  <c r="NJ20" i="38"/>
  <c r="NI20" i="38"/>
  <c r="NK20" i="38" s="1"/>
  <c r="NI26" i="38"/>
  <c r="NK26" i="38" s="1"/>
  <c r="NE10" i="38"/>
  <c r="NI10" i="38"/>
  <c r="NK10" i="38" s="1"/>
  <c r="NE23" i="38"/>
  <c r="NH17" i="38"/>
  <c r="NJ18" i="38"/>
  <c r="NE27" i="38"/>
  <c r="NH24" i="38"/>
  <c r="NE18" i="38"/>
  <c r="NJ26" i="38"/>
  <c r="NH7" i="38"/>
  <c r="NH12" i="38"/>
  <c r="NI12" i="38"/>
  <c r="NK12" i="38" s="1"/>
  <c r="NJ10" i="38"/>
  <c r="NF26" i="38"/>
  <c r="NG26" i="38" s="1"/>
  <c r="NF20" i="38"/>
  <c r="NG20" i="38" s="1"/>
  <c r="NH23" i="38"/>
  <c r="NI18" i="38"/>
  <c r="NK18" i="38" s="1"/>
  <c r="NI23" i="38"/>
  <c r="NK23" i="38" s="1"/>
  <c r="NE7" i="38"/>
  <c r="NH10" i="38"/>
  <c r="NI5" i="38"/>
  <c r="L22" i="47"/>
  <c r="N22" i="47"/>
  <c r="AJ7" i="47"/>
  <c r="AL7" i="47"/>
  <c r="BG23" i="47"/>
  <c r="BN23" i="38" s="1"/>
  <c r="AQ23" i="47"/>
  <c r="BC15" i="47"/>
  <c r="BJ15" i="38" s="1"/>
  <c r="AP15" i="47"/>
  <c r="BC9" i="47"/>
  <c r="AP9" i="47"/>
  <c r="BC19" i="47"/>
  <c r="BJ19" i="38" s="1"/>
  <c r="AP19" i="47"/>
  <c r="AU5" i="47"/>
  <c r="IK5" i="38" s="1"/>
  <c r="AN5" i="47"/>
  <c r="BG17" i="47"/>
  <c r="BN17" i="38" s="1"/>
  <c r="AQ17" i="47"/>
  <c r="BG6" i="47"/>
  <c r="CG6" i="38" s="1"/>
  <c r="DA6" i="38" s="1"/>
  <c r="AQ6" i="47"/>
  <c r="AY25" i="47"/>
  <c r="BY25" i="38" s="1"/>
  <c r="CS25" i="38" s="1"/>
  <c r="AO25" i="47"/>
  <c r="BG15" i="47"/>
  <c r="BN15" i="38" s="1"/>
  <c r="AQ15" i="47"/>
  <c r="BG9" i="47"/>
  <c r="AQ9" i="47"/>
  <c r="BG5" i="47"/>
  <c r="IW5" i="38" s="1"/>
  <c r="AQ5" i="47"/>
  <c r="BG19" i="47"/>
  <c r="BN19" i="38" s="1"/>
  <c r="AQ19" i="47"/>
  <c r="AU14" i="47"/>
  <c r="AN14" i="47"/>
  <c r="BG12" i="47"/>
  <c r="BH12" i="47" s="1"/>
  <c r="AQ12" i="47"/>
  <c r="AU20" i="47"/>
  <c r="BB20" i="38" s="1"/>
  <c r="AN20" i="47"/>
  <c r="AU11" i="47"/>
  <c r="IK11" i="38" s="1"/>
  <c r="AN11" i="47"/>
  <c r="AU10" i="47"/>
  <c r="BU10" i="38" s="1"/>
  <c r="CO10" i="38" s="1"/>
  <c r="AN10" i="47"/>
  <c r="BC25" i="47"/>
  <c r="LE25" i="38" s="1"/>
  <c r="AP25" i="47"/>
  <c r="AY16" i="47"/>
  <c r="BY16" i="38" s="1"/>
  <c r="CS16" i="38" s="1"/>
  <c r="AO16" i="47"/>
  <c r="AY12" i="47"/>
  <c r="BF12" i="38" s="1"/>
  <c r="AO12" i="47"/>
  <c r="BC7" i="47"/>
  <c r="IS7" i="38" s="1"/>
  <c r="IS36" i="38" s="1"/>
  <c r="AP7" i="47"/>
  <c r="AU25" i="47"/>
  <c r="BB25" i="38" s="1"/>
  <c r="AN25" i="47"/>
  <c r="AU22" i="47"/>
  <c r="AN22" i="47"/>
  <c r="AU19" i="47"/>
  <c r="BU19" i="38" s="1"/>
  <c r="CO19" i="38" s="1"/>
  <c r="AN19" i="47"/>
  <c r="AY20" i="47"/>
  <c r="BF20" i="38" s="1"/>
  <c r="AO20" i="47"/>
  <c r="AY11" i="47"/>
  <c r="FL11" i="38" s="1"/>
  <c r="GI11" i="38" s="1"/>
  <c r="AO11" i="47"/>
  <c r="AY10" i="47"/>
  <c r="BF10" i="38" s="1"/>
  <c r="AO10" i="47"/>
  <c r="DK5" i="38"/>
  <c r="BV7" i="47"/>
  <c r="DU46" i="38" s="1"/>
  <c r="BG25" i="47"/>
  <c r="BN25" i="38" s="1"/>
  <c r="AQ25" i="47"/>
  <c r="BC16" i="47"/>
  <c r="BJ16" i="38" s="1"/>
  <c r="AP16" i="47"/>
  <c r="BC12" i="47"/>
  <c r="BJ12" i="38" s="1"/>
  <c r="AP12" i="47"/>
  <c r="BG7" i="47"/>
  <c r="BN7" i="38" s="1"/>
  <c r="AQ7" i="47"/>
  <c r="BG16" i="47"/>
  <c r="BN16" i="38" s="1"/>
  <c r="AQ16" i="47"/>
  <c r="AU21" i="47"/>
  <c r="AN21" i="47"/>
  <c r="BC20" i="47"/>
  <c r="BJ20" i="38" s="1"/>
  <c r="AP20" i="47"/>
  <c r="BC11" i="47"/>
  <c r="AP11" i="47"/>
  <c r="BC10" i="47"/>
  <c r="CC10" i="38" s="1"/>
  <c r="CW10" i="38" s="1"/>
  <c r="AP10" i="47"/>
  <c r="AY22" i="47"/>
  <c r="FL22" i="38" s="1"/>
  <c r="AO22" i="47"/>
  <c r="AY14" i="47"/>
  <c r="LA14" i="38" s="1"/>
  <c r="AO14" i="47"/>
  <c r="AU7" i="47"/>
  <c r="BB7" i="38" s="1"/>
  <c r="AN7" i="47"/>
  <c r="AY5" i="47"/>
  <c r="AO5" i="47"/>
  <c r="AY21" i="47"/>
  <c r="BF21" i="38" s="1"/>
  <c r="AO21" i="47"/>
  <c r="BG20" i="47"/>
  <c r="BN20" i="38" s="1"/>
  <c r="AQ20" i="47"/>
  <c r="BG11" i="47"/>
  <c r="AQ11" i="47"/>
  <c r="AU18" i="47"/>
  <c r="FH18" i="38" s="1"/>
  <c r="AN18" i="47"/>
  <c r="BG10" i="47"/>
  <c r="BN10" i="38" s="1"/>
  <c r="AQ10" i="47"/>
  <c r="BC22" i="47"/>
  <c r="BJ22" i="38" s="1"/>
  <c r="AP22" i="47"/>
  <c r="BC14" i="47"/>
  <c r="BJ14" i="38" s="1"/>
  <c r="AP14" i="47"/>
  <c r="AY7" i="47"/>
  <c r="BF7" i="38" s="1"/>
  <c r="AO7" i="47"/>
  <c r="AU12" i="47"/>
  <c r="KW12" i="38" s="1"/>
  <c r="LT12" i="38" s="1"/>
  <c r="AN12" i="47"/>
  <c r="BC21" i="47"/>
  <c r="CC21" i="38" s="1"/>
  <c r="CW21" i="38" s="1"/>
  <c r="AP21" i="47"/>
  <c r="AU17" i="47"/>
  <c r="BB17" i="38" s="1"/>
  <c r="AN17" i="47"/>
  <c r="AY18" i="47"/>
  <c r="BY18" i="38" s="1"/>
  <c r="CS18" i="38" s="1"/>
  <c r="AO18" i="47"/>
  <c r="AU6" i="47"/>
  <c r="AN6" i="47"/>
  <c r="BO23" i="47"/>
  <c r="DN23" i="38" s="1"/>
  <c r="BN5" i="47"/>
  <c r="DM44" i="38" s="1"/>
  <c r="AY23" i="47"/>
  <c r="AO23" i="47"/>
  <c r="BG14" i="47"/>
  <c r="CG14" i="38" s="1"/>
  <c r="DA14" i="38" s="1"/>
  <c r="AQ14" i="47"/>
  <c r="BG22" i="47"/>
  <c r="AQ22" i="47"/>
  <c r="BG21" i="47"/>
  <c r="BN21" i="38" s="1"/>
  <c r="AQ21" i="47"/>
  <c r="AY17" i="47"/>
  <c r="BF17" i="38" s="1"/>
  <c r="AO17" i="47"/>
  <c r="BC18" i="47"/>
  <c r="CC18" i="38" s="1"/>
  <c r="CW18" i="38" s="1"/>
  <c r="AP18" i="47"/>
  <c r="AY6" i="47"/>
  <c r="IO6" i="38" s="1"/>
  <c r="AO6" i="47"/>
  <c r="BC23" i="47"/>
  <c r="AP23" i="47"/>
  <c r="AY9" i="47"/>
  <c r="AO9" i="47"/>
  <c r="BC5" i="47"/>
  <c r="BJ5" i="38" s="1"/>
  <c r="AP5" i="47"/>
  <c r="AY19" i="47"/>
  <c r="BF19" i="38" s="1"/>
  <c r="AO19" i="47"/>
  <c r="AU23" i="47"/>
  <c r="AN23" i="47"/>
  <c r="AU16" i="47"/>
  <c r="KW16" i="38" s="1"/>
  <c r="NN16" i="38" s="1"/>
  <c r="NN55" i="38" s="1"/>
  <c r="AN16" i="47"/>
  <c r="AU9" i="47"/>
  <c r="AN9" i="47"/>
  <c r="BC17" i="47"/>
  <c r="CC17" i="38" s="1"/>
  <c r="CW17" i="38" s="1"/>
  <c r="AP17" i="47"/>
  <c r="BG18" i="47"/>
  <c r="BN18" i="38" s="1"/>
  <c r="AQ18" i="47"/>
  <c r="BC6" i="47"/>
  <c r="BJ6" i="38" s="1"/>
  <c r="AP6" i="47"/>
  <c r="BO18" i="47"/>
  <c r="DO13" i="38"/>
  <c r="BV15" i="47"/>
  <c r="BS13" i="47"/>
  <c r="BY18" i="47"/>
  <c r="BO13" i="47"/>
  <c r="DN52" i="38" s="1"/>
  <c r="DW25" i="38"/>
  <c r="BY26" i="47"/>
  <c r="BS15" i="47"/>
  <c r="DX16" i="38"/>
  <c r="DS15" i="38"/>
  <c r="DO25" i="38"/>
  <c r="BW17" i="47"/>
  <c r="BY15" i="47"/>
  <c r="DX54" i="38" s="1"/>
  <c r="DW17" i="38"/>
  <c r="DS5" i="38"/>
  <c r="BN27" i="47"/>
  <c r="BU27" i="47"/>
  <c r="DT66" i="38" s="1"/>
  <c r="BV26" i="47"/>
  <c r="DU65" i="38" s="1"/>
  <c r="DO18" i="38"/>
  <c r="BY9" i="47"/>
  <c r="BO27" i="47"/>
  <c r="BU24" i="47"/>
  <c r="BU17" i="47"/>
  <c r="DW14" i="38"/>
  <c r="DO19" i="38"/>
  <c r="BN20" i="47"/>
  <c r="BS6" i="47"/>
  <c r="PP11" i="38"/>
  <c r="PD27" i="38"/>
  <c r="PP14" i="38"/>
  <c r="BV17" i="47"/>
  <c r="DU56" i="38" s="1"/>
  <c r="BY13" i="47"/>
  <c r="DX52" i="38" s="1"/>
  <c r="BV11" i="47"/>
  <c r="BS21" i="47"/>
  <c r="PD8" i="38"/>
  <c r="PD5" i="38"/>
  <c r="BS20" i="47"/>
  <c r="DR59" i="38" s="1"/>
  <c r="BR10" i="47"/>
  <c r="BW11" i="47"/>
  <c r="BO26" i="47"/>
  <c r="BV27" i="47"/>
  <c r="DU66" i="38" s="1"/>
  <c r="BZ17" i="47"/>
  <c r="DY56" i="38" s="1"/>
  <c r="BW14" i="47"/>
  <c r="BW18" i="47"/>
  <c r="BU20" i="47"/>
  <c r="DT59" i="38" s="1"/>
  <c r="BS16" i="47"/>
  <c r="DW11" i="38"/>
  <c r="DS17" i="38"/>
  <c r="DS13" i="38"/>
  <c r="DS14" i="38"/>
  <c r="DW19" i="38"/>
  <c r="BV20" i="47"/>
  <c r="BW25" i="47"/>
  <c r="BY10" i="47"/>
  <c r="BW6" i="47"/>
  <c r="BM22" i="47"/>
  <c r="BS26" i="47"/>
  <c r="BR20" i="47"/>
  <c r="DQ20" i="38" s="1"/>
  <c r="DS16" i="38"/>
  <c r="BW15" i="47"/>
  <c r="DV54" i="38" s="1"/>
  <c r="BR24" i="47"/>
  <c r="BV13" i="47"/>
  <c r="DU52" i="38" s="1"/>
  <c r="BS9" i="47"/>
  <c r="DR15" i="38"/>
  <c r="PP20" i="38"/>
  <c r="DX20" i="38"/>
  <c r="BZ21" i="47"/>
  <c r="DX21" i="38"/>
  <c r="PP21" i="38"/>
  <c r="BZ19" i="47"/>
  <c r="PP19" i="38"/>
  <c r="DR5" i="38"/>
  <c r="PJ5" i="38"/>
  <c r="BZ23" i="47"/>
  <c r="BM16" i="47"/>
  <c r="BM21" i="47"/>
  <c r="DL60" i="38" s="1"/>
  <c r="DO23" i="38"/>
  <c r="BQ18" i="47"/>
  <c r="DP57" i="38" s="1"/>
  <c r="BW20" i="47"/>
  <c r="DV59" i="38" s="1"/>
  <c r="BU16" i="47"/>
  <c r="DT55" i="38" s="1"/>
  <c r="BN16" i="47"/>
  <c r="DO9" i="38"/>
  <c r="BN15" i="47"/>
  <c r="BQ10" i="47"/>
  <c r="DP49" i="38" s="1"/>
  <c r="BU6" i="47"/>
  <c r="DT45" i="38" s="1"/>
  <c r="BN6" i="47"/>
  <c r="DM45" i="38" s="1"/>
  <c r="BQ11" i="47"/>
  <c r="BO11" i="47"/>
  <c r="DK22" i="38"/>
  <c r="BU21" i="47"/>
  <c r="DT60" i="38" s="1"/>
  <c r="BN21" i="47"/>
  <c r="DM60" i="38" s="1"/>
  <c r="DK14" i="38"/>
  <c r="DK26" i="38"/>
  <c r="BU7" i="47"/>
  <c r="N25" i="47"/>
  <c r="AB14" i="47"/>
  <c r="PC22" i="38"/>
  <c r="PG15" i="38"/>
  <c r="BW23" i="47"/>
  <c r="BS24" i="47"/>
  <c r="DR63" i="38" s="1"/>
  <c r="BR18" i="47"/>
  <c r="BN19" i="47"/>
  <c r="DM58" i="38" s="1"/>
  <c r="DW20" i="38"/>
  <c r="BQ20" i="47"/>
  <c r="DP59" i="38" s="1"/>
  <c r="BO16" i="47"/>
  <c r="DN55" i="38" s="1"/>
  <c r="BW9" i="47"/>
  <c r="BU15" i="47"/>
  <c r="DT54" i="38" s="1"/>
  <c r="BO15" i="47"/>
  <c r="DN54" i="38" s="1"/>
  <c r="BS10" i="47"/>
  <c r="BO6" i="47"/>
  <c r="BQ7" i="47"/>
  <c r="DP46" i="38" s="1"/>
  <c r="BR11" i="47"/>
  <c r="DQ50" i="38" s="1"/>
  <c r="BV21" i="47"/>
  <c r="DU60" i="38" s="1"/>
  <c r="DO21" i="38"/>
  <c r="BO9" i="47"/>
  <c r="BM24" i="47"/>
  <c r="PK10" i="38"/>
  <c r="PG9" i="38"/>
  <c r="PG7" i="38"/>
  <c r="DS23" i="38"/>
  <c r="BV24" i="47"/>
  <c r="BQ17" i="47"/>
  <c r="DP56" i="38" s="1"/>
  <c r="BS18" i="47"/>
  <c r="DR57" i="38" s="1"/>
  <c r="BV16" i="47"/>
  <c r="DU55" i="38" s="1"/>
  <c r="DO16" i="38"/>
  <c r="DS9" i="38"/>
  <c r="BU12" i="47"/>
  <c r="DO15" i="38"/>
  <c r="DS10" i="38"/>
  <c r="DW6" i="38"/>
  <c r="DO6" i="38"/>
  <c r="DX11" i="38"/>
  <c r="BS11" i="47"/>
  <c r="DR50" i="38" s="1"/>
  <c r="BW21" i="47"/>
  <c r="DV60" i="38" s="1"/>
  <c r="BR8" i="47"/>
  <c r="PC24" i="38"/>
  <c r="AD14" i="47"/>
  <c r="PC26" i="38"/>
  <c r="PG23" i="38"/>
  <c r="PK18" i="38"/>
  <c r="DW27" i="38"/>
  <c r="PK11" i="38"/>
  <c r="BM6" i="47"/>
  <c r="DL45" i="38" s="1"/>
  <c r="PG6" i="38"/>
  <c r="DS18" i="38"/>
  <c r="BY6" i="47"/>
  <c r="DX45" i="38" s="1"/>
  <c r="BR6" i="47"/>
  <c r="DS11" i="38"/>
  <c r="DW21" i="38"/>
  <c r="BQ21" i="47"/>
  <c r="DP60" i="38" s="1"/>
  <c r="BO17" i="47"/>
  <c r="AC14" i="47"/>
  <c r="PO21" i="38"/>
  <c r="BM14" i="47"/>
  <c r="DL53" i="38" s="1"/>
  <c r="DW23" i="38"/>
  <c r="BW26" i="47"/>
  <c r="DV65" i="38" s="1"/>
  <c r="BQ26" i="47"/>
  <c r="BW13" i="47"/>
  <c r="DV52" i="38" s="1"/>
  <c r="BQ13" i="47"/>
  <c r="BN18" i="47"/>
  <c r="BS19" i="47"/>
  <c r="BO20" i="47"/>
  <c r="BQ16" i="47"/>
  <c r="DP55" i="38" s="1"/>
  <c r="BZ12" i="47"/>
  <c r="BQ15" i="47"/>
  <c r="DP54" i="38" s="1"/>
  <c r="BU10" i="47"/>
  <c r="DT49" i="38" s="1"/>
  <c r="BN10" i="47"/>
  <c r="DM49" i="38" s="1"/>
  <c r="BQ5" i="47"/>
  <c r="BQ6" i="47"/>
  <c r="DP45" i="38" s="1"/>
  <c r="BR21" i="47"/>
  <c r="DW7" i="38"/>
  <c r="DS8" i="38"/>
  <c r="M25" i="47"/>
  <c r="L25" i="47"/>
  <c r="AB19" i="47"/>
  <c r="AB22" i="47"/>
  <c r="BM26" i="47"/>
  <c r="DL65" i="38" s="1"/>
  <c r="BW27" i="47"/>
  <c r="DV66" i="38" s="1"/>
  <c r="BM7" i="47"/>
  <c r="DL46" i="38" s="1"/>
  <c r="BN26" i="47"/>
  <c r="DM65" i="38" s="1"/>
  <c r="BU18" i="47"/>
  <c r="DT57" i="38" s="1"/>
  <c r="BR16" i="47"/>
  <c r="BR15" i="47"/>
  <c r="BW10" i="47"/>
  <c r="BO10" i="47"/>
  <c r="BR5" i="47"/>
  <c r="DQ44" i="38" s="1"/>
  <c r="BO7" i="47"/>
  <c r="DN46" i="38" s="1"/>
  <c r="BU11" i="47"/>
  <c r="BN7" i="47"/>
  <c r="DM46" i="38" s="1"/>
  <c r="BY7" i="47"/>
  <c r="DX46" i="38" s="1"/>
  <c r="BW8" i="47"/>
  <c r="PG16" i="38"/>
  <c r="BM15" i="47"/>
  <c r="DL54" i="38" s="1"/>
  <c r="FL26" i="38"/>
  <c r="BO14" i="47"/>
  <c r="DS6" i="38"/>
  <c r="DW8" i="38"/>
  <c r="FH24" i="38"/>
  <c r="PP27" i="38"/>
  <c r="BZ27" i="47"/>
  <c r="DY66" i="38" s="1"/>
  <c r="DX27" i="38"/>
  <c r="FT26" i="38"/>
  <c r="LI13" i="38"/>
  <c r="MF13" i="38" s="1"/>
  <c r="FT13" i="38"/>
  <c r="GQ13" i="38" s="1"/>
  <c r="KW13" i="38"/>
  <c r="NN13" i="38" s="1"/>
  <c r="NN52" i="38" s="1"/>
  <c r="DV7" i="38"/>
  <c r="PN7" i="38"/>
  <c r="PP22" i="38"/>
  <c r="BM17" i="47"/>
  <c r="DL56" i="38" s="1"/>
  <c r="BQ22" i="47"/>
  <c r="DP61" i="38" s="1"/>
  <c r="BQ12" i="47"/>
  <c r="DP51" i="38" s="1"/>
  <c r="BU5" i="47"/>
  <c r="DT44" i="38" s="1"/>
  <c r="DK11" i="38"/>
  <c r="DK17" i="38"/>
  <c r="BS7" i="47"/>
  <c r="DR46" i="38" s="1"/>
  <c r="BS8" i="47"/>
  <c r="DR47" i="38" s="1"/>
  <c r="DK9" i="38"/>
  <c r="DL25" i="38"/>
  <c r="DL23" i="38"/>
  <c r="PO5" i="38"/>
  <c r="BM9" i="47"/>
  <c r="DL48" i="38" s="1"/>
  <c r="BR26" i="47"/>
  <c r="DQ65" i="38" s="1"/>
  <c r="BY24" i="47"/>
  <c r="DX63" i="38" s="1"/>
  <c r="BN24" i="47"/>
  <c r="DM63" i="38" s="1"/>
  <c r="BV22" i="47"/>
  <c r="DU61" i="38" s="1"/>
  <c r="BR17" i="47"/>
  <c r="DQ56" i="38" s="1"/>
  <c r="BN17" i="47"/>
  <c r="DM56" i="38" s="1"/>
  <c r="BR13" i="47"/>
  <c r="DQ52" i="38" s="1"/>
  <c r="DX19" i="38"/>
  <c r="BU19" i="47"/>
  <c r="DT58" i="38" s="1"/>
  <c r="BQ19" i="47"/>
  <c r="DP58" i="38" s="1"/>
  <c r="BV12" i="47"/>
  <c r="DU51" i="38" s="1"/>
  <c r="BN11" i="47"/>
  <c r="DM50" i="38" s="1"/>
  <c r="BO21" i="47"/>
  <c r="DN60" i="38" s="1"/>
  <c r="BY8" i="47"/>
  <c r="DX47" i="38" s="1"/>
  <c r="BV8" i="47"/>
  <c r="DU47" i="38" s="1"/>
  <c r="PK22" i="38"/>
  <c r="PC17" i="38"/>
  <c r="PC11" i="38"/>
  <c r="BU23" i="47"/>
  <c r="DT62" i="38" s="1"/>
  <c r="BQ23" i="47"/>
  <c r="DP62" i="38" s="1"/>
  <c r="BU26" i="47"/>
  <c r="DT65" i="38" s="1"/>
  <c r="BQ24" i="47"/>
  <c r="DP63" i="38" s="1"/>
  <c r="BR22" i="47"/>
  <c r="DQ61" i="38" s="1"/>
  <c r="BN22" i="47"/>
  <c r="DM61" i="38" s="1"/>
  <c r="BU13" i="47"/>
  <c r="DT52" i="38" s="1"/>
  <c r="BU14" i="47"/>
  <c r="DT53" i="38" s="1"/>
  <c r="BQ14" i="47"/>
  <c r="DP53" i="38" s="1"/>
  <c r="BU9" i="47"/>
  <c r="DT48" i="38" s="1"/>
  <c r="BQ9" i="47"/>
  <c r="DP48" i="38" s="1"/>
  <c r="BR12" i="47"/>
  <c r="DQ51" i="38" s="1"/>
  <c r="BN12" i="47"/>
  <c r="DM51" i="38" s="1"/>
  <c r="BU25" i="47"/>
  <c r="DT64" i="38" s="1"/>
  <c r="BQ25" i="47"/>
  <c r="DP64" i="38" s="1"/>
  <c r="BV5" i="47"/>
  <c r="DU44" i="38" s="1"/>
  <c r="BY5" i="47"/>
  <c r="DX44" i="38" s="1"/>
  <c r="PC9" i="38"/>
  <c r="BM11" i="47"/>
  <c r="DL50" i="38" s="1"/>
  <c r="DS24" i="38"/>
  <c r="BW22" i="47"/>
  <c r="DV61" i="38" s="1"/>
  <c r="BS17" i="47"/>
  <c r="DR56" i="38" s="1"/>
  <c r="BV19" i="47"/>
  <c r="DU58" i="38" s="1"/>
  <c r="BR19" i="47"/>
  <c r="DQ58" i="38" s="1"/>
  <c r="BW12" i="47"/>
  <c r="DV51" i="38" s="1"/>
  <c r="BV23" i="47"/>
  <c r="DU62" i="38" s="1"/>
  <c r="BR23" i="47"/>
  <c r="DQ62" i="38" s="1"/>
  <c r="BN23" i="47"/>
  <c r="DM62" i="38" s="1"/>
  <c r="BW24" i="47"/>
  <c r="DV63" i="38" s="1"/>
  <c r="BO24" i="47"/>
  <c r="DN63" i="38" s="1"/>
  <c r="BS22" i="47"/>
  <c r="DR61" i="38" s="1"/>
  <c r="BO22" i="47"/>
  <c r="DN61" i="38" s="1"/>
  <c r="BV14" i="47"/>
  <c r="DU53" i="38" s="1"/>
  <c r="BR14" i="47"/>
  <c r="DQ53" i="38" s="1"/>
  <c r="BN14" i="47"/>
  <c r="DM53" i="38" s="1"/>
  <c r="BV9" i="47"/>
  <c r="DU48" i="38" s="1"/>
  <c r="BR9" i="47"/>
  <c r="DQ48" i="38" s="1"/>
  <c r="BN9" i="47"/>
  <c r="DM48" i="38" s="1"/>
  <c r="BS12" i="47"/>
  <c r="DR51" i="38" s="1"/>
  <c r="BO12" i="47"/>
  <c r="DN51" i="38" s="1"/>
  <c r="BV25" i="47"/>
  <c r="DU64" i="38" s="1"/>
  <c r="BR25" i="47"/>
  <c r="DQ64" i="38" s="1"/>
  <c r="BN25" i="47"/>
  <c r="DM64" i="38" s="1"/>
  <c r="BW5" i="47"/>
  <c r="DV44" i="38" s="1"/>
  <c r="BU22" i="47"/>
  <c r="DT61" i="38" s="1"/>
  <c r="PK12" i="38"/>
  <c r="BW19" i="47"/>
  <c r="DV58" i="38" s="1"/>
  <c r="BV10" i="47"/>
  <c r="DU49" i="38" s="1"/>
  <c r="BV6" i="47"/>
  <c r="DU45" i="38" s="1"/>
  <c r="BS23" i="47"/>
  <c r="DR62" i="38" s="1"/>
  <c r="BS14" i="47"/>
  <c r="DR53" i="38" s="1"/>
  <c r="BS25" i="47"/>
  <c r="DR64" i="38" s="1"/>
  <c r="AB15" i="47"/>
  <c r="AJ23" i="47"/>
  <c r="AD9" i="47"/>
  <c r="AC9" i="47"/>
  <c r="M5" i="47"/>
  <c r="AL23" i="47"/>
  <c r="AL12" i="47"/>
  <c r="N5" i="47"/>
  <c r="AK12" i="47"/>
  <c r="AD15" i="47"/>
  <c r="M19" i="47"/>
  <c r="L19" i="47"/>
  <c r="AC15" i="47"/>
  <c r="L20" i="47"/>
  <c r="M12" i="47"/>
  <c r="N17" i="47"/>
  <c r="U18" i="47"/>
  <c r="AD19" i="47"/>
  <c r="L7" i="47"/>
  <c r="V18" i="47"/>
  <c r="M17" i="47"/>
  <c r="L12" i="47"/>
  <c r="N16" i="47"/>
  <c r="AL25" i="47"/>
  <c r="AC19" i="47"/>
  <c r="M16" i="47"/>
  <c r="AB12" i="47"/>
  <c r="AK25" i="47"/>
  <c r="AC16" i="47"/>
  <c r="AD12" i="47"/>
  <c r="T18" i="47"/>
  <c r="L16" i="47"/>
  <c r="AJ25" i="47"/>
  <c r="M7" i="47"/>
  <c r="U21" i="47"/>
  <c r="AB16" i="47"/>
  <c r="M11" i="47"/>
  <c r="T15" i="47"/>
  <c r="L11" i="47"/>
  <c r="AJ5" i="47"/>
  <c r="T9" i="47"/>
  <c r="V23" i="47"/>
  <c r="AK5" i="47"/>
  <c r="AK23" i="47"/>
  <c r="AL5" i="47"/>
  <c r="AC23" i="47"/>
  <c r="N19" i="47"/>
  <c r="U15" i="47"/>
  <c r="U23" i="47"/>
  <c r="N11" i="47"/>
  <c r="AL17" i="47"/>
  <c r="V10" i="47"/>
  <c r="AB9" i="47"/>
  <c r="V11" i="47"/>
  <c r="AK16" i="47"/>
  <c r="L10" i="47"/>
  <c r="N20" i="47"/>
  <c r="U10" i="47"/>
  <c r="U11" i="47"/>
  <c r="AL16" i="47"/>
  <c r="AJ12" i="47"/>
  <c r="T10" i="47"/>
  <c r="AJ16" i="47"/>
  <c r="AD23" i="47"/>
  <c r="AL14" i="47"/>
  <c r="M20" i="47"/>
  <c r="N10" i="47"/>
  <c r="V9" i="47"/>
  <c r="T11" i="47"/>
  <c r="L5" i="47"/>
  <c r="T23" i="47"/>
  <c r="U20" i="47"/>
  <c r="M10" i="47"/>
  <c r="U9" i="47"/>
  <c r="AB23" i="47"/>
  <c r="BY15" i="38"/>
  <c r="CS15" i="38" s="1"/>
  <c r="BF15" i="38"/>
  <c r="AD5" i="47"/>
  <c r="AJ14" i="47"/>
  <c r="AB7" i="47"/>
  <c r="AC5" i="47"/>
  <c r="AD7" i="47"/>
  <c r="AK17" i="47"/>
  <c r="AJ6" i="47"/>
  <c r="AJ17" i="47"/>
  <c r="AL6" i="47"/>
  <c r="AD22" i="47"/>
  <c r="AB5" i="47"/>
  <c r="LA27" i="38"/>
  <c r="LX27" i="38" s="1"/>
  <c r="AC7" i="47"/>
  <c r="AK14" i="47"/>
  <c r="AK6" i="47"/>
  <c r="AC22" i="47"/>
  <c r="BF27" i="38"/>
  <c r="FL27" i="38"/>
  <c r="GI27" i="38" s="1"/>
  <c r="BS26" i="38"/>
  <c r="KW15" i="38"/>
  <c r="NN15" i="38" s="1"/>
  <c r="NN54" i="38" s="1"/>
  <c r="IK15" i="38"/>
  <c r="AV15" i="47"/>
  <c r="BU15" i="38"/>
  <c r="CO15" i="38" s="1"/>
  <c r="BB15" i="38"/>
  <c r="AX15" i="47"/>
  <c r="BE15" i="38" s="1"/>
  <c r="G31" i="44"/>
  <c r="DE24" i="38"/>
  <c r="IO15" i="38"/>
  <c r="IO27" i="38"/>
  <c r="AZ27" i="47"/>
  <c r="IP27" i="38" s="1"/>
  <c r="BR26" i="38"/>
  <c r="AW27" i="47"/>
  <c r="IM27" i="38" s="1"/>
  <c r="IM66" i="38" s="1"/>
  <c r="G32" i="44"/>
  <c r="LC27" i="38"/>
  <c r="CA27" i="38"/>
  <c r="CU27" i="38" s="1"/>
  <c r="FN27" i="38"/>
  <c r="GK27" i="38" s="1"/>
  <c r="BH27" i="38"/>
  <c r="IQ27" i="38"/>
  <c r="BB27" i="47"/>
  <c r="AV27" i="47"/>
  <c r="BY27" i="38"/>
  <c r="CS27" i="38" s="1"/>
  <c r="AX27" i="47"/>
  <c r="H31" i="44"/>
  <c r="H32" i="44"/>
  <c r="AW15" i="47"/>
  <c r="LI24" i="38" l="1"/>
  <c r="MF24" i="38" s="1"/>
  <c r="BZ22" i="47"/>
  <c r="DY61" i="38" s="1"/>
  <c r="ED61" i="38" s="1"/>
  <c r="BZ25" i="47"/>
  <c r="DY64" i="38" s="1"/>
  <c r="FT24" i="38"/>
  <c r="GQ24" i="38" s="1"/>
  <c r="DX22" i="38"/>
  <c r="RE22" i="38" s="1"/>
  <c r="FI8" i="38"/>
  <c r="FI47" i="38" s="1"/>
  <c r="DX17" i="38"/>
  <c r="RE17" i="38" s="1"/>
  <c r="QV14" i="38"/>
  <c r="QZ22" i="38"/>
  <c r="QS8" i="38"/>
  <c r="QR21" i="38"/>
  <c r="RD18" i="38"/>
  <c r="RD24" i="38"/>
  <c r="RS21" i="38"/>
  <c r="RW26" i="38"/>
  <c r="RW5" i="38"/>
  <c r="KX8" i="38"/>
  <c r="LU8" i="38" s="1"/>
  <c r="PP17" i="38"/>
  <c r="FH21" i="38"/>
  <c r="FH60" i="38" s="1"/>
  <c r="RK15" i="38"/>
  <c r="RW9" i="38"/>
  <c r="PI16" i="38"/>
  <c r="DQ55" i="38"/>
  <c r="PI21" i="38"/>
  <c r="DQ60" i="38"/>
  <c r="PF20" i="38"/>
  <c r="DN59" i="38"/>
  <c r="PF9" i="38"/>
  <c r="DN48" i="38"/>
  <c r="DV23" i="38"/>
  <c r="RV23" i="38" s="1"/>
  <c r="DV62" i="38"/>
  <c r="PH11" i="38"/>
  <c r="DP50" i="38"/>
  <c r="PE15" i="38"/>
  <c r="DM54" i="38"/>
  <c r="DL16" i="38"/>
  <c r="RL16" i="38" s="1"/>
  <c r="DL55" i="38"/>
  <c r="PI24" i="38"/>
  <c r="DQ63" i="38"/>
  <c r="PJ26" i="38"/>
  <c r="DR65" i="38"/>
  <c r="DV25" i="38"/>
  <c r="RV25" i="38" s="1"/>
  <c r="DV64" i="38"/>
  <c r="PI10" i="38"/>
  <c r="DQ49" i="38"/>
  <c r="DR21" i="38"/>
  <c r="RR21" i="38" s="1"/>
  <c r="DR60" i="38"/>
  <c r="DN27" i="38"/>
  <c r="RN27" i="38" s="1"/>
  <c r="DN66" i="38"/>
  <c r="PM18" i="38"/>
  <c r="DU57" i="38"/>
  <c r="DL12" i="38"/>
  <c r="RL12" i="38" s="1"/>
  <c r="DL51" i="38"/>
  <c r="PD10" i="38"/>
  <c r="DL49" i="38"/>
  <c r="DT8" i="38"/>
  <c r="RT8" i="38" s="1"/>
  <c r="DT47" i="38"/>
  <c r="PF25" i="38"/>
  <c r="DN64" i="38"/>
  <c r="BZ16" i="47"/>
  <c r="DX55" i="38"/>
  <c r="DL19" i="38"/>
  <c r="RL19" i="38" s="1"/>
  <c r="DL58" i="38"/>
  <c r="DL13" i="38"/>
  <c r="DL52" i="38"/>
  <c r="PF14" i="38"/>
  <c r="DN53" i="38"/>
  <c r="DV8" i="38"/>
  <c r="RV8" i="38" s="1"/>
  <c r="DV47" i="38"/>
  <c r="PI15" i="38"/>
  <c r="DQ54" i="38"/>
  <c r="DP13" i="38"/>
  <c r="RP13" i="38" s="1"/>
  <c r="DP52" i="38"/>
  <c r="DN17" i="38"/>
  <c r="RN17" i="38" s="1"/>
  <c r="DN56" i="38"/>
  <c r="PI6" i="38"/>
  <c r="DQ45" i="38"/>
  <c r="PI8" i="38"/>
  <c r="DQ47" i="38"/>
  <c r="PL12" i="38"/>
  <c r="DT51" i="38"/>
  <c r="EA51" i="38" s="1"/>
  <c r="PF11" i="38"/>
  <c r="DN50" i="38"/>
  <c r="PI20" i="38"/>
  <c r="DQ59" i="38"/>
  <c r="BZ10" i="47"/>
  <c r="PQ10" i="38" s="1"/>
  <c r="M228" i="55" s="1"/>
  <c r="DX49" i="38"/>
  <c r="DR16" i="38"/>
  <c r="RR16" i="38" s="1"/>
  <c r="DR55" i="38"/>
  <c r="DV11" i="38"/>
  <c r="RV11" i="38" s="1"/>
  <c r="DV50" i="38"/>
  <c r="PE20" i="38"/>
  <c r="DM59" i="38"/>
  <c r="PL24" i="38"/>
  <c r="DT63" i="38"/>
  <c r="PM15" i="38"/>
  <c r="DU54" i="38"/>
  <c r="PF18" i="38"/>
  <c r="DN57" i="38"/>
  <c r="PF23" i="38"/>
  <c r="DN62" i="38"/>
  <c r="PE13" i="38"/>
  <c r="DM52" i="38"/>
  <c r="DN8" i="38"/>
  <c r="RN8" i="38" s="1"/>
  <c r="DN47" i="38"/>
  <c r="PD23" i="38"/>
  <c r="DL62" i="38"/>
  <c r="ED66" i="38"/>
  <c r="FH15" i="38"/>
  <c r="GE15" i="38" s="1"/>
  <c r="X207" i="44" s="1"/>
  <c r="ED64" i="38"/>
  <c r="FL24" i="38"/>
  <c r="GI24" i="38" s="1"/>
  <c r="LA24" i="38"/>
  <c r="LX24" i="38" s="1"/>
  <c r="FH13" i="38"/>
  <c r="GE13" i="38" s="1"/>
  <c r="X205" i="44" s="1"/>
  <c r="LI26" i="38"/>
  <c r="MF26" i="38" s="1"/>
  <c r="KW24" i="38"/>
  <c r="LT24" i="38" s="1"/>
  <c r="PD13" i="38"/>
  <c r="DX25" i="38"/>
  <c r="RE25" i="38" s="1"/>
  <c r="BZ20" i="47"/>
  <c r="DY59" i="38" s="1"/>
  <c r="DL27" i="38"/>
  <c r="FI27" i="38" s="1"/>
  <c r="GF27" i="38" s="1"/>
  <c r="KW23" i="38"/>
  <c r="NN23" i="38" s="1"/>
  <c r="NN62" i="38" s="1"/>
  <c r="FP26" i="38"/>
  <c r="FP65" i="38" s="1"/>
  <c r="QZ26" i="38"/>
  <c r="PL11" i="38"/>
  <c r="DT50" i="38"/>
  <c r="DV10" i="38"/>
  <c r="DV49" i="38"/>
  <c r="PH5" i="38"/>
  <c r="DP44" i="38"/>
  <c r="DY12" i="38"/>
  <c r="DY51" i="38"/>
  <c r="ED51" i="38" s="1"/>
  <c r="PE18" i="38"/>
  <c r="DM57" i="38"/>
  <c r="PD24" i="38"/>
  <c r="DL63" i="38"/>
  <c r="PJ10" i="38"/>
  <c r="DR49" i="38"/>
  <c r="PI18" i="38"/>
  <c r="DQ57" i="38"/>
  <c r="PE16" i="38"/>
  <c r="DM55" i="38"/>
  <c r="DY23" i="38"/>
  <c r="DY62" i="38"/>
  <c r="EA62" i="38" s="1"/>
  <c r="DY19" i="38"/>
  <c r="RY19" i="38" s="1"/>
  <c r="DY58" i="38"/>
  <c r="ED58" i="38" s="1"/>
  <c r="PJ9" i="38"/>
  <c r="DR48" i="38"/>
  <c r="PN6" i="38"/>
  <c r="DV45" i="38"/>
  <c r="PN14" i="38"/>
  <c r="DV53" i="38"/>
  <c r="DN26" i="38"/>
  <c r="QU26" i="38" s="1"/>
  <c r="DN65" i="38"/>
  <c r="DR6" i="38"/>
  <c r="DR45" i="38"/>
  <c r="PL17" i="38"/>
  <c r="DT56" i="38"/>
  <c r="BZ26" i="47"/>
  <c r="DY65" i="38" s="1"/>
  <c r="DX65" i="38"/>
  <c r="ED65" i="38" s="1"/>
  <c r="DR13" i="38"/>
  <c r="RR13" i="38" s="1"/>
  <c r="DR52" i="38"/>
  <c r="PD20" i="38"/>
  <c r="DL59" i="38"/>
  <c r="DP8" i="38"/>
  <c r="QW8" i="38" s="1"/>
  <c r="DP47" i="38"/>
  <c r="PN16" i="38"/>
  <c r="DV55" i="38"/>
  <c r="DQ7" i="38"/>
  <c r="RQ7" i="38" s="1"/>
  <c r="DQ46" i="38"/>
  <c r="PF10" i="38"/>
  <c r="DN49" i="38"/>
  <c r="DR19" i="38"/>
  <c r="RR19" i="38" s="1"/>
  <c r="DR58" i="38"/>
  <c r="PH26" i="38"/>
  <c r="DP65" i="38"/>
  <c r="DU24" i="38"/>
  <c r="RB24" i="38" s="1"/>
  <c r="DU63" i="38"/>
  <c r="PF6" i="38"/>
  <c r="DN45" i="38"/>
  <c r="DV9" i="38"/>
  <c r="RC9" i="38" s="1"/>
  <c r="DV48" i="38"/>
  <c r="DT7" i="38"/>
  <c r="DT46" i="38"/>
  <c r="DY21" i="38"/>
  <c r="RF21" i="38" s="1"/>
  <c r="H469" i="58" s="1"/>
  <c r="DY60" i="38"/>
  <c r="PD22" i="38"/>
  <c r="DL61" i="38"/>
  <c r="PM20" i="38"/>
  <c r="DU59" i="38"/>
  <c r="ED59" i="38" s="1"/>
  <c r="DV18" i="38"/>
  <c r="DV57" i="38"/>
  <c r="PM11" i="38"/>
  <c r="DU50" i="38"/>
  <c r="DX9" i="38"/>
  <c r="DX48" i="38"/>
  <c r="PE27" i="38"/>
  <c r="DM66" i="38"/>
  <c r="DV17" i="38"/>
  <c r="DV56" i="38"/>
  <c r="ED56" i="38" s="1"/>
  <c r="PJ15" i="38"/>
  <c r="DR54" i="38"/>
  <c r="DX18" i="38"/>
  <c r="DX57" i="38"/>
  <c r="DN5" i="38"/>
  <c r="RN5" i="38" s="1"/>
  <c r="DN44" i="38"/>
  <c r="PD18" i="38"/>
  <c r="DL57" i="38"/>
  <c r="PF19" i="38"/>
  <c r="DN58" i="38"/>
  <c r="EA58" i="38" s="1"/>
  <c r="PD25" i="38"/>
  <c r="DL64" i="38"/>
  <c r="ED62" i="38"/>
  <c r="ED60" i="38"/>
  <c r="PP16" i="38"/>
  <c r="EA64" i="38"/>
  <c r="DX14" i="38"/>
  <c r="RX14" i="38" s="1"/>
  <c r="DX23" i="38"/>
  <c r="RX23" i="38" s="1"/>
  <c r="DQ18" i="38"/>
  <c r="PQ23" i="38"/>
  <c r="M221" i="55" s="1"/>
  <c r="PI7" i="38"/>
  <c r="PP25" i="38"/>
  <c r="PP23" i="38"/>
  <c r="PD19" i="38"/>
  <c r="BZ14" i="47"/>
  <c r="BZ11" i="47"/>
  <c r="KW6" i="38"/>
  <c r="LT6" i="38" s="1"/>
  <c r="LI9" i="38"/>
  <c r="LI48" i="38" s="1"/>
  <c r="RE23" i="38"/>
  <c r="QR17" i="38"/>
  <c r="RK17" i="38"/>
  <c r="QZ18" i="38"/>
  <c r="RS18" i="38"/>
  <c r="QV16" i="38"/>
  <c r="RO16" i="38"/>
  <c r="RU24" i="38"/>
  <c r="QV21" i="38"/>
  <c r="RO21" i="38"/>
  <c r="RV9" i="38"/>
  <c r="RA7" i="38"/>
  <c r="RT7" i="38"/>
  <c r="RY21" i="38"/>
  <c r="RC18" i="38"/>
  <c r="RV18" i="38"/>
  <c r="RC17" i="38"/>
  <c r="RV17" i="38"/>
  <c r="RE18" i="38"/>
  <c r="RX18" i="38"/>
  <c r="QV7" i="38"/>
  <c r="RO7" i="38"/>
  <c r="QR27" i="38"/>
  <c r="RK27" i="38"/>
  <c r="QZ24" i="38"/>
  <c r="RS24" i="38"/>
  <c r="RE19" i="38"/>
  <c r="RX19" i="38"/>
  <c r="QS23" i="38"/>
  <c r="RL23" i="38"/>
  <c r="RE27" i="38"/>
  <c r="RX27" i="38"/>
  <c r="QU23" i="38"/>
  <c r="RN23" i="38"/>
  <c r="RD6" i="38"/>
  <c r="RW6" i="38"/>
  <c r="QZ9" i="38"/>
  <c r="RS9" i="38"/>
  <c r="RD20" i="38"/>
  <c r="RW20" i="38"/>
  <c r="QS16" i="38"/>
  <c r="QX20" i="38"/>
  <c r="RQ20" i="38"/>
  <c r="QY5" i="38"/>
  <c r="RR5" i="38"/>
  <c r="RE21" i="38"/>
  <c r="RX21" i="38"/>
  <c r="QZ13" i="38"/>
  <c r="RS13" i="38"/>
  <c r="QV19" i="38"/>
  <c r="RO19" i="38"/>
  <c r="QU27" i="38"/>
  <c r="RE16" i="38"/>
  <c r="RX16" i="38"/>
  <c r="QV13" i="38"/>
  <c r="RO13" i="38"/>
  <c r="RA8" i="38"/>
  <c r="RE14" i="38"/>
  <c r="QX18" i="38"/>
  <c r="RQ18" i="38"/>
  <c r="RD27" i="38"/>
  <c r="RW27" i="38"/>
  <c r="QY15" i="38"/>
  <c r="RR15" i="38"/>
  <c r="QZ17" i="38"/>
  <c r="RS17" i="38"/>
  <c r="RE9" i="38"/>
  <c r="RX9" i="38"/>
  <c r="RC8" i="38"/>
  <c r="RD7" i="38"/>
  <c r="RW7" i="38"/>
  <c r="QW13" i="38"/>
  <c r="RD23" i="38"/>
  <c r="RW23" i="38"/>
  <c r="QV6" i="38"/>
  <c r="RO6" i="38"/>
  <c r="QR14" i="38"/>
  <c r="RK14" i="38"/>
  <c r="RX25" i="38"/>
  <c r="QZ14" i="38"/>
  <c r="RS14" i="38"/>
  <c r="QY16" i="38"/>
  <c r="QS27" i="38"/>
  <c r="RD17" i="38"/>
  <c r="RW17" i="38"/>
  <c r="QZ15" i="38"/>
  <c r="RS15" i="38"/>
  <c r="RD25" i="38"/>
  <c r="RW25" i="38"/>
  <c r="RD22" i="38"/>
  <c r="RW22" i="38"/>
  <c r="QS25" i="38"/>
  <c r="RL25" i="38"/>
  <c r="RC7" i="38"/>
  <c r="RV7" i="38"/>
  <c r="RD8" i="38"/>
  <c r="RW8" i="38"/>
  <c r="QY19" i="38"/>
  <c r="RD21" i="38"/>
  <c r="RW21" i="38"/>
  <c r="QZ10" i="38"/>
  <c r="RS10" i="38"/>
  <c r="QV9" i="38"/>
  <c r="RO9" i="38"/>
  <c r="RD14" i="38"/>
  <c r="RW14" i="38"/>
  <c r="QR5" i="38"/>
  <c r="RK5" i="38"/>
  <c r="QU5" i="38"/>
  <c r="QR9" i="38"/>
  <c r="RK9" i="38"/>
  <c r="QR11" i="38"/>
  <c r="RK11" i="38"/>
  <c r="RX22" i="38"/>
  <c r="QZ6" i="38"/>
  <c r="RS6" i="38"/>
  <c r="RC10" i="38"/>
  <c r="RV10" i="38"/>
  <c r="QZ8" i="38"/>
  <c r="RS8" i="38"/>
  <c r="RF12" i="38"/>
  <c r="H471" i="58" s="1"/>
  <c r="RY12" i="38"/>
  <c r="QZ11" i="38"/>
  <c r="RS11" i="38"/>
  <c r="RE11" i="38"/>
  <c r="RX11" i="38"/>
  <c r="QV15" i="38"/>
  <c r="RO15" i="38"/>
  <c r="QZ23" i="38"/>
  <c r="RS23" i="38"/>
  <c r="QR26" i="38"/>
  <c r="RK26" i="38"/>
  <c r="QR22" i="38"/>
  <c r="RK22" i="38"/>
  <c r="QV23" i="38"/>
  <c r="RO23" i="38"/>
  <c r="RF23" i="38"/>
  <c r="H481" i="58" s="1"/>
  <c r="RY23" i="38"/>
  <c r="RF19" i="38"/>
  <c r="H480" i="58" s="1"/>
  <c r="RE20" i="38"/>
  <c r="RX20" i="38"/>
  <c r="QZ16" i="38"/>
  <c r="RS16" i="38"/>
  <c r="RD19" i="38"/>
  <c r="RW19" i="38"/>
  <c r="RD11" i="38"/>
  <c r="RW11" i="38"/>
  <c r="QY6" i="38"/>
  <c r="RR6" i="38"/>
  <c r="QV18" i="38"/>
  <c r="RO18" i="38"/>
  <c r="QZ5" i="38"/>
  <c r="RS5" i="38"/>
  <c r="QV25" i="38"/>
  <c r="RO25" i="38"/>
  <c r="QY13" i="38"/>
  <c r="RX17" i="38"/>
  <c r="QV8" i="38"/>
  <c r="RO8" i="38"/>
  <c r="QX7" i="38"/>
  <c r="D162" i="58"/>
  <c r="D46" i="58"/>
  <c r="D131" i="58"/>
  <c r="D195" i="58"/>
  <c r="D21" i="58"/>
  <c r="E136" i="58"/>
  <c r="E188" i="58"/>
  <c r="E164" i="58"/>
  <c r="E51" i="58"/>
  <c r="C53" i="58"/>
  <c r="C133" i="58"/>
  <c r="C163" i="58"/>
  <c r="C198" i="58"/>
  <c r="D19" i="58"/>
  <c r="D121" i="58"/>
  <c r="D190" i="58"/>
  <c r="D41" i="58"/>
  <c r="D153" i="58"/>
  <c r="E46" i="58"/>
  <c r="E195" i="58"/>
  <c r="E131" i="58"/>
  <c r="E162" i="58"/>
  <c r="D23" i="58"/>
  <c r="C132" i="58"/>
  <c r="C60" i="58"/>
  <c r="C201" i="58"/>
  <c r="C166" i="58"/>
  <c r="O24" i="51"/>
  <c r="O370" i="51" s="1"/>
  <c r="D31" i="58"/>
  <c r="Z33" i="58"/>
  <c r="U203" i="58"/>
  <c r="GI26" i="38"/>
  <c r="FL65" i="38"/>
  <c r="FH47" i="38"/>
  <c r="GQ26" i="38"/>
  <c r="FT65" i="38"/>
  <c r="GI22" i="38"/>
  <c r="PG29" i="38"/>
  <c r="NH29" i="38"/>
  <c r="NF32" i="38"/>
  <c r="NG32" i="38" s="1"/>
  <c r="PG31" i="38"/>
  <c r="PK31" i="38"/>
  <c r="PC32" i="38"/>
  <c r="PC31" i="38"/>
  <c r="PG32" i="38"/>
  <c r="PK32" i="38"/>
  <c r="PK29" i="38"/>
  <c r="PC30" i="38"/>
  <c r="PK30" i="38"/>
  <c r="PG30" i="38"/>
  <c r="PO29" i="38"/>
  <c r="PO31" i="38"/>
  <c r="PO30" i="38"/>
  <c r="PO32" i="38"/>
  <c r="PC29" i="38"/>
  <c r="NJ30" i="38"/>
  <c r="NE30" i="38"/>
  <c r="NJ32" i="38"/>
  <c r="NE32" i="38"/>
  <c r="NI30" i="38"/>
  <c r="NK30" i="38" s="1"/>
  <c r="NH32" i="38"/>
  <c r="NI29" i="38"/>
  <c r="NK29" i="38" s="1"/>
  <c r="NF31" i="38"/>
  <c r="NG31" i="38" s="1"/>
  <c r="NE29" i="38"/>
  <c r="NJ29" i="38"/>
  <c r="NH30" i="38"/>
  <c r="NI31" i="38"/>
  <c r="NK31" i="38" s="1"/>
  <c r="NF30" i="38"/>
  <c r="NG30" i="38" s="1"/>
  <c r="NJ31" i="38"/>
  <c r="NE31" i="38"/>
  <c r="NH31" i="38"/>
  <c r="NI32" i="38"/>
  <c r="NK32" i="38" s="1"/>
  <c r="NF29" i="38"/>
  <c r="NG29" i="38" s="1"/>
  <c r="GE21" i="38"/>
  <c r="GE18" i="38"/>
  <c r="GE24" i="38"/>
  <c r="X216" i="44" s="1"/>
  <c r="GE8" i="38"/>
  <c r="NO8" i="38"/>
  <c r="NO47" i="38" s="1"/>
  <c r="KX47" i="38"/>
  <c r="NN8" i="38"/>
  <c r="NN47" i="38" s="1"/>
  <c r="KW47" i="38"/>
  <c r="BO38" i="57"/>
  <c r="LT8" i="38"/>
  <c r="LA8" i="38"/>
  <c r="KZ8" i="38"/>
  <c r="PL8" i="38"/>
  <c r="PQ19" i="38"/>
  <c r="PS19" i="38" s="1"/>
  <c r="DR10" i="38"/>
  <c r="DR26" i="38"/>
  <c r="DM13" i="38"/>
  <c r="PF5" i="38"/>
  <c r="DU18" i="38"/>
  <c r="DT24" i="38"/>
  <c r="PF8" i="38"/>
  <c r="PL7" i="38"/>
  <c r="DM27" i="38"/>
  <c r="DV14" i="38"/>
  <c r="DN25" i="38"/>
  <c r="DV16" i="38"/>
  <c r="DN19" i="38"/>
  <c r="DL18" i="38"/>
  <c r="DU15" i="38"/>
  <c r="DT17" i="38"/>
  <c r="PD12" i="38"/>
  <c r="DX12" i="38"/>
  <c r="PP12" i="38"/>
  <c r="DM18" i="38"/>
  <c r="DM20" i="38"/>
  <c r="PJ13" i="38"/>
  <c r="PH8" i="38"/>
  <c r="DL20" i="38"/>
  <c r="DP5" i="38"/>
  <c r="FH27" i="38"/>
  <c r="GE27" i="38" s="1"/>
  <c r="LB8" i="38"/>
  <c r="AD732" i="55"/>
  <c r="E606" i="48" s="1"/>
  <c r="KW27" i="38"/>
  <c r="NN27" i="38" s="1"/>
  <c r="NN66" i="38" s="1"/>
  <c r="P216" i="51"/>
  <c r="P41" i="51"/>
  <c r="P254" i="51"/>
  <c r="C20" i="47"/>
  <c r="C21" i="47"/>
  <c r="C6" i="47"/>
  <c r="KW21" i="38"/>
  <c r="LT21" i="38" s="1"/>
  <c r="FK8" i="38"/>
  <c r="FL8" i="38"/>
  <c r="AB733" i="55"/>
  <c r="F607" i="48" s="1"/>
  <c r="FT22" i="38"/>
  <c r="PQ21" i="38"/>
  <c r="PS21" i="38" s="1"/>
  <c r="PN9" i="38"/>
  <c r="PD16" i="38"/>
  <c r="DM15" i="38"/>
  <c r="PH13" i="38"/>
  <c r="DT11" i="38"/>
  <c r="PM24" i="38"/>
  <c r="PN18" i="38"/>
  <c r="DQ8" i="38"/>
  <c r="DL10" i="38"/>
  <c r="PF17" i="38"/>
  <c r="PN25" i="38"/>
  <c r="DN18" i="38"/>
  <c r="DN10" i="38"/>
  <c r="DQ10" i="38"/>
  <c r="DU20" i="38"/>
  <c r="DN14" i="38"/>
  <c r="DQ24" i="38"/>
  <c r="PN17" i="38"/>
  <c r="DT12" i="38"/>
  <c r="PJ19" i="38"/>
  <c r="DR9" i="38"/>
  <c r="DM8" i="38"/>
  <c r="PE8" i="38"/>
  <c r="PQ11" i="38"/>
  <c r="M230" i="55" s="1"/>
  <c r="DL22" i="38"/>
  <c r="PN10" i="38"/>
  <c r="DN20" i="38"/>
  <c r="PN11" i="38"/>
  <c r="DX10" i="38"/>
  <c r="PJ6" i="38"/>
  <c r="PP10" i="38"/>
  <c r="PF27" i="38"/>
  <c r="DU11" i="38"/>
  <c r="DM16" i="38"/>
  <c r="PF26" i="38"/>
  <c r="DQ21" i="38"/>
  <c r="PJ16" i="38"/>
  <c r="IS17" i="38"/>
  <c r="IS56" i="38" s="1"/>
  <c r="BF22" i="38"/>
  <c r="AX21" i="47"/>
  <c r="IN21" i="38" s="1"/>
  <c r="AW6" i="47"/>
  <c r="BD6" i="38" s="1"/>
  <c r="LI10" i="38"/>
  <c r="NZ10" i="38" s="1"/>
  <c r="NZ49" i="38" s="1"/>
  <c r="BF6" i="38"/>
  <c r="FH6" i="38"/>
  <c r="AW21" i="47"/>
  <c r="BD21" i="38" s="1"/>
  <c r="BY22" i="38"/>
  <c r="CS22" i="38" s="1"/>
  <c r="BY19" i="38"/>
  <c r="CS19" i="38" s="1"/>
  <c r="BY21" i="38"/>
  <c r="CS21" i="38" s="1"/>
  <c r="LA22" i="38"/>
  <c r="LX22" i="38" s="1"/>
  <c r="IO19" i="38"/>
  <c r="JJ19" i="38" s="1"/>
  <c r="IW10" i="38"/>
  <c r="IW49" i="38" s="1"/>
  <c r="BH10" i="47"/>
  <c r="FL19" i="38"/>
  <c r="GI19" i="38" s="1"/>
  <c r="CG10" i="38"/>
  <c r="DA10" i="38" s="1"/>
  <c r="IS16" i="38"/>
  <c r="IS55" i="38" s="1"/>
  <c r="BH22" i="47"/>
  <c r="BO22" i="38" s="1"/>
  <c r="LA19" i="38"/>
  <c r="NR19" i="38" s="1"/>
  <c r="NR58" i="38" s="1"/>
  <c r="FT10" i="38"/>
  <c r="GQ10" i="38" s="1"/>
  <c r="CC16" i="38"/>
  <c r="CW16" i="38" s="1"/>
  <c r="CG22" i="38"/>
  <c r="DA22" i="38" s="1"/>
  <c r="IO22" i="38"/>
  <c r="JJ22" i="38" s="1"/>
  <c r="BY6" i="38"/>
  <c r="CS6" i="38" s="1"/>
  <c r="BH9" i="47"/>
  <c r="IX9" i="38" s="1"/>
  <c r="NR26" i="38"/>
  <c r="NR65" i="38" s="1"/>
  <c r="LE7" i="38"/>
  <c r="BY11" i="38"/>
  <c r="CS11" i="38" s="1"/>
  <c r="C17" i="47"/>
  <c r="C18" i="47"/>
  <c r="IS15" i="38"/>
  <c r="JN15" i="38" s="1"/>
  <c r="LI22" i="38"/>
  <c r="NZ22" i="38" s="1"/>
  <c r="NZ61" i="38" s="1"/>
  <c r="IW22" i="38"/>
  <c r="JR22" i="38" s="1"/>
  <c r="BN22" i="38"/>
  <c r="BJ17" i="38"/>
  <c r="LA6" i="38"/>
  <c r="LX6" i="38" s="1"/>
  <c r="FP16" i="38"/>
  <c r="GM16" i="38" s="1"/>
  <c r="IO14" i="38"/>
  <c r="IO53" i="38" s="1"/>
  <c r="JJ15" i="38"/>
  <c r="IO54" i="38"/>
  <c r="JJ27" i="38"/>
  <c r="IO66" i="38"/>
  <c r="JL27" i="38"/>
  <c r="IQ66" i="38"/>
  <c r="JJ6" i="38"/>
  <c r="IO45" i="38"/>
  <c r="JK27" i="38"/>
  <c r="IP66" i="38"/>
  <c r="JR5" i="38"/>
  <c r="IW44" i="38"/>
  <c r="JF11" i="38"/>
  <c r="IK50" i="38"/>
  <c r="JF15" i="38"/>
  <c r="IK54" i="38"/>
  <c r="JN7" i="38"/>
  <c r="IS46" i="38"/>
  <c r="JF5" i="38"/>
  <c r="IK44" i="38"/>
  <c r="J108" i="44"/>
  <c r="D148" i="44" s="1"/>
  <c r="LE13" i="38"/>
  <c r="NV13" i="38" s="1"/>
  <c r="NV52" i="38" s="1"/>
  <c r="AD731" i="55"/>
  <c r="E605" i="48" s="1"/>
  <c r="AB731" i="55"/>
  <c r="F605" i="48" s="1"/>
  <c r="AD733" i="55"/>
  <c r="E607" i="48" s="1"/>
  <c r="FH14" i="38"/>
  <c r="AA733" i="55"/>
  <c r="G607" i="48" s="1"/>
  <c r="FT8" i="38"/>
  <c r="FL13" i="38"/>
  <c r="GI13" i="38" s="1"/>
  <c r="P167" i="51"/>
  <c r="P275" i="51"/>
  <c r="P119" i="51"/>
  <c r="P310" i="51"/>
  <c r="O16" i="51"/>
  <c r="O222" i="51" s="1"/>
  <c r="N106" i="44"/>
  <c r="P66" i="51"/>
  <c r="P97" i="51"/>
  <c r="P350" i="51"/>
  <c r="P328" i="51"/>
  <c r="P370" i="51"/>
  <c r="D131" i="44"/>
  <c r="P246" i="51"/>
  <c r="P372" i="51"/>
  <c r="P44" i="51"/>
  <c r="P176" i="51"/>
  <c r="P72" i="51"/>
  <c r="P278" i="51"/>
  <c r="P108" i="51"/>
  <c r="O14" i="51"/>
  <c r="O233" i="51" s="1"/>
  <c r="O12" i="51"/>
  <c r="P193" i="51"/>
  <c r="D200" i="44"/>
  <c r="E258" i="44" s="1"/>
  <c r="D130" i="44"/>
  <c r="D136" i="44"/>
  <c r="D204" i="44"/>
  <c r="E262" i="44" s="1"/>
  <c r="D150" i="44"/>
  <c r="D201" i="44"/>
  <c r="E259" i="44" s="1"/>
  <c r="C18" i="58" s="1"/>
  <c r="O11" i="51"/>
  <c r="G213" i="48"/>
  <c r="C32" i="48"/>
  <c r="N23" i="51"/>
  <c r="N271" i="44"/>
  <c r="J271" i="44"/>
  <c r="P14" i="51"/>
  <c r="D23" i="48"/>
  <c r="O262" i="44"/>
  <c r="J200" i="44"/>
  <c r="G258" i="44" s="1"/>
  <c r="E17" i="58" s="1"/>
  <c r="J130" i="44"/>
  <c r="D140" i="44"/>
  <c r="D206" i="44"/>
  <c r="E264" i="44" s="1"/>
  <c r="C23" i="58" s="1"/>
  <c r="D36" i="48"/>
  <c r="O275" i="44"/>
  <c r="P27" i="51"/>
  <c r="O27" i="51"/>
  <c r="P131" i="51"/>
  <c r="P346" i="51"/>
  <c r="P323" i="51"/>
  <c r="P155" i="51"/>
  <c r="P222" i="51"/>
  <c r="P200" i="51"/>
  <c r="J146" i="44"/>
  <c r="J114" i="44"/>
  <c r="J208" i="44"/>
  <c r="G266" i="44" s="1"/>
  <c r="E25" i="58" s="1"/>
  <c r="N114" i="44"/>
  <c r="D25" i="58" s="1"/>
  <c r="G193" i="48"/>
  <c r="N24" i="51"/>
  <c r="J272" i="44"/>
  <c r="C33" i="48"/>
  <c r="N272" i="44"/>
  <c r="D147" i="44"/>
  <c r="D217" i="44"/>
  <c r="E275" i="44" s="1"/>
  <c r="C34" i="58" s="1"/>
  <c r="LI5" i="38"/>
  <c r="BH6" i="47"/>
  <c r="BI6" i="47" s="1"/>
  <c r="IK20" i="38"/>
  <c r="IO10" i="38"/>
  <c r="BB12" i="38"/>
  <c r="IK12" i="38"/>
  <c r="AV6" i="47"/>
  <c r="BV6" i="38" s="1"/>
  <c r="CP6" i="38" s="1"/>
  <c r="AV21" i="47"/>
  <c r="BV21" i="38" s="1"/>
  <c r="CP21" i="38" s="1"/>
  <c r="BU12" i="38"/>
  <c r="CO12" i="38" s="1"/>
  <c r="BF17" i="47"/>
  <c r="BM17" i="38" s="1"/>
  <c r="AX6" i="47"/>
  <c r="BX6" i="38" s="1"/>
  <c r="CR6" i="38" s="1"/>
  <c r="IO21" i="38"/>
  <c r="FH12" i="38"/>
  <c r="AZ19" i="47"/>
  <c r="BG19" i="38" s="1"/>
  <c r="BH19" i="47"/>
  <c r="FU19" i="38" s="1"/>
  <c r="GR19" i="38" s="1"/>
  <c r="FL12" i="38"/>
  <c r="GI12" i="38" s="1"/>
  <c r="CC12" i="38"/>
  <c r="CW12" i="38" s="1"/>
  <c r="LI18" i="38"/>
  <c r="MF18" i="38" s="1"/>
  <c r="LE20" i="38"/>
  <c r="MB20" i="38" s="1"/>
  <c r="CG20" i="38"/>
  <c r="DA20" i="38" s="1"/>
  <c r="LE22" i="38"/>
  <c r="NV22" i="38" s="1"/>
  <c r="NV61" i="38" s="1"/>
  <c r="FH5" i="38"/>
  <c r="GE5" i="38" s="1"/>
  <c r="IO20" i="38"/>
  <c r="C19" i="47"/>
  <c r="IW23" i="38"/>
  <c r="LA20" i="38"/>
  <c r="NR20" i="38" s="1"/>
  <c r="NR59" i="38" s="1"/>
  <c r="BH23" i="47"/>
  <c r="BI23" i="47" s="1"/>
  <c r="BY20" i="38"/>
  <c r="CS20" i="38" s="1"/>
  <c r="BU5" i="38"/>
  <c r="CO5" i="38" s="1"/>
  <c r="FP7" i="38"/>
  <c r="FP46" i="38" s="1"/>
  <c r="FL20" i="38"/>
  <c r="GI20" i="38" s="1"/>
  <c r="IW15" i="38"/>
  <c r="BJ7" i="38"/>
  <c r="FT15" i="38"/>
  <c r="GQ15" i="38" s="1"/>
  <c r="CG23" i="38"/>
  <c r="DA23" i="38" s="1"/>
  <c r="BD23" i="47"/>
  <c r="BK23" i="38" s="1"/>
  <c r="BF21" i="47"/>
  <c r="CF21" i="38" s="1"/>
  <c r="CZ21" i="38" s="1"/>
  <c r="CC7" i="38"/>
  <c r="CW7" i="38" s="1"/>
  <c r="BH15" i="47"/>
  <c r="BO15" i="38" s="1"/>
  <c r="IK10" i="38"/>
  <c r="BB5" i="38"/>
  <c r="FH10" i="38"/>
  <c r="CG15" i="38"/>
  <c r="DA15" i="38" s="1"/>
  <c r="BB10" i="38"/>
  <c r="BD21" i="47"/>
  <c r="BK21" i="38" s="1"/>
  <c r="FL14" i="38"/>
  <c r="GI14" i="38" s="1"/>
  <c r="AW5" i="47"/>
  <c r="BD5" i="38" s="1"/>
  <c r="FH23" i="38"/>
  <c r="BF22" i="47"/>
  <c r="BM22" i="38" s="1"/>
  <c r="BH18" i="47"/>
  <c r="IX18" i="38" s="1"/>
  <c r="AV14" i="47"/>
  <c r="BV14" i="38" s="1"/>
  <c r="CP14" i="38" s="1"/>
  <c r="BB22" i="47"/>
  <c r="CB22" i="38" s="1"/>
  <c r="CV22" i="38" s="1"/>
  <c r="IW21" i="38"/>
  <c r="AZ20" i="47"/>
  <c r="BG20" i="38" s="1"/>
  <c r="BB21" i="47"/>
  <c r="BI21" i="38" s="1"/>
  <c r="IW18" i="38"/>
  <c r="CC23" i="38"/>
  <c r="CW23" i="38" s="1"/>
  <c r="LE21" i="38"/>
  <c r="MB21" i="38" s="1"/>
  <c r="BF14" i="38"/>
  <c r="IS22" i="38"/>
  <c r="BD20" i="47"/>
  <c r="BK20" i="38" s="1"/>
  <c r="IS23" i="38"/>
  <c r="BA22" i="47"/>
  <c r="IQ22" i="38" s="1"/>
  <c r="BA14" i="47"/>
  <c r="BH14" i="38" s="1"/>
  <c r="BE22" i="47"/>
  <c r="BL22" i="38" s="1"/>
  <c r="BH21" i="47"/>
  <c r="LJ21" i="38" s="1"/>
  <c r="IS20" i="38"/>
  <c r="FP12" i="38"/>
  <c r="GM12" i="38" s="1"/>
  <c r="BA21" i="47"/>
  <c r="FT18" i="38"/>
  <c r="GQ18" i="38" s="1"/>
  <c r="BF23" i="47"/>
  <c r="BM23" i="38" s="1"/>
  <c r="IW20" i="38"/>
  <c r="BJ23" i="38"/>
  <c r="BJ21" i="38"/>
  <c r="AW14" i="47"/>
  <c r="BA20" i="47"/>
  <c r="CA20" i="38" s="1"/>
  <c r="CU20" i="38" s="1"/>
  <c r="FP22" i="38"/>
  <c r="CC20" i="38"/>
  <c r="CW20" i="38" s="1"/>
  <c r="IS21" i="38"/>
  <c r="BE21" i="47"/>
  <c r="BL21" i="38" s="1"/>
  <c r="BB20" i="47"/>
  <c r="BI20" i="38" s="1"/>
  <c r="BE23" i="47"/>
  <c r="BL23" i="38" s="1"/>
  <c r="AZ22" i="47"/>
  <c r="IP22" i="38" s="1"/>
  <c r="CG21" i="38"/>
  <c r="DA21" i="38" s="1"/>
  <c r="BF20" i="47"/>
  <c r="BM20" i="38" s="1"/>
  <c r="IS12" i="38"/>
  <c r="AZ21" i="47"/>
  <c r="BG21" i="38" s="1"/>
  <c r="LA7" i="38"/>
  <c r="CG18" i="38"/>
  <c r="DA18" i="38" s="1"/>
  <c r="BH20" i="47"/>
  <c r="IX20" i="38" s="1"/>
  <c r="LI15" i="38"/>
  <c r="NZ15" i="38" s="1"/>
  <c r="NZ54" i="38" s="1"/>
  <c r="FP21" i="38"/>
  <c r="KW10" i="38"/>
  <c r="LT10" i="38" s="1"/>
  <c r="BD22" i="47"/>
  <c r="BK22" i="38" s="1"/>
  <c r="FP20" i="38"/>
  <c r="GM20" i="38" s="1"/>
  <c r="LE12" i="38"/>
  <c r="NV12" i="38" s="1"/>
  <c r="NV51" i="38" s="1"/>
  <c r="BY14" i="38"/>
  <c r="CS14" i="38" s="1"/>
  <c r="CC22" i="38"/>
  <c r="CW22" i="38" s="1"/>
  <c r="BE20" i="47"/>
  <c r="BL20" i="38" s="1"/>
  <c r="AX14" i="47"/>
  <c r="IN14" i="38" s="1"/>
  <c r="AV23" i="47"/>
  <c r="BC23" i="38" s="1"/>
  <c r="BE5" i="47"/>
  <c r="BL5" i="38" s="1"/>
  <c r="IO18" i="38"/>
  <c r="AV10" i="47"/>
  <c r="BV10" i="38" s="1"/>
  <c r="CP10" i="38" s="1"/>
  <c r="BJ18" i="38"/>
  <c r="AZ5" i="47"/>
  <c r="IP5" i="38" s="1"/>
  <c r="AR9" i="47"/>
  <c r="FL6" i="38"/>
  <c r="GI6" i="38" s="1"/>
  <c r="LE16" i="38"/>
  <c r="NV16" i="38" s="1"/>
  <c r="NV55" i="38" s="1"/>
  <c r="LA15" i="38"/>
  <c r="NR15" i="38" s="1"/>
  <c r="NR54" i="38" s="1"/>
  <c r="LE17" i="38"/>
  <c r="NV17" i="38" s="1"/>
  <c r="NV56" i="38" s="1"/>
  <c r="FT21" i="38"/>
  <c r="KW5" i="38"/>
  <c r="FL16" i="38"/>
  <c r="GI16" i="38" s="1"/>
  <c r="FT14" i="38"/>
  <c r="GQ14" i="38" s="1"/>
  <c r="FP13" i="38"/>
  <c r="GM13" i="38" s="1"/>
  <c r="LI21" i="38"/>
  <c r="MF21" i="38" s="1"/>
  <c r="LI23" i="38"/>
  <c r="NZ23" i="38" s="1"/>
  <c r="NZ62" i="38" s="1"/>
  <c r="LI8" i="38"/>
  <c r="LI20" i="38"/>
  <c r="MF20" i="38" s="1"/>
  <c r="FT20" i="38"/>
  <c r="FT23" i="38"/>
  <c r="GQ23" i="38" s="1"/>
  <c r="AA732" i="55"/>
  <c r="G606" i="48" s="1"/>
  <c r="FL21" i="38"/>
  <c r="LA21" i="38"/>
  <c r="NR21" i="38" s="1"/>
  <c r="NR60" i="38" s="1"/>
  <c r="FP17" i="38"/>
  <c r="GM17" i="38" s="1"/>
  <c r="FL15" i="38"/>
  <c r="GI15" i="38" s="1"/>
  <c r="LE23" i="38"/>
  <c r="MB23" i="38" s="1"/>
  <c r="LI11" i="38"/>
  <c r="MF11" i="38" s="1"/>
  <c r="LE5" i="38"/>
  <c r="FP23" i="38"/>
  <c r="GM23" i="38" s="1"/>
  <c r="NK5" i="38"/>
  <c r="LA25" i="38"/>
  <c r="NR25" i="38" s="1"/>
  <c r="NR64" i="38" s="1"/>
  <c r="LA9" i="38"/>
  <c r="FH17" i="38"/>
  <c r="LE11" i="38"/>
  <c r="NV11" i="38" s="1"/>
  <c r="NV50" i="38" s="1"/>
  <c r="KW9" i="38"/>
  <c r="AX17" i="47"/>
  <c r="BX17" i="38" s="1"/>
  <c r="CR17" i="38" s="1"/>
  <c r="BA6" i="47"/>
  <c r="IQ6" i="38" s="1"/>
  <c r="LA17" i="38"/>
  <c r="NR17" i="38" s="1"/>
  <c r="NR56" i="38" s="1"/>
  <c r="BA9" i="47"/>
  <c r="IQ9" i="38" s="1"/>
  <c r="IQ38" i="38" s="1"/>
  <c r="AV22" i="47"/>
  <c r="IW7" i="38"/>
  <c r="IW36" i="38" s="1"/>
  <c r="BJ11" i="38"/>
  <c r="AZ23" i="47"/>
  <c r="IP23" i="38" s="1"/>
  <c r="C22" i="47"/>
  <c r="BB23" i="47"/>
  <c r="BD7" i="47"/>
  <c r="IT7" i="38" s="1"/>
  <c r="IT36" i="38" s="1"/>
  <c r="BY17" i="38"/>
  <c r="CS17" i="38" s="1"/>
  <c r="AW17" i="47"/>
  <c r="BD17" i="38" s="1"/>
  <c r="AZ14" i="47"/>
  <c r="BG14" i="38" s="1"/>
  <c r="CC6" i="38"/>
  <c r="CW6" i="38" s="1"/>
  <c r="IW11" i="38"/>
  <c r="CC11" i="38"/>
  <c r="CW11" i="38" s="1"/>
  <c r="BY23" i="38"/>
  <c r="CS23" i="38" s="1"/>
  <c r="AV17" i="47"/>
  <c r="BV17" i="38" s="1"/>
  <c r="CP17" i="38" s="1"/>
  <c r="FH7" i="38"/>
  <c r="FH46" i="38" s="1"/>
  <c r="BF11" i="47"/>
  <c r="BM11" i="38" s="1"/>
  <c r="LI7" i="38"/>
  <c r="IS14" i="38"/>
  <c r="AZ6" i="47"/>
  <c r="BG6" i="38" s="1"/>
  <c r="BH11" i="47"/>
  <c r="IX11" i="38" s="1"/>
  <c r="IO9" i="38"/>
  <c r="IO38" i="38" s="1"/>
  <c r="LA23" i="38"/>
  <c r="LX23" i="38" s="1"/>
  <c r="IK7" i="38"/>
  <c r="IK36" i="38" s="1"/>
  <c r="AX9" i="47"/>
  <c r="BE9" i="38" s="1"/>
  <c r="IO17" i="38"/>
  <c r="FP14" i="38"/>
  <c r="GM14" i="38" s="1"/>
  <c r="CG11" i="38"/>
  <c r="DA11" i="38" s="1"/>
  <c r="BF9" i="38"/>
  <c r="BF23" i="38"/>
  <c r="KW7" i="38"/>
  <c r="BD12" i="47"/>
  <c r="BK12" i="38" s="1"/>
  <c r="BF7" i="47"/>
  <c r="BM7" i="38" s="1"/>
  <c r="AX23" i="47"/>
  <c r="BE23" i="38" s="1"/>
  <c r="BB17" i="47"/>
  <c r="IR17" i="38" s="1"/>
  <c r="FH16" i="38"/>
  <c r="CC14" i="38"/>
  <c r="CW14" i="38" s="1"/>
  <c r="IS6" i="38"/>
  <c r="BN11" i="38"/>
  <c r="BY9" i="38"/>
  <c r="CS9" i="38" s="1"/>
  <c r="FL23" i="38"/>
  <c r="GI23" i="38" s="1"/>
  <c r="BA23" i="47"/>
  <c r="CA23" i="38" s="1"/>
  <c r="CU23" i="38" s="1"/>
  <c r="BB14" i="47"/>
  <c r="IR14" i="38" s="1"/>
  <c r="BB9" i="47"/>
  <c r="BI9" i="38" s="1"/>
  <c r="AW23" i="47"/>
  <c r="BH7" i="47"/>
  <c r="BO7" i="38" s="1"/>
  <c r="FL17" i="38"/>
  <c r="GI17" i="38" s="1"/>
  <c r="LE14" i="38"/>
  <c r="NV14" i="38" s="1"/>
  <c r="NV53" i="38" s="1"/>
  <c r="BB6" i="47"/>
  <c r="BI6" i="38" s="1"/>
  <c r="FT11" i="38"/>
  <c r="GQ11" i="38" s="1"/>
  <c r="BD11" i="47"/>
  <c r="BK11" i="38" s="1"/>
  <c r="FL9" i="38"/>
  <c r="FL48" i="38" s="1"/>
  <c r="BU7" i="38"/>
  <c r="CO7" i="38" s="1"/>
  <c r="AR19" i="47"/>
  <c r="IS11" i="38"/>
  <c r="CG7" i="38"/>
  <c r="BA17" i="47"/>
  <c r="BH17" i="38" s="1"/>
  <c r="FP6" i="38"/>
  <c r="GM6" i="38" s="1"/>
  <c r="BE7" i="47"/>
  <c r="BL7" i="38" s="1"/>
  <c r="FP11" i="38"/>
  <c r="GM11" i="38" s="1"/>
  <c r="IO23" i="38"/>
  <c r="BU16" i="38"/>
  <c r="CO16" i="38" s="1"/>
  <c r="BE11" i="47"/>
  <c r="IU11" i="38" s="1"/>
  <c r="FT7" i="38"/>
  <c r="FT46" i="38" s="1"/>
  <c r="AZ17" i="47"/>
  <c r="BG17" i="38" s="1"/>
  <c r="LE6" i="38"/>
  <c r="NV6" i="38" s="1"/>
  <c r="NV45" i="38" s="1"/>
  <c r="AV7" i="47"/>
  <c r="IL7" i="38" s="1"/>
  <c r="IL36" i="38" s="1"/>
  <c r="AZ15" i="47"/>
  <c r="BZ15" i="38" s="1"/>
  <c r="CT15" i="38" s="1"/>
  <c r="FT12" i="38"/>
  <c r="LA11" i="38"/>
  <c r="NR11" i="38" s="1"/>
  <c r="NR50" i="38" s="1"/>
  <c r="BN9" i="38"/>
  <c r="BB15" i="47"/>
  <c r="BI15" i="38" s="1"/>
  <c r="BF12" i="47"/>
  <c r="CF12" i="38" s="1"/>
  <c r="CZ12" i="38" s="1"/>
  <c r="FP15" i="38"/>
  <c r="GM15" i="38" s="1"/>
  <c r="FP25" i="38"/>
  <c r="GM25" i="38" s="1"/>
  <c r="IW12" i="38"/>
  <c r="BF11" i="38"/>
  <c r="FT9" i="38"/>
  <c r="FT48" i="38" s="1"/>
  <c r="IS25" i="38"/>
  <c r="BB11" i="47"/>
  <c r="BI11" i="38" s="1"/>
  <c r="BE17" i="47"/>
  <c r="CE17" i="38" s="1"/>
  <c r="CY17" i="38" s="1"/>
  <c r="FT17" i="38"/>
  <c r="GQ17" i="38" s="1"/>
  <c r="BF15" i="47"/>
  <c r="BM15" i="38" s="1"/>
  <c r="BE15" i="47"/>
  <c r="BA11" i="47"/>
  <c r="BH11" i="38" s="1"/>
  <c r="LI12" i="38"/>
  <c r="MF12" i="38" s="1"/>
  <c r="BJ25" i="38"/>
  <c r="IO11" i="38"/>
  <c r="BH17" i="47"/>
  <c r="BO17" i="38" s="1"/>
  <c r="FH25" i="38"/>
  <c r="BA15" i="47"/>
  <c r="BH15" i="38" s="1"/>
  <c r="CG12" i="38"/>
  <c r="DA12" i="38" s="1"/>
  <c r="CC25" i="38"/>
  <c r="CW25" i="38" s="1"/>
  <c r="IW17" i="38"/>
  <c r="BD17" i="47"/>
  <c r="IT17" i="38" s="1"/>
  <c r="BE12" i="47"/>
  <c r="BL12" i="38" s="1"/>
  <c r="LE15" i="38"/>
  <c r="NV15" i="38" s="1"/>
  <c r="NV54" i="38" s="1"/>
  <c r="BN12" i="38"/>
  <c r="IW9" i="38"/>
  <c r="IW38" i="38" s="1"/>
  <c r="LI17" i="38"/>
  <c r="MF17" i="38" s="1"/>
  <c r="BD15" i="47"/>
  <c r="IT15" i="38" s="1"/>
  <c r="CG9" i="38"/>
  <c r="DA9" i="38" s="1"/>
  <c r="BD9" i="47"/>
  <c r="BK9" i="38" s="1"/>
  <c r="CG17" i="38"/>
  <c r="DA17" i="38" s="1"/>
  <c r="CC15" i="38"/>
  <c r="CW15" i="38" s="1"/>
  <c r="AZ11" i="47"/>
  <c r="BG11" i="38" s="1"/>
  <c r="BF9" i="47"/>
  <c r="BM9" i="38" s="1"/>
  <c r="FP5" i="38"/>
  <c r="GM5" i="38" s="1"/>
  <c r="BA5" i="47"/>
  <c r="BH5" i="38" s="1"/>
  <c r="BB18" i="47"/>
  <c r="BI18" i="38" s="1"/>
  <c r="FL7" i="38"/>
  <c r="FL46" i="38" s="1"/>
  <c r="BF14" i="47"/>
  <c r="BM14" i="38" s="1"/>
  <c r="BE14" i="47"/>
  <c r="BL14" i="38" s="1"/>
  <c r="BF16" i="47"/>
  <c r="BM16" i="38" s="1"/>
  <c r="FP18" i="38"/>
  <c r="GM18" i="38" s="1"/>
  <c r="FT16" i="38"/>
  <c r="BE25" i="47"/>
  <c r="BL25" i="38" s="1"/>
  <c r="FH9" i="38"/>
  <c r="FH48" i="38" s="1"/>
  <c r="NZ13" i="38"/>
  <c r="NZ52" i="38" s="1"/>
  <c r="BF18" i="38"/>
  <c r="KW18" i="38"/>
  <c r="AR7" i="47"/>
  <c r="IS18" i="38"/>
  <c r="IS5" i="38"/>
  <c r="IO5" i="38"/>
  <c r="LA18" i="38"/>
  <c r="NR18" i="38" s="1"/>
  <c r="NR57" i="38" s="1"/>
  <c r="AW7" i="47"/>
  <c r="BW7" i="38" s="1"/>
  <c r="LE18" i="38"/>
  <c r="NV18" i="38" s="1"/>
  <c r="NV57" i="38" s="1"/>
  <c r="BH16" i="47"/>
  <c r="IX16" i="38" s="1"/>
  <c r="BH25" i="47"/>
  <c r="LJ25" i="38" s="1"/>
  <c r="IK9" i="38"/>
  <c r="IK38" i="38" s="1"/>
  <c r="BD10" i="47"/>
  <c r="BK10" i="38" s="1"/>
  <c r="AV18" i="47"/>
  <c r="BC18" i="38" s="1"/>
  <c r="CC5" i="38"/>
  <c r="CW5" i="38" s="1"/>
  <c r="BY5" i="38"/>
  <c r="CS5" i="38" s="1"/>
  <c r="BF10" i="47"/>
  <c r="CF10" i="38" s="1"/>
  <c r="CZ10" i="38" s="1"/>
  <c r="BY7" i="38"/>
  <c r="BD14" i="47"/>
  <c r="BE16" i="47"/>
  <c r="AX7" i="47"/>
  <c r="BX7" i="38" s="1"/>
  <c r="CG16" i="38"/>
  <c r="DA16" i="38" s="1"/>
  <c r="IW14" i="38"/>
  <c r="CG25" i="38"/>
  <c r="DA25" i="38" s="1"/>
  <c r="BU9" i="38"/>
  <c r="CO9" i="38" s="1"/>
  <c r="LE10" i="38"/>
  <c r="NV10" i="38" s="1"/>
  <c r="NV49" i="38" s="1"/>
  <c r="AZ9" i="47"/>
  <c r="IP9" i="38" s="1"/>
  <c r="IP38" i="38" s="1"/>
  <c r="IS10" i="38"/>
  <c r="BD18" i="47"/>
  <c r="BK18" i="38" s="1"/>
  <c r="BA18" i="47"/>
  <c r="FN18" i="38" s="1"/>
  <c r="GK18" i="38" s="1"/>
  <c r="AW18" i="47"/>
  <c r="BD18" i="38" s="1"/>
  <c r="AZ7" i="47"/>
  <c r="BG7" i="38" s="1"/>
  <c r="BD16" i="47"/>
  <c r="BK16" i="38" s="1"/>
  <c r="BD25" i="47"/>
  <c r="IT25" i="38" s="1"/>
  <c r="IW16" i="38"/>
  <c r="LI14" i="38"/>
  <c r="NZ14" i="38" s="1"/>
  <c r="NZ53" i="38" s="1"/>
  <c r="LI25" i="38"/>
  <c r="NZ25" i="38" s="1"/>
  <c r="NZ64" i="38" s="1"/>
  <c r="BB9" i="38"/>
  <c r="FP10" i="38"/>
  <c r="GM10" i="38" s="1"/>
  <c r="BF18" i="47"/>
  <c r="BM18" i="38" s="1"/>
  <c r="BE18" i="47"/>
  <c r="IW25" i="38"/>
  <c r="AZ18" i="47"/>
  <c r="BZ18" i="38" s="1"/>
  <c r="CT18" i="38" s="1"/>
  <c r="AX18" i="47"/>
  <c r="BE18" i="38" s="1"/>
  <c r="BE10" i="47"/>
  <c r="CE10" i="38" s="1"/>
  <c r="CY10" i="38" s="1"/>
  <c r="BB7" i="47"/>
  <c r="BI7" i="38" s="1"/>
  <c r="BF25" i="47"/>
  <c r="BM25" i="38" s="1"/>
  <c r="LI16" i="38"/>
  <c r="NZ16" i="38" s="1"/>
  <c r="NZ55" i="38" s="1"/>
  <c r="BN14" i="38"/>
  <c r="FT25" i="38"/>
  <c r="GQ25" i="38" s="1"/>
  <c r="AV9" i="47"/>
  <c r="BC9" i="38" s="1"/>
  <c r="BJ10" i="38"/>
  <c r="AV5" i="47"/>
  <c r="BC5" i="38" s="1"/>
  <c r="AW9" i="47"/>
  <c r="BD9" i="38" s="1"/>
  <c r="FL5" i="38"/>
  <c r="GI5" i="38" s="1"/>
  <c r="FL18" i="38"/>
  <c r="GI18" i="38" s="1"/>
  <c r="AX5" i="47"/>
  <c r="BE5" i="38" s="1"/>
  <c r="IO7" i="38"/>
  <c r="IO36" i="38" s="1"/>
  <c r="BH14" i="47"/>
  <c r="CH14" i="38" s="1"/>
  <c r="DB14" i="38" s="1"/>
  <c r="BB5" i="47"/>
  <c r="BI5" i="38" s="1"/>
  <c r="BA7" i="47"/>
  <c r="IQ7" i="38" s="1"/>
  <c r="IQ36" i="38" s="1"/>
  <c r="BB10" i="47"/>
  <c r="BI10" i="38" s="1"/>
  <c r="AX16" i="47"/>
  <c r="BE16" i="38" s="1"/>
  <c r="BA16" i="47"/>
  <c r="BH16" i="38" s="1"/>
  <c r="LI6" i="38"/>
  <c r="MF6" i="38" s="1"/>
  <c r="BJ9" i="38"/>
  <c r="BN5" i="38"/>
  <c r="IO16" i="38"/>
  <c r="KW25" i="38"/>
  <c r="AW10" i="47"/>
  <c r="BW10" i="38" s="1"/>
  <c r="FH22" i="38"/>
  <c r="AW16" i="47"/>
  <c r="BD16" i="38" s="1"/>
  <c r="FT5" i="38"/>
  <c r="GQ5" i="38" s="1"/>
  <c r="FT6" i="38"/>
  <c r="GQ6" i="38" s="1"/>
  <c r="CC9" i="38"/>
  <c r="AX20" i="47"/>
  <c r="BE20" i="38" s="1"/>
  <c r="CG5" i="38"/>
  <c r="DA5" i="38" s="1"/>
  <c r="BF16" i="38"/>
  <c r="AR14" i="47"/>
  <c r="IS9" i="38"/>
  <c r="IS38" i="38" s="1"/>
  <c r="FL10" i="38"/>
  <c r="GI10" i="38" s="1"/>
  <c r="BE9" i="47"/>
  <c r="BL9" i="38" s="1"/>
  <c r="LA10" i="38"/>
  <c r="NR10" i="38" s="1"/>
  <c r="NR49" i="38" s="1"/>
  <c r="BF5" i="47"/>
  <c r="BM5" i="38" s="1"/>
  <c r="AX22" i="47"/>
  <c r="BE22" i="38" s="1"/>
  <c r="BE6" i="47"/>
  <c r="BL6" i="38" s="1"/>
  <c r="BN6" i="38"/>
  <c r="FP9" i="38"/>
  <c r="FP48" i="38" s="1"/>
  <c r="FH20" i="38"/>
  <c r="AV16" i="47"/>
  <c r="BC16" i="38" s="1"/>
  <c r="C25" i="47"/>
  <c r="AR25" i="47"/>
  <c r="BB16" i="47"/>
  <c r="BI16" i="38" s="1"/>
  <c r="BD5" i="47"/>
  <c r="IT5" i="38" s="1"/>
  <c r="AX10" i="47"/>
  <c r="AW22" i="47"/>
  <c r="BD22" i="38" s="1"/>
  <c r="AZ16" i="47"/>
  <c r="BG16" i="38" s="1"/>
  <c r="BH5" i="47"/>
  <c r="BI5" i="47" s="1"/>
  <c r="CI5" i="38" s="1"/>
  <c r="LE9" i="38"/>
  <c r="BU20" i="38"/>
  <c r="CO20" i="38" s="1"/>
  <c r="LA16" i="38"/>
  <c r="LX16" i="38" s="1"/>
  <c r="AR17" i="47"/>
  <c r="AW20" i="47"/>
  <c r="IM20" i="38" s="1"/>
  <c r="IM59" i="38" s="1"/>
  <c r="BA10" i="47"/>
  <c r="BH10" i="38" s="1"/>
  <c r="KW20" i="38"/>
  <c r="NN20" i="38" s="1"/>
  <c r="NN59" i="38" s="1"/>
  <c r="C14" i="47"/>
  <c r="IW6" i="38"/>
  <c r="AV20" i="47"/>
  <c r="AZ10" i="47"/>
  <c r="BG10" i="38" s="1"/>
  <c r="BD6" i="47"/>
  <c r="IT6" i="38" s="1"/>
  <c r="BY10" i="38"/>
  <c r="CS10" i="38" s="1"/>
  <c r="BF6" i="47"/>
  <c r="CF6" i="38" s="1"/>
  <c r="CZ6" i="38" s="1"/>
  <c r="AV19" i="47"/>
  <c r="BV19" i="38" s="1"/>
  <c r="CP19" i="38" s="1"/>
  <c r="IW19" i="38"/>
  <c r="BE19" i="47"/>
  <c r="CE19" i="38" s="1"/>
  <c r="CY19" i="38" s="1"/>
  <c r="LA12" i="38"/>
  <c r="NR12" i="38" s="1"/>
  <c r="NR51" i="38" s="1"/>
  <c r="KW19" i="38"/>
  <c r="LT19" i="38" s="1"/>
  <c r="BF25" i="38"/>
  <c r="BA25" i="47"/>
  <c r="BH25" i="38" s="1"/>
  <c r="BB12" i="47"/>
  <c r="BI12" i="38" s="1"/>
  <c r="LI19" i="38"/>
  <c r="NZ19" i="38" s="1"/>
  <c r="NZ58" i="38" s="1"/>
  <c r="LE19" i="38"/>
  <c r="NV19" i="38" s="1"/>
  <c r="NV58" i="38" s="1"/>
  <c r="BB25" i="47"/>
  <c r="BI25" i="38" s="1"/>
  <c r="AV12" i="47"/>
  <c r="IL12" i="38" s="1"/>
  <c r="AV25" i="47"/>
  <c r="BV25" i="38" s="1"/>
  <c r="CP25" i="38" s="1"/>
  <c r="BU11" i="38"/>
  <c r="CO11" i="38" s="1"/>
  <c r="BB19" i="47"/>
  <c r="BI19" i="38" s="1"/>
  <c r="AW11" i="47"/>
  <c r="BW11" i="38" s="1"/>
  <c r="FT19" i="38"/>
  <c r="GQ19" i="38" s="1"/>
  <c r="AW12" i="47"/>
  <c r="BW12" i="38" s="1"/>
  <c r="BD19" i="47"/>
  <c r="BK19" i="38" s="1"/>
  <c r="BY12" i="38"/>
  <c r="CS12" i="38" s="1"/>
  <c r="BA12" i="47"/>
  <c r="IQ12" i="38" s="1"/>
  <c r="AX19" i="47"/>
  <c r="AX11" i="47"/>
  <c r="BE11" i="38" s="1"/>
  <c r="AX12" i="47"/>
  <c r="CC19" i="38"/>
  <c r="CW19" i="38" s="1"/>
  <c r="IO25" i="38"/>
  <c r="FL25" i="38"/>
  <c r="GI25" i="38" s="1"/>
  <c r="FH19" i="38"/>
  <c r="BA19" i="47"/>
  <c r="CA19" i="38" s="1"/>
  <c r="CU19" i="38" s="1"/>
  <c r="AZ12" i="47"/>
  <c r="BZ12" i="38" s="1"/>
  <c r="CT12" i="38" s="1"/>
  <c r="IS19" i="38"/>
  <c r="IK19" i="38"/>
  <c r="AV11" i="47"/>
  <c r="BV11" i="38" s="1"/>
  <c r="CP11" i="38" s="1"/>
  <c r="AW19" i="47"/>
  <c r="BW19" i="38" s="1"/>
  <c r="AX25" i="47"/>
  <c r="IN25" i="38" s="1"/>
  <c r="BF19" i="47"/>
  <c r="BM19" i="38" s="1"/>
  <c r="IO12" i="38"/>
  <c r="BB19" i="38"/>
  <c r="AW25" i="47"/>
  <c r="CG19" i="38"/>
  <c r="DA19" i="38" s="1"/>
  <c r="FP19" i="38"/>
  <c r="GM19" i="38" s="1"/>
  <c r="AZ25" i="47"/>
  <c r="BG25" i="38" s="1"/>
  <c r="BB11" i="38"/>
  <c r="DM5" i="38"/>
  <c r="PE5" i="38"/>
  <c r="BB16" i="38"/>
  <c r="IK16" i="38"/>
  <c r="IK17" i="38"/>
  <c r="BU17" i="38"/>
  <c r="CO17" i="38" s="1"/>
  <c r="AR12" i="47"/>
  <c r="DU7" i="38"/>
  <c r="PM7" i="38"/>
  <c r="IK14" i="38"/>
  <c r="BB14" i="38"/>
  <c r="BU14" i="38"/>
  <c r="CO14" i="38" s="1"/>
  <c r="AR23" i="47"/>
  <c r="BU18" i="38"/>
  <c r="CO18" i="38" s="1"/>
  <c r="IK18" i="38"/>
  <c r="BB18" i="38"/>
  <c r="BF5" i="38"/>
  <c r="LA5" i="38"/>
  <c r="AR20" i="47"/>
  <c r="BU25" i="38"/>
  <c r="CO25" i="38" s="1"/>
  <c r="IK25" i="38"/>
  <c r="AR18" i="47"/>
  <c r="AR5" i="47"/>
  <c r="BU6" i="38"/>
  <c r="CO6" i="38" s="1"/>
  <c r="BB6" i="38"/>
  <c r="IK6" i="38"/>
  <c r="BB21" i="38"/>
  <c r="IK21" i="38"/>
  <c r="BU21" i="38"/>
  <c r="CO21" i="38" s="1"/>
  <c r="PJ21" i="38"/>
  <c r="AR11" i="47"/>
  <c r="AR15" i="47"/>
  <c r="BU22" i="38"/>
  <c r="CO22" i="38" s="1"/>
  <c r="BB22" i="38"/>
  <c r="IK22" i="38"/>
  <c r="AR6" i="47"/>
  <c r="AR21" i="47"/>
  <c r="AR22" i="47"/>
  <c r="BB23" i="38"/>
  <c r="IK23" i="38"/>
  <c r="BU23" i="38"/>
  <c r="CO23" i="38" s="1"/>
  <c r="AR10" i="47"/>
  <c r="AR16" i="47"/>
  <c r="FK26" i="38"/>
  <c r="DN9" i="38"/>
  <c r="DV6" i="38"/>
  <c r="DQ15" i="38"/>
  <c r="DP26" i="38"/>
  <c r="PN8" i="38"/>
  <c r="LA13" i="38"/>
  <c r="BZ18" i="47"/>
  <c r="DY57" i="38" s="1"/>
  <c r="PP18" i="38"/>
  <c r="DN13" i="38"/>
  <c r="PF13" i="38"/>
  <c r="DQ6" i="38"/>
  <c r="BZ15" i="47"/>
  <c r="DY54" i="38" s="1"/>
  <c r="PP15" i="38"/>
  <c r="DX26" i="38"/>
  <c r="PP26" i="38"/>
  <c r="DX15" i="38"/>
  <c r="KW11" i="38"/>
  <c r="NN11" i="38" s="1"/>
  <c r="NN50" i="38" s="1"/>
  <c r="DT27" i="38"/>
  <c r="PL27" i="38"/>
  <c r="DU26" i="38"/>
  <c r="PM26" i="38"/>
  <c r="BZ9" i="47"/>
  <c r="DY48" i="38" s="1"/>
  <c r="PP9" i="38"/>
  <c r="FH11" i="38"/>
  <c r="DV15" i="38"/>
  <c r="PN15" i="38"/>
  <c r="DY26" i="38"/>
  <c r="PQ26" i="38"/>
  <c r="DT20" i="38"/>
  <c r="PL20" i="38"/>
  <c r="DU17" i="38"/>
  <c r="PM17" i="38"/>
  <c r="DU13" i="38"/>
  <c r="PM13" i="38"/>
  <c r="DX13" i="38"/>
  <c r="PP13" i="38"/>
  <c r="BZ13" i="47"/>
  <c r="DY52" i="38" s="1"/>
  <c r="ED52" i="38" s="1"/>
  <c r="DU27" i="38"/>
  <c r="PM27" i="38"/>
  <c r="AA731" i="55"/>
  <c r="G605" i="48" s="1"/>
  <c r="DY17" i="38"/>
  <c r="PQ17" i="38"/>
  <c r="DR20" i="38"/>
  <c r="PJ20" i="38"/>
  <c r="PD7" i="38"/>
  <c r="DL7" i="38"/>
  <c r="DM10" i="38"/>
  <c r="PE10" i="38"/>
  <c r="DR11" i="38"/>
  <c r="PJ11" i="38"/>
  <c r="DU21" i="38"/>
  <c r="PM21" i="38"/>
  <c r="DN16" i="38"/>
  <c r="PF16" i="38"/>
  <c r="DM21" i="38"/>
  <c r="PE21" i="38"/>
  <c r="DL21" i="38"/>
  <c r="PD21" i="38"/>
  <c r="NN12" i="38"/>
  <c r="NN51" i="38" s="1"/>
  <c r="DP11" i="38"/>
  <c r="PN23" i="38"/>
  <c r="PD15" i="38"/>
  <c r="DL15" i="38"/>
  <c r="DQ5" i="38"/>
  <c r="PI5" i="38"/>
  <c r="DL14" i="38"/>
  <c r="PD14" i="38"/>
  <c r="BZ6" i="47"/>
  <c r="DY45" i="38" s="1"/>
  <c r="PP6" i="38"/>
  <c r="DX6" i="38"/>
  <c r="FT27" i="38"/>
  <c r="GQ27" i="38" s="1"/>
  <c r="LI27" i="38"/>
  <c r="DV21" i="38"/>
  <c r="PN21" i="38"/>
  <c r="KW14" i="38"/>
  <c r="DP10" i="38"/>
  <c r="PH10" i="38"/>
  <c r="DL24" i="38"/>
  <c r="DN7" i="38"/>
  <c r="PF7" i="38"/>
  <c r="DM26" i="38"/>
  <c r="PE26" i="38"/>
  <c r="DP6" i="38"/>
  <c r="PH6" i="38"/>
  <c r="DT15" i="38"/>
  <c r="PL15" i="38"/>
  <c r="FH26" i="38"/>
  <c r="FH65" i="38" s="1"/>
  <c r="KW26" i="38"/>
  <c r="DT6" i="38"/>
  <c r="PL6" i="38"/>
  <c r="DP18" i="38"/>
  <c r="PH18" i="38"/>
  <c r="DY25" i="38"/>
  <c r="PQ25" i="38"/>
  <c r="M219" i="55" s="1"/>
  <c r="DT18" i="38"/>
  <c r="PL18" i="38"/>
  <c r="DL6" i="38"/>
  <c r="PD6" i="38"/>
  <c r="DN15" i="38"/>
  <c r="PF15" i="38"/>
  <c r="DR24" i="38"/>
  <c r="PJ24" i="38"/>
  <c r="DM6" i="38"/>
  <c r="PE6" i="38"/>
  <c r="DV20" i="38"/>
  <c r="PN20" i="38"/>
  <c r="PQ20" i="38"/>
  <c r="DQ16" i="38"/>
  <c r="PQ12" i="38"/>
  <c r="DM7" i="38"/>
  <c r="PE7" i="38"/>
  <c r="DP16" i="38"/>
  <c r="PH16" i="38"/>
  <c r="DP17" i="38"/>
  <c r="PH17" i="38"/>
  <c r="PL16" i="38"/>
  <c r="DT16" i="38"/>
  <c r="BZ7" i="47"/>
  <c r="DY46" i="38" s="1"/>
  <c r="ED46" i="38" s="1"/>
  <c r="PP7" i="38"/>
  <c r="DL26" i="38"/>
  <c r="PD26" i="38"/>
  <c r="AB732" i="55"/>
  <c r="F606" i="48" s="1"/>
  <c r="LE8" i="38"/>
  <c r="FP8" i="38"/>
  <c r="DV26" i="38"/>
  <c r="PN26" i="38"/>
  <c r="DP21" i="38"/>
  <c r="PH21" i="38"/>
  <c r="DM19" i="38"/>
  <c r="PE19" i="38"/>
  <c r="DV27" i="38"/>
  <c r="PN27" i="38"/>
  <c r="DP15" i="38"/>
  <c r="PH15" i="38"/>
  <c r="DR18" i="38"/>
  <c r="PJ18" i="38"/>
  <c r="DP7" i="38"/>
  <c r="PH7" i="38"/>
  <c r="KW22" i="38"/>
  <c r="DX7" i="38"/>
  <c r="DN6" i="38"/>
  <c r="DN11" i="38"/>
  <c r="DT10" i="38"/>
  <c r="PL10" i="38"/>
  <c r="DV13" i="38"/>
  <c r="PN13" i="38"/>
  <c r="DU16" i="38"/>
  <c r="PM16" i="38"/>
  <c r="DQ11" i="38"/>
  <c r="PI11" i="38"/>
  <c r="DP20" i="38"/>
  <c r="PH20" i="38"/>
  <c r="DT21" i="38"/>
  <c r="PL21" i="38"/>
  <c r="DM25" i="38"/>
  <c r="PE25" i="38"/>
  <c r="DU5" i="38"/>
  <c r="PM5" i="38"/>
  <c r="BZ24" i="47"/>
  <c r="DY63" i="38" s="1"/>
  <c r="DX24" i="38"/>
  <c r="PP24" i="38"/>
  <c r="DT5" i="38"/>
  <c r="PL5" i="38"/>
  <c r="FQ8" i="38"/>
  <c r="PJ23" i="38"/>
  <c r="DR23" i="38"/>
  <c r="DV5" i="38"/>
  <c r="PN5" i="38"/>
  <c r="PM9" i="38"/>
  <c r="DU9" i="38"/>
  <c r="DM23" i="38"/>
  <c r="PE23" i="38"/>
  <c r="FP24" i="38"/>
  <c r="GM24" i="38" s="1"/>
  <c r="LE24" i="38"/>
  <c r="PL26" i="38"/>
  <c r="DT26" i="38"/>
  <c r="PE24" i="38"/>
  <c r="DM24" i="38"/>
  <c r="KW17" i="38"/>
  <c r="LT17" i="38" s="1"/>
  <c r="DR14" i="38"/>
  <c r="PJ14" i="38"/>
  <c r="PL22" i="38"/>
  <c r="DT22" i="38"/>
  <c r="DQ9" i="38"/>
  <c r="PI9" i="38"/>
  <c r="DV24" i="38"/>
  <c r="PN24" i="38"/>
  <c r="DV22" i="38"/>
  <c r="PN22" i="38"/>
  <c r="PL9" i="38"/>
  <c r="DT9" i="38"/>
  <c r="DP24" i="38"/>
  <c r="PH24" i="38"/>
  <c r="PM12" i="38"/>
  <c r="DU12" i="38"/>
  <c r="PM22" i="38"/>
  <c r="DU22" i="38"/>
  <c r="DR8" i="38"/>
  <c r="PJ8" i="38"/>
  <c r="PH12" i="38"/>
  <c r="DP12" i="38"/>
  <c r="PS23" i="38"/>
  <c r="PJ25" i="38"/>
  <c r="DR25" i="38"/>
  <c r="PE9" i="38"/>
  <c r="DM9" i="38"/>
  <c r="DN24" i="38"/>
  <c r="PF24" i="38"/>
  <c r="DR17" i="38"/>
  <c r="PJ17" i="38"/>
  <c r="DP9" i="38"/>
  <c r="PH9" i="38"/>
  <c r="DQ22" i="38"/>
  <c r="PI22" i="38"/>
  <c r="DM11" i="38"/>
  <c r="PE11" i="38"/>
  <c r="DQ17" i="38"/>
  <c r="PI17" i="38"/>
  <c r="DL9" i="38"/>
  <c r="PD9" i="38"/>
  <c r="LH8" i="38"/>
  <c r="LH47" i="38" s="1"/>
  <c r="LG24" i="38"/>
  <c r="PE14" i="38"/>
  <c r="DM14" i="38"/>
  <c r="DP14" i="38"/>
  <c r="PH14" i="38"/>
  <c r="PH19" i="38"/>
  <c r="DP19" i="38"/>
  <c r="PJ7" i="38"/>
  <c r="DR7" i="38"/>
  <c r="DR12" i="38"/>
  <c r="PJ12" i="38"/>
  <c r="DR22" i="38"/>
  <c r="PJ22" i="38"/>
  <c r="DU19" i="38"/>
  <c r="PM19" i="38"/>
  <c r="PP5" i="38"/>
  <c r="BZ5" i="47"/>
  <c r="DY44" i="38" s="1"/>
  <c r="ED44" i="38" s="1"/>
  <c r="DX5" i="38"/>
  <c r="DQ12" i="38"/>
  <c r="PI12" i="38"/>
  <c r="PE22" i="38"/>
  <c r="DM22" i="38"/>
  <c r="DN21" i="38"/>
  <c r="PF21" i="38"/>
  <c r="PE17" i="38"/>
  <c r="DM17" i="38"/>
  <c r="MB26" i="38"/>
  <c r="NV26" i="38"/>
  <c r="NV65" i="38" s="1"/>
  <c r="PD17" i="38"/>
  <c r="DL17" i="38"/>
  <c r="LB13" i="38"/>
  <c r="DU6" i="38"/>
  <c r="PM6" i="38"/>
  <c r="DQ23" i="38"/>
  <c r="PI23" i="38"/>
  <c r="PH23" i="38"/>
  <c r="DP23" i="38"/>
  <c r="DN12" i="38"/>
  <c r="PF12" i="38"/>
  <c r="DN22" i="38"/>
  <c r="PF22" i="38"/>
  <c r="PI19" i="38"/>
  <c r="DQ19" i="38"/>
  <c r="PE12" i="38"/>
  <c r="DM12" i="38"/>
  <c r="DT13" i="38"/>
  <c r="PL13" i="38"/>
  <c r="BZ8" i="47"/>
  <c r="DY47" i="38" s="1"/>
  <c r="ED47" i="38" s="1"/>
  <c r="DX8" i="38"/>
  <c r="PP8" i="38"/>
  <c r="PI13" i="38"/>
  <c r="DQ13" i="38"/>
  <c r="PI26" i="38"/>
  <c r="DQ26" i="38"/>
  <c r="DV19" i="38"/>
  <c r="PN19" i="38"/>
  <c r="DU25" i="38"/>
  <c r="PM25" i="38"/>
  <c r="PM14" i="38"/>
  <c r="DU14" i="38"/>
  <c r="DV12" i="38"/>
  <c r="PN12" i="38"/>
  <c r="DT25" i="38"/>
  <c r="PL25" i="38"/>
  <c r="PM8" i="38"/>
  <c r="DU8" i="38"/>
  <c r="PQ27" i="38"/>
  <c r="DY27" i="38"/>
  <c r="DU10" i="38"/>
  <c r="PM10" i="38"/>
  <c r="DQ25" i="38"/>
  <c r="PI25" i="38"/>
  <c r="DQ14" i="38"/>
  <c r="PI14" i="38"/>
  <c r="DU23" i="38"/>
  <c r="PM23" i="38"/>
  <c r="DL11" i="38"/>
  <c r="PD11" i="38"/>
  <c r="PH25" i="38"/>
  <c r="DP25" i="38"/>
  <c r="PL14" i="38"/>
  <c r="DT14" i="38"/>
  <c r="DT23" i="38"/>
  <c r="PL23" i="38"/>
  <c r="DT19" i="38"/>
  <c r="PL19" i="38"/>
  <c r="PH22" i="38"/>
  <c r="DP22" i="38"/>
  <c r="PQ22" i="38"/>
  <c r="PS22" i="38" s="1"/>
  <c r="LJ27" i="38"/>
  <c r="FU27" i="38"/>
  <c r="GR27" i="38" s="1"/>
  <c r="FO13" i="38"/>
  <c r="GL13" i="38" s="1"/>
  <c r="LT13" i="38"/>
  <c r="C15" i="47"/>
  <c r="C7" i="47"/>
  <c r="C12" i="47"/>
  <c r="C16" i="47"/>
  <c r="LT16" i="38"/>
  <c r="C9" i="47"/>
  <c r="NR27" i="38"/>
  <c r="NR66" i="38" s="1"/>
  <c r="C5" i="47"/>
  <c r="C11" i="47"/>
  <c r="C10" i="47"/>
  <c r="LB27" i="38"/>
  <c r="NS27" i="38" s="1"/>
  <c r="NS66" i="38" s="1"/>
  <c r="BZ27" i="38"/>
  <c r="CT27" i="38" s="1"/>
  <c r="LT15" i="38"/>
  <c r="BD27" i="38"/>
  <c r="BS27" i="38" s="1"/>
  <c r="BW27" i="38"/>
  <c r="CQ27" i="38" s="1"/>
  <c r="C23" i="47"/>
  <c r="FM27" i="38"/>
  <c r="GJ27" i="38" s="1"/>
  <c r="BX15" i="38"/>
  <c r="CR15" i="38" s="1"/>
  <c r="BG27" i="38"/>
  <c r="IN15" i="38"/>
  <c r="LX14" i="38"/>
  <c r="NR14" i="38"/>
  <c r="NR53" i="38" s="1"/>
  <c r="NV25" i="38"/>
  <c r="NV64" i="38" s="1"/>
  <c r="MB25" i="38"/>
  <c r="IL15" i="38"/>
  <c r="BC15" i="38"/>
  <c r="BV15" i="38"/>
  <c r="CP15" i="38" s="1"/>
  <c r="IX12" i="38"/>
  <c r="BI12" i="47"/>
  <c r="CH12" i="38"/>
  <c r="DB12" i="38" s="1"/>
  <c r="BO12" i="38"/>
  <c r="JH27" i="38"/>
  <c r="JB27" i="38"/>
  <c r="IR27" i="38"/>
  <c r="BI27" i="38"/>
  <c r="CB27" i="38"/>
  <c r="CV27" i="38" s="1"/>
  <c r="FO27" i="38"/>
  <c r="GL27" i="38" s="1"/>
  <c r="LD27" i="38"/>
  <c r="LZ27" i="38"/>
  <c r="NT27" i="38"/>
  <c r="NT66" i="38" s="1"/>
  <c r="IN27" i="38"/>
  <c r="BX27" i="38"/>
  <c r="CR27" i="38" s="1"/>
  <c r="KZ27" i="38"/>
  <c r="BE27" i="38"/>
  <c r="IM15" i="38"/>
  <c r="IM54" i="38" s="1"/>
  <c r="BW15" i="38"/>
  <c r="BD15" i="38"/>
  <c r="IL27" i="38"/>
  <c r="BV27" i="38"/>
  <c r="CP27" i="38" s="1"/>
  <c r="BC27" i="38"/>
  <c r="KX27" i="38" l="1"/>
  <c r="FM8" i="38"/>
  <c r="GF8" i="38"/>
  <c r="RP8" i="38"/>
  <c r="RN26" i="38"/>
  <c r="RC11" i="38"/>
  <c r="QS19" i="38"/>
  <c r="NZ9" i="38"/>
  <c r="LD13" i="38"/>
  <c r="DY22" i="38"/>
  <c r="RF22" i="38" s="1"/>
  <c r="H483" i="58" s="1"/>
  <c r="PV23" i="38"/>
  <c r="EA45" i="38"/>
  <c r="RL27" i="38"/>
  <c r="QU17" i="38"/>
  <c r="EA44" i="38"/>
  <c r="EA66" i="38"/>
  <c r="EA60" i="38"/>
  <c r="ED48" i="38"/>
  <c r="EA63" i="38"/>
  <c r="EA46" i="38"/>
  <c r="EA47" i="38"/>
  <c r="EA56" i="38"/>
  <c r="EA65" i="38"/>
  <c r="ED45" i="38"/>
  <c r="FR24" i="38"/>
  <c r="KZ26" i="38"/>
  <c r="LW26" i="38" s="1"/>
  <c r="RC25" i="38"/>
  <c r="RC23" i="38"/>
  <c r="EA48" i="38"/>
  <c r="NZ24" i="38"/>
  <c r="NZ63" i="38" s="1"/>
  <c r="QY21" i="38"/>
  <c r="EA61" i="38"/>
  <c r="RO29" i="38"/>
  <c r="RW32" i="38"/>
  <c r="RW29" i="38"/>
  <c r="MF9" i="38"/>
  <c r="NN24" i="38"/>
  <c r="NN63" i="38" s="1"/>
  <c r="NZ26" i="38"/>
  <c r="NZ65" i="38" s="1"/>
  <c r="LT23" i="38"/>
  <c r="GM26" i="38"/>
  <c r="NR24" i="38"/>
  <c r="NR63" i="38" s="1"/>
  <c r="EA50" i="38"/>
  <c r="DY10" i="38"/>
  <c r="DY49" i="38"/>
  <c r="ED49" i="38" s="1"/>
  <c r="QU8" i="38"/>
  <c r="QS12" i="38"/>
  <c r="FM13" i="38"/>
  <c r="GJ13" i="38" s="1"/>
  <c r="DY20" i="38"/>
  <c r="EB20" i="38" s="1"/>
  <c r="ED23" i="38"/>
  <c r="EA52" i="38"/>
  <c r="ED57" i="38"/>
  <c r="EA54" i="38"/>
  <c r="PQ14" i="38"/>
  <c r="PU14" i="38" s="1"/>
  <c r="DY53" i="38"/>
  <c r="EA53" i="38" s="1"/>
  <c r="DY14" i="38"/>
  <c r="Z731" i="55" s="1"/>
  <c r="H605" i="48" s="1"/>
  <c r="RL13" i="38"/>
  <c r="QS13" i="38"/>
  <c r="KX13" i="38"/>
  <c r="FI13" i="38"/>
  <c r="GF13" i="38" s="1"/>
  <c r="DY55" i="38"/>
  <c r="ED55" i="38" s="1"/>
  <c r="DY16" i="38"/>
  <c r="EA16" i="38" s="1"/>
  <c r="EC16" i="38" s="1"/>
  <c r="PQ16" i="38"/>
  <c r="PU16" i="38" s="1"/>
  <c r="DY11" i="38"/>
  <c r="EA11" i="38" s="1"/>
  <c r="EC11" i="38" s="1"/>
  <c r="DY50" i="38"/>
  <c r="ED50" i="38"/>
  <c r="ED63" i="38"/>
  <c r="EA57" i="38"/>
  <c r="FK27" i="38"/>
  <c r="GH27" i="38" s="1"/>
  <c r="FS8" i="38"/>
  <c r="FS47" i="38" s="1"/>
  <c r="LF8" i="38"/>
  <c r="LF47" i="38" s="1"/>
  <c r="PT23" i="38"/>
  <c r="NN6" i="38"/>
  <c r="NN45" i="38" s="1"/>
  <c r="RW30" i="38"/>
  <c r="ED54" i="38"/>
  <c r="EA59" i="38"/>
  <c r="RW31" i="38"/>
  <c r="QX25" i="38"/>
  <c r="RQ25" i="38"/>
  <c r="QX19" i="38"/>
  <c r="RQ19" i="38"/>
  <c r="QW14" i="38"/>
  <c r="RP14" i="38"/>
  <c r="QS9" i="38"/>
  <c r="RL9" i="38"/>
  <c r="QT11" i="38"/>
  <c r="RM11" i="38"/>
  <c r="QU24" i="38"/>
  <c r="RN24" i="38"/>
  <c r="QW24" i="38"/>
  <c r="RP24" i="38"/>
  <c r="QX9" i="38"/>
  <c r="RQ9" i="38"/>
  <c r="QY14" i="38"/>
  <c r="RR14" i="38"/>
  <c r="QW17" i="38"/>
  <c r="RP17" i="38"/>
  <c r="RF20" i="38"/>
  <c r="H470" i="58" s="1"/>
  <c r="QU15" i="38"/>
  <c r="RN15" i="38"/>
  <c r="QW18" i="38"/>
  <c r="RP18" i="38"/>
  <c r="QW6" i="38"/>
  <c r="RP6" i="38"/>
  <c r="QS15" i="38"/>
  <c r="RL15" i="38"/>
  <c r="RB21" i="38"/>
  <c r="RU21" i="38"/>
  <c r="QY20" i="38"/>
  <c r="RR20" i="38"/>
  <c r="RB17" i="38"/>
  <c r="RU17" i="38"/>
  <c r="QT16" i="38"/>
  <c r="RM16" i="38"/>
  <c r="QT8" i="38"/>
  <c r="RM8" i="38"/>
  <c r="QX10" i="38"/>
  <c r="RQ10" i="38"/>
  <c r="QT15" i="38"/>
  <c r="RM15" i="38"/>
  <c r="QW5" i="38"/>
  <c r="RP5" i="38"/>
  <c r="QT20" i="38"/>
  <c r="RM20" i="38"/>
  <c r="QU19" i="38"/>
  <c r="RN19" i="38"/>
  <c r="QT27" i="38"/>
  <c r="RM27" i="38"/>
  <c r="RB18" i="38"/>
  <c r="RU18" i="38"/>
  <c r="QY10" i="38"/>
  <c r="RR10" i="38"/>
  <c r="QW22" i="38"/>
  <c r="RP22" i="38"/>
  <c r="QW25" i="38"/>
  <c r="RP25" i="38"/>
  <c r="RF27" i="38"/>
  <c r="RY27" i="38"/>
  <c r="RB14" i="38"/>
  <c r="RU14" i="38"/>
  <c r="QX13" i="38"/>
  <c r="RQ13" i="38"/>
  <c r="QU22" i="38"/>
  <c r="RN22" i="38"/>
  <c r="RB6" i="38"/>
  <c r="RU6" i="38"/>
  <c r="QY7" i="38"/>
  <c r="RR7" i="38"/>
  <c r="QY25" i="38"/>
  <c r="RR25" i="38"/>
  <c r="QW12" i="38"/>
  <c r="RP12" i="38"/>
  <c r="RB22" i="38"/>
  <c r="RU22" i="38"/>
  <c r="QT24" i="38"/>
  <c r="RM24" i="38"/>
  <c r="RB9" i="38"/>
  <c r="RU9" i="38"/>
  <c r="QY23" i="38"/>
  <c r="RR23" i="38"/>
  <c r="QT25" i="38"/>
  <c r="RM25" i="38"/>
  <c r="QW20" i="38"/>
  <c r="RP20" i="38"/>
  <c r="RB16" i="38"/>
  <c r="RU16" i="38"/>
  <c r="RA10" i="38"/>
  <c r="RT10" i="38"/>
  <c r="QY18" i="38"/>
  <c r="RR18" i="38"/>
  <c r="RC27" i="38"/>
  <c r="RV27" i="38"/>
  <c r="QW21" i="38"/>
  <c r="RP21" i="38"/>
  <c r="QW10" i="38"/>
  <c r="RP10" i="38"/>
  <c r="QX5" i="38"/>
  <c r="RQ5" i="38"/>
  <c r="QW11" i="38"/>
  <c r="RP11" i="38"/>
  <c r="RB26" i="38"/>
  <c r="RU26" i="38"/>
  <c r="QU13" i="38"/>
  <c r="RN13" i="38"/>
  <c r="QU9" i="38"/>
  <c r="RN9" i="38"/>
  <c r="QU20" i="38"/>
  <c r="RN20" i="38"/>
  <c r="RA12" i="38"/>
  <c r="RT12" i="38"/>
  <c r="RB20" i="38"/>
  <c r="RU20" i="38"/>
  <c r="QX8" i="38"/>
  <c r="RQ8" i="38"/>
  <c r="RE12" i="38"/>
  <c r="RX12" i="38"/>
  <c r="QS18" i="38"/>
  <c r="RL18" i="38"/>
  <c r="ED14" i="38"/>
  <c r="RC14" i="38"/>
  <c r="RV14" i="38"/>
  <c r="FQ24" i="38"/>
  <c r="GN24" i="38" s="1"/>
  <c r="RA24" i="38"/>
  <c r="RT24" i="38"/>
  <c r="FO26" i="38"/>
  <c r="GL26" i="38" s="1"/>
  <c r="QY26" i="38"/>
  <c r="RR26" i="38"/>
  <c r="RB23" i="38"/>
  <c r="RU23" i="38"/>
  <c r="RA25" i="38"/>
  <c r="RT25" i="38"/>
  <c r="QY22" i="38"/>
  <c r="RR22" i="38"/>
  <c r="QW9" i="38"/>
  <c r="RP9" i="38"/>
  <c r="RC22" i="38"/>
  <c r="RV22" i="38"/>
  <c r="RA5" i="38"/>
  <c r="RT5" i="38"/>
  <c r="QU11" i="38"/>
  <c r="RN11" i="38"/>
  <c r="QT7" i="38"/>
  <c r="RM7" i="38"/>
  <c r="QT10" i="38"/>
  <c r="RM10" i="38"/>
  <c r="RE13" i="38"/>
  <c r="RX13" i="38"/>
  <c r="QW26" i="38"/>
  <c r="RP26" i="38"/>
  <c r="RA19" i="38"/>
  <c r="RT19" i="38"/>
  <c r="QS11" i="38"/>
  <c r="RL11" i="38"/>
  <c r="QX14" i="38"/>
  <c r="RQ14" i="38"/>
  <c r="RB10" i="38"/>
  <c r="RU10" i="38"/>
  <c r="RC12" i="38"/>
  <c r="RV12" i="38"/>
  <c r="RB25" i="38"/>
  <c r="RU25" i="38"/>
  <c r="RE8" i="38"/>
  <c r="RX8" i="38"/>
  <c r="QT12" i="38"/>
  <c r="RM12" i="38"/>
  <c r="QW23" i="38"/>
  <c r="RP23" i="38"/>
  <c r="QS17" i="38"/>
  <c r="RL17" i="38"/>
  <c r="QT17" i="38"/>
  <c r="RM17" i="38"/>
  <c r="QT22" i="38"/>
  <c r="RM22" i="38"/>
  <c r="RE5" i="38"/>
  <c r="RX5" i="38"/>
  <c r="RB19" i="38"/>
  <c r="RU19" i="38"/>
  <c r="QY12" i="38"/>
  <c r="RR12" i="38"/>
  <c r="QX17" i="38"/>
  <c r="RQ17" i="38"/>
  <c r="QX22" i="38"/>
  <c r="RQ22" i="38"/>
  <c r="QY17" i="38"/>
  <c r="RR17" i="38"/>
  <c r="QY8" i="38"/>
  <c r="RR8" i="38"/>
  <c r="RC24" i="38"/>
  <c r="RV24" i="38"/>
  <c r="QT23" i="38"/>
  <c r="RM23" i="38"/>
  <c r="RC5" i="38"/>
  <c r="RV5" i="38"/>
  <c r="RE24" i="38"/>
  <c r="RX24" i="38"/>
  <c r="RE7" i="38"/>
  <c r="RX7" i="38"/>
  <c r="QS26" i="38"/>
  <c r="RL26" i="38"/>
  <c r="QW16" i="38"/>
  <c r="RP16" i="38"/>
  <c r="QX16" i="38"/>
  <c r="RQ16" i="38"/>
  <c r="RC20" i="38"/>
  <c r="RV20" i="38"/>
  <c r="QY24" i="38"/>
  <c r="RR24" i="38"/>
  <c r="QS6" i="38"/>
  <c r="RL6" i="38"/>
  <c r="RF25" i="38"/>
  <c r="H466" i="58" s="1"/>
  <c r="RY25" i="38"/>
  <c r="RA6" i="38"/>
  <c r="RT6" i="38"/>
  <c r="RA15" i="38"/>
  <c r="RT15" i="38"/>
  <c r="QT26" i="38"/>
  <c r="RM26" i="38"/>
  <c r="RC21" i="38"/>
  <c r="RV21" i="38"/>
  <c r="QS21" i="38"/>
  <c r="RL21" i="38"/>
  <c r="QU16" i="38"/>
  <c r="RN16" i="38"/>
  <c r="QY11" i="38"/>
  <c r="RR11" i="38"/>
  <c r="RF17" i="38"/>
  <c r="H479" i="58" s="1"/>
  <c r="RY17" i="38"/>
  <c r="RB13" i="38"/>
  <c r="RU13" i="38"/>
  <c r="RA20" i="38"/>
  <c r="RT20" i="38"/>
  <c r="RC15" i="38"/>
  <c r="RV15" i="38"/>
  <c r="RE26" i="38"/>
  <c r="RX26" i="38"/>
  <c r="RC6" i="38"/>
  <c r="RV6" i="38"/>
  <c r="QX21" i="38"/>
  <c r="RQ21" i="38"/>
  <c r="QU14" i="38"/>
  <c r="RN14" i="38"/>
  <c r="QU18" i="38"/>
  <c r="RN18" i="38"/>
  <c r="QS10" i="38"/>
  <c r="RL10" i="38"/>
  <c r="RA11" i="38"/>
  <c r="RT11" i="38"/>
  <c r="RB15" i="38"/>
  <c r="RU15" i="38"/>
  <c r="QU25" i="38"/>
  <c r="RN25" i="38"/>
  <c r="QT13" i="38"/>
  <c r="RM13" i="38"/>
  <c r="RA23" i="38"/>
  <c r="RT23" i="38"/>
  <c r="RC19" i="38"/>
  <c r="RV19" i="38"/>
  <c r="QT6" i="38"/>
  <c r="RM6" i="38"/>
  <c r="RA18" i="38"/>
  <c r="RT18" i="38"/>
  <c r="QU7" i="38"/>
  <c r="RN7" i="38"/>
  <c r="QT21" i="38"/>
  <c r="RM21" i="38"/>
  <c r="RF26" i="38"/>
  <c r="H482" i="58" s="1"/>
  <c r="RY26" i="38"/>
  <c r="RE15" i="38"/>
  <c r="RX15" i="38"/>
  <c r="QT5" i="38"/>
  <c r="RM5" i="38"/>
  <c r="RY22" i="38"/>
  <c r="RA14" i="38"/>
  <c r="RT14" i="38"/>
  <c r="RB8" i="38"/>
  <c r="RU8" i="38"/>
  <c r="QX26" i="38"/>
  <c r="RQ26" i="38"/>
  <c r="RA13" i="38"/>
  <c r="RT13" i="38"/>
  <c r="QU12" i="38"/>
  <c r="RN12" i="38"/>
  <c r="QX23" i="38"/>
  <c r="RQ23" i="38"/>
  <c r="QU21" i="38"/>
  <c r="RN21" i="38"/>
  <c r="QX12" i="38"/>
  <c r="RQ12" i="38"/>
  <c r="QW19" i="38"/>
  <c r="RP19" i="38"/>
  <c r="QT14" i="38"/>
  <c r="RM14" i="38"/>
  <c r="QT9" i="38"/>
  <c r="RM9" i="38"/>
  <c r="RB12" i="38"/>
  <c r="RU12" i="38"/>
  <c r="RA9" i="38"/>
  <c r="RT9" i="38"/>
  <c r="RA22" i="38"/>
  <c r="RT22" i="38"/>
  <c r="RA26" i="38"/>
  <c r="RT26" i="38"/>
  <c r="RB5" i="38"/>
  <c r="RU5" i="38"/>
  <c r="RA21" i="38"/>
  <c r="RT21" i="38"/>
  <c r="QX11" i="38"/>
  <c r="RQ11" i="38"/>
  <c r="RC13" i="38"/>
  <c r="RV13" i="38"/>
  <c r="QU6" i="38"/>
  <c r="RN6" i="38"/>
  <c r="QW7" i="38"/>
  <c r="RP7" i="38"/>
  <c r="QW15" i="38"/>
  <c r="RP15" i="38"/>
  <c r="QT19" i="38"/>
  <c r="RM19" i="38"/>
  <c r="RC26" i="38"/>
  <c r="RV26" i="38"/>
  <c r="RA16" i="38"/>
  <c r="RT16" i="38"/>
  <c r="QS24" i="38"/>
  <c r="RL24" i="38"/>
  <c r="RE6" i="38"/>
  <c r="RX6" i="38"/>
  <c r="QS14" i="38"/>
  <c r="RL14" i="38"/>
  <c r="QS7" i="38"/>
  <c r="RL7" i="38"/>
  <c r="RB27" i="38"/>
  <c r="RU27" i="38"/>
  <c r="RA27" i="38"/>
  <c r="RT27" i="38"/>
  <c r="QX6" i="38"/>
  <c r="RQ6" i="38"/>
  <c r="QX15" i="38"/>
  <c r="RQ15" i="38"/>
  <c r="RB7" i="38"/>
  <c r="RU7" i="38"/>
  <c r="RB11" i="38"/>
  <c r="RU11" i="38"/>
  <c r="ED10" i="38"/>
  <c r="RE10" i="38"/>
  <c r="RX10" i="38"/>
  <c r="QS22" i="38"/>
  <c r="RL22" i="38"/>
  <c r="QY9" i="38"/>
  <c r="RR9" i="38"/>
  <c r="QX24" i="38"/>
  <c r="RQ24" i="38"/>
  <c r="QU10" i="38"/>
  <c r="RN10" i="38"/>
  <c r="QS20" i="38"/>
  <c r="RL20" i="38"/>
  <c r="QT18" i="38"/>
  <c r="RM18" i="38"/>
  <c r="RA17" i="38"/>
  <c r="RT17" i="38"/>
  <c r="ED16" i="38"/>
  <c r="RC16" i="38"/>
  <c r="RV16" i="38"/>
  <c r="O346" i="51"/>
  <c r="O66" i="51"/>
  <c r="O350" i="51"/>
  <c r="O143" i="51"/>
  <c r="O328" i="51"/>
  <c r="O310" i="51"/>
  <c r="O275" i="51"/>
  <c r="O167" i="51"/>
  <c r="O254" i="51"/>
  <c r="O216" i="51"/>
  <c r="O41" i="51"/>
  <c r="O193" i="51"/>
  <c r="O119" i="51"/>
  <c r="O97" i="51"/>
  <c r="N14" i="51"/>
  <c r="W313" i="44" s="1"/>
  <c r="C21" i="58"/>
  <c r="C19" i="48"/>
  <c r="C17" i="58"/>
  <c r="D203" i="58"/>
  <c r="D127" i="58"/>
  <c r="D159" i="58"/>
  <c r="D56" i="58"/>
  <c r="D188" i="58"/>
  <c r="D164" i="58"/>
  <c r="D51" i="58"/>
  <c r="D136" i="58"/>
  <c r="C195" i="58"/>
  <c r="C162" i="58"/>
  <c r="C131" i="58"/>
  <c r="C46" i="58"/>
  <c r="E156" i="58"/>
  <c r="E200" i="58"/>
  <c r="E123" i="58"/>
  <c r="E42" i="58"/>
  <c r="E168" i="58"/>
  <c r="E185" i="58"/>
  <c r="E62" i="58"/>
  <c r="E139" i="58"/>
  <c r="C41" i="58"/>
  <c r="C153" i="58"/>
  <c r="C190" i="58"/>
  <c r="C121" i="58"/>
  <c r="O10" i="51"/>
  <c r="O334" i="51" s="1"/>
  <c r="D17" i="58"/>
  <c r="D123" i="58"/>
  <c r="D200" i="58"/>
  <c r="D42" i="58"/>
  <c r="D156" i="58"/>
  <c r="D128" i="58"/>
  <c r="D158" i="58"/>
  <c r="D50" i="58"/>
  <c r="D197" i="58"/>
  <c r="C128" i="58"/>
  <c r="C197" i="58"/>
  <c r="C50" i="58"/>
  <c r="C158" i="58"/>
  <c r="D163" i="58"/>
  <c r="D133" i="58"/>
  <c r="D198" i="58"/>
  <c r="D53" i="58"/>
  <c r="IX48" i="38"/>
  <c r="IX38" i="38"/>
  <c r="FM47" i="38"/>
  <c r="FQ47" i="38"/>
  <c r="FT47" i="38"/>
  <c r="FT33" i="38"/>
  <c r="FL47" i="38"/>
  <c r="FL33" i="38"/>
  <c r="GQ21" i="38"/>
  <c r="FT60" i="38"/>
  <c r="FK47" i="38"/>
  <c r="FK33" i="38"/>
  <c r="FP47" i="38"/>
  <c r="FP33" i="38"/>
  <c r="GI21" i="38"/>
  <c r="FL60" i="38"/>
  <c r="GH26" i="38"/>
  <c r="FK65" i="38"/>
  <c r="GM21" i="38"/>
  <c r="FP60" i="38"/>
  <c r="FH33" i="38"/>
  <c r="GQ22" i="38"/>
  <c r="GM22" i="38"/>
  <c r="RS31" i="38"/>
  <c r="RK31" i="38"/>
  <c r="RK30" i="38"/>
  <c r="RS30" i="38"/>
  <c r="RK32" i="38"/>
  <c r="RS32" i="38"/>
  <c r="QV30" i="38"/>
  <c r="RO32" i="38"/>
  <c r="RD30" i="38"/>
  <c r="QV31" i="38"/>
  <c r="QZ29" i="38"/>
  <c r="QZ31" i="38"/>
  <c r="QZ30" i="38"/>
  <c r="QZ32" i="38"/>
  <c r="QR29" i="38"/>
  <c r="QR30" i="38"/>
  <c r="QR31" i="38"/>
  <c r="QR32" i="38"/>
  <c r="QV32" i="38"/>
  <c r="RD32" i="38"/>
  <c r="RO31" i="38"/>
  <c r="RK29" i="38"/>
  <c r="QV29" i="38"/>
  <c r="RS29" i="38"/>
  <c r="RD29" i="38"/>
  <c r="RD31" i="38"/>
  <c r="RO30" i="38"/>
  <c r="K221" i="55"/>
  <c r="PD29" i="38"/>
  <c r="PJ29" i="38"/>
  <c r="PH30" i="38"/>
  <c r="PD30" i="38"/>
  <c r="PD32" i="38"/>
  <c r="PH31" i="38"/>
  <c r="PJ32" i="38"/>
  <c r="PM30" i="38"/>
  <c r="PM32" i="38"/>
  <c r="PM29" i="38"/>
  <c r="PM31" i="38"/>
  <c r="PE30" i="38"/>
  <c r="PE32" i="38"/>
  <c r="PE29" i="38"/>
  <c r="PE31" i="38"/>
  <c r="PI30" i="38"/>
  <c r="PI32" i="38"/>
  <c r="PI29" i="38"/>
  <c r="PI31" i="38"/>
  <c r="IK30" i="38"/>
  <c r="PH32" i="38"/>
  <c r="PD31" i="38"/>
  <c r="PH29" i="38"/>
  <c r="PJ30" i="38"/>
  <c r="PP29" i="38"/>
  <c r="PP30" i="38"/>
  <c r="PP32" i="38"/>
  <c r="PP31" i="38"/>
  <c r="PL29" i="38"/>
  <c r="PL30" i="38"/>
  <c r="PL32" i="38"/>
  <c r="PL31" i="38"/>
  <c r="PF32" i="38"/>
  <c r="PF29" i="38"/>
  <c r="PF31" i="38"/>
  <c r="PF30" i="38"/>
  <c r="PN32" i="38"/>
  <c r="PN29" i="38"/>
  <c r="PN31" i="38"/>
  <c r="PN30" i="38"/>
  <c r="PJ31" i="38"/>
  <c r="IW29" i="38"/>
  <c r="IK31" i="38"/>
  <c r="IS30" i="38"/>
  <c r="IS32" i="38"/>
  <c r="IS29" i="38"/>
  <c r="IS31" i="38"/>
  <c r="X213" i="44"/>
  <c r="LA30" i="38"/>
  <c r="LA32" i="38"/>
  <c r="LA29" i="38"/>
  <c r="LA31" i="38"/>
  <c r="IO30" i="38"/>
  <c r="IO32" i="38"/>
  <c r="IO31" i="38"/>
  <c r="IO29" i="38"/>
  <c r="LI30" i="38"/>
  <c r="LI32" i="38"/>
  <c r="LI29" i="38"/>
  <c r="LI31" i="38"/>
  <c r="IW30" i="38"/>
  <c r="IK29" i="38"/>
  <c r="IW32" i="38"/>
  <c r="LE30" i="38"/>
  <c r="LE32" i="38"/>
  <c r="LE29" i="38"/>
  <c r="LE31" i="38"/>
  <c r="IK32" i="38"/>
  <c r="IW31" i="38"/>
  <c r="KW31" i="38"/>
  <c r="KW29" i="38"/>
  <c r="KW30" i="38"/>
  <c r="KW32" i="38"/>
  <c r="X200" i="44"/>
  <c r="X210" i="44"/>
  <c r="CO29" i="38"/>
  <c r="CO31" i="38"/>
  <c r="CO32" i="38"/>
  <c r="CO30" i="38"/>
  <c r="GQ9" i="38"/>
  <c r="GM7" i="38"/>
  <c r="GQ8" i="38"/>
  <c r="GE6" i="38"/>
  <c r="GI7" i="38"/>
  <c r="GE16" i="38"/>
  <c r="GE7" i="38"/>
  <c r="X199" i="44" s="1"/>
  <c r="GE11" i="38"/>
  <c r="GE20" i="38"/>
  <c r="X212" i="44" s="1"/>
  <c r="GQ12" i="38"/>
  <c r="K204" i="44" s="1"/>
  <c r="GE12" i="38"/>
  <c r="GJ8" i="38"/>
  <c r="GM8" i="38"/>
  <c r="GE9" i="38"/>
  <c r="GE25" i="38"/>
  <c r="GE10" i="38"/>
  <c r="GI8" i="38"/>
  <c r="GN8" i="38"/>
  <c r="GE22" i="38"/>
  <c r="X214" i="44" s="1"/>
  <c r="GI9" i="38"/>
  <c r="GE17" i="38"/>
  <c r="X209" i="44" s="1"/>
  <c r="GE14" i="38"/>
  <c r="GO24" i="38"/>
  <c r="GE26" i="38"/>
  <c r="GE19" i="38"/>
  <c r="GM9" i="38"/>
  <c r="GQ16" i="38"/>
  <c r="K208" i="44" s="1"/>
  <c r="GQ7" i="38"/>
  <c r="GQ20" i="38"/>
  <c r="K212" i="44" s="1"/>
  <c r="GE23" i="38"/>
  <c r="GH8" i="38"/>
  <c r="FH30" i="38"/>
  <c r="FH31" i="38"/>
  <c r="FH32" i="38"/>
  <c r="FL31" i="38"/>
  <c r="FL30" i="38"/>
  <c r="FL32" i="38"/>
  <c r="FP31" i="38"/>
  <c r="FP32" i="38"/>
  <c r="FP30" i="38"/>
  <c r="FT31" i="38"/>
  <c r="FT30" i="38"/>
  <c r="FT32" i="38"/>
  <c r="NN7" i="38"/>
  <c r="NN46" i="38" s="1"/>
  <c r="KW46" i="38"/>
  <c r="LX9" i="38"/>
  <c r="LA48" i="38"/>
  <c r="NQ8" i="38"/>
  <c r="NQ47" i="38" s="1"/>
  <c r="KZ47" i="38"/>
  <c r="MB7" i="38"/>
  <c r="LE46" i="38"/>
  <c r="NR8" i="38"/>
  <c r="NR47" i="38" s="1"/>
  <c r="LA47" i="38"/>
  <c r="BP38" i="57"/>
  <c r="NZ8" i="38"/>
  <c r="NZ47" i="38" s="1"/>
  <c r="BR38" i="57"/>
  <c r="LI47" i="38"/>
  <c r="LY8" i="38"/>
  <c r="LB47" i="38"/>
  <c r="NV9" i="38"/>
  <c r="NV36" i="38" s="1"/>
  <c r="LE48" i="38"/>
  <c r="NN9" i="38"/>
  <c r="NN48" i="38" s="1"/>
  <c r="KW48" i="38"/>
  <c r="BQ38" i="57"/>
  <c r="LE47" i="38"/>
  <c r="NZ7" i="38"/>
  <c r="NZ46" i="38" s="1"/>
  <c r="LI46" i="38"/>
  <c r="LX7" i="38"/>
  <c r="LA46" i="38"/>
  <c r="LX8" i="38"/>
  <c r="LW8" i="38"/>
  <c r="ED19" i="38"/>
  <c r="ED25" i="38"/>
  <c r="ED17" i="38"/>
  <c r="ED21" i="38"/>
  <c r="ED12" i="38"/>
  <c r="ED27" i="38"/>
  <c r="ED26" i="38"/>
  <c r="LF24" i="38"/>
  <c r="NW24" i="38" s="1"/>
  <c r="NW63" i="38" s="1"/>
  <c r="LD26" i="38"/>
  <c r="NU26" i="38" s="1"/>
  <c r="NU65" i="38" s="1"/>
  <c r="O200" i="51"/>
  <c r="FJ13" i="38"/>
  <c r="GG13" i="38" s="1"/>
  <c r="FI15" i="38"/>
  <c r="GF15" i="38" s="1"/>
  <c r="KY27" i="38"/>
  <c r="LV27" i="38" s="1"/>
  <c r="M225" i="55"/>
  <c r="PV19" i="38"/>
  <c r="LG18" i="38"/>
  <c r="NX18" i="38" s="1"/>
  <c r="NX57" i="38" s="1"/>
  <c r="PT19" i="38"/>
  <c r="K225" i="55" s="1"/>
  <c r="KY13" i="38"/>
  <c r="LV13" i="38" s="1"/>
  <c r="FR15" i="38"/>
  <c r="PS12" i="38"/>
  <c r="FJ27" i="38"/>
  <c r="GG27" i="38" s="1"/>
  <c r="FI20" i="38"/>
  <c r="GF20" i="38" s="1"/>
  <c r="KZ19" i="38"/>
  <c r="NQ19" i="38" s="1"/>
  <c r="NQ58" i="38" s="1"/>
  <c r="FU12" i="38"/>
  <c r="GR12" i="38" s="1"/>
  <c r="LJ12" i="38"/>
  <c r="OA12" i="38" s="1"/>
  <c r="OA51" i="38" s="1"/>
  <c r="LC21" i="38"/>
  <c r="LZ21" i="38" s="1"/>
  <c r="LT27" i="38"/>
  <c r="NV5" i="38"/>
  <c r="NZ5" i="38"/>
  <c r="LT5" i="38"/>
  <c r="FT29" i="38"/>
  <c r="FT67" i="38" s="1"/>
  <c r="FH29" i="38"/>
  <c r="FH67" i="38" s="1"/>
  <c r="FL29" i="38"/>
  <c r="FL67" i="38" s="1"/>
  <c r="FP29" i="38"/>
  <c r="FP67" i="38" s="1"/>
  <c r="PV21" i="38"/>
  <c r="FK10" i="38"/>
  <c r="GH10" i="38" s="1"/>
  <c r="LC24" i="38"/>
  <c r="NT24" i="38" s="1"/>
  <c r="NT63" i="38" s="1"/>
  <c r="KX22" i="38"/>
  <c r="LU22" i="38" s="1"/>
  <c r="FU10" i="38"/>
  <c r="GR10" i="38" s="1"/>
  <c r="FN24" i="38"/>
  <c r="GK24" i="38" s="1"/>
  <c r="M227" i="55"/>
  <c r="PT21" i="38"/>
  <c r="K227" i="55" s="1"/>
  <c r="NS8" i="38"/>
  <c r="NS47" i="38" s="1"/>
  <c r="O293" i="51"/>
  <c r="O176" i="51"/>
  <c r="O323" i="51"/>
  <c r="O72" i="51"/>
  <c r="O155" i="51"/>
  <c r="O278" i="51"/>
  <c r="D202" i="44"/>
  <c r="E260" i="44" s="1"/>
  <c r="NN21" i="38"/>
  <c r="NN60" i="38" s="1"/>
  <c r="NR22" i="38"/>
  <c r="NR61" i="38" s="1"/>
  <c r="PV10" i="38"/>
  <c r="LX19" i="38"/>
  <c r="PS11" i="38"/>
  <c r="KY15" i="38"/>
  <c r="LV15" i="38" s="1"/>
  <c r="FJ15" i="38"/>
  <c r="GG15" i="38" s="1"/>
  <c r="PT10" i="38"/>
  <c r="LC8" i="38"/>
  <c r="PS10" i="38"/>
  <c r="FN8" i="38"/>
  <c r="PT11" i="38"/>
  <c r="FJ8" i="38"/>
  <c r="KY8" i="38"/>
  <c r="KY47" i="38" s="1"/>
  <c r="PT12" i="38"/>
  <c r="KZ12" i="38"/>
  <c r="NQ12" i="38" s="1"/>
  <c r="NQ51" i="38" s="1"/>
  <c r="LH21" i="38"/>
  <c r="ME21" i="38" s="1"/>
  <c r="BE14" i="38"/>
  <c r="BW21" i="38"/>
  <c r="CQ21" i="38" s="1"/>
  <c r="IM21" i="38"/>
  <c r="IM60" i="38" s="1"/>
  <c r="JR10" i="38"/>
  <c r="CH10" i="38"/>
  <c r="DB10" i="38" s="1"/>
  <c r="LJ10" i="38"/>
  <c r="OA10" i="38" s="1"/>
  <c r="OA49" i="38" s="1"/>
  <c r="BO10" i="38"/>
  <c r="BI10" i="47"/>
  <c r="BP10" i="38" s="1"/>
  <c r="IX10" i="38"/>
  <c r="IX49" i="38" s="1"/>
  <c r="IO61" i="38"/>
  <c r="JN17" i="38"/>
  <c r="KZ21" i="38"/>
  <c r="NQ21" i="38" s="1"/>
  <c r="NQ60" i="38" s="1"/>
  <c r="BX21" i="38"/>
  <c r="CR21" i="38" s="1"/>
  <c r="KY6" i="38"/>
  <c r="NP6" i="38" s="1"/>
  <c r="NP45" i="38" s="1"/>
  <c r="BE21" i="38"/>
  <c r="BI22" i="38"/>
  <c r="IU19" i="38"/>
  <c r="JP19" i="38" s="1"/>
  <c r="MF10" i="38"/>
  <c r="BW6" i="38"/>
  <c r="CQ6" i="38" s="1"/>
  <c r="CH22" i="38"/>
  <c r="DB22" i="38" s="1"/>
  <c r="IO58" i="38"/>
  <c r="CA6" i="38"/>
  <c r="CU6" i="38" s="1"/>
  <c r="FJ6" i="38"/>
  <c r="GG6" i="38" s="1"/>
  <c r="BI22" i="47"/>
  <c r="IY22" i="38" s="1"/>
  <c r="K31" i="58" s="1"/>
  <c r="IM6" i="38"/>
  <c r="IM45" i="38" s="1"/>
  <c r="IR9" i="38"/>
  <c r="FU22" i="38"/>
  <c r="BZ22" i="38"/>
  <c r="CT22" i="38" s="1"/>
  <c r="JN16" i="38"/>
  <c r="IX22" i="38"/>
  <c r="IX61" i="38" s="1"/>
  <c r="LJ22" i="38"/>
  <c r="OA22" i="38" s="1"/>
  <c r="OA61" i="38" s="1"/>
  <c r="FM5" i="38"/>
  <c r="GJ5" i="38" s="1"/>
  <c r="FI14" i="38"/>
  <c r="GF14" i="38" s="1"/>
  <c r="BI21" i="47"/>
  <c r="BP21" i="38" s="1"/>
  <c r="BS21" i="38" s="1"/>
  <c r="BO23" i="38"/>
  <c r="BO21" i="38"/>
  <c r="LJ23" i="38"/>
  <c r="MG23" i="38" s="1"/>
  <c r="BE6" i="38"/>
  <c r="NV20" i="38"/>
  <c r="NV59" i="38" s="1"/>
  <c r="BO20" i="38"/>
  <c r="BL17" i="38"/>
  <c r="LJ9" i="38"/>
  <c r="LB5" i="38"/>
  <c r="LJ20" i="38"/>
  <c r="MG20" i="38" s="1"/>
  <c r="FU23" i="38"/>
  <c r="GR23" i="38" s="1"/>
  <c r="BC14" i="38"/>
  <c r="IN6" i="38"/>
  <c r="JI6" i="38" s="1"/>
  <c r="BG5" i="38"/>
  <c r="IX23" i="38"/>
  <c r="IX62" i="38" s="1"/>
  <c r="BI9" i="47"/>
  <c r="IY9" i="38" s="1"/>
  <c r="K18" i="58" s="1"/>
  <c r="IL14" i="38"/>
  <c r="JG14" i="38" s="1"/>
  <c r="CH21" i="38"/>
  <c r="DB21" i="38" s="1"/>
  <c r="CB17" i="38"/>
  <c r="CV17" i="38" s="1"/>
  <c r="CH23" i="38"/>
  <c r="DB23" i="38" s="1"/>
  <c r="CH9" i="38"/>
  <c r="DB9" i="38" s="1"/>
  <c r="JS9" i="38"/>
  <c r="FU21" i="38"/>
  <c r="IU23" i="38"/>
  <c r="IU62" i="38" s="1"/>
  <c r="BI20" i="47"/>
  <c r="FU9" i="38"/>
  <c r="FU48" i="38" s="1"/>
  <c r="IX21" i="38"/>
  <c r="IX60" i="38" s="1"/>
  <c r="CE23" i="38"/>
  <c r="CY23" i="38" s="1"/>
  <c r="BZ5" i="38"/>
  <c r="CT5" i="38" s="1"/>
  <c r="FU20" i="38"/>
  <c r="GR20" i="38" s="1"/>
  <c r="BO9" i="38"/>
  <c r="CH20" i="38"/>
  <c r="DB20" i="38" s="1"/>
  <c r="KX14" i="38"/>
  <c r="LU14" i="38" s="1"/>
  <c r="BG15" i="38"/>
  <c r="MB22" i="38"/>
  <c r="IQ20" i="38"/>
  <c r="IQ59" i="38" s="1"/>
  <c r="BM21" i="38"/>
  <c r="FK14" i="38"/>
  <c r="GH14" i="38" s="1"/>
  <c r="LC20" i="38"/>
  <c r="LZ20" i="38" s="1"/>
  <c r="KZ14" i="38"/>
  <c r="NQ14" i="38" s="1"/>
  <c r="NQ53" i="38" s="1"/>
  <c r="BH20" i="38"/>
  <c r="CD21" i="38"/>
  <c r="CX21" i="38" s="1"/>
  <c r="BX14" i="38"/>
  <c r="CR14" i="38" s="1"/>
  <c r="IT21" i="38"/>
  <c r="IT60" i="38" s="1"/>
  <c r="IV21" i="38"/>
  <c r="IV60" i="38" s="1"/>
  <c r="BI11" i="47"/>
  <c r="IY11" i="38" s="1"/>
  <c r="K20" i="58" s="1"/>
  <c r="FN20" i="38"/>
  <c r="GK20" i="38" s="1"/>
  <c r="BE17" i="38"/>
  <c r="FS21" i="38"/>
  <c r="BH6" i="38"/>
  <c r="LC7" i="38"/>
  <c r="CD15" i="38"/>
  <c r="CX15" i="38" s="1"/>
  <c r="IN7" i="38"/>
  <c r="MF22" i="38"/>
  <c r="FI5" i="38"/>
  <c r="GF5" i="38" s="1"/>
  <c r="IU25" i="38"/>
  <c r="JP25" i="38" s="1"/>
  <c r="FR18" i="38"/>
  <c r="LJ16" i="38"/>
  <c r="MG16" i="38" s="1"/>
  <c r="BX12" i="38"/>
  <c r="CR12" i="38" s="1"/>
  <c r="IV10" i="38"/>
  <c r="IV49" i="38" s="1"/>
  <c r="NV7" i="38"/>
  <c r="NV46" i="38" s="1"/>
  <c r="BM10" i="38"/>
  <c r="IU18" i="38"/>
  <c r="IU57" i="38" s="1"/>
  <c r="IN23" i="38"/>
  <c r="IN62" i="38" s="1"/>
  <c r="BH23" i="38"/>
  <c r="BO16" i="38"/>
  <c r="CE18" i="38"/>
  <c r="CY18" i="38" s="1"/>
  <c r="BX23" i="38"/>
  <c r="CR23" i="38" s="1"/>
  <c r="CH17" i="38"/>
  <c r="DB17" i="38" s="1"/>
  <c r="BL18" i="38"/>
  <c r="KZ23" i="38"/>
  <c r="NQ23" i="38" s="1"/>
  <c r="NQ62" i="38" s="1"/>
  <c r="FU17" i="38"/>
  <c r="GR17" i="38" s="1"/>
  <c r="BZ17" i="38"/>
  <c r="CT17" i="38" s="1"/>
  <c r="BM12" i="38"/>
  <c r="BX5" i="38"/>
  <c r="CR5" i="38" s="1"/>
  <c r="IX6" i="38"/>
  <c r="IX45" i="38" s="1"/>
  <c r="FK23" i="38"/>
  <c r="GH23" i="38" s="1"/>
  <c r="BI17" i="47"/>
  <c r="IY17" i="38" s="1"/>
  <c r="K26" i="58" s="1"/>
  <c r="IP17" i="38"/>
  <c r="IP56" i="38" s="1"/>
  <c r="IP16" i="38"/>
  <c r="JK16" i="38" s="1"/>
  <c r="LH10" i="38"/>
  <c r="ME10" i="38" s="1"/>
  <c r="LJ17" i="38"/>
  <c r="OA17" i="38" s="1"/>
  <c r="OA56" i="38" s="1"/>
  <c r="BZ16" i="38"/>
  <c r="CT16" i="38" s="1"/>
  <c r="FK12" i="38"/>
  <c r="GH12" i="38" s="1"/>
  <c r="FS10" i="38"/>
  <c r="GP10" i="38" s="1"/>
  <c r="CH18" i="38"/>
  <c r="DB18" i="38" s="1"/>
  <c r="IX17" i="38"/>
  <c r="IX56" i="38" s="1"/>
  <c r="LF16" i="38"/>
  <c r="NW16" i="38" s="1"/>
  <c r="NW55" i="38" s="1"/>
  <c r="BC19" i="38"/>
  <c r="IN12" i="38"/>
  <c r="JI12" i="38" s="1"/>
  <c r="CH16" i="38"/>
  <c r="DB16" i="38" s="1"/>
  <c r="IW61" i="38"/>
  <c r="IS54" i="38"/>
  <c r="BO19" i="38"/>
  <c r="LJ19" i="38"/>
  <c r="MG19" i="38" s="1"/>
  <c r="NR6" i="38"/>
  <c r="NR45" i="38" s="1"/>
  <c r="LJ18" i="38"/>
  <c r="MG18" i="38" s="1"/>
  <c r="LH17" i="38"/>
  <c r="NY17" i="38" s="1"/>
  <c r="NY56" i="38" s="1"/>
  <c r="LX20" i="38"/>
  <c r="CH6" i="38"/>
  <c r="DB6" i="38" s="1"/>
  <c r="FU18" i="38"/>
  <c r="GR18" i="38" s="1"/>
  <c r="FS17" i="38"/>
  <c r="GP17" i="38" s="1"/>
  <c r="BO6" i="38"/>
  <c r="BO18" i="38"/>
  <c r="CF17" i="38"/>
  <c r="CZ17" i="38" s="1"/>
  <c r="NV21" i="38"/>
  <c r="NV60" i="38" s="1"/>
  <c r="IR20" i="38"/>
  <c r="IR59" i="38" s="1"/>
  <c r="IV17" i="38"/>
  <c r="JQ17" i="38" s="1"/>
  <c r="CB20" i="38"/>
  <c r="CV20" i="38" s="1"/>
  <c r="CE22" i="38"/>
  <c r="CY22" i="38" s="1"/>
  <c r="NZ18" i="38"/>
  <c r="NZ57" i="38" s="1"/>
  <c r="BI18" i="47"/>
  <c r="IU22" i="38"/>
  <c r="IU61" i="38" s="1"/>
  <c r="MB13" i="38"/>
  <c r="LC18" i="38"/>
  <c r="LZ18" i="38" s="1"/>
  <c r="CA22" i="38"/>
  <c r="CU22" i="38" s="1"/>
  <c r="FN22" i="38"/>
  <c r="LC22" i="38"/>
  <c r="NT22" i="38" s="1"/>
  <c r="NT61" i="38" s="1"/>
  <c r="BH22" i="38"/>
  <c r="BZ21" i="38"/>
  <c r="CT21" i="38" s="1"/>
  <c r="IV23" i="38"/>
  <c r="IV62" i="38" s="1"/>
  <c r="IL21" i="38"/>
  <c r="IL60" i="38" s="1"/>
  <c r="IP21" i="38"/>
  <c r="JK21" i="38" s="1"/>
  <c r="CF23" i="38"/>
  <c r="CZ23" i="38" s="1"/>
  <c r="BC21" i="38"/>
  <c r="FN9" i="38"/>
  <c r="FN48" i="38" s="1"/>
  <c r="LH23" i="38"/>
  <c r="NY23" i="38" s="1"/>
  <c r="NY62" i="38" s="1"/>
  <c r="FS23" i="38"/>
  <c r="GP23" i="38" s="1"/>
  <c r="BE12" i="38"/>
  <c r="FQ16" i="38"/>
  <c r="GN16" i="38" s="1"/>
  <c r="IV12" i="38"/>
  <c r="IV51" i="38" s="1"/>
  <c r="IR12" i="38"/>
  <c r="IR51" i="38" s="1"/>
  <c r="FK5" i="38"/>
  <c r="GH5" i="38" s="1"/>
  <c r="IQ23" i="38"/>
  <c r="JL23" i="38" s="1"/>
  <c r="FU16" i="38"/>
  <c r="GR16" i="38" s="1"/>
  <c r="KX19" i="38"/>
  <c r="LU19" i="38" s="1"/>
  <c r="IT16" i="38"/>
  <c r="IT55" i="38" s="1"/>
  <c r="CB12" i="38"/>
  <c r="CV12" i="38" s="1"/>
  <c r="CE14" i="38"/>
  <c r="CY14" i="38" s="1"/>
  <c r="IN5" i="38"/>
  <c r="IM11" i="38"/>
  <c r="IM50" i="38" s="1"/>
  <c r="IL19" i="38"/>
  <c r="JG19" i="38" s="1"/>
  <c r="CD16" i="38"/>
  <c r="CX16" i="38" s="1"/>
  <c r="IU14" i="38"/>
  <c r="IU53" i="38" s="1"/>
  <c r="KZ5" i="38"/>
  <c r="BD11" i="38"/>
  <c r="FI19" i="38"/>
  <c r="GF19" i="38" s="1"/>
  <c r="IU17" i="38"/>
  <c r="JP17" i="38" s="1"/>
  <c r="MB15" i="38"/>
  <c r="BI16" i="47"/>
  <c r="CI16" i="38" s="1"/>
  <c r="JJ14" i="38"/>
  <c r="JF12" i="38"/>
  <c r="IK51" i="38"/>
  <c r="JF18" i="38"/>
  <c r="IK57" i="38"/>
  <c r="JG12" i="38"/>
  <c r="IL51" i="38"/>
  <c r="JL7" i="38"/>
  <c r="IQ46" i="38"/>
  <c r="JJ5" i="38"/>
  <c r="IO44" i="38"/>
  <c r="JO15" i="38"/>
  <c r="IT54" i="38"/>
  <c r="JN6" i="38"/>
  <c r="IS45" i="38"/>
  <c r="JO7" i="38"/>
  <c r="IT46" i="38"/>
  <c r="JN12" i="38"/>
  <c r="IS51" i="38"/>
  <c r="JN23" i="38"/>
  <c r="IS62" i="38"/>
  <c r="JJ20" i="38"/>
  <c r="IO59" i="38"/>
  <c r="JN10" i="38"/>
  <c r="IS49" i="38"/>
  <c r="JJ23" i="38"/>
  <c r="IO62" i="38"/>
  <c r="JI27" i="38"/>
  <c r="IN66" i="38"/>
  <c r="JM27" i="38"/>
  <c r="IR66" i="38"/>
  <c r="JS12" i="38"/>
  <c r="IX51" i="38"/>
  <c r="JG15" i="38"/>
  <c r="IL54" i="38"/>
  <c r="JF23" i="38"/>
  <c r="IK62" i="38"/>
  <c r="JJ12" i="38"/>
  <c r="IO51" i="38"/>
  <c r="JL12" i="38"/>
  <c r="IQ51" i="38"/>
  <c r="JO6" i="38"/>
  <c r="IT45" i="38"/>
  <c r="JO5" i="38"/>
  <c r="IT44" i="38"/>
  <c r="JR17" i="38"/>
  <c r="IW56" i="38"/>
  <c r="JN11" i="38"/>
  <c r="IS50" i="38"/>
  <c r="JF7" i="38"/>
  <c r="IK46" i="38"/>
  <c r="JL9" i="38"/>
  <c r="IQ48" i="38"/>
  <c r="JJ18" i="38"/>
  <c r="IO57" i="38"/>
  <c r="JN21" i="38"/>
  <c r="IS60" i="38"/>
  <c r="JR18" i="38"/>
  <c r="IW57" i="38"/>
  <c r="JF10" i="38"/>
  <c r="IK49" i="38"/>
  <c r="JR15" i="38"/>
  <c r="IW54" i="38"/>
  <c r="JR14" i="38"/>
  <c r="IW53" i="38"/>
  <c r="JO17" i="38"/>
  <c r="IT56" i="38"/>
  <c r="JN25" i="38"/>
  <c r="IS64" i="38"/>
  <c r="JP11" i="38"/>
  <c r="IU50" i="38"/>
  <c r="JR20" i="38"/>
  <c r="IW59" i="38"/>
  <c r="JR23" i="38"/>
  <c r="IW62" i="38"/>
  <c r="JG27" i="38"/>
  <c r="IL66" i="38"/>
  <c r="JR12" i="38"/>
  <c r="IW51" i="38"/>
  <c r="JS18" i="38"/>
  <c r="IX57" i="38"/>
  <c r="JI14" i="38"/>
  <c r="IN53" i="38"/>
  <c r="JL6" i="38"/>
  <c r="IQ45" i="38"/>
  <c r="JF6" i="38"/>
  <c r="IK45" i="38"/>
  <c r="JF14" i="38"/>
  <c r="IK53" i="38"/>
  <c r="JN19" i="38"/>
  <c r="IS58" i="38"/>
  <c r="JN9" i="38"/>
  <c r="IS48" i="38"/>
  <c r="JJ11" i="38"/>
  <c r="IO50" i="38"/>
  <c r="JR7" i="38"/>
  <c r="IW46" i="38"/>
  <c r="JL22" i="38"/>
  <c r="IQ61" i="38"/>
  <c r="JK5" i="38"/>
  <c r="IP44" i="38"/>
  <c r="JF22" i="38"/>
  <c r="IK61" i="38"/>
  <c r="JF19" i="38"/>
  <c r="IK58" i="38"/>
  <c r="JS16" i="38"/>
  <c r="IX55" i="38"/>
  <c r="JJ17" i="38"/>
  <c r="IO56" i="38"/>
  <c r="JN14" i="38"/>
  <c r="IS53" i="38"/>
  <c r="JS20" i="38"/>
  <c r="IX59" i="38"/>
  <c r="JF20" i="38"/>
  <c r="IK59" i="38"/>
  <c r="JF21" i="38"/>
  <c r="IK60" i="38"/>
  <c r="JF16" i="38"/>
  <c r="IK55" i="38"/>
  <c r="JR19" i="38"/>
  <c r="IW58" i="38"/>
  <c r="JJ7" i="38"/>
  <c r="IO46" i="38"/>
  <c r="JR25" i="38"/>
  <c r="IW64" i="38"/>
  <c r="JO25" i="38"/>
  <c r="IT64" i="38"/>
  <c r="JM14" i="38"/>
  <c r="IR53" i="38"/>
  <c r="JM17" i="38"/>
  <c r="IR56" i="38"/>
  <c r="JR11" i="38"/>
  <c r="IW50" i="38"/>
  <c r="JK23" i="38"/>
  <c r="IP62" i="38"/>
  <c r="JK22" i="38"/>
  <c r="IP61" i="38"/>
  <c r="JN20" i="38"/>
  <c r="IS59" i="38"/>
  <c r="JJ21" i="38"/>
  <c r="IO60" i="38"/>
  <c r="JJ10" i="38"/>
  <c r="IO49" i="38"/>
  <c r="JI25" i="38"/>
  <c r="IN64" i="38"/>
  <c r="JJ16" i="38"/>
  <c r="IO55" i="38"/>
  <c r="JN5" i="38"/>
  <c r="IS44" i="38"/>
  <c r="JJ9" i="38"/>
  <c r="IO48" i="38"/>
  <c r="JI21" i="38"/>
  <c r="IN60" i="38"/>
  <c r="JI15" i="38"/>
  <c r="IN54" i="38"/>
  <c r="JF25" i="38"/>
  <c r="IK64" i="38"/>
  <c r="JF17" i="38"/>
  <c r="IK56" i="38"/>
  <c r="JJ25" i="38"/>
  <c r="IO64" i="38"/>
  <c r="JR6" i="38"/>
  <c r="IW45" i="38"/>
  <c r="JR16" i="38"/>
  <c r="IW55" i="38"/>
  <c r="JK9" i="38"/>
  <c r="IP48" i="38"/>
  <c r="JF9" i="38"/>
  <c r="IK48" i="38"/>
  <c r="JN18" i="38"/>
  <c r="IS57" i="38"/>
  <c r="JR9" i="38"/>
  <c r="IW48" i="38"/>
  <c r="JG7" i="38"/>
  <c r="IL46" i="38"/>
  <c r="JS11" i="38"/>
  <c r="IX50" i="38"/>
  <c r="JN22" i="38"/>
  <c r="IS61" i="38"/>
  <c r="JR21" i="38"/>
  <c r="IW60" i="38"/>
  <c r="O246" i="51"/>
  <c r="O44" i="51"/>
  <c r="O131" i="51"/>
  <c r="C23" i="48"/>
  <c r="N258" i="44"/>
  <c r="N262" i="44"/>
  <c r="EB23" i="38"/>
  <c r="PV12" i="38"/>
  <c r="KY9" i="38"/>
  <c r="FK21" i="38"/>
  <c r="LB19" i="38"/>
  <c r="NS19" i="38" s="1"/>
  <c r="NS58" i="38" s="1"/>
  <c r="FM26" i="38"/>
  <c r="FJ25" i="38"/>
  <c r="GG25" i="38" s="1"/>
  <c r="KX21" i="38"/>
  <c r="LU21" i="38" s="1"/>
  <c r="FJ14" i="38"/>
  <c r="GG14" i="38" s="1"/>
  <c r="Y606" i="55"/>
  <c r="NZ48" i="38"/>
  <c r="NZ36" i="38"/>
  <c r="EB14" i="38"/>
  <c r="KY11" i="38"/>
  <c r="NP11" i="38" s="1"/>
  <c r="NP50" i="38" s="1"/>
  <c r="O372" i="51"/>
  <c r="G198" i="48"/>
  <c r="O108" i="51"/>
  <c r="O196" i="51"/>
  <c r="O83" i="51"/>
  <c r="O98" i="51"/>
  <c r="O256" i="51"/>
  <c r="O376" i="51"/>
  <c r="O305" i="51"/>
  <c r="O121" i="51"/>
  <c r="O331" i="51"/>
  <c r="O146" i="51"/>
  <c r="O172" i="51"/>
  <c r="G192" i="48"/>
  <c r="O277" i="51"/>
  <c r="O59" i="51"/>
  <c r="O352" i="51"/>
  <c r="O124" i="51"/>
  <c r="O210" i="51"/>
  <c r="O54" i="51"/>
  <c r="O148" i="51"/>
  <c r="O321" i="51"/>
  <c r="O272" i="51"/>
  <c r="O184" i="51"/>
  <c r="O374" i="51"/>
  <c r="O228" i="51"/>
  <c r="O102" i="51"/>
  <c r="O347" i="51"/>
  <c r="O78" i="51"/>
  <c r="O302" i="51"/>
  <c r="O251" i="51"/>
  <c r="G212" i="48"/>
  <c r="N11" i="51"/>
  <c r="C20" i="48"/>
  <c r="N259" i="44"/>
  <c r="J258" i="44"/>
  <c r="N212" i="51"/>
  <c r="N187" i="51"/>
  <c r="N268" i="51"/>
  <c r="N69" i="51"/>
  <c r="N303" i="51"/>
  <c r="N47" i="51"/>
  <c r="N219" i="51"/>
  <c r="N249" i="51"/>
  <c r="N132" i="51"/>
  <c r="N149" i="51"/>
  <c r="N92" i="51"/>
  <c r="N354" i="51"/>
  <c r="N375" i="51"/>
  <c r="N324" i="51"/>
  <c r="D19" i="48"/>
  <c r="O258" i="44"/>
  <c r="P10" i="51"/>
  <c r="O211" i="51"/>
  <c r="O229" i="51"/>
  <c r="O341" i="51"/>
  <c r="O142" i="51"/>
  <c r="O382" i="51"/>
  <c r="O116" i="51"/>
  <c r="O316" i="51"/>
  <c r="O93" i="51"/>
  <c r="O252" i="51"/>
  <c r="O58" i="51"/>
  <c r="O298" i="51"/>
  <c r="O79" i="51"/>
  <c r="O287" i="51"/>
  <c r="O186" i="51"/>
  <c r="N10" i="51"/>
  <c r="N356" i="51" s="1"/>
  <c r="P233" i="51"/>
  <c r="P256" i="51"/>
  <c r="P172" i="51"/>
  <c r="P83" i="51"/>
  <c r="P305" i="51"/>
  <c r="P196" i="51"/>
  <c r="P331" i="51"/>
  <c r="P59" i="51"/>
  <c r="P146" i="51"/>
  <c r="P352" i="51"/>
  <c r="P98" i="51"/>
  <c r="P277" i="51"/>
  <c r="P376" i="51"/>
  <c r="P121" i="51"/>
  <c r="N41" i="51"/>
  <c r="N143" i="51"/>
  <c r="N370" i="51"/>
  <c r="N167" i="51"/>
  <c r="N275" i="51"/>
  <c r="N66" i="51"/>
  <c r="N350" i="51"/>
  <c r="N119" i="51"/>
  <c r="N97" i="51"/>
  <c r="N310" i="51"/>
  <c r="N216" i="51"/>
  <c r="N254" i="51"/>
  <c r="N328" i="51"/>
  <c r="N193" i="51"/>
  <c r="O223" i="51"/>
  <c r="O183" i="51"/>
  <c r="O282" i="51"/>
  <c r="O120" i="51"/>
  <c r="O95" i="51"/>
  <c r="O327" i="51"/>
  <c r="O367" i="51"/>
  <c r="O306" i="51"/>
  <c r="O209" i="51"/>
  <c r="O48" i="51"/>
  <c r="O253" i="51"/>
  <c r="O351" i="51"/>
  <c r="O145" i="51"/>
  <c r="O73" i="51"/>
  <c r="P95" i="51"/>
  <c r="P253" i="51"/>
  <c r="P145" i="51"/>
  <c r="P367" i="51"/>
  <c r="P48" i="51"/>
  <c r="P282" i="51"/>
  <c r="P73" i="51"/>
  <c r="P223" i="51"/>
  <c r="P209" i="51"/>
  <c r="P351" i="51"/>
  <c r="P183" i="51"/>
  <c r="P120" i="51"/>
  <c r="P306" i="51"/>
  <c r="P327" i="51"/>
  <c r="D146" i="44"/>
  <c r="D208" i="44"/>
  <c r="E266" i="44" s="1"/>
  <c r="C25" i="58" s="1"/>
  <c r="G202" i="48"/>
  <c r="C25" i="48"/>
  <c r="N264" i="44"/>
  <c r="J264" i="44"/>
  <c r="N16" i="51"/>
  <c r="G209" i="48"/>
  <c r="J275" i="44"/>
  <c r="C36" i="48"/>
  <c r="N27" i="51"/>
  <c r="N275" i="44"/>
  <c r="O266" i="44"/>
  <c r="P18" i="51"/>
  <c r="D27" i="48"/>
  <c r="O18" i="51"/>
  <c r="MF5" i="38"/>
  <c r="BI14" i="38"/>
  <c r="NR7" i="38"/>
  <c r="NR46" i="38" s="1"/>
  <c r="BZ23" i="38"/>
  <c r="CT23" i="38" s="1"/>
  <c r="BG22" i="38"/>
  <c r="BE7" i="38"/>
  <c r="BK15" i="38"/>
  <c r="FN7" i="38"/>
  <c r="FN46" i="38" s="1"/>
  <c r="IL5" i="38"/>
  <c r="IM14" i="38"/>
  <c r="IM53" i="38" s="1"/>
  <c r="CA7" i="38"/>
  <c r="CU7" i="38" s="1"/>
  <c r="BW14" i="38"/>
  <c r="CQ14" i="38" s="1"/>
  <c r="IT23" i="38"/>
  <c r="LG20" i="38"/>
  <c r="NX20" i="38" s="1"/>
  <c r="NX59" i="38" s="1"/>
  <c r="IP10" i="38"/>
  <c r="BH7" i="38"/>
  <c r="KY14" i="38"/>
  <c r="NP14" i="38" s="1"/>
  <c r="NP53" i="38" s="1"/>
  <c r="FR20" i="38"/>
  <c r="CD7" i="38"/>
  <c r="BZ10" i="38"/>
  <c r="CT10" i="38" s="1"/>
  <c r="IN22" i="38"/>
  <c r="CD23" i="38"/>
  <c r="CX23" i="38" s="1"/>
  <c r="BD14" i="38"/>
  <c r="CE20" i="38"/>
  <c r="CY20" i="38" s="1"/>
  <c r="BK7" i="38"/>
  <c r="CA5" i="38"/>
  <c r="CU5" i="38" s="1"/>
  <c r="IT18" i="38"/>
  <c r="IV19" i="38"/>
  <c r="FO16" i="38"/>
  <c r="GL16" i="38" s="1"/>
  <c r="BC17" i="38"/>
  <c r="IU20" i="38"/>
  <c r="LF15" i="38"/>
  <c r="NW15" i="38" s="1"/>
  <c r="NW54" i="38" s="1"/>
  <c r="IQ5" i="38"/>
  <c r="FQ18" i="38"/>
  <c r="GN18" i="38" s="1"/>
  <c r="IX7" i="38"/>
  <c r="IX36" i="38" s="1"/>
  <c r="BL10" i="38"/>
  <c r="IR16" i="38"/>
  <c r="MF15" i="38"/>
  <c r="CE25" i="38"/>
  <c r="CY25" i="38" s="1"/>
  <c r="IR22" i="38"/>
  <c r="IL6" i="38"/>
  <c r="IQ17" i="38"/>
  <c r="CB11" i="38"/>
  <c r="CV11" i="38" s="1"/>
  <c r="BC6" i="38"/>
  <c r="CB6" i="38"/>
  <c r="CV6" i="38" s="1"/>
  <c r="LH18" i="38"/>
  <c r="ME18" i="38" s="1"/>
  <c r="FO15" i="38"/>
  <c r="GL15" i="38" s="1"/>
  <c r="IM16" i="38"/>
  <c r="IR6" i="38"/>
  <c r="BW16" i="38"/>
  <c r="CQ16" i="38" s="1"/>
  <c r="CF7" i="38"/>
  <c r="CZ7" i="38" s="1"/>
  <c r="FS14" i="38"/>
  <c r="GP14" i="38" s="1"/>
  <c r="IP7" i="38"/>
  <c r="IP36" i="38" s="1"/>
  <c r="BZ7" i="38"/>
  <c r="CT7" i="38" s="1"/>
  <c r="BM6" i="38"/>
  <c r="CF16" i="38"/>
  <c r="CZ16" i="38" s="1"/>
  <c r="IQ14" i="38"/>
  <c r="BI17" i="38"/>
  <c r="BG23" i="38"/>
  <c r="CD11" i="38"/>
  <c r="CX11" i="38" s="1"/>
  <c r="IT11" i="38"/>
  <c r="KX10" i="38"/>
  <c r="NO10" i="38" s="1"/>
  <c r="NO49" i="38" s="1"/>
  <c r="CE7" i="38"/>
  <c r="CY7" i="38" s="1"/>
  <c r="IU21" i="38"/>
  <c r="BP5" i="38"/>
  <c r="BS5" i="38" s="1"/>
  <c r="CF22" i="38"/>
  <c r="CZ22" i="38" s="1"/>
  <c r="CA14" i="38"/>
  <c r="CU14" i="38" s="1"/>
  <c r="LF11" i="38"/>
  <c r="NW11" i="38" s="1"/>
  <c r="NW50" i="38" s="1"/>
  <c r="IU7" i="38"/>
  <c r="IU36" i="38" s="1"/>
  <c r="IP6" i="38"/>
  <c r="CE21" i="38"/>
  <c r="CY21" i="38" s="1"/>
  <c r="IV22" i="38"/>
  <c r="MB16" i="38"/>
  <c r="MB10" i="38"/>
  <c r="IL10" i="38"/>
  <c r="BZ6" i="38"/>
  <c r="CT6" i="38" s="1"/>
  <c r="FQ11" i="38"/>
  <c r="GN11" i="38" s="1"/>
  <c r="MB12" i="38"/>
  <c r="NZ20" i="38"/>
  <c r="NZ59" i="38" s="1"/>
  <c r="BI25" i="47"/>
  <c r="CI25" i="38" s="1"/>
  <c r="CB14" i="38"/>
  <c r="CV14" i="38" s="1"/>
  <c r="BC10" i="38"/>
  <c r="NN5" i="38"/>
  <c r="FI10" i="38"/>
  <c r="GF10" i="38" s="1"/>
  <c r="BX16" i="38"/>
  <c r="CR16" i="38" s="1"/>
  <c r="FO19" i="38"/>
  <c r="GL19" i="38" s="1"/>
  <c r="IV18" i="38"/>
  <c r="BW25" i="38"/>
  <c r="CQ25" i="38" s="1"/>
  <c r="CA25" i="38"/>
  <c r="CU25" i="38" s="1"/>
  <c r="IP14" i="38"/>
  <c r="CB15" i="38"/>
  <c r="CV15" i="38" s="1"/>
  <c r="CA17" i="38"/>
  <c r="CU17" i="38" s="1"/>
  <c r="IR11" i="38"/>
  <c r="FJ16" i="38"/>
  <c r="GG16" i="38" s="1"/>
  <c r="LH14" i="38"/>
  <c r="ME14" i="38" s="1"/>
  <c r="FN10" i="38"/>
  <c r="GK10" i="38" s="1"/>
  <c r="IV7" i="38"/>
  <c r="IV36" i="38" s="1"/>
  <c r="LD6" i="38"/>
  <c r="NU6" i="38" s="1"/>
  <c r="NU45" i="38" s="1"/>
  <c r="FO6" i="38"/>
  <c r="GL6" i="38" s="1"/>
  <c r="LD19" i="38"/>
  <c r="NU19" i="38" s="1"/>
  <c r="NU58" i="38" s="1"/>
  <c r="CF18" i="38"/>
  <c r="CZ18" i="38" s="1"/>
  <c r="KY25" i="38"/>
  <c r="NP25" i="38" s="1"/>
  <c r="NP64" i="38" s="1"/>
  <c r="IQ25" i="38"/>
  <c r="BZ14" i="38"/>
  <c r="CT14" i="38" s="1"/>
  <c r="LD15" i="38"/>
  <c r="NU15" i="38" s="1"/>
  <c r="NU54" i="38" s="1"/>
  <c r="BZ19" i="38"/>
  <c r="CT19" i="38" s="1"/>
  <c r="KY16" i="38"/>
  <c r="NP16" i="38" s="1"/>
  <c r="NP55" i="38" s="1"/>
  <c r="CF14" i="38"/>
  <c r="CZ14" i="38" s="1"/>
  <c r="LC10" i="38"/>
  <c r="NT10" i="38" s="1"/>
  <c r="NT49" i="38" s="1"/>
  <c r="IQ16" i="38"/>
  <c r="BH21" i="38"/>
  <c r="FS7" i="38"/>
  <c r="FS46" i="38" s="1"/>
  <c r="CH15" i="38"/>
  <c r="DB15" i="38" s="1"/>
  <c r="CB19" i="38"/>
  <c r="CV19" i="38" s="1"/>
  <c r="FS18" i="38"/>
  <c r="GP18" i="38" s="1"/>
  <c r="BD25" i="38"/>
  <c r="IR15" i="38"/>
  <c r="CH19" i="38"/>
  <c r="DB19" i="38" s="1"/>
  <c r="IP19" i="38"/>
  <c r="IV14" i="38"/>
  <c r="IQ10" i="38"/>
  <c r="CA16" i="38"/>
  <c r="CU16" i="38" s="1"/>
  <c r="IM5" i="38"/>
  <c r="LH7" i="38"/>
  <c r="MF16" i="38"/>
  <c r="IR19" i="38"/>
  <c r="IM25" i="38"/>
  <c r="IU12" i="38"/>
  <c r="BI19" i="47"/>
  <c r="FV19" i="38" s="1"/>
  <c r="IN9" i="38"/>
  <c r="IN38" i="38" s="1"/>
  <c r="BX11" i="38"/>
  <c r="CR11" i="38" s="1"/>
  <c r="BW22" i="38"/>
  <c r="CQ22" i="38" s="1"/>
  <c r="CA10" i="38"/>
  <c r="CU10" i="38" s="1"/>
  <c r="LC16" i="38"/>
  <c r="NT16" i="38" s="1"/>
  <c r="NT55" i="38" s="1"/>
  <c r="IV6" i="38"/>
  <c r="CE12" i="38"/>
  <c r="CY12" i="38" s="1"/>
  <c r="IX19" i="38"/>
  <c r="BX9" i="38"/>
  <c r="BX48" i="38" s="1"/>
  <c r="IN11" i="38"/>
  <c r="IM22" i="38"/>
  <c r="IM61" i="38" s="1"/>
  <c r="FN16" i="38"/>
  <c r="GK16" i="38" s="1"/>
  <c r="FJ22" i="38"/>
  <c r="CA12" i="38"/>
  <c r="CU12" i="38" s="1"/>
  <c r="CA18" i="38"/>
  <c r="CU18" i="38" s="1"/>
  <c r="FQ17" i="38"/>
  <c r="GN17" i="38" s="1"/>
  <c r="BW9" i="38"/>
  <c r="BW46" i="38" s="1"/>
  <c r="CA9" i="38"/>
  <c r="CA48" i="38" s="1"/>
  <c r="IN19" i="38"/>
  <c r="FO7" i="38"/>
  <c r="FO46" i="38" s="1"/>
  <c r="BW5" i="38"/>
  <c r="CQ5" i="38" s="1"/>
  <c r="KX23" i="38"/>
  <c r="NO23" i="38" s="1"/>
  <c r="NO62" i="38" s="1"/>
  <c r="MF23" i="38"/>
  <c r="CD20" i="38"/>
  <c r="CX20" i="38" s="1"/>
  <c r="BH18" i="38"/>
  <c r="LX18" i="38"/>
  <c r="IR18" i="38"/>
  <c r="FJ9" i="38"/>
  <c r="FJ48" i="38" s="1"/>
  <c r="BH9" i="38"/>
  <c r="IR21" i="38"/>
  <c r="IV20" i="38"/>
  <c r="IR7" i="38"/>
  <c r="IR36" i="38" s="1"/>
  <c r="IM17" i="38"/>
  <c r="IM56" i="38" s="1"/>
  <c r="CD22" i="38"/>
  <c r="CX22" i="38" s="1"/>
  <c r="IL23" i="38"/>
  <c r="IL22" i="38"/>
  <c r="BV23" i="38"/>
  <c r="CP23" i="38" s="1"/>
  <c r="IT20" i="38"/>
  <c r="BL11" i="38"/>
  <c r="CB18" i="38"/>
  <c r="CV18" i="38" s="1"/>
  <c r="IT9" i="38"/>
  <c r="IT38" i="38" s="1"/>
  <c r="LD21" i="38"/>
  <c r="NU21" i="38" s="1"/>
  <c r="NU60" i="38" s="1"/>
  <c r="CF20" i="38"/>
  <c r="CZ20" i="38" s="1"/>
  <c r="LD7" i="38"/>
  <c r="FN21" i="38"/>
  <c r="BZ20" i="38"/>
  <c r="CT20" i="38" s="1"/>
  <c r="IT22" i="38"/>
  <c r="FI23" i="38"/>
  <c r="GF23" i="38" s="1"/>
  <c r="BV18" i="38"/>
  <c r="CP18" i="38" s="1"/>
  <c r="NN10" i="38"/>
  <c r="NN49" i="38" s="1"/>
  <c r="IQ18" i="38"/>
  <c r="IM9" i="38"/>
  <c r="IM38" i="38" s="1"/>
  <c r="FM12" i="38"/>
  <c r="GJ12" i="38" s="1"/>
  <c r="BD20" i="38"/>
  <c r="CB21" i="38"/>
  <c r="CV21" i="38" s="1"/>
  <c r="CB7" i="38"/>
  <c r="CV7" i="38" s="1"/>
  <c r="CA21" i="38"/>
  <c r="CU21" i="38" s="1"/>
  <c r="IP20" i="38"/>
  <c r="IX15" i="38"/>
  <c r="FI18" i="38"/>
  <c r="GF18" i="38" s="1"/>
  <c r="CC47" i="38"/>
  <c r="CD5" i="38"/>
  <c r="CX5" i="38" s="1"/>
  <c r="FO21" i="38"/>
  <c r="BD7" i="38"/>
  <c r="IQ21" i="38"/>
  <c r="BI15" i="47"/>
  <c r="BP15" i="38" s="1"/>
  <c r="FS25" i="38"/>
  <c r="GP25" i="38" s="1"/>
  <c r="KX25" i="38"/>
  <c r="NO25" i="38" s="1"/>
  <c r="NO64" i="38" s="1"/>
  <c r="IL18" i="38"/>
  <c r="LC9" i="38"/>
  <c r="BX10" i="38"/>
  <c r="CR10" i="38" s="1"/>
  <c r="KX18" i="38"/>
  <c r="LU18" i="38" s="1"/>
  <c r="CD18" i="38"/>
  <c r="CX18" i="38" s="1"/>
  <c r="CB16" i="38"/>
  <c r="CV16" i="38" s="1"/>
  <c r="LF18" i="38"/>
  <c r="NW18" i="38" s="1"/>
  <c r="NW57" i="38" s="1"/>
  <c r="LD16" i="38"/>
  <c r="NU16" i="38" s="1"/>
  <c r="NU55" i="38" s="1"/>
  <c r="KX17" i="38"/>
  <c r="LU17" i="38" s="1"/>
  <c r="KX12" i="38"/>
  <c r="NO12" i="38" s="1"/>
  <c r="NO51" i="38" s="1"/>
  <c r="BV5" i="38"/>
  <c r="CP5" i="38" s="1"/>
  <c r="IU10" i="38"/>
  <c r="BC12" i="38"/>
  <c r="BV12" i="38"/>
  <c r="CP12" i="38" s="1"/>
  <c r="CF19" i="38"/>
  <c r="CZ19" i="38" s="1"/>
  <c r="BX22" i="38"/>
  <c r="CR22" i="38" s="1"/>
  <c r="FI12" i="38"/>
  <c r="GF12" i="38" s="1"/>
  <c r="KX5" i="38"/>
  <c r="BG12" i="38"/>
  <c r="LF17" i="38"/>
  <c r="NW17" i="38" s="1"/>
  <c r="NW56" i="38" s="1"/>
  <c r="IN10" i="38"/>
  <c r="KY20" i="38"/>
  <c r="NP20" i="38" s="1"/>
  <c r="NP59" i="38" s="1"/>
  <c r="CD9" i="38"/>
  <c r="CX9" i="38" s="1"/>
  <c r="BE19" i="38"/>
  <c r="IM7" i="38"/>
  <c r="IM36" i="38" s="1"/>
  <c r="IN16" i="38"/>
  <c r="BW17" i="38"/>
  <c r="CQ17" i="38" s="1"/>
  <c r="CF25" i="38"/>
  <c r="CZ25" i="38" s="1"/>
  <c r="FI22" i="38"/>
  <c r="BK17" i="38"/>
  <c r="BE10" i="38"/>
  <c r="FJ20" i="38"/>
  <c r="GG20" i="38" s="1"/>
  <c r="IT12" i="38"/>
  <c r="IU5" i="38"/>
  <c r="BV22" i="38"/>
  <c r="CP22" i="38" s="1"/>
  <c r="IM18" i="38"/>
  <c r="BW20" i="38"/>
  <c r="CQ20" i="38" s="1"/>
  <c r="CF11" i="38"/>
  <c r="CZ11" i="38" s="1"/>
  <c r="CD12" i="38"/>
  <c r="CX12" i="38" s="1"/>
  <c r="CE5" i="38"/>
  <c r="CY5" i="38" s="1"/>
  <c r="FJ17" i="38"/>
  <c r="GG17" i="38" s="1"/>
  <c r="FR11" i="38"/>
  <c r="KY18" i="38"/>
  <c r="NP18" i="38" s="1"/>
  <c r="NP57" i="38" s="1"/>
  <c r="IV11" i="38"/>
  <c r="FQ12" i="38"/>
  <c r="GN12" i="38" s="1"/>
  <c r="IP12" i="38"/>
  <c r="CE11" i="38"/>
  <c r="CY11" i="38" s="1"/>
  <c r="FJ18" i="38"/>
  <c r="GG18" i="38" s="1"/>
  <c r="FS11" i="38"/>
  <c r="GP11" i="38" s="1"/>
  <c r="LF12" i="38"/>
  <c r="MC12" i="38" s="1"/>
  <c r="FK19" i="38"/>
  <c r="GH19" i="38" s="1"/>
  <c r="IV25" i="38"/>
  <c r="CD17" i="38"/>
  <c r="CX17" i="38" s="1"/>
  <c r="LG11" i="38"/>
  <c r="NX11" i="38" s="1"/>
  <c r="NX50" i="38" s="1"/>
  <c r="BW18" i="38"/>
  <c r="CQ18" i="38" s="1"/>
  <c r="KZ10" i="38"/>
  <c r="NQ10" i="38" s="1"/>
  <c r="NQ49" i="38" s="1"/>
  <c r="LH11" i="38"/>
  <c r="ME11" i="38" s="1"/>
  <c r="BX19" i="38"/>
  <c r="CR19" i="38" s="1"/>
  <c r="LH25" i="38"/>
  <c r="NY25" i="38" s="1"/>
  <c r="NY64" i="38" s="1"/>
  <c r="LB12" i="38"/>
  <c r="LY12" i="38" s="1"/>
  <c r="BC22" i="38"/>
  <c r="LG23" i="38"/>
  <c r="NX23" i="38" s="1"/>
  <c r="NX62" i="38" s="1"/>
  <c r="NZ12" i="38"/>
  <c r="NZ51" i="38" s="1"/>
  <c r="LH22" i="38"/>
  <c r="ME22" i="38" s="1"/>
  <c r="LD17" i="38"/>
  <c r="NU17" i="38" s="1"/>
  <c r="NU56" i="38" s="1"/>
  <c r="KY23" i="38"/>
  <c r="NP23" i="38" s="1"/>
  <c r="NP62" i="38" s="1"/>
  <c r="LX17" i="38"/>
  <c r="FM16" i="38"/>
  <c r="GJ16" i="38" s="1"/>
  <c r="NR9" i="38"/>
  <c r="LD18" i="38"/>
  <c r="NU18" i="38" s="1"/>
  <c r="NU57" i="38" s="1"/>
  <c r="FN17" i="38"/>
  <c r="GK17" i="38" s="1"/>
  <c r="LB16" i="38"/>
  <c r="NS16" i="38" s="1"/>
  <c r="NS55" i="38" s="1"/>
  <c r="FM21" i="38"/>
  <c r="FO17" i="38"/>
  <c r="GL17" i="38" s="1"/>
  <c r="MB17" i="38"/>
  <c r="NR23" i="38"/>
  <c r="NR62" i="38" s="1"/>
  <c r="FQ6" i="38"/>
  <c r="GN6" i="38" s="1"/>
  <c r="FO18" i="38"/>
  <c r="GL18" i="38" s="1"/>
  <c r="LC17" i="38"/>
  <c r="NT17" i="38" s="1"/>
  <c r="NT56" i="38" s="1"/>
  <c r="LB21" i="38"/>
  <c r="LY21" i="38" s="1"/>
  <c r="FR12" i="38"/>
  <c r="LG12" i="38"/>
  <c r="NX12" i="38" s="1"/>
  <c r="NX51" i="38" s="1"/>
  <c r="NZ21" i="38"/>
  <c r="NZ60" i="38" s="1"/>
  <c r="FK11" i="38"/>
  <c r="GH11" i="38" s="1"/>
  <c r="LT9" i="38"/>
  <c r="KZ11" i="38"/>
  <c r="NQ11" i="38" s="1"/>
  <c r="NQ50" i="38" s="1"/>
  <c r="FQ20" i="38"/>
  <c r="GN20" i="38" s="1"/>
  <c r="KZ6" i="38"/>
  <c r="NQ6" i="38" s="1"/>
  <c r="NQ45" i="38" s="1"/>
  <c r="FM14" i="38"/>
  <c r="GJ14" i="38" s="1"/>
  <c r="LB14" i="38"/>
  <c r="NS14" i="38" s="1"/>
  <c r="NS53" i="38" s="1"/>
  <c r="LX15" i="38"/>
  <c r="LG21" i="38"/>
  <c r="NX21" i="38" s="1"/>
  <c r="NX60" i="38" s="1"/>
  <c r="LD20" i="38"/>
  <c r="NU20" i="38" s="1"/>
  <c r="NU59" i="38" s="1"/>
  <c r="FO20" i="38"/>
  <c r="GL20" i="38" s="1"/>
  <c r="FO22" i="38"/>
  <c r="LF20" i="38"/>
  <c r="NW20" i="38" s="1"/>
  <c r="NW59" i="38" s="1"/>
  <c r="LD22" i="38"/>
  <c r="NU22" i="38" s="1"/>
  <c r="NU61" i="38" s="1"/>
  <c r="NZ17" i="38"/>
  <c r="NZ56" i="38" s="1"/>
  <c r="FR21" i="38"/>
  <c r="FR60" i="38" s="1"/>
  <c r="MF14" i="38"/>
  <c r="LD14" i="38"/>
  <c r="NU14" i="38" s="1"/>
  <c r="NU53" i="38" s="1"/>
  <c r="FS6" i="38"/>
  <c r="GP6" i="38" s="1"/>
  <c r="FU6" i="38"/>
  <c r="GR6" i="38" s="1"/>
  <c r="LG7" i="38"/>
  <c r="KZ16" i="38"/>
  <c r="LW16" i="38" s="1"/>
  <c r="FS22" i="38"/>
  <c r="LJ15" i="38"/>
  <c r="OA15" i="38" s="1"/>
  <c r="OA54" i="38" s="1"/>
  <c r="FO14" i="38"/>
  <c r="GL14" i="38" s="1"/>
  <c r="FM20" i="38"/>
  <c r="GJ20" i="38" s="1"/>
  <c r="FR7" i="38"/>
  <c r="FR46" i="38" s="1"/>
  <c r="LB20" i="38"/>
  <c r="LY20" i="38" s="1"/>
  <c r="LH6" i="38"/>
  <c r="NY6" i="38" s="1"/>
  <c r="NY45" i="38" s="1"/>
  <c r="FO12" i="38"/>
  <c r="GL12" i="38" s="1"/>
  <c r="FM18" i="38"/>
  <c r="GJ18" i="38" s="1"/>
  <c r="FU15" i="38"/>
  <c r="GR15" i="38" s="1"/>
  <c r="LC23" i="38"/>
  <c r="NT23" i="38" s="1"/>
  <c r="NT62" i="38" s="1"/>
  <c r="CG48" i="38"/>
  <c r="DA7" i="38"/>
  <c r="DA32" i="38" s="1"/>
  <c r="LJ6" i="38"/>
  <c r="MG6" i="38" s="1"/>
  <c r="FM17" i="38"/>
  <c r="GJ17" i="38" s="1"/>
  <c r="CG47" i="38"/>
  <c r="FK15" i="38"/>
  <c r="GH15" i="38" s="1"/>
  <c r="CG46" i="38"/>
  <c r="MB14" i="38"/>
  <c r="KZ15" i="38"/>
  <c r="NQ15" i="38" s="1"/>
  <c r="NQ54" i="38" s="1"/>
  <c r="MB11" i="38"/>
  <c r="LB23" i="38"/>
  <c r="LY23" i="38" s="1"/>
  <c r="FM10" i="38"/>
  <c r="GJ10" i="38" s="1"/>
  <c r="LX21" i="38"/>
  <c r="FM19" i="38"/>
  <c r="GJ19" i="38" s="1"/>
  <c r="FR10" i="38"/>
  <c r="FN23" i="38"/>
  <c r="GK23" i="38" s="1"/>
  <c r="LB10" i="38"/>
  <c r="LY10" i="38" s="1"/>
  <c r="FM23" i="38"/>
  <c r="GJ23" i="38" s="1"/>
  <c r="LG10" i="38"/>
  <c r="MD10" i="38" s="1"/>
  <c r="LB17" i="38"/>
  <c r="NS17" i="38" s="1"/>
  <c r="NS56" i="38" s="1"/>
  <c r="LB7" i="38"/>
  <c r="MB18" i="38"/>
  <c r="MF8" i="38"/>
  <c r="FM7" i="38"/>
  <c r="FM46" i="38" s="1"/>
  <c r="FQ23" i="38"/>
  <c r="GN23" i="38" s="1"/>
  <c r="MF7" i="38"/>
  <c r="KY21" i="38"/>
  <c r="NP21" i="38" s="1"/>
  <c r="NP60" i="38" s="1"/>
  <c r="MB5" i="38"/>
  <c r="LB26" i="38"/>
  <c r="NS26" i="38" s="1"/>
  <c r="NS65" i="38" s="1"/>
  <c r="FS19" i="38"/>
  <c r="GP19" i="38" s="1"/>
  <c r="EB19" i="38"/>
  <c r="FJ21" i="38"/>
  <c r="EB21" i="38"/>
  <c r="FR23" i="38"/>
  <c r="FQ15" i="38"/>
  <c r="GN15" i="38" s="1"/>
  <c r="LH19" i="38"/>
  <c r="ME19" i="38" s="1"/>
  <c r="LF23" i="38"/>
  <c r="NW23" i="38" s="1"/>
  <c r="NW62" i="38" s="1"/>
  <c r="KX15" i="38"/>
  <c r="LU15" i="38" s="1"/>
  <c r="LG25" i="38"/>
  <c r="MD25" i="38" s="1"/>
  <c r="FR25" i="38"/>
  <c r="LG9" i="38"/>
  <c r="KZ9" i="38"/>
  <c r="KY5" i="38"/>
  <c r="LD12" i="38"/>
  <c r="NU12" i="38" s="1"/>
  <c r="NU51" i="38" s="1"/>
  <c r="MF25" i="38"/>
  <c r="FU5" i="38"/>
  <c r="GR5" i="38" s="1"/>
  <c r="FK6" i="38"/>
  <c r="GH6" i="38" s="1"/>
  <c r="FR5" i="38"/>
  <c r="FM22" i="38"/>
  <c r="LG5" i="38"/>
  <c r="FJ11" i="38"/>
  <c r="GG11" i="38" s="1"/>
  <c r="NR16" i="38"/>
  <c r="NR55" i="38" s="1"/>
  <c r="NN19" i="38"/>
  <c r="NN58" i="38" s="1"/>
  <c r="LB22" i="38"/>
  <c r="NS22" i="38" s="1"/>
  <c r="NS61" i="38" s="1"/>
  <c r="KY17" i="38"/>
  <c r="NP17" i="38" s="1"/>
  <c r="NP56" i="38" s="1"/>
  <c r="NZ11" i="38"/>
  <c r="NZ50" i="38" s="1"/>
  <c r="LT7" i="38"/>
  <c r="LG14" i="38"/>
  <c r="NX14" i="38" s="1"/>
  <c r="NX53" i="38" s="1"/>
  <c r="LX11" i="38"/>
  <c r="LC11" i="38"/>
  <c r="NT11" i="38" s="1"/>
  <c r="NT50" i="38" s="1"/>
  <c r="FK9" i="38"/>
  <c r="FK48" i="38" s="1"/>
  <c r="FR14" i="38"/>
  <c r="FJ5" i="38"/>
  <c r="GG5" i="38" s="1"/>
  <c r="MB6" i="38"/>
  <c r="LT20" i="38"/>
  <c r="NZ6" i="38"/>
  <c r="NZ45" i="38" s="1"/>
  <c r="FN6" i="38"/>
  <c r="GK6" i="38" s="1"/>
  <c r="FN5" i="38"/>
  <c r="GK5" i="38" s="1"/>
  <c r="LC6" i="38"/>
  <c r="NT6" i="38" s="1"/>
  <c r="NT45" i="38" s="1"/>
  <c r="PU10" i="38"/>
  <c r="FI24" i="38"/>
  <c r="GF24" i="38" s="1"/>
  <c r="LC5" i="38"/>
  <c r="FM9" i="38"/>
  <c r="FM48" i="38" s="1"/>
  <c r="KX24" i="38"/>
  <c r="NO24" i="38" s="1"/>
  <c r="NO63" i="38" s="1"/>
  <c r="FO11" i="38"/>
  <c r="GL11" i="38" s="1"/>
  <c r="FQ21" i="38"/>
  <c r="LH12" i="38"/>
  <c r="NY12" i="38" s="1"/>
  <c r="NY51" i="38" s="1"/>
  <c r="NV23" i="38"/>
  <c r="NV62" i="38" s="1"/>
  <c r="LF21" i="38"/>
  <c r="NW21" i="38" s="1"/>
  <c r="NW60" i="38" s="1"/>
  <c r="FK7" i="38"/>
  <c r="FK46" i="38" s="1"/>
  <c r="FS12" i="38"/>
  <c r="GP12" i="38" s="1"/>
  <c r="MF19" i="38"/>
  <c r="FN14" i="38"/>
  <c r="GK14" i="38" s="1"/>
  <c r="LC14" i="38"/>
  <c r="NT14" i="38" s="1"/>
  <c r="NT53" i="38" s="1"/>
  <c r="LX25" i="38"/>
  <c r="KZ7" i="38"/>
  <c r="LD11" i="38"/>
  <c r="NU11" i="38" s="1"/>
  <c r="NU50" i="38" s="1"/>
  <c r="FN19" i="38"/>
  <c r="GK19" i="38" s="1"/>
  <c r="FI11" i="38"/>
  <c r="GF11" i="38" s="1"/>
  <c r="BY47" i="38"/>
  <c r="LB11" i="38"/>
  <c r="NS11" i="38" s="1"/>
  <c r="NS50" i="38" s="1"/>
  <c r="FJ19" i="38"/>
  <c r="GG19" i="38" s="1"/>
  <c r="FQ14" i="38"/>
  <c r="GN14" i="38" s="1"/>
  <c r="FJ23" i="38"/>
  <c r="GG23" i="38" s="1"/>
  <c r="LD23" i="38"/>
  <c r="NU23" i="38" s="1"/>
  <c r="NU62" i="38" s="1"/>
  <c r="FR16" i="38"/>
  <c r="PS25" i="38"/>
  <c r="IU9" i="38"/>
  <c r="IU38" i="38" s="1"/>
  <c r="FS16" i="38"/>
  <c r="GP16" i="38" s="1"/>
  <c r="CB9" i="38"/>
  <c r="FS15" i="38"/>
  <c r="GP15" i="38" s="1"/>
  <c r="FM11" i="38"/>
  <c r="GJ11" i="38" s="1"/>
  <c r="CH25" i="38"/>
  <c r="DB25" i="38" s="1"/>
  <c r="FU11" i="38"/>
  <c r="GR11" i="38" s="1"/>
  <c r="IX5" i="38"/>
  <c r="FQ25" i="38"/>
  <c r="GN25" i="38" s="1"/>
  <c r="CE9" i="38"/>
  <c r="LH16" i="38"/>
  <c r="NY16" i="38" s="1"/>
  <c r="NY55" i="38" s="1"/>
  <c r="LD9" i="38"/>
  <c r="CF15" i="38"/>
  <c r="CZ15" i="38" s="1"/>
  <c r="BO25" i="38"/>
  <c r="CH11" i="38"/>
  <c r="DB11" i="38" s="1"/>
  <c r="LJ5" i="38"/>
  <c r="LF25" i="38"/>
  <c r="MC25" i="38" s="1"/>
  <c r="KX16" i="38"/>
  <c r="NO16" i="38" s="1"/>
  <c r="NO55" i="38" s="1"/>
  <c r="BC7" i="38"/>
  <c r="FR9" i="38"/>
  <c r="FR48" i="38" s="1"/>
  <c r="IV16" i="38"/>
  <c r="FO9" i="38"/>
  <c r="FO48" i="38" s="1"/>
  <c r="IV15" i="38"/>
  <c r="FU25" i="38"/>
  <c r="GR25" i="38" s="1"/>
  <c r="BO11" i="38"/>
  <c r="CH5" i="38"/>
  <c r="DB5" i="38" s="1"/>
  <c r="CD25" i="38"/>
  <c r="CX25" i="38" s="1"/>
  <c r="BV16" i="38"/>
  <c r="CP16" i="38" s="1"/>
  <c r="CS7" i="38"/>
  <c r="CS32" i="38" s="1"/>
  <c r="IQ15" i="38"/>
  <c r="LH15" i="38"/>
  <c r="NY15" i="38" s="1"/>
  <c r="NY54" i="38" s="1"/>
  <c r="KZ17" i="38"/>
  <c r="NQ17" i="38" s="1"/>
  <c r="NQ56" i="38" s="1"/>
  <c r="IX25" i="38"/>
  <c r="LJ11" i="38"/>
  <c r="MG11" i="38" s="1"/>
  <c r="BO5" i="38"/>
  <c r="BK25" i="38"/>
  <c r="IL16" i="38"/>
  <c r="BC11" i="38"/>
  <c r="BY46" i="38"/>
  <c r="CA15" i="38"/>
  <c r="CU15" i="38" s="1"/>
  <c r="IN17" i="38"/>
  <c r="IP11" i="38"/>
  <c r="FI16" i="38"/>
  <c r="GF16" i="38" s="1"/>
  <c r="IY5" i="38"/>
  <c r="K14" i="58" s="1"/>
  <c r="BY48" i="38"/>
  <c r="FK17" i="38"/>
  <c r="GH17" i="38" s="1"/>
  <c r="BZ11" i="38"/>
  <c r="CT11" i="38" s="1"/>
  <c r="FI7" i="38"/>
  <c r="FI46" i="38" s="1"/>
  <c r="IL11" i="38"/>
  <c r="KX7" i="38"/>
  <c r="BV7" i="38"/>
  <c r="CP7" i="38" s="1"/>
  <c r="CW9" i="38"/>
  <c r="CW32" i="38" s="1"/>
  <c r="BD12" i="38"/>
  <c r="MB19" i="38"/>
  <c r="IR23" i="38"/>
  <c r="IT14" i="38"/>
  <c r="BG18" i="38"/>
  <c r="BI7" i="47"/>
  <c r="BP7" i="38" s="1"/>
  <c r="CE15" i="38"/>
  <c r="CY15" i="38" s="1"/>
  <c r="MB9" i="38"/>
  <c r="CC48" i="38"/>
  <c r="LJ14" i="38"/>
  <c r="MG14" i="38" s="1"/>
  <c r="BZ9" i="38"/>
  <c r="CT9" i="38" s="1"/>
  <c r="IV9" i="38"/>
  <c r="IV38" i="38" s="1"/>
  <c r="CA11" i="38"/>
  <c r="CU11" i="38" s="1"/>
  <c r="IL17" i="38"/>
  <c r="KY12" i="38"/>
  <c r="NP12" i="38" s="1"/>
  <c r="NP51" i="38" s="1"/>
  <c r="FO23" i="38"/>
  <c r="GL23" i="38" s="1"/>
  <c r="LF14" i="38"/>
  <c r="MC14" i="38" s="1"/>
  <c r="CH7" i="38"/>
  <c r="IU15" i="38"/>
  <c r="BO14" i="38"/>
  <c r="KX9" i="38"/>
  <c r="BV20" i="38"/>
  <c r="CP20" i="38" s="1"/>
  <c r="BZ25" i="38"/>
  <c r="CT25" i="38" s="1"/>
  <c r="IQ11" i="38"/>
  <c r="BU46" i="38"/>
  <c r="KY19" i="38"/>
  <c r="NP19" i="38" s="1"/>
  <c r="NP58" i="38" s="1"/>
  <c r="IM12" i="38"/>
  <c r="CB23" i="38"/>
  <c r="CV23" i="38" s="1"/>
  <c r="CD14" i="38"/>
  <c r="CX14" i="38" s="1"/>
  <c r="BD23" i="38"/>
  <c r="LG15" i="38"/>
  <c r="MD15" i="38" s="1"/>
  <c r="BU48" i="38"/>
  <c r="BI14" i="47"/>
  <c r="FV14" i="38" s="1"/>
  <c r="BV9" i="38"/>
  <c r="CP9" i="38" s="1"/>
  <c r="FJ12" i="38"/>
  <c r="GG12" i="38" s="1"/>
  <c r="BL19" i="38"/>
  <c r="LB18" i="38"/>
  <c r="NS18" i="38" s="1"/>
  <c r="NS57" i="38" s="1"/>
  <c r="IX14" i="38"/>
  <c r="IP15" i="38"/>
  <c r="LF7" i="38"/>
  <c r="BI23" i="38"/>
  <c r="BK14" i="38"/>
  <c r="LX10" i="38"/>
  <c r="IM19" i="38"/>
  <c r="IM23" i="38"/>
  <c r="IM62" i="38" s="1"/>
  <c r="BL15" i="38"/>
  <c r="CC46" i="38"/>
  <c r="FU14" i="38"/>
  <c r="GR14" i="38" s="1"/>
  <c r="IL9" i="38"/>
  <c r="IL38" i="38" s="1"/>
  <c r="LH9" i="38"/>
  <c r="IP25" i="38"/>
  <c r="LB15" i="38"/>
  <c r="LY15" i="38" s="1"/>
  <c r="FQ7" i="38"/>
  <c r="FQ46" i="38" s="1"/>
  <c r="BD19" i="38"/>
  <c r="IP18" i="38"/>
  <c r="BW23" i="38"/>
  <c r="CQ23" i="38" s="1"/>
  <c r="FM25" i="38"/>
  <c r="GJ25" i="38" s="1"/>
  <c r="BG9" i="38"/>
  <c r="FK25" i="38"/>
  <c r="GH25" i="38" s="1"/>
  <c r="LG16" i="38"/>
  <c r="NX16" i="38" s="1"/>
  <c r="NX55" i="38" s="1"/>
  <c r="FS9" i="38"/>
  <c r="FS48" i="38" s="1"/>
  <c r="FN11" i="38"/>
  <c r="GK11" i="38" s="1"/>
  <c r="BU47" i="38"/>
  <c r="CF9" i="38"/>
  <c r="CZ9" i="38" s="1"/>
  <c r="BX25" i="38"/>
  <c r="CR25" i="38" s="1"/>
  <c r="LF19" i="38"/>
  <c r="NW19" i="38" s="1"/>
  <c r="NW58" i="38" s="1"/>
  <c r="CF5" i="38"/>
  <c r="CZ5" i="38" s="1"/>
  <c r="BL16" i="38"/>
  <c r="BC20" i="38"/>
  <c r="FK20" i="38"/>
  <c r="GH20" i="38" s="1"/>
  <c r="CB25" i="38"/>
  <c r="CV25" i="38" s="1"/>
  <c r="IT10" i="38"/>
  <c r="CD19" i="38"/>
  <c r="CX19" i="38" s="1"/>
  <c r="IV5" i="38"/>
  <c r="KZ25" i="38"/>
  <c r="NQ25" i="38" s="1"/>
  <c r="NQ64" i="38" s="1"/>
  <c r="BE25" i="38"/>
  <c r="IT19" i="38"/>
  <c r="LH5" i="38"/>
  <c r="KZ18" i="38"/>
  <c r="LW18" i="38" s="1"/>
  <c r="IR5" i="38"/>
  <c r="IN20" i="38"/>
  <c r="IR25" i="38"/>
  <c r="FQ19" i="38"/>
  <c r="GN19" i="38" s="1"/>
  <c r="BX18" i="38"/>
  <c r="CR18" i="38" s="1"/>
  <c r="FO5" i="38"/>
  <c r="GL5" i="38" s="1"/>
  <c r="LX12" i="38"/>
  <c r="FQ10" i="38"/>
  <c r="GN10" i="38" s="1"/>
  <c r="LT18" i="38"/>
  <c r="NN18" i="38"/>
  <c r="NN57" i="38" s="1"/>
  <c r="IN18" i="38"/>
  <c r="IU16" i="38"/>
  <c r="CB5" i="38"/>
  <c r="CV5" i="38" s="1"/>
  <c r="FK18" i="38"/>
  <c r="GH18" i="38" s="1"/>
  <c r="CE16" i="38"/>
  <c r="CY16" i="38" s="1"/>
  <c r="LD5" i="38"/>
  <c r="KX20" i="38"/>
  <c r="NO20" i="38" s="1"/>
  <c r="NO59" i="38" s="1"/>
  <c r="KZ20" i="38"/>
  <c r="NQ20" i="38" s="1"/>
  <c r="NQ59" i="38" s="1"/>
  <c r="BX20" i="38"/>
  <c r="CR20" i="38" s="1"/>
  <c r="LF10" i="38"/>
  <c r="NW10" i="38" s="1"/>
  <c r="NW49" i="38" s="1"/>
  <c r="FO25" i="38"/>
  <c r="GL25" i="38" s="1"/>
  <c r="IL20" i="38"/>
  <c r="CD10" i="38"/>
  <c r="CX10" i="38" s="1"/>
  <c r="BH12" i="38"/>
  <c r="FQ5" i="38"/>
  <c r="GN5" i="38" s="1"/>
  <c r="CD6" i="38"/>
  <c r="CX6" i="38" s="1"/>
  <c r="CE6" i="38"/>
  <c r="CY6" i="38" s="1"/>
  <c r="BH19" i="38"/>
  <c r="LF5" i="38"/>
  <c r="FO10" i="38"/>
  <c r="GL10" i="38" s="1"/>
  <c r="BK6" i="38"/>
  <c r="IU6" i="38"/>
  <c r="FI25" i="38"/>
  <c r="GF25" i="38" s="1"/>
  <c r="NN17" i="38"/>
  <c r="NN56" i="38" s="1"/>
  <c r="LG6" i="38"/>
  <c r="NX6" i="38" s="1"/>
  <c r="NX45" i="38" s="1"/>
  <c r="BK5" i="38"/>
  <c r="CB10" i="38"/>
  <c r="CV10" i="38" s="1"/>
  <c r="IM10" i="38"/>
  <c r="BC25" i="38"/>
  <c r="LD10" i="38"/>
  <c r="NU10" i="38" s="1"/>
  <c r="NU49" i="38" s="1"/>
  <c r="KY10" i="38"/>
  <c r="NP10" i="38" s="1"/>
  <c r="NP49" i="38" s="1"/>
  <c r="FN12" i="38"/>
  <c r="GK12" i="38" s="1"/>
  <c r="IR10" i="38"/>
  <c r="FJ10" i="38"/>
  <c r="GG10" i="38" s="1"/>
  <c r="IQ19" i="38"/>
  <c r="IL25" i="38"/>
  <c r="LC12" i="38"/>
  <c r="NT12" i="38" s="1"/>
  <c r="NT51" i="38" s="1"/>
  <c r="LF6" i="38"/>
  <c r="NW6" i="38" s="1"/>
  <c r="NW45" i="38" s="1"/>
  <c r="BD10" i="38"/>
  <c r="LC19" i="38"/>
  <c r="NT19" i="38" s="1"/>
  <c r="NT58" i="38" s="1"/>
  <c r="NN25" i="38"/>
  <c r="NN64" i="38" s="1"/>
  <c r="LT25" i="38"/>
  <c r="NQ26" i="38"/>
  <c r="NQ65" i="38" s="1"/>
  <c r="AR28" i="47"/>
  <c r="PU26" i="38"/>
  <c r="LX5" i="38"/>
  <c r="NR5" i="38"/>
  <c r="M226" i="55"/>
  <c r="LG19" i="38"/>
  <c r="NX19" i="38" s="1"/>
  <c r="NX58" i="38" s="1"/>
  <c r="FS20" i="38"/>
  <c r="GP20" i="38" s="1"/>
  <c r="KY22" i="38"/>
  <c r="NP22" i="38" s="1"/>
  <c r="NP61" i="38" s="1"/>
  <c r="FU7" i="38"/>
  <c r="FU46" i="38" s="1"/>
  <c r="LF22" i="38"/>
  <c r="MC22" i="38" s="1"/>
  <c r="KY7" i="38"/>
  <c r="LC15" i="38"/>
  <c r="NT15" i="38" s="1"/>
  <c r="NT54" i="38" s="1"/>
  <c r="LB25" i="38"/>
  <c r="NS25" i="38" s="1"/>
  <c r="NS64" i="38" s="1"/>
  <c r="FI6" i="38"/>
  <c r="GF6" i="38" s="1"/>
  <c r="FQ9" i="38"/>
  <c r="FQ48" i="38" s="1"/>
  <c r="FN15" i="38"/>
  <c r="GK15" i="38" s="1"/>
  <c r="LJ7" i="38"/>
  <c r="FQ22" i="38"/>
  <c r="LT11" i="38"/>
  <c r="PU20" i="38"/>
  <c r="LX13" i="38"/>
  <c r="NR13" i="38"/>
  <c r="NR52" i="38" s="1"/>
  <c r="FM6" i="38"/>
  <c r="GJ6" i="38" s="1"/>
  <c r="LB6" i="38"/>
  <c r="NS6" i="38" s="1"/>
  <c r="NS45" i="38" s="1"/>
  <c r="FS5" i="38"/>
  <c r="GP5" i="38" s="1"/>
  <c r="LG17" i="38"/>
  <c r="NX17" i="38" s="1"/>
  <c r="NX56" i="38" s="1"/>
  <c r="LF9" i="38"/>
  <c r="PQ18" i="38"/>
  <c r="PU18" i="38" s="1"/>
  <c r="DY18" i="38"/>
  <c r="FM15" i="38"/>
  <c r="GJ15" i="38" s="1"/>
  <c r="FR17" i="38"/>
  <c r="FK16" i="38"/>
  <c r="GH16" i="38" s="1"/>
  <c r="FR19" i="38"/>
  <c r="FJ7" i="38"/>
  <c r="FJ46" i="38" s="1"/>
  <c r="LH20" i="38"/>
  <c r="NY20" i="38" s="1"/>
  <c r="NY59" i="38" s="1"/>
  <c r="KX6" i="38"/>
  <c r="NO6" i="38" s="1"/>
  <c r="NO45" i="38" s="1"/>
  <c r="LD25" i="38"/>
  <c r="NU25" i="38" s="1"/>
  <c r="NU64" i="38" s="1"/>
  <c r="KZ13" i="38"/>
  <c r="FK13" i="38"/>
  <c r="GH13" i="38" s="1"/>
  <c r="DY15" i="38"/>
  <c r="PQ15" i="38"/>
  <c r="PT15" i="38" s="1"/>
  <c r="FU26" i="38"/>
  <c r="LJ26" i="38"/>
  <c r="LF27" i="38"/>
  <c r="FQ27" i="38"/>
  <c r="GN27" i="38" s="1"/>
  <c r="LG26" i="38"/>
  <c r="FR26" i="38"/>
  <c r="FR65" i="38" s="1"/>
  <c r="PQ9" i="38"/>
  <c r="PU9" i="38" s="1"/>
  <c r="DY9" i="38"/>
  <c r="PU21" i="38"/>
  <c r="I227" i="55" s="1"/>
  <c r="EB10" i="38"/>
  <c r="LG27" i="38"/>
  <c r="FR27" i="38"/>
  <c r="LG13" i="38"/>
  <c r="FR13" i="38"/>
  <c r="FV26" i="38"/>
  <c r="LK26" i="38"/>
  <c r="PT26" i="38"/>
  <c r="FU13" i="38"/>
  <c r="GR13" i="38" s="1"/>
  <c r="LJ13" i="38"/>
  <c r="M238" i="55"/>
  <c r="PS26" i="38"/>
  <c r="M220" i="55"/>
  <c r="PS17" i="38"/>
  <c r="DY13" i="38"/>
  <c r="PQ13" i="38"/>
  <c r="PS13" i="38" s="1"/>
  <c r="PV26" i="38"/>
  <c r="PT17" i="38"/>
  <c r="K220" i="55" s="1"/>
  <c r="LD24" i="38"/>
  <c r="FO24" i="38"/>
  <c r="GL24" i="38" s="1"/>
  <c r="NN26" i="38"/>
  <c r="NN65" i="38" s="1"/>
  <c r="LT26" i="38"/>
  <c r="KY26" i="38"/>
  <c r="FJ26" i="38"/>
  <c r="EB26" i="38"/>
  <c r="Z733" i="55"/>
  <c r="H607" i="48" s="1"/>
  <c r="PQ6" i="38"/>
  <c r="PT6" i="38" s="1"/>
  <c r="DY6" i="38"/>
  <c r="PT22" i="38"/>
  <c r="K222" i="55" s="1"/>
  <c r="FS13" i="38"/>
  <c r="GP13" i="38" s="1"/>
  <c r="LH13" i="38"/>
  <c r="NV8" i="38"/>
  <c r="NV47" i="38" s="1"/>
  <c r="MB8" i="38"/>
  <c r="NN14" i="38"/>
  <c r="NN53" i="38" s="1"/>
  <c r="LT14" i="38"/>
  <c r="PT25" i="38"/>
  <c r="LT22" i="38"/>
  <c r="NN22" i="38"/>
  <c r="NN61" i="38" s="1"/>
  <c r="FS27" i="38"/>
  <c r="GP27" i="38" s="1"/>
  <c r="LH27" i="38"/>
  <c r="LH26" i="38"/>
  <c r="FS26" i="38"/>
  <c r="PQ7" i="38"/>
  <c r="PU7" i="38" s="1"/>
  <c r="DY7" i="38"/>
  <c r="MF27" i="38"/>
  <c r="NZ27" i="38"/>
  <c r="NZ66" i="38" s="1"/>
  <c r="FI21" i="38"/>
  <c r="PT20" i="38"/>
  <c r="FI26" i="38"/>
  <c r="KX26" i="38"/>
  <c r="M233" i="55"/>
  <c r="PS20" i="38"/>
  <c r="PV20" i="38"/>
  <c r="FU8" i="38"/>
  <c r="LJ8" i="38"/>
  <c r="LJ47" i="38" s="1"/>
  <c r="EA22" i="38"/>
  <c r="EC22" i="38" s="1"/>
  <c r="LD8" i="38"/>
  <c r="LD47" i="38" s="1"/>
  <c r="FO8" i="38"/>
  <c r="LF26" i="38"/>
  <c r="FQ26" i="38"/>
  <c r="DY24" i="38"/>
  <c r="PQ24" i="38"/>
  <c r="PU24" i="38" s="1"/>
  <c r="FR22" i="38"/>
  <c r="KX11" i="38"/>
  <c r="PU19" i="38"/>
  <c r="OA27" i="38"/>
  <c r="OA66" i="38" s="1"/>
  <c r="MG27" i="38"/>
  <c r="EA21" i="38"/>
  <c r="EC21" i="38" s="1"/>
  <c r="EA19" i="38"/>
  <c r="EC19" i="38" s="1"/>
  <c r="LJ24" i="38"/>
  <c r="FU24" i="38"/>
  <c r="GR24" i="38" s="1"/>
  <c r="LC25" i="38"/>
  <c r="NT25" i="38" s="1"/>
  <c r="NT64" i="38" s="1"/>
  <c r="EA10" i="38"/>
  <c r="EC10" i="38" s="1"/>
  <c r="PV27" i="38"/>
  <c r="PU27" i="38"/>
  <c r="FI17" i="38"/>
  <c r="GF17" i="38" s="1"/>
  <c r="LB24" i="38"/>
  <c r="FM24" i="38"/>
  <c r="GJ24" i="38" s="1"/>
  <c r="KY24" i="38"/>
  <c r="FJ24" i="38"/>
  <c r="GG24" i="38" s="1"/>
  <c r="EA23" i="38"/>
  <c r="EC23" i="38" s="1"/>
  <c r="PU22" i="38"/>
  <c r="LG22" i="38"/>
  <c r="MD22" i="38" s="1"/>
  <c r="FN25" i="38"/>
  <c r="GK25" i="38" s="1"/>
  <c r="FR6" i="38"/>
  <c r="LB9" i="38"/>
  <c r="MA13" i="38"/>
  <c r="NU13" i="38"/>
  <c r="NU52" i="38" s="1"/>
  <c r="PV22" i="38"/>
  <c r="M222" i="55"/>
  <c r="FV27" i="38"/>
  <c r="GS27" i="38" s="1"/>
  <c r="EB27" i="38"/>
  <c r="LK27" i="38"/>
  <c r="FN13" i="38"/>
  <c r="GK13" i="38" s="1"/>
  <c r="LC13" i="38"/>
  <c r="PV17" i="38"/>
  <c r="PU17" i="38"/>
  <c r="I220" i="55" s="1"/>
  <c r="PQ5" i="38"/>
  <c r="DY5" i="38"/>
  <c r="MD24" i="38"/>
  <c r="NX24" i="38"/>
  <c r="NX63" i="38" s="1"/>
  <c r="ME8" i="38"/>
  <c r="NY8" i="38"/>
  <c r="NY47" i="38" s="1"/>
  <c r="EB11" i="38"/>
  <c r="KZ24" i="38"/>
  <c r="FK24" i="38"/>
  <c r="GH24" i="38" s="1"/>
  <c r="PU12" i="38"/>
  <c r="I226" i="55" s="1"/>
  <c r="PU23" i="38"/>
  <c r="I221" i="55" s="1"/>
  <c r="DY8" i="38"/>
  <c r="PQ8" i="38"/>
  <c r="PT8" i="38" s="1"/>
  <c r="EB22" i="38"/>
  <c r="EA12" i="38"/>
  <c r="EC12" i="38" s="1"/>
  <c r="EB12" i="38"/>
  <c r="EA17" i="38"/>
  <c r="EC17" i="38" s="1"/>
  <c r="EB17" i="38"/>
  <c r="PV11" i="38"/>
  <c r="PU11" i="38"/>
  <c r="LH24" i="38"/>
  <c r="FS24" i="38"/>
  <c r="GP24" i="38" s="1"/>
  <c r="EA25" i="38"/>
  <c r="EC25" i="38" s="1"/>
  <c r="EB25" i="38"/>
  <c r="EA27" i="38"/>
  <c r="EC27" i="38" s="1"/>
  <c r="LC26" i="38"/>
  <c r="FN26" i="38"/>
  <c r="EA26" i="38"/>
  <c r="EC26" i="38" s="1"/>
  <c r="FQ13" i="38"/>
  <c r="GN13" i="38" s="1"/>
  <c r="LF13" i="38"/>
  <c r="EA14" i="38"/>
  <c r="EC14" i="38" s="1"/>
  <c r="PV25" i="38"/>
  <c r="PU25" i="38"/>
  <c r="KZ22" i="38"/>
  <c r="LW22" i="38" s="1"/>
  <c r="PT27" i="38"/>
  <c r="FR8" i="38"/>
  <c r="LG8" i="38"/>
  <c r="LG47" i="38" s="1"/>
  <c r="LY13" i="38"/>
  <c r="NS13" i="38"/>
  <c r="NS52" i="38" s="1"/>
  <c r="NV24" i="38"/>
  <c r="NV63" i="38" s="1"/>
  <c r="MB24" i="38"/>
  <c r="FK22" i="38"/>
  <c r="FI9" i="38"/>
  <c r="FI48" i="38" s="1"/>
  <c r="PS27" i="38"/>
  <c r="CL27" i="38"/>
  <c r="LY27" i="38"/>
  <c r="BR27" i="38"/>
  <c r="LK23" i="38"/>
  <c r="CI23" i="38"/>
  <c r="DC23" i="38" s="1"/>
  <c r="IY23" i="38"/>
  <c r="K32" i="58" s="1"/>
  <c r="FV23" i="38"/>
  <c r="BP23" i="38"/>
  <c r="MG25" i="38"/>
  <c r="OA25" i="38"/>
  <c r="OA64" i="38" s="1"/>
  <c r="IY12" i="38"/>
  <c r="K21" i="58" s="1"/>
  <c r="LK12" i="38"/>
  <c r="BP12" i="38"/>
  <c r="CI12" i="38"/>
  <c r="DC12" i="38" s="1"/>
  <c r="FV12" i="38"/>
  <c r="DE27" i="38"/>
  <c r="IY6" i="38"/>
  <c r="CI6" i="38"/>
  <c r="DC6" i="38" s="1"/>
  <c r="BP6" i="38"/>
  <c r="BS6" i="38" s="1"/>
  <c r="CQ15" i="38"/>
  <c r="CQ11" i="38"/>
  <c r="NO27" i="38"/>
  <c r="NO66" i="38" s="1"/>
  <c r="LU27" i="38"/>
  <c r="JH20" i="38"/>
  <c r="CQ19" i="38"/>
  <c r="JA27" i="38"/>
  <c r="JC27" i="38" s="1"/>
  <c r="MG21" i="38"/>
  <c r="OA21" i="38"/>
  <c r="OA60" i="38" s="1"/>
  <c r="CQ7" i="38"/>
  <c r="CK27" i="38"/>
  <c r="CM27" i="38" s="1"/>
  <c r="DC5" i="38"/>
  <c r="AA14" i="58" s="1"/>
  <c r="LW27" i="38"/>
  <c r="NQ27" i="38"/>
  <c r="NQ66" i="38" s="1"/>
  <c r="CQ10" i="38"/>
  <c r="JH15" i="38"/>
  <c r="CR7" i="38"/>
  <c r="CQ12" i="38"/>
  <c r="MA27" i="38"/>
  <c r="NU27" i="38"/>
  <c r="NU66" i="38" s="1"/>
  <c r="JW27" i="38"/>
  <c r="ED22" i="38" l="1"/>
  <c r="EA55" i="38"/>
  <c r="ED53" i="38"/>
  <c r="SB25" i="38"/>
  <c r="FS33" i="38"/>
  <c r="NW8" i="38"/>
  <c r="NW47" i="38" s="1"/>
  <c r="K15" i="58"/>
  <c r="K43" i="58" s="1"/>
  <c r="RY16" i="38"/>
  <c r="SB16" i="38" s="1"/>
  <c r="RF16" i="38"/>
  <c r="PS14" i="38"/>
  <c r="K224" i="55" s="1"/>
  <c r="PT14" i="38"/>
  <c r="M224" i="55"/>
  <c r="M231" i="55"/>
  <c r="PV16" i="38"/>
  <c r="NO13" i="38"/>
  <c r="NO52" i="38" s="1"/>
  <c r="LU13" i="38"/>
  <c r="RY10" i="38"/>
  <c r="SA10" i="38" s="1"/>
  <c r="RF10" i="38"/>
  <c r="I224" i="55"/>
  <c r="I231" i="55"/>
  <c r="MC8" i="38"/>
  <c r="EA20" i="38"/>
  <c r="EC20" i="38" s="1"/>
  <c r="FV20" i="38"/>
  <c r="GC20" i="38" s="1"/>
  <c r="K230" i="55"/>
  <c r="ED20" i="38"/>
  <c r="RY20" i="38"/>
  <c r="SB20" i="38" s="1"/>
  <c r="PV14" i="38"/>
  <c r="PS16" i="38"/>
  <c r="RY11" i="38"/>
  <c r="SA11" i="38" s="1"/>
  <c r="RF11" i="38"/>
  <c r="RI11" i="38" s="1"/>
  <c r="ED11" i="38"/>
  <c r="RY14" i="38"/>
  <c r="SA14" i="38" s="1"/>
  <c r="RF14" i="38"/>
  <c r="EA49" i="38"/>
  <c r="EB16" i="38"/>
  <c r="GP8" i="38"/>
  <c r="PT16" i="38"/>
  <c r="FO65" i="38"/>
  <c r="SA23" i="38"/>
  <c r="SB19" i="38"/>
  <c r="SA17" i="38"/>
  <c r="RF9" i="38"/>
  <c r="H484" i="58" s="1"/>
  <c r="RY9" i="38"/>
  <c r="SB9" i="38" s="1"/>
  <c r="RF18" i="38"/>
  <c r="H463" i="58" s="1"/>
  <c r="RY18" i="38"/>
  <c r="SA18" i="38" s="1"/>
  <c r="SB23" i="38"/>
  <c r="SB17" i="38"/>
  <c r="RF6" i="38"/>
  <c r="H464" i="58" s="1"/>
  <c r="RY6" i="38"/>
  <c r="SA6" i="38" s="1"/>
  <c r="RF7" i="38"/>
  <c r="H472" i="58" s="1"/>
  <c r="RY7" i="38"/>
  <c r="SA7" i="38" s="1"/>
  <c r="RF8" i="38"/>
  <c r="H465" i="58" s="1"/>
  <c r="RY8" i="38"/>
  <c r="SB8" i="38" s="1"/>
  <c r="RF13" i="38"/>
  <c r="H473" i="58" s="1"/>
  <c r="RY13" i="38"/>
  <c r="SB13" i="38" s="1"/>
  <c r="ED5" i="38"/>
  <c r="RF5" i="38"/>
  <c r="H474" i="58" s="1"/>
  <c r="RY5" i="38"/>
  <c r="RF24" i="38"/>
  <c r="H477" i="58" s="1"/>
  <c r="RY24" i="38"/>
  <c r="SA24" i="38" s="1"/>
  <c r="ED15" i="38"/>
  <c r="RF15" i="38"/>
  <c r="H467" i="58" s="1"/>
  <c r="RY15" i="38"/>
  <c r="SB15" i="38" s="1"/>
  <c r="K226" i="55"/>
  <c r="O86" i="51"/>
  <c r="O111" i="51"/>
  <c r="O166" i="51"/>
  <c r="O266" i="51"/>
  <c r="O61" i="51"/>
  <c r="O236" i="51"/>
  <c r="O128" i="51"/>
  <c r="N277" i="51"/>
  <c r="N376" i="51"/>
  <c r="O356" i="51"/>
  <c r="O387" i="51"/>
  <c r="O255" i="51"/>
  <c r="O161" i="51"/>
  <c r="O300" i="51"/>
  <c r="O191" i="51"/>
  <c r="N98" i="51"/>
  <c r="N59" i="51"/>
  <c r="N121" i="51"/>
  <c r="N233" i="51"/>
  <c r="N256" i="51"/>
  <c r="N331" i="51"/>
  <c r="N146" i="51"/>
  <c r="N305" i="51"/>
  <c r="N196" i="51"/>
  <c r="N172" i="51"/>
  <c r="N83" i="51"/>
  <c r="N352" i="51"/>
  <c r="C123" i="58"/>
  <c r="C200" i="58"/>
  <c r="C156" i="58"/>
  <c r="C42" i="58"/>
  <c r="D168" i="58"/>
  <c r="D62" i="58"/>
  <c r="D185" i="58"/>
  <c r="D139" i="58"/>
  <c r="C136" i="58"/>
  <c r="C188" i="58"/>
  <c r="C164" i="58"/>
  <c r="C51" i="58"/>
  <c r="N12" i="51"/>
  <c r="N251" i="51" s="1"/>
  <c r="C19" i="58"/>
  <c r="C168" i="58"/>
  <c r="C62" i="58"/>
  <c r="C185" i="58"/>
  <c r="C139" i="58"/>
  <c r="U183" i="58"/>
  <c r="GS23" i="38"/>
  <c r="GS19" i="38"/>
  <c r="U182" i="58"/>
  <c r="IY56" i="38"/>
  <c r="K157" i="58"/>
  <c r="K192" i="58"/>
  <c r="K48" i="58"/>
  <c r="K124" i="58"/>
  <c r="IY61" i="38"/>
  <c r="K193" i="58"/>
  <c r="K55" i="58"/>
  <c r="K155" i="58"/>
  <c r="K125" i="58"/>
  <c r="IY51" i="38"/>
  <c r="AA32" i="58"/>
  <c r="GS14" i="38"/>
  <c r="K153" i="58"/>
  <c r="K190" i="58"/>
  <c r="K121" i="58"/>
  <c r="K41" i="58"/>
  <c r="U198" i="58"/>
  <c r="GS12" i="38"/>
  <c r="AA15" i="58"/>
  <c r="AA21" i="58"/>
  <c r="IY62" i="38"/>
  <c r="IY48" i="38"/>
  <c r="IY38" i="38"/>
  <c r="IR48" i="38"/>
  <c r="IR38" i="38"/>
  <c r="JI7" i="38"/>
  <c r="IN36" i="38"/>
  <c r="GK26" i="38"/>
  <c r="FN65" i="38"/>
  <c r="GN21" i="38"/>
  <c r="FQ60" i="38"/>
  <c r="FJ47" i="38"/>
  <c r="FJ33" i="38"/>
  <c r="GF26" i="38"/>
  <c r="FI65" i="38"/>
  <c r="FI33" i="38"/>
  <c r="GJ21" i="38"/>
  <c r="FM60" i="38"/>
  <c r="GK21" i="38"/>
  <c r="FN60" i="38"/>
  <c r="FN47" i="38"/>
  <c r="FN33" i="38"/>
  <c r="GF21" i="38"/>
  <c r="FI60" i="38"/>
  <c r="GS26" i="38"/>
  <c r="FV65" i="38"/>
  <c r="GR26" i="38"/>
  <c r="FU65" i="38"/>
  <c r="GL21" i="38"/>
  <c r="FO60" i="38"/>
  <c r="GH21" i="38"/>
  <c r="FK60" i="38"/>
  <c r="GP21" i="38"/>
  <c r="FS60" i="38"/>
  <c r="GN26" i="38"/>
  <c r="FQ65" i="38"/>
  <c r="GG21" i="38"/>
  <c r="FJ60" i="38"/>
  <c r="GJ26" i="38"/>
  <c r="FM65" i="38"/>
  <c r="FR47" i="38"/>
  <c r="FR33" i="38"/>
  <c r="GG26" i="38"/>
  <c r="FJ65" i="38"/>
  <c r="GR21" i="38"/>
  <c r="FU60" i="38"/>
  <c r="FO47" i="38"/>
  <c r="FO33" i="38"/>
  <c r="FU47" i="38"/>
  <c r="FU33" i="38"/>
  <c r="GP26" i="38"/>
  <c r="FS65" i="38"/>
  <c r="FQ33" i="38"/>
  <c r="FM33" i="38"/>
  <c r="GH22" i="38"/>
  <c r="GP22" i="38"/>
  <c r="GN22" i="38"/>
  <c r="GL22" i="38"/>
  <c r="GK22" i="38"/>
  <c r="GJ22" i="38"/>
  <c r="GF22" i="38"/>
  <c r="GG22" i="38"/>
  <c r="RQ29" i="38"/>
  <c r="RL29" i="38"/>
  <c r="RM29" i="38"/>
  <c r="RL31" i="38"/>
  <c r="RN29" i="38"/>
  <c r="RX31" i="38"/>
  <c r="RT29" i="38"/>
  <c r="RT31" i="38"/>
  <c r="QU29" i="38"/>
  <c r="RU32" i="38"/>
  <c r="RX30" i="38"/>
  <c r="QY31" i="38"/>
  <c r="RL32" i="38"/>
  <c r="QU30" i="38"/>
  <c r="RU31" i="38"/>
  <c r="RN30" i="38"/>
  <c r="RM31" i="38"/>
  <c r="RQ30" i="38"/>
  <c r="QY32" i="38"/>
  <c r="QX30" i="38"/>
  <c r="QX32" i="38"/>
  <c r="QX29" i="38"/>
  <c r="QX31" i="38"/>
  <c r="RA30" i="38"/>
  <c r="RA29" i="38"/>
  <c r="RA31" i="38"/>
  <c r="RA32" i="38"/>
  <c r="RV29" i="38"/>
  <c r="RV31" i="38"/>
  <c r="RV30" i="38"/>
  <c r="RV32" i="38"/>
  <c r="RQ31" i="38"/>
  <c r="RN32" i="38"/>
  <c r="RN31" i="38"/>
  <c r="QU32" i="38"/>
  <c r="RQ32" i="38"/>
  <c r="RM32" i="38"/>
  <c r="QY29" i="38"/>
  <c r="RU30" i="38"/>
  <c r="RL30" i="38"/>
  <c r="RX29" i="38"/>
  <c r="RT32" i="38"/>
  <c r="QT30" i="38"/>
  <c r="QT32" i="38"/>
  <c r="QT29" i="38"/>
  <c r="QT31" i="38"/>
  <c r="QS29" i="38"/>
  <c r="QS32" i="38"/>
  <c r="QS30" i="38"/>
  <c r="QS31" i="38"/>
  <c r="RB30" i="38"/>
  <c r="RB32" i="38"/>
  <c r="RB29" i="38"/>
  <c r="RB31" i="38"/>
  <c r="RP29" i="38"/>
  <c r="RP31" i="38"/>
  <c r="RP30" i="38"/>
  <c r="RP32" i="38"/>
  <c r="RR29" i="38"/>
  <c r="RR32" i="38"/>
  <c r="RR30" i="38"/>
  <c r="RR31" i="38"/>
  <c r="RC29" i="38"/>
  <c r="RC31" i="38"/>
  <c r="RC30" i="38"/>
  <c r="RC32" i="38"/>
  <c r="RE30" i="38"/>
  <c r="RE32" i="38"/>
  <c r="RE29" i="38"/>
  <c r="RE31" i="38"/>
  <c r="QW30" i="38"/>
  <c r="QW32" i="38"/>
  <c r="QW29" i="38"/>
  <c r="QW31" i="38"/>
  <c r="QU31" i="38"/>
  <c r="QY30" i="38"/>
  <c r="RU29" i="38"/>
  <c r="RM30" i="38"/>
  <c r="RX32" i="38"/>
  <c r="RT30" i="38"/>
  <c r="K219" i="55"/>
  <c r="I238" i="55"/>
  <c r="I228" i="55"/>
  <c r="I219" i="55"/>
  <c r="I222" i="55"/>
  <c r="PQ30" i="38"/>
  <c r="PV30" i="38" s="1"/>
  <c r="PQ32" i="38"/>
  <c r="PV32" i="38" s="1"/>
  <c r="PQ29" i="38"/>
  <c r="PV29" i="38" s="1"/>
  <c r="PQ31" i="38"/>
  <c r="PV31" i="38" s="1"/>
  <c r="I230" i="55"/>
  <c r="K233" i="55"/>
  <c r="I225" i="55"/>
  <c r="K238" i="55"/>
  <c r="I233" i="55"/>
  <c r="K228" i="55"/>
  <c r="GM29" i="38"/>
  <c r="NV29" i="38"/>
  <c r="NV31" i="38"/>
  <c r="NV30" i="38"/>
  <c r="NV32" i="38"/>
  <c r="NZ29" i="38"/>
  <c r="NZ31" i="38"/>
  <c r="NZ30" i="38"/>
  <c r="NZ32" i="38"/>
  <c r="IP32" i="38"/>
  <c r="NR29" i="38"/>
  <c r="NR31" i="38"/>
  <c r="NR30" i="38"/>
  <c r="NR32" i="38"/>
  <c r="NN29" i="38"/>
  <c r="NN30" i="38"/>
  <c r="NN31" i="38"/>
  <c r="NN32" i="38"/>
  <c r="IT29" i="38"/>
  <c r="JR32" i="38"/>
  <c r="JF29" i="38"/>
  <c r="IV30" i="38"/>
  <c r="IV32" i="38"/>
  <c r="IV29" i="38"/>
  <c r="IV31" i="38"/>
  <c r="IU29" i="38"/>
  <c r="IU31" i="38"/>
  <c r="IU30" i="38"/>
  <c r="IU32" i="38"/>
  <c r="KX30" i="38"/>
  <c r="KX32" i="38"/>
  <c r="KX29" i="38"/>
  <c r="KX31" i="38"/>
  <c r="IM29" i="38"/>
  <c r="IM31" i="38"/>
  <c r="IM30" i="38"/>
  <c r="IM32" i="38"/>
  <c r="JJ30" i="38"/>
  <c r="JJ32" i="38"/>
  <c r="JJ29" i="38"/>
  <c r="JJ31" i="38"/>
  <c r="IN30" i="38"/>
  <c r="IN32" i="38"/>
  <c r="IN29" i="38"/>
  <c r="IN31" i="38"/>
  <c r="X206" i="44"/>
  <c r="X208" i="44"/>
  <c r="LX29" i="38"/>
  <c r="LX31" i="38"/>
  <c r="LX30" i="38"/>
  <c r="LX32" i="38"/>
  <c r="LD29" i="38"/>
  <c r="LD31" i="38"/>
  <c r="LD30" i="38"/>
  <c r="LD32" i="38"/>
  <c r="KY29" i="38"/>
  <c r="KY31" i="38"/>
  <c r="KY30" i="38"/>
  <c r="KY32" i="38"/>
  <c r="KZ31" i="38"/>
  <c r="KZ30" i="38"/>
  <c r="KZ32" i="38"/>
  <c r="KZ29" i="38"/>
  <c r="LB30" i="38"/>
  <c r="LB32" i="38"/>
  <c r="LB29" i="38"/>
  <c r="LB31" i="38"/>
  <c r="X202" i="44"/>
  <c r="GE31" i="38"/>
  <c r="CW29" i="38"/>
  <c r="IP29" i="38"/>
  <c r="IT31" i="38"/>
  <c r="JR29" i="38"/>
  <c r="JF32" i="38"/>
  <c r="GI32" i="38"/>
  <c r="IP31" i="38"/>
  <c r="IT32" i="38"/>
  <c r="JR31" i="38"/>
  <c r="JF30" i="38"/>
  <c r="LG29" i="38"/>
  <c r="LG31" i="38"/>
  <c r="LG32" i="38"/>
  <c r="LG30" i="38"/>
  <c r="LF30" i="38"/>
  <c r="LF32" i="38"/>
  <c r="LF29" i="38"/>
  <c r="LF31" i="38"/>
  <c r="IR30" i="38"/>
  <c r="IR32" i="38"/>
  <c r="IR31" i="38"/>
  <c r="IR29" i="38"/>
  <c r="LJ30" i="38"/>
  <c r="LJ32" i="38"/>
  <c r="LJ29" i="38"/>
  <c r="LJ31" i="38"/>
  <c r="IX29" i="38"/>
  <c r="IX31" i="38"/>
  <c r="IX30" i="38"/>
  <c r="IX32" i="38"/>
  <c r="LC29" i="38"/>
  <c r="LC31" i="38"/>
  <c r="LC30" i="38"/>
  <c r="LC32" i="38"/>
  <c r="MB29" i="38"/>
  <c r="MB31" i="38"/>
  <c r="MB30" i="38"/>
  <c r="MB32" i="38"/>
  <c r="IQ29" i="38"/>
  <c r="IQ31" i="38"/>
  <c r="IQ30" i="38"/>
  <c r="IQ32" i="38"/>
  <c r="IL29" i="38"/>
  <c r="IL31" i="38"/>
  <c r="IL32" i="38"/>
  <c r="IL30" i="38"/>
  <c r="MF29" i="38"/>
  <c r="MF31" i="38"/>
  <c r="MF30" i="38"/>
  <c r="MF32" i="38"/>
  <c r="JN30" i="38"/>
  <c r="JN32" i="38"/>
  <c r="JN31" i="38"/>
  <c r="JN29" i="38"/>
  <c r="X215" i="44"/>
  <c r="X218" i="44"/>
  <c r="X201" i="44"/>
  <c r="GM31" i="38"/>
  <c r="GM32" i="38"/>
  <c r="IP30" i="38"/>
  <c r="IT30" i="38"/>
  <c r="JR30" i="38"/>
  <c r="JF31" i="38"/>
  <c r="LH31" i="38"/>
  <c r="LH30" i="38"/>
  <c r="LH32" i="38"/>
  <c r="LH29" i="38"/>
  <c r="LT29" i="38"/>
  <c r="LT30" i="38"/>
  <c r="LT31" i="38"/>
  <c r="LT32" i="38"/>
  <c r="X203" i="44"/>
  <c r="GQ32" i="38"/>
  <c r="X211" i="44"/>
  <c r="X217" i="44"/>
  <c r="X204" i="44"/>
  <c r="CP29" i="38"/>
  <c r="CP30" i="38"/>
  <c r="CP32" i="38"/>
  <c r="CP31" i="38"/>
  <c r="CT31" i="38"/>
  <c r="CT30" i="38"/>
  <c r="CT32" i="38"/>
  <c r="CT29" i="38"/>
  <c r="DA29" i="38"/>
  <c r="CS29" i="38"/>
  <c r="CW31" i="38"/>
  <c r="DA31" i="38"/>
  <c r="CS31" i="38"/>
  <c r="CW30" i="38"/>
  <c r="DA30" i="38"/>
  <c r="CS30" i="38"/>
  <c r="CZ30" i="38"/>
  <c r="CZ29" i="38"/>
  <c r="CZ31" i="38"/>
  <c r="CZ32" i="38"/>
  <c r="GF9" i="38"/>
  <c r="GN9" i="38"/>
  <c r="GO21" i="38"/>
  <c r="GR22" i="38"/>
  <c r="K214" i="44" s="1"/>
  <c r="GO13" i="38"/>
  <c r="GF7" i="38"/>
  <c r="GO9" i="38"/>
  <c r="GH7" i="38"/>
  <c r="GO5" i="38"/>
  <c r="GO25" i="38"/>
  <c r="GJ7" i="38"/>
  <c r="GG9" i="38"/>
  <c r="GL7" i="38"/>
  <c r="GR9" i="38"/>
  <c r="GL8" i="38"/>
  <c r="GR8" i="38"/>
  <c r="GC19" i="38"/>
  <c r="GO19" i="38"/>
  <c r="GR7" i="38"/>
  <c r="GP9" i="38"/>
  <c r="GN7" i="38"/>
  <c r="GJ9" i="38"/>
  <c r="GH9" i="38"/>
  <c r="GC12" i="38"/>
  <c r="GO12" i="38"/>
  <c r="GO20" i="38"/>
  <c r="GK8" i="38"/>
  <c r="GO15" i="38"/>
  <c r="GQ31" i="38"/>
  <c r="GE30" i="38"/>
  <c r="GI29" i="38"/>
  <c r="GQ29" i="38"/>
  <c r="GM30" i="38"/>
  <c r="GI30" i="38"/>
  <c r="GQ30" i="38"/>
  <c r="GE32" i="38"/>
  <c r="GC26" i="38"/>
  <c r="GO26" i="38"/>
  <c r="GO17" i="38"/>
  <c r="GO16" i="38"/>
  <c r="GO10" i="38"/>
  <c r="GP7" i="38"/>
  <c r="GK7" i="38"/>
  <c r="GO18" i="38"/>
  <c r="GO8" i="38"/>
  <c r="GO6" i="38"/>
  <c r="GK9" i="38"/>
  <c r="GG8" i="38"/>
  <c r="GO22" i="38"/>
  <c r="GC27" i="38"/>
  <c r="GO27" i="38"/>
  <c r="GU27" i="38" s="1"/>
  <c r="GG7" i="38"/>
  <c r="GL9" i="38"/>
  <c r="GC14" i="38"/>
  <c r="GO14" i="38"/>
  <c r="GC23" i="38"/>
  <c r="GO23" i="38"/>
  <c r="GO7" i="38"/>
  <c r="GO11" i="38"/>
  <c r="GI31" i="38"/>
  <c r="X198" i="44"/>
  <c r="GA27" i="38"/>
  <c r="GB27" i="38" s="1"/>
  <c r="FS32" i="38"/>
  <c r="FS31" i="38"/>
  <c r="FS30" i="38"/>
  <c r="FK31" i="38"/>
  <c r="FK30" i="38"/>
  <c r="FK32" i="38"/>
  <c r="FO31" i="38"/>
  <c r="FO30" i="38"/>
  <c r="FO32" i="38"/>
  <c r="FI30" i="38"/>
  <c r="FI32" i="38"/>
  <c r="FI31" i="38"/>
  <c r="FU30" i="38"/>
  <c r="FU32" i="38"/>
  <c r="FU31" i="38"/>
  <c r="FJ30" i="38"/>
  <c r="FJ32" i="38"/>
  <c r="FJ31" i="38"/>
  <c r="FQ30" i="38"/>
  <c r="FQ32" i="38"/>
  <c r="FQ31" i="38"/>
  <c r="FN30" i="38"/>
  <c r="FN32" i="38"/>
  <c r="FN31" i="38"/>
  <c r="FR30" i="38"/>
  <c r="FR32" i="38"/>
  <c r="FR31" i="38"/>
  <c r="FM30" i="38"/>
  <c r="FM32" i="38"/>
  <c r="FM31" i="38"/>
  <c r="NN36" i="38"/>
  <c r="NV48" i="38"/>
  <c r="MD18" i="38"/>
  <c r="GQ35" i="38"/>
  <c r="GM36" i="38"/>
  <c r="GI36" i="38"/>
  <c r="GI35" i="38"/>
  <c r="GM35" i="38"/>
  <c r="GQ36" i="38"/>
  <c r="NW9" i="38"/>
  <c r="NW36" i="38" s="1"/>
  <c r="LF48" i="38"/>
  <c r="NW7" i="38"/>
  <c r="NW46" i="38" s="1"/>
  <c r="LF46" i="38"/>
  <c r="MD7" i="38"/>
  <c r="LG46" i="38"/>
  <c r="NU7" i="38"/>
  <c r="NU46" i="38" s="1"/>
  <c r="LD46" i="38"/>
  <c r="OA7" i="38"/>
  <c r="OA46" i="38" s="1"/>
  <c r="LJ46" i="38"/>
  <c r="LU9" i="38"/>
  <c r="KX48" i="38"/>
  <c r="NS7" i="38"/>
  <c r="NS46" i="38" s="1"/>
  <c r="LB46" i="38"/>
  <c r="NT7" i="38"/>
  <c r="NT46" i="38" s="1"/>
  <c r="LC46" i="38"/>
  <c r="GE36" i="38"/>
  <c r="ED6" i="38"/>
  <c r="LV7" i="38"/>
  <c r="KY46" i="38"/>
  <c r="MA9" i="38"/>
  <c r="LD48" i="38"/>
  <c r="NQ9" i="38"/>
  <c r="NQ36" i="38" s="1"/>
  <c r="KZ48" i="38"/>
  <c r="NY7" i="38"/>
  <c r="NY46" i="38" s="1"/>
  <c r="LH46" i="38"/>
  <c r="NT8" i="38"/>
  <c r="NT47" i="38" s="1"/>
  <c r="LC47" i="38"/>
  <c r="LW7" i="38"/>
  <c r="KZ46" i="38"/>
  <c r="NS9" i="38"/>
  <c r="NS36" i="38" s="1"/>
  <c r="LB48" i="38"/>
  <c r="NY9" i="38"/>
  <c r="NY48" i="38" s="1"/>
  <c r="LH48" i="38"/>
  <c r="NO7" i="38"/>
  <c r="NO46" i="38" s="1"/>
  <c r="KX46" i="38"/>
  <c r="NX9" i="38"/>
  <c r="NX48" i="38" s="1"/>
  <c r="LG48" i="38"/>
  <c r="NT9" i="38"/>
  <c r="NT36" i="38" s="1"/>
  <c r="LC48" i="38"/>
  <c r="NP9" i="38"/>
  <c r="NP48" i="38" s="1"/>
  <c r="KY48" i="38"/>
  <c r="OA9" i="38"/>
  <c r="OA48" i="38" s="1"/>
  <c r="LJ48" i="38"/>
  <c r="GE35" i="38"/>
  <c r="ED8" i="38"/>
  <c r="SB22" i="38"/>
  <c r="SA19" i="38"/>
  <c r="SB21" i="38"/>
  <c r="ED24" i="38"/>
  <c r="ED18" i="38"/>
  <c r="ED13" i="38"/>
  <c r="ED7" i="38"/>
  <c r="ED9" i="38"/>
  <c r="MC24" i="38"/>
  <c r="RH27" i="38"/>
  <c r="RI27" i="38"/>
  <c r="RI26" i="38"/>
  <c r="MA26" i="38"/>
  <c r="RH26" i="38"/>
  <c r="SA27" i="38"/>
  <c r="SB27" i="38"/>
  <c r="SA22" i="38"/>
  <c r="SB12" i="38"/>
  <c r="SA21" i="38"/>
  <c r="SA26" i="38"/>
  <c r="SB7" i="38"/>
  <c r="SB26" i="38"/>
  <c r="SA12" i="38"/>
  <c r="SA25" i="38"/>
  <c r="NP27" i="38"/>
  <c r="NP66" i="38" s="1"/>
  <c r="NT21" i="38"/>
  <c r="NT60" i="38" s="1"/>
  <c r="LQ27" i="38"/>
  <c r="MG12" i="38"/>
  <c r="NP13" i="38"/>
  <c r="NP52" i="38" s="1"/>
  <c r="LW19" i="38"/>
  <c r="NY5" i="38"/>
  <c r="NT5" i="38"/>
  <c r="IN44" i="38"/>
  <c r="NV44" i="38"/>
  <c r="NU5" i="38"/>
  <c r="OA5" i="38"/>
  <c r="NQ5" i="38"/>
  <c r="NS5" i="38"/>
  <c r="PS5" i="38"/>
  <c r="NR44" i="38"/>
  <c r="MC5" i="38"/>
  <c r="NX5" i="38"/>
  <c r="NP5" i="38"/>
  <c r="NZ44" i="38"/>
  <c r="NO5" i="38"/>
  <c r="IM44" i="38"/>
  <c r="NN44" i="38"/>
  <c r="LZ24" i="38"/>
  <c r="FN29" i="38"/>
  <c r="FN67" i="38" s="1"/>
  <c r="FS29" i="38"/>
  <c r="FS67" i="38" s="1"/>
  <c r="FO29" i="38"/>
  <c r="FO67" i="38" s="1"/>
  <c r="FJ29" i="38"/>
  <c r="FJ67" i="38" s="1"/>
  <c r="FI29" i="38"/>
  <c r="FI67" i="38" s="1"/>
  <c r="K197" i="44"/>
  <c r="FK29" i="38"/>
  <c r="FK67" i="38" s="1"/>
  <c r="X197" i="44"/>
  <c r="GE29" i="38"/>
  <c r="FR29" i="38"/>
  <c r="FR67" i="38" s="1"/>
  <c r="FU29" i="38"/>
  <c r="FU67" i="38" s="1"/>
  <c r="FQ29" i="38"/>
  <c r="FQ67" i="38" s="1"/>
  <c r="FM29" i="38"/>
  <c r="FM67" i="38" s="1"/>
  <c r="NO22" i="38"/>
  <c r="NO61" i="38" s="1"/>
  <c r="C21" i="48"/>
  <c r="G210" i="48"/>
  <c r="N260" i="44"/>
  <c r="NP15" i="38"/>
  <c r="NP54" i="38" s="1"/>
  <c r="RI21" i="38"/>
  <c r="LZ8" i="38"/>
  <c r="RI20" i="38"/>
  <c r="CH46" i="38"/>
  <c r="LW12" i="38"/>
  <c r="PV9" i="38"/>
  <c r="MG22" i="38"/>
  <c r="LV8" i="38"/>
  <c r="NP8" i="38"/>
  <c r="NP47" i="38" s="1"/>
  <c r="RI10" i="38"/>
  <c r="LK18" i="38"/>
  <c r="RH17" i="38"/>
  <c r="IN45" i="38"/>
  <c r="JH6" i="38"/>
  <c r="FV22" i="38"/>
  <c r="JT22" i="38"/>
  <c r="BP22" i="38"/>
  <c r="BS22" i="38" s="1"/>
  <c r="CI10" i="38"/>
  <c r="CL10" i="38" s="1"/>
  <c r="FV10" i="38"/>
  <c r="NY21" i="38"/>
  <c r="NY60" i="38" s="1"/>
  <c r="LK10" i="38"/>
  <c r="IY10" i="38"/>
  <c r="K19" i="58" s="1"/>
  <c r="LK22" i="38"/>
  <c r="V24" i="51"/>
  <c r="V41" i="51" s="1"/>
  <c r="CI22" i="38"/>
  <c r="DC22" i="38" s="1"/>
  <c r="JH21" i="38"/>
  <c r="JS10" i="38"/>
  <c r="MG10" i="38"/>
  <c r="LV6" i="38"/>
  <c r="IU58" i="38"/>
  <c r="JM9" i="38"/>
  <c r="FV21" i="38"/>
  <c r="BP20" i="38"/>
  <c r="BS20" i="38" s="1"/>
  <c r="OA20" i="38"/>
  <c r="OA59" i="38" s="1"/>
  <c r="LW21" i="38"/>
  <c r="JL20" i="38"/>
  <c r="JS22" i="38"/>
  <c r="OA23" i="38"/>
  <c r="OA62" i="38" s="1"/>
  <c r="JQ21" i="38"/>
  <c r="BP11" i="38"/>
  <c r="BS11" i="38" s="1"/>
  <c r="CI17" i="38"/>
  <c r="CK17" i="38" s="1"/>
  <c r="CM17" i="38" s="1"/>
  <c r="CI11" i="38"/>
  <c r="DC11" i="38" s="1"/>
  <c r="IY21" i="38"/>
  <c r="K30" i="58" s="1"/>
  <c r="CI21" i="38"/>
  <c r="CL21" i="38" s="1"/>
  <c r="LK11" i="38"/>
  <c r="LK21" i="38"/>
  <c r="FV11" i="38"/>
  <c r="JP14" i="38"/>
  <c r="IY18" i="38"/>
  <c r="K27" i="58" s="1"/>
  <c r="NO19" i="38"/>
  <c r="NO58" i="38" s="1"/>
  <c r="JS21" i="38"/>
  <c r="IL53" i="38"/>
  <c r="ME23" i="38"/>
  <c r="JS23" i="38"/>
  <c r="CI9" i="38"/>
  <c r="DC9" i="38" s="1"/>
  <c r="BP9" i="38"/>
  <c r="BS9" i="38" s="1"/>
  <c r="JP23" i="38"/>
  <c r="MC16" i="38"/>
  <c r="LW14" i="38"/>
  <c r="BP18" i="38"/>
  <c r="BS18" i="38" s="1"/>
  <c r="CI18" i="38"/>
  <c r="CL18" i="38" s="1"/>
  <c r="FV18" i="38"/>
  <c r="MG9" i="38"/>
  <c r="LK20" i="38"/>
  <c r="LY5" i="38"/>
  <c r="IY20" i="38"/>
  <c r="K29" i="58" s="1"/>
  <c r="CI20" i="38"/>
  <c r="DC20" i="38" s="1"/>
  <c r="NO14" i="38"/>
  <c r="NO53" i="38" s="1"/>
  <c r="IU64" i="38"/>
  <c r="JQ10" i="38"/>
  <c r="JO21" i="38"/>
  <c r="OA19" i="38"/>
  <c r="OA58" i="38" s="1"/>
  <c r="NT20" i="38"/>
  <c r="NT59" i="38" s="1"/>
  <c r="LW23" i="38"/>
  <c r="IN46" i="38"/>
  <c r="JI23" i="38"/>
  <c r="NY18" i="38"/>
  <c r="NY57" i="38" s="1"/>
  <c r="IP55" i="38"/>
  <c r="ME7" i="38"/>
  <c r="IQ62" i="38"/>
  <c r="LZ7" i="38"/>
  <c r="JS6" i="38"/>
  <c r="IV56" i="38"/>
  <c r="MG17" i="38"/>
  <c r="MD11" i="38"/>
  <c r="MC11" i="38"/>
  <c r="JH22" i="38"/>
  <c r="NW5" i="38"/>
  <c r="MD23" i="38"/>
  <c r="ME17" i="38"/>
  <c r="IN51" i="38"/>
  <c r="MC18" i="38"/>
  <c r="JB22" i="38"/>
  <c r="MA19" i="38"/>
  <c r="NY10" i="38"/>
  <c r="NY49" i="38" s="1"/>
  <c r="FY14" i="38"/>
  <c r="JP22" i="38"/>
  <c r="OA18" i="38"/>
  <c r="OA57" i="38" s="1"/>
  <c r="OA16" i="38"/>
  <c r="OA55" i="38" s="1"/>
  <c r="LV11" i="38"/>
  <c r="LW5" i="38"/>
  <c r="CE46" i="38"/>
  <c r="JQ23" i="38"/>
  <c r="FV25" i="38"/>
  <c r="LU10" i="38"/>
  <c r="MD20" i="38"/>
  <c r="JS17" i="38"/>
  <c r="JM12" i="38"/>
  <c r="JP18" i="38"/>
  <c r="LU16" i="38"/>
  <c r="JK17" i="38"/>
  <c r="JV27" i="38"/>
  <c r="JX27" i="38" s="1"/>
  <c r="JY27" i="38" s="1"/>
  <c r="F27" i="47" s="1"/>
  <c r="BP17" i="38"/>
  <c r="BS17" i="38" s="1"/>
  <c r="LK17" i="38"/>
  <c r="FV16" i="38"/>
  <c r="FV17" i="38"/>
  <c r="IY16" i="38"/>
  <c r="K25" i="58" s="1"/>
  <c r="BP16" i="38"/>
  <c r="BS16" i="38" s="1"/>
  <c r="LZ22" i="38"/>
  <c r="LK16" i="38"/>
  <c r="IL58" i="38"/>
  <c r="JM20" i="38"/>
  <c r="CD46" i="38"/>
  <c r="JG21" i="38"/>
  <c r="LV9" i="38"/>
  <c r="LV20" i="38"/>
  <c r="NT18" i="38"/>
  <c r="NT57" i="38" s="1"/>
  <c r="JH5" i="38"/>
  <c r="CD48" i="38"/>
  <c r="CX7" i="38"/>
  <c r="CX32" i="38" s="1"/>
  <c r="LV16" i="38"/>
  <c r="CD47" i="38"/>
  <c r="CI15" i="38"/>
  <c r="DC15" i="38" s="1"/>
  <c r="IY19" i="38"/>
  <c r="K28" i="58" s="1"/>
  <c r="LK19" i="38"/>
  <c r="MD5" i="38"/>
  <c r="CI19" i="38"/>
  <c r="CL19" i="38" s="1"/>
  <c r="BP19" i="38"/>
  <c r="BS19" i="38" s="1"/>
  <c r="MG15" i="38"/>
  <c r="MC23" i="38"/>
  <c r="LK14" i="38"/>
  <c r="BS7" i="38"/>
  <c r="CB47" i="38"/>
  <c r="MA15" i="38"/>
  <c r="LV14" i="38"/>
  <c r="BP14" i="38"/>
  <c r="BR14" i="38" s="1"/>
  <c r="NO18" i="38"/>
  <c r="NO57" i="38" s="1"/>
  <c r="IP60" i="38"/>
  <c r="JQ12" i="38"/>
  <c r="NO9" i="38"/>
  <c r="NO48" i="38" s="1"/>
  <c r="OA11" i="38"/>
  <c r="OA50" i="38" s="1"/>
  <c r="CY9" i="38"/>
  <c r="CY29" i="38" s="1"/>
  <c r="LY18" i="38"/>
  <c r="JH23" i="38"/>
  <c r="NS12" i="38"/>
  <c r="NS51" i="38" s="1"/>
  <c r="JI5" i="38"/>
  <c r="JH11" i="38"/>
  <c r="BW48" i="38"/>
  <c r="CR9" i="38"/>
  <c r="CR29" i="38" s="1"/>
  <c r="NO15" i="38"/>
  <c r="NO54" i="38" s="1"/>
  <c r="IU56" i="38"/>
  <c r="BX47" i="38"/>
  <c r="JH14" i="38"/>
  <c r="JH17" i="38"/>
  <c r="LZ23" i="38"/>
  <c r="BX46" i="38"/>
  <c r="LY19" i="38"/>
  <c r="MA21" i="38"/>
  <c r="MA6" i="38"/>
  <c r="MD21" i="38"/>
  <c r="BW47" i="38"/>
  <c r="JO16" i="38"/>
  <c r="CQ9" i="38"/>
  <c r="CQ32" i="38" s="1"/>
  <c r="IY15" i="38"/>
  <c r="K24" i="58" s="1"/>
  <c r="RI12" i="38"/>
  <c r="RH14" i="38"/>
  <c r="JP16" i="38"/>
  <c r="IU55" i="38"/>
  <c r="JK25" i="38"/>
  <c r="IP64" i="38"/>
  <c r="JH12" i="38"/>
  <c r="IM51" i="38"/>
  <c r="JP15" i="38"/>
  <c r="IU54" i="38"/>
  <c r="JM23" i="38"/>
  <c r="IR62" i="38"/>
  <c r="JS5" i="38"/>
  <c r="IX44" i="38"/>
  <c r="JK20" i="38"/>
  <c r="IP59" i="38"/>
  <c r="JI11" i="38"/>
  <c r="IN50" i="38"/>
  <c r="JG10" i="38"/>
  <c r="IL49" i="38"/>
  <c r="JS7" i="38"/>
  <c r="IX46" i="38"/>
  <c r="JO18" i="38"/>
  <c r="IT57" i="38"/>
  <c r="JB11" i="38"/>
  <c r="IY50" i="38"/>
  <c r="JL19" i="38"/>
  <c r="IQ58" i="38"/>
  <c r="JH19" i="38"/>
  <c r="IM58" i="38"/>
  <c r="JQ9" i="38"/>
  <c r="IV48" i="38"/>
  <c r="JO14" i="38"/>
  <c r="IT53" i="38"/>
  <c r="JI17" i="38"/>
  <c r="IN56" i="38"/>
  <c r="JS25" i="38"/>
  <c r="IX64" i="38"/>
  <c r="JP9" i="38"/>
  <c r="IU48" i="38"/>
  <c r="JK12" i="38"/>
  <c r="IP51" i="38"/>
  <c r="JS15" i="38"/>
  <c r="IX54" i="38"/>
  <c r="JL18" i="38"/>
  <c r="IQ57" i="38"/>
  <c r="JG23" i="38"/>
  <c r="IL62" i="38"/>
  <c r="JM18" i="38"/>
  <c r="IR57" i="38"/>
  <c r="JI19" i="38"/>
  <c r="IN58" i="38"/>
  <c r="JQ19" i="38"/>
  <c r="IV58" i="38"/>
  <c r="JG25" i="38"/>
  <c r="IL64" i="38"/>
  <c r="JH10" i="38"/>
  <c r="IM49" i="38"/>
  <c r="JG20" i="38"/>
  <c r="IL59" i="38"/>
  <c r="JO19" i="38"/>
  <c r="IT58" i="38"/>
  <c r="JG11" i="38"/>
  <c r="IL50" i="38"/>
  <c r="JK11" i="38"/>
  <c r="IP50" i="38"/>
  <c r="JH9" i="38"/>
  <c r="IM48" i="38"/>
  <c r="JG22" i="38"/>
  <c r="IL61" i="38"/>
  <c r="JM15" i="38"/>
  <c r="IR54" i="38"/>
  <c r="JM11" i="38"/>
  <c r="IR50" i="38"/>
  <c r="JP7" i="38"/>
  <c r="IU46" i="38"/>
  <c r="JO11" i="38"/>
  <c r="IT50" i="38"/>
  <c r="JK7" i="38"/>
  <c r="IP46" i="38"/>
  <c r="JM16" i="38"/>
  <c r="IR55" i="38"/>
  <c r="JI22" i="38"/>
  <c r="IN61" i="38"/>
  <c r="JO23" i="38"/>
  <c r="IT62" i="38"/>
  <c r="JB6" i="38"/>
  <c r="IY45" i="38"/>
  <c r="JS14" i="38"/>
  <c r="IX53" i="38"/>
  <c r="JG17" i="38"/>
  <c r="IL56" i="38"/>
  <c r="JO12" i="38"/>
  <c r="IT51" i="38"/>
  <c r="JH7" i="38"/>
  <c r="IM46" i="38"/>
  <c r="JG18" i="38"/>
  <c r="IL57" i="38"/>
  <c r="JM19" i="38"/>
  <c r="IR58" i="38"/>
  <c r="JL16" i="38"/>
  <c r="IQ55" i="38"/>
  <c r="JK6" i="38"/>
  <c r="IP45" i="38"/>
  <c r="RH25" i="38"/>
  <c r="JP6" i="38"/>
  <c r="IU45" i="38"/>
  <c r="JK18" i="38"/>
  <c r="IP57" i="38"/>
  <c r="JK15" i="38"/>
  <c r="IP54" i="38"/>
  <c r="JP5" i="38"/>
  <c r="IU44" i="38"/>
  <c r="JI16" i="38"/>
  <c r="IN55" i="38"/>
  <c r="JO20" i="38"/>
  <c r="IT59" i="38"/>
  <c r="JM21" i="38"/>
  <c r="IR60" i="38"/>
  <c r="JQ6" i="38"/>
  <c r="IV45" i="38"/>
  <c r="JH25" i="38"/>
  <c r="IM64" i="38"/>
  <c r="JK19" i="38"/>
  <c r="IP58" i="38"/>
  <c r="JL25" i="38"/>
  <c r="IQ64" i="38"/>
  <c r="JQ18" i="38"/>
  <c r="IV57" i="38"/>
  <c r="JP20" i="38"/>
  <c r="IU59" i="38"/>
  <c r="JK10" i="38"/>
  <c r="IP49" i="38"/>
  <c r="JM5" i="38"/>
  <c r="IR44" i="38"/>
  <c r="JO10" i="38"/>
  <c r="IT49" i="38"/>
  <c r="JL11" i="38"/>
  <c r="IQ50" i="38"/>
  <c r="JT5" i="38"/>
  <c r="IY44" i="38"/>
  <c r="JG16" i="38"/>
  <c r="IL55" i="38"/>
  <c r="JQ16" i="38"/>
  <c r="IV55" i="38"/>
  <c r="JO22" i="38"/>
  <c r="IT61" i="38"/>
  <c r="JQ20" i="38"/>
  <c r="IV59" i="38"/>
  <c r="JP12" i="38"/>
  <c r="IU51" i="38"/>
  <c r="JQ14" i="38"/>
  <c r="IV53" i="38"/>
  <c r="JQ22" i="38"/>
  <c r="IV61" i="38"/>
  <c r="JP21" i="38"/>
  <c r="IU60" i="38"/>
  <c r="JH16" i="38"/>
  <c r="IM55" i="38"/>
  <c r="JM22" i="38"/>
  <c r="IR61" i="38"/>
  <c r="JI20" i="38"/>
  <c r="IN59" i="38"/>
  <c r="JG9" i="38"/>
  <c r="IL48" i="38"/>
  <c r="JL15" i="38"/>
  <c r="IQ54" i="38"/>
  <c r="JH18" i="38"/>
  <c r="IM57" i="38"/>
  <c r="JP10" i="38"/>
  <c r="IU49" i="38"/>
  <c r="JM7" i="38"/>
  <c r="IR46" i="38"/>
  <c r="JS19" i="38"/>
  <c r="IX58" i="38"/>
  <c r="JL10" i="38"/>
  <c r="IQ49" i="38"/>
  <c r="JQ7" i="38"/>
  <c r="IV46" i="38"/>
  <c r="JL14" i="38"/>
  <c r="IQ53" i="38"/>
  <c r="JM6" i="38"/>
  <c r="IR45" i="38"/>
  <c r="JG6" i="38"/>
  <c r="IL45" i="38"/>
  <c r="JL5" i="38"/>
  <c r="IQ44" i="38"/>
  <c r="JG5" i="38"/>
  <c r="IL44" i="38"/>
  <c r="JM10" i="38"/>
  <c r="IR49" i="38"/>
  <c r="JI18" i="38"/>
  <c r="IN57" i="38"/>
  <c r="JM25" i="38"/>
  <c r="IR64" i="38"/>
  <c r="JQ5" i="38"/>
  <c r="IV44" i="38"/>
  <c r="JQ15" i="38"/>
  <c r="IV54" i="38"/>
  <c r="JQ25" i="38"/>
  <c r="IV64" i="38"/>
  <c r="JQ11" i="38"/>
  <c r="IV50" i="38"/>
  <c r="JI10" i="38"/>
  <c r="IN49" i="38"/>
  <c r="JL21" i="38"/>
  <c r="IQ60" i="38"/>
  <c r="JO9" i="38"/>
  <c r="IT48" i="38"/>
  <c r="JI9" i="38"/>
  <c r="IN48" i="38"/>
  <c r="JK14" i="38"/>
  <c r="IP53" i="38"/>
  <c r="JL17" i="38"/>
  <c r="IQ56" i="38"/>
  <c r="JA66" i="38"/>
  <c r="N347" i="51"/>
  <c r="RH12" i="38"/>
  <c r="RI16" i="38"/>
  <c r="RI19" i="38"/>
  <c r="LK6" i="38"/>
  <c r="RI22" i="38"/>
  <c r="RH19" i="38"/>
  <c r="MA22" i="38"/>
  <c r="NO21" i="38"/>
  <c r="NO60" i="38" s="1"/>
  <c r="RH23" i="38"/>
  <c r="RH16" i="38"/>
  <c r="EA7" i="38"/>
  <c r="RH7" i="38"/>
  <c r="MC15" i="38"/>
  <c r="RI25" i="38"/>
  <c r="RH22" i="38"/>
  <c r="RH11" i="38"/>
  <c r="RI17" i="38"/>
  <c r="NR48" i="38"/>
  <c r="NR36" i="38"/>
  <c r="CE47" i="38"/>
  <c r="RH21" i="38"/>
  <c r="RH20" i="38"/>
  <c r="RI14" i="38"/>
  <c r="EA8" i="38"/>
  <c r="EA24" i="38"/>
  <c r="EC24" i="38" s="1"/>
  <c r="RI23" i="38"/>
  <c r="EA13" i="38"/>
  <c r="EC13" i="38" s="1"/>
  <c r="EA18" i="38"/>
  <c r="EC18" i="38" s="1"/>
  <c r="CE48" i="38"/>
  <c r="RH10" i="38"/>
  <c r="N86" i="51"/>
  <c r="N128" i="51"/>
  <c r="N334" i="51"/>
  <c r="N161" i="51"/>
  <c r="N111" i="51"/>
  <c r="N236" i="51"/>
  <c r="N255" i="51"/>
  <c r="N191" i="51"/>
  <c r="N61" i="51"/>
  <c r="N387" i="51"/>
  <c r="N300" i="51"/>
  <c r="N166" i="51"/>
  <c r="N266" i="51"/>
  <c r="P266" i="51"/>
  <c r="P300" i="51"/>
  <c r="P191" i="51"/>
  <c r="P61" i="51"/>
  <c r="P161" i="51"/>
  <c r="P255" i="51"/>
  <c r="P356" i="51"/>
  <c r="P111" i="51"/>
  <c r="P236" i="51"/>
  <c r="P128" i="51"/>
  <c r="P334" i="51"/>
  <c r="P86" i="51"/>
  <c r="P166" i="51"/>
  <c r="P387" i="51"/>
  <c r="N58" i="51"/>
  <c r="N298" i="51"/>
  <c r="N93" i="51"/>
  <c r="N116" i="51"/>
  <c r="N229" i="51"/>
  <c r="N287" i="51"/>
  <c r="N252" i="51"/>
  <c r="N382" i="51"/>
  <c r="N186" i="51"/>
  <c r="N341" i="51"/>
  <c r="N316" i="51"/>
  <c r="N79" i="51"/>
  <c r="N211" i="51"/>
  <c r="N142" i="51"/>
  <c r="W324" i="44"/>
  <c r="F319" i="44" s="1"/>
  <c r="N120" i="51"/>
  <c r="N253" i="51"/>
  <c r="N73" i="51"/>
  <c r="N306" i="51"/>
  <c r="N48" i="51"/>
  <c r="N282" i="51"/>
  <c r="N183" i="51"/>
  <c r="N223" i="51"/>
  <c r="N209" i="51"/>
  <c r="N327" i="51"/>
  <c r="N145" i="51"/>
  <c r="N351" i="51"/>
  <c r="N95" i="51"/>
  <c r="N367" i="51"/>
  <c r="G208" i="48"/>
  <c r="C27" i="48"/>
  <c r="J266" i="44"/>
  <c r="N266" i="44"/>
  <c r="N18" i="51"/>
  <c r="O133" i="51"/>
  <c r="O380" i="51"/>
  <c r="O106" i="51"/>
  <c r="O286" i="51"/>
  <c r="O224" i="51"/>
  <c r="O344" i="51"/>
  <c r="O206" i="51"/>
  <c r="O49" i="51"/>
  <c r="O291" i="51"/>
  <c r="O318" i="51"/>
  <c r="O74" i="51"/>
  <c r="O241" i="51"/>
  <c r="O157" i="51"/>
  <c r="O182" i="51"/>
  <c r="F322" i="44"/>
  <c r="N131" i="51"/>
  <c r="N323" i="51"/>
  <c r="N293" i="51"/>
  <c r="N155" i="51"/>
  <c r="N72" i="51"/>
  <c r="N108" i="51"/>
  <c r="N176" i="51"/>
  <c r="N200" i="51"/>
  <c r="N246" i="51"/>
  <c r="N278" i="51"/>
  <c r="N346" i="51"/>
  <c r="N372" i="51"/>
  <c r="W317" i="44"/>
  <c r="N222" i="51"/>
  <c r="N44" i="51"/>
  <c r="P224" i="51"/>
  <c r="P344" i="51"/>
  <c r="P182" i="51"/>
  <c r="P133" i="51"/>
  <c r="P74" i="51"/>
  <c r="P286" i="51"/>
  <c r="P157" i="51"/>
  <c r="P291" i="51"/>
  <c r="P49" i="51"/>
  <c r="P318" i="51"/>
  <c r="P206" i="51"/>
  <c r="P241" i="51"/>
  <c r="P106" i="51"/>
  <c r="P380" i="51"/>
  <c r="BP25" i="38"/>
  <c r="BS25" i="38" s="1"/>
  <c r="IY25" i="38"/>
  <c r="K34" i="58" s="1"/>
  <c r="CV9" i="38"/>
  <c r="CV31" i="38" s="1"/>
  <c r="ME16" i="38"/>
  <c r="LK25" i="38"/>
  <c r="IY7" i="38"/>
  <c r="K16" i="58" s="1"/>
  <c r="CB46" i="38"/>
  <c r="NQ7" i="38"/>
  <c r="NQ46" i="38" s="1"/>
  <c r="NX10" i="38"/>
  <c r="NX49" i="38" s="1"/>
  <c r="LY16" i="38"/>
  <c r="GQ37" i="38"/>
  <c r="MA7" i="38"/>
  <c r="LU25" i="38"/>
  <c r="NS20" i="38"/>
  <c r="NS59" i="38" s="1"/>
  <c r="MA16" i="38"/>
  <c r="LZ17" i="38"/>
  <c r="LZ10" i="38"/>
  <c r="LU7" i="38"/>
  <c r="NS21" i="38"/>
  <c r="NS60" i="38" s="1"/>
  <c r="LW6" i="38"/>
  <c r="OA6" i="38"/>
  <c r="OA45" i="38" s="1"/>
  <c r="ME6" i="38"/>
  <c r="NX7" i="38"/>
  <c r="NX46" i="38" s="1"/>
  <c r="LZ16" i="38"/>
  <c r="NY14" i="38"/>
  <c r="NY53" i="38" s="1"/>
  <c r="NS23" i="38"/>
  <c r="NS62" i="38" s="1"/>
  <c r="LV25" i="38"/>
  <c r="NY22" i="38"/>
  <c r="NY61" i="38" s="1"/>
  <c r="CL5" i="38"/>
  <c r="NO17" i="38"/>
  <c r="NO56" i="38" s="1"/>
  <c r="NQ16" i="38"/>
  <c r="NQ55" i="38" s="1"/>
  <c r="LW10" i="38"/>
  <c r="MC20" i="38"/>
  <c r="BR15" i="38"/>
  <c r="CB48" i="38"/>
  <c r="NY11" i="38"/>
  <c r="NY50" i="38" s="1"/>
  <c r="MA20" i="38"/>
  <c r="OA14" i="38"/>
  <c r="LU5" i="38"/>
  <c r="CI7" i="38"/>
  <c r="DC7" i="38" s="1"/>
  <c r="MA17" i="38"/>
  <c r="LU23" i="38"/>
  <c r="LU12" i="38"/>
  <c r="LQ23" i="38"/>
  <c r="CA46" i="38"/>
  <c r="CU9" i="38"/>
  <c r="CU32" i="38" s="1"/>
  <c r="LZ9" i="38"/>
  <c r="LZ5" i="38"/>
  <c r="MA14" i="38"/>
  <c r="CA47" i="38"/>
  <c r="JA22" i="38"/>
  <c r="I31" i="58" s="1"/>
  <c r="BS23" i="38"/>
  <c r="LZ11" i="38"/>
  <c r="NX25" i="38"/>
  <c r="NX64" i="38" s="1"/>
  <c r="LK15" i="38"/>
  <c r="LY14" i="38"/>
  <c r="NW12" i="38"/>
  <c r="NW51" i="38" s="1"/>
  <c r="MD14" i="38"/>
  <c r="ME25" i="38"/>
  <c r="LV18" i="38"/>
  <c r="NY19" i="38"/>
  <c r="NY58" i="38" s="1"/>
  <c r="LY7" i="38"/>
  <c r="LV23" i="38"/>
  <c r="MC17" i="38"/>
  <c r="MD12" i="38"/>
  <c r="MA12" i="38"/>
  <c r="LV5" i="38"/>
  <c r="LY26" i="38"/>
  <c r="LV19" i="38"/>
  <c r="MA18" i="38"/>
  <c r="LW11" i="38"/>
  <c r="LY11" i="38"/>
  <c r="LY22" i="38"/>
  <c r="NS15" i="38"/>
  <c r="NS54" i="38" s="1"/>
  <c r="LZ6" i="38"/>
  <c r="ME9" i="38"/>
  <c r="ME15" i="38"/>
  <c r="DB7" i="38"/>
  <c r="DB32" i="38" s="1"/>
  <c r="FV15" i="38"/>
  <c r="NS10" i="38"/>
  <c r="NS49" i="38" s="1"/>
  <c r="CH48" i="38"/>
  <c r="NW14" i="38"/>
  <c r="NW53" i="38" s="1"/>
  <c r="CH47" i="38"/>
  <c r="NP7" i="38"/>
  <c r="NP46" i="38" s="1"/>
  <c r="LW20" i="38"/>
  <c r="LW15" i="38"/>
  <c r="MC21" i="38"/>
  <c r="LV21" i="38"/>
  <c r="LY17" i="38"/>
  <c r="LW9" i="38"/>
  <c r="MD6" i="38"/>
  <c r="LZ15" i="38"/>
  <c r="PU15" i="38"/>
  <c r="I235" i="55" s="1"/>
  <c r="BR5" i="38"/>
  <c r="NQ22" i="38"/>
  <c r="NQ61" i="38" s="1"/>
  <c r="MD9" i="38"/>
  <c r="Z619" i="55"/>
  <c r="LV17" i="38"/>
  <c r="LU20" i="38"/>
  <c r="NQ18" i="38"/>
  <c r="NQ57" i="38" s="1"/>
  <c r="NU9" i="38"/>
  <c r="LZ14" i="38"/>
  <c r="NX15" i="38"/>
  <c r="NX54" i="38" s="1"/>
  <c r="LV22" i="38"/>
  <c r="LU24" i="38"/>
  <c r="CK16" i="38"/>
  <c r="CM16" i="38" s="1"/>
  <c r="V7" i="51"/>
  <c r="V371" i="51" s="1"/>
  <c r="ME12" i="38"/>
  <c r="FV6" i="38"/>
  <c r="BV46" i="38"/>
  <c r="GI37" i="38"/>
  <c r="MA11" i="38"/>
  <c r="LK9" i="38"/>
  <c r="CF46" i="38"/>
  <c r="MA23" i="38"/>
  <c r="LZ12" i="38"/>
  <c r="BV47" i="38"/>
  <c r="BV48" i="38"/>
  <c r="FV9" i="38"/>
  <c r="JB5" i="38"/>
  <c r="ME5" i="38"/>
  <c r="LV12" i="38"/>
  <c r="LY6" i="38"/>
  <c r="EA9" i="38"/>
  <c r="EB9" i="38"/>
  <c r="LP12" i="38"/>
  <c r="LR12" i="38" s="1"/>
  <c r="LW17" i="38"/>
  <c r="JB12" i="38"/>
  <c r="JA23" i="38"/>
  <c r="I32" i="58" s="1"/>
  <c r="GA23" i="38"/>
  <c r="GB23" i="38" s="1"/>
  <c r="GA12" i="38"/>
  <c r="GB12" i="38" s="1"/>
  <c r="LK7" i="38"/>
  <c r="BZ47" i="38"/>
  <c r="GA26" i="38"/>
  <c r="GB26" i="38" s="1"/>
  <c r="GA19" i="38"/>
  <c r="GB19" i="38" s="1"/>
  <c r="BZ46" i="38"/>
  <c r="FV7" i="38"/>
  <c r="BZ48" i="38"/>
  <c r="ME20" i="38"/>
  <c r="MC19" i="38"/>
  <c r="MG5" i="38"/>
  <c r="FY12" i="38"/>
  <c r="GA14" i="38"/>
  <c r="GB14" i="38" s="1"/>
  <c r="LY9" i="38"/>
  <c r="GE37" i="38"/>
  <c r="LW25" i="38"/>
  <c r="CK5" i="38"/>
  <c r="CM5" i="38" s="1"/>
  <c r="LU6" i="38"/>
  <c r="MD16" i="38"/>
  <c r="NW25" i="38"/>
  <c r="NW64" i="38" s="1"/>
  <c r="MC10" i="38"/>
  <c r="JA17" i="38"/>
  <c r="I26" i="58" s="1"/>
  <c r="GM37" i="38"/>
  <c r="JA9" i="38"/>
  <c r="I18" i="58" s="1"/>
  <c r="LY25" i="38"/>
  <c r="CI14" i="38"/>
  <c r="DC14" i="38" s="1"/>
  <c r="JA5" i="38"/>
  <c r="I14" i="58" s="1"/>
  <c r="NX22" i="38"/>
  <c r="NX61" i="38" s="1"/>
  <c r="MA5" i="38"/>
  <c r="BS10" i="38"/>
  <c r="MC6" i="38"/>
  <c r="MC7" i="38"/>
  <c r="CF48" i="38"/>
  <c r="FX23" i="38"/>
  <c r="IY14" i="38"/>
  <c r="K23" i="58" s="1"/>
  <c r="CF47" i="38"/>
  <c r="MA10" i="38"/>
  <c r="LZ25" i="38"/>
  <c r="CK25" i="38"/>
  <c r="CM25" i="38" s="1"/>
  <c r="LZ19" i="38"/>
  <c r="MC9" i="38"/>
  <c r="MG7" i="38"/>
  <c r="NW22" i="38"/>
  <c r="NW61" i="38" s="1"/>
  <c r="LV10" i="38"/>
  <c r="MD17" i="38"/>
  <c r="BR12" i="38"/>
  <c r="MD19" i="38"/>
  <c r="MA25" i="38"/>
  <c r="LP27" i="38"/>
  <c r="LR27" i="38" s="1"/>
  <c r="PT18" i="38"/>
  <c r="PV18" i="38"/>
  <c r="PS18" i="38"/>
  <c r="M232" i="55"/>
  <c r="EB18" i="38"/>
  <c r="FX27" i="38"/>
  <c r="LW13" i="38"/>
  <c r="NQ13" i="38"/>
  <c r="NQ52" i="38" s="1"/>
  <c r="EA15" i="38"/>
  <c r="EC15" i="38" s="1"/>
  <c r="EB15" i="38"/>
  <c r="PV15" i="38"/>
  <c r="M235" i="55"/>
  <c r="PS15" i="38"/>
  <c r="K235" i="55" s="1"/>
  <c r="MG26" i="38"/>
  <c r="OA26" i="38"/>
  <c r="OA65" i="38" s="1"/>
  <c r="PT13" i="38"/>
  <c r="K236" i="55" s="1"/>
  <c r="NW27" i="38"/>
  <c r="NW66" i="38" s="1"/>
  <c r="MC27" i="38"/>
  <c r="MD26" i="38"/>
  <c r="NX26" i="38"/>
  <c r="NX65" i="38" s="1"/>
  <c r="PT9" i="38"/>
  <c r="M234" i="55"/>
  <c r="PS9" i="38"/>
  <c r="NX27" i="38"/>
  <c r="NX66" i="38" s="1"/>
  <c r="MD27" i="38"/>
  <c r="MH26" i="38"/>
  <c r="R35" i="58" s="1"/>
  <c r="T238" i="55" s="1"/>
  <c r="OB26" i="38"/>
  <c r="OB65" i="38" s="1"/>
  <c r="LM26" i="38"/>
  <c r="NX13" i="38"/>
  <c r="NX52" i="38" s="1"/>
  <c r="MD13" i="38"/>
  <c r="FV13" i="38"/>
  <c r="LK13" i="38"/>
  <c r="EB13" i="38"/>
  <c r="M236" i="55"/>
  <c r="PV13" i="38"/>
  <c r="MG13" i="38"/>
  <c r="OA13" i="38"/>
  <c r="OA52" i="38" s="1"/>
  <c r="PU13" i="38"/>
  <c r="ME26" i="38"/>
  <c r="LN26" i="38"/>
  <c r="LO26" i="38" s="1"/>
  <c r="NY26" i="38"/>
  <c r="NY65" i="38" s="1"/>
  <c r="MA24" i="38"/>
  <c r="NU24" i="38"/>
  <c r="NU63" i="38" s="1"/>
  <c r="FX26" i="38"/>
  <c r="ME13" i="38"/>
  <c r="NY13" i="38"/>
  <c r="NY52" i="38" s="1"/>
  <c r="M218" i="55"/>
  <c r="PV7" i="38"/>
  <c r="PS7" i="38"/>
  <c r="PT7" i="38"/>
  <c r="EB7" i="38"/>
  <c r="PV6" i="38"/>
  <c r="M229" i="55"/>
  <c r="LU26" i="38"/>
  <c r="NO26" i="38"/>
  <c r="NO65" i="38" s="1"/>
  <c r="EB6" i="38"/>
  <c r="LV26" i="38"/>
  <c r="NP26" i="38"/>
  <c r="NP65" i="38" s="1"/>
  <c r="LQ26" i="38"/>
  <c r="EA6" i="38"/>
  <c r="EC6" i="38" s="1"/>
  <c r="PU6" i="38"/>
  <c r="I229" i="55" s="1"/>
  <c r="ME27" i="38"/>
  <c r="NY27" i="38"/>
  <c r="NY66" i="38" s="1"/>
  <c r="FY26" i="38"/>
  <c r="PU5" i="38"/>
  <c r="PS6" i="38"/>
  <c r="K229" i="55" s="1"/>
  <c r="LZ26" i="38"/>
  <c r="NT26" i="38"/>
  <c r="NT65" i="38" s="1"/>
  <c r="MG24" i="38"/>
  <c r="OA24" i="38"/>
  <c r="OA63" i="38" s="1"/>
  <c r="LP26" i="38"/>
  <c r="LR26" i="38" s="1"/>
  <c r="PS24" i="38"/>
  <c r="PT5" i="38"/>
  <c r="MD8" i="38"/>
  <c r="NX8" i="38"/>
  <c r="NX47" i="38" s="1"/>
  <c r="NY24" i="38"/>
  <c r="NY63" i="38" s="1"/>
  <c r="ME24" i="38"/>
  <c r="LK8" i="38"/>
  <c r="EB8" i="38"/>
  <c r="Z732" i="55"/>
  <c r="H606" i="48" s="1"/>
  <c r="FV8" i="38"/>
  <c r="LW24" i="38"/>
  <c r="NQ24" i="38"/>
  <c r="NQ63" i="38" s="1"/>
  <c r="PV8" i="38"/>
  <c r="M237" i="55"/>
  <c r="PV36" i="38"/>
  <c r="OB27" i="38"/>
  <c r="MH27" i="38"/>
  <c r="MM27" i="38" s="1"/>
  <c r="LV24" i="38"/>
  <c r="NP24" i="38"/>
  <c r="NP63" i="38" s="1"/>
  <c r="OA8" i="38"/>
  <c r="OA47" i="38" s="1"/>
  <c r="MG8" i="38"/>
  <c r="LM27" i="38"/>
  <c r="LZ13" i="38"/>
  <c r="NT13" i="38"/>
  <c r="NT52" i="38" s="1"/>
  <c r="MC26" i="38"/>
  <c r="NW26" i="38"/>
  <c r="NW65" i="38" s="1"/>
  <c r="LN27" i="38"/>
  <c r="LO27" i="38" s="1"/>
  <c r="PU8" i="38"/>
  <c r="I237" i="55" s="1"/>
  <c r="PV24" i="38"/>
  <c r="M239" i="55"/>
  <c r="MC13" i="38"/>
  <c r="NW13" i="38"/>
  <c r="NW52" i="38" s="1"/>
  <c r="MA8" i="38"/>
  <c r="NU8" i="38"/>
  <c r="NU47" i="38" s="1"/>
  <c r="PV5" i="38"/>
  <c r="M223" i="55"/>
  <c r="EB5" i="38"/>
  <c r="FV5" i="38"/>
  <c r="EA5" i="38"/>
  <c r="EC5" i="38" s="1"/>
  <c r="LK5" i="38"/>
  <c r="NS24" i="38"/>
  <c r="NS63" i="38" s="1"/>
  <c r="LY24" i="38"/>
  <c r="LU11" i="38"/>
  <c r="NO11" i="38"/>
  <c r="NO50" i="38" s="1"/>
  <c r="LK24" i="38"/>
  <c r="EB24" i="38"/>
  <c r="FV24" i="38"/>
  <c r="GV27" i="38"/>
  <c r="PT24" i="38"/>
  <c r="K239" i="55" s="1"/>
  <c r="FY27" i="38"/>
  <c r="PS8" i="38"/>
  <c r="K237" i="55" s="1"/>
  <c r="BR23" i="38"/>
  <c r="DE6" i="38"/>
  <c r="CL6" i="38"/>
  <c r="CK6" i="38"/>
  <c r="CM6" i="38" s="1"/>
  <c r="LP23" i="38"/>
  <c r="LR23" i="38" s="1"/>
  <c r="LN12" i="38"/>
  <c r="LO12" i="38" s="1"/>
  <c r="LQ12" i="38"/>
  <c r="JA11" i="38"/>
  <c r="I20" i="58" s="1"/>
  <c r="BR6" i="38"/>
  <c r="CL12" i="38"/>
  <c r="DE12" i="38"/>
  <c r="CK12" i="38"/>
  <c r="CM12" i="38" s="1"/>
  <c r="BR21" i="38"/>
  <c r="CK23" i="38"/>
  <c r="CM23" i="38" s="1"/>
  <c r="BS15" i="38"/>
  <c r="FX14" i="38"/>
  <c r="FX12" i="38"/>
  <c r="JA12" i="38"/>
  <c r="I21" i="58" s="1"/>
  <c r="CL23" i="38"/>
  <c r="DE23" i="38"/>
  <c r="JA6" i="38"/>
  <c r="I15" i="58" s="1"/>
  <c r="BS12" i="38"/>
  <c r="JB9" i="38"/>
  <c r="J18" i="58" s="1"/>
  <c r="JT9" i="38"/>
  <c r="V11" i="51"/>
  <c r="DC25" i="38"/>
  <c r="CL25" i="38"/>
  <c r="V8" i="51"/>
  <c r="JT6" i="38"/>
  <c r="JB23" i="38"/>
  <c r="J32" i="58" s="1"/>
  <c r="V25" i="51"/>
  <c r="JT23" i="38"/>
  <c r="JT11" i="38"/>
  <c r="V13" i="51"/>
  <c r="V14" i="51"/>
  <c r="JT12" i="38"/>
  <c r="FY23" i="38"/>
  <c r="OB12" i="38"/>
  <c r="MH12" i="38"/>
  <c r="R21" i="58" s="1"/>
  <c r="T226" i="55" s="1"/>
  <c r="LM12" i="38"/>
  <c r="CL16" i="38"/>
  <c r="DC16" i="38"/>
  <c r="LM23" i="38"/>
  <c r="MH23" i="38"/>
  <c r="R32" i="58" s="1"/>
  <c r="T221" i="55" s="1"/>
  <c r="OB23" i="38"/>
  <c r="OB62" i="38" s="1"/>
  <c r="LN23" i="38"/>
  <c r="LO23" i="38" s="1"/>
  <c r="FY19" i="38"/>
  <c r="BR7" i="38"/>
  <c r="BR10" i="38"/>
  <c r="DE5" i="38"/>
  <c r="V19" i="51"/>
  <c r="JB17" i="38"/>
  <c r="J26" i="58" s="1"/>
  <c r="JT17" i="38"/>
  <c r="JD27" i="38"/>
  <c r="E27" i="47" s="1"/>
  <c r="D27" i="47"/>
  <c r="FX19" i="38"/>
  <c r="SA13" i="38" l="1"/>
  <c r="I236" i="55"/>
  <c r="SA20" i="38"/>
  <c r="SB6" i="38"/>
  <c r="SB10" i="38"/>
  <c r="SB11" i="38"/>
  <c r="SB14" i="38"/>
  <c r="SA16" i="38"/>
  <c r="GA20" i="38"/>
  <c r="GB20" i="38" s="1"/>
  <c r="GU12" i="38"/>
  <c r="D362" i="44" s="1"/>
  <c r="GS20" i="38"/>
  <c r="GV20" i="38" s="1"/>
  <c r="AJ22" i="51" s="1"/>
  <c r="K189" i="58"/>
  <c r="FY20" i="38"/>
  <c r="FX20" i="38"/>
  <c r="GU23" i="38"/>
  <c r="D373" i="44" s="1"/>
  <c r="K129" i="58"/>
  <c r="AK331" i="58"/>
  <c r="R419" i="48" s="1"/>
  <c r="K160" i="58"/>
  <c r="H476" i="58"/>
  <c r="H478" i="58"/>
  <c r="K231" i="55"/>
  <c r="H468" i="58"/>
  <c r="H475" i="58"/>
  <c r="SA8" i="38"/>
  <c r="SB24" i="38"/>
  <c r="Y399" i="58"/>
  <c r="Y397" i="58"/>
  <c r="Y398" i="58"/>
  <c r="N54" i="51"/>
  <c r="N302" i="51"/>
  <c r="N210" i="51"/>
  <c r="N78" i="51"/>
  <c r="N321" i="51"/>
  <c r="N102" i="51"/>
  <c r="N148" i="51"/>
  <c r="N184" i="51"/>
  <c r="W325" i="44"/>
  <c r="F315" i="44" s="1"/>
  <c r="N374" i="51"/>
  <c r="N272" i="51"/>
  <c r="N124" i="51"/>
  <c r="N228" i="51"/>
  <c r="C127" i="58"/>
  <c r="C203" i="58"/>
  <c r="C159" i="58"/>
  <c r="C56" i="58"/>
  <c r="F470" i="58"/>
  <c r="Q466" i="58"/>
  <c r="F480" i="58"/>
  <c r="Q468" i="58"/>
  <c r="Q469" i="58"/>
  <c r="Q480" i="58"/>
  <c r="Q481" i="58"/>
  <c r="F468" i="58"/>
  <c r="F472" i="58"/>
  <c r="F471" i="58"/>
  <c r="F476" i="58"/>
  <c r="Q470" i="58"/>
  <c r="F478" i="58"/>
  <c r="Q476" i="58"/>
  <c r="F483" i="58"/>
  <c r="F466" i="58"/>
  <c r="Q471" i="58"/>
  <c r="Q475" i="58"/>
  <c r="Q482" i="58"/>
  <c r="F475" i="58"/>
  <c r="F469" i="58"/>
  <c r="Q479" i="58"/>
  <c r="F481" i="58"/>
  <c r="Q483" i="58"/>
  <c r="Q478" i="58"/>
  <c r="F479" i="58"/>
  <c r="F482" i="58"/>
  <c r="GU19" i="38"/>
  <c r="D369" i="44" s="1"/>
  <c r="U13" i="51"/>
  <c r="U345" i="51" s="1"/>
  <c r="J20" i="58"/>
  <c r="LM16" i="38"/>
  <c r="U195" i="58"/>
  <c r="U186" i="58"/>
  <c r="U188" i="58"/>
  <c r="R134" i="58"/>
  <c r="R165" i="58"/>
  <c r="R187" i="58"/>
  <c r="R49" i="58"/>
  <c r="R164" i="58"/>
  <c r="R188" i="58"/>
  <c r="R136" i="58"/>
  <c r="R51" i="58"/>
  <c r="JC6" i="38"/>
  <c r="D6" i="47" s="1"/>
  <c r="AJ331" i="58"/>
  <c r="AK81" i="58"/>
  <c r="AL81" i="58" s="1"/>
  <c r="AK93" i="58"/>
  <c r="AL93" i="58" s="1"/>
  <c r="GC13" i="38"/>
  <c r="U187" i="58"/>
  <c r="AA23" i="58"/>
  <c r="JC17" i="38"/>
  <c r="JD17" i="38" s="1"/>
  <c r="E17" i="47" s="1"/>
  <c r="JC23" i="38"/>
  <c r="D23" i="47" s="1"/>
  <c r="AK83" i="58"/>
  <c r="AL83" i="58" s="1"/>
  <c r="LP15" i="38"/>
  <c r="LR15" i="38" s="1"/>
  <c r="JC22" i="38"/>
  <c r="D22" i="47" s="1"/>
  <c r="LN6" i="38"/>
  <c r="LO6" i="38" s="1"/>
  <c r="LN14" i="38"/>
  <c r="LO14" i="38" s="1"/>
  <c r="AA24" i="58"/>
  <c r="IY55" i="38"/>
  <c r="JA55" i="38" s="1"/>
  <c r="AK328" i="58"/>
  <c r="U194" i="58"/>
  <c r="J31" i="58"/>
  <c r="IY57" i="38"/>
  <c r="JA57" i="38" s="1"/>
  <c r="AK329" i="58"/>
  <c r="R417" i="48" s="1"/>
  <c r="LP11" i="38"/>
  <c r="LR11" i="38" s="1"/>
  <c r="U197" i="58"/>
  <c r="AA31" i="58"/>
  <c r="LM10" i="38"/>
  <c r="U199" i="58"/>
  <c r="MH18" i="38"/>
  <c r="MJ18" i="38" s="1"/>
  <c r="K165" i="58"/>
  <c r="K49" i="58"/>
  <c r="K134" i="58"/>
  <c r="K187" i="58"/>
  <c r="K51" i="58"/>
  <c r="K188" i="58"/>
  <c r="K164" i="58"/>
  <c r="K136" i="58"/>
  <c r="K173" i="58"/>
  <c r="K194" i="58"/>
  <c r="K58" i="58"/>
  <c r="K140" i="58"/>
  <c r="J165" i="58"/>
  <c r="J187" i="58"/>
  <c r="J49" i="58"/>
  <c r="J134" i="58"/>
  <c r="Z32" i="58"/>
  <c r="JT25" i="38"/>
  <c r="JW25" i="38" s="1"/>
  <c r="AK330" i="58"/>
  <c r="J173" i="58"/>
  <c r="J58" i="58"/>
  <c r="J194" i="58"/>
  <c r="J140" i="58"/>
  <c r="AA25" i="58"/>
  <c r="U189" i="58"/>
  <c r="JC12" i="38"/>
  <c r="D12" i="47" s="1"/>
  <c r="Z15" i="58"/>
  <c r="LM13" i="38"/>
  <c r="K158" i="58"/>
  <c r="K197" i="58"/>
  <c r="K50" i="58"/>
  <c r="K128" i="58"/>
  <c r="I155" i="58"/>
  <c r="I193" i="58"/>
  <c r="L14" i="58"/>
  <c r="I55" i="58"/>
  <c r="AK55" i="58" s="1"/>
  <c r="I125" i="58"/>
  <c r="U200" i="58"/>
  <c r="AA16" i="58"/>
  <c r="U8" i="51"/>
  <c r="U134" i="51" s="1"/>
  <c r="J15" i="58"/>
  <c r="IY54" i="38"/>
  <c r="JA54" i="38" s="1"/>
  <c r="U184" i="58"/>
  <c r="U196" i="58"/>
  <c r="IY58" i="38"/>
  <c r="JA58" i="38" s="1"/>
  <c r="AK326" i="58"/>
  <c r="U193" i="58"/>
  <c r="LN17" i="38"/>
  <c r="LO17" i="38" s="1"/>
  <c r="IY59" i="38"/>
  <c r="JA59" i="38" s="1"/>
  <c r="GC18" i="38"/>
  <c r="LN21" i="38"/>
  <c r="LO21" i="38" s="1"/>
  <c r="AA20" i="58"/>
  <c r="IY49" i="38"/>
  <c r="JA49" i="38" s="1"/>
  <c r="AK327" i="58"/>
  <c r="R415" i="48" s="1"/>
  <c r="K198" i="58"/>
  <c r="K133" i="58"/>
  <c r="K53" i="58"/>
  <c r="K163" i="58"/>
  <c r="GU14" i="38"/>
  <c r="K16" i="51" s="1"/>
  <c r="Z14" i="58"/>
  <c r="JC11" i="38"/>
  <c r="D11" i="47" s="1"/>
  <c r="U14" i="51"/>
  <c r="U146" i="51" s="1"/>
  <c r="J21" i="58"/>
  <c r="K172" i="58"/>
  <c r="K141" i="58"/>
  <c r="K184" i="58"/>
  <c r="K52" i="58"/>
  <c r="AA34" i="58"/>
  <c r="J190" i="58"/>
  <c r="J41" i="58"/>
  <c r="J121" i="58"/>
  <c r="J153" i="58"/>
  <c r="U192" i="58"/>
  <c r="Z21" i="58"/>
  <c r="GS5" i="38"/>
  <c r="GU5" i="38" s="1"/>
  <c r="R167" i="58"/>
  <c r="R135" i="58"/>
  <c r="R199" i="58"/>
  <c r="R59" i="58"/>
  <c r="JC9" i="38"/>
  <c r="JD9" i="38" s="1"/>
  <c r="E9" i="47" s="1"/>
  <c r="U7" i="51"/>
  <c r="U68" i="51" s="1"/>
  <c r="J14" i="58"/>
  <c r="LQ25" i="38"/>
  <c r="U202" i="58"/>
  <c r="LN19" i="38"/>
  <c r="LO19" i="38" s="1"/>
  <c r="AA29" i="58"/>
  <c r="AA18" i="58"/>
  <c r="GS11" i="38"/>
  <c r="GU11" i="38" s="1"/>
  <c r="IY60" i="38"/>
  <c r="JA60" i="38" s="1"/>
  <c r="LM22" i="38"/>
  <c r="JT7" i="38"/>
  <c r="JW7" i="38" s="1"/>
  <c r="IY36" i="38"/>
  <c r="FV47" i="38"/>
  <c r="FX47" i="38" s="1"/>
  <c r="FV33" i="38"/>
  <c r="FY33" i="38" s="1"/>
  <c r="GC21" i="38"/>
  <c r="FV60" i="38"/>
  <c r="GU26" i="38"/>
  <c r="E218" i="44" s="1"/>
  <c r="GR31" i="38"/>
  <c r="GC9" i="38"/>
  <c r="FV48" i="38"/>
  <c r="GA48" i="38" s="1"/>
  <c r="GC7" i="38"/>
  <c r="FV46" i="38"/>
  <c r="FY46" i="38" s="1"/>
  <c r="F404" i="44" s="1"/>
  <c r="GL32" i="38"/>
  <c r="PU32" i="38"/>
  <c r="PT31" i="38"/>
  <c r="GH31" i="38"/>
  <c r="RY30" i="38"/>
  <c r="SB30" i="38" s="1"/>
  <c r="RY32" i="38"/>
  <c r="SB32" i="38" s="1"/>
  <c r="RY29" i="38"/>
  <c r="SB29" i="38" s="1"/>
  <c r="RY31" i="38"/>
  <c r="SA31" i="38" s="1"/>
  <c r="RF30" i="38"/>
  <c r="RI30" i="38" s="1"/>
  <c r="RF32" i="38"/>
  <c r="RH32" i="38" s="1"/>
  <c r="RF29" i="38"/>
  <c r="RI29" i="38" s="1"/>
  <c r="RF31" i="38"/>
  <c r="RH31" i="38" s="1"/>
  <c r="PU29" i="38"/>
  <c r="PS29" i="38"/>
  <c r="PT32" i="38"/>
  <c r="PU31" i="38"/>
  <c r="PT30" i="38"/>
  <c r="PS30" i="38"/>
  <c r="PT29" i="38"/>
  <c r="PU30" i="38"/>
  <c r="PS32" i="38"/>
  <c r="PS31" i="38"/>
  <c r="GF29" i="38"/>
  <c r="K218" i="55"/>
  <c r="K234" i="55"/>
  <c r="K232" i="55"/>
  <c r="GR30" i="38"/>
  <c r="GH30" i="38"/>
  <c r="I232" i="55"/>
  <c r="I239" i="55"/>
  <c r="GN30" i="38"/>
  <c r="I234" i="55"/>
  <c r="GJ30" i="38"/>
  <c r="I218" i="55"/>
  <c r="NO29" i="38"/>
  <c r="NO31" i="38"/>
  <c r="NO30" i="38"/>
  <c r="NO32" i="38"/>
  <c r="NS30" i="38"/>
  <c r="NS32" i="38"/>
  <c r="NS29" i="38"/>
  <c r="NS31" i="38"/>
  <c r="NX30" i="38"/>
  <c r="NX32" i="38"/>
  <c r="NX29" i="38"/>
  <c r="NX31" i="38"/>
  <c r="NU30" i="38"/>
  <c r="NU29" i="38"/>
  <c r="NU31" i="38"/>
  <c r="NU32" i="38"/>
  <c r="NY32" i="38"/>
  <c r="NY29" i="38"/>
  <c r="NY31" i="38"/>
  <c r="NY30" i="38"/>
  <c r="JK29" i="38"/>
  <c r="JO31" i="38"/>
  <c r="GH29" i="38"/>
  <c r="JO29" i="38"/>
  <c r="GR29" i="38"/>
  <c r="GN31" i="38"/>
  <c r="CR31" i="38"/>
  <c r="NW29" i="38"/>
  <c r="NW31" i="38"/>
  <c r="NW30" i="38"/>
  <c r="NW32" i="38"/>
  <c r="NP30" i="38"/>
  <c r="NP32" i="38"/>
  <c r="NP31" i="38"/>
  <c r="NP29" i="38"/>
  <c r="OA30" i="38"/>
  <c r="OA32" i="38"/>
  <c r="OA29" i="38"/>
  <c r="OA31" i="38"/>
  <c r="NT30" i="38"/>
  <c r="NT32" i="38"/>
  <c r="NT29" i="38"/>
  <c r="NT31" i="38"/>
  <c r="NQ32" i="38"/>
  <c r="NQ29" i="38"/>
  <c r="NQ31" i="38"/>
  <c r="NQ30" i="38"/>
  <c r="GJ31" i="38"/>
  <c r="GR32" i="38"/>
  <c r="GH32" i="38"/>
  <c r="GP32" i="38"/>
  <c r="CY31" i="38"/>
  <c r="MA29" i="38"/>
  <c r="MA31" i="38"/>
  <c r="MA30" i="38"/>
  <c r="MA32" i="38"/>
  <c r="ME29" i="38"/>
  <c r="ME31" i="38"/>
  <c r="ME30" i="38"/>
  <c r="ME32" i="38"/>
  <c r="MG29" i="38"/>
  <c r="MG31" i="38"/>
  <c r="MG30" i="38"/>
  <c r="MG32" i="38"/>
  <c r="LZ30" i="38"/>
  <c r="LZ32" i="38"/>
  <c r="LZ29" i="38"/>
  <c r="LZ31" i="38"/>
  <c r="GG30" i="38"/>
  <c r="JQ30" i="38"/>
  <c r="JQ32" i="38"/>
  <c r="JQ31" i="38"/>
  <c r="JQ29" i="38"/>
  <c r="JG29" i="38"/>
  <c r="JG31" i="38"/>
  <c r="JG30" i="38"/>
  <c r="JG32" i="38"/>
  <c r="JP29" i="38"/>
  <c r="JP31" i="38"/>
  <c r="JP32" i="38"/>
  <c r="JP30" i="38"/>
  <c r="GP30" i="38"/>
  <c r="JK31" i="38"/>
  <c r="IY31" i="38"/>
  <c r="JB31" i="38" s="1"/>
  <c r="GW27" i="38"/>
  <c r="GG31" i="38"/>
  <c r="GJ29" i="38"/>
  <c r="GG29" i="38"/>
  <c r="GF30" i="38"/>
  <c r="GF31" i="38"/>
  <c r="DB31" i="38"/>
  <c r="CR32" i="38"/>
  <c r="JO30" i="38"/>
  <c r="JK32" i="38"/>
  <c r="IY30" i="38"/>
  <c r="JB30" i="38" s="1"/>
  <c r="JS29" i="38"/>
  <c r="JS31" i="38"/>
  <c r="JS32" i="38"/>
  <c r="JS30" i="38"/>
  <c r="JI30" i="38"/>
  <c r="JI32" i="38"/>
  <c r="JI31" i="38"/>
  <c r="JI29" i="38"/>
  <c r="MD30" i="38"/>
  <c r="MD32" i="38"/>
  <c r="MD29" i="38"/>
  <c r="MD31" i="38"/>
  <c r="JH29" i="38"/>
  <c r="JH31" i="38"/>
  <c r="JH32" i="38"/>
  <c r="JH30" i="38"/>
  <c r="MC30" i="38"/>
  <c r="MC32" i="38"/>
  <c r="MC29" i="38"/>
  <c r="MC31" i="38"/>
  <c r="GK32" i="38"/>
  <c r="GN29" i="38"/>
  <c r="DB29" i="38"/>
  <c r="CU31" i="38"/>
  <c r="JO32" i="38"/>
  <c r="JK30" i="38"/>
  <c r="IY32" i="38"/>
  <c r="JB32" i="38" s="1"/>
  <c r="LK29" i="38"/>
  <c r="LQ29" i="38" s="1"/>
  <c r="LK31" i="38"/>
  <c r="LQ31" i="38" s="1"/>
  <c r="LK30" i="38"/>
  <c r="LP30" i="38" s="1"/>
  <c r="LR30" i="38" s="1"/>
  <c r="LK32" i="38"/>
  <c r="LQ32" i="38" s="1"/>
  <c r="LV30" i="38"/>
  <c r="LV32" i="38"/>
  <c r="LV29" i="38"/>
  <c r="LV31" i="38"/>
  <c r="LU30" i="38"/>
  <c r="LU32" i="38"/>
  <c r="LU29" i="38"/>
  <c r="LU31" i="38"/>
  <c r="JL29" i="38"/>
  <c r="JL31" i="38"/>
  <c r="JL32" i="38"/>
  <c r="JL30" i="38"/>
  <c r="JM30" i="38"/>
  <c r="JM32" i="38"/>
  <c r="JM31" i="38"/>
  <c r="JM29" i="38"/>
  <c r="LW29" i="38"/>
  <c r="LW31" i="38"/>
  <c r="LW30" i="38"/>
  <c r="LW32" i="38"/>
  <c r="LY29" i="38"/>
  <c r="LY31" i="38"/>
  <c r="LY30" i="38"/>
  <c r="LY32" i="38"/>
  <c r="GK31" i="38"/>
  <c r="GL31" i="38"/>
  <c r="GL29" i="38"/>
  <c r="GK30" i="38"/>
  <c r="GN32" i="38"/>
  <c r="CX31" i="38"/>
  <c r="CU29" i="38"/>
  <c r="CY30" i="38"/>
  <c r="IY29" i="38"/>
  <c r="JB29" i="38" s="1"/>
  <c r="CX30" i="38"/>
  <c r="DB30" i="38"/>
  <c r="CR30" i="38"/>
  <c r="CU30" i="38"/>
  <c r="CQ30" i="38"/>
  <c r="CY32" i="38"/>
  <c r="CV29" i="38"/>
  <c r="CQ29" i="38"/>
  <c r="CV30" i="38"/>
  <c r="CX29" i="38"/>
  <c r="CQ31" i="38"/>
  <c r="CV32" i="38"/>
  <c r="GS8" i="38"/>
  <c r="GU8" i="38" s="1"/>
  <c r="FY6" i="38"/>
  <c r="GS6" i="38"/>
  <c r="FX16" i="38"/>
  <c r="GS16" i="38"/>
  <c r="GU16" i="38" s="1"/>
  <c r="FX24" i="38"/>
  <c r="GS24" i="38"/>
  <c r="GU24" i="38" s="1"/>
  <c r="GC24" i="38"/>
  <c r="FZ12" i="38"/>
  <c r="GC11" i="38"/>
  <c r="GC16" i="38"/>
  <c r="GC5" i="38"/>
  <c r="GG32" i="38"/>
  <c r="FZ19" i="38"/>
  <c r="FY10" i="38"/>
  <c r="GS10" i="38"/>
  <c r="GU10" i="38" s="1"/>
  <c r="GS22" i="38"/>
  <c r="GV22" i="38" s="1"/>
  <c r="FZ14" i="38"/>
  <c r="GA17" i="38"/>
  <c r="GB17" i="38" s="1"/>
  <c r="GS17" i="38"/>
  <c r="GU17" i="38" s="1"/>
  <c r="FX25" i="38"/>
  <c r="GS25" i="38"/>
  <c r="GU25" i="38" s="1"/>
  <c r="GA21" i="38"/>
  <c r="GB21" i="38" s="1"/>
  <c r="GS21" i="38"/>
  <c r="GU21" i="38" s="1"/>
  <c r="GO30" i="38"/>
  <c r="GO31" i="38"/>
  <c r="GO29" i="38"/>
  <c r="GO32" i="38"/>
  <c r="FX13" i="38"/>
  <c r="GS13" i="38"/>
  <c r="GW13" i="38" s="1"/>
  <c r="K388" i="44" s="1"/>
  <c r="FZ23" i="38"/>
  <c r="GS15" i="38"/>
  <c r="GV15" i="38" s="1"/>
  <c r="L17" i="51" s="1"/>
  <c r="FZ26" i="38"/>
  <c r="FZ27" i="38"/>
  <c r="GS7" i="38"/>
  <c r="FZ20" i="38"/>
  <c r="GS9" i="38"/>
  <c r="GU9" i="38" s="1"/>
  <c r="GA18" i="38"/>
  <c r="GB18" i="38" s="1"/>
  <c r="GS18" i="38"/>
  <c r="GW18" i="38" s="1"/>
  <c r="GC6" i="38"/>
  <c r="GP29" i="38"/>
  <c r="GK29" i="38"/>
  <c r="GC22" i="38"/>
  <c r="GJ32" i="38"/>
  <c r="GC8" i="38"/>
  <c r="GC10" i="38"/>
  <c r="GC17" i="38"/>
  <c r="GC15" i="38"/>
  <c r="GF32" i="38"/>
  <c r="GL30" i="38"/>
  <c r="GP31" i="38"/>
  <c r="GC25" i="38"/>
  <c r="GW26" i="38"/>
  <c r="FV30" i="38"/>
  <c r="FY30" i="38" s="1"/>
  <c r="FV32" i="38"/>
  <c r="FY32" i="38" s="1"/>
  <c r="FV31" i="38"/>
  <c r="FY31" i="38" s="1"/>
  <c r="NX36" i="38"/>
  <c r="GL36" i="38"/>
  <c r="GF36" i="38"/>
  <c r="GL35" i="38"/>
  <c r="OA36" i="38"/>
  <c r="NT48" i="38"/>
  <c r="GO35" i="38"/>
  <c r="NQ48" i="38"/>
  <c r="GG36" i="38"/>
  <c r="GK36" i="38"/>
  <c r="GP35" i="38"/>
  <c r="GH36" i="38"/>
  <c r="GH35" i="38"/>
  <c r="NY36" i="38"/>
  <c r="GK35" i="38"/>
  <c r="GJ36" i="38"/>
  <c r="GN36" i="38"/>
  <c r="GR36" i="38"/>
  <c r="GN35" i="38"/>
  <c r="GJ35" i="38"/>
  <c r="Y535" i="55"/>
  <c r="GP36" i="38"/>
  <c r="NP36" i="38"/>
  <c r="GG35" i="38"/>
  <c r="NS48" i="38"/>
  <c r="GF35" i="38"/>
  <c r="GO36" i="38"/>
  <c r="GR35" i="38"/>
  <c r="EC7" i="38"/>
  <c r="GA7" i="38"/>
  <c r="GA8" i="38"/>
  <c r="FY9" i="38"/>
  <c r="LQ9" i="38"/>
  <c r="LK48" i="38"/>
  <c r="LM48" i="38" s="1"/>
  <c r="NW48" i="38"/>
  <c r="LP8" i="38"/>
  <c r="LR8" i="38" s="1"/>
  <c r="LK47" i="38"/>
  <c r="BS38" i="57"/>
  <c r="LM7" i="38"/>
  <c r="LK46" i="38"/>
  <c r="LM46" i="38" s="1"/>
  <c r="EC9" i="38"/>
  <c r="EC8" i="38"/>
  <c r="RH15" i="38"/>
  <c r="RI15" i="38"/>
  <c r="SA9" i="38"/>
  <c r="SB18" i="38"/>
  <c r="SB5" i="38"/>
  <c r="RI5" i="38"/>
  <c r="SA5" i="38"/>
  <c r="SA15" i="38"/>
  <c r="RH5" i="38"/>
  <c r="MJ12" i="38"/>
  <c r="K223" i="55"/>
  <c r="NO44" i="38"/>
  <c r="NU44" i="38"/>
  <c r="NY44" i="38"/>
  <c r="JC5" i="38"/>
  <c r="D5" i="47" s="1"/>
  <c r="NX44" i="38"/>
  <c r="NS44" i="38"/>
  <c r="OA44" i="38"/>
  <c r="NT44" i="38"/>
  <c r="I223" i="55"/>
  <c r="NW44" i="38"/>
  <c r="NP44" i="38"/>
  <c r="NQ44" i="38"/>
  <c r="GA5" i="38"/>
  <c r="GB5" i="38" s="1"/>
  <c r="FV29" i="38"/>
  <c r="FX21" i="38"/>
  <c r="FY22" i="38"/>
  <c r="GA10" i="38"/>
  <c r="GB10" i="38" s="1"/>
  <c r="MH22" i="38"/>
  <c r="GA22" i="38"/>
  <c r="GB22" i="38" s="1"/>
  <c r="LQ22" i="38"/>
  <c r="LP22" i="38"/>
  <c r="LR22" i="38" s="1"/>
  <c r="OB22" i="38"/>
  <c r="OB61" i="38" s="1"/>
  <c r="FX22" i="38"/>
  <c r="LN22" i="38"/>
  <c r="LO22" i="38" s="1"/>
  <c r="V119" i="51"/>
  <c r="FY21" i="38"/>
  <c r="V216" i="51"/>
  <c r="CL22" i="38"/>
  <c r="CK22" i="38"/>
  <c r="CM22" i="38" s="1"/>
  <c r="DE22" i="38"/>
  <c r="BR22" i="38"/>
  <c r="LQ18" i="38"/>
  <c r="LP18" i="38"/>
  <c r="LR18" i="38" s="1"/>
  <c r="LM18" i="38"/>
  <c r="CK10" i="38"/>
  <c r="CM10" i="38" s="1"/>
  <c r="DC10" i="38"/>
  <c r="AA19" i="58" s="1"/>
  <c r="FX10" i="38"/>
  <c r="OB18" i="38"/>
  <c r="OB57" i="38" s="1"/>
  <c r="LN18" i="38"/>
  <c r="LO18" i="38" s="1"/>
  <c r="RI18" i="38"/>
  <c r="RH6" i="38"/>
  <c r="RH9" i="38"/>
  <c r="RI7" i="38"/>
  <c r="JT10" i="38"/>
  <c r="JW10" i="38" s="1"/>
  <c r="OB10" i="38"/>
  <c r="OB49" i="38" s="1"/>
  <c r="MH10" i="38"/>
  <c r="LQ10" i="38"/>
  <c r="V12" i="51"/>
  <c r="V124" i="51" s="1"/>
  <c r="LN10" i="38"/>
  <c r="LO10" i="38" s="1"/>
  <c r="JW6" i="38"/>
  <c r="JB10" i="38"/>
  <c r="LP10" i="38"/>
  <c r="LR10" i="38" s="1"/>
  <c r="JA10" i="38"/>
  <c r="I19" i="58" s="1"/>
  <c r="V370" i="51"/>
  <c r="N222" i="55"/>
  <c r="G581" i="48" s="1"/>
  <c r="V193" i="51"/>
  <c r="V97" i="51"/>
  <c r="V167" i="51"/>
  <c r="V328" i="51"/>
  <c r="V350" i="51"/>
  <c r="V275" i="51"/>
  <c r="JW22" i="38"/>
  <c r="V143" i="51"/>
  <c r="V66" i="51"/>
  <c r="V310" i="51"/>
  <c r="V254" i="51"/>
  <c r="CL20" i="38"/>
  <c r="BR20" i="38"/>
  <c r="CK11" i="38"/>
  <c r="CM11" i="38" s="1"/>
  <c r="LQ11" i="38"/>
  <c r="LM11" i="38"/>
  <c r="CK21" i="38"/>
  <c r="CM21" i="38" s="1"/>
  <c r="LN11" i="38"/>
  <c r="LO11" i="38" s="1"/>
  <c r="DC21" i="38"/>
  <c r="OB11" i="38"/>
  <c r="OB50" i="38" s="1"/>
  <c r="MH11" i="38"/>
  <c r="LP21" i="38"/>
  <c r="LR21" i="38" s="1"/>
  <c r="MH21" i="38"/>
  <c r="OB21" i="38"/>
  <c r="OB60" i="38" s="1"/>
  <c r="LQ21" i="38"/>
  <c r="LM21" i="38"/>
  <c r="JB21" i="38"/>
  <c r="V23" i="51"/>
  <c r="V303" i="51" s="1"/>
  <c r="JT21" i="38"/>
  <c r="JW21" i="38" s="1"/>
  <c r="JA21" i="38"/>
  <c r="I30" i="58" s="1"/>
  <c r="CL9" i="38"/>
  <c r="FY11" i="38"/>
  <c r="GA11" i="38"/>
  <c r="GB11" i="38" s="1"/>
  <c r="FX11" i="38"/>
  <c r="CK9" i="38"/>
  <c r="CM9" i="38" s="1"/>
  <c r="BR11" i="38"/>
  <c r="DC17" i="38"/>
  <c r="LM20" i="38"/>
  <c r="CL17" i="38"/>
  <c r="CL11" i="38"/>
  <c r="BR9" i="38"/>
  <c r="V20" i="51"/>
  <c r="V129" i="51" s="1"/>
  <c r="JB18" i="38"/>
  <c r="JT18" i="38"/>
  <c r="JV18" i="38" s="1"/>
  <c r="JX18" i="38" s="1"/>
  <c r="JY18" i="38" s="1"/>
  <c r="F18" i="47" s="1"/>
  <c r="JA18" i="38"/>
  <c r="I27" i="58" s="1"/>
  <c r="JB20" i="38"/>
  <c r="JT20" i="38"/>
  <c r="JW20" i="38" s="1"/>
  <c r="JA20" i="38"/>
  <c r="I29" i="58" s="1"/>
  <c r="V22" i="51"/>
  <c r="V284" i="51" s="1"/>
  <c r="DE20" i="38"/>
  <c r="CK20" i="38"/>
  <c r="CM20" i="38" s="1"/>
  <c r="MH17" i="38"/>
  <c r="LP17" i="38"/>
  <c r="LR17" i="38" s="1"/>
  <c r="BR18" i="38"/>
  <c r="CK18" i="38"/>
  <c r="CM18" i="38" s="1"/>
  <c r="DC18" i="38"/>
  <c r="FX18" i="38"/>
  <c r="FY18" i="38"/>
  <c r="LP20" i="38"/>
  <c r="LR20" i="38" s="1"/>
  <c r="LQ20" i="38"/>
  <c r="LN20" i="38"/>
  <c r="LO20" i="38" s="1"/>
  <c r="OB20" i="38"/>
  <c r="OB59" i="38" s="1"/>
  <c r="MH20" i="38"/>
  <c r="OB17" i="38"/>
  <c r="OB56" i="38" s="1"/>
  <c r="LQ17" i="38"/>
  <c r="LM17" i="38"/>
  <c r="BR19" i="38"/>
  <c r="BS14" i="38"/>
  <c r="U24" i="51"/>
  <c r="U328" i="51" s="1"/>
  <c r="FX17" i="38"/>
  <c r="FY17" i="38"/>
  <c r="OB19" i="38"/>
  <c r="OB58" i="38" s="1"/>
  <c r="OB6" i="38"/>
  <c r="OB45" i="38" s="1"/>
  <c r="GA25" i="38"/>
  <c r="GB25" i="38" s="1"/>
  <c r="LM6" i="38"/>
  <c r="LQ16" i="38"/>
  <c r="FY25" i="38"/>
  <c r="LP16" i="38"/>
  <c r="LR16" i="38" s="1"/>
  <c r="LP6" i="38"/>
  <c r="LR6" i="38" s="1"/>
  <c r="MH16" i="38"/>
  <c r="OB16" i="38"/>
  <c r="OG16" i="38" s="1"/>
  <c r="LN16" i="38"/>
  <c r="LO16" i="38" s="1"/>
  <c r="MH6" i="38"/>
  <c r="LQ6" i="38"/>
  <c r="FY16" i="38"/>
  <c r="GA16" i="38"/>
  <c r="GB16" i="38" s="1"/>
  <c r="GN37" i="38"/>
  <c r="MH19" i="38"/>
  <c r="V27" i="51"/>
  <c r="V73" i="51" s="1"/>
  <c r="LQ19" i="38"/>
  <c r="JB25" i="38"/>
  <c r="LP19" i="38"/>
  <c r="LR19" i="38" s="1"/>
  <c r="LM19" i="38"/>
  <c r="GO37" i="38"/>
  <c r="BR17" i="38"/>
  <c r="BR16" i="38"/>
  <c r="CK19" i="38"/>
  <c r="CM19" i="38" s="1"/>
  <c r="CI47" i="38"/>
  <c r="DC19" i="38"/>
  <c r="JW5" i="38"/>
  <c r="V18" i="51"/>
  <c r="V241" i="51" s="1"/>
  <c r="JB16" i="38"/>
  <c r="JT16" i="38"/>
  <c r="JW16" i="38" s="1"/>
  <c r="JA16" i="38"/>
  <c r="I25" i="58" s="1"/>
  <c r="CL7" i="38"/>
  <c r="MH25" i="38"/>
  <c r="LM25" i="38"/>
  <c r="JW23" i="38"/>
  <c r="GH37" i="38"/>
  <c r="LP25" i="38"/>
  <c r="LR25" i="38" s="1"/>
  <c r="LN25" i="38"/>
  <c r="LO25" i="38" s="1"/>
  <c r="OB25" i="38"/>
  <c r="OB64" i="38" s="1"/>
  <c r="JV22" i="38"/>
  <c r="JX22" i="38" s="1"/>
  <c r="JY22" i="38" s="1"/>
  <c r="F22" i="47" s="1"/>
  <c r="JW17" i="38"/>
  <c r="MH14" i="38"/>
  <c r="JW11" i="38"/>
  <c r="LQ14" i="38"/>
  <c r="LP14" i="38"/>
  <c r="LR14" i="38" s="1"/>
  <c r="OB14" i="38"/>
  <c r="OB53" i="38" s="1"/>
  <c r="CK15" i="38"/>
  <c r="CM15" i="38" s="1"/>
  <c r="LM14" i="38"/>
  <c r="CL15" i="38"/>
  <c r="DE15" i="38"/>
  <c r="JW9" i="38"/>
  <c r="JA19" i="38"/>
  <c r="I28" i="58" s="1"/>
  <c r="JB19" i="38"/>
  <c r="JT19" i="38"/>
  <c r="JW19" i="38" s="1"/>
  <c r="V21" i="51"/>
  <c r="V162" i="51" s="1"/>
  <c r="NO36" i="38"/>
  <c r="JV5" i="38"/>
  <c r="V17" i="51"/>
  <c r="V242" i="51" s="1"/>
  <c r="JA7" i="38"/>
  <c r="I16" i="58" s="1"/>
  <c r="JT15" i="38"/>
  <c r="JW15" i="38" s="1"/>
  <c r="GK37" i="38"/>
  <c r="GG37" i="38"/>
  <c r="JB15" i="38"/>
  <c r="JA15" i="38"/>
  <c r="I24" i="58" s="1"/>
  <c r="JV12" i="38"/>
  <c r="JX12" i="38" s="1"/>
  <c r="JY12" i="38" s="1"/>
  <c r="F12" i="47" s="1"/>
  <c r="T24" i="51"/>
  <c r="W24" i="51" s="1"/>
  <c r="JA56" i="38"/>
  <c r="JA62" i="38"/>
  <c r="JA44" i="38"/>
  <c r="JA50" i="38"/>
  <c r="JA61" i="38"/>
  <c r="RI6" i="38"/>
  <c r="JA45" i="38"/>
  <c r="JB14" i="38"/>
  <c r="IY53" i="38"/>
  <c r="JA53" i="38" s="1"/>
  <c r="JB7" i="38"/>
  <c r="IY46" i="38"/>
  <c r="JA46" i="38" s="1"/>
  <c r="JA48" i="38"/>
  <c r="JA25" i="38"/>
  <c r="I34" i="58" s="1"/>
  <c r="IY64" i="38"/>
  <c r="JA64" i="38" s="1"/>
  <c r="JA51" i="38"/>
  <c r="GW19" i="38"/>
  <c r="GW23" i="38"/>
  <c r="GW12" i="38"/>
  <c r="GW14" i="38"/>
  <c r="DE9" i="38"/>
  <c r="LN7" i="38"/>
  <c r="LO7" i="38" s="1"/>
  <c r="NU48" i="38"/>
  <c r="NU36" i="38"/>
  <c r="RI13" i="38"/>
  <c r="RH13" i="38"/>
  <c r="RH24" i="38"/>
  <c r="RI24" i="38"/>
  <c r="RH8" i="38"/>
  <c r="RI8" i="38"/>
  <c r="RH18" i="38"/>
  <c r="RI9" i="38"/>
  <c r="OE12" i="38"/>
  <c r="OE51" i="38" s="1"/>
  <c r="OB51" i="38"/>
  <c r="Y662" i="55"/>
  <c r="OA53" i="38"/>
  <c r="OD27" i="38"/>
  <c r="OB66" i="38"/>
  <c r="W323" i="44"/>
  <c r="F316" i="44" s="1"/>
  <c r="N224" i="51"/>
  <c r="N157" i="51"/>
  <c r="N344" i="51"/>
  <c r="N206" i="51"/>
  <c r="N318" i="51"/>
  <c r="N106" i="51"/>
  <c r="N380" i="51"/>
  <c r="N133" i="51"/>
  <c r="N241" i="51"/>
  <c r="N74" i="51"/>
  <c r="N291" i="51"/>
  <c r="N49" i="51"/>
  <c r="N286" i="51"/>
  <c r="N182" i="51"/>
  <c r="F323" i="44"/>
  <c r="V9" i="51"/>
  <c r="V259" i="51" s="1"/>
  <c r="BR25" i="38"/>
  <c r="MH15" i="38"/>
  <c r="LQ15" i="38"/>
  <c r="GL37" i="38"/>
  <c r="CK7" i="38"/>
  <c r="CM7" i="38" s="1"/>
  <c r="CI48" i="38"/>
  <c r="OH23" i="38"/>
  <c r="OH62" i="38" s="1"/>
  <c r="CI46" i="38"/>
  <c r="OB15" i="38"/>
  <c r="OI15" i="38" s="1"/>
  <c r="LM15" i="38"/>
  <c r="LN15" i="38"/>
  <c r="LO15" i="38" s="1"/>
  <c r="V151" i="51"/>
  <c r="GR37" i="38"/>
  <c r="OB7" i="38"/>
  <c r="OB46" i="38" s="1"/>
  <c r="MH7" i="38"/>
  <c r="LQ7" i="38"/>
  <c r="T7" i="51"/>
  <c r="T320" i="51" s="1"/>
  <c r="LP7" i="38"/>
  <c r="LR7" i="38" s="1"/>
  <c r="GA15" i="38"/>
  <c r="GB15" i="38" s="1"/>
  <c r="FX15" i="38"/>
  <c r="FY15" i="38"/>
  <c r="FX9" i="38"/>
  <c r="GP37" i="38"/>
  <c r="N223" i="55"/>
  <c r="G582" i="48" s="1"/>
  <c r="V68" i="51"/>
  <c r="V100" i="51"/>
  <c r="V218" i="51"/>
  <c r="V16" i="51"/>
  <c r="V176" i="51" s="1"/>
  <c r="V243" i="51"/>
  <c r="V320" i="51"/>
  <c r="V43" i="51"/>
  <c r="V343" i="51"/>
  <c r="V127" i="51"/>
  <c r="V174" i="51"/>
  <c r="JT14" i="38"/>
  <c r="JW14" i="38" s="1"/>
  <c r="JA14" i="38"/>
  <c r="I23" i="58" s="1"/>
  <c r="V296" i="51"/>
  <c r="V199" i="51"/>
  <c r="V273" i="51"/>
  <c r="GJ37" i="38"/>
  <c r="LM9" i="38"/>
  <c r="FY7" i="38"/>
  <c r="T25" i="51"/>
  <c r="T329" i="51" s="1"/>
  <c r="Z608" i="55"/>
  <c r="OB9" i="38"/>
  <c r="OB36" i="38" s="1"/>
  <c r="LN9" i="38"/>
  <c r="LO9" i="38" s="1"/>
  <c r="MH9" i="38"/>
  <c r="LP9" i="38"/>
  <c r="LR9" i="38" s="1"/>
  <c r="GF37" i="38"/>
  <c r="FX6" i="38"/>
  <c r="ML23" i="38"/>
  <c r="T11" i="51"/>
  <c r="T142" i="51" s="1"/>
  <c r="GA6" i="38"/>
  <c r="GB6" i="38" s="1"/>
  <c r="FX7" i="38"/>
  <c r="GA9" i="38"/>
  <c r="GA13" i="38"/>
  <c r="GB13" i="38" s="1"/>
  <c r="GA24" i="38"/>
  <c r="GB24" i="38" s="1"/>
  <c r="LP13" i="38"/>
  <c r="LR13" i="38" s="1"/>
  <c r="CK14" i="38"/>
  <c r="CM14" i="38" s="1"/>
  <c r="T19" i="51"/>
  <c r="T169" i="51" s="1"/>
  <c r="DE14" i="38"/>
  <c r="CL14" i="38"/>
  <c r="ML27" i="38"/>
  <c r="OH27" i="38"/>
  <c r="MK26" i="38"/>
  <c r="MM26" i="38"/>
  <c r="ML26" i="38"/>
  <c r="OI26" i="38"/>
  <c r="LN8" i="38"/>
  <c r="LO8" i="38" s="1"/>
  <c r="OG26" i="38"/>
  <c r="FY13" i="38"/>
  <c r="K218" i="44"/>
  <c r="M28" i="51"/>
  <c r="E376" i="44"/>
  <c r="MJ26" i="38"/>
  <c r="AC28" i="51"/>
  <c r="GV26" i="38"/>
  <c r="F376" i="44" s="1"/>
  <c r="OB13" i="38"/>
  <c r="MH13" i="38"/>
  <c r="LQ13" i="38"/>
  <c r="OD26" i="38"/>
  <c r="OE26" i="38"/>
  <c r="S238" i="55"/>
  <c r="H598" i="48" s="1"/>
  <c r="LN13" i="38"/>
  <c r="LO13" i="38" s="1"/>
  <c r="LM8" i="38"/>
  <c r="OI27" i="38"/>
  <c r="OB24" i="38"/>
  <c r="LQ24" i="38"/>
  <c r="MH24" i="38"/>
  <c r="FY5" i="38"/>
  <c r="FX5" i="38"/>
  <c r="FY8" i="38"/>
  <c r="FX8" i="38"/>
  <c r="OE27" i="38"/>
  <c r="OG27" i="38"/>
  <c r="OG66" i="38" s="1"/>
  <c r="OH26" i="38"/>
  <c r="OH65" i="38" s="1"/>
  <c r="FY24" i="38"/>
  <c r="LP5" i="38"/>
  <c r="OB5" i="38"/>
  <c r="OD5" i="38" s="1"/>
  <c r="LN5" i="38"/>
  <c r="LO5" i="38" s="1"/>
  <c r="MH5" i="38"/>
  <c r="R14" i="58" s="1"/>
  <c r="T223" i="55" s="1"/>
  <c r="LQ5" i="38"/>
  <c r="LM5" i="38"/>
  <c r="LN24" i="38"/>
  <c r="LO24" i="38" s="1"/>
  <c r="MK27" i="38"/>
  <c r="LP24" i="38"/>
  <c r="LR24" i="38" s="1"/>
  <c r="MJ27" i="38"/>
  <c r="LM24" i="38"/>
  <c r="MH8" i="38"/>
  <c r="OB8" i="38"/>
  <c r="OB47" i="38" s="1"/>
  <c r="LQ8" i="38"/>
  <c r="LQ36" i="38"/>
  <c r="T13" i="51"/>
  <c r="T217" i="51" s="1"/>
  <c r="GV14" i="38"/>
  <c r="F364" i="44" s="1"/>
  <c r="DE25" i="38"/>
  <c r="JV9" i="38"/>
  <c r="JX9" i="38" s="1"/>
  <c r="JY9" i="38" s="1"/>
  <c r="F9" i="47" s="1"/>
  <c r="GV23" i="38"/>
  <c r="F373" i="44" s="1"/>
  <c r="DE11" i="38"/>
  <c r="T14" i="51"/>
  <c r="T277" i="51" s="1"/>
  <c r="ML12" i="38"/>
  <c r="MM12" i="38"/>
  <c r="JV11" i="38"/>
  <c r="JX11" i="38" s="1"/>
  <c r="JY11" i="38" s="1"/>
  <c r="F11" i="47" s="1"/>
  <c r="JW12" i="38"/>
  <c r="GV12" i="38"/>
  <c r="AJ14" i="51" s="1"/>
  <c r="MK12" i="38"/>
  <c r="T8" i="51"/>
  <c r="T85" i="51" s="1"/>
  <c r="JV6" i="38"/>
  <c r="JX6" i="38" s="1"/>
  <c r="JY6" i="38" s="1"/>
  <c r="F6" i="47" s="1"/>
  <c r="U11" i="51"/>
  <c r="V287" i="51"/>
  <c r="V382" i="51"/>
  <c r="V341" i="51"/>
  <c r="V142" i="51"/>
  <c r="V298" i="51"/>
  <c r="V229" i="51"/>
  <c r="V93" i="51"/>
  <c r="V211" i="51"/>
  <c r="V316" i="51"/>
  <c r="N234" i="55"/>
  <c r="G593" i="48" s="1"/>
  <c r="V186" i="51"/>
  <c r="V116" i="51"/>
  <c r="V79" i="51"/>
  <c r="V58" i="51"/>
  <c r="V252" i="51"/>
  <c r="OI12" i="38"/>
  <c r="OH12" i="38"/>
  <c r="OG12" i="38"/>
  <c r="V83" i="51"/>
  <c r="V256" i="51"/>
  <c r="V59" i="51"/>
  <c r="V277" i="51"/>
  <c r="N226" i="55"/>
  <c r="G586" i="48" s="1"/>
  <c r="V172" i="51"/>
  <c r="V196" i="51"/>
  <c r="V233" i="51"/>
  <c r="V352" i="51"/>
  <c r="V121" i="51"/>
  <c r="V331" i="51"/>
  <c r="V98" i="51"/>
  <c r="V305" i="51"/>
  <c r="V146" i="51"/>
  <c r="V376" i="51"/>
  <c r="N221" i="55"/>
  <c r="G580" i="48" s="1"/>
  <c r="V144" i="51"/>
  <c r="V353" i="51"/>
  <c r="V101" i="51"/>
  <c r="V195" i="51"/>
  <c r="V369" i="51"/>
  <c r="V45" i="51"/>
  <c r="V118" i="51"/>
  <c r="V257" i="51"/>
  <c r="V329" i="51"/>
  <c r="V71" i="51"/>
  <c r="V170" i="51"/>
  <c r="V308" i="51"/>
  <c r="V221" i="51"/>
  <c r="V279" i="51"/>
  <c r="MJ23" i="38"/>
  <c r="AC25" i="51"/>
  <c r="MM23" i="38"/>
  <c r="Q32" i="58" s="1"/>
  <c r="V158" i="51"/>
  <c r="V202" i="51"/>
  <c r="V377" i="51"/>
  <c r="V175" i="51"/>
  <c r="V295" i="51"/>
  <c r="V107" i="51"/>
  <c r="V349" i="51"/>
  <c r="V134" i="51"/>
  <c r="V325" i="51"/>
  <c r="V85" i="51"/>
  <c r="V285" i="51"/>
  <c r="V57" i="51"/>
  <c r="V235" i="51"/>
  <c r="N229" i="55"/>
  <c r="G588" i="48" s="1"/>
  <c r="V248" i="51"/>
  <c r="DE16" i="38"/>
  <c r="OE23" i="38"/>
  <c r="OD23" i="38"/>
  <c r="OI23" i="38"/>
  <c r="S221" i="55"/>
  <c r="H580" i="48" s="1"/>
  <c r="M14" i="51"/>
  <c r="E362" i="44"/>
  <c r="OG23" i="38"/>
  <c r="V378" i="51"/>
  <c r="V197" i="51"/>
  <c r="V126" i="51"/>
  <c r="V67" i="51"/>
  <c r="N230" i="55"/>
  <c r="G589" i="48" s="1"/>
  <c r="V217" i="51"/>
  <c r="V153" i="51"/>
  <c r="V280" i="51"/>
  <c r="V319" i="51"/>
  <c r="V297" i="51"/>
  <c r="V173" i="51"/>
  <c r="V247" i="51"/>
  <c r="V42" i="51"/>
  <c r="V105" i="51"/>
  <c r="V345" i="51"/>
  <c r="MK23" i="38"/>
  <c r="OD12" i="38"/>
  <c r="S226" i="55"/>
  <c r="H586" i="48" s="1"/>
  <c r="M25" i="51"/>
  <c r="E373" i="44"/>
  <c r="K215" i="44"/>
  <c r="E364" i="44"/>
  <c r="K206" i="44"/>
  <c r="M16" i="51"/>
  <c r="U25" i="51"/>
  <c r="AC14" i="51"/>
  <c r="JV23" i="38"/>
  <c r="JX23" i="38" s="1"/>
  <c r="JY23" i="38" s="1"/>
  <c r="F23" i="47" s="1"/>
  <c r="GV19" i="38"/>
  <c r="K211" i="44"/>
  <c r="M21" i="51"/>
  <c r="E369" i="44"/>
  <c r="DE7" i="38"/>
  <c r="V94" i="51"/>
  <c r="V361" i="51"/>
  <c r="V125" i="51"/>
  <c r="V335" i="51"/>
  <c r="V147" i="51"/>
  <c r="V311" i="51"/>
  <c r="V261" i="51"/>
  <c r="V70" i="51"/>
  <c r="V270" i="51"/>
  <c r="V46" i="51"/>
  <c r="V169" i="51"/>
  <c r="N220" i="55"/>
  <c r="G579" i="48" s="1"/>
  <c r="V194" i="51"/>
  <c r="V368" i="51"/>
  <c r="V220" i="51"/>
  <c r="JV17" i="38"/>
  <c r="JX17" i="38" s="1"/>
  <c r="JY17" i="38" s="1"/>
  <c r="F17" i="47" s="1"/>
  <c r="U19" i="51"/>
  <c r="GU20" i="38" l="1"/>
  <c r="F370" i="44"/>
  <c r="L22" i="51"/>
  <c r="L123" i="51" s="1"/>
  <c r="E215" i="44"/>
  <c r="M22" i="51"/>
  <c r="K25" i="51"/>
  <c r="K71" i="51" s="1"/>
  <c r="E370" i="44"/>
  <c r="GW20" i="38"/>
  <c r="G362" i="48"/>
  <c r="F423" i="44"/>
  <c r="G363" i="48" s="1"/>
  <c r="G517" i="48"/>
  <c r="AA397" i="58"/>
  <c r="I517" i="48"/>
  <c r="AA399" i="58"/>
  <c r="GB9" i="38"/>
  <c r="E424" i="44"/>
  <c r="GB7" i="38"/>
  <c r="F424" i="44"/>
  <c r="H517" i="48"/>
  <c r="AA398" i="58"/>
  <c r="GB8" i="38"/>
  <c r="G424" i="44"/>
  <c r="K383" i="44"/>
  <c r="FX33" i="38"/>
  <c r="FZ33" i="38" s="1"/>
  <c r="U218" i="51"/>
  <c r="JD12" i="38"/>
  <c r="E12" i="47" s="1"/>
  <c r="JD23" i="38"/>
  <c r="E23" i="47" s="1"/>
  <c r="JD11" i="38"/>
  <c r="E11" i="47" s="1"/>
  <c r="ML18" i="38"/>
  <c r="P27" i="58" s="1"/>
  <c r="MM18" i="38"/>
  <c r="Q27" i="58" s="1"/>
  <c r="Q161" i="58" s="1"/>
  <c r="D9" i="47"/>
  <c r="U172" i="51"/>
  <c r="U175" i="51"/>
  <c r="D17" i="47"/>
  <c r="AC20" i="51"/>
  <c r="AC245" i="51" s="1"/>
  <c r="U67" i="51"/>
  <c r="U153" i="51"/>
  <c r="U43" i="51"/>
  <c r="U343" i="51"/>
  <c r="U126" i="51"/>
  <c r="JV25" i="38"/>
  <c r="JX25" i="38" s="1"/>
  <c r="JY25" i="38" s="1"/>
  <c r="F25" i="47" s="1"/>
  <c r="U197" i="51"/>
  <c r="U247" i="51"/>
  <c r="U105" i="51"/>
  <c r="U280" i="51"/>
  <c r="U173" i="51"/>
  <c r="U42" i="51"/>
  <c r="U217" i="51"/>
  <c r="U378" i="51"/>
  <c r="U319" i="51"/>
  <c r="U297" i="51"/>
  <c r="U151" i="51"/>
  <c r="E206" i="44"/>
  <c r="D364" i="44"/>
  <c r="Q473" i="58"/>
  <c r="Q474" i="58"/>
  <c r="F463" i="58"/>
  <c r="F477" i="58"/>
  <c r="F465" i="58"/>
  <c r="Q464" i="58"/>
  <c r="Q467" i="58"/>
  <c r="Q465" i="58"/>
  <c r="F473" i="58"/>
  <c r="F484" i="58"/>
  <c r="Q463" i="58"/>
  <c r="Q484" i="58"/>
  <c r="Q477" i="58"/>
  <c r="Q472" i="58"/>
  <c r="F464" i="58"/>
  <c r="F474" i="58"/>
  <c r="F467" i="58"/>
  <c r="K4" i="58"/>
  <c r="U352" i="51"/>
  <c r="U285" i="51"/>
  <c r="K203" i="44"/>
  <c r="GW11" i="38"/>
  <c r="U121" i="51"/>
  <c r="U107" i="51"/>
  <c r="U127" i="51"/>
  <c r="U296" i="51"/>
  <c r="U243" i="51"/>
  <c r="U295" i="51"/>
  <c r="U305" i="51"/>
  <c r="U196" i="51"/>
  <c r="U325" i="51"/>
  <c r="U349" i="51"/>
  <c r="U273" i="51"/>
  <c r="U371" i="51"/>
  <c r="U331" i="51"/>
  <c r="U256" i="51"/>
  <c r="U202" i="51"/>
  <c r="U235" i="51"/>
  <c r="U85" i="51"/>
  <c r="JD22" i="38"/>
  <c r="E22" i="47" s="1"/>
  <c r="M13" i="51"/>
  <c r="M173" i="51" s="1"/>
  <c r="GV11" i="38"/>
  <c r="AJ13" i="51" s="1"/>
  <c r="U59" i="51"/>
  <c r="U98" i="51"/>
  <c r="U158" i="51"/>
  <c r="U57" i="51"/>
  <c r="JD6" i="38"/>
  <c r="E6" i="47" s="1"/>
  <c r="U320" i="51"/>
  <c r="U83" i="51"/>
  <c r="U277" i="51"/>
  <c r="U199" i="51"/>
  <c r="U100" i="51"/>
  <c r="U174" i="51"/>
  <c r="U376" i="51"/>
  <c r="U233" i="51"/>
  <c r="U377" i="51"/>
  <c r="U248" i="51"/>
  <c r="E361" i="44"/>
  <c r="Z34" i="58"/>
  <c r="MK8" i="38"/>
  <c r="R17" i="58"/>
  <c r="T237" i="55" s="1"/>
  <c r="MK24" i="38"/>
  <c r="R33" i="58"/>
  <c r="T239" i="55" s="1"/>
  <c r="ML13" i="38"/>
  <c r="P22" i="58" s="1"/>
  <c r="R22" i="58"/>
  <c r="T236" i="55" s="1"/>
  <c r="Z23" i="58"/>
  <c r="AK91" i="58"/>
  <c r="AL91" i="58" s="1"/>
  <c r="JC14" i="38"/>
  <c r="D14" i="47" s="1"/>
  <c r="AA14" i="51"/>
  <c r="AA305" i="51" s="1"/>
  <c r="P21" i="58"/>
  <c r="AK94" i="58"/>
  <c r="AL94" i="58" s="1"/>
  <c r="AB28" i="51"/>
  <c r="AB330" i="51" s="1"/>
  <c r="Q35" i="58"/>
  <c r="AK87" i="58"/>
  <c r="AL87" i="58" s="1"/>
  <c r="Z18" i="58"/>
  <c r="J16" i="58"/>
  <c r="U17" i="51"/>
  <c r="U358" i="51" s="1"/>
  <c r="J24" i="58"/>
  <c r="JC7" i="38"/>
  <c r="D7" i="47" s="1"/>
  <c r="MJ14" i="38"/>
  <c r="R23" i="58"/>
  <c r="T224" i="55" s="1"/>
  <c r="J34" i="58"/>
  <c r="MJ19" i="38"/>
  <c r="R28" i="58"/>
  <c r="T225" i="55" s="1"/>
  <c r="AK75" i="58"/>
  <c r="AL75" i="58" s="1"/>
  <c r="U191" i="58"/>
  <c r="Z29" i="58"/>
  <c r="J27" i="58"/>
  <c r="MK21" i="38"/>
  <c r="R30" i="58"/>
  <c r="T227" i="55" s="1"/>
  <c r="AA30" i="58"/>
  <c r="U12" i="51"/>
  <c r="U78" i="51" s="1"/>
  <c r="J19" i="58"/>
  <c r="AK96" i="58"/>
  <c r="AL96" i="58" s="1"/>
  <c r="I124" i="58"/>
  <c r="I157" i="58"/>
  <c r="L20" i="58"/>
  <c r="I48" i="58"/>
  <c r="AK48" i="58" s="1"/>
  <c r="I192" i="58"/>
  <c r="K159" i="58"/>
  <c r="K127" i="58"/>
  <c r="K56" i="58"/>
  <c r="K203" i="58"/>
  <c r="K44" i="58"/>
  <c r="K191" i="58"/>
  <c r="K122" i="58"/>
  <c r="K154" i="58"/>
  <c r="K202" i="58"/>
  <c r="K130" i="58"/>
  <c r="K169" i="58"/>
  <c r="K45" i="58"/>
  <c r="J163" i="58"/>
  <c r="J53" i="58"/>
  <c r="J133" i="58"/>
  <c r="J198" i="58"/>
  <c r="K42" i="58"/>
  <c r="K123" i="58"/>
  <c r="K156" i="58"/>
  <c r="K200" i="58"/>
  <c r="R416" i="48"/>
  <c r="I53" i="58"/>
  <c r="AK53" i="58" s="1"/>
  <c r="I133" i="58"/>
  <c r="I163" i="58"/>
  <c r="L31" i="58"/>
  <c r="I198" i="58"/>
  <c r="I58" i="58"/>
  <c r="AK58" i="58" s="1"/>
  <c r="I194" i="58"/>
  <c r="I140" i="58"/>
  <c r="I173" i="58"/>
  <c r="L26" i="58"/>
  <c r="I160" i="58"/>
  <c r="I189" i="58"/>
  <c r="Q419" i="48"/>
  <c r="I129" i="58"/>
  <c r="I43" i="58"/>
  <c r="AK43" i="58" s="1"/>
  <c r="L15" i="58"/>
  <c r="Z16" i="58"/>
  <c r="Q21" i="58"/>
  <c r="AA28" i="51"/>
  <c r="AA192" i="51" s="1"/>
  <c r="P35" i="58"/>
  <c r="ML9" i="38"/>
  <c r="P18" i="58" s="1"/>
  <c r="R18" i="58"/>
  <c r="T234" i="55" s="1"/>
  <c r="MM7" i="38"/>
  <c r="Q16" i="58" s="1"/>
  <c r="R16" i="58"/>
  <c r="T218" i="55" s="1"/>
  <c r="T17" i="51"/>
  <c r="T242" i="51" s="1"/>
  <c r="J28" i="58"/>
  <c r="Z24" i="58"/>
  <c r="MM25" i="38"/>
  <c r="AB27" i="51" s="1"/>
  <c r="AB327" i="51" s="1"/>
  <c r="R34" i="58"/>
  <c r="T219" i="55" s="1"/>
  <c r="J25" i="58"/>
  <c r="AA28" i="58"/>
  <c r="AK88" i="58"/>
  <c r="AL88" i="58" s="1"/>
  <c r="MM6" i="38"/>
  <c r="R15" i="58"/>
  <c r="T229" i="55" s="1"/>
  <c r="AK77" i="58"/>
  <c r="AL77" i="58" s="1"/>
  <c r="AA26" i="58"/>
  <c r="JC21" i="38"/>
  <c r="JD21" i="38" s="1"/>
  <c r="E21" i="47" s="1"/>
  <c r="J30" i="58"/>
  <c r="AK89" i="58"/>
  <c r="AL89" i="58" s="1"/>
  <c r="AK84" i="58"/>
  <c r="AL84" i="58" s="1"/>
  <c r="Z31" i="58"/>
  <c r="K201" i="58"/>
  <c r="K166" i="58"/>
  <c r="K132" i="58"/>
  <c r="K60" i="58"/>
  <c r="L18" i="58"/>
  <c r="I121" i="58"/>
  <c r="I41" i="58"/>
  <c r="AK41" i="58" s="1"/>
  <c r="I153" i="58"/>
  <c r="I190" i="58"/>
  <c r="MK18" i="38"/>
  <c r="R27" i="58"/>
  <c r="T232" i="55" s="1"/>
  <c r="AK80" i="58"/>
  <c r="AL80" i="58" s="1"/>
  <c r="K5" i="58"/>
  <c r="Z25" i="58"/>
  <c r="Q165" i="58"/>
  <c r="Q49" i="58"/>
  <c r="Q134" i="58"/>
  <c r="Q187" i="58"/>
  <c r="Z20" i="58"/>
  <c r="R55" i="58"/>
  <c r="R193" i="58"/>
  <c r="R155" i="58"/>
  <c r="R125" i="58"/>
  <c r="AA25" i="51"/>
  <c r="AA118" i="51" s="1"/>
  <c r="P32" i="58"/>
  <c r="AK74" i="58"/>
  <c r="AL74" i="58" s="1"/>
  <c r="J23" i="58"/>
  <c r="AK78" i="58"/>
  <c r="AL78" i="58" s="1"/>
  <c r="ML16" i="38"/>
  <c r="R25" i="58"/>
  <c r="T231" i="55" s="1"/>
  <c r="ML20" i="38"/>
  <c r="P29" i="58" s="1"/>
  <c r="R29" i="58"/>
  <c r="T233" i="55" s="1"/>
  <c r="AK76" i="58"/>
  <c r="AL76" i="58" s="1"/>
  <c r="AA27" i="58"/>
  <c r="MJ17" i="38"/>
  <c r="R26" i="58"/>
  <c r="T220" i="55" s="1"/>
  <c r="JC20" i="38"/>
  <c r="JD20" i="38" s="1"/>
  <c r="E20" i="47" s="1"/>
  <c r="JC18" i="38"/>
  <c r="D18" i="47" s="1"/>
  <c r="AJ329" i="58"/>
  <c r="Q417" i="48" s="1"/>
  <c r="AC13" i="51"/>
  <c r="AC297" i="51" s="1"/>
  <c r="R20" i="58"/>
  <c r="T230" i="55" s="1"/>
  <c r="JC10" i="38"/>
  <c r="JD10" i="38" s="1"/>
  <c r="E10" i="47" s="1"/>
  <c r="AJ327" i="58"/>
  <c r="Q415" i="48" s="1"/>
  <c r="AC12" i="51"/>
  <c r="AC184" i="51" s="1"/>
  <c r="R19" i="58"/>
  <c r="T228" i="55" s="1"/>
  <c r="J188" i="58"/>
  <c r="J136" i="58"/>
  <c r="J51" i="58"/>
  <c r="J164" i="58"/>
  <c r="K142" i="58"/>
  <c r="K183" i="58"/>
  <c r="K174" i="58"/>
  <c r="K54" i="58"/>
  <c r="J129" i="58"/>
  <c r="J160" i="58"/>
  <c r="J189" i="58"/>
  <c r="J43" i="58"/>
  <c r="M14" i="58"/>
  <c r="L125" i="58"/>
  <c r="L155" i="58"/>
  <c r="L55" i="58"/>
  <c r="L193" i="58"/>
  <c r="K162" i="58"/>
  <c r="K131" i="58"/>
  <c r="K195" i="58"/>
  <c r="R418" i="48"/>
  <c r="K46" i="58"/>
  <c r="K196" i="58"/>
  <c r="K47" i="58"/>
  <c r="K161" i="58"/>
  <c r="K126" i="58"/>
  <c r="I187" i="58"/>
  <c r="I49" i="58"/>
  <c r="AK49" i="58" s="1"/>
  <c r="I134" i="58"/>
  <c r="L32" i="58"/>
  <c r="I165" i="58"/>
  <c r="J192" i="58"/>
  <c r="J157" i="58"/>
  <c r="J48" i="58"/>
  <c r="J124" i="58"/>
  <c r="ML15" i="38"/>
  <c r="P24" i="58" s="1"/>
  <c r="R24" i="58"/>
  <c r="T235" i="55" s="1"/>
  <c r="AJ330" i="58"/>
  <c r="JC19" i="38"/>
  <c r="D19" i="47" s="1"/>
  <c r="AJ326" i="58"/>
  <c r="AK85" i="58"/>
  <c r="AL85" i="58" s="1"/>
  <c r="T18" i="51"/>
  <c r="T344" i="51" s="1"/>
  <c r="AJ328" i="58"/>
  <c r="AK92" i="58"/>
  <c r="AL92" i="58" s="1"/>
  <c r="J29" i="58"/>
  <c r="AK95" i="58"/>
  <c r="AL95" i="58" s="1"/>
  <c r="AK86" i="58"/>
  <c r="AL86" i="58" s="1"/>
  <c r="MJ22" i="38"/>
  <c r="R31" i="58"/>
  <c r="T222" i="55" s="1"/>
  <c r="J155" i="58"/>
  <c r="J125" i="58"/>
  <c r="J193" i="58"/>
  <c r="J55" i="58"/>
  <c r="I51" i="58"/>
  <c r="AK51" i="58" s="1"/>
  <c r="I188" i="58"/>
  <c r="I136" i="58"/>
  <c r="L21" i="58"/>
  <c r="I164" i="58"/>
  <c r="AK82" i="58"/>
  <c r="AL82" i="58" s="1"/>
  <c r="JV7" i="38"/>
  <c r="JX7" i="38" s="1"/>
  <c r="JY7" i="38" s="1"/>
  <c r="F7" i="47" s="1"/>
  <c r="GA33" i="38"/>
  <c r="GB33" i="38" s="1"/>
  <c r="FY29" i="38"/>
  <c r="FV67" i="38"/>
  <c r="SB31" i="38"/>
  <c r="SA30" i="38"/>
  <c r="FX48" i="38"/>
  <c r="GA47" i="38"/>
  <c r="RI31" i="38"/>
  <c r="GC30" i="38"/>
  <c r="RH29" i="38"/>
  <c r="SA32" i="38"/>
  <c r="RH30" i="38"/>
  <c r="SA29" i="38"/>
  <c r="GW21" i="38"/>
  <c r="K386" i="44" s="1"/>
  <c r="RI32" i="38"/>
  <c r="E372" i="44"/>
  <c r="GW22" i="38"/>
  <c r="K384" i="44" s="1"/>
  <c r="JA29" i="38"/>
  <c r="JC29" i="38" s="1"/>
  <c r="JD29" i="38" s="1"/>
  <c r="M24" i="51"/>
  <c r="M350" i="51" s="1"/>
  <c r="FX29" i="38"/>
  <c r="FZ29" i="38" s="1"/>
  <c r="LN30" i="38"/>
  <c r="LO30" i="38" s="1"/>
  <c r="GV25" i="38"/>
  <c r="F375" i="44" s="1"/>
  <c r="GA46" i="38"/>
  <c r="JA31" i="38"/>
  <c r="JC31" i="38" s="1"/>
  <c r="JD31" i="38" s="1"/>
  <c r="JW18" i="38"/>
  <c r="FY47" i="38"/>
  <c r="G404" i="44" s="1"/>
  <c r="FX30" i="38"/>
  <c r="FZ30" i="38" s="1"/>
  <c r="GU22" i="38"/>
  <c r="E214" i="44" s="1"/>
  <c r="OB30" i="38"/>
  <c r="OG30" i="38" s="1"/>
  <c r="OB32" i="38"/>
  <c r="OE32" i="38" s="1"/>
  <c r="OB29" i="38"/>
  <c r="OE29" i="38" s="1"/>
  <c r="OB31" i="38"/>
  <c r="OH31" i="38" s="1"/>
  <c r="LN32" i="38"/>
  <c r="LO32" i="38" s="1"/>
  <c r="FY48" i="38"/>
  <c r="E404" i="44" s="1"/>
  <c r="LP29" i="38"/>
  <c r="AJ79" i="58" s="1"/>
  <c r="JA30" i="38"/>
  <c r="JC30" i="38" s="1"/>
  <c r="JD30" i="38" s="1"/>
  <c r="GU15" i="38"/>
  <c r="D365" i="44" s="1"/>
  <c r="MH30" i="38"/>
  <c r="MK30" i="38" s="1"/>
  <c r="MH32" i="38"/>
  <c r="MK32" i="38" s="1"/>
  <c r="MH29" i="38"/>
  <c r="MM29" i="38" s="1"/>
  <c r="MH31" i="38"/>
  <c r="MK31" i="38" s="1"/>
  <c r="LQ30" i="38"/>
  <c r="LM30" i="38"/>
  <c r="DC30" i="38"/>
  <c r="DE30" i="38" s="1"/>
  <c r="GS32" i="38"/>
  <c r="GV32" i="38" s="1"/>
  <c r="GA31" i="38"/>
  <c r="GB31" i="38" s="1"/>
  <c r="JT32" i="38"/>
  <c r="JW32" i="38" s="1"/>
  <c r="GU6" i="38"/>
  <c r="K8" i="51" s="1"/>
  <c r="K248" i="51" s="1"/>
  <c r="FX46" i="38"/>
  <c r="GC32" i="38"/>
  <c r="LP32" i="38"/>
  <c r="LR32" i="38" s="1"/>
  <c r="FX32" i="38"/>
  <c r="FZ32" i="38" s="1"/>
  <c r="GA29" i="38"/>
  <c r="GB29" i="38" s="1"/>
  <c r="LN31" i="38"/>
  <c r="LO31" i="38" s="1"/>
  <c r="JT30" i="38"/>
  <c r="JW30" i="38" s="1"/>
  <c r="LM31" i="38"/>
  <c r="GU13" i="38"/>
  <c r="LP48" i="38"/>
  <c r="Y264" i="58" s="1"/>
  <c r="AA264" i="58" s="1"/>
  <c r="AA271" i="58" s="1"/>
  <c r="Y406" i="58" s="1"/>
  <c r="GS31" i="38"/>
  <c r="GV31" i="38" s="1"/>
  <c r="FX31" i="38"/>
  <c r="FZ31" i="38" s="1"/>
  <c r="JA32" i="38"/>
  <c r="JC32" i="38" s="1"/>
  <c r="JD32" i="38" s="1"/>
  <c r="LP31" i="38"/>
  <c r="LR31" i="38" s="1"/>
  <c r="LN29" i="38"/>
  <c r="LO29" i="38" s="1"/>
  <c r="JT29" i="38"/>
  <c r="JW29" i="38" s="1"/>
  <c r="LM32" i="38"/>
  <c r="GU18" i="38"/>
  <c r="D368" i="44" s="1"/>
  <c r="GS30" i="38"/>
  <c r="GC29" i="38"/>
  <c r="GA32" i="38"/>
  <c r="GB32" i="38" s="1"/>
  <c r="GA30" i="38"/>
  <c r="GB30" i="38" s="1"/>
  <c r="GC31" i="38"/>
  <c r="JT31" i="38"/>
  <c r="JW31" i="38" s="1"/>
  <c r="GU7" i="38"/>
  <c r="D357" i="44" s="1"/>
  <c r="LM29" i="38"/>
  <c r="DC32" i="38"/>
  <c r="DE32" i="38" s="1"/>
  <c r="DC29" i="38"/>
  <c r="DE29" i="38" s="1"/>
  <c r="DC31" i="38"/>
  <c r="DE31" i="38" s="1"/>
  <c r="F372" i="44"/>
  <c r="AJ24" i="51"/>
  <c r="L24" i="51"/>
  <c r="L143" i="51" s="1"/>
  <c r="FZ6" i="38"/>
  <c r="FZ21" i="38"/>
  <c r="FZ9" i="38"/>
  <c r="FZ18" i="38"/>
  <c r="FZ10" i="38"/>
  <c r="D360" i="44"/>
  <c r="FZ16" i="38"/>
  <c r="K18" i="51"/>
  <c r="K133" i="51" s="1"/>
  <c r="AG133" i="51" s="1"/>
  <c r="GW8" i="38"/>
  <c r="K382" i="44" s="1"/>
  <c r="FZ17" i="38"/>
  <c r="D367" i="44"/>
  <c r="FZ13" i="38"/>
  <c r="FZ25" i="38"/>
  <c r="FZ11" i="38"/>
  <c r="E203" i="44"/>
  <c r="FZ24" i="38"/>
  <c r="FZ8" i="38"/>
  <c r="FZ7" i="38"/>
  <c r="FZ15" i="38"/>
  <c r="FZ22" i="38"/>
  <c r="GS29" i="38"/>
  <c r="GV29" i="38" s="1"/>
  <c r="K14" i="51"/>
  <c r="K121" i="51" s="1"/>
  <c r="E204" i="44"/>
  <c r="K21" i="51"/>
  <c r="K135" i="51" s="1"/>
  <c r="E211" i="44"/>
  <c r="LN48" i="38"/>
  <c r="LN47" i="38"/>
  <c r="LP47" i="38"/>
  <c r="Y263" i="58" s="1"/>
  <c r="AA263" i="58" s="1"/>
  <c r="AA270" i="58" s="1"/>
  <c r="Y405" i="58" s="1"/>
  <c r="LM47" i="38"/>
  <c r="LP46" i="38"/>
  <c r="Y262" i="58" s="1"/>
  <c r="AA262" i="58" s="1"/>
  <c r="LN46" i="38"/>
  <c r="JD5" i="38"/>
  <c r="E5" i="47" s="1"/>
  <c r="LR5" i="38"/>
  <c r="OB44" i="38"/>
  <c r="JX5" i="38"/>
  <c r="FZ5" i="38"/>
  <c r="GW7" i="38"/>
  <c r="K380" i="44" s="1"/>
  <c r="GS35" i="38"/>
  <c r="GV35" i="38" s="1"/>
  <c r="GW5" i="38"/>
  <c r="MK22" i="38"/>
  <c r="AC24" i="51"/>
  <c r="AC193" i="51" s="1"/>
  <c r="OE18" i="38"/>
  <c r="OE57" i="38" s="1"/>
  <c r="OD22" i="38"/>
  <c r="S222" i="55"/>
  <c r="H581" i="48" s="1"/>
  <c r="GV21" i="38"/>
  <c r="L23" i="51" s="1"/>
  <c r="OE22" i="38"/>
  <c r="OE61" i="38" s="1"/>
  <c r="OG22" i="38"/>
  <c r="OI22" i="38"/>
  <c r="OH22" i="38"/>
  <c r="OH61" i="38" s="1"/>
  <c r="MM22" i="38"/>
  <c r="ML22" i="38"/>
  <c r="S227" i="55"/>
  <c r="H585" i="48" s="1"/>
  <c r="V321" i="51"/>
  <c r="MK10" i="38"/>
  <c r="E213" i="44"/>
  <c r="K213" i="44"/>
  <c r="M23" i="51"/>
  <c r="M92" i="51" s="1"/>
  <c r="E371" i="44"/>
  <c r="OG18" i="38"/>
  <c r="OG57" i="38" s="1"/>
  <c r="S232" i="55"/>
  <c r="H591" i="48" s="1"/>
  <c r="OI18" i="38"/>
  <c r="DE10" i="38"/>
  <c r="OH18" i="38"/>
  <c r="OD18" i="38"/>
  <c r="OH36" i="38"/>
  <c r="MJ10" i="38"/>
  <c r="K12" i="51"/>
  <c r="K374" i="51" s="1"/>
  <c r="E202" i="44"/>
  <c r="E360" i="44"/>
  <c r="M12" i="51"/>
  <c r="M54" i="51" s="1"/>
  <c r="K202" i="44"/>
  <c r="GV10" i="38"/>
  <c r="L12" i="51" s="1"/>
  <c r="V302" i="51"/>
  <c r="GW10" i="38"/>
  <c r="OD21" i="38"/>
  <c r="OI21" i="38"/>
  <c r="MM10" i="38"/>
  <c r="ML10" i="38"/>
  <c r="T12" i="51"/>
  <c r="T184" i="51" s="1"/>
  <c r="V102" i="51"/>
  <c r="V228" i="51"/>
  <c r="JV10" i="38"/>
  <c r="JX10" i="38" s="1"/>
  <c r="JY10" i="38" s="1"/>
  <c r="F10" i="47" s="1"/>
  <c r="V374" i="51"/>
  <c r="V78" i="51"/>
  <c r="V210" i="51"/>
  <c r="V148" i="51"/>
  <c r="V184" i="51"/>
  <c r="V272" i="51"/>
  <c r="V347" i="51"/>
  <c r="V251" i="51"/>
  <c r="V54" i="51"/>
  <c r="N228" i="55"/>
  <c r="G587" i="48" s="1"/>
  <c r="OI10" i="38"/>
  <c r="OD10" i="38"/>
  <c r="ML21" i="38"/>
  <c r="S228" i="55"/>
  <c r="H587" i="48" s="1"/>
  <c r="OE10" i="38"/>
  <c r="OE49" i="38" s="1"/>
  <c r="OG21" i="38"/>
  <c r="OG60" i="38" s="1"/>
  <c r="OH10" i="38"/>
  <c r="OH49" i="38" s="1"/>
  <c r="OG10" i="38"/>
  <c r="OG49" i="38" s="1"/>
  <c r="T23" i="51"/>
  <c r="T92" i="51" s="1"/>
  <c r="DE21" i="38"/>
  <c r="OE11" i="38"/>
  <c r="OE50" i="38" s="1"/>
  <c r="S230" i="55"/>
  <c r="H589" i="48" s="1"/>
  <c r="OD11" i="38"/>
  <c r="OI11" i="38"/>
  <c r="OG11" i="38"/>
  <c r="OG50" i="38" s="1"/>
  <c r="OH11" i="38"/>
  <c r="OH50" i="38" s="1"/>
  <c r="MM11" i="38"/>
  <c r="V47" i="51"/>
  <c r="MJ11" i="38"/>
  <c r="ML11" i="38"/>
  <c r="MK11" i="38"/>
  <c r="OE21" i="38"/>
  <c r="OE60" i="38" s="1"/>
  <c r="JV21" i="38"/>
  <c r="JX21" i="38" s="1"/>
  <c r="JY21" i="38" s="1"/>
  <c r="F21" i="47" s="1"/>
  <c r="V110" i="51"/>
  <c r="MM21" i="38"/>
  <c r="AC23" i="51"/>
  <c r="AC219" i="51" s="1"/>
  <c r="MJ21" i="38"/>
  <c r="OH21" i="38"/>
  <c r="OH60" i="38" s="1"/>
  <c r="V123" i="51"/>
  <c r="N232" i="55"/>
  <c r="G591" i="48" s="1"/>
  <c r="V232" i="51"/>
  <c r="V177" i="51"/>
  <c r="V342" i="51"/>
  <c r="E368" i="44"/>
  <c r="V322" i="51"/>
  <c r="N233" i="55"/>
  <c r="G592" i="48" s="1"/>
  <c r="V219" i="51"/>
  <c r="V132" i="51"/>
  <c r="V354" i="51"/>
  <c r="N227" i="55"/>
  <c r="G585" i="48" s="1"/>
  <c r="V187" i="51"/>
  <c r="V92" i="51"/>
  <c r="V212" i="51"/>
  <c r="V268" i="51"/>
  <c r="V324" i="51"/>
  <c r="V249" i="51"/>
  <c r="V149" i="51"/>
  <c r="V69" i="51"/>
  <c r="V375" i="51"/>
  <c r="U23" i="51"/>
  <c r="U375" i="51" s="1"/>
  <c r="GV17" i="38"/>
  <c r="F367" i="44" s="1"/>
  <c r="OI16" i="38"/>
  <c r="AC19" i="51"/>
  <c r="AC46" i="51" s="1"/>
  <c r="K209" i="44"/>
  <c r="U20" i="51"/>
  <c r="U245" i="51" s="1"/>
  <c r="GW17" i="38"/>
  <c r="E367" i="44"/>
  <c r="OD16" i="38"/>
  <c r="OH16" i="38"/>
  <c r="O231" i="55" s="1"/>
  <c r="M19" i="51"/>
  <c r="M220" i="51" s="1"/>
  <c r="DE17" i="38"/>
  <c r="MM17" i="38"/>
  <c r="OE16" i="38"/>
  <c r="OE55" i="38" s="1"/>
  <c r="K19" i="51"/>
  <c r="K335" i="51" s="1"/>
  <c r="MM16" i="38"/>
  <c r="S231" i="55"/>
  <c r="H590" i="48" s="1"/>
  <c r="T20" i="51"/>
  <c r="T50" i="51" s="1"/>
  <c r="E209" i="44"/>
  <c r="MK16" i="38"/>
  <c r="MJ16" i="38"/>
  <c r="MK17" i="38"/>
  <c r="AC18" i="51"/>
  <c r="AC49" i="51" s="1"/>
  <c r="ML17" i="38"/>
  <c r="U16" i="51"/>
  <c r="U44" i="51" s="1"/>
  <c r="V156" i="51"/>
  <c r="V281" i="51"/>
  <c r="V82" i="51"/>
  <c r="V292" i="51"/>
  <c r="S233" i="55"/>
  <c r="H592" i="48" s="1"/>
  <c r="V379" i="51"/>
  <c r="V294" i="51"/>
  <c r="V317" i="51"/>
  <c r="OD20" i="38"/>
  <c r="V348" i="51"/>
  <c r="V76" i="51"/>
  <c r="V55" i="51"/>
  <c r="V179" i="51"/>
  <c r="OE20" i="38"/>
  <c r="OE59" i="38" s="1"/>
  <c r="V226" i="51"/>
  <c r="V245" i="51"/>
  <c r="V112" i="51"/>
  <c r="V244" i="51"/>
  <c r="T22" i="51"/>
  <c r="T112" i="51" s="1"/>
  <c r="V50" i="51"/>
  <c r="V381" i="51"/>
  <c r="V204" i="51"/>
  <c r="OH20" i="38"/>
  <c r="OH59" i="38" s="1"/>
  <c r="OI20" i="38"/>
  <c r="OG20" i="38"/>
  <c r="OG59" i="38" s="1"/>
  <c r="DE18" i="38"/>
  <c r="V201" i="51"/>
  <c r="V152" i="51"/>
  <c r="GW25" i="38"/>
  <c r="U22" i="51"/>
  <c r="U342" i="51" s="1"/>
  <c r="JV20" i="38"/>
  <c r="JX20" i="38" s="1"/>
  <c r="JY20" i="38" s="1"/>
  <c r="F20" i="47" s="1"/>
  <c r="N235" i="55"/>
  <c r="G594" i="48" s="1"/>
  <c r="V99" i="51"/>
  <c r="V301" i="51"/>
  <c r="T310" i="51"/>
  <c r="MK20" i="38"/>
  <c r="MJ20" i="38"/>
  <c r="MM20" i="38"/>
  <c r="GV18" i="38"/>
  <c r="F368" i="44" s="1"/>
  <c r="AC22" i="51"/>
  <c r="AC204" i="51" s="1"/>
  <c r="M20" i="51"/>
  <c r="M348" i="51" s="1"/>
  <c r="K210" i="44"/>
  <c r="S224" i="55"/>
  <c r="H583" i="48" s="1"/>
  <c r="OE25" i="38"/>
  <c r="OE64" i="38" s="1"/>
  <c r="AC27" i="51"/>
  <c r="AC95" i="51" s="1"/>
  <c r="OH25" i="38"/>
  <c r="OI25" i="38"/>
  <c r="T9" i="51"/>
  <c r="T130" i="51" s="1"/>
  <c r="OD25" i="38"/>
  <c r="OG14" i="38"/>
  <c r="OG53" i="38" s="1"/>
  <c r="OG25" i="38"/>
  <c r="OG64" i="38" s="1"/>
  <c r="OH14" i="38"/>
  <c r="OH53" i="38" s="1"/>
  <c r="S219" i="55"/>
  <c r="H578" i="48" s="1"/>
  <c r="OI14" i="38"/>
  <c r="DE19" i="38"/>
  <c r="ML25" i="38"/>
  <c r="OE14" i="38"/>
  <c r="OF14" i="38" s="1"/>
  <c r="MK25" i="38"/>
  <c r="OD14" i="38"/>
  <c r="MJ25" i="38"/>
  <c r="OF12" i="38"/>
  <c r="Q226" i="55" s="1"/>
  <c r="U27" i="51"/>
  <c r="U48" i="51" s="1"/>
  <c r="AC8" i="51"/>
  <c r="AC175" i="51" s="1"/>
  <c r="MK6" i="38"/>
  <c r="MJ6" i="38"/>
  <c r="ML6" i="38"/>
  <c r="OB55" i="38"/>
  <c r="S220" i="55"/>
  <c r="H579" i="48" s="1"/>
  <c r="OD17" i="38"/>
  <c r="OI17" i="38"/>
  <c r="OH17" i="38"/>
  <c r="OE17" i="38"/>
  <c r="OE56" i="38" s="1"/>
  <c r="OG17" i="38"/>
  <c r="MK14" i="38"/>
  <c r="U216" i="51"/>
  <c r="U370" i="51"/>
  <c r="U97" i="51"/>
  <c r="U66" i="51"/>
  <c r="U275" i="51"/>
  <c r="U193" i="51"/>
  <c r="D366" i="44"/>
  <c r="U41" i="51"/>
  <c r="U167" i="51"/>
  <c r="U254" i="51"/>
  <c r="U350" i="51"/>
  <c r="U143" i="51"/>
  <c r="E366" i="44"/>
  <c r="U310" i="51"/>
  <c r="U119" i="51"/>
  <c r="OI19" i="38"/>
  <c r="OE19" i="38"/>
  <c r="OF19" i="38" s="1"/>
  <c r="OH19" i="38"/>
  <c r="OH58" i="38" s="1"/>
  <c r="OD19" i="38"/>
  <c r="OG19" i="38"/>
  <c r="S225" i="55"/>
  <c r="H584" i="48" s="1"/>
  <c r="OH6" i="38"/>
  <c r="OH45" i="38" s="1"/>
  <c r="S229" i="55"/>
  <c r="H588" i="48" s="1"/>
  <c r="T252" i="51"/>
  <c r="T298" i="51"/>
  <c r="M27" i="51"/>
  <c r="M73" i="51" s="1"/>
  <c r="OE6" i="38"/>
  <c r="OE45" i="38" s="1"/>
  <c r="T316" i="51"/>
  <c r="T116" i="51"/>
  <c r="E375" i="44"/>
  <c r="V145" i="51"/>
  <c r="D375" i="44"/>
  <c r="K217" i="44"/>
  <c r="OI6" i="38"/>
  <c r="OG6" i="38"/>
  <c r="OG45" i="38" s="1"/>
  <c r="OD6" i="38"/>
  <c r="M18" i="51"/>
  <c r="M344" i="51" s="1"/>
  <c r="E208" i="44"/>
  <c r="GV16" i="38"/>
  <c r="F366" i="44" s="1"/>
  <c r="GW16" i="38"/>
  <c r="N219" i="55"/>
  <c r="G578" i="48" s="1"/>
  <c r="V253" i="51"/>
  <c r="V183" i="51"/>
  <c r="V306" i="51"/>
  <c r="V351" i="51"/>
  <c r="V367" i="51"/>
  <c r="V48" i="51"/>
  <c r="V209" i="51"/>
  <c r="V95" i="51"/>
  <c r="V120" i="51"/>
  <c r="V282" i="51"/>
  <c r="V223" i="51"/>
  <c r="V327" i="51"/>
  <c r="MM19" i="38"/>
  <c r="ML19" i="38"/>
  <c r="AC21" i="51"/>
  <c r="AC162" i="51" s="1"/>
  <c r="U9" i="51"/>
  <c r="U104" i="51" s="1"/>
  <c r="MK19" i="38"/>
  <c r="JV19" i="38"/>
  <c r="JX19" i="38" s="1"/>
  <c r="JY19" i="38" s="1"/>
  <c r="F19" i="47" s="1"/>
  <c r="V84" i="51"/>
  <c r="V362" i="51"/>
  <c r="N231" i="55"/>
  <c r="G590" i="48" s="1"/>
  <c r="V274" i="51"/>
  <c r="V205" i="51"/>
  <c r="V133" i="51"/>
  <c r="V74" i="51"/>
  <c r="V56" i="51"/>
  <c r="V304" i="51"/>
  <c r="V182" i="51"/>
  <c r="V206" i="51"/>
  <c r="V260" i="51"/>
  <c r="V109" i="51"/>
  <c r="V380" i="51"/>
  <c r="V291" i="51"/>
  <c r="N225" i="55"/>
  <c r="G584" i="48" s="1"/>
  <c r="V337" i="51"/>
  <c r="V49" i="51"/>
  <c r="V344" i="51"/>
  <c r="V180" i="51"/>
  <c r="V135" i="51"/>
  <c r="V106" i="51"/>
  <c r="V157" i="51"/>
  <c r="V373" i="51"/>
  <c r="V286" i="51"/>
  <c r="V224" i="51"/>
  <c r="V234" i="51"/>
  <c r="V318" i="51"/>
  <c r="T341" i="51"/>
  <c r="T287" i="51"/>
  <c r="T79" i="51"/>
  <c r="T186" i="51"/>
  <c r="T93" i="51"/>
  <c r="T382" i="51"/>
  <c r="T58" i="51"/>
  <c r="U18" i="51"/>
  <c r="U380" i="51" s="1"/>
  <c r="T211" i="51"/>
  <c r="W11" i="51"/>
  <c r="W252" i="51" s="1"/>
  <c r="T229" i="51"/>
  <c r="OJ23" i="38"/>
  <c r="V358" i="51"/>
  <c r="V203" i="51"/>
  <c r="O221" i="55"/>
  <c r="V283" i="51"/>
  <c r="V326" i="51"/>
  <c r="V81" i="51"/>
  <c r="V160" i="51"/>
  <c r="AC17" i="51"/>
  <c r="AC178" i="51" s="1"/>
  <c r="V178" i="51"/>
  <c r="V383" i="51"/>
  <c r="JV16" i="38"/>
  <c r="JX16" i="38" s="1"/>
  <c r="JY16" i="38" s="1"/>
  <c r="F16" i="47" s="1"/>
  <c r="T275" i="51"/>
  <c r="V60" i="51"/>
  <c r="V137" i="51"/>
  <c r="JC16" i="38"/>
  <c r="D16" i="47" s="1"/>
  <c r="V231" i="51"/>
  <c r="U21" i="51"/>
  <c r="U304" i="51" s="1"/>
  <c r="T127" i="51"/>
  <c r="T71" i="51"/>
  <c r="T43" i="51"/>
  <c r="T144" i="51"/>
  <c r="T151" i="51"/>
  <c r="T371" i="51"/>
  <c r="T46" i="51"/>
  <c r="T279" i="51"/>
  <c r="T170" i="51"/>
  <c r="T94" i="51"/>
  <c r="T45" i="51"/>
  <c r="T195" i="51"/>
  <c r="W25" i="51"/>
  <c r="W170" i="51" s="1"/>
  <c r="JV15" i="38"/>
  <c r="JX15" i="38" s="1"/>
  <c r="JY15" i="38" s="1"/>
  <c r="F15" i="47" s="1"/>
  <c r="T273" i="51"/>
  <c r="T218" i="51"/>
  <c r="T221" i="51"/>
  <c r="T118" i="51"/>
  <c r="T369" i="51"/>
  <c r="T308" i="51"/>
  <c r="T243" i="51"/>
  <c r="T174" i="51"/>
  <c r="T101" i="51"/>
  <c r="T257" i="51"/>
  <c r="T100" i="51"/>
  <c r="T296" i="51"/>
  <c r="W7" i="51"/>
  <c r="W243" i="51" s="1"/>
  <c r="T343" i="51"/>
  <c r="T68" i="51"/>
  <c r="T199" i="51"/>
  <c r="T353" i="51"/>
  <c r="ML14" i="38"/>
  <c r="MM14" i="38"/>
  <c r="AC16" i="51"/>
  <c r="AC323" i="51" s="1"/>
  <c r="T21" i="51"/>
  <c r="T274" i="51" s="1"/>
  <c r="JC15" i="38"/>
  <c r="T119" i="51"/>
  <c r="T66" i="51"/>
  <c r="OD7" i="38"/>
  <c r="T216" i="51"/>
  <c r="OI7" i="38"/>
  <c r="T97" i="51"/>
  <c r="T41" i="51"/>
  <c r="S218" i="55"/>
  <c r="H577" i="48" s="1"/>
  <c r="OH7" i="38"/>
  <c r="OH46" i="38" s="1"/>
  <c r="T328" i="51"/>
  <c r="T193" i="51"/>
  <c r="T254" i="51"/>
  <c r="T167" i="51"/>
  <c r="OE7" i="38"/>
  <c r="OF7" i="38" s="1"/>
  <c r="T370" i="51"/>
  <c r="T350" i="51"/>
  <c r="OG7" i="38"/>
  <c r="OG46" i="38" s="1"/>
  <c r="T27" i="51"/>
  <c r="T223" i="51" s="1"/>
  <c r="T143" i="51"/>
  <c r="OH15" i="38"/>
  <c r="OJ15" i="38" s="1"/>
  <c r="JC25" i="38"/>
  <c r="S235" i="55"/>
  <c r="H594" i="48" s="1"/>
  <c r="OD15" i="38"/>
  <c r="OE15" i="38"/>
  <c r="OE54" i="38" s="1"/>
  <c r="MJ7" i="38"/>
  <c r="AC9" i="51"/>
  <c r="AC181" i="51" s="1"/>
  <c r="MJ15" i="38"/>
  <c r="MK15" i="38"/>
  <c r="MM15" i="38"/>
  <c r="GW6" i="38"/>
  <c r="GW24" i="38"/>
  <c r="K11" i="51"/>
  <c r="K316" i="51" s="1"/>
  <c r="GW9" i="38"/>
  <c r="K385" i="44" s="1"/>
  <c r="GW15" i="38"/>
  <c r="OF23" i="38"/>
  <c r="Q221" i="55" s="1"/>
  <c r="OE62" i="38"/>
  <c r="OG55" i="38"/>
  <c r="O226" i="55"/>
  <c r="OH51" i="38"/>
  <c r="OF27" i="38"/>
  <c r="OE66" i="38"/>
  <c r="OG15" i="38"/>
  <c r="OB54" i="38"/>
  <c r="OG62" i="38"/>
  <c r="OG65" i="38"/>
  <c r="OF26" i="38"/>
  <c r="Q238" i="55" s="1"/>
  <c r="OE65" i="38"/>
  <c r="OJ27" i="38"/>
  <c r="OH66" i="38"/>
  <c r="OG51" i="38"/>
  <c r="OH24" i="38"/>
  <c r="OH63" i="38" s="1"/>
  <c r="OB63" i="38"/>
  <c r="OG9" i="38"/>
  <c r="OB48" i="38"/>
  <c r="OH13" i="38"/>
  <c r="OH52" i="38" s="1"/>
  <c r="OB52" i="38"/>
  <c r="V181" i="51"/>
  <c r="V323" i="51"/>
  <c r="V5" i="51"/>
  <c r="V6" i="51"/>
  <c r="V77" i="51"/>
  <c r="V336" i="51"/>
  <c r="N224" i="55"/>
  <c r="G583" i="48" s="1"/>
  <c r="S234" i="55"/>
  <c r="H593" i="48" s="1"/>
  <c r="V4" i="51"/>
  <c r="V276" i="51"/>
  <c r="V154" i="51"/>
  <c r="GV7" i="38"/>
  <c r="AJ9" i="51" s="1"/>
  <c r="V51" i="51"/>
  <c r="V360" i="51"/>
  <c r="M9" i="51"/>
  <c r="M130" i="51" s="1"/>
  <c r="V227" i="51"/>
  <c r="V104" i="51"/>
  <c r="E357" i="44"/>
  <c r="N218" i="55"/>
  <c r="G577" i="48" s="1"/>
  <c r="V366" i="51"/>
  <c r="V207" i="51"/>
  <c r="V130" i="51"/>
  <c r="V346" i="51"/>
  <c r="V307" i="51"/>
  <c r="V108" i="51"/>
  <c r="K201" i="44"/>
  <c r="T368" i="51"/>
  <c r="T194" i="51"/>
  <c r="T270" i="51"/>
  <c r="T220" i="51"/>
  <c r="T261" i="51"/>
  <c r="T361" i="51"/>
  <c r="T125" i="51"/>
  <c r="T335" i="51"/>
  <c r="W19" i="51"/>
  <c r="W125" i="51" s="1"/>
  <c r="T147" i="51"/>
  <c r="T70" i="51"/>
  <c r="E359" i="44"/>
  <c r="GV9" i="38"/>
  <c r="F359" i="44" s="1"/>
  <c r="T311" i="51"/>
  <c r="M11" i="51"/>
  <c r="M252" i="51" s="1"/>
  <c r="OH9" i="38"/>
  <c r="MK7" i="38"/>
  <c r="ML7" i="38"/>
  <c r="K207" i="44"/>
  <c r="D361" i="44"/>
  <c r="M17" i="51"/>
  <c r="M203" i="51" s="1"/>
  <c r="V155" i="51"/>
  <c r="V278" i="51"/>
  <c r="F365" i="44"/>
  <c r="V222" i="51"/>
  <c r="V131" i="51"/>
  <c r="V200" i="51"/>
  <c r="V246" i="51"/>
  <c r="AJ17" i="51"/>
  <c r="V372" i="51"/>
  <c r="V72" i="51"/>
  <c r="V293" i="51"/>
  <c r="E365" i="44"/>
  <c r="V44" i="51"/>
  <c r="AC11" i="51"/>
  <c r="AC211" i="51" s="1"/>
  <c r="T16" i="51"/>
  <c r="W16" i="51" s="1"/>
  <c r="W131" i="51" s="1"/>
  <c r="MJ9" i="38"/>
  <c r="MM9" i="38"/>
  <c r="MK9" i="38"/>
  <c r="JV14" i="38"/>
  <c r="JX14" i="38" s="1"/>
  <c r="JY14" i="38" s="1"/>
  <c r="F14" i="47" s="1"/>
  <c r="K199" i="44"/>
  <c r="OD9" i="38"/>
  <c r="OI9" i="38"/>
  <c r="GS36" i="38"/>
  <c r="GW36" i="38" s="1"/>
  <c r="OE9" i="38"/>
  <c r="GS37" i="38"/>
  <c r="GW37" i="38" s="1"/>
  <c r="E356" i="44"/>
  <c r="M8" i="51"/>
  <c r="M175" i="51" s="1"/>
  <c r="K198" i="44"/>
  <c r="GV6" i="38"/>
  <c r="AJ8" i="51" s="1"/>
  <c r="K13" i="51"/>
  <c r="K67" i="51" s="1"/>
  <c r="K28" i="51"/>
  <c r="K159" i="51" s="1"/>
  <c r="D376" i="44"/>
  <c r="MJ8" i="38"/>
  <c r="AJ28" i="51"/>
  <c r="L28" i="51"/>
  <c r="L192" i="51" s="1"/>
  <c r="OE24" i="38"/>
  <c r="OE63" i="38" s="1"/>
  <c r="OE13" i="38"/>
  <c r="OD13" i="38"/>
  <c r="S236" i="55"/>
  <c r="H595" i="48" s="1"/>
  <c r="OI13" i="38"/>
  <c r="M250" i="51"/>
  <c r="M96" i="51"/>
  <c r="M237" i="51"/>
  <c r="M388" i="51"/>
  <c r="M87" i="51"/>
  <c r="M269" i="51"/>
  <c r="M136" i="51"/>
  <c r="M299" i="51"/>
  <c r="M62" i="51"/>
  <c r="M330" i="51"/>
  <c r="M168" i="51"/>
  <c r="M355" i="51"/>
  <c r="M159" i="51"/>
  <c r="M192" i="51"/>
  <c r="AC15" i="51"/>
  <c r="MM13" i="38"/>
  <c r="Q22" i="58" s="1"/>
  <c r="MJ13" i="38"/>
  <c r="AC330" i="51"/>
  <c r="AC136" i="51"/>
  <c r="AC250" i="51"/>
  <c r="AC62" i="51"/>
  <c r="AC237" i="51"/>
  <c r="AC159" i="51"/>
  <c r="AC168" i="51"/>
  <c r="AC96" i="51"/>
  <c r="AC355" i="51"/>
  <c r="AC299" i="51"/>
  <c r="AC388" i="51"/>
  <c r="AC269" i="51"/>
  <c r="AC87" i="51"/>
  <c r="AC192" i="51"/>
  <c r="E363" i="44"/>
  <c r="K205" i="44"/>
  <c r="M15" i="51"/>
  <c r="GV13" i="38"/>
  <c r="OG13" i="38"/>
  <c r="MK13" i="38"/>
  <c r="ML8" i="38"/>
  <c r="OD8" i="38"/>
  <c r="OI36" i="38"/>
  <c r="S237" i="55"/>
  <c r="H597" i="48" s="1"/>
  <c r="L737" i="55"/>
  <c r="OI8" i="38"/>
  <c r="OG8" i="38"/>
  <c r="OH8" i="38"/>
  <c r="OH47" i="38" s="1"/>
  <c r="OG5" i="38"/>
  <c r="OE5" i="38"/>
  <c r="OI5" i="38"/>
  <c r="OH5" i="38"/>
  <c r="OH44" i="38" s="1"/>
  <c r="S223" i="55"/>
  <c r="H582" i="48" s="1"/>
  <c r="ML24" i="38"/>
  <c r="P33" i="58" s="1"/>
  <c r="M7" i="51"/>
  <c r="E355" i="44"/>
  <c r="GV5" i="38"/>
  <c r="K26" i="51"/>
  <c r="E216" i="44"/>
  <c r="D374" i="44"/>
  <c r="AC7" i="51"/>
  <c r="MM5" i="38"/>
  <c r="Q14" i="58" s="1"/>
  <c r="MK5" i="38"/>
  <c r="ML5" i="38"/>
  <c r="P14" i="58" s="1"/>
  <c r="MJ5" i="38"/>
  <c r="OE8" i="38"/>
  <c r="E358" i="44"/>
  <c r="K200" i="44"/>
  <c r="GV8" i="38"/>
  <c r="M10" i="51"/>
  <c r="OG24" i="38"/>
  <c r="S239" i="55"/>
  <c r="H596" i="48" s="1"/>
  <c r="OD24" i="38"/>
  <c r="OI24" i="38"/>
  <c r="AC10" i="51"/>
  <c r="MM36" i="38"/>
  <c r="MM8" i="38"/>
  <c r="Q17" i="58" s="1"/>
  <c r="M26" i="51"/>
  <c r="GV24" i="38"/>
  <c r="K216" i="44"/>
  <c r="E374" i="44"/>
  <c r="MJ24" i="38"/>
  <c r="MM24" i="38"/>
  <c r="Q33" i="58" s="1"/>
  <c r="AC26" i="51"/>
  <c r="OJ26" i="38"/>
  <c r="O238" i="55"/>
  <c r="T197" i="51"/>
  <c r="T345" i="51"/>
  <c r="T247" i="51"/>
  <c r="T42" i="51"/>
  <c r="F362" i="44"/>
  <c r="L25" i="51"/>
  <c r="L257" i="51" s="1"/>
  <c r="L14" i="51"/>
  <c r="L196" i="51" s="1"/>
  <c r="AJ25" i="51"/>
  <c r="L16" i="51"/>
  <c r="L293" i="51" s="1"/>
  <c r="AJ16" i="51"/>
  <c r="T256" i="51"/>
  <c r="T83" i="51"/>
  <c r="T121" i="51"/>
  <c r="T98" i="51"/>
  <c r="T202" i="51"/>
  <c r="T134" i="51"/>
  <c r="T285" i="51"/>
  <c r="T376" i="51"/>
  <c r="T172" i="51"/>
  <c r="T59" i="51"/>
  <c r="T196" i="51"/>
  <c r="W14" i="51"/>
  <c r="W121" i="51" s="1"/>
  <c r="T295" i="51"/>
  <c r="T233" i="51"/>
  <c r="T146" i="51"/>
  <c r="T57" i="51"/>
  <c r="T331" i="51"/>
  <c r="T352" i="51"/>
  <c r="T349" i="51"/>
  <c r="T305" i="51"/>
  <c r="OJ12" i="38"/>
  <c r="T297" i="51"/>
  <c r="T173" i="51"/>
  <c r="T280" i="51"/>
  <c r="T319" i="51"/>
  <c r="T67" i="51"/>
  <c r="AB14" i="51"/>
  <c r="AB146" i="51" s="1"/>
  <c r="T105" i="51"/>
  <c r="W13" i="51"/>
  <c r="W173" i="51" s="1"/>
  <c r="T378" i="51"/>
  <c r="T153" i="51"/>
  <c r="T126" i="51"/>
  <c r="T235" i="51"/>
  <c r="T175" i="51"/>
  <c r="T377" i="51"/>
  <c r="T158" i="51"/>
  <c r="W8" i="51"/>
  <c r="W175" i="51" s="1"/>
  <c r="T325" i="51"/>
  <c r="T248" i="51"/>
  <c r="T107" i="51"/>
  <c r="E212" i="44"/>
  <c r="D370" i="44"/>
  <c r="K22" i="51"/>
  <c r="U142" i="51"/>
  <c r="U252" i="51"/>
  <c r="U316" i="51"/>
  <c r="U382" i="51"/>
  <c r="U229" i="51"/>
  <c r="U58" i="51"/>
  <c r="U211" i="51"/>
  <c r="U287" i="51"/>
  <c r="U341" i="51"/>
  <c r="U186" i="51"/>
  <c r="U93" i="51"/>
  <c r="U79" i="51"/>
  <c r="U298" i="51"/>
  <c r="U116" i="51"/>
  <c r="U279" i="51"/>
  <c r="U45" i="51"/>
  <c r="U369" i="51"/>
  <c r="U308" i="51"/>
  <c r="U118" i="51"/>
  <c r="U144" i="51"/>
  <c r="U329" i="51"/>
  <c r="U353" i="51"/>
  <c r="U195" i="51"/>
  <c r="U101" i="51"/>
  <c r="U170" i="51"/>
  <c r="U71" i="51"/>
  <c r="U221" i="51"/>
  <c r="U257" i="51"/>
  <c r="AC144" i="51"/>
  <c r="AC195" i="51"/>
  <c r="AC353" i="51"/>
  <c r="AC170" i="51"/>
  <c r="AC101" i="51"/>
  <c r="AC221" i="51"/>
  <c r="AC369" i="51"/>
  <c r="AC257" i="51"/>
  <c r="AC118" i="51"/>
  <c r="AC45" i="51"/>
  <c r="AC308" i="51"/>
  <c r="AC71" i="51"/>
  <c r="AC279" i="51"/>
  <c r="AC329" i="51"/>
  <c r="AC305" i="51"/>
  <c r="AC196" i="51"/>
  <c r="AC172" i="51"/>
  <c r="AC331" i="51"/>
  <c r="AC121" i="51"/>
  <c r="AC376" i="51"/>
  <c r="AC98" i="51"/>
  <c r="AC256" i="51"/>
  <c r="AC146" i="51"/>
  <c r="AC352" i="51"/>
  <c r="AC83" i="51"/>
  <c r="AC277" i="51"/>
  <c r="AC59" i="51"/>
  <c r="AC233" i="51"/>
  <c r="M59" i="51"/>
  <c r="M121" i="51"/>
  <c r="M83" i="51"/>
  <c r="M331" i="51"/>
  <c r="M376" i="51"/>
  <c r="M352" i="51"/>
  <c r="M256" i="51"/>
  <c r="M233" i="51"/>
  <c r="M172" i="51"/>
  <c r="M196" i="51"/>
  <c r="M305" i="51"/>
  <c r="M146" i="51"/>
  <c r="M277" i="51"/>
  <c r="M98" i="51"/>
  <c r="AB25" i="51"/>
  <c r="M284" i="51"/>
  <c r="M204" i="51"/>
  <c r="M123" i="51"/>
  <c r="M292" i="51"/>
  <c r="M232" i="51"/>
  <c r="M55" i="51"/>
  <c r="M244" i="51"/>
  <c r="M381" i="51"/>
  <c r="M82" i="51"/>
  <c r="M152" i="51"/>
  <c r="M317" i="51"/>
  <c r="M342" i="51"/>
  <c r="M112" i="51"/>
  <c r="M179" i="51"/>
  <c r="M72" i="51"/>
  <c r="M246" i="51"/>
  <c r="M278" i="51"/>
  <c r="M222" i="51"/>
  <c r="M200" i="51"/>
  <c r="M155" i="51"/>
  <c r="M108" i="51"/>
  <c r="M44" i="51"/>
  <c r="M346" i="51"/>
  <c r="M323" i="51"/>
  <c r="M131" i="51"/>
  <c r="M293" i="51"/>
  <c r="M176" i="51"/>
  <c r="M372" i="51"/>
  <c r="M170" i="51"/>
  <c r="M308" i="51"/>
  <c r="M221" i="51"/>
  <c r="M144" i="51"/>
  <c r="M257" i="51"/>
  <c r="M353" i="51"/>
  <c r="M45" i="51"/>
  <c r="M101" i="51"/>
  <c r="M369" i="51"/>
  <c r="M118" i="51"/>
  <c r="M329" i="51"/>
  <c r="M279" i="51"/>
  <c r="M195" i="51"/>
  <c r="M71" i="51"/>
  <c r="M205" i="51"/>
  <c r="M362" i="51"/>
  <c r="M234" i="51"/>
  <c r="M304" i="51"/>
  <c r="M337" i="51"/>
  <c r="M135" i="51"/>
  <c r="M373" i="51"/>
  <c r="M109" i="51"/>
  <c r="M274" i="51"/>
  <c r="M84" i="51"/>
  <c r="M260" i="51"/>
  <c r="M56" i="51"/>
  <c r="M180" i="51"/>
  <c r="M162" i="51"/>
  <c r="L178" i="51"/>
  <c r="L203" i="51"/>
  <c r="L160" i="51"/>
  <c r="L383" i="51"/>
  <c r="L231" i="51"/>
  <c r="L358" i="51"/>
  <c r="L137" i="51"/>
  <c r="L326" i="51"/>
  <c r="L99" i="51"/>
  <c r="L242" i="51"/>
  <c r="L81" i="51"/>
  <c r="L301" i="51"/>
  <c r="L60" i="51"/>
  <c r="L283" i="51"/>
  <c r="U261" i="51"/>
  <c r="U169" i="51"/>
  <c r="U194" i="51"/>
  <c r="U220" i="51"/>
  <c r="U361" i="51"/>
  <c r="U125" i="51"/>
  <c r="U335" i="51"/>
  <c r="U147" i="51"/>
  <c r="U270" i="51"/>
  <c r="U94" i="51"/>
  <c r="U368" i="51"/>
  <c r="U46" i="51"/>
  <c r="U311" i="51"/>
  <c r="U70" i="51"/>
  <c r="L204" i="51"/>
  <c r="L112" i="51"/>
  <c r="L55" i="51"/>
  <c r="L152" i="51"/>
  <c r="AJ21" i="51"/>
  <c r="L21" i="51"/>
  <c r="F369" i="44"/>
  <c r="S321" i="44"/>
  <c r="E323" i="44" s="1"/>
  <c r="K131" i="51"/>
  <c r="K246" i="51"/>
  <c r="K72" i="51"/>
  <c r="K293" i="51"/>
  <c r="K44" i="51"/>
  <c r="K222" i="51"/>
  <c r="K200" i="51"/>
  <c r="K176" i="51"/>
  <c r="K372" i="51"/>
  <c r="K155" i="51"/>
  <c r="K346" i="51"/>
  <c r="K108" i="51"/>
  <c r="K323" i="51"/>
  <c r="K278" i="51"/>
  <c r="X24" i="51"/>
  <c r="W216" i="51"/>
  <c r="W193" i="51"/>
  <c r="W350" i="51"/>
  <c r="W97" i="51"/>
  <c r="W310" i="51"/>
  <c r="W143" i="51"/>
  <c r="W275" i="51"/>
  <c r="W119" i="51"/>
  <c r="W370" i="51"/>
  <c r="W66" i="51"/>
  <c r="W328" i="51"/>
  <c r="W41" i="51"/>
  <c r="W254" i="51"/>
  <c r="W167" i="51"/>
  <c r="L244" i="51" l="1"/>
  <c r="L342" i="51"/>
  <c r="L232" i="51"/>
  <c r="L284" i="51"/>
  <c r="L381" i="51"/>
  <c r="L179" i="51"/>
  <c r="L317" i="51"/>
  <c r="L292" i="51"/>
  <c r="L82" i="51"/>
  <c r="K101" i="51"/>
  <c r="K144" i="51"/>
  <c r="K279" i="51"/>
  <c r="K118" i="51"/>
  <c r="K329" i="51"/>
  <c r="K221" i="51"/>
  <c r="K45" i="51"/>
  <c r="K353" i="51"/>
  <c r="K369" i="51"/>
  <c r="K308" i="51"/>
  <c r="K170" i="51"/>
  <c r="K195" i="51"/>
  <c r="K257" i="51"/>
  <c r="AA405" i="58"/>
  <c r="I518" i="48"/>
  <c r="AK269" i="58"/>
  <c r="AK275" i="58" s="1"/>
  <c r="E7" i="48" s="1"/>
  <c r="AJ269" i="58"/>
  <c r="AJ275" i="58" s="1"/>
  <c r="D7" i="48" s="1"/>
  <c r="AA276" i="58"/>
  <c r="W431" i="58" s="1"/>
  <c r="Y431" i="58" s="1"/>
  <c r="AA437" i="58" s="1"/>
  <c r="AI270" i="58"/>
  <c r="AI276" i="58" s="1"/>
  <c r="L7" i="48" s="1"/>
  <c r="I484" i="48"/>
  <c r="W418" i="58"/>
  <c r="Y418" i="58" s="1"/>
  <c r="AA289" i="58"/>
  <c r="AA277" i="58"/>
  <c r="W432" i="58" s="1"/>
  <c r="Y432" i="58" s="1"/>
  <c r="G484" i="48"/>
  <c r="AI271" i="58"/>
  <c r="AI277" i="58" s="1"/>
  <c r="F7" i="48" s="1"/>
  <c r="W419" i="58"/>
  <c r="AK271" i="58"/>
  <c r="AK277" i="58" s="1"/>
  <c r="H7" i="48" s="1"/>
  <c r="AJ271" i="58"/>
  <c r="AJ277" i="58" s="1"/>
  <c r="G7" i="48" s="1"/>
  <c r="AK270" i="58"/>
  <c r="AK276" i="58" s="1"/>
  <c r="N7" i="48" s="1"/>
  <c r="AJ270" i="58"/>
  <c r="AJ276" i="58" s="1"/>
  <c r="M7" i="48" s="1"/>
  <c r="I362" i="48"/>
  <c r="E423" i="44"/>
  <c r="H362" i="48"/>
  <c r="G423" i="44"/>
  <c r="H363" i="48" s="1"/>
  <c r="M254" i="51"/>
  <c r="AA413" i="58"/>
  <c r="H518" i="48"/>
  <c r="G518" i="48"/>
  <c r="AC76" i="51"/>
  <c r="U124" i="51"/>
  <c r="U283" i="51"/>
  <c r="M42" i="51"/>
  <c r="T74" i="51"/>
  <c r="T291" i="51"/>
  <c r="T106" i="51"/>
  <c r="AA329" i="51"/>
  <c r="Q47" i="58"/>
  <c r="AA369" i="51"/>
  <c r="AB20" i="51"/>
  <c r="AB281" i="51" s="1"/>
  <c r="T286" i="51"/>
  <c r="AA353" i="51"/>
  <c r="JD14" i="38"/>
  <c r="E14" i="47" s="1"/>
  <c r="U242" i="51"/>
  <c r="T49" i="51"/>
  <c r="Q196" i="58"/>
  <c r="U160" i="51"/>
  <c r="AA101" i="51"/>
  <c r="AA20" i="51"/>
  <c r="AA245" i="51" s="1"/>
  <c r="AA168" i="51"/>
  <c r="Q126" i="58"/>
  <c r="U228" i="51"/>
  <c r="AA233" i="51"/>
  <c r="AB159" i="51"/>
  <c r="AA121" i="51"/>
  <c r="AC148" i="51"/>
  <c r="AA196" i="51"/>
  <c r="AB355" i="51"/>
  <c r="AC201" i="51"/>
  <c r="AC129" i="51"/>
  <c r="U148" i="51"/>
  <c r="AA376" i="51"/>
  <c r="U374" i="51"/>
  <c r="AB250" i="51"/>
  <c r="AB299" i="51"/>
  <c r="AC177" i="51"/>
  <c r="AC294" i="51"/>
  <c r="AC156" i="51"/>
  <c r="AA269" i="51"/>
  <c r="AC110" i="51"/>
  <c r="AC226" i="51"/>
  <c r="AC50" i="51"/>
  <c r="AA257" i="51"/>
  <c r="AA17" i="51"/>
  <c r="AA326" i="51" s="1"/>
  <c r="U203" i="51"/>
  <c r="T157" i="51"/>
  <c r="T224" i="51"/>
  <c r="T241" i="51"/>
  <c r="T182" i="51"/>
  <c r="W18" i="51"/>
  <c r="W49" i="51" s="1"/>
  <c r="T133" i="51"/>
  <c r="AC322" i="51"/>
  <c r="AC379" i="51"/>
  <c r="AC281" i="51"/>
  <c r="AC348" i="51"/>
  <c r="AA170" i="51"/>
  <c r="AA71" i="51"/>
  <c r="M345" i="51"/>
  <c r="U326" i="51"/>
  <c r="T380" i="51"/>
  <c r="T206" i="51"/>
  <c r="T318" i="51"/>
  <c r="T160" i="51"/>
  <c r="AA237" i="51"/>
  <c r="AA352" i="51"/>
  <c r="U321" i="51"/>
  <c r="U54" i="51"/>
  <c r="AC197" i="51"/>
  <c r="AB62" i="51"/>
  <c r="AB96" i="51"/>
  <c r="T81" i="51"/>
  <c r="AC272" i="51"/>
  <c r="AA59" i="51"/>
  <c r="U251" i="51"/>
  <c r="L13" i="51"/>
  <c r="L247" i="51" s="1"/>
  <c r="AB168" i="51"/>
  <c r="T203" i="51"/>
  <c r="T301" i="51"/>
  <c r="M126" i="51"/>
  <c r="M217" i="51"/>
  <c r="M319" i="51"/>
  <c r="M105" i="51"/>
  <c r="M67" i="51"/>
  <c r="T178" i="51"/>
  <c r="T326" i="51"/>
  <c r="AC321" i="51"/>
  <c r="AA172" i="51"/>
  <c r="AA256" i="51"/>
  <c r="AA83" i="51"/>
  <c r="AA146" i="51"/>
  <c r="U347" i="51"/>
  <c r="U302" i="51"/>
  <c r="U102" i="51"/>
  <c r="JD7" i="38"/>
  <c r="E7" i="47" s="1"/>
  <c r="AC153" i="51"/>
  <c r="F361" i="44"/>
  <c r="AB269" i="51"/>
  <c r="AB237" i="51"/>
  <c r="AB87" i="51"/>
  <c r="T383" i="51"/>
  <c r="T231" i="51"/>
  <c r="T283" i="51"/>
  <c r="T358" i="51"/>
  <c r="T60" i="51"/>
  <c r="I5" i="58"/>
  <c r="W17" i="51"/>
  <c r="W358" i="51" s="1"/>
  <c r="D21" i="47"/>
  <c r="AC302" i="51"/>
  <c r="AA331" i="51"/>
  <c r="AA277" i="51"/>
  <c r="AA98" i="51"/>
  <c r="U184" i="51"/>
  <c r="U210" i="51"/>
  <c r="U272" i="51"/>
  <c r="AC319" i="51"/>
  <c r="AA22" i="51"/>
  <c r="AA244" i="51" s="1"/>
  <c r="AA15" i="51"/>
  <c r="AA117" i="51" s="1"/>
  <c r="AB192" i="51"/>
  <c r="AB136" i="51"/>
  <c r="AB388" i="51"/>
  <c r="AA11" i="51"/>
  <c r="AA229" i="51" s="1"/>
  <c r="T99" i="51"/>
  <c r="T137" i="51"/>
  <c r="AA330" i="51"/>
  <c r="AA87" i="51"/>
  <c r="AA221" i="51"/>
  <c r="AA279" i="51"/>
  <c r="AA308" i="51"/>
  <c r="AB9" i="51"/>
  <c r="AB227" i="51" s="1"/>
  <c r="M280" i="51"/>
  <c r="M378" i="51"/>
  <c r="M247" i="51"/>
  <c r="M297" i="51"/>
  <c r="AA299" i="51"/>
  <c r="AA388" i="51"/>
  <c r="AA159" i="51"/>
  <c r="AA136" i="51"/>
  <c r="U81" i="51"/>
  <c r="U383" i="51"/>
  <c r="U60" i="51"/>
  <c r="U178" i="51"/>
  <c r="D10" i="47"/>
  <c r="AA96" i="51"/>
  <c r="R4" i="58"/>
  <c r="AA144" i="51"/>
  <c r="AA195" i="51"/>
  <c r="AA45" i="51"/>
  <c r="M153" i="51"/>
  <c r="M197" i="51"/>
  <c r="AA62" i="51"/>
  <c r="AA250" i="51"/>
  <c r="AA355" i="51"/>
  <c r="U301" i="51"/>
  <c r="U231" i="51"/>
  <c r="U99" i="51"/>
  <c r="U137" i="51"/>
  <c r="JD18" i="38"/>
  <c r="E18" i="47" s="1"/>
  <c r="L153" i="58"/>
  <c r="L41" i="58"/>
  <c r="L190" i="58"/>
  <c r="L121" i="58"/>
  <c r="M18" i="58"/>
  <c r="J132" i="58"/>
  <c r="J60" i="58"/>
  <c r="J201" i="58"/>
  <c r="J166" i="58"/>
  <c r="R160" i="58"/>
  <c r="R43" i="58"/>
  <c r="R129" i="58"/>
  <c r="R189" i="58"/>
  <c r="R162" i="58"/>
  <c r="R46" i="58"/>
  <c r="R195" i="58"/>
  <c r="R131" i="58"/>
  <c r="J174" i="58"/>
  <c r="J183" i="58"/>
  <c r="J54" i="58"/>
  <c r="J142" i="58"/>
  <c r="R184" i="58"/>
  <c r="R141" i="58"/>
  <c r="R52" i="58"/>
  <c r="R172" i="58"/>
  <c r="P199" i="58"/>
  <c r="P59" i="58"/>
  <c r="P135" i="58"/>
  <c r="P167" i="58"/>
  <c r="M31" i="58"/>
  <c r="L53" i="58"/>
  <c r="L198" i="58"/>
  <c r="L133" i="58"/>
  <c r="L163" i="58"/>
  <c r="AA21" i="51"/>
  <c r="AA234" i="51" s="1"/>
  <c r="P28" i="58"/>
  <c r="P23" i="58"/>
  <c r="P34" i="58"/>
  <c r="AA19" i="51"/>
  <c r="AA261" i="51" s="1"/>
  <c r="P26" i="58"/>
  <c r="Z26" i="58"/>
  <c r="AA13" i="51"/>
  <c r="AA105" i="51" s="1"/>
  <c r="P20" i="58"/>
  <c r="Q20" i="58"/>
  <c r="AB12" i="51"/>
  <c r="AB184" i="51" s="1"/>
  <c r="Q19" i="58"/>
  <c r="P202" i="58"/>
  <c r="P169" i="58"/>
  <c r="P45" i="58"/>
  <c r="P130" i="58"/>
  <c r="R159" i="58"/>
  <c r="R127" i="58"/>
  <c r="R203" i="58"/>
  <c r="R56" i="58"/>
  <c r="R48" i="58"/>
  <c r="R157" i="58"/>
  <c r="R192" i="58"/>
  <c r="R124" i="58"/>
  <c r="I191" i="58"/>
  <c r="I44" i="58"/>
  <c r="AK44" i="58" s="1"/>
  <c r="I154" i="58"/>
  <c r="I122" i="58"/>
  <c r="L29" i="58"/>
  <c r="R191" i="58"/>
  <c r="R122" i="58"/>
  <c r="R44" i="58"/>
  <c r="R154" i="58"/>
  <c r="R161" i="58"/>
  <c r="R126" i="58"/>
  <c r="R196" i="58"/>
  <c r="R47" i="58"/>
  <c r="P153" i="58"/>
  <c r="P41" i="58"/>
  <c r="P121" i="58"/>
  <c r="P190" i="58"/>
  <c r="J126" i="58"/>
  <c r="J47" i="58"/>
  <c r="J161" i="58"/>
  <c r="J196" i="58"/>
  <c r="R174" i="58"/>
  <c r="R142" i="58"/>
  <c r="R183" i="58"/>
  <c r="R54" i="58"/>
  <c r="R128" i="58"/>
  <c r="R197" i="58"/>
  <c r="R158" i="58"/>
  <c r="R50" i="58"/>
  <c r="J130" i="58"/>
  <c r="J45" i="58"/>
  <c r="J202" i="58"/>
  <c r="J169" i="58"/>
  <c r="I128" i="58"/>
  <c r="I197" i="58"/>
  <c r="I158" i="58"/>
  <c r="I50" i="58"/>
  <c r="AK50" i="58" s="1"/>
  <c r="L23" i="58"/>
  <c r="R137" i="58"/>
  <c r="R170" i="58"/>
  <c r="R61" i="58"/>
  <c r="R182" i="58"/>
  <c r="AC280" i="51"/>
  <c r="Q168" i="58"/>
  <c r="Q62" i="58"/>
  <c r="Q185" i="58"/>
  <c r="Q139" i="58"/>
  <c r="Z28" i="58"/>
  <c r="Z19" i="58"/>
  <c r="P31" i="58"/>
  <c r="AK90" i="58"/>
  <c r="AL90" i="58" s="1"/>
  <c r="P154" i="58"/>
  <c r="P44" i="58"/>
  <c r="P122" i="58"/>
  <c r="P191" i="58"/>
  <c r="P170" i="58"/>
  <c r="P137" i="58"/>
  <c r="P182" i="58"/>
  <c r="P61" i="58"/>
  <c r="K6" i="58"/>
  <c r="AB16" i="51"/>
  <c r="AB108" i="51" s="1"/>
  <c r="Q23" i="58"/>
  <c r="Q28" i="58"/>
  <c r="AA8" i="51"/>
  <c r="AA349" i="51" s="1"/>
  <c r="P15" i="58"/>
  <c r="Q29" i="58"/>
  <c r="Q25" i="58"/>
  <c r="AB19" i="51"/>
  <c r="AB70" i="51" s="1"/>
  <c r="Q26" i="58"/>
  <c r="Z30" i="58"/>
  <c r="AA23" i="51"/>
  <c r="AA354" i="51" s="1"/>
  <c r="P30" i="58"/>
  <c r="J154" i="58"/>
  <c r="J191" i="58"/>
  <c r="J44" i="58"/>
  <c r="J122" i="58"/>
  <c r="L25" i="58"/>
  <c r="I42" i="58"/>
  <c r="AK42" i="58" s="1"/>
  <c r="I123" i="58"/>
  <c r="I156" i="58"/>
  <c r="Q416" i="48"/>
  <c r="I200" i="58"/>
  <c r="I142" i="58"/>
  <c r="L28" i="58"/>
  <c r="I174" i="58"/>
  <c r="I54" i="58"/>
  <c r="AK54" i="58" s="1"/>
  <c r="I183" i="58"/>
  <c r="R202" i="58"/>
  <c r="R45" i="58"/>
  <c r="R169" i="58"/>
  <c r="R130" i="58"/>
  <c r="L165" i="58"/>
  <c r="M32" i="58"/>
  <c r="L134" i="58"/>
  <c r="L187" i="58"/>
  <c r="L49" i="58"/>
  <c r="AA18" i="51"/>
  <c r="P25" i="58"/>
  <c r="P161" i="58"/>
  <c r="P196" i="58"/>
  <c r="P47" i="58"/>
  <c r="P126" i="58"/>
  <c r="I60" i="58"/>
  <c r="AK60" i="58" s="1"/>
  <c r="I201" i="58"/>
  <c r="I132" i="58"/>
  <c r="I166" i="58"/>
  <c r="L30" i="58"/>
  <c r="J42" i="58"/>
  <c r="J200" i="58"/>
  <c r="J156" i="58"/>
  <c r="J123" i="58"/>
  <c r="L24" i="58"/>
  <c r="I130" i="58"/>
  <c r="I169" i="58"/>
  <c r="I45" i="58"/>
  <c r="AK45" i="58" s="1"/>
  <c r="I202" i="58"/>
  <c r="R190" i="58"/>
  <c r="R153" i="58"/>
  <c r="R121" i="58"/>
  <c r="R41" i="58"/>
  <c r="Q136" i="58"/>
  <c r="Q51" i="58"/>
  <c r="Q188" i="58"/>
  <c r="Q164" i="58"/>
  <c r="M15" i="58"/>
  <c r="L129" i="58"/>
  <c r="L160" i="58"/>
  <c r="L189" i="58"/>
  <c r="L43" i="58"/>
  <c r="M26" i="58"/>
  <c r="L58" i="58"/>
  <c r="L140" i="58"/>
  <c r="L173" i="58"/>
  <c r="L194" i="58"/>
  <c r="P171" i="58"/>
  <c r="P57" i="58"/>
  <c r="P138" i="58"/>
  <c r="P186" i="58"/>
  <c r="AC210" i="51"/>
  <c r="AC124" i="51"/>
  <c r="AC67" i="51"/>
  <c r="AC345" i="51"/>
  <c r="Q30" i="58"/>
  <c r="AA12" i="51"/>
  <c r="AA374" i="51" s="1"/>
  <c r="P19" i="58"/>
  <c r="M21" i="58"/>
  <c r="L188" i="58"/>
  <c r="L164" i="58"/>
  <c r="L51" i="58"/>
  <c r="L136" i="58"/>
  <c r="R163" i="58"/>
  <c r="R133" i="58"/>
  <c r="R53" i="58"/>
  <c r="R198" i="58"/>
  <c r="I46" i="58"/>
  <c r="AK46" i="58" s="1"/>
  <c r="I131" i="58"/>
  <c r="I162" i="58"/>
  <c r="I195" i="58"/>
  <c r="L34" i="58"/>
  <c r="Q418" i="48"/>
  <c r="R414" i="48"/>
  <c r="R420" i="48" s="1"/>
  <c r="AK332" i="58"/>
  <c r="Q137" i="58"/>
  <c r="Q61" i="58"/>
  <c r="Q182" i="58"/>
  <c r="Q170" i="58"/>
  <c r="P193" i="58"/>
  <c r="P55" i="58"/>
  <c r="P125" i="58"/>
  <c r="P155" i="58"/>
  <c r="P17" i="58"/>
  <c r="Q171" i="58"/>
  <c r="Q186" i="58"/>
  <c r="Q57" i="58"/>
  <c r="Q138" i="58"/>
  <c r="Q18" i="58"/>
  <c r="Q193" i="58"/>
  <c r="Q55" i="58"/>
  <c r="Q125" i="58"/>
  <c r="Q155" i="58"/>
  <c r="AA9" i="51"/>
  <c r="AA276" i="51" s="1"/>
  <c r="P16" i="58"/>
  <c r="AB17" i="51"/>
  <c r="AB137" i="51" s="1"/>
  <c r="Q24" i="58"/>
  <c r="Z27" i="58"/>
  <c r="AB24" i="51"/>
  <c r="AB66" i="51" s="1"/>
  <c r="Q31" i="58"/>
  <c r="M155" i="58"/>
  <c r="M193" i="58"/>
  <c r="M55" i="58"/>
  <c r="AL55" i="58" s="1"/>
  <c r="M125" i="58"/>
  <c r="L19" i="58"/>
  <c r="I127" i="58"/>
  <c r="I159" i="58"/>
  <c r="I56" i="58"/>
  <c r="AK56" i="58" s="1"/>
  <c r="I203" i="58"/>
  <c r="I196" i="58"/>
  <c r="I161" i="58"/>
  <c r="L27" i="58"/>
  <c r="I47" i="58"/>
  <c r="AK47" i="58" s="1"/>
  <c r="I126" i="58"/>
  <c r="R194" i="58"/>
  <c r="R140" i="58"/>
  <c r="R58" i="58"/>
  <c r="R173" i="58"/>
  <c r="R156" i="58"/>
  <c r="R42" i="58"/>
  <c r="R200" i="58"/>
  <c r="R123" i="58"/>
  <c r="J128" i="58"/>
  <c r="J158" i="58"/>
  <c r="J50" i="58"/>
  <c r="J197" i="58"/>
  <c r="P187" i="58"/>
  <c r="P49" i="58"/>
  <c r="P134" i="58"/>
  <c r="P165" i="58"/>
  <c r="AB8" i="51"/>
  <c r="Q15" i="58"/>
  <c r="Q34" i="58"/>
  <c r="Q52" i="58"/>
  <c r="Q184" i="58"/>
  <c r="Q172" i="58"/>
  <c r="Q141" i="58"/>
  <c r="L124" i="58"/>
  <c r="L192" i="58"/>
  <c r="L48" i="58"/>
  <c r="L157" i="58"/>
  <c r="M20" i="58"/>
  <c r="J203" i="58"/>
  <c r="J56" i="58"/>
  <c r="J127" i="58"/>
  <c r="J159" i="58"/>
  <c r="R132" i="58"/>
  <c r="R166" i="58"/>
  <c r="R201" i="58"/>
  <c r="R60" i="58"/>
  <c r="J162" i="58"/>
  <c r="J195" i="58"/>
  <c r="J131" i="58"/>
  <c r="J46" i="58"/>
  <c r="I172" i="58"/>
  <c r="I184" i="58"/>
  <c r="L16" i="58"/>
  <c r="I52" i="58"/>
  <c r="AK52" i="58" s="1"/>
  <c r="I141" i="58"/>
  <c r="I4" i="58"/>
  <c r="J172" i="58"/>
  <c r="J52" i="58"/>
  <c r="J141" i="58"/>
  <c r="J184" i="58"/>
  <c r="Q167" i="58"/>
  <c r="Q135" i="58"/>
  <c r="Q59" i="58"/>
  <c r="Q199" i="58"/>
  <c r="P51" i="58"/>
  <c r="P164" i="58"/>
  <c r="P136" i="58"/>
  <c r="P188" i="58"/>
  <c r="R57" i="58"/>
  <c r="R171" i="58"/>
  <c r="R138" i="58"/>
  <c r="R186" i="58"/>
  <c r="R62" i="58"/>
  <c r="R139" i="58"/>
  <c r="R168" i="58"/>
  <c r="R185" i="58"/>
  <c r="AC78" i="51"/>
  <c r="AC126" i="51"/>
  <c r="AC228" i="51"/>
  <c r="AC251" i="51"/>
  <c r="AC374" i="51"/>
  <c r="AC173" i="51"/>
  <c r="AC378" i="51"/>
  <c r="AC217" i="51"/>
  <c r="AC347" i="51"/>
  <c r="AC54" i="51"/>
  <c r="AC102" i="51"/>
  <c r="AC42" i="51"/>
  <c r="AC105" i="51"/>
  <c r="AC247" i="51"/>
  <c r="D20" i="47"/>
  <c r="JD19" i="38"/>
  <c r="E19" i="47" s="1"/>
  <c r="R5" i="58"/>
  <c r="LR29" i="38"/>
  <c r="FX67" i="38"/>
  <c r="GA67" i="38"/>
  <c r="FY67" i="38"/>
  <c r="M193" i="51"/>
  <c r="AJ27" i="51"/>
  <c r="D356" i="44"/>
  <c r="M275" i="51"/>
  <c r="M328" i="51"/>
  <c r="M119" i="51"/>
  <c r="M97" i="51"/>
  <c r="M370" i="51"/>
  <c r="M167" i="51"/>
  <c r="M216" i="51"/>
  <c r="Q225" i="55"/>
  <c r="M66" i="51"/>
  <c r="M143" i="51"/>
  <c r="M41" i="51"/>
  <c r="M310" i="51"/>
  <c r="OE30" i="38"/>
  <c r="OF30" i="38" s="1"/>
  <c r="ML32" i="38"/>
  <c r="K162" i="51"/>
  <c r="E198" i="44"/>
  <c r="OJ31" i="38"/>
  <c r="L27" i="51"/>
  <c r="L253" i="51" s="1"/>
  <c r="OF29" i="38"/>
  <c r="K109" i="51"/>
  <c r="K24" i="51"/>
  <c r="K143" i="51" s="1"/>
  <c r="K362" i="51"/>
  <c r="OF32" i="38"/>
  <c r="K260" i="51"/>
  <c r="S324" i="44"/>
  <c r="E314" i="44" s="1"/>
  <c r="OI31" i="38"/>
  <c r="OD31" i="38"/>
  <c r="OI30" i="38"/>
  <c r="OD30" i="38"/>
  <c r="O220" i="55"/>
  <c r="JV31" i="38"/>
  <c r="JX31" i="38" s="1"/>
  <c r="JY31" i="38" s="1"/>
  <c r="OG31" i="38"/>
  <c r="OH32" i="38"/>
  <c r="OJ32" i="38" s="1"/>
  <c r="GW31" i="38"/>
  <c r="OG32" i="38"/>
  <c r="OH30" i="38"/>
  <c r="OJ30" i="38" s="1"/>
  <c r="OI32" i="38"/>
  <c r="OD32" i="38"/>
  <c r="OD29" i="38"/>
  <c r="OI29" i="38"/>
  <c r="L97" i="51"/>
  <c r="OH29" i="38"/>
  <c r="OJ29" i="38" s="1"/>
  <c r="OG29" i="38"/>
  <c r="OE31" i="38"/>
  <c r="OF31" i="38" s="1"/>
  <c r="K234" i="51"/>
  <c r="K373" i="51"/>
  <c r="L254" i="51"/>
  <c r="L66" i="51"/>
  <c r="L193" i="51"/>
  <c r="L167" i="51"/>
  <c r="L310" i="51"/>
  <c r="L275" i="51"/>
  <c r="L370" i="51"/>
  <c r="L350" i="51"/>
  <c r="L216" i="51"/>
  <c r="L328" i="51"/>
  <c r="L119" i="51"/>
  <c r="L41" i="51"/>
  <c r="GU32" i="38"/>
  <c r="O219" i="55"/>
  <c r="O232" i="55"/>
  <c r="D372" i="44"/>
  <c r="K84" i="51"/>
  <c r="K205" i="51"/>
  <c r="GW29" i="38"/>
  <c r="K381" i="44" s="1"/>
  <c r="ML31" i="38"/>
  <c r="GW35" i="38"/>
  <c r="GU36" i="38"/>
  <c r="GW32" i="38"/>
  <c r="JV30" i="38"/>
  <c r="JX30" i="38" s="1"/>
  <c r="JY30" i="38" s="1"/>
  <c r="GU35" i="38"/>
  <c r="MM30" i="38"/>
  <c r="MJ30" i="38"/>
  <c r="GV30" i="38"/>
  <c r="GU30" i="38"/>
  <c r="MM32" i="38"/>
  <c r="MJ32" i="38"/>
  <c r="MK29" i="38"/>
  <c r="AA269" i="58" s="1"/>
  <c r="K74" i="51"/>
  <c r="K49" i="51"/>
  <c r="V296" i="48"/>
  <c r="JV32" i="38"/>
  <c r="JX32" i="38" s="1"/>
  <c r="JY32" i="38" s="1"/>
  <c r="JV29" i="38"/>
  <c r="JX29" i="38" s="1"/>
  <c r="JY29" i="38" s="1"/>
  <c r="ML29" i="38"/>
  <c r="GU37" i="38"/>
  <c r="GW30" i="38"/>
  <c r="MM31" i="38"/>
  <c r="MJ31" i="38"/>
  <c r="MJ29" i="38"/>
  <c r="ML30" i="38"/>
  <c r="GU31" i="38"/>
  <c r="GU29" i="38"/>
  <c r="N382" i="44" s="1"/>
  <c r="K318" i="51"/>
  <c r="K157" i="51"/>
  <c r="K182" i="51"/>
  <c r="S322" i="44"/>
  <c r="E316" i="44" s="1"/>
  <c r="K224" i="51"/>
  <c r="K344" i="51"/>
  <c r="K241" i="51"/>
  <c r="K286" i="51"/>
  <c r="K291" i="51"/>
  <c r="K380" i="51"/>
  <c r="K106" i="51"/>
  <c r="K206" i="51"/>
  <c r="K274" i="51"/>
  <c r="K337" i="51"/>
  <c r="K146" i="51"/>
  <c r="K256" i="51"/>
  <c r="K233" i="51"/>
  <c r="K352" i="51"/>
  <c r="K305" i="51"/>
  <c r="K196" i="51"/>
  <c r="K83" i="51"/>
  <c r="K98" i="51"/>
  <c r="K172" i="51"/>
  <c r="K277" i="51"/>
  <c r="S314" i="44"/>
  <c r="E322" i="44" s="1"/>
  <c r="K56" i="51"/>
  <c r="K304" i="51"/>
  <c r="K180" i="51"/>
  <c r="K376" i="51"/>
  <c r="K331" i="51"/>
  <c r="K59" i="51"/>
  <c r="JY5" i="38"/>
  <c r="F5" i="47" s="1"/>
  <c r="AC350" i="51"/>
  <c r="AC41" i="51"/>
  <c r="AC97" i="51"/>
  <c r="AC310" i="51"/>
  <c r="AC216" i="51"/>
  <c r="AC275" i="51"/>
  <c r="AC328" i="51"/>
  <c r="AC370" i="51"/>
  <c r="AC66" i="51"/>
  <c r="AC167" i="51"/>
  <c r="AC254" i="51"/>
  <c r="AC119" i="51"/>
  <c r="AC143" i="51"/>
  <c r="OF18" i="38"/>
  <c r="Q232" i="55" s="1"/>
  <c r="OF22" i="38"/>
  <c r="Q222" i="55" s="1"/>
  <c r="K23" i="51"/>
  <c r="K268" i="51" s="1"/>
  <c r="OG61" i="38"/>
  <c r="F371" i="44"/>
  <c r="OJ22" i="38"/>
  <c r="O222" i="55"/>
  <c r="AJ23" i="51"/>
  <c r="AA24" i="51"/>
  <c r="AA97" i="51" s="1"/>
  <c r="M354" i="51"/>
  <c r="M212" i="51"/>
  <c r="M302" i="51"/>
  <c r="M303" i="51"/>
  <c r="M187" i="51"/>
  <c r="M47" i="51"/>
  <c r="M324" i="51"/>
  <c r="M149" i="51"/>
  <c r="M268" i="51"/>
  <c r="M249" i="51"/>
  <c r="M375" i="51"/>
  <c r="M132" i="51"/>
  <c r="M219" i="51"/>
  <c r="M69" i="51"/>
  <c r="M374" i="51"/>
  <c r="D371" i="44"/>
  <c r="AJ12" i="51"/>
  <c r="F360" i="44"/>
  <c r="AB18" i="51"/>
  <c r="AB241" i="51" s="1"/>
  <c r="OH57" i="38"/>
  <c r="OJ18" i="38"/>
  <c r="K124" i="51"/>
  <c r="AG124" i="51" s="1"/>
  <c r="K302" i="51"/>
  <c r="K210" i="51"/>
  <c r="K78" i="51"/>
  <c r="K272" i="51"/>
  <c r="K54" i="51"/>
  <c r="S316" i="44"/>
  <c r="E315" i="44" s="1"/>
  <c r="K228" i="51"/>
  <c r="K102" i="51"/>
  <c r="K184" i="51"/>
  <c r="K321" i="51"/>
  <c r="K347" i="51"/>
  <c r="K148" i="51"/>
  <c r="K251" i="51"/>
  <c r="V294" i="48"/>
  <c r="AG131" i="51"/>
  <c r="P298" i="48"/>
  <c r="AG121" i="51"/>
  <c r="P295" i="48"/>
  <c r="AG118" i="51"/>
  <c r="V298" i="48"/>
  <c r="AG135" i="51"/>
  <c r="M102" i="51"/>
  <c r="M210" i="51"/>
  <c r="M272" i="51"/>
  <c r="M228" i="51"/>
  <c r="GV37" i="38"/>
  <c r="M78" i="51"/>
  <c r="M148" i="51"/>
  <c r="M251" i="51"/>
  <c r="M347" i="51"/>
  <c r="GV36" i="38"/>
  <c r="M184" i="51"/>
  <c r="M321" i="51"/>
  <c r="M124" i="51"/>
  <c r="AC212" i="51"/>
  <c r="AC149" i="51"/>
  <c r="AC303" i="51"/>
  <c r="AC187" i="51"/>
  <c r="OJ25" i="38"/>
  <c r="OJ10" i="38"/>
  <c r="O228" i="55"/>
  <c r="AC47" i="51"/>
  <c r="AC132" i="51"/>
  <c r="AC123" i="51"/>
  <c r="AC268" i="51"/>
  <c r="AC324" i="51"/>
  <c r="AC92" i="51"/>
  <c r="AC375" i="51"/>
  <c r="AC354" i="51"/>
  <c r="AC249" i="51"/>
  <c r="AC69" i="51"/>
  <c r="T124" i="51"/>
  <c r="T78" i="51"/>
  <c r="T302" i="51"/>
  <c r="T210" i="51"/>
  <c r="T228" i="51"/>
  <c r="T102" i="51"/>
  <c r="T321" i="51"/>
  <c r="T251" i="51"/>
  <c r="T347" i="51"/>
  <c r="T374" i="51"/>
  <c r="W12" i="51"/>
  <c r="W374" i="51" s="1"/>
  <c r="T148" i="51"/>
  <c r="T272" i="51"/>
  <c r="T54" i="51"/>
  <c r="OF10" i="38"/>
  <c r="Q228" i="55" s="1"/>
  <c r="OF11" i="38"/>
  <c r="Q230" i="55" s="1"/>
  <c r="T149" i="51"/>
  <c r="T132" i="51"/>
  <c r="T219" i="51"/>
  <c r="W23" i="51"/>
  <c r="W149" i="51" s="1"/>
  <c r="O230" i="55"/>
  <c r="T303" i="51"/>
  <c r="T375" i="51"/>
  <c r="T268" i="51"/>
  <c r="T354" i="51"/>
  <c r="T187" i="51"/>
  <c r="T212" i="51"/>
  <c r="T110" i="51"/>
  <c r="T249" i="51"/>
  <c r="OJ11" i="38"/>
  <c r="T324" i="51"/>
  <c r="T47" i="51"/>
  <c r="T69" i="51"/>
  <c r="AB23" i="51"/>
  <c r="AB132" i="51" s="1"/>
  <c r="AC248" i="51"/>
  <c r="T259" i="51"/>
  <c r="U129" i="51"/>
  <c r="T276" i="51"/>
  <c r="AB13" i="51"/>
  <c r="AB153" i="51" s="1"/>
  <c r="U177" i="51"/>
  <c r="OJ21" i="38"/>
  <c r="M201" i="51"/>
  <c r="O227" i="55"/>
  <c r="OF21" i="38"/>
  <c r="Q227" i="55" s="1"/>
  <c r="M245" i="51"/>
  <c r="AC182" i="51"/>
  <c r="T129" i="51"/>
  <c r="T201" i="51"/>
  <c r="AC241" i="51"/>
  <c r="T294" i="51"/>
  <c r="AC179" i="51"/>
  <c r="U187" i="51"/>
  <c r="AC157" i="51"/>
  <c r="AC286" i="51"/>
  <c r="T76" i="51"/>
  <c r="AC133" i="51"/>
  <c r="AC380" i="51"/>
  <c r="OJ20" i="38"/>
  <c r="T177" i="51"/>
  <c r="AC224" i="51"/>
  <c r="AC74" i="51"/>
  <c r="O233" i="55"/>
  <c r="T379" i="51"/>
  <c r="AC206" i="51"/>
  <c r="W20" i="51"/>
  <c r="W294" i="51" s="1"/>
  <c r="T156" i="51"/>
  <c r="T226" i="51"/>
  <c r="AC318" i="51"/>
  <c r="T322" i="51"/>
  <c r="T281" i="51"/>
  <c r="AC291" i="51"/>
  <c r="AC344" i="51"/>
  <c r="T348" i="51"/>
  <c r="AC106" i="51"/>
  <c r="T245" i="51"/>
  <c r="U324" i="51"/>
  <c r="U303" i="51"/>
  <c r="M125" i="51"/>
  <c r="M261" i="51"/>
  <c r="M194" i="51"/>
  <c r="M368" i="51"/>
  <c r="AC261" i="51"/>
  <c r="M335" i="51"/>
  <c r="U354" i="51"/>
  <c r="AC147" i="51"/>
  <c r="M270" i="51"/>
  <c r="K94" i="51"/>
  <c r="U92" i="51"/>
  <c r="M147" i="51"/>
  <c r="U149" i="51"/>
  <c r="M94" i="51"/>
  <c r="U249" i="51"/>
  <c r="U219" i="51"/>
  <c r="K220" i="51"/>
  <c r="M46" i="51"/>
  <c r="U47" i="51"/>
  <c r="U69" i="51"/>
  <c r="M169" i="51"/>
  <c r="M361" i="51"/>
  <c r="U212" i="51"/>
  <c r="U268" i="51"/>
  <c r="AC311" i="51"/>
  <c r="AC169" i="51"/>
  <c r="K311" i="51"/>
  <c r="M311" i="51"/>
  <c r="U132" i="51"/>
  <c r="M70" i="51"/>
  <c r="AC94" i="51"/>
  <c r="AC194" i="51"/>
  <c r="K46" i="51"/>
  <c r="AC361" i="51"/>
  <c r="K368" i="51"/>
  <c r="K125" i="51"/>
  <c r="AC220" i="51"/>
  <c r="K270" i="51"/>
  <c r="K169" i="51"/>
  <c r="AC335" i="51"/>
  <c r="AC70" i="51"/>
  <c r="K261" i="51"/>
  <c r="K361" i="51"/>
  <c r="AC125" i="51"/>
  <c r="AC270" i="51"/>
  <c r="K194" i="51"/>
  <c r="K147" i="51"/>
  <c r="AC368" i="51"/>
  <c r="K70" i="51"/>
  <c r="AJ19" i="51"/>
  <c r="L19" i="51"/>
  <c r="L125" i="51" s="1"/>
  <c r="OH55" i="38"/>
  <c r="U131" i="51"/>
  <c r="M50" i="51"/>
  <c r="M177" i="51"/>
  <c r="M110" i="51"/>
  <c r="M156" i="51"/>
  <c r="M322" i="51"/>
  <c r="M281" i="51"/>
  <c r="M129" i="51"/>
  <c r="M379" i="51"/>
  <c r="M76" i="51"/>
  <c r="M226" i="51"/>
  <c r="M294" i="51"/>
  <c r="U379" i="51"/>
  <c r="U156" i="51"/>
  <c r="U50" i="51"/>
  <c r="U226" i="51"/>
  <c r="U294" i="51"/>
  <c r="U348" i="51"/>
  <c r="U76" i="51"/>
  <c r="U201" i="51"/>
  <c r="OF16" i="38"/>
  <c r="Q231" i="55" s="1"/>
  <c r="U322" i="51"/>
  <c r="U110" i="51"/>
  <c r="U281" i="51"/>
  <c r="OJ16" i="38"/>
  <c r="U372" i="51"/>
  <c r="U246" i="51"/>
  <c r="U278" i="51"/>
  <c r="U155" i="51"/>
  <c r="U222" i="51"/>
  <c r="U72" i="51"/>
  <c r="U108" i="51"/>
  <c r="U346" i="51"/>
  <c r="U200" i="51"/>
  <c r="U323" i="51"/>
  <c r="U176" i="51"/>
  <c r="U293" i="51"/>
  <c r="T179" i="51"/>
  <c r="T284" i="51"/>
  <c r="T292" i="51"/>
  <c r="T317" i="51"/>
  <c r="T381" i="51"/>
  <c r="W22" i="51"/>
  <c r="X22" i="51" s="1"/>
  <c r="X381" i="51" s="1"/>
  <c r="W369" i="51"/>
  <c r="T152" i="51"/>
  <c r="W221" i="51"/>
  <c r="T55" i="51"/>
  <c r="T82" i="51"/>
  <c r="T244" i="51"/>
  <c r="T123" i="51"/>
  <c r="T204" i="51"/>
  <c r="T342" i="51"/>
  <c r="T232" i="51"/>
  <c r="AJ20" i="51"/>
  <c r="AC377" i="51"/>
  <c r="AC253" i="51"/>
  <c r="AC223" i="51"/>
  <c r="AC362" i="51"/>
  <c r="AC232" i="51"/>
  <c r="AC55" i="51"/>
  <c r="OH64" i="38"/>
  <c r="AC274" i="51"/>
  <c r="AC244" i="51"/>
  <c r="AC381" i="51"/>
  <c r="AC72" i="51"/>
  <c r="OF20" i="38"/>
  <c r="Q233" i="55" s="1"/>
  <c r="AC112" i="51"/>
  <c r="AC284" i="51"/>
  <c r="AC152" i="51"/>
  <c r="AC82" i="51"/>
  <c r="AC342" i="51"/>
  <c r="AC317" i="51"/>
  <c r="M74" i="51"/>
  <c r="Q224" i="55"/>
  <c r="OF17" i="38"/>
  <c r="Q220" i="55" s="1"/>
  <c r="AC292" i="51"/>
  <c r="M241" i="51"/>
  <c r="U317" i="51"/>
  <c r="U284" i="51"/>
  <c r="U179" i="51"/>
  <c r="U55" i="51"/>
  <c r="U204" i="51"/>
  <c r="U381" i="51"/>
  <c r="U232" i="51"/>
  <c r="U292" i="51"/>
  <c r="U112" i="51"/>
  <c r="U152" i="51"/>
  <c r="U123" i="51"/>
  <c r="U82" i="51"/>
  <c r="U244" i="51"/>
  <c r="AA27" i="51"/>
  <c r="AA120" i="51" s="1"/>
  <c r="U209" i="51"/>
  <c r="U145" i="51"/>
  <c r="U351" i="51"/>
  <c r="U282" i="51"/>
  <c r="AB22" i="51"/>
  <c r="AB152" i="51" s="1"/>
  <c r="K20" i="51"/>
  <c r="K281" i="51" s="1"/>
  <c r="E210" i="44"/>
  <c r="OF25" i="38"/>
  <c r="Q219" i="55" s="1"/>
  <c r="W279" i="51"/>
  <c r="W308" i="51"/>
  <c r="AC85" i="51"/>
  <c r="AC107" i="51"/>
  <c r="AC367" i="51"/>
  <c r="K186" i="51"/>
  <c r="OG58" i="38"/>
  <c r="OE53" i="38"/>
  <c r="W144" i="51"/>
  <c r="W118" i="51"/>
  <c r="AC349" i="51"/>
  <c r="AC57" i="51"/>
  <c r="AC306" i="51"/>
  <c r="OJ17" i="38"/>
  <c r="W257" i="51"/>
  <c r="W329" i="51"/>
  <c r="AC202" i="51"/>
  <c r="AC325" i="51"/>
  <c r="AC145" i="51"/>
  <c r="AC282" i="51"/>
  <c r="OH56" i="38"/>
  <c r="L20" i="51"/>
  <c r="L226" i="51" s="1"/>
  <c r="W195" i="51"/>
  <c r="W101" i="51"/>
  <c r="AC134" i="51"/>
  <c r="AC235" i="51"/>
  <c r="AC209" i="51"/>
  <c r="AC120" i="51"/>
  <c r="W71" i="51"/>
  <c r="AC285" i="51"/>
  <c r="AC295" i="51"/>
  <c r="AC183" i="51"/>
  <c r="AC327" i="51"/>
  <c r="W353" i="51"/>
  <c r="X25" i="51"/>
  <c r="X308" i="51" s="1"/>
  <c r="AC158" i="51"/>
  <c r="AC73" i="51"/>
  <c r="AC48" i="51"/>
  <c r="W45" i="51"/>
  <c r="AC351" i="51"/>
  <c r="U306" i="51"/>
  <c r="T360" i="51"/>
  <c r="T227" i="51"/>
  <c r="U367" i="51"/>
  <c r="U183" i="51"/>
  <c r="T366" i="51"/>
  <c r="U95" i="51"/>
  <c r="T336" i="51"/>
  <c r="U73" i="51"/>
  <c r="U253" i="51"/>
  <c r="U327" i="51"/>
  <c r="U223" i="51"/>
  <c r="U120" i="51"/>
  <c r="T77" i="51"/>
  <c r="T207" i="51"/>
  <c r="W9" i="51"/>
  <c r="W77" i="51" s="1"/>
  <c r="T51" i="51"/>
  <c r="OJ14" i="38"/>
  <c r="T104" i="51"/>
  <c r="T181" i="51"/>
  <c r="T307" i="51"/>
  <c r="O224" i="55"/>
  <c r="T154" i="51"/>
  <c r="OG56" i="38"/>
  <c r="OE46" i="38"/>
  <c r="OF6" i="38"/>
  <c r="Q229" i="55" s="1"/>
  <c r="M306" i="51"/>
  <c r="M351" i="51"/>
  <c r="M95" i="51"/>
  <c r="M253" i="51"/>
  <c r="M327" i="51"/>
  <c r="M223" i="51"/>
  <c r="M282" i="51"/>
  <c r="M145" i="51"/>
  <c r="OJ19" i="38"/>
  <c r="M183" i="51"/>
  <c r="O225" i="55"/>
  <c r="M367" i="51"/>
  <c r="D738" i="55"/>
  <c r="M48" i="51"/>
  <c r="M209" i="51"/>
  <c r="M120" i="51"/>
  <c r="OE58" i="38"/>
  <c r="AB21" i="51"/>
  <c r="AB162" i="51" s="1"/>
  <c r="U84" i="51"/>
  <c r="AJ18" i="51"/>
  <c r="U135" i="51"/>
  <c r="W293" i="51"/>
  <c r="O229" i="55"/>
  <c r="OJ6" i="38"/>
  <c r="L18" i="51"/>
  <c r="L224" i="51" s="1"/>
  <c r="K27" i="51"/>
  <c r="K209" i="51" s="1"/>
  <c r="E217" i="44"/>
  <c r="AC260" i="51"/>
  <c r="AC205" i="51"/>
  <c r="AC246" i="51"/>
  <c r="AC176" i="51"/>
  <c r="M224" i="51"/>
  <c r="M286" i="51"/>
  <c r="AC304" i="51"/>
  <c r="AC44" i="51"/>
  <c r="AC155" i="51"/>
  <c r="M318" i="51"/>
  <c r="M106" i="51"/>
  <c r="AC135" i="51"/>
  <c r="AC293" i="51"/>
  <c r="AC372" i="51"/>
  <c r="M49" i="51"/>
  <c r="M380" i="51"/>
  <c r="AC337" i="51"/>
  <c r="AC180" i="51"/>
  <c r="AC278" i="51"/>
  <c r="AC108" i="51"/>
  <c r="M291" i="51"/>
  <c r="AC109" i="51"/>
  <c r="AC84" i="51"/>
  <c r="AC222" i="51"/>
  <c r="AC346" i="51"/>
  <c r="M206" i="51"/>
  <c r="AC373" i="51"/>
  <c r="AC234" i="51"/>
  <c r="AC200" i="51"/>
  <c r="AC131" i="51"/>
  <c r="M133" i="51"/>
  <c r="M182" i="51"/>
  <c r="OJ7" i="38"/>
  <c r="JD16" i="38"/>
  <c r="E16" i="47" s="1"/>
  <c r="AC56" i="51"/>
  <c r="M157" i="51"/>
  <c r="W58" i="51"/>
  <c r="W116" i="51"/>
  <c r="U366" i="51"/>
  <c r="U130" i="51"/>
  <c r="W382" i="51"/>
  <c r="U307" i="51"/>
  <c r="U77" i="51"/>
  <c r="W93" i="51"/>
  <c r="W298" i="51"/>
  <c r="U51" i="51"/>
  <c r="U154" i="51"/>
  <c r="W316" i="51"/>
  <c r="W287" i="51"/>
  <c r="U259" i="51"/>
  <c r="U336" i="51"/>
  <c r="W211" i="51"/>
  <c r="T346" i="51"/>
  <c r="U276" i="51"/>
  <c r="U227" i="51"/>
  <c r="W229" i="51"/>
  <c r="X11" i="51"/>
  <c r="X58" i="51" s="1"/>
  <c r="T323" i="51"/>
  <c r="T155" i="51"/>
  <c r="O218" i="55"/>
  <c r="U207" i="51"/>
  <c r="U360" i="51"/>
  <c r="W142" i="51"/>
  <c r="W186" i="51"/>
  <c r="W323" i="51"/>
  <c r="U181" i="51"/>
  <c r="W341" i="51"/>
  <c r="W79" i="51"/>
  <c r="T176" i="51"/>
  <c r="AC203" i="51"/>
  <c r="W222" i="51"/>
  <c r="W278" i="51"/>
  <c r="T278" i="51"/>
  <c r="W108" i="51"/>
  <c r="T200" i="51"/>
  <c r="W176" i="51"/>
  <c r="W246" i="51"/>
  <c r="X16" i="51"/>
  <c r="X131" i="51" s="1"/>
  <c r="T293" i="51"/>
  <c r="T44" i="51"/>
  <c r="O239" i="55"/>
  <c r="O235" i="55"/>
  <c r="W72" i="51"/>
  <c r="W200" i="51"/>
  <c r="T246" i="51"/>
  <c r="T108" i="51"/>
  <c r="T222" i="51"/>
  <c r="T72" i="51"/>
  <c r="OJ24" i="38"/>
  <c r="OH54" i="38"/>
  <c r="W44" i="51"/>
  <c r="W346" i="51"/>
  <c r="W372" i="51"/>
  <c r="W155" i="51"/>
  <c r="T131" i="51"/>
  <c r="T372" i="51"/>
  <c r="U344" i="51"/>
  <c r="AA16" i="51"/>
  <c r="AA278" i="51" s="1"/>
  <c r="U106" i="51"/>
  <c r="U182" i="51"/>
  <c r="T282" i="51"/>
  <c r="U318" i="51"/>
  <c r="U224" i="51"/>
  <c r="U241" i="51"/>
  <c r="U286" i="51"/>
  <c r="U157" i="51"/>
  <c r="U291" i="51"/>
  <c r="U49" i="51"/>
  <c r="U133" i="51"/>
  <c r="U206" i="51"/>
  <c r="U74" i="51"/>
  <c r="AC137" i="51"/>
  <c r="AC358" i="51"/>
  <c r="AC99" i="51"/>
  <c r="AC231" i="51"/>
  <c r="AC81" i="51"/>
  <c r="W147" i="51"/>
  <c r="AC301" i="51"/>
  <c r="AC383" i="51"/>
  <c r="W220" i="51"/>
  <c r="AC242" i="51"/>
  <c r="AC326" i="51"/>
  <c r="AC160" i="51"/>
  <c r="AC283" i="51"/>
  <c r="AC60" i="51"/>
  <c r="U260" i="51"/>
  <c r="U109" i="51"/>
  <c r="U234" i="51"/>
  <c r="Q218" i="55"/>
  <c r="U373" i="51"/>
  <c r="U180" i="51"/>
  <c r="U274" i="51"/>
  <c r="U162" i="51"/>
  <c r="W43" i="51"/>
  <c r="U337" i="51"/>
  <c r="U56" i="51"/>
  <c r="U362" i="51"/>
  <c r="W174" i="51"/>
  <c r="U205" i="51"/>
  <c r="W343" i="51"/>
  <c r="M79" i="51"/>
  <c r="T327" i="51"/>
  <c r="W100" i="51"/>
  <c r="W296" i="51"/>
  <c r="W127" i="51"/>
  <c r="W273" i="51"/>
  <c r="W320" i="51"/>
  <c r="W218" i="51"/>
  <c r="W199" i="51"/>
  <c r="X7" i="51"/>
  <c r="X43" i="51" s="1"/>
  <c r="W371" i="51"/>
  <c r="W68" i="51"/>
  <c r="W151" i="51"/>
  <c r="K58" i="51"/>
  <c r="K116" i="51"/>
  <c r="K79" i="51"/>
  <c r="K142" i="51"/>
  <c r="T260" i="51"/>
  <c r="K252" i="51"/>
  <c r="K382" i="51"/>
  <c r="T6" i="51"/>
  <c r="T4" i="51"/>
  <c r="W21" i="51"/>
  <c r="K211" i="51"/>
  <c r="T162" i="51"/>
  <c r="K298" i="51"/>
  <c r="T56" i="51"/>
  <c r="M93" i="51"/>
  <c r="M116" i="51"/>
  <c r="M341" i="51"/>
  <c r="M211" i="51"/>
  <c r="T362" i="51"/>
  <c r="M287" i="51"/>
  <c r="M186" i="51"/>
  <c r="K287" i="51"/>
  <c r="T5" i="51"/>
  <c r="T84" i="51"/>
  <c r="M382" i="51"/>
  <c r="M298" i="51"/>
  <c r="T205" i="51"/>
  <c r="T304" i="51"/>
  <c r="D359" i="44"/>
  <c r="E201" i="44"/>
  <c r="M316" i="51"/>
  <c r="M142" i="51"/>
  <c r="T109" i="51"/>
  <c r="T234" i="51"/>
  <c r="M229" i="51"/>
  <c r="M58" i="51"/>
  <c r="K93" i="51"/>
  <c r="T337" i="51"/>
  <c r="T180" i="51"/>
  <c r="M336" i="51"/>
  <c r="K229" i="51"/>
  <c r="K341" i="51"/>
  <c r="T373" i="51"/>
  <c r="T135" i="51"/>
  <c r="OF15" i="38"/>
  <c r="Q235" i="55" s="1"/>
  <c r="T351" i="51"/>
  <c r="T306" i="51"/>
  <c r="T48" i="51"/>
  <c r="D15" i="47"/>
  <c r="JD15" i="38"/>
  <c r="E15" i="47" s="1"/>
  <c r="T209" i="51"/>
  <c r="T367" i="51"/>
  <c r="T145" i="51"/>
  <c r="T253" i="51"/>
  <c r="T95" i="51"/>
  <c r="T73" i="51"/>
  <c r="T183" i="51"/>
  <c r="W27" i="51"/>
  <c r="AB351" i="51"/>
  <c r="AB73" i="51"/>
  <c r="AC154" i="51"/>
  <c r="T120" i="51"/>
  <c r="D25" i="47"/>
  <c r="JD25" i="38"/>
  <c r="E25" i="47" s="1"/>
  <c r="AB120" i="51"/>
  <c r="AB253" i="51"/>
  <c r="AB282" i="51"/>
  <c r="AB183" i="51"/>
  <c r="AB95" i="51"/>
  <c r="AB367" i="51"/>
  <c r="AB145" i="51"/>
  <c r="AB223" i="51"/>
  <c r="AB306" i="51"/>
  <c r="AB209" i="51"/>
  <c r="AB48" i="51"/>
  <c r="W194" i="51"/>
  <c r="W261" i="51"/>
  <c r="W368" i="51"/>
  <c r="W361" i="51"/>
  <c r="W94" i="51"/>
  <c r="W70" i="51"/>
  <c r="OJ13" i="38"/>
  <c r="W311" i="51"/>
  <c r="W335" i="51"/>
  <c r="W46" i="51"/>
  <c r="W270" i="51"/>
  <c r="X19" i="51"/>
  <c r="X311" i="51" s="1"/>
  <c r="W169" i="51"/>
  <c r="AC77" i="51"/>
  <c r="AC276" i="51"/>
  <c r="AC336" i="51"/>
  <c r="AC51" i="51"/>
  <c r="AC227" i="51"/>
  <c r="AC259" i="51"/>
  <c r="AC366" i="51"/>
  <c r="AC207" i="51"/>
  <c r="AC104" i="51"/>
  <c r="AC360" i="51"/>
  <c r="AC130" i="51"/>
  <c r="AC307" i="51"/>
  <c r="E199" i="44"/>
  <c r="K17" i="51"/>
  <c r="K326" i="51" s="1"/>
  <c r="E207" i="44"/>
  <c r="K9" i="51"/>
  <c r="K181" i="51" s="1"/>
  <c r="OG48" i="38"/>
  <c r="OF8" i="38"/>
  <c r="Q237" i="55" s="1"/>
  <c r="OE47" i="38"/>
  <c r="OF5" i="38"/>
  <c r="Q223" i="55" s="1"/>
  <c r="OE44" i="38"/>
  <c r="OG54" i="38"/>
  <c r="OG47" i="38"/>
  <c r="OF9" i="38"/>
  <c r="Q234" i="55" s="1"/>
  <c r="OE48" i="38"/>
  <c r="O234" i="55"/>
  <c r="OH48" i="38"/>
  <c r="OG44" i="38"/>
  <c r="O236" i="55"/>
  <c r="F357" i="44"/>
  <c r="L9" i="51"/>
  <c r="L336" i="51" s="1"/>
  <c r="M160" i="51"/>
  <c r="M81" i="51"/>
  <c r="M283" i="51"/>
  <c r="M383" i="51"/>
  <c r="M60" i="51"/>
  <c r="M231" i="51"/>
  <c r="M326" i="51"/>
  <c r="M358" i="51"/>
  <c r="M178" i="51"/>
  <c r="M137" i="51"/>
  <c r="M242" i="51"/>
  <c r="M99" i="51"/>
  <c r="M301" i="51"/>
  <c r="M307" i="51"/>
  <c r="M227" i="51"/>
  <c r="M77" i="51"/>
  <c r="M360" i="51"/>
  <c r="M259" i="51"/>
  <c r="M104" i="51"/>
  <c r="M51" i="51"/>
  <c r="M366" i="51"/>
  <c r="M276" i="51"/>
  <c r="S323" i="44"/>
  <c r="E320" i="44" s="1"/>
  <c r="M207" i="51"/>
  <c r="K57" i="51"/>
  <c r="M181" i="51"/>
  <c r="M154" i="51"/>
  <c r="OG63" i="38"/>
  <c r="OF13" i="38"/>
  <c r="Q236" i="55" s="1"/>
  <c r="OE52" i="38"/>
  <c r="OG52" i="38"/>
  <c r="L136" i="51"/>
  <c r="L330" i="51"/>
  <c r="AC382" i="51"/>
  <c r="OJ9" i="38"/>
  <c r="D635" i="55" s="1"/>
  <c r="AJ11" i="51"/>
  <c r="L11" i="51"/>
  <c r="L298" i="51" s="1"/>
  <c r="K217" i="51"/>
  <c r="K153" i="51"/>
  <c r="K280" i="51"/>
  <c r="K173" i="51"/>
  <c r="L96" i="51"/>
  <c r="L62" i="51"/>
  <c r="K202" i="51"/>
  <c r="K107" i="51"/>
  <c r="L237" i="51"/>
  <c r="L388" i="51"/>
  <c r="K175" i="51"/>
  <c r="K285" i="51"/>
  <c r="L168" i="51"/>
  <c r="L87" i="51"/>
  <c r="K325" i="51"/>
  <c r="K235" i="51"/>
  <c r="L250" i="51"/>
  <c r="L159" i="51"/>
  <c r="K158" i="51"/>
  <c r="K377" i="51"/>
  <c r="L299" i="51"/>
  <c r="K295" i="51"/>
  <c r="K349" i="51"/>
  <c r="K85" i="51"/>
  <c r="L355" i="51"/>
  <c r="K134" i="51"/>
  <c r="AB11" i="51"/>
  <c r="AB116" i="51" s="1"/>
  <c r="L269" i="51"/>
  <c r="M325" i="51"/>
  <c r="M248" i="51"/>
  <c r="L8" i="51"/>
  <c r="L295" i="51" s="1"/>
  <c r="M107" i="51"/>
  <c r="AC186" i="51"/>
  <c r="M349" i="51"/>
  <c r="AC93" i="51"/>
  <c r="AC142" i="51"/>
  <c r="M134" i="51"/>
  <c r="M295" i="51"/>
  <c r="AC252" i="51"/>
  <c r="AC316" i="51"/>
  <c r="M285" i="51"/>
  <c r="M158" i="51"/>
  <c r="AC287" i="51"/>
  <c r="AC298" i="51"/>
  <c r="M85" i="51"/>
  <c r="M202" i="51"/>
  <c r="AC58" i="51"/>
  <c r="AC229" i="51"/>
  <c r="M235" i="51"/>
  <c r="M377" i="51"/>
  <c r="AC116" i="51"/>
  <c r="AC79" i="51"/>
  <c r="M57" i="51"/>
  <c r="AC341" i="51"/>
  <c r="F356" i="44"/>
  <c r="K237" i="51"/>
  <c r="L352" i="51"/>
  <c r="K297" i="51"/>
  <c r="K42" i="51"/>
  <c r="K378" i="51"/>
  <c r="K126" i="51"/>
  <c r="K197" i="51"/>
  <c r="K319" i="51"/>
  <c r="K345" i="51"/>
  <c r="S317" i="44"/>
  <c r="E325" i="44" s="1"/>
  <c r="K247" i="51"/>
  <c r="K105" i="51"/>
  <c r="AC6" i="51"/>
  <c r="L170" i="51"/>
  <c r="L71" i="51"/>
  <c r="L144" i="51"/>
  <c r="L308" i="51"/>
  <c r="AA10" i="51"/>
  <c r="AA61" i="51" s="1"/>
  <c r="K192" i="51"/>
  <c r="K299" i="51"/>
  <c r="K96" i="51"/>
  <c r="K168" i="51"/>
  <c r="K330" i="51"/>
  <c r="K136" i="51"/>
  <c r="K62" i="51"/>
  <c r="K355" i="51"/>
  <c r="K388" i="51"/>
  <c r="K269" i="51"/>
  <c r="K87" i="51"/>
  <c r="K250" i="51"/>
  <c r="E377" i="44"/>
  <c r="L233" i="51"/>
  <c r="L331" i="51"/>
  <c r="L146" i="51"/>
  <c r="AC4" i="51"/>
  <c r="OF24" i="38"/>
  <c r="Q239" i="55" s="1"/>
  <c r="M4" i="51"/>
  <c r="AC5" i="51"/>
  <c r="M5" i="51"/>
  <c r="L72" i="51"/>
  <c r="M6" i="51"/>
  <c r="K15" i="51"/>
  <c r="E205" i="44"/>
  <c r="D363" i="44"/>
  <c r="AC75" i="51"/>
  <c r="AC185" i="51"/>
  <c r="AC333" i="51"/>
  <c r="AC117" i="51"/>
  <c r="AC91" i="51"/>
  <c r="AC385" i="51"/>
  <c r="AC312" i="51"/>
  <c r="AC208" i="51"/>
  <c r="AC52" i="51"/>
  <c r="AC141" i="51"/>
  <c r="AC225" i="51"/>
  <c r="AC271" i="51"/>
  <c r="AC359" i="51"/>
  <c r="AC262" i="51"/>
  <c r="AB15" i="51"/>
  <c r="M141" i="51"/>
  <c r="M75" i="51"/>
  <c r="M117" i="51"/>
  <c r="M185" i="51"/>
  <c r="M271" i="51"/>
  <c r="M52" i="51"/>
  <c r="M208" i="51"/>
  <c r="M385" i="51"/>
  <c r="M91" i="51"/>
  <c r="M262" i="51"/>
  <c r="M333" i="51"/>
  <c r="M359" i="51"/>
  <c r="M312" i="51"/>
  <c r="M225" i="51"/>
  <c r="AJ15" i="51"/>
  <c r="F363" i="44"/>
  <c r="L15" i="51"/>
  <c r="M150" i="51"/>
  <c r="M230" i="51"/>
  <c r="M122" i="51"/>
  <c r="M332" i="51"/>
  <c r="M386" i="51"/>
  <c r="M357" i="51"/>
  <c r="M80" i="51"/>
  <c r="M53" i="51"/>
  <c r="M171" i="51"/>
  <c r="M258" i="51"/>
  <c r="M309" i="51"/>
  <c r="M198" i="51"/>
  <c r="M267" i="51"/>
  <c r="M103" i="51"/>
  <c r="K150" i="51"/>
  <c r="K80" i="51"/>
  <c r="K386" i="51"/>
  <c r="K357" i="51"/>
  <c r="K258" i="51"/>
  <c r="K230" i="51"/>
  <c r="K267" i="51"/>
  <c r="K171" i="51"/>
  <c r="K309" i="51"/>
  <c r="K198" i="51"/>
  <c r="K53" i="51"/>
  <c r="K122" i="51"/>
  <c r="K332" i="51"/>
  <c r="K103" i="51"/>
  <c r="AA26" i="51"/>
  <c r="O237" i="55"/>
  <c r="OJ8" i="38"/>
  <c r="K10" i="51"/>
  <c r="E200" i="44"/>
  <c r="D358" i="44"/>
  <c r="AA7" i="51"/>
  <c r="AC198" i="51"/>
  <c r="AC258" i="51"/>
  <c r="AC230" i="51"/>
  <c r="AC150" i="51"/>
  <c r="AC309" i="51"/>
  <c r="AC267" i="51"/>
  <c r="AC357" i="51"/>
  <c r="AC80" i="51"/>
  <c r="AC53" i="51"/>
  <c r="AC332" i="51"/>
  <c r="AC386" i="51"/>
  <c r="AC103" i="51"/>
  <c r="AC122" i="51"/>
  <c r="AC171" i="51"/>
  <c r="F374" i="44"/>
  <c r="AJ26" i="51"/>
  <c r="L26" i="51"/>
  <c r="AB10" i="51"/>
  <c r="AC320" i="51"/>
  <c r="AC151" i="51"/>
  <c r="AC100" i="51"/>
  <c r="AC127" i="51"/>
  <c r="AC199" i="51"/>
  <c r="AC343" i="51"/>
  <c r="AC243" i="51"/>
  <c r="AC174" i="51"/>
  <c r="AC43" i="51"/>
  <c r="AC371" i="51"/>
  <c r="AC273" i="51"/>
  <c r="AC68" i="51"/>
  <c r="AC296" i="51"/>
  <c r="AC218" i="51"/>
  <c r="K7" i="51"/>
  <c r="D355" i="44"/>
  <c r="E197" i="44"/>
  <c r="AC128" i="51"/>
  <c r="AC111" i="51"/>
  <c r="AC161" i="51"/>
  <c r="AC300" i="51"/>
  <c r="AC334" i="51"/>
  <c r="AC191" i="51"/>
  <c r="AC86" i="51"/>
  <c r="AC166" i="51"/>
  <c r="AC266" i="51"/>
  <c r="AC61" i="51"/>
  <c r="AC387" i="51"/>
  <c r="AC255" i="51"/>
  <c r="AC356" i="51"/>
  <c r="AC236" i="51"/>
  <c r="AB7" i="51"/>
  <c r="M68" i="51"/>
  <c r="M343" i="51"/>
  <c r="M273" i="51"/>
  <c r="M371" i="51"/>
  <c r="M174" i="51"/>
  <c r="M100" i="51"/>
  <c r="M218" i="51"/>
  <c r="M296" i="51"/>
  <c r="M243" i="51"/>
  <c r="M320" i="51"/>
  <c r="M127" i="51"/>
  <c r="M151" i="51"/>
  <c r="M199" i="51"/>
  <c r="M43" i="51"/>
  <c r="O223" i="55"/>
  <c r="OJ5" i="38"/>
  <c r="AB26" i="51"/>
  <c r="F358" i="44"/>
  <c r="AJ10" i="51"/>
  <c r="L10" i="51"/>
  <c r="M86" i="51"/>
  <c r="M356" i="51"/>
  <c r="M266" i="51"/>
  <c r="M166" i="51"/>
  <c r="M334" i="51"/>
  <c r="M111" i="51"/>
  <c r="M161" i="51"/>
  <c r="M255" i="51"/>
  <c r="M191" i="51"/>
  <c r="M300" i="51"/>
  <c r="M61" i="51"/>
  <c r="M387" i="51"/>
  <c r="M236" i="51"/>
  <c r="M128" i="51"/>
  <c r="AJ7" i="51"/>
  <c r="F355" i="44"/>
  <c r="L7" i="51"/>
  <c r="L195" i="51"/>
  <c r="L45" i="51"/>
  <c r="L221" i="51"/>
  <c r="L118" i="51"/>
  <c r="L369" i="51"/>
  <c r="L279" i="51"/>
  <c r="L101" i="51"/>
  <c r="L329" i="51"/>
  <c r="L353" i="51"/>
  <c r="W376" i="51"/>
  <c r="W59" i="51"/>
  <c r="L121" i="51"/>
  <c r="L83" i="51"/>
  <c r="L305" i="51"/>
  <c r="L256" i="51"/>
  <c r="L98" i="51"/>
  <c r="L59" i="51"/>
  <c r="L376" i="51"/>
  <c r="L277" i="51"/>
  <c r="L172" i="51"/>
  <c r="W331" i="51"/>
  <c r="W277" i="51"/>
  <c r="L323" i="51"/>
  <c r="W233" i="51"/>
  <c r="W98" i="51"/>
  <c r="W172" i="51"/>
  <c r="W352" i="51"/>
  <c r="W196" i="51"/>
  <c r="W146" i="51"/>
  <c r="W256" i="51"/>
  <c r="W83" i="51"/>
  <c r="X14" i="51"/>
  <c r="X277" i="51" s="1"/>
  <c r="W305" i="51"/>
  <c r="AB376" i="51"/>
  <c r="AB121" i="51"/>
  <c r="L44" i="51"/>
  <c r="L176" i="51"/>
  <c r="L278" i="51"/>
  <c r="L372" i="51"/>
  <c r="L108" i="51"/>
  <c r="L155" i="51"/>
  <c r="L246" i="51"/>
  <c r="L346" i="51"/>
  <c r="L222" i="51"/>
  <c r="L131" i="51"/>
  <c r="L200" i="51"/>
  <c r="W319" i="51"/>
  <c r="W280" i="51"/>
  <c r="W126" i="51"/>
  <c r="W378" i="51"/>
  <c r="X13" i="51"/>
  <c r="X280" i="51" s="1"/>
  <c r="W105" i="51"/>
  <c r="W153" i="51"/>
  <c r="W247" i="51"/>
  <c r="W217" i="51"/>
  <c r="W67" i="51"/>
  <c r="W197" i="51"/>
  <c r="W297" i="51"/>
  <c r="W345" i="51"/>
  <c r="W42" i="51"/>
  <c r="AB352" i="51"/>
  <c r="AB83" i="51"/>
  <c r="AB256" i="51"/>
  <c r="AB59" i="51"/>
  <c r="AB196" i="51"/>
  <c r="AB277" i="51"/>
  <c r="AB98" i="51"/>
  <c r="AB233" i="51"/>
  <c r="AB305" i="51"/>
  <c r="AB331" i="51"/>
  <c r="AB172" i="51"/>
  <c r="X8" i="51"/>
  <c r="X107" i="51" s="1"/>
  <c r="W57" i="51"/>
  <c r="W377" i="51"/>
  <c r="W134" i="51"/>
  <c r="W325" i="51"/>
  <c r="W235" i="51"/>
  <c r="W107" i="51"/>
  <c r="W248" i="51"/>
  <c r="W295" i="51"/>
  <c r="W158" i="51"/>
  <c r="W285" i="51"/>
  <c r="W202" i="51"/>
  <c r="W85" i="51"/>
  <c r="W349" i="51"/>
  <c r="K123" i="51"/>
  <c r="K204" i="51"/>
  <c r="S315" i="44"/>
  <c r="E317" i="44" s="1"/>
  <c r="K381" i="51"/>
  <c r="K152" i="51"/>
  <c r="K179" i="51"/>
  <c r="K284" i="51"/>
  <c r="K244" i="51"/>
  <c r="K292" i="51"/>
  <c r="K55" i="51"/>
  <c r="K342" i="51"/>
  <c r="K232" i="51"/>
  <c r="K112" i="51"/>
  <c r="K82" i="51"/>
  <c r="K317" i="51"/>
  <c r="AB279" i="51"/>
  <c r="AB369" i="51"/>
  <c r="AB118" i="51"/>
  <c r="AB221" i="51"/>
  <c r="AB308" i="51"/>
  <c r="AB195" i="51"/>
  <c r="AB144" i="51"/>
  <c r="AB170" i="51"/>
  <c r="AB45" i="51"/>
  <c r="AB329" i="51"/>
  <c r="AB71" i="51"/>
  <c r="AB353" i="51"/>
  <c r="AB257" i="51"/>
  <c r="AB101" i="51"/>
  <c r="L102" i="51"/>
  <c r="L347" i="51"/>
  <c r="L148" i="51"/>
  <c r="L251" i="51"/>
  <c r="L78" i="51"/>
  <c r="L321" i="51"/>
  <c r="L54" i="51"/>
  <c r="L272" i="51"/>
  <c r="L228" i="51"/>
  <c r="L184" i="51"/>
  <c r="L210" i="51"/>
  <c r="L374" i="51"/>
  <c r="L302" i="51"/>
  <c r="L124" i="51"/>
  <c r="L375" i="51"/>
  <c r="L132" i="51"/>
  <c r="L324" i="51"/>
  <c r="L92" i="51"/>
  <c r="L354" i="51"/>
  <c r="L149" i="51"/>
  <c r="L303" i="51"/>
  <c r="L268" i="51"/>
  <c r="L249" i="51"/>
  <c r="L219" i="51"/>
  <c r="L69" i="51"/>
  <c r="L187" i="51"/>
  <c r="L212" i="51"/>
  <c r="L47" i="51"/>
  <c r="X193" i="51"/>
  <c r="X370" i="51"/>
  <c r="X97" i="51"/>
  <c r="X328" i="51"/>
  <c r="X143" i="51"/>
  <c r="X350" i="51"/>
  <c r="X119" i="51"/>
  <c r="X254" i="51"/>
  <c r="X66" i="51"/>
  <c r="X310" i="51"/>
  <c r="X41" i="51"/>
  <c r="X275" i="51"/>
  <c r="X167" i="51"/>
  <c r="X216" i="51"/>
  <c r="L180" i="51"/>
  <c r="L162" i="51"/>
  <c r="L205" i="51"/>
  <c r="L337" i="51"/>
  <c r="L234" i="51"/>
  <c r="L373" i="51"/>
  <c r="L109" i="51"/>
  <c r="L304" i="51"/>
  <c r="L84" i="51"/>
  <c r="L362" i="51"/>
  <c r="L56" i="51"/>
  <c r="L274" i="51"/>
  <c r="L260" i="51"/>
  <c r="L135" i="51"/>
  <c r="Y404" i="58" l="1"/>
  <c r="G519" i="48" s="1"/>
  <c r="T561" i="55"/>
  <c r="T582" i="55"/>
  <c r="D559" i="55"/>
  <c r="V582" i="55"/>
  <c r="V561" i="55"/>
  <c r="W561" i="55"/>
  <c r="D369" i="55"/>
  <c r="AM426" i="58"/>
  <c r="P10" i="48" s="1"/>
  <c r="AN426" i="58"/>
  <c r="Q10" i="48" s="1"/>
  <c r="AM418" i="58"/>
  <c r="M10" i="48" s="1"/>
  <c r="AN418" i="58"/>
  <c r="N10" i="48" s="1"/>
  <c r="I529" i="48"/>
  <c r="AA418" i="58"/>
  <c r="AC418" i="58" s="1"/>
  <c r="Y419" i="58"/>
  <c r="G528" i="48" s="1"/>
  <c r="J484" i="48"/>
  <c r="J527" i="48" s="1"/>
  <c r="W426" i="58"/>
  <c r="Y426" i="58" s="1"/>
  <c r="AA426" i="58" s="1"/>
  <c r="G527" i="48"/>
  <c r="I554" i="48"/>
  <c r="H554" i="48"/>
  <c r="I527" i="48"/>
  <c r="J528" i="48"/>
  <c r="I528" i="48"/>
  <c r="AA275" i="58"/>
  <c r="W430" i="58" s="1"/>
  <c r="Y430" i="58" s="1"/>
  <c r="AA436" i="58" s="1"/>
  <c r="AI269" i="58"/>
  <c r="AI275" i="58" s="1"/>
  <c r="C7" i="48" s="1"/>
  <c r="H484" i="48"/>
  <c r="W417" i="58"/>
  <c r="AA290" i="58"/>
  <c r="L6" i="48"/>
  <c r="AA283" i="58"/>
  <c r="W448" i="58" s="1"/>
  <c r="Y448" i="58" s="1"/>
  <c r="F6" i="48"/>
  <c r="AI283" i="58"/>
  <c r="O7" i="48" s="1"/>
  <c r="AN275" i="58"/>
  <c r="AK283" i="58"/>
  <c r="Q7" i="48" s="1"/>
  <c r="AJ283" i="58"/>
  <c r="P7" i="48" s="1"/>
  <c r="S293" i="48"/>
  <c r="J529" i="48"/>
  <c r="W344" i="51"/>
  <c r="AB201" i="51"/>
  <c r="AB76" i="51"/>
  <c r="AB50" i="51"/>
  <c r="AB110" i="51"/>
  <c r="AB129" i="51"/>
  <c r="AB156" i="51"/>
  <c r="AB177" i="51"/>
  <c r="AB294" i="51"/>
  <c r="AB322" i="51"/>
  <c r="AB226" i="51"/>
  <c r="AA203" i="51"/>
  <c r="AB245" i="51"/>
  <c r="AB379" i="51"/>
  <c r="AB348" i="51"/>
  <c r="AA141" i="51"/>
  <c r="AA322" i="51"/>
  <c r="AA129" i="51"/>
  <c r="W106" i="51"/>
  <c r="AA156" i="51"/>
  <c r="AA110" i="51"/>
  <c r="W318" i="51"/>
  <c r="W224" i="51"/>
  <c r="X18" i="51"/>
  <c r="X206" i="51" s="1"/>
  <c r="W286" i="51"/>
  <c r="AA177" i="51"/>
  <c r="AA226" i="51"/>
  <c r="W60" i="51"/>
  <c r="AA348" i="51"/>
  <c r="AA76" i="51"/>
  <c r="AA201" i="51"/>
  <c r="AA50" i="51"/>
  <c r="AB366" i="51"/>
  <c r="AA294" i="51"/>
  <c r="AA379" i="51"/>
  <c r="AA281" i="51"/>
  <c r="W291" i="51"/>
  <c r="W157" i="51"/>
  <c r="W241" i="51"/>
  <c r="W133" i="51"/>
  <c r="AA55" i="51"/>
  <c r="AA58" i="51"/>
  <c r="W74" i="51"/>
  <c r="W206" i="51"/>
  <c r="AB335" i="51"/>
  <c r="AA284" i="51"/>
  <c r="AB77" i="51"/>
  <c r="AB301" i="51"/>
  <c r="AA152" i="51"/>
  <c r="L42" i="51"/>
  <c r="L153" i="51"/>
  <c r="AA99" i="51"/>
  <c r="W178" i="51"/>
  <c r="AA301" i="51"/>
  <c r="W242" i="51"/>
  <c r="W160" i="51"/>
  <c r="AA160" i="51"/>
  <c r="W283" i="51"/>
  <c r="AA368" i="51"/>
  <c r="AA153" i="51"/>
  <c r="L378" i="51"/>
  <c r="L67" i="51"/>
  <c r="AA178" i="51"/>
  <c r="AA242" i="51"/>
  <c r="W203" i="51"/>
  <c r="W383" i="51"/>
  <c r="W182" i="51"/>
  <c r="W380" i="51"/>
  <c r="AA56" i="51"/>
  <c r="AA248" i="51"/>
  <c r="AA358" i="51"/>
  <c r="AA383" i="51"/>
  <c r="AA231" i="51"/>
  <c r="AA81" i="51"/>
  <c r="AA336" i="51"/>
  <c r="W99" i="51"/>
  <c r="W301" i="51"/>
  <c r="AB374" i="51"/>
  <c r="AA205" i="51"/>
  <c r="L197" i="51"/>
  <c r="L105" i="51"/>
  <c r="L280" i="51"/>
  <c r="AB102" i="51"/>
  <c r="AA362" i="51"/>
  <c r="L345" i="51"/>
  <c r="L319" i="51"/>
  <c r="AA137" i="51"/>
  <c r="AA283" i="51"/>
  <c r="AA60" i="51"/>
  <c r="W81" i="51"/>
  <c r="W137" i="51"/>
  <c r="AA173" i="51"/>
  <c r="AB347" i="51"/>
  <c r="AB210" i="51"/>
  <c r="AB54" i="51"/>
  <c r="AA304" i="51"/>
  <c r="AA337" i="51"/>
  <c r="AA274" i="51"/>
  <c r="AA307" i="51"/>
  <c r="AA154" i="51"/>
  <c r="AB293" i="51"/>
  <c r="AA270" i="51"/>
  <c r="AB251" i="51"/>
  <c r="AB302" i="51"/>
  <c r="AB272" i="51"/>
  <c r="AA84" i="51"/>
  <c r="AA373" i="51"/>
  <c r="AA260" i="51"/>
  <c r="AA360" i="51"/>
  <c r="AA366" i="51"/>
  <c r="AA227" i="51"/>
  <c r="AB155" i="51"/>
  <c r="AB278" i="51"/>
  <c r="AA46" i="51"/>
  <c r="AA107" i="51"/>
  <c r="AA247" i="51"/>
  <c r="AA319" i="51"/>
  <c r="AB78" i="51"/>
  <c r="AB321" i="51"/>
  <c r="AB228" i="51"/>
  <c r="AA109" i="51"/>
  <c r="AA162" i="51"/>
  <c r="AA181" i="51"/>
  <c r="AA104" i="51"/>
  <c r="AA77" i="51"/>
  <c r="AA259" i="51"/>
  <c r="AA295" i="51"/>
  <c r="AA70" i="51"/>
  <c r="AA194" i="51"/>
  <c r="L126" i="51"/>
  <c r="L217" i="51"/>
  <c r="L173" i="51"/>
  <c r="L297" i="51"/>
  <c r="W231" i="51"/>
  <c r="X17" i="51"/>
  <c r="X81" i="51" s="1"/>
  <c r="W326" i="51"/>
  <c r="AA102" i="51"/>
  <c r="AA185" i="51"/>
  <c r="AA312" i="51"/>
  <c r="AA341" i="51"/>
  <c r="AA75" i="51"/>
  <c r="AA262" i="51"/>
  <c r="AA382" i="51"/>
  <c r="AA316" i="51"/>
  <c r="AA142" i="51"/>
  <c r="AA208" i="51"/>
  <c r="AA52" i="51"/>
  <c r="AA79" i="51"/>
  <c r="AB148" i="51"/>
  <c r="AB124" i="51"/>
  <c r="AA135" i="51"/>
  <c r="AA180" i="51"/>
  <c r="AA51" i="51"/>
  <c r="AA207" i="51"/>
  <c r="AA130" i="51"/>
  <c r="AB44" i="51"/>
  <c r="AB176" i="51"/>
  <c r="AB323" i="51"/>
  <c r="AB131" i="51"/>
  <c r="AA158" i="51"/>
  <c r="AA325" i="51"/>
  <c r="AA57" i="51"/>
  <c r="AA335" i="51"/>
  <c r="AA125" i="51"/>
  <c r="AA361" i="51"/>
  <c r="AA169" i="51"/>
  <c r="AA220" i="51"/>
  <c r="AA85" i="51"/>
  <c r="AA285" i="51"/>
  <c r="AA217" i="51"/>
  <c r="AA67" i="51"/>
  <c r="AA345" i="51"/>
  <c r="AA42" i="51"/>
  <c r="AB254" i="51"/>
  <c r="AB222" i="51"/>
  <c r="AB346" i="51"/>
  <c r="AB72" i="51"/>
  <c r="AB200" i="51"/>
  <c r="AA175" i="51"/>
  <c r="AA235" i="51"/>
  <c r="AA311" i="51"/>
  <c r="AA126" i="51"/>
  <c r="AB246" i="51"/>
  <c r="AB372" i="51"/>
  <c r="AA377" i="51"/>
  <c r="AA202" i="51"/>
  <c r="AA134" i="51"/>
  <c r="AA147" i="51"/>
  <c r="AA94" i="51"/>
  <c r="AA297" i="51"/>
  <c r="AA197" i="51"/>
  <c r="AA378" i="51"/>
  <c r="AA280" i="51"/>
  <c r="AB207" i="51"/>
  <c r="AB104" i="51"/>
  <c r="AA204" i="51"/>
  <c r="AA123" i="51"/>
  <c r="AA187" i="51"/>
  <c r="AB275" i="51"/>
  <c r="AB261" i="51"/>
  <c r="AA342" i="51"/>
  <c r="AA317" i="51"/>
  <c r="AA82" i="51"/>
  <c r="AA232" i="51"/>
  <c r="AA385" i="51"/>
  <c r="AA91" i="51"/>
  <c r="AA333" i="51"/>
  <c r="AA271" i="51"/>
  <c r="AA287" i="51"/>
  <c r="AA252" i="51"/>
  <c r="AA298" i="51"/>
  <c r="AA186" i="51"/>
  <c r="AB242" i="51"/>
  <c r="AA219" i="51"/>
  <c r="AA292" i="51"/>
  <c r="AA112" i="51"/>
  <c r="AB203" i="51"/>
  <c r="AA149" i="51"/>
  <c r="AB307" i="51"/>
  <c r="AB276" i="51"/>
  <c r="AB154" i="51"/>
  <c r="AB125" i="51"/>
  <c r="AA381" i="51"/>
  <c r="AA179" i="51"/>
  <c r="AA359" i="51"/>
  <c r="AA225" i="51"/>
  <c r="AA211" i="51"/>
  <c r="AA93" i="51"/>
  <c r="AA116" i="51"/>
  <c r="AB310" i="51"/>
  <c r="AB41" i="51"/>
  <c r="AB328" i="51"/>
  <c r="AA251" i="51"/>
  <c r="AB51" i="51"/>
  <c r="AB336" i="51"/>
  <c r="AB360" i="51"/>
  <c r="AB181" i="51"/>
  <c r="AB368" i="51"/>
  <c r="AB220" i="51"/>
  <c r="AB358" i="51"/>
  <c r="AB160" i="51"/>
  <c r="AB326" i="51"/>
  <c r="AB99" i="51"/>
  <c r="AB143" i="51"/>
  <c r="AB119" i="51"/>
  <c r="AB167" i="51"/>
  <c r="AB370" i="51"/>
  <c r="AA54" i="51"/>
  <c r="AA184" i="51"/>
  <c r="AB259" i="51"/>
  <c r="AB130" i="51"/>
  <c r="AB94" i="51"/>
  <c r="AB46" i="51"/>
  <c r="AB178" i="51"/>
  <c r="AB60" i="51"/>
  <c r="AB283" i="51"/>
  <c r="AB81" i="51"/>
  <c r="AB231" i="51"/>
  <c r="AB383" i="51"/>
  <c r="AA268" i="51"/>
  <c r="AA303" i="51"/>
  <c r="AA124" i="51"/>
  <c r="AB97" i="51"/>
  <c r="AB85" i="51"/>
  <c r="AB202" i="51"/>
  <c r="AB325" i="51"/>
  <c r="AB134" i="51"/>
  <c r="AB295" i="51"/>
  <c r="AB158" i="51"/>
  <c r="AB57" i="51"/>
  <c r="AB377" i="51"/>
  <c r="AB349" i="51"/>
  <c r="AB248" i="51"/>
  <c r="AB175" i="51"/>
  <c r="AB107" i="51"/>
  <c r="AB235" i="51"/>
  <c r="AB285" i="51"/>
  <c r="M27" i="58"/>
  <c r="L161" i="58"/>
  <c r="L196" i="58"/>
  <c r="L47" i="58"/>
  <c r="L126" i="58"/>
  <c r="L162" i="58"/>
  <c r="L195" i="58"/>
  <c r="M34" i="58"/>
  <c r="L46" i="58"/>
  <c r="L131" i="58"/>
  <c r="Q166" i="58"/>
  <c r="Q201" i="58"/>
  <c r="Q60" i="58"/>
  <c r="Q132" i="58"/>
  <c r="L60" i="58"/>
  <c r="L201" i="58"/>
  <c r="L166" i="58"/>
  <c r="M30" i="58"/>
  <c r="L132" i="58"/>
  <c r="AA344" i="51"/>
  <c r="AA224" i="51"/>
  <c r="AA74" i="51"/>
  <c r="AA157" i="51"/>
  <c r="AA206" i="51"/>
  <c r="AA318" i="51"/>
  <c r="AA106" i="51"/>
  <c r="AA286" i="51"/>
  <c r="AA133" i="51"/>
  <c r="AA291" i="51"/>
  <c r="AA182" i="51"/>
  <c r="AA380" i="51"/>
  <c r="AA241" i="51"/>
  <c r="AA49" i="51"/>
  <c r="Q42" i="58"/>
  <c r="Q200" i="58"/>
  <c r="Q123" i="58"/>
  <c r="Q156" i="58"/>
  <c r="P160" i="58"/>
  <c r="P43" i="58"/>
  <c r="P129" i="58"/>
  <c r="P189" i="58"/>
  <c r="Q50" i="58"/>
  <c r="Q128" i="58"/>
  <c r="Q197" i="58"/>
  <c r="Q158" i="58"/>
  <c r="M23" i="58"/>
  <c r="L158" i="58"/>
  <c r="L50" i="58"/>
  <c r="L128" i="58"/>
  <c r="L197" i="58"/>
  <c r="L44" i="58"/>
  <c r="L154" i="58"/>
  <c r="L191" i="58"/>
  <c r="L122" i="58"/>
  <c r="M29" i="58"/>
  <c r="AA69" i="51"/>
  <c r="AA212" i="51"/>
  <c r="AA324" i="51"/>
  <c r="AA92" i="51"/>
  <c r="AA132" i="51"/>
  <c r="AA78" i="51"/>
  <c r="AA347" i="51"/>
  <c r="AA148" i="51"/>
  <c r="AA228" i="51"/>
  <c r="P162" i="58"/>
  <c r="P131" i="58"/>
  <c r="P195" i="58"/>
  <c r="P46" i="58"/>
  <c r="R6" i="58"/>
  <c r="M192" i="58"/>
  <c r="M124" i="58"/>
  <c r="M48" i="58"/>
  <c r="AL48" i="58" s="1"/>
  <c r="M157" i="58"/>
  <c r="Q153" i="58"/>
  <c r="Q121" i="58"/>
  <c r="Q41" i="58"/>
  <c r="Q190" i="58"/>
  <c r="P203" i="58"/>
  <c r="P127" i="58"/>
  <c r="P159" i="58"/>
  <c r="P56" i="58"/>
  <c r="M165" i="58"/>
  <c r="M49" i="58"/>
  <c r="AL49" i="58" s="1"/>
  <c r="M134" i="58"/>
  <c r="M187" i="58"/>
  <c r="L156" i="58"/>
  <c r="L42" i="58"/>
  <c r="M25" i="58"/>
  <c r="L200" i="58"/>
  <c r="L123" i="58"/>
  <c r="P132" i="58"/>
  <c r="P166" i="58"/>
  <c r="P60" i="58"/>
  <c r="P201" i="58"/>
  <c r="Q173" i="58"/>
  <c r="Q58" i="58"/>
  <c r="Q194" i="58"/>
  <c r="Q140" i="58"/>
  <c r="Q44" i="58"/>
  <c r="Q122" i="58"/>
  <c r="Q154" i="58"/>
  <c r="Q191" i="58"/>
  <c r="Q54" i="58"/>
  <c r="Q174" i="58"/>
  <c r="Q183" i="58"/>
  <c r="Q142" i="58"/>
  <c r="AA375" i="51"/>
  <c r="AA47" i="51"/>
  <c r="AA272" i="51"/>
  <c r="AA210" i="51"/>
  <c r="Q189" i="58"/>
  <c r="Q43" i="58"/>
  <c r="Q129" i="58"/>
  <c r="Q160" i="58"/>
  <c r="L203" i="58"/>
  <c r="L159" i="58"/>
  <c r="M19" i="58"/>
  <c r="L56" i="58"/>
  <c r="L127" i="58"/>
  <c r="Q53" i="58"/>
  <c r="Q133" i="58"/>
  <c r="Q163" i="58"/>
  <c r="Q198" i="58"/>
  <c r="Q45" i="58"/>
  <c r="Q202" i="58"/>
  <c r="Q130" i="58"/>
  <c r="Q169" i="58"/>
  <c r="P62" i="58"/>
  <c r="P139" i="58"/>
  <c r="P168" i="58"/>
  <c r="P185" i="58"/>
  <c r="L130" i="58"/>
  <c r="L169" i="58"/>
  <c r="L45" i="58"/>
  <c r="L202" i="58"/>
  <c r="M24" i="58"/>
  <c r="P42" i="58"/>
  <c r="P200" i="58"/>
  <c r="P156" i="58"/>
  <c r="P123" i="58"/>
  <c r="Q414" i="48"/>
  <c r="Q420" i="48" s="1"/>
  <c r="AJ332" i="58"/>
  <c r="Q157" i="58"/>
  <c r="Q48" i="58"/>
  <c r="Q192" i="58"/>
  <c r="Q124" i="58"/>
  <c r="I6" i="58"/>
  <c r="AK79" i="58"/>
  <c r="AL79" i="58" s="1"/>
  <c r="AL98" i="58" s="1"/>
  <c r="M16" i="58"/>
  <c r="L172" i="58"/>
  <c r="L184" i="58"/>
  <c r="L141" i="58"/>
  <c r="L52" i="58"/>
  <c r="L4" i="58"/>
  <c r="L5" i="58"/>
  <c r="Q195" i="58"/>
  <c r="Q46" i="58"/>
  <c r="Q131" i="58"/>
  <c r="Q162" i="58"/>
  <c r="P184" i="58"/>
  <c r="P52" i="58"/>
  <c r="P141" i="58"/>
  <c r="P172" i="58"/>
  <c r="M136" i="58"/>
  <c r="M164" i="58"/>
  <c r="M188" i="58"/>
  <c r="M51" i="58"/>
  <c r="AL51" i="58" s="1"/>
  <c r="M58" i="58"/>
  <c r="AL58" i="58" s="1"/>
  <c r="M194" i="58"/>
  <c r="M140" i="58"/>
  <c r="M173" i="58"/>
  <c r="M160" i="58"/>
  <c r="M43" i="58"/>
  <c r="AL43" i="58" s="1"/>
  <c r="M129" i="58"/>
  <c r="M189" i="58"/>
  <c r="M28" i="58"/>
  <c r="L142" i="58"/>
  <c r="L183" i="58"/>
  <c r="L54" i="58"/>
  <c r="L174" i="58"/>
  <c r="P198" i="58"/>
  <c r="P53" i="58"/>
  <c r="P163" i="58"/>
  <c r="P133" i="58"/>
  <c r="Q159" i="58"/>
  <c r="Q56" i="58"/>
  <c r="Q127" i="58"/>
  <c r="Q203" i="58"/>
  <c r="P192" i="58"/>
  <c r="P124" i="58"/>
  <c r="P157" i="58"/>
  <c r="P48" i="58"/>
  <c r="P140" i="58"/>
  <c r="P173" i="58"/>
  <c r="P58" i="58"/>
  <c r="P194" i="58"/>
  <c r="P158" i="58"/>
  <c r="P50" i="58"/>
  <c r="P128" i="58"/>
  <c r="P197" i="58"/>
  <c r="P183" i="58"/>
  <c r="P174" i="58"/>
  <c r="P54" i="58"/>
  <c r="P142" i="58"/>
  <c r="M163" i="58"/>
  <c r="M198" i="58"/>
  <c r="M53" i="58"/>
  <c r="AL53" i="58" s="1"/>
  <c r="M133" i="58"/>
  <c r="M121" i="58"/>
  <c r="M41" i="58"/>
  <c r="AL41" i="58" s="1"/>
  <c r="M153" i="58"/>
  <c r="M190" i="58"/>
  <c r="P4" i="58"/>
  <c r="P5" i="58"/>
  <c r="AB311" i="51"/>
  <c r="AB361" i="51"/>
  <c r="AB169" i="51"/>
  <c r="AB270" i="51"/>
  <c r="AB147" i="51"/>
  <c r="AB194" i="51"/>
  <c r="AA249" i="51"/>
  <c r="AA302" i="51"/>
  <c r="AA321" i="51"/>
  <c r="AB193" i="51"/>
  <c r="AB216" i="51"/>
  <c r="AB350" i="51"/>
  <c r="K350" i="51"/>
  <c r="K370" i="51"/>
  <c r="K41" i="51"/>
  <c r="L327" i="51"/>
  <c r="K275" i="51"/>
  <c r="K254" i="51"/>
  <c r="K167" i="51"/>
  <c r="K119" i="51"/>
  <c r="P296" i="48" s="1"/>
  <c r="K328" i="51"/>
  <c r="K193" i="51"/>
  <c r="K310" i="51"/>
  <c r="K97" i="51"/>
  <c r="K216" i="51"/>
  <c r="K66" i="51"/>
  <c r="L209" i="51"/>
  <c r="L282" i="51"/>
  <c r="L145" i="51"/>
  <c r="L223" i="51"/>
  <c r="L183" i="51"/>
  <c r="L48" i="51"/>
  <c r="L73" i="51"/>
  <c r="L351" i="51"/>
  <c r="L95" i="51"/>
  <c r="L120" i="51"/>
  <c r="L306" i="51"/>
  <c r="L367" i="51"/>
  <c r="K219" i="51"/>
  <c r="K92" i="51"/>
  <c r="K47" i="51"/>
  <c r="K187" i="51"/>
  <c r="K354" i="51"/>
  <c r="K132" i="51"/>
  <c r="V295" i="48" s="1"/>
  <c r="K324" i="51"/>
  <c r="K303" i="51"/>
  <c r="K375" i="51"/>
  <c r="K149" i="51"/>
  <c r="K249" i="51"/>
  <c r="AA350" i="51"/>
  <c r="AA167" i="51"/>
  <c r="AA66" i="51"/>
  <c r="AA216" i="51"/>
  <c r="AA310" i="51"/>
  <c r="AA143" i="51"/>
  <c r="X12" i="51"/>
  <c r="X148" i="51" s="1"/>
  <c r="K69" i="51"/>
  <c r="K212" i="51"/>
  <c r="AA193" i="51"/>
  <c r="AA370" i="51"/>
  <c r="AA254" i="51"/>
  <c r="AA275" i="51"/>
  <c r="AA41" i="51"/>
  <c r="AA119" i="51"/>
  <c r="AA328" i="51"/>
  <c r="AB318" i="51"/>
  <c r="AB224" i="51"/>
  <c r="AB206" i="51"/>
  <c r="AB380" i="51"/>
  <c r="AB291" i="51"/>
  <c r="AB157" i="51"/>
  <c r="AB286" i="51"/>
  <c r="AB133" i="51"/>
  <c r="AB74" i="51"/>
  <c r="AB182" i="51"/>
  <c r="AB344" i="51"/>
  <c r="AB106" i="51"/>
  <c r="AB49" i="51"/>
  <c r="W251" i="51"/>
  <c r="W347" i="51"/>
  <c r="W303" i="51"/>
  <c r="W379" i="51"/>
  <c r="V297" i="48"/>
  <c r="AG134" i="51"/>
  <c r="V299" i="48"/>
  <c r="AG136" i="51"/>
  <c r="P299" i="48"/>
  <c r="AG122" i="51"/>
  <c r="P293" i="48"/>
  <c r="AG116" i="51"/>
  <c r="S294" i="48"/>
  <c r="AG125" i="51"/>
  <c r="S296" i="48"/>
  <c r="AG126" i="51"/>
  <c r="P300" i="48"/>
  <c r="AG123" i="51"/>
  <c r="W210" i="51"/>
  <c r="W102" i="51"/>
  <c r="W124" i="51"/>
  <c r="W54" i="51"/>
  <c r="W148" i="51"/>
  <c r="W78" i="51"/>
  <c r="W272" i="51"/>
  <c r="W228" i="51"/>
  <c r="W302" i="51"/>
  <c r="W321" i="51"/>
  <c r="W184" i="51"/>
  <c r="W375" i="51"/>
  <c r="X23" i="51"/>
  <c r="X303" i="51" s="1"/>
  <c r="W212" i="51"/>
  <c r="W47" i="51"/>
  <c r="W249" i="51"/>
  <c r="W354" i="51"/>
  <c r="W219" i="51"/>
  <c r="W92" i="51"/>
  <c r="W132" i="51"/>
  <c r="W324" i="51"/>
  <c r="W268" i="51"/>
  <c r="W69" i="51"/>
  <c r="W187" i="51"/>
  <c r="AB126" i="51"/>
  <c r="AB47" i="51"/>
  <c r="AB375" i="51"/>
  <c r="AB92" i="51"/>
  <c r="AB354" i="51"/>
  <c r="AB219" i="51"/>
  <c r="AB69" i="51"/>
  <c r="AB149" i="51"/>
  <c r="AB187" i="51"/>
  <c r="AB268" i="51"/>
  <c r="AB212" i="51"/>
  <c r="AB303" i="51"/>
  <c r="AB324" i="51"/>
  <c r="W307" i="51"/>
  <c r="AB249" i="51"/>
  <c r="W123" i="51"/>
  <c r="AB280" i="51"/>
  <c r="AB67" i="51"/>
  <c r="AB378" i="51"/>
  <c r="AB173" i="51"/>
  <c r="AB42" i="51"/>
  <c r="AB345" i="51"/>
  <c r="AB105" i="51"/>
  <c r="AB197" i="51"/>
  <c r="AB297" i="51"/>
  <c r="AB217" i="51"/>
  <c r="AB319" i="51"/>
  <c r="AB247" i="51"/>
  <c r="W51" i="51"/>
  <c r="X9" i="51"/>
  <c r="X130" i="51" s="1"/>
  <c r="W227" i="51"/>
  <c r="W276" i="51"/>
  <c r="W366" i="51"/>
  <c r="W104" i="51"/>
  <c r="W207" i="51"/>
  <c r="W360" i="51"/>
  <c r="W181" i="51"/>
  <c r="W130" i="51"/>
  <c r="W154" i="51"/>
  <c r="W259" i="51"/>
  <c r="W336" i="51"/>
  <c r="K226" i="51"/>
  <c r="X170" i="51"/>
  <c r="L361" i="51"/>
  <c r="W281" i="51"/>
  <c r="W76" i="51"/>
  <c r="X257" i="51"/>
  <c r="L147" i="51"/>
  <c r="AB82" i="51"/>
  <c r="X71" i="51"/>
  <c r="L261" i="51"/>
  <c r="AB55" i="51"/>
  <c r="X221" i="51"/>
  <c r="W322" i="51"/>
  <c r="W50" i="51"/>
  <c r="W177" i="51"/>
  <c r="W348" i="51"/>
  <c r="X20" i="51"/>
  <c r="X245" i="51" s="1"/>
  <c r="W245" i="51"/>
  <c r="W156" i="51"/>
  <c r="W129" i="51"/>
  <c r="W110" i="51"/>
  <c r="W201" i="51"/>
  <c r="W226" i="51"/>
  <c r="X152" i="51"/>
  <c r="X112" i="51"/>
  <c r="W232" i="51"/>
  <c r="X317" i="51"/>
  <c r="W381" i="51"/>
  <c r="W204" i="51"/>
  <c r="W292" i="51"/>
  <c r="X342" i="51"/>
  <c r="X232" i="51"/>
  <c r="X82" i="51"/>
  <c r="X292" i="51"/>
  <c r="W55" i="51"/>
  <c r="X55" i="51"/>
  <c r="W284" i="51"/>
  <c r="X204" i="51"/>
  <c r="W317" i="51"/>
  <c r="W342" i="51"/>
  <c r="W152" i="51"/>
  <c r="W179" i="51"/>
  <c r="X244" i="51"/>
  <c r="X179" i="51"/>
  <c r="X284" i="51"/>
  <c r="X123" i="51"/>
  <c r="W112" i="51"/>
  <c r="W244" i="51"/>
  <c r="W82" i="51"/>
  <c r="X279" i="51"/>
  <c r="X118" i="51"/>
  <c r="L335" i="51"/>
  <c r="AB112" i="51"/>
  <c r="AB292" i="51"/>
  <c r="X329" i="51"/>
  <c r="L94" i="51"/>
  <c r="L70" i="51"/>
  <c r="AB284" i="51"/>
  <c r="AB204" i="51"/>
  <c r="AB232" i="51"/>
  <c r="X101" i="51"/>
  <c r="L311" i="51"/>
  <c r="L194" i="51"/>
  <c r="AB381" i="51"/>
  <c r="X369" i="51"/>
  <c r="X45" i="51"/>
  <c r="L270" i="51"/>
  <c r="L46" i="51"/>
  <c r="AB244" i="51"/>
  <c r="AB123" i="51"/>
  <c r="X353" i="51"/>
  <c r="X195" i="51"/>
  <c r="L368" i="51"/>
  <c r="L220" i="51"/>
  <c r="AB179" i="51"/>
  <c r="AB342" i="51"/>
  <c r="X144" i="51"/>
  <c r="L169" i="51"/>
  <c r="AB317" i="51"/>
  <c r="AA48" i="51"/>
  <c r="S319" i="44"/>
  <c r="E318" i="44" s="1"/>
  <c r="K50" i="51"/>
  <c r="K156" i="51"/>
  <c r="K201" i="51"/>
  <c r="L201" i="51"/>
  <c r="K379" i="51"/>
  <c r="L50" i="51"/>
  <c r="K294" i="51"/>
  <c r="AA209" i="51"/>
  <c r="AA95" i="51"/>
  <c r="AA306" i="51"/>
  <c r="AA351" i="51"/>
  <c r="AA223" i="51"/>
  <c r="AA145" i="51"/>
  <c r="AA73" i="51"/>
  <c r="AA282" i="51"/>
  <c r="AA183" i="51"/>
  <c r="AA327" i="51"/>
  <c r="AA367" i="51"/>
  <c r="AA253" i="51"/>
  <c r="L76" i="51"/>
  <c r="L348" i="51"/>
  <c r="K348" i="51"/>
  <c r="K177" i="51"/>
  <c r="L245" i="51"/>
  <c r="L177" i="51"/>
  <c r="K129" i="51"/>
  <c r="K245" i="51"/>
  <c r="K322" i="51"/>
  <c r="L322" i="51"/>
  <c r="K76" i="51"/>
  <c r="L281" i="51"/>
  <c r="K110" i="51"/>
  <c r="AB337" i="51"/>
  <c r="L156" i="51"/>
  <c r="L110" i="51"/>
  <c r="L379" i="51"/>
  <c r="L129" i="51"/>
  <c r="L294" i="51"/>
  <c r="AB205" i="51"/>
  <c r="AB260" i="51"/>
  <c r="AB362" i="51"/>
  <c r="L241" i="51"/>
  <c r="L318" i="51"/>
  <c r="AB84" i="51"/>
  <c r="AB373" i="51"/>
  <c r="AB109" i="51"/>
  <c r="AB304" i="51"/>
  <c r="AB135" i="51"/>
  <c r="AB180" i="51"/>
  <c r="AB274" i="51"/>
  <c r="AB234" i="51"/>
  <c r="AB56" i="51"/>
  <c r="S313" i="44"/>
  <c r="E319" i="44" s="1"/>
  <c r="K253" i="51"/>
  <c r="K120" i="51"/>
  <c r="K73" i="51"/>
  <c r="K223" i="51"/>
  <c r="X229" i="51"/>
  <c r="X252" i="51"/>
  <c r="X273" i="51"/>
  <c r="L175" i="51"/>
  <c r="X218" i="51"/>
  <c r="AA200" i="51"/>
  <c r="X243" i="51"/>
  <c r="AA323" i="51"/>
  <c r="AA155" i="51"/>
  <c r="L57" i="51"/>
  <c r="L285" i="51"/>
  <c r="X100" i="51"/>
  <c r="L377" i="51"/>
  <c r="AA372" i="51"/>
  <c r="AA44" i="51"/>
  <c r="K242" i="51"/>
  <c r="X125" i="51"/>
  <c r="L206" i="51"/>
  <c r="L286" i="51"/>
  <c r="K145" i="51"/>
  <c r="L106" i="51"/>
  <c r="L380" i="51"/>
  <c r="K351" i="51"/>
  <c r="K95" i="51"/>
  <c r="K306" i="51"/>
  <c r="L133" i="51"/>
  <c r="L49" i="51"/>
  <c r="K367" i="51"/>
  <c r="L182" i="51"/>
  <c r="L344" i="51"/>
  <c r="K48" i="51"/>
  <c r="K327" i="51"/>
  <c r="L291" i="51"/>
  <c r="L157" i="51"/>
  <c r="K282" i="51"/>
  <c r="K183" i="51"/>
  <c r="X372" i="51"/>
  <c r="L74" i="51"/>
  <c r="X343" i="51"/>
  <c r="X174" i="51"/>
  <c r="L325" i="51"/>
  <c r="X68" i="51"/>
  <c r="L134" i="51"/>
  <c r="AA222" i="51"/>
  <c r="X199" i="51"/>
  <c r="L248" i="51"/>
  <c r="L235" i="51"/>
  <c r="L85" i="51"/>
  <c r="AA176" i="51"/>
  <c r="AA108" i="51"/>
  <c r="X320" i="51"/>
  <c r="X127" i="51"/>
  <c r="L349" i="51"/>
  <c r="L158" i="51"/>
  <c r="L202" i="51"/>
  <c r="AA131" i="51"/>
  <c r="AA72" i="51"/>
  <c r="X151" i="51"/>
  <c r="X296" i="51"/>
  <c r="AA346" i="51"/>
  <c r="L107" i="51"/>
  <c r="L104" i="51"/>
  <c r="L207" i="51"/>
  <c r="X371" i="51"/>
  <c r="AA246" i="51"/>
  <c r="AA293" i="51"/>
  <c r="K231" i="51"/>
  <c r="X298" i="51"/>
  <c r="X186" i="51"/>
  <c r="X211" i="51"/>
  <c r="X93" i="51"/>
  <c r="X341" i="51"/>
  <c r="X287" i="51"/>
  <c r="X142" i="51"/>
  <c r="X79" i="51"/>
  <c r="X382" i="51"/>
  <c r="X316" i="51"/>
  <c r="X116" i="51"/>
  <c r="X368" i="51"/>
  <c r="X70" i="51"/>
  <c r="X194" i="51"/>
  <c r="X261" i="51"/>
  <c r="X361" i="51"/>
  <c r="X46" i="51"/>
  <c r="X147" i="51"/>
  <c r="X270" i="51"/>
  <c r="X335" i="51"/>
  <c r="X220" i="51"/>
  <c r="X94" i="51"/>
  <c r="X169" i="51"/>
  <c r="X108" i="51"/>
  <c r="X176" i="51"/>
  <c r="X278" i="51"/>
  <c r="X155" i="51"/>
  <c r="X72" i="51"/>
  <c r="X222" i="51"/>
  <c r="X246" i="51"/>
  <c r="X346" i="51"/>
  <c r="X44" i="51"/>
  <c r="X200" i="51"/>
  <c r="W6" i="51"/>
  <c r="X293" i="51"/>
  <c r="X323" i="51"/>
  <c r="K77" i="51"/>
  <c r="W4" i="51"/>
  <c r="W5" i="51"/>
  <c r="L181" i="51"/>
  <c r="L307" i="51"/>
  <c r="W234" i="51"/>
  <c r="W362" i="51"/>
  <c r="W56" i="51"/>
  <c r="W84" i="51"/>
  <c r="W205" i="51"/>
  <c r="X21" i="51"/>
  <c r="W373" i="51"/>
  <c r="W162" i="51"/>
  <c r="W180" i="51"/>
  <c r="W135" i="51"/>
  <c r="W260" i="51"/>
  <c r="W337" i="51"/>
  <c r="W109" i="51"/>
  <c r="W274" i="51"/>
  <c r="W304" i="51"/>
  <c r="L154" i="51"/>
  <c r="L130" i="51"/>
  <c r="L360" i="51"/>
  <c r="L259" i="51"/>
  <c r="L227" i="51"/>
  <c r="L77" i="51"/>
  <c r="L366" i="51"/>
  <c r="L276" i="51"/>
  <c r="L51" i="51"/>
  <c r="W327" i="51"/>
  <c r="W209" i="51"/>
  <c r="W120" i="51"/>
  <c r="W282" i="51"/>
  <c r="X27" i="51"/>
  <c r="W253" i="51"/>
  <c r="W183" i="51"/>
  <c r="W48" i="51"/>
  <c r="W367" i="51"/>
  <c r="W95" i="51"/>
  <c r="W73" i="51"/>
  <c r="W306" i="51"/>
  <c r="W145" i="51"/>
  <c r="W351" i="51"/>
  <c r="W223" i="51"/>
  <c r="K81" i="51"/>
  <c r="K137" i="51"/>
  <c r="K203" i="51"/>
  <c r="K358" i="51"/>
  <c r="K99" i="51"/>
  <c r="K283" i="51"/>
  <c r="K60" i="51"/>
  <c r="K383" i="51"/>
  <c r="K301" i="51"/>
  <c r="K178" i="51"/>
  <c r="K160" i="51"/>
  <c r="S325" i="44"/>
  <c r="E321" i="44" s="1"/>
  <c r="AB229" i="51"/>
  <c r="AB79" i="51"/>
  <c r="AB382" i="51"/>
  <c r="AB211" i="51"/>
  <c r="AB93" i="51"/>
  <c r="AB252" i="51"/>
  <c r="AB287" i="51"/>
  <c r="AB298" i="51"/>
  <c r="AB341" i="51"/>
  <c r="AB58" i="51"/>
  <c r="AB186" i="51"/>
  <c r="AB142" i="51"/>
  <c r="K227" i="51"/>
  <c r="K207" i="51"/>
  <c r="K130" i="51"/>
  <c r="K259" i="51"/>
  <c r="S320" i="44"/>
  <c r="T314" i="44" s="1"/>
  <c r="Z313" i="44" s="1"/>
  <c r="K104" i="51"/>
  <c r="K51" i="51"/>
  <c r="K360" i="51"/>
  <c r="K307" i="51"/>
  <c r="K336" i="51"/>
  <c r="K154" i="51"/>
  <c r="K276" i="51"/>
  <c r="K366" i="51"/>
  <c r="L316" i="51"/>
  <c r="L287" i="51"/>
  <c r="F377" i="44"/>
  <c r="AB316" i="51"/>
  <c r="L58" i="51"/>
  <c r="L252" i="51"/>
  <c r="L211" i="51"/>
  <c r="L382" i="51"/>
  <c r="L79" i="51"/>
  <c r="L116" i="51"/>
  <c r="L186" i="51"/>
  <c r="L341" i="51"/>
  <c r="L229" i="51"/>
  <c r="L93" i="51"/>
  <c r="L142" i="51"/>
  <c r="AA255" i="51"/>
  <c r="AA128" i="51"/>
  <c r="AA4" i="51"/>
  <c r="AA161" i="51"/>
  <c r="AA236" i="51"/>
  <c r="AA191" i="51"/>
  <c r="AA111" i="51"/>
  <c r="AA356" i="51"/>
  <c r="AA166" i="51"/>
  <c r="AA86" i="51"/>
  <c r="AA334" i="51"/>
  <c r="AA300" i="51"/>
  <c r="AA266" i="51"/>
  <c r="AA6" i="51"/>
  <c r="AA387" i="51"/>
  <c r="D377" i="44"/>
  <c r="X67" i="51"/>
  <c r="K6" i="51"/>
  <c r="X297" i="51"/>
  <c r="AA5" i="51"/>
  <c r="X352" i="51"/>
  <c r="X233" i="51"/>
  <c r="X172" i="51"/>
  <c r="X331" i="51"/>
  <c r="X196" i="51"/>
  <c r="X146" i="51"/>
  <c r="X305" i="51"/>
  <c r="X256" i="51"/>
  <c r="X121" i="51"/>
  <c r="X83" i="51"/>
  <c r="X376" i="51"/>
  <c r="X59" i="51"/>
  <c r="X98" i="51"/>
  <c r="K312" i="51"/>
  <c r="K185" i="51"/>
  <c r="K52" i="51"/>
  <c r="K333" i="51"/>
  <c r="K208" i="51"/>
  <c r="K359" i="51"/>
  <c r="K262" i="51"/>
  <c r="K271" i="51"/>
  <c r="K225" i="51"/>
  <c r="K141" i="51"/>
  <c r="K385" i="51"/>
  <c r="K91" i="51"/>
  <c r="K117" i="51"/>
  <c r="K75" i="51"/>
  <c r="K5" i="51"/>
  <c r="S297" i="48" s="1"/>
  <c r="AB75" i="51"/>
  <c r="AB333" i="51"/>
  <c r="AB359" i="51"/>
  <c r="AB208" i="51"/>
  <c r="AB271" i="51"/>
  <c r="AB185" i="51"/>
  <c r="AB141" i="51"/>
  <c r="AB385" i="51"/>
  <c r="AB225" i="51"/>
  <c r="AB312" i="51"/>
  <c r="AB117" i="51"/>
  <c r="AB91" i="51"/>
  <c r="AB262" i="51"/>
  <c r="AB52" i="51"/>
  <c r="L208" i="51"/>
  <c r="L225" i="51"/>
  <c r="L385" i="51"/>
  <c r="L52" i="51"/>
  <c r="L185" i="51"/>
  <c r="L117" i="51"/>
  <c r="L141" i="51"/>
  <c r="L75" i="51"/>
  <c r="L312" i="51"/>
  <c r="L359" i="51"/>
  <c r="L333" i="51"/>
  <c r="L262" i="51"/>
  <c r="L91" i="51"/>
  <c r="L271" i="51"/>
  <c r="K4" i="51"/>
  <c r="S295" i="48" s="1"/>
  <c r="AB357" i="51"/>
  <c r="AB267" i="51"/>
  <c r="AB309" i="51"/>
  <c r="AB150" i="51"/>
  <c r="AB198" i="51"/>
  <c r="AB332" i="51"/>
  <c r="AB258" i="51"/>
  <c r="AB103" i="51"/>
  <c r="AB80" i="51"/>
  <c r="AB53" i="51"/>
  <c r="AB386" i="51"/>
  <c r="AB171" i="51"/>
  <c r="AB122" i="51"/>
  <c r="AB230" i="51"/>
  <c r="K127" i="51"/>
  <c r="K320" i="51"/>
  <c r="S318" i="44"/>
  <c r="K199" i="51"/>
  <c r="K43" i="51"/>
  <c r="K343" i="51"/>
  <c r="K174" i="51"/>
  <c r="K273" i="51"/>
  <c r="K218" i="51"/>
  <c r="K68" i="51"/>
  <c r="K151" i="51"/>
  <c r="K296" i="51"/>
  <c r="K243" i="51"/>
  <c r="K371" i="51"/>
  <c r="K100" i="51"/>
  <c r="AB86" i="51"/>
  <c r="AB300" i="51"/>
  <c r="AB191" i="51"/>
  <c r="AB266" i="51"/>
  <c r="AB111" i="51"/>
  <c r="AB166" i="51"/>
  <c r="AB387" i="51"/>
  <c r="AB255" i="51"/>
  <c r="AB128" i="51"/>
  <c r="AB236" i="51"/>
  <c r="AB356" i="51"/>
  <c r="AB61" i="51"/>
  <c r="AB161" i="51"/>
  <c r="AB334" i="51"/>
  <c r="AA218" i="51"/>
  <c r="AA296" i="51"/>
  <c r="AA68" i="51"/>
  <c r="AA151" i="51"/>
  <c r="AA100" i="51"/>
  <c r="AA371" i="51"/>
  <c r="AA127" i="51"/>
  <c r="AA320" i="51"/>
  <c r="AA243" i="51"/>
  <c r="AA199" i="51"/>
  <c r="AA43" i="51"/>
  <c r="AA343" i="51"/>
  <c r="AA273" i="51"/>
  <c r="AA174" i="51"/>
  <c r="AB296" i="51"/>
  <c r="AB127" i="51"/>
  <c r="AB199" i="51"/>
  <c r="AB320" i="51"/>
  <c r="AB243" i="51"/>
  <c r="AB174" i="51"/>
  <c r="AB43" i="51"/>
  <c r="AB343" i="51"/>
  <c r="AB371" i="51"/>
  <c r="AB218" i="51"/>
  <c r="AB68" i="51"/>
  <c r="AB151" i="51"/>
  <c r="AB273" i="51"/>
  <c r="AB100" i="51"/>
  <c r="AA258" i="51"/>
  <c r="AA332" i="51"/>
  <c r="AA80" i="51"/>
  <c r="AA267" i="51"/>
  <c r="AA103" i="51"/>
  <c r="AA53" i="51"/>
  <c r="AA386" i="51"/>
  <c r="AA198" i="51"/>
  <c r="AA230" i="51"/>
  <c r="AA150" i="51"/>
  <c r="AA357" i="51"/>
  <c r="AA122" i="51"/>
  <c r="AA171" i="51"/>
  <c r="AA309" i="51"/>
  <c r="L386" i="51"/>
  <c r="L258" i="51"/>
  <c r="L122" i="51"/>
  <c r="L267" i="51"/>
  <c r="L357" i="51"/>
  <c r="L53" i="51"/>
  <c r="L230" i="51"/>
  <c r="L309" i="51"/>
  <c r="L171" i="51"/>
  <c r="L150" i="51"/>
  <c r="L198" i="51"/>
  <c r="L332" i="51"/>
  <c r="L80" i="51"/>
  <c r="L103" i="51"/>
  <c r="L86" i="51"/>
  <c r="L61" i="51"/>
  <c r="L111" i="51"/>
  <c r="L300" i="51"/>
  <c r="L387" i="51"/>
  <c r="L166" i="51"/>
  <c r="L255" i="51"/>
  <c r="L356" i="51"/>
  <c r="L334" i="51"/>
  <c r="L266" i="51"/>
  <c r="L128" i="51"/>
  <c r="L236" i="51"/>
  <c r="L191" i="51"/>
  <c r="L161" i="51"/>
  <c r="L343" i="51"/>
  <c r="L273" i="51"/>
  <c r="L218" i="51"/>
  <c r="L68" i="51"/>
  <c r="L43" i="51"/>
  <c r="L151" i="51"/>
  <c r="L296" i="51"/>
  <c r="L199" i="51"/>
  <c r="L100" i="51"/>
  <c r="L371" i="51"/>
  <c r="L127" i="51"/>
  <c r="L243" i="51"/>
  <c r="L320" i="51"/>
  <c r="L174" i="51"/>
  <c r="K61" i="51"/>
  <c r="K161" i="51"/>
  <c r="K86" i="51"/>
  <c r="K356" i="51"/>
  <c r="K300" i="51"/>
  <c r="K128" i="51"/>
  <c r="K166" i="51"/>
  <c r="K334" i="51"/>
  <c r="K191" i="51"/>
  <c r="K255" i="51"/>
  <c r="K236" i="51"/>
  <c r="K111" i="51"/>
  <c r="K266" i="51"/>
  <c r="K387" i="51"/>
  <c r="X57" i="51"/>
  <c r="X345" i="51"/>
  <c r="X42" i="51"/>
  <c r="X173" i="51"/>
  <c r="X378" i="51"/>
  <c r="X319" i="51"/>
  <c r="X247" i="51"/>
  <c r="X153" i="51"/>
  <c r="X105" i="51"/>
  <c r="X217" i="51"/>
  <c r="X126" i="51"/>
  <c r="X197" i="51"/>
  <c r="X349" i="51"/>
  <c r="X325" i="51"/>
  <c r="X202" i="51"/>
  <c r="X285" i="51"/>
  <c r="X175" i="51"/>
  <c r="X235" i="51"/>
  <c r="X377" i="51"/>
  <c r="X158" i="51"/>
  <c r="X134" i="51"/>
  <c r="X248" i="51"/>
  <c r="X295" i="51"/>
  <c r="X85" i="51"/>
  <c r="I485" i="48" l="1"/>
  <c r="I532" i="48" s="1"/>
  <c r="M19" i="26"/>
  <c r="G485" i="48"/>
  <c r="G532" i="48" s="1"/>
  <c r="N19" i="26"/>
  <c r="AA404" i="58"/>
  <c r="AM417" i="58" s="1"/>
  <c r="D10" i="48" s="1"/>
  <c r="AC426" i="58"/>
  <c r="J530" i="48"/>
  <c r="J531" i="48" s="1"/>
  <c r="Y417" i="58"/>
  <c r="H528" i="48" s="1"/>
  <c r="AA448" i="58"/>
  <c r="AA431" i="58"/>
  <c r="O6" i="48"/>
  <c r="G554" i="48"/>
  <c r="H527" i="48"/>
  <c r="AA284" i="58"/>
  <c r="AA282" i="58"/>
  <c r="W447" i="58" s="1"/>
  <c r="Y447" i="58" s="1"/>
  <c r="C6" i="48"/>
  <c r="AI282" i="58"/>
  <c r="I7" i="48" s="1"/>
  <c r="AI284" i="58"/>
  <c r="AJ284" i="58" s="1"/>
  <c r="O10" i="48"/>
  <c r="K25" i="26" s="1"/>
  <c r="L10" i="48"/>
  <c r="M25" i="26" s="1"/>
  <c r="I530" i="48"/>
  <c r="I531" i="48" s="1"/>
  <c r="X106" i="51"/>
  <c r="X241" i="51"/>
  <c r="X224" i="51"/>
  <c r="X157" i="51"/>
  <c r="X291" i="51"/>
  <c r="X133" i="51"/>
  <c r="X286" i="51"/>
  <c r="X380" i="51"/>
  <c r="X318" i="51"/>
  <c r="X49" i="51"/>
  <c r="X74" i="51"/>
  <c r="X344" i="51"/>
  <c r="X182" i="51"/>
  <c r="X242" i="51"/>
  <c r="X383" i="51"/>
  <c r="X326" i="51"/>
  <c r="X301" i="51"/>
  <c r="X203" i="51"/>
  <c r="X283" i="51"/>
  <c r="X231" i="51"/>
  <c r="X358" i="51"/>
  <c r="X178" i="51"/>
  <c r="X160" i="51"/>
  <c r="X99" i="51"/>
  <c r="X137" i="51"/>
  <c r="X60" i="51"/>
  <c r="X76" i="51"/>
  <c r="M54" i="58"/>
  <c r="AL54" i="58" s="1"/>
  <c r="M183" i="58"/>
  <c r="M142" i="58"/>
  <c r="M174" i="58"/>
  <c r="M159" i="58"/>
  <c r="M56" i="58"/>
  <c r="AL56" i="58" s="1"/>
  <c r="M203" i="58"/>
  <c r="M127" i="58"/>
  <c r="M42" i="58"/>
  <c r="AL42" i="58" s="1"/>
  <c r="M123" i="58"/>
  <c r="M156" i="58"/>
  <c r="M200" i="58"/>
  <c r="M128" i="58"/>
  <c r="M197" i="58"/>
  <c r="M50" i="58"/>
  <c r="AL50" i="58" s="1"/>
  <c r="M158" i="58"/>
  <c r="M184" i="58"/>
  <c r="M52" i="58"/>
  <c r="AL52" i="58" s="1"/>
  <c r="M141" i="58"/>
  <c r="M172" i="58"/>
  <c r="M5" i="58"/>
  <c r="M4" i="58"/>
  <c r="M191" i="58"/>
  <c r="M122" i="58"/>
  <c r="M44" i="58"/>
  <c r="AL44" i="58" s="1"/>
  <c r="M154" i="58"/>
  <c r="M60" i="58"/>
  <c r="AL60" i="58" s="1"/>
  <c r="M132" i="58"/>
  <c r="M166" i="58"/>
  <c r="M201" i="58"/>
  <c r="P6" i="58"/>
  <c r="L6" i="58"/>
  <c r="M202" i="58"/>
  <c r="M130" i="58"/>
  <c r="M45" i="58"/>
  <c r="AL45" i="58" s="1"/>
  <c r="M169" i="58"/>
  <c r="M46" i="58"/>
  <c r="AL46" i="58" s="1"/>
  <c r="M162" i="58"/>
  <c r="M131" i="58"/>
  <c r="M195" i="58"/>
  <c r="M196" i="58"/>
  <c r="M47" i="58"/>
  <c r="AL47" i="58" s="1"/>
  <c r="M161" i="58"/>
  <c r="M126" i="58"/>
  <c r="AG119" i="51"/>
  <c r="X228" i="51"/>
  <c r="X374" i="51"/>
  <c r="AG132" i="51"/>
  <c r="X102" i="51"/>
  <c r="X347" i="51"/>
  <c r="X302" i="51"/>
  <c r="X124" i="51"/>
  <c r="X251" i="51"/>
  <c r="X272" i="51"/>
  <c r="X184" i="51"/>
  <c r="X78" i="51"/>
  <c r="X54" i="51"/>
  <c r="X210" i="51"/>
  <c r="X321" i="51"/>
  <c r="S298" i="48"/>
  <c r="AG127" i="51"/>
  <c r="V300" i="48"/>
  <c r="AG137" i="51"/>
  <c r="P297" i="48"/>
  <c r="AG120" i="51"/>
  <c r="S300" i="48"/>
  <c r="AG129" i="51"/>
  <c r="S299" i="48"/>
  <c r="AG128" i="51"/>
  <c r="P294" i="48"/>
  <c r="AG117" i="51"/>
  <c r="V293" i="48"/>
  <c r="AG130" i="51"/>
  <c r="X268" i="51"/>
  <c r="X47" i="51"/>
  <c r="X132" i="51"/>
  <c r="X187" i="51"/>
  <c r="X69" i="51"/>
  <c r="X249" i="51"/>
  <c r="X92" i="51"/>
  <c r="X324" i="51"/>
  <c r="X212" i="51"/>
  <c r="X354" i="51"/>
  <c r="X219" i="51"/>
  <c r="X375" i="51"/>
  <c r="X149" i="51"/>
  <c r="X181" i="51"/>
  <c r="X104" i="51"/>
  <c r="X336" i="51"/>
  <c r="X307" i="51"/>
  <c r="X51" i="51"/>
  <c r="X259" i="51"/>
  <c r="X276" i="51"/>
  <c r="X154" i="51"/>
  <c r="X360" i="51"/>
  <c r="X77" i="51"/>
  <c r="X227" i="51"/>
  <c r="X366" i="51"/>
  <c r="X207" i="51"/>
  <c r="X110" i="51"/>
  <c r="X201" i="51"/>
  <c r="X226" i="51"/>
  <c r="X129" i="51"/>
  <c r="X50" i="51"/>
  <c r="X379" i="51"/>
  <c r="X177" i="51"/>
  <c r="X348" i="51"/>
  <c r="X322" i="51"/>
  <c r="X294" i="51"/>
  <c r="X281" i="51"/>
  <c r="X156" i="51"/>
  <c r="F316" i="48"/>
  <c r="T313" i="44"/>
  <c r="Z324" i="44" s="1"/>
  <c r="X6" i="51"/>
  <c r="X5" i="51"/>
  <c r="X4" i="51"/>
  <c r="X162" i="51"/>
  <c r="X84" i="51"/>
  <c r="X304" i="51"/>
  <c r="X180" i="51"/>
  <c r="X135" i="51"/>
  <c r="X337" i="51"/>
  <c r="X373" i="51"/>
  <c r="X109" i="51"/>
  <c r="X234" i="51"/>
  <c r="X362" i="51"/>
  <c r="X260" i="51"/>
  <c r="X205" i="51"/>
  <c r="X56" i="51"/>
  <c r="X274" i="51"/>
  <c r="X145" i="51"/>
  <c r="X282" i="51"/>
  <c r="X48" i="51"/>
  <c r="X253" i="51"/>
  <c r="X73" i="51"/>
  <c r="X120" i="51"/>
  <c r="X209" i="51"/>
  <c r="X327" i="51"/>
  <c r="X367" i="51"/>
  <c r="X306" i="51"/>
  <c r="X95" i="51"/>
  <c r="X183" i="51"/>
  <c r="X351" i="51"/>
  <c r="X223" i="51"/>
  <c r="T325" i="44"/>
  <c r="Z319" i="44" s="1"/>
  <c r="T315" i="44"/>
  <c r="Z320" i="44" s="1"/>
  <c r="T319" i="44"/>
  <c r="Z318" i="44" s="1"/>
  <c r="T317" i="44"/>
  <c r="Z314" i="44" s="1"/>
  <c r="T320" i="44"/>
  <c r="Z322" i="44" s="1"/>
  <c r="T323" i="44"/>
  <c r="Z316" i="44" s="1"/>
  <c r="F314" i="48" s="1"/>
  <c r="E313" i="44"/>
  <c r="T316" i="44"/>
  <c r="Z325" i="44" s="1"/>
  <c r="F309" i="48" s="1"/>
  <c r="T321" i="44"/>
  <c r="Z317" i="44" s="1"/>
  <c r="T324" i="44"/>
  <c r="Z321" i="44" s="1"/>
  <c r="F308" i="48" s="1"/>
  <c r="T322" i="44"/>
  <c r="Z323" i="44" s="1"/>
  <c r="T318" i="44"/>
  <c r="Z315" i="44" s="1"/>
  <c r="E324" i="44"/>
  <c r="J485" i="48" l="1"/>
  <c r="J532" i="48" s="1"/>
  <c r="K19" i="26"/>
  <c r="H485" i="48"/>
  <c r="H532" i="48" s="1"/>
  <c r="L19" i="26"/>
  <c r="H529" i="48"/>
  <c r="G520" i="48"/>
  <c r="AA412" i="58"/>
  <c r="AA425" i="58" s="1"/>
  <c r="AC425" i="58" s="1"/>
  <c r="AN417" i="58"/>
  <c r="E10" i="48" s="1"/>
  <c r="AA406" i="58"/>
  <c r="AA419" i="58" s="1"/>
  <c r="AA432" i="58" s="1"/>
  <c r="AA417" i="58"/>
  <c r="AC417" i="58" s="1"/>
  <c r="AC284" i="58"/>
  <c r="AB284" i="58"/>
  <c r="I6" i="48"/>
  <c r="AB282" i="58"/>
  <c r="AC282" i="58"/>
  <c r="AJ282" i="58"/>
  <c r="J7" i="48" s="1"/>
  <c r="AK282" i="58"/>
  <c r="K7" i="48" s="1"/>
  <c r="AK284" i="58"/>
  <c r="F529" i="48"/>
  <c r="AL64" i="58"/>
  <c r="T44" i="58" s="1"/>
  <c r="M6" i="58"/>
  <c r="F313" i="48"/>
  <c r="F311" i="48"/>
  <c r="F315" i="48"/>
  <c r="F312" i="48"/>
  <c r="F319" i="48"/>
  <c r="F307" i="48"/>
  <c r="F317" i="48"/>
  <c r="F310" i="48"/>
  <c r="F318" i="48"/>
  <c r="F485" i="48" l="1"/>
  <c r="F532" i="48" s="1"/>
  <c r="J19" i="26"/>
  <c r="AN419" i="58"/>
  <c r="H10" i="48" s="1"/>
  <c r="G529" i="48"/>
  <c r="AM419" i="58"/>
  <c r="G10" i="48" s="1"/>
  <c r="AC419" i="58"/>
  <c r="AA447" i="58"/>
  <c r="H530" i="48"/>
  <c r="H531" i="48" s="1"/>
  <c r="AA430" i="58"/>
  <c r="C10" i="48"/>
  <c r="AB288" i="58"/>
  <c r="AK425" i="58" s="1"/>
  <c r="AM425" i="58" s="1"/>
  <c r="J10" i="48" s="1"/>
  <c r="J6" i="48"/>
  <c r="AC288" i="58"/>
  <c r="AL425" i="58" s="1"/>
  <c r="AN425" i="58" s="1"/>
  <c r="K10" i="48" s="1"/>
  <c r="K6" i="48"/>
  <c r="G530" i="48"/>
  <c r="G531" i="48" s="1"/>
  <c r="F10" i="48"/>
  <c r="F530" i="48"/>
  <c r="I10" i="48"/>
  <c r="H533" i="48" l="1"/>
  <c r="L26" i="26" s="1"/>
  <c r="F533" i="48"/>
  <c r="J26" i="26" s="1"/>
  <c r="F531" i="48"/>
  <c r="I2" i="47"/>
  <c r="J2" i="47" s="1"/>
  <c r="K2" i="47" s="1"/>
  <c r="L2" i="47" s="1"/>
  <c r="M2" i="47" s="1"/>
  <c r="N2" i="47" s="1"/>
  <c r="Y2" i="47"/>
  <c r="Z2" i="47" s="1"/>
  <c r="AA2" i="47" s="1"/>
  <c r="AB2" i="47" s="1"/>
  <c r="AC2" i="47" s="1"/>
  <c r="AD2" i="47" s="1"/>
  <c r="Q2" i="47"/>
  <c r="R2" i="47" s="1"/>
  <c r="S2" i="47" s="1"/>
  <c r="T2" i="47" s="1"/>
  <c r="U2" i="47" s="1"/>
  <c r="V2" i="47" s="1"/>
  <c r="N70" i="47"/>
  <c r="O70" i="47" s="1"/>
  <c r="O71" i="47" s="1"/>
  <c r="R75" i="47" l="1"/>
  <c r="R74" i="47"/>
  <c r="P81" i="47"/>
  <c r="P82" i="47" s="1"/>
  <c r="L25" i="26"/>
  <c r="N25" i="26" l="1"/>
  <c r="G533" i="48"/>
  <c r="N26" i="26" s="1"/>
  <c r="J25" i="26" l="1"/>
  <c r="J533" i="48" l="1"/>
  <c r="K26" i="26" s="1"/>
  <c r="I533" i="48" l="1"/>
  <c r="M26" i="26" s="1"/>
  <c r="R18" i="43"/>
  <c r="R19" i="43"/>
  <c r="J17" i="43"/>
  <c r="D79" i="44"/>
  <c r="D105" i="44"/>
  <c r="S18" i="43"/>
  <c r="S19" i="43"/>
  <c r="K17" i="43"/>
  <c r="E79" i="44"/>
  <c r="E105" i="44"/>
  <c r="T18" i="43"/>
  <c r="T19" i="43"/>
  <c r="L17" i="43"/>
  <c r="F79" i="44"/>
  <c r="F105" i="44"/>
  <c r="U18" i="43"/>
  <c r="U19" i="43"/>
  <c r="M17" i="43"/>
  <c r="G79" i="44"/>
  <c r="G105" i="44"/>
  <c r="V18" i="43"/>
  <c r="V19" i="43"/>
  <c r="N17" i="43"/>
  <c r="H79" i="44"/>
  <c r="H105" i="44"/>
  <c r="J105" i="44"/>
  <c r="D199" i="44"/>
  <c r="E257" i="44"/>
  <c r="N9" i="51"/>
  <c r="W322" i="44"/>
  <c r="X325" i="44"/>
  <c r="AA325" i="44"/>
  <c r="G315" i="44"/>
  <c r="AL327" i="58"/>
  <c r="R347" i="43"/>
  <c r="R350" i="43"/>
  <c r="J350" i="43"/>
  <c r="J360" i="43"/>
  <c r="D117" i="44"/>
  <c r="L360" i="43"/>
  <c r="F117" i="44"/>
  <c r="M360" i="43"/>
  <c r="G117" i="44"/>
  <c r="N350" i="43"/>
  <c r="H91" i="44"/>
  <c r="H117" i="44"/>
  <c r="J117" i="44"/>
  <c r="D211" i="44"/>
  <c r="E269" i="44"/>
  <c r="N21" i="51"/>
  <c r="W321" i="44"/>
  <c r="X321" i="44"/>
  <c r="AA321" i="44"/>
  <c r="G314" i="44"/>
  <c r="AL326" i="58"/>
  <c r="X323" i="44"/>
  <c r="AA323" i="44"/>
  <c r="G316" i="44"/>
  <c r="AL328" i="58"/>
  <c r="J95" i="43"/>
  <c r="D90" i="44"/>
  <c r="D116" i="44"/>
  <c r="K94" i="43"/>
  <c r="K95" i="43"/>
  <c r="E90" i="44"/>
  <c r="E116" i="44"/>
  <c r="L94" i="43"/>
  <c r="L95" i="43"/>
  <c r="F90" i="44"/>
  <c r="F116" i="44"/>
  <c r="M94" i="43"/>
  <c r="M95" i="43"/>
  <c r="G90" i="44"/>
  <c r="G116" i="44"/>
  <c r="N94" i="43"/>
  <c r="N95" i="43"/>
  <c r="H90" i="44"/>
  <c r="H116" i="44"/>
  <c r="J116" i="44"/>
  <c r="D210" i="44"/>
  <c r="E268" i="44"/>
  <c r="N20" i="51"/>
  <c r="W318" i="44"/>
  <c r="X318" i="44"/>
  <c r="AA318" i="44"/>
  <c r="G318" i="44"/>
  <c r="AL329" i="58"/>
  <c r="X324" i="44"/>
  <c r="AA324" i="44"/>
  <c r="G319" i="44"/>
  <c r="AL330" i="58"/>
  <c r="V318" i="43"/>
  <c r="R318" i="43"/>
  <c r="J305" i="43"/>
  <c r="D78" i="44"/>
  <c r="D104" i="44"/>
  <c r="S318" i="43"/>
  <c r="K305" i="43"/>
  <c r="E78" i="44"/>
  <c r="E104" i="44"/>
  <c r="T318" i="43"/>
  <c r="L305" i="43"/>
  <c r="F78" i="44"/>
  <c r="F104" i="44"/>
  <c r="U318" i="43"/>
  <c r="M305" i="43"/>
  <c r="G78" i="44"/>
  <c r="G104" i="44"/>
  <c r="N305" i="43"/>
  <c r="H78" i="44"/>
  <c r="H104" i="44"/>
  <c r="J104" i="44"/>
  <c r="D198" i="44"/>
  <c r="E256" i="44"/>
  <c r="N8" i="51"/>
  <c r="W316" i="44"/>
  <c r="X316" i="44"/>
  <c r="AA316" i="44"/>
  <c r="G320" i="44"/>
  <c r="AL331" i="58"/>
  <c r="AL333" i="58"/>
  <c r="S415" i="48"/>
  <c r="S417" i="48"/>
  <c r="S419" i="48"/>
  <c r="S416" i="48"/>
  <c r="AK333" i="58"/>
  <c r="S414" i="48"/>
  <c r="AJ333" i="58"/>
  <c r="S418" i="48"/>
  <c r="I309" i="48"/>
  <c r="I308" i="48"/>
  <c r="I310" i="48"/>
  <c r="X315" i="44"/>
  <c r="AA315" i="44"/>
  <c r="G324" i="44"/>
  <c r="I318" i="48"/>
  <c r="I314" i="48"/>
  <c r="X317" i="44"/>
  <c r="AA317" i="44"/>
  <c r="I317" i="48"/>
  <c r="G323" i="44"/>
  <c r="I312" i="48"/>
  <c r="G314" i="48"/>
  <c r="X322" i="44"/>
  <c r="AA322" i="44"/>
  <c r="I307" i="48"/>
  <c r="G313" i="44"/>
  <c r="X314" i="44"/>
  <c r="AA314" i="44"/>
  <c r="G319" i="48"/>
  <c r="G317" i="48"/>
  <c r="X319" i="44"/>
  <c r="AA319" i="44"/>
  <c r="G321" i="44"/>
  <c r="I315" i="48"/>
  <c r="G309" i="48"/>
  <c r="G313" i="48"/>
  <c r="AL168" i="43"/>
  <c r="AL169" i="43"/>
  <c r="K160" i="43"/>
  <c r="K163" i="43"/>
  <c r="E92" i="44"/>
  <c r="E118" i="44"/>
  <c r="L160" i="43"/>
  <c r="L163" i="43"/>
  <c r="F92" i="44"/>
  <c r="F118" i="44"/>
  <c r="M160" i="43"/>
  <c r="M163" i="43"/>
  <c r="G92" i="44"/>
  <c r="G118" i="44"/>
  <c r="J118" i="44"/>
  <c r="D212" i="44"/>
  <c r="E270" i="44"/>
  <c r="N22" i="51"/>
  <c r="W320" i="44"/>
  <c r="X320" i="44"/>
  <c r="AA320" i="44"/>
  <c r="G311" i="48"/>
  <c r="G318" i="48"/>
  <c r="G310" i="48"/>
  <c r="G307" i="48"/>
  <c r="I311" i="48"/>
  <c r="G317" i="44"/>
  <c r="I319" i="48"/>
  <c r="G325" i="44"/>
  <c r="G308" i="48"/>
  <c r="I313" i="48"/>
  <c r="G315" i="48"/>
  <c r="G312" i="48"/>
  <c r="X313" i="44"/>
  <c r="AA313" i="44"/>
  <c r="I316" i="48"/>
  <c r="G322" i="44"/>
  <c r="G316" i="48"/>
  <c r="S220" i="43"/>
  <c r="S224" i="43"/>
  <c r="J228" i="43"/>
  <c r="D89" i="44"/>
  <c r="D115" i="44"/>
  <c r="K228" i="43"/>
  <c r="E89" i="44"/>
  <c r="E115" i="44"/>
  <c r="T220" i="43"/>
  <c r="T224" i="43"/>
  <c r="L228" i="43"/>
  <c r="F89" i="44"/>
  <c r="F115" i="44"/>
  <c r="U218" i="43"/>
  <c r="U220" i="43"/>
  <c r="U224" i="43"/>
  <c r="M228" i="43"/>
  <c r="G89" i="44"/>
  <c r="G115" i="44"/>
  <c r="V218" i="43"/>
  <c r="V220" i="43"/>
  <c r="V224" i="43"/>
  <c r="N228" i="43"/>
  <c r="H89" i="44"/>
  <c r="H115" i="44"/>
  <c r="J115" i="44"/>
  <c r="D209" i="44"/>
  <c r="E267" i="44"/>
  <c r="N19" i="51"/>
  <c r="J407" i="43"/>
  <c r="D124" i="44"/>
  <c r="K407" i="43"/>
  <c r="E124" i="44"/>
  <c r="L407" i="43"/>
  <c r="F124" i="44"/>
  <c r="M407" i="43"/>
  <c r="G124" i="44"/>
  <c r="N407" i="43"/>
  <c r="H124" i="44"/>
  <c r="J124" i="44"/>
  <c r="D218" i="44"/>
  <c r="E276" i="44"/>
  <c r="N28" i="51"/>
  <c r="N6" i="51"/>
  <c r="C6" i="58"/>
  <c r="F314" i="44"/>
  <c r="F317" i="44"/>
  <c r="J256" i="44"/>
  <c r="J257" i="44"/>
  <c r="J268" i="44"/>
  <c r="J270" i="44"/>
  <c r="J278" i="44"/>
  <c r="J267" i="44"/>
  <c r="J277" i="44"/>
  <c r="F313" i="44"/>
  <c r="N335" i="51"/>
  <c r="N220" i="51"/>
  <c r="N169" i="51"/>
  <c r="N46" i="51"/>
  <c r="N270" i="51"/>
  <c r="N70" i="51"/>
  <c r="N368" i="51"/>
  <c r="N361" i="51"/>
  <c r="N125" i="51"/>
  <c r="N311" i="51"/>
  <c r="N261" i="51"/>
  <c r="N94" i="51"/>
  <c r="N147" i="51"/>
  <c r="N194" i="51"/>
  <c r="N274" i="51"/>
  <c r="N234" i="51"/>
  <c r="N362" i="51"/>
  <c r="N56" i="51"/>
  <c r="N109" i="51"/>
  <c r="N304" i="51"/>
  <c r="N260" i="51"/>
  <c r="N180" i="51"/>
  <c r="N135" i="51"/>
  <c r="N337" i="51"/>
  <c r="N205" i="51"/>
  <c r="N373" i="51"/>
  <c r="N84" i="51"/>
  <c r="N162" i="51"/>
  <c r="J198" i="44"/>
  <c r="G256" i="44"/>
  <c r="P8" i="51"/>
  <c r="J199" i="44"/>
  <c r="G257" i="44"/>
  <c r="P9" i="51"/>
  <c r="J209" i="44"/>
  <c r="G267" i="44"/>
  <c r="P19" i="51"/>
  <c r="J210" i="44"/>
  <c r="G268" i="44"/>
  <c r="P20" i="51"/>
  <c r="J211" i="44"/>
  <c r="G269" i="44"/>
  <c r="P21" i="51"/>
  <c r="J212" i="44"/>
  <c r="G270" i="44"/>
  <c r="P22" i="51"/>
  <c r="J218" i="44"/>
  <c r="G276" i="44"/>
  <c r="P28" i="51"/>
  <c r="P6" i="51"/>
  <c r="E6" i="58"/>
  <c r="F318" i="44"/>
  <c r="F320" i="44"/>
  <c r="N105" i="44"/>
  <c r="O9" i="51"/>
  <c r="O259" i="51"/>
  <c r="O104" i="51"/>
  <c r="O336" i="51"/>
  <c r="O181" i="51"/>
  <c r="O276" i="51"/>
  <c r="O360" i="51"/>
  <c r="O154" i="51"/>
  <c r="O227" i="51"/>
  <c r="O366" i="51"/>
  <c r="O77" i="51"/>
  <c r="O207" i="51"/>
  <c r="O307" i="51"/>
  <c r="O130" i="51"/>
  <c r="O51" i="51"/>
  <c r="N227" i="51"/>
  <c r="N366" i="51"/>
  <c r="N360" i="51"/>
  <c r="N207" i="51"/>
  <c r="N259" i="51"/>
  <c r="N154" i="51"/>
  <c r="N77" i="51"/>
  <c r="N336" i="51"/>
  <c r="N276" i="51"/>
  <c r="N307" i="51"/>
  <c r="N104" i="51"/>
  <c r="N181" i="51"/>
  <c r="N51" i="51"/>
  <c r="N130" i="51"/>
  <c r="G195" i="48"/>
  <c r="N267" i="44"/>
  <c r="C28" i="48"/>
  <c r="C26" i="58"/>
  <c r="N115" i="44"/>
  <c r="O19" i="51"/>
  <c r="O46" i="51"/>
  <c r="O125" i="51"/>
  <c r="O261" i="51"/>
  <c r="O94" i="51"/>
  <c r="O270" i="51"/>
  <c r="O220" i="51"/>
  <c r="O147" i="51"/>
  <c r="O194" i="51"/>
  <c r="O311" i="51"/>
  <c r="O70" i="51"/>
  <c r="O335" i="51"/>
  <c r="O361" i="51"/>
  <c r="O169" i="51"/>
  <c r="O368" i="51"/>
  <c r="P46" i="51"/>
  <c r="P194" i="51"/>
  <c r="P147" i="51"/>
  <c r="P169" i="51"/>
  <c r="P261" i="51"/>
  <c r="P94" i="51"/>
  <c r="P335" i="51"/>
  <c r="P220" i="51"/>
  <c r="P311" i="51"/>
  <c r="P270" i="51"/>
  <c r="P368" i="51"/>
  <c r="P361" i="51"/>
  <c r="P70" i="51"/>
  <c r="P125" i="51"/>
  <c r="N269" i="44"/>
  <c r="G206" i="48"/>
  <c r="C30" i="48"/>
  <c r="C28" i="58"/>
  <c r="C173" i="58"/>
  <c r="C140" i="58"/>
  <c r="C58" i="58"/>
  <c r="C194" i="58"/>
  <c r="C142" i="58"/>
  <c r="C183" i="58"/>
  <c r="C174" i="58"/>
  <c r="C54" i="58"/>
  <c r="D16" i="58"/>
  <c r="D26" i="58"/>
  <c r="D144" i="44"/>
  <c r="N4" i="51"/>
  <c r="N5" i="51"/>
  <c r="N57" i="51"/>
  <c r="N175" i="51"/>
  <c r="N285" i="51"/>
  <c r="N325" i="51"/>
  <c r="N377" i="51"/>
  <c r="N85" i="51"/>
  <c r="N107" i="51"/>
  <c r="N202" i="51"/>
  <c r="N235" i="51"/>
  <c r="N295" i="51"/>
  <c r="N349" i="51"/>
  <c r="N158" i="51"/>
  <c r="N134" i="51"/>
  <c r="N248" i="51"/>
  <c r="N129" i="51"/>
  <c r="N156" i="51"/>
  <c r="N177" i="51"/>
  <c r="N226" i="51"/>
  <c r="N201" i="51"/>
  <c r="N76" i="51"/>
  <c r="N322" i="51"/>
  <c r="N379" i="51"/>
  <c r="N245" i="51"/>
  <c r="N281" i="51"/>
  <c r="N110" i="51"/>
  <c r="N50" i="51"/>
  <c r="N348" i="51"/>
  <c r="N294" i="51"/>
  <c r="C18" i="48"/>
  <c r="G207" i="48"/>
  <c r="N257" i="44"/>
  <c r="C16" i="58"/>
  <c r="O267" i="44"/>
  <c r="D28" i="48"/>
  <c r="E26" i="58"/>
  <c r="N116" i="44"/>
  <c r="O20" i="51"/>
  <c r="O177" i="51"/>
  <c r="O379" i="51"/>
  <c r="O348" i="51"/>
  <c r="O50" i="51"/>
  <c r="O322" i="51"/>
  <c r="O76" i="51"/>
  <c r="O281" i="51"/>
  <c r="O110" i="51"/>
  <c r="O226" i="51"/>
  <c r="O294" i="51"/>
  <c r="O156" i="51"/>
  <c r="O245" i="51"/>
  <c r="O201" i="51"/>
  <c r="O129" i="51"/>
  <c r="D133" i="44"/>
  <c r="P294" i="51"/>
  <c r="P177" i="51"/>
  <c r="P76" i="51"/>
  <c r="P201" i="51"/>
  <c r="P50" i="51"/>
  <c r="P129" i="51"/>
  <c r="P156" i="51"/>
  <c r="P245" i="51"/>
  <c r="P110" i="51"/>
  <c r="P348" i="51"/>
  <c r="P226" i="51"/>
  <c r="P281" i="51"/>
  <c r="P322" i="51"/>
  <c r="P379" i="51"/>
  <c r="N104" i="44"/>
  <c r="O8" i="51"/>
  <c r="O325" i="51"/>
  <c r="O57" i="51"/>
  <c r="O377" i="51"/>
  <c r="O134" i="51"/>
  <c r="O107" i="51"/>
  <c r="O202" i="51"/>
  <c r="O295" i="51"/>
  <c r="O285" i="51"/>
  <c r="O235" i="51"/>
  <c r="O158" i="51"/>
  <c r="O85" i="51"/>
  <c r="O175" i="51"/>
  <c r="O349" i="51"/>
  <c r="O248" i="51"/>
  <c r="P360" i="51"/>
  <c r="P104" i="51"/>
  <c r="P207" i="51"/>
  <c r="P181" i="51"/>
  <c r="P154" i="51"/>
  <c r="P259" i="51"/>
  <c r="P366" i="51"/>
  <c r="P276" i="51"/>
  <c r="P307" i="51"/>
  <c r="P77" i="51"/>
  <c r="P336" i="51"/>
  <c r="P130" i="51"/>
  <c r="P51" i="51"/>
  <c r="P227" i="51"/>
  <c r="E194" i="58"/>
  <c r="E140" i="58"/>
  <c r="E173" i="58"/>
  <c r="E58" i="58"/>
  <c r="N117" i="44"/>
  <c r="D28" i="58"/>
  <c r="D142" i="58"/>
  <c r="D183" i="58"/>
  <c r="D54" i="58"/>
  <c r="D174" i="58"/>
  <c r="D172" i="58"/>
  <c r="D52" i="58"/>
  <c r="D141" i="58"/>
  <c r="D184" i="58"/>
  <c r="D140" i="58"/>
  <c r="D194" i="58"/>
  <c r="D173" i="58"/>
  <c r="D58" i="58"/>
  <c r="C141" i="58"/>
  <c r="C172" i="58"/>
  <c r="C184" i="58"/>
  <c r="C52" i="58"/>
  <c r="O21" i="51"/>
  <c r="O337" i="51"/>
  <c r="O84" i="51"/>
  <c r="O135" i="51"/>
  <c r="O362" i="51"/>
  <c r="O234" i="51"/>
  <c r="O109" i="51"/>
  <c r="O56" i="51"/>
  <c r="O162" i="51"/>
  <c r="O205" i="51"/>
  <c r="O180" i="51"/>
  <c r="O274" i="51"/>
  <c r="O260" i="51"/>
  <c r="O373" i="51"/>
  <c r="O304" i="51"/>
  <c r="D141" i="44"/>
  <c r="D15" i="58"/>
  <c r="W199" i="44"/>
  <c r="D145" i="44"/>
  <c r="AN277" i="58"/>
  <c r="D18" i="48"/>
  <c r="O257" i="44"/>
  <c r="E16" i="58"/>
  <c r="D139" i="44"/>
  <c r="O268" i="44"/>
  <c r="D29" i="48"/>
  <c r="E27" i="58"/>
  <c r="N268" i="44"/>
  <c r="G203" i="48"/>
  <c r="C29" i="48"/>
  <c r="C27" i="58"/>
  <c r="E277" i="44"/>
  <c r="C17" i="48"/>
  <c r="N256" i="44"/>
  <c r="G201" i="48"/>
  <c r="C15" i="58"/>
  <c r="D27" i="58"/>
  <c r="J133" i="44"/>
  <c r="D43" i="58"/>
  <c r="D129" i="58"/>
  <c r="D160" i="58"/>
  <c r="D189" i="58"/>
  <c r="E47" i="58"/>
  <c r="E196" i="58"/>
  <c r="E126" i="58"/>
  <c r="E161" i="58"/>
  <c r="C29" i="58"/>
  <c r="C35" i="58"/>
  <c r="C5" i="58"/>
  <c r="C4" i="58"/>
  <c r="B3" i="58"/>
  <c r="C43" i="58"/>
  <c r="C160" i="58"/>
  <c r="C189" i="58"/>
  <c r="C129" i="58"/>
  <c r="C196" i="58"/>
  <c r="C126" i="58"/>
  <c r="C161" i="58"/>
  <c r="C47" i="58"/>
  <c r="E52" i="58"/>
  <c r="E184" i="58"/>
  <c r="E172" i="58"/>
  <c r="E141" i="58"/>
  <c r="D126" i="58"/>
  <c r="D47" i="58"/>
  <c r="D161" i="58"/>
  <c r="D196" i="58"/>
  <c r="F95" i="44"/>
  <c r="M368" i="43"/>
  <c r="G95" i="44"/>
  <c r="N368" i="43"/>
  <c r="H95" i="44"/>
  <c r="J95" i="44"/>
  <c r="D504" i="44"/>
  <c r="W487" i="44"/>
  <c r="W499" i="44"/>
  <c r="W210" i="44"/>
  <c r="W209" i="44"/>
  <c r="W498" i="44"/>
  <c r="W211" i="44"/>
  <c r="W500" i="44"/>
  <c r="D91" i="44"/>
  <c r="N91" i="44"/>
  <c r="AI500" i="44"/>
  <c r="AJ211" i="44"/>
  <c r="W488" i="44"/>
  <c r="J145" i="44"/>
  <c r="W198" i="44"/>
  <c r="N79" i="44"/>
  <c r="AI488" i="44"/>
  <c r="AJ199" i="44"/>
  <c r="J488" i="44"/>
  <c r="J79" i="44"/>
  <c r="D488" i="44"/>
  <c r="J141" i="44"/>
  <c r="J498" i="44"/>
  <c r="J89" i="44"/>
  <c r="D498" i="44"/>
  <c r="N89" i="44"/>
  <c r="AI498" i="44"/>
  <c r="AJ209" i="44"/>
  <c r="W504" i="44"/>
  <c r="N95" i="44"/>
  <c r="AI504" i="44"/>
  <c r="AJ215" i="44"/>
  <c r="J499" i="44"/>
  <c r="J90" i="44"/>
  <c r="D499" i="44"/>
  <c r="N90" i="44"/>
  <c r="AI499" i="44"/>
  <c r="AJ210" i="44"/>
  <c r="D132" i="44"/>
  <c r="J91" i="44"/>
  <c r="D500" i="44"/>
  <c r="J500" i="44"/>
  <c r="J405" i="43"/>
  <c r="D98" i="44"/>
  <c r="K405" i="43"/>
  <c r="E98" i="44"/>
  <c r="L405" i="43"/>
  <c r="F98" i="44"/>
  <c r="M405" i="43"/>
  <c r="G98" i="44"/>
  <c r="N405" i="43"/>
  <c r="H98" i="44"/>
  <c r="J98" i="44"/>
  <c r="D507" i="44"/>
  <c r="N98" i="44"/>
  <c r="AI507" i="44"/>
  <c r="AJ218" i="44"/>
  <c r="J507" i="44"/>
  <c r="W218" i="44"/>
  <c r="W507" i="44"/>
  <c r="H92" i="44"/>
  <c r="H118" i="44"/>
  <c r="W212" i="44"/>
  <c r="N92" i="44"/>
  <c r="AI501" i="44"/>
  <c r="AJ212" i="44"/>
  <c r="X501" i="44"/>
  <c r="W501" i="44"/>
  <c r="K501" i="44"/>
  <c r="J139" i="44"/>
  <c r="J144" i="44"/>
  <c r="N55" i="51"/>
  <c r="N232" i="51"/>
  <c r="N381" i="51"/>
  <c r="N179" i="51"/>
  <c r="N244" i="51"/>
  <c r="N123" i="51"/>
  <c r="N204" i="51"/>
  <c r="N112" i="51"/>
  <c r="N292" i="51"/>
  <c r="N317" i="51"/>
  <c r="N152" i="51"/>
  <c r="N82" i="51"/>
  <c r="N342" i="51"/>
  <c r="N284" i="51"/>
  <c r="N118" i="44"/>
  <c r="O22" i="51"/>
  <c r="O244" i="51"/>
  <c r="O82" i="51"/>
  <c r="O292" i="51"/>
  <c r="O232" i="51"/>
  <c r="O123" i="51"/>
  <c r="O342" i="51"/>
  <c r="O317" i="51"/>
  <c r="O179" i="51"/>
  <c r="O284" i="51"/>
  <c r="O381" i="51"/>
  <c r="O152" i="51"/>
  <c r="O112" i="51"/>
  <c r="O55" i="51"/>
  <c r="O204" i="51"/>
  <c r="C154" i="58"/>
  <c r="C122" i="58"/>
  <c r="C44" i="58"/>
  <c r="C191" i="58"/>
  <c r="D29" i="58"/>
  <c r="D154" i="58"/>
  <c r="D44" i="58"/>
  <c r="D191" i="58"/>
  <c r="D122" i="58"/>
  <c r="D143" i="44"/>
  <c r="J142" i="44"/>
  <c r="D142" i="44"/>
  <c r="N388" i="51"/>
  <c r="N62" i="51"/>
  <c r="N355" i="51"/>
  <c r="N136" i="51"/>
  <c r="N192" i="51"/>
  <c r="N330" i="51"/>
  <c r="N159" i="51"/>
  <c r="N250" i="51"/>
  <c r="N87" i="51"/>
  <c r="N237" i="51"/>
  <c r="N269" i="51"/>
  <c r="N96" i="51"/>
  <c r="N168" i="51"/>
  <c r="N299" i="51"/>
  <c r="P179" i="51"/>
  <c r="P112" i="51"/>
  <c r="P152" i="51"/>
  <c r="P292" i="51"/>
  <c r="P284" i="51"/>
  <c r="P123" i="51"/>
  <c r="P342" i="51"/>
  <c r="P55" i="51"/>
  <c r="P232" i="51"/>
  <c r="P244" i="51"/>
  <c r="P317" i="51"/>
  <c r="P82" i="51"/>
  <c r="P204" i="51"/>
  <c r="P381" i="51"/>
  <c r="C59" i="58"/>
  <c r="C167" i="58"/>
  <c r="C135" i="58"/>
  <c r="C199" i="58"/>
  <c r="N124" i="44"/>
  <c r="D35" i="58"/>
  <c r="D59" i="58"/>
  <c r="D135" i="58"/>
  <c r="D167" i="58"/>
  <c r="D199" i="58"/>
  <c r="N270" i="44"/>
  <c r="G205" i="48"/>
  <c r="C31" i="48"/>
  <c r="O28" i="51"/>
  <c r="O237" i="51"/>
  <c r="O62" i="51"/>
  <c r="O330" i="51"/>
  <c r="O159" i="51"/>
  <c r="O250" i="51"/>
  <c r="O388" i="51"/>
  <c r="O299" i="51"/>
  <c r="O192" i="51"/>
  <c r="O136" i="51"/>
  <c r="O269" i="51"/>
  <c r="O168" i="51"/>
  <c r="O96" i="51"/>
  <c r="O87" i="51"/>
  <c r="O355" i="51"/>
  <c r="J92" i="44"/>
  <c r="D501" i="44"/>
  <c r="AJ500" i="44"/>
  <c r="D31" i="48"/>
  <c r="O270" i="44"/>
  <c r="E29" i="58"/>
  <c r="C37" i="48"/>
  <c r="N276" i="44"/>
  <c r="G194" i="48"/>
  <c r="P4" i="51"/>
  <c r="P5" i="51"/>
  <c r="P107" i="51"/>
  <c r="P158" i="51"/>
  <c r="P325" i="51"/>
  <c r="P134" i="51"/>
  <c r="P235" i="51"/>
  <c r="P248" i="51"/>
  <c r="P85" i="51"/>
  <c r="P175" i="51"/>
  <c r="P377" i="51"/>
  <c r="P57" i="51"/>
  <c r="P202" i="51"/>
  <c r="P295" i="51"/>
  <c r="P349" i="51"/>
  <c r="P285" i="51"/>
  <c r="P84" i="51"/>
  <c r="P162" i="51"/>
  <c r="P373" i="51"/>
  <c r="P135" i="51"/>
  <c r="P274" i="51"/>
  <c r="P109" i="51"/>
  <c r="P337" i="51"/>
  <c r="P205" i="51"/>
  <c r="P304" i="51"/>
  <c r="P362" i="51"/>
  <c r="P56" i="51"/>
  <c r="P260" i="51"/>
  <c r="P180" i="51"/>
  <c r="P234" i="51"/>
  <c r="P168" i="51"/>
  <c r="P355" i="51"/>
  <c r="P96" i="51"/>
  <c r="P192" i="51"/>
  <c r="P87" i="51"/>
  <c r="P159" i="51"/>
  <c r="P269" i="51"/>
  <c r="P388" i="51"/>
  <c r="P62" i="51"/>
  <c r="P299" i="51"/>
  <c r="P237" i="51"/>
  <c r="P136" i="51"/>
  <c r="P250" i="51"/>
  <c r="P330" i="51"/>
  <c r="J143" i="44"/>
  <c r="E44" i="58"/>
  <c r="E154" i="58"/>
  <c r="E122" i="58"/>
  <c r="E191" i="58"/>
  <c r="J132" i="44"/>
  <c r="N78" i="44"/>
  <c r="AI487" i="44"/>
  <c r="AJ198" i="44"/>
  <c r="J78" i="44"/>
  <c r="D487" i="44"/>
  <c r="J487" i="44"/>
  <c r="E487" i="44"/>
  <c r="D37" i="48"/>
  <c r="O276" i="44"/>
  <c r="E35" i="58"/>
  <c r="G277" i="44"/>
  <c r="D17" i="48"/>
  <c r="O256" i="44"/>
  <c r="E15" i="58"/>
  <c r="O269" i="44"/>
  <c r="D30" i="48"/>
  <c r="E28" i="58"/>
  <c r="J501" i="44"/>
  <c r="E501" i="44"/>
  <c r="E135" i="58"/>
  <c r="E167" i="58"/>
  <c r="E59" i="58"/>
  <c r="E199" i="58"/>
  <c r="E5" i="58"/>
  <c r="E4" i="58"/>
  <c r="E189" i="58"/>
  <c r="E160" i="58"/>
  <c r="E43" i="58"/>
  <c r="E129" i="58"/>
  <c r="E183" i="58"/>
  <c r="E54" i="58"/>
  <c r="E174" i="58"/>
  <c r="E142" i="58"/>
  <c r="AA18" i="43"/>
  <c r="W18" i="43"/>
  <c r="M77" i="43"/>
  <c r="M78" i="43"/>
  <c r="L77" i="43"/>
  <c r="L78" i="43"/>
  <c r="K77" i="43"/>
  <c r="K78" i="43"/>
  <c r="J77" i="43"/>
  <c r="J78" i="43"/>
  <c r="M80" i="43"/>
  <c r="M81" i="43"/>
  <c r="L80" i="43"/>
  <c r="L81" i="43"/>
  <c r="K80" i="43"/>
  <c r="K81" i="43"/>
  <c r="J80" i="43"/>
  <c r="J81" i="43"/>
  <c r="W17" i="43"/>
  <c r="W19" i="43"/>
  <c r="N18" i="43"/>
  <c r="AA17" i="43"/>
  <c r="AA19" i="43"/>
  <c r="J18" i="43"/>
  <c r="S21" i="43"/>
  <c r="R21" i="43"/>
  <c r="W21" i="43"/>
  <c r="V21" i="43"/>
  <c r="U21" i="43"/>
  <c r="T21" i="43"/>
  <c r="AE218" i="43"/>
  <c r="AE220" i="43"/>
  <c r="AE224" i="43"/>
  <c r="M384" i="43"/>
  <c r="N384" i="43"/>
  <c r="O384" i="43"/>
  <c r="N356" i="43"/>
  <c r="O356" i="43"/>
  <c r="R349" i="43"/>
  <c r="R351" i="43"/>
  <c r="S347" i="43"/>
  <c r="S349" i="43"/>
  <c r="S351" i="43"/>
  <c r="J348" i="43"/>
  <c r="T424" i="43"/>
  <c r="T426" i="43"/>
  <c r="T425" i="43"/>
  <c r="T427" i="43"/>
  <c r="T428" i="43"/>
  <c r="S424" i="43"/>
  <c r="S426" i="43"/>
  <c r="O368" i="43"/>
  <c r="T319" i="43"/>
  <c r="K408" i="43"/>
  <c r="J408" i="43"/>
  <c r="L408" i="43"/>
  <c r="M408" i="43"/>
  <c r="N408" i="43"/>
  <c r="O408" i="43"/>
  <c r="S319" i="43"/>
  <c r="R319" i="43"/>
  <c r="S353" i="43"/>
  <c r="N360" i="43"/>
  <c r="O360" i="43"/>
  <c r="J381" i="43"/>
  <c r="K381" i="43"/>
  <c r="L381" i="43"/>
  <c r="M381" i="43"/>
  <c r="N381" i="43"/>
  <c r="O381" i="43"/>
  <c r="U319" i="43"/>
  <c r="O350" i="43"/>
  <c r="O405" i="43"/>
  <c r="V319" i="43"/>
  <c r="R353" i="43"/>
  <c r="O348" i="43"/>
  <c r="O407" i="43"/>
  <c r="S425" i="43"/>
  <c r="S427" i="43"/>
  <c r="S428" i="43"/>
  <c r="Q421" i="48"/>
  <c r="R421" i="48"/>
</calcChain>
</file>

<file path=xl/comments1.xml><?xml version="1.0" encoding="utf-8"?>
<comments xmlns="http://schemas.openxmlformats.org/spreadsheetml/2006/main">
  <authors>
    <author>djibril diakite</author>
  </authors>
  <commentList>
    <comment ref="D23" authorId="0">
      <text>
        <r>
          <rPr>
            <sz val="9"/>
            <color indexed="81"/>
            <rFont val="Tahoma"/>
            <family val="2"/>
          </rPr>
          <t xml:space="preserve">With Rnot from WACC 1.
</t>
        </r>
      </text>
    </comment>
    <comment ref="C29" authorId="0">
      <text>
        <r>
          <rPr>
            <sz val="9"/>
            <color indexed="81"/>
            <rFont val="Tahoma"/>
            <family val="2"/>
          </rPr>
          <t xml:space="preserve">Simpler developments in the (prevailing) Word report, with a slightly different approach. Consider rather this sheet for its inputs : data, sources and quotes from credit rating agencies.
</t>
        </r>
      </text>
    </comment>
    <comment ref="D38" authorId="0">
      <text>
        <r>
          <rPr>
            <sz val="9"/>
            <color indexed="81"/>
            <rFont val="Tahoma"/>
            <family val="2"/>
          </rPr>
          <t xml:space="preserve">(Except Bloomberg extractions specific to this file.)
</t>
        </r>
      </text>
    </comment>
    <comment ref="L43" authorId="0">
      <text>
        <r>
          <rPr>
            <sz val="9"/>
            <color indexed="81"/>
            <rFont val="Tahoma"/>
            <family val="2"/>
          </rPr>
          <t xml:space="preserve">With a preference for excel files provided by Investors Relation web sites.
</t>
        </r>
      </text>
    </comment>
    <comment ref="G48" authorId="0">
      <text>
        <r>
          <rPr>
            <sz val="9"/>
            <color indexed="81"/>
            <rFont val="Tahoma"/>
            <family val="2"/>
          </rPr>
          <t xml:space="preserve">Copy values from a separate extraction spreadsheet.
(In contrast to extracted and "live" prices &amp; yields, copy values are absolutely necessary for these data - otherwise cells get filled by "#NAME?" when the file is no longer connected to a Bloomberg terminal.) 
</t>
        </r>
      </text>
    </comment>
  </commentList>
</comments>
</file>

<file path=xl/comments10.xml><?xml version="1.0" encoding="utf-8"?>
<comments xmlns="http://schemas.openxmlformats.org/spreadsheetml/2006/main">
  <authors>
    <author>Utilisateur</author>
    <author>djibril diakite</author>
  </authors>
  <commentList>
    <comment ref="FF2" authorId="0">
      <text>
        <r>
          <rPr>
            <sz val="9"/>
            <color indexed="81"/>
            <rFont val="Tahoma"/>
            <family val="2"/>
          </rPr>
          <t xml:space="preserve">General inflection at around 1Q11.
</t>
        </r>
      </text>
    </comment>
    <comment ref="GA2" authorId="0">
      <text>
        <r>
          <rPr>
            <sz val="9"/>
            <color indexed="81"/>
            <rFont val="Tahoma"/>
            <family val="2"/>
          </rPr>
          <t xml:space="preserve">General inflection at around 1Q11.
</t>
        </r>
      </text>
    </comment>
    <comment ref="CM3" authorId="0">
      <text>
        <r>
          <rPr>
            <sz val="9"/>
            <color indexed="81"/>
            <rFont val="Tahoma"/>
            <family val="2"/>
          </rPr>
          <t>(EV*-EV)/EV with avg EV* &amp; EV</t>
        </r>
      </text>
    </comment>
    <comment ref="JD3" authorId="0">
      <text>
        <r>
          <rPr>
            <sz val="9"/>
            <color indexed="81"/>
            <rFont val="Tahoma"/>
            <family val="2"/>
          </rPr>
          <t xml:space="preserve">(Avg g*-Avg g)/Avg g
</t>
        </r>
      </text>
    </comment>
    <comment ref="JY3" authorId="1">
      <text>
        <r>
          <rPr>
            <sz val="9"/>
            <color indexed="81"/>
            <rFont val="Tahoma"/>
            <family val="2"/>
          </rPr>
          <t>[Avg (D*/E) - Avg (D/E)] / Avg (D/E)</t>
        </r>
      </text>
    </comment>
    <comment ref="EJ29" authorId="0">
      <text>
        <r>
          <rPr>
            <sz val="9"/>
            <color indexed="81"/>
            <rFont val="Tahoma"/>
            <family val="2"/>
          </rPr>
          <t xml:space="preserve">Annual avg.
</t>
        </r>
      </text>
    </comment>
    <comment ref="B31" authorId="1">
      <text>
        <r>
          <rPr>
            <sz val="9"/>
            <color indexed="81"/>
            <rFont val="Tahoma"/>
            <family val="2"/>
          </rPr>
          <t xml:space="preserve">By period avg. market cap (by simplification), and not by EV.
</t>
        </r>
      </text>
    </comment>
  </commentList>
</comments>
</file>

<file path=xl/comments11.xml><?xml version="1.0" encoding="utf-8"?>
<comments xmlns="http://schemas.openxmlformats.org/spreadsheetml/2006/main">
  <authors>
    <author>Aswath Damodaran</author>
    <author>djibril diakite</author>
  </authors>
  <commentList>
    <comment ref="O54" authorId="0">
      <text>
        <r>
          <rPr>
            <b/>
            <sz val="9"/>
            <color indexed="81"/>
            <rFont val="Geneva"/>
          </rPr>
          <t>Aswath Damodaran:</t>
        </r>
        <r>
          <rPr>
            <sz val="9"/>
            <color indexed="81"/>
            <rFont val="Geneva"/>
          </rPr>
          <t xml:space="preserve">
If your company is rated, use the actual rating. If you want to use a synthetic rating, use the synthetic ratings worksheet (available under spreadsheets).</t>
        </r>
      </text>
    </comment>
    <comment ref="R74" authorId="0">
      <text>
        <r>
          <rPr>
            <b/>
            <sz val="9"/>
            <color indexed="81"/>
            <rFont val="Geneva"/>
          </rPr>
          <t>Aswath Damodaran:</t>
        </r>
        <r>
          <rPr>
            <sz val="9"/>
            <color indexed="81"/>
            <rFont val="Geneva"/>
          </rPr>
          <t xml:space="preserve">
I have used an approximation here. If you want to see the more complete adjustment, see below.</t>
        </r>
      </text>
    </comment>
    <comment ref="AB74" authorId="1">
      <text>
        <r>
          <rPr>
            <sz val="9"/>
            <color indexed="81"/>
            <rFont val="Tahoma"/>
            <family val="2"/>
          </rPr>
          <t xml:space="preserve">(Discovered after finalizing this sheet)
</t>
        </r>
      </text>
    </comment>
  </commentList>
</comments>
</file>

<file path=xl/comments12.xml><?xml version="1.0" encoding="utf-8"?>
<comments xmlns="http://schemas.openxmlformats.org/spreadsheetml/2006/main">
  <authors>
    <author>Utilisateur</author>
  </authors>
  <commentList>
    <comment ref="B1" authorId="0">
      <text>
        <r>
          <rPr>
            <sz val="9"/>
            <color indexed="81"/>
            <rFont val="Tahoma"/>
            <family val="2"/>
          </rPr>
          <t>Inputs framed, no frame for calculation</t>
        </r>
      </text>
    </comment>
    <comment ref="N5" authorId="0">
      <text>
        <r>
          <rPr>
            <sz val="9"/>
            <color indexed="81"/>
            <rFont val="Tahoma"/>
            <family val="2"/>
          </rPr>
          <t>Not mentioned but these figures allows EV/Ebitda with current E to match values shown in that note.</t>
        </r>
      </text>
    </comment>
    <comment ref="AJ6" authorId="0">
      <text>
        <r>
          <rPr>
            <sz val="9"/>
            <color indexed="81"/>
            <rFont val="Tahoma"/>
            <family val="2"/>
          </rPr>
          <t xml:space="preserve">Mentioned value although price x shares = 7011.
</t>
        </r>
      </text>
    </comment>
    <comment ref="A8" authorId="0">
      <text>
        <r>
          <rPr>
            <sz val="9"/>
            <color indexed="81"/>
            <rFont val="Tahoma"/>
            <family val="2"/>
          </rPr>
          <t>Actually consider OIBDA.
Unlike EBITDA, OIBDA does not incorporate non-operating income</t>
        </r>
      </text>
    </comment>
    <comment ref="AJ15" authorId="0">
      <text>
        <r>
          <rPr>
            <sz val="9"/>
            <color indexed="81"/>
            <rFont val="Tahoma"/>
            <family val="2"/>
          </rPr>
          <t xml:space="preserve">Instead of 721
</t>
        </r>
      </text>
    </comment>
    <comment ref="AJ23" authorId="0">
      <text>
        <r>
          <rPr>
            <sz val="9"/>
            <color indexed="81"/>
            <rFont val="Tahoma"/>
            <family val="2"/>
          </rPr>
          <t xml:space="preserve">Instead of 5659
</t>
        </r>
      </text>
    </comment>
    <comment ref="A31" authorId="0">
      <text>
        <r>
          <rPr>
            <sz val="9"/>
            <color indexed="81"/>
            <rFont val="Tahoma"/>
            <family val="2"/>
          </rPr>
          <t xml:space="preserve">Provided by Mobistar
</t>
        </r>
      </text>
    </comment>
  </commentList>
</comments>
</file>

<file path=xl/comments13.xml><?xml version="1.0" encoding="utf-8"?>
<comments xmlns="http://schemas.openxmlformats.org/spreadsheetml/2006/main">
  <authors>
    <author>Utilisateur</author>
    <author>djibril diakite</author>
  </authors>
  <commentList>
    <comment ref="GZ7" authorId="0">
      <text>
        <r>
          <rPr>
            <sz val="9"/>
            <color indexed="81"/>
            <rFont val="Tahoma"/>
            <family val="2"/>
          </rPr>
          <t>After checking : included non operating items. 1980 otherwise..</t>
        </r>
      </text>
    </comment>
    <comment ref="CI13" authorId="1">
      <text>
        <r>
          <rPr>
            <sz val="9"/>
            <color indexed="81"/>
            <rFont val="Tahoma"/>
            <family val="2"/>
          </rPr>
          <t xml:space="preserve">Assuming no change in minority interests
</t>
        </r>
      </text>
    </comment>
    <comment ref="CI27" authorId="1">
      <text>
        <r>
          <rPr>
            <sz val="9"/>
            <color indexed="81"/>
            <rFont val="Tahoma"/>
            <family val="2"/>
          </rPr>
          <t xml:space="preserve">Assuming no change in minority interests
</t>
        </r>
      </text>
    </comment>
  </commentList>
</comments>
</file>

<file path=xl/comments2.xml><?xml version="1.0" encoding="utf-8"?>
<comments xmlns="http://schemas.openxmlformats.org/spreadsheetml/2006/main">
  <authors>
    <author>djibril diakite</author>
    <author>Utilisateur</author>
  </authors>
  <commentList>
    <comment ref="P16" authorId="0">
      <text>
        <r>
          <rPr>
            <sz val="9"/>
            <color indexed="81"/>
            <rFont val="Tahoma"/>
            <family val="2"/>
          </rPr>
          <t xml:space="preserve">For Damodaran :
</t>
        </r>
        <r>
          <rPr>
            <i/>
            <sz val="9"/>
            <color indexed="81"/>
            <rFont val="Tahoma"/>
            <family val="2"/>
          </rPr>
          <t>"in general, using net debt ratios will overstate the value of riskier firms".</t>
        </r>
      </text>
    </comment>
    <comment ref="P30" authorId="0">
      <text>
        <r>
          <rPr>
            <sz val="9"/>
            <color indexed="81"/>
            <rFont val="Tahoma"/>
            <family val="2"/>
          </rPr>
          <t xml:space="preserve">In interesting Lettre n°117, Sept. 2013, in French, with comments on expected IASB/FASB revisions. Free access with login.
</t>
        </r>
      </text>
    </comment>
    <comment ref="P31" authorId="1">
      <text>
        <r>
          <rPr>
            <sz val="9"/>
            <color indexed="81"/>
            <rFont val="Tahoma"/>
            <family val="2"/>
          </rPr>
          <t xml:space="preserve">Free access with login.
</t>
        </r>
      </text>
    </comment>
    <comment ref="E32" authorId="0">
      <text>
        <r>
          <rPr>
            <sz val="9"/>
            <color indexed="81"/>
            <rFont val="Tahoma"/>
            <family val="2"/>
          </rPr>
          <t xml:space="preserve">Bloombger ticker : BS_FUTURE_MIN_OPER_LEASE_OBLIG
</t>
        </r>
      </text>
    </comment>
    <comment ref="L32" authorId="0">
      <text>
        <r>
          <rPr>
            <sz val="9"/>
            <color indexed="81"/>
            <rFont val="Tahoma"/>
            <family val="2"/>
          </rPr>
          <t xml:space="preserve">Except in 'Summary', and in 'Ratings' for the presentation of agencies' ratios (all *) and quotes.
</t>
        </r>
      </text>
    </comment>
    <comment ref="P36" authorId="1">
      <text>
        <r>
          <rPr>
            <sz val="9"/>
            <color indexed="81"/>
            <rFont val="Tahoma"/>
            <family val="2"/>
          </rPr>
          <t xml:space="preserve">Acceptable also given that off-balance sheet items beside OL are not taken into account (when they should be, in the perspective of some lessors).
</t>
        </r>
      </text>
    </comment>
    <comment ref="P45" authorId="0">
      <text>
        <r>
          <rPr>
            <sz val="9"/>
            <color indexed="81"/>
            <rFont val="Tahoma"/>
            <family val="2"/>
          </rPr>
          <t>A WACC limitation compared to the APV (Adjusted present value) model, for which capital structure can change over time. (Without going into details, this approach may not be used in regulation.)</t>
        </r>
      </text>
    </comment>
    <comment ref="D71" authorId="1">
      <text>
        <r>
          <rPr>
            <sz val="9"/>
            <color indexed="81"/>
            <rFont val="Tahoma"/>
            <family val="2"/>
          </rPr>
          <t>Yet, when a firm is already committed to a significant amount of more or less LT debt, it may not easily adjust its indebtedness (through anticipated repayment?) when coping with falling market cap or, to a lesser extent, weaker than expected Ebitda (in which case the management would be more responsible).</t>
        </r>
      </text>
    </comment>
  </commentList>
</comments>
</file>

<file path=xl/comments3.xml><?xml version="1.0" encoding="utf-8"?>
<comments xmlns="http://schemas.openxmlformats.org/spreadsheetml/2006/main">
  <authors>
    <author>djibril diakite</author>
    <author>Utilisateur</author>
  </authors>
  <commentList>
    <comment ref="K37" authorId="0">
      <text>
        <r>
          <rPr>
            <sz val="9"/>
            <color indexed="81"/>
            <rFont val="Tahoma"/>
            <family val="2"/>
          </rPr>
          <t xml:space="preserve">Components n/a
</t>
        </r>
      </text>
    </comment>
    <comment ref="K38" authorId="0">
      <text>
        <r>
          <rPr>
            <sz val="9"/>
            <color indexed="81"/>
            <rFont val="Tahoma"/>
            <family val="2"/>
          </rPr>
          <t xml:space="preserve">Components n/a
</t>
        </r>
      </text>
    </comment>
    <comment ref="K40" authorId="0">
      <text>
        <r>
          <rPr>
            <sz val="9"/>
            <color indexed="81"/>
            <rFont val="Tahoma"/>
            <family val="2"/>
          </rPr>
          <t xml:space="preserve">SXXE
</t>
        </r>
      </text>
    </comment>
    <comment ref="N54" authorId="1">
      <text>
        <r>
          <rPr>
            <sz val="9"/>
            <color indexed="81"/>
            <rFont val="Tahoma"/>
            <family val="2"/>
          </rPr>
          <t xml:space="preserve">May require login 
but free.
</t>
        </r>
      </text>
    </comment>
    <comment ref="I74" authorId="0">
      <text>
        <r>
          <rPr>
            <sz val="9"/>
            <color indexed="81"/>
            <rFont val="Tahoma"/>
            <family val="2"/>
          </rPr>
          <t>Earlier for Swisscom : it was already a pb for BIPT 2009/2010 (with % Ebitda for 2005 up to 2008)</t>
        </r>
      </text>
    </comment>
    <comment ref="I75" authorId="0">
      <text>
        <r>
          <rPr>
            <sz val="9"/>
            <color indexed="81"/>
            <rFont val="Tahoma"/>
            <family val="2"/>
          </rPr>
          <t>Another issue is the integration of Wholesale &amp; Interco. For incumbent SPs, the former may encompass a higher share of Fixed line services than in retail activities.</t>
        </r>
      </text>
    </comment>
    <comment ref="K89" authorId="0">
      <text>
        <r>
          <rPr>
            <sz val="9"/>
            <color indexed="81"/>
            <rFont val="Tahoma"/>
            <family val="2"/>
          </rPr>
          <t xml:space="preserve">Cf. comment for Telenor in § SEGMENTS Data &amp; Estimates
</t>
        </r>
      </text>
    </comment>
    <comment ref="B98" authorId="0">
      <text>
        <r>
          <rPr>
            <sz val="9"/>
            <color indexed="81"/>
            <rFont val="Tahoma"/>
            <family val="2"/>
          </rPr>
          <t xml:space="preserve">(Added to initial benchmark because it is included in Brattle/ACM Mobile sample)
</t>
        </r>
      </text>
    </comment>
    <comment ref="I98" authorId="0">
      <text>
        <r>
          <rPr>
            <sz val="9"/>
            <color indexed="81"/>
            <rFont val="Tahoma"/>
            <family val="2"/>
          </rPr>
          <t xml:space="preserve">(For the purpose of avg. E/R in this benchmark)
</t>
        </r>
      </text>
    </comment>
    <comment ref="R101" authorId="0">
      <text>
        <r>
          <rPr>
            <sz val="9"/>
            <color indexed="81"/>
            <rFont val="Tahoma"/>
            <family val="2"/>
          </rPr>
          <t>(Data cut 1H08-1Q09)
% Ebitda for 2008 instead of 1H09 (n/a)</t>
        </r>
      </text>
    </comment>
    <comment ref="I114" authorId="0">
      <text>
        <r>
          <rPr>
            <sz val="9"/>
            <color indexed="81"/>
            <rFont val="Tahoma"/>
            <family val="2"/>
          </rPr>
          <t>Beside the "good" deal Telenet is reported to have gotten with Mobistar to operate on its network.</t>
        </r>
      </text>
    </comment>
    <comment ref="J136" authorId="0">
      <text>
        <r>
          <rPr>
            <sz val="9"/>
            <color indexed="81"/>
            <rFont val="Tahoma"/>
            <family val="2"/>
          </rPr>
          <t xml:space="preserve">(2012)
</t>
        </r>
      </text>
    </comment>
    <comment ref="J138" authorId="0">
      <text>
        <r>
          <rPr>
            <b/>
            <sz val="9"/>
            <color indexed="81"/>
            <rFont val="Tahoma"/>
            <family val="2"/>
          </rPr>
          <t>2010</t>
        </r>
        <r>
          <rPr>
            <sz val="9"/>
            <color indexed="81"/>
            <rFont val="Tahoma"/>
            <family val="2"/>
          </rPr>
          <t xml:space="preserve">
</t>
        </r>
      </text>
    </comment>
    <comment ref="J143" authorId="0">
      <text>
        <r>
          <rPr>
            <sz val="9"/>
            <color indexed="81"/>
            <rFont val="Tahoma"/>
            <family val="2"/>
          </rPr>
          <t xml:space="preserve">(2012)
</t>
        </r>
      </text>
    </comment>
    <comment ref="J146" authorId="0">
      <text>
        <r>
          <rPr>
            <sz val="9"/>
            <color indexed="81"/>
            <rFont val="Tahoma"/>
            <family val="2"/>
          </rPr>
          <t xml:space="preserve">(2012)
</t>
        </r>
      </text>
    </comment>
    <comment ref="K156" authorId="1">
      <text>
        <r>
          <rPr>
            <sz val="9"/>
            <color indexed="81"/>
            <rFont val="Tahoma"/>
            <family val="2"/>
          </rPr>
          <t xml:space="preserve">European Economic Area = EU+Norway (+Iceland + Lichtenstein).
Future members, beside micro-states : balkans. Discussions with Turkey &amp; Israel.
</t>
        </r>
      </text>
    </comment>
    <comment ref="I162" authorId="1">
      <text>
        <r>
          <rPr>
            <sz val="9"/>
            <color indexed="81"/>
            <rFont val="Tahoma"/>
            <family val="2"/>
          </rPr>
          <t xml:space="preserve">Possibly add as well :
Kabel Deutschland </t>
        </r>
        <r>
          <rPr>
            <sz val="9"/>
            <color indexed="81"/>
            <rFont val="Tahoma"/>
            <family val="2"/>
          </rPr>
          <t xml:space="preserve">
</t>
        </r>
      </text>
    </comment>
    <comment ref="L171" authorId="0">
      <text>
        <r>
          <rPr>
            <sz val="9"/>
            <color indexed="81"/>
            <rFont val="Tahoma"/>
            <family val="2"/>
          </rPr>
          <t xml:space="preserve">Data cut 1H08-1Q09
</t>
        </r>
      </text>
    </comment>
    <comment ref="L172" authorId="0">
      <text>
        <r>
          <rPr>
            <sz val="9"/>
            <color indexed="81"/>
            <rFont val="Tahoma"/>
            <family val="2"/>
          </rPr>
          <t xml:space="preserve">2008 proxy for 1H09 n/a
</t>
        </r>
      </text>
    </comment>
    <comment ref="I177" authorId="0">
      <text>
        <r>
          <rPr>
            <sz val="9"/>
            <color indexed="81"/>
            <rFont val="Tahoma"/>
            <family val="2"/>
          </rPr>
          <t xml:space="preserve">Except functional separation imposed by RAs, e.g. BT.
</t>
        </r>
      </text>
    </comment>
    <comment ref="K195" authorId="1">
      <text>
        <r>
          <rPr>
            <sz val="9"/>
            <color indexed="81"/>
            <rFont val="Tahoma"/>
            <family val="2"/>
          </rPr>
          <t>For some SPs, EV/Ebitda adjusted for periods consistent with latest available M % Rev.</t>
        </r>
      </text>
    </comment>
    <comment ref="AK195" authorId="1">
      <text>
        <r>
          <rPr>
            <sz val="9"/>
            <color indexed="81"/>
            <rFont val="Tahoma"/>
            <family val="2"/>
          </rPr>
          <t xml:space="preserve">For some SPs, EV/Ebitda rel. var. to adjust for more consistent periods with M% rel. var.
</t>
        </r>
      </text>
    </comment>
    <comment ref="J197" authorId="0">
      <text>
        <r>
          <rPr>
            <sz val="9"/>
            <color indexed="81"/>
            <rFont val="Tahoma"/>
            <family val="2"/>
          </rPr>
          <t xml:space="preserve">2010
</t>
        </r>
      </text>
    </comment>
    <comment ref="J204" authorId="0">
      <text>
        <r>
          <rPr>
            <sz val="9"/>
            <color indexed="81"/>
            <rFont val="Tahoma"/>
            <family val="2"/>
          </rPr>
          <t>2012</t>
        </r>
      </text>
    </comment>
    <comment ref="J208" authorId="0">
      <text>
        <r>
          <rPr>
            <sz val="9"/>
            <color indexed="81"/>
            <rFont val="Tahoma"/>
            <family val="2"/>
          </rPr>
          <t xml:space="preserve">2012
</t>
        </r>
      </text>
    </comment>
    <comment ref="J212" authorId="0">
      <text>
        <r>
          <rPr>
            <sz val="9"/>
            <color indexed="81"/>
            <rFont val="Tahoma"/>
            <family val="2"/>
          </rPr>
          <t>2012</t>
        </r>
      </text>
    </comment>
    <comment ref="J214" authorId="0">
      <text>
        <r>
          <rPr>
            <sz val="9"/>
            <color indexed="81"/>
            <rFont val="Tahoma"/>
            <family val="2"/>
          </rPr>
          <t>1Q13</t>
        </r>
      </text>
    </comment>
    <comment ref="D223" authorId="1">
      <text>
        <r>
          <rPr>
            <sz val="9"/>
            <color indexed="81"/>
            <rFont val="Tahoma"/>
            <family val="2"/>
          </rPr>
          <t xml:space="preserve">At the source of many determinations.
</t>
        </r>
      </text>
    </comment>
    <comment ref="D225" authorId="1">
      <text>
        <r>
          <rPr>
            <sz val="9"/>
            <color indexed="81"/>
            <rFont val="Tahoma"/>
            <family val="2"/>
          </rPr>
          <t xml:space="preserve">Obviously a simplification.
</t>
        </r>
      </text>
    </comment>
    <comment ref="D230" authorId="1">
      <text>
        <r>
          <rPr>
            <sz val="9"/>
            <color indexed="81"/>
            <rFont val="Tahoma"/>
            <family val="2"/>
          </rPr>
          <t>Issues though with PT's Ebitda : cf. 'Cleaner Data'.</t>
        </r>
      </text>
    </comment>
    <comment ref="H247" authorId="1">
      <text>
        <r>
          <rPr>
            <sz val="9"/>
            <color indexed="81"/>
            <rFont val="Tahoma"/>
            <family val="2"/>
          </rPr>
          <t>Any adjustment on the British axis would just push Vodafone a bit closer to 100% Mobile.</t>
        </r>
      </text>
    </comment>
    <comment ref="I278" authorId="0">
      <text>
        <r>
          <rPr>
            <sz val="9"/>
            <color indexed="81"/>
            <rFont val="Tahoma"/>
            <family val="2"/>
          </rPr>
          <t xml:space="preserve">(Almost all SPs would claim to be fully integrated.)
</t>
        </r>
      </text>
    </comment>
    <comment ref="D298" authorId="1">
      <text>
        <r>
          <rPr>
            <sz val="9"/>
            <color indexed="81"/>
            <rFont val="Tahoma"/>
            <family val="2"/>
          </rPr>
          <t xml:space="preserve">Calculations with period avg data, instead of latest 1H13 (deleted by mistake).
Beside OTE/PT, only TDC/TIT/KPN were under 0.5. Iliad, now with the same % Mobile as Belgacom, and d =0.6 in Mkt Cap, remained clearly excluded because of its high valuation.
</t>
        </r>
      </text>
    </comment>
    <comment ref="I383" authorId="1">
      <text>
        <r>
          <rPr>
            <sz val="9"/>
            <color indexed="81"/>
            <rFont val="Tahoma"/>
            <family val="2"/>
          </rPr>
          <t xml:space="preserve"> Avg. for end 2006, 2007, 2008 and 1H09 values.
Telenet at 8.1x.
</t>
        </r>
      </text>
    </comment>
    <comment ref="U383" authorId="1">
      <text>
        <r>
          <rPr>
            <sz val="9"/>
            <color indexed="81"/>
            <rFont val="Tahoma"/>
            <family val="2"/>
          </rPr>
          <t xml:space="preserve">Divided by /2.5, up to /5 at 1Q13, from 2Q10
</t>
        </r>
      </text>
    </comment>
    <comment ref="H436" authorId="1">
      <text>
        <r>
          <rPr>
            <sz val="9"/>
            <color indexed="81"/>
            <rFont val="Tahoma"/>
            <family val="2"/>
          </rPr>
          <t xml:space="preserve">From 5x-6x.
</t>
        </r>
      </text>
    </comment>
    <comment ref="K484" authorId="1">
      <text>
        <r>
          <rPr>
            <sz val="9"/>
            <color indexed="81"/>
            <rFont val="Tahoma"/>
            <family val="2"/>
          </rPr>
          <t xml:space="preserve">* For some SPs, EV/Sales adjusted for periods consistent with latest available M % Rev.
</t>
        </r>
      </text>
    </comment>
    <comment ref="AJ484" authorId="1">
      <text>
        <r>
          <rPr>
            <sz val="9"/>
            <color indexed="81"/>
            <rFont val="Tahoma"/>
            <family val="2"/>
          </rPr>
          <t>For some SPs, EV/Sales rel. var. to adjust for more consistent periods with M % rel. var.</t>
        </r>
      </text>
    </comment>
    <comment ref="J486" authorId="0">
      <text>
        <r>
          <rPr>
            <sz val="9"/>
            <color indexed="81"/>
            <rFont val="Tahoma"/>
            <family val="2"/>
          </rPr>
          <t xml:space="preserve">2010
</t>
        </r>
      </text>
    </comment>
    <comment ref="J493" authorId="0">
      <text>
        <r>
          <rPr>
            <sz val="9"/>
            <color indexed="81"/>
            <rFont val="Tahoma"/>
            <family val="2"/>
          </rPr>
          <t>2012</t>
        </r>
      </text>
    </comment>
    <comment ref="J497" authorId="0">
      <text>
        <r>
          <rPr>
            <sz val="9"/>
            <color indexed="81"/>
            <rFont val="Tahoma"/>
            <family val="2"/>
          </rPr>
          <t xml:space="preserve">2012
</t>
        </r>
      </text>
    </comment>
    <comment ref="J501" authorId="0">
      <text>
        <r>
          <rPr>
            <sz val="9"/>
            <color indexed="81"/>
            <rFont val="Tahoma"/>
            <family val="2"/>
          </rPr>
          <t>2012</t>
        </r>
      </text>
    </comment>
    <comment ref="J503" authorId="0">
      <text>
        <r>
          <rPr>
            <sz val="9"/>
            <color indexed="81"/>
            <rFont val="Tahoma"/>
            <family val="2"/>
          </rPr>
          <t>1Q13</t>
        </r>
      </text>
    </comment>
  </commentList>
</comments>
</file>

<file path=xl/comments4.xml><?xml version="1.0" encoding="utf-8"?>
<comments xmlns="http://schemas.openxmlformats.org/spreadsheetml/2006/main">
  <authors>
    <author>Utilisateur</author>
    <author>djibril diakite</author>
  </authors>
  <commentList>
    <comment ref="W96" authorId="0">
      <text>
        <r>
          <rPr>
            <sz val="9"/>
            <color indexed="81"/>
            <rFont val="Tahoma"/>
            <family val="2"/>
          </rPr>
          <t xml:space="preserve">While some other tables and charts from the preliminary version have simply been deleted.
</t>
        </r>
      </text>
    </comment>
    <comment ref="Y96" authorId="0">
      <text>
        <r>
          <rPr>
            <sz val="9"/>
            <color indexed="81"/>
            <rFont val="Tahoma"/>
            <family val="2"/>
          </rPr>
          <t xml:space="preserve">While some other tables and charts from the preliminary version have simply been deleted.
</t>
        </r>
      </text>
    </comment>
    <comment ref="E214" authorId="1">
      <text>
        <r>
          <rPr>
            <sz val="9"/>
            <color indexed="81"/>
            <rFont val="Tahoma"/>
            <family val="2"/>
          </rPr>
          <t xml:space="preserve">Not found, more precisely. But see Moody's remark below.
</t>
        </r>
      </text>
    </comment>
    <comment ref="AC270" authorId="0">
      <text>
        <r>
          <rPr>
            <sz val="9"/>
            <color indexed="81"/>
            <rFont val="Tahoma"/>
            <family val="2"/>
          </rPr>
          <t xml:space="preserve">Illustrative Min/Max taken as Belgacom (given the same central estimate).
</t>
        </r>
      </text>
    </comment>
    <comment ref="AC271" authorId="0">
      <text>
        <r>
          <rPr>
            <sz val="9"/>
            <color indexed="81"/>
            <rFont val="Tahoma"/>
            <family val="2"/>
          </rPr>
          <t>A 0.5% band for Telenet as well, around its central estimate, and matching the lower half of its stated range.</t>
        </r>
      </text>
    </comment>
    <comment ref="AB281" authorId="0">
      <text>
        <r>
          <rPr>
            <sz val="9"/>
            <color indexed="81"/>
            <rFont val="Tahoma"/>
            <family val="2"/>
          </rPr>
          <t>Proposed illustrative Min/Max for Fixed and Integrated set at ± 5%;
whereas Mobile's = Mobistar's.</t>
        </r>
      </text>
    </comment>
    <comment ref="AE290" authorId="0">
      <text>
        <r>
          <rPr>
            <sz val="9"/>
            <color indexed="81"/>
            <rFont val="Tahoma"/>
            <family val="2"/>
          </rPr>
          <t xml:space="preserve">Indirectly mentioned in the Rating chapter of the Word Consultation report (and wrongly estimated as a simple F/M avg).
</t>
        </r>
      </text>
    </comment>
    <comment ref="X362" authorId="1">
      <text>
        <r>
          <rPr>
            <i/>
            <sz val="9"/>
            <color indexed="81"/>
            <rFont val="Tahoma"/>
            <family val="2"/>
          </rPr>
          <t>Valeur du capital propre à laquelle s'applique le concept de déduction d'intérêts notionnelle.</t>
        </r>
      </text>
    </comment>
    <comment ref="T432" authorId="0">
      <text>
        <r>
          <rPr>
            <sz val="9"/>
            <color indexed="81"/>
            <rFont val="Tahoma"/>
            <family val="2"/>
          </rPr>
          <t xml:space="preserve">For model's transparency and simulations, as with </t>
        </r>
        <r>
          <rPr>
            <sz val="9"/>
            <color indexed="81"/>
            <rFont val="Symbol"/>
            <family val="1"/>
            <charset val="2"/>
          </rPr>
          <t>b</t>
        </r>
        <r>
          <rPr>
            <sz val="9"/>
            <color indexed="81"/>
            <rFont val="Tahoma"/>
            <family val="2"/>
          </rPr>
          <t xml:space="preserve">a instead of </t>
        </r>
        <r>
          <rPr>
            <sz val="9"/>
            <color indexed="81"/>
            <rFont val="Symbol"/>
            <family val="1"/>
            <charset val="2"/>
          </rPr>
          <t>b</t>
        </r>
        <r>
          <rPr>
            <sz val="9"/>
            <color indexed="81"/>
            <rFont val="Tahoma"/>
            <family val="2"/>
          </rPr>
          <t>e.</t>
        </r>
      </text>
    </comment>
    <comment ref="AC508" authorId="1">
      <text>
        <r>
          <rPr>
            <sz val="9"/>
            <color indexed="81"/>
            <rFont val="Tahoma"/>
            <family val="2"/>
          </rPr>
          <t>Or market-to-book, or price-to-equity.</t>
        </r>
      </text>
    </comment>
  </commentList>
</comments>
</file>

<file path=xl/comments5.xml><?xml version="1.0" encoding="utf-8"?>
<comments xmlns="http://schemas.openxmlformats.org/spreadsheetml/2006/main">
  <authors>
    <author>djibril diakite</author>
  </authors>
  <commentList>
    <comment ref="V18" authorId="0">
      <text>
        <r>
          <rPr>
            <sz val="9"/>
            <color indexed="81"/>
            <rFont val="Tahoma"/>
            <family val="2"/>
          </rPr>
          <t xml:space="preserve">And even if being rated means paying an agency to be chided (in some circumstances), as TPS by Moody's : see hereafter.
</t>
        </r>
      </text>
    </comment>
    <comment ref="P26" authorId="0">
      <text>
        <r>
          <rPr>
            <sz val="9"/>
            <color indexed="81"/>
            <rFont val="Tahoma"/>
            <family val="2"/>
          </rPr>
          <t>Cf. WACC 3 unlevering formula</t>
        </r>
      </text>
    </comment>
    <comment ref="H45" authorId="0">
      <text>
        <r>
          <rPr>
            <sz val="9"/>
            <color indexed="81"/>
            <rFont val="Tahoma"/>
            <family val="2"/>
          </rPr>
          <t>(Approximation addressed here although it is not primarily a credit rating issue.)</t>
        </r>
      </text>
    </comment>
    <comment ref="N59" authorId="0">
      <text>
        <r>
          <rPr>
            <sz val="9"/>
            <color indexed="81"/>
            <rFont val="Tahoma"/>
            <family val="2"/>
          </rPr>
          <t xml:space="preserve">Cf. Note 'Which Maturity ?' in 'WACC 1 / 'Rf &amp; Cd'.
</t>
        </r>
      </text>
    </comment>
    <comment ref="S104" authorId="0">
      <text>
        <r>
          <rPr>
            <sz val="9"/>
            <color indexed="81"/>
            <rFont val="Tahoma"/>
            <family val="2"/>
          </rPr>
          <t xml:space="preserve">Downgraded from AA+ in Nov. 2013
</t>
        </r>
      </text>
    </comment>
    <comment ref="J105" authorId="0">
      <text>
        <r>
          <rPr>
            <sz val="9"/>
            <color indexed="81"/>
            <rFont val="Tahoma"/>
            <family val="2"/>
          </rPr>
          <t xml:space="preserve">In Nov. 2013, from Stable
</t>
        </r>
      </text>
    </comment>
    <comment ref="D119" authorId="0">
      <text>
        <r>
          <rPr>
            <sz val="9"/>
            <color indexed="81"/>
            <rFont val="Tahoma"/>
            <family val="2"/>
          </rPr>
          <t xml:space="preserve">Upgraded from B+ in June 2013
</t>
        </r>
      </text>
    </comment>
    <comment ref="H119" authorId="0">
      <text>
        <r>
          <rPr>
            <sz val="9"/>
            <color indexed="81"/>
            <rFont val="Tahoma"/>
            <family val="2"/>
          </rPr>
          <t xml:space="preserve">= Withdrawn. Stable rating for its covered period from 2006 to 2Q13.
</t>
        </r>
      </text>
    </comment>
    <comment ref="S119" authorId="0">
      <text>
        <r>
          <rPr>
            <sz val="9"/>
            <color indexed="81"/>
            <rFont val="Tahoma"/>
            <family val="2"/>
          </rPr>
          <t xml:space="preserve">Since Sept. 2012
</t>
        </r>
      </text>
    </comment>
    <comment ref="U119" authorId="0">
      <text>
        <r>
          <rPr>
            <sz val="9"/>
            <color indexed="81"/>
            <rFont val="Tahoma"/>
            <family val="2"/>
          </rPr>
          <t xml:space="preserve">(Negative outlook)
</t>
        </r>
      </text>
    </comment>
    <comment ref="V119" authorId="0">
      <text>
        <r>
          <rPr>
            <sz val="9"/>
            <color indexed="81"/>
            <rFont val="Tahoma"/>
            <family val="2"/>
          </rPr>
          <t xml:space="preserve">(Negative outlook)
</t>
        </r>
      </text>
    </comment>
    <comment ref="R120" authorId="0">
      <text>
        <r>
          <rPr>
            <sz val="9"/>
            <color indexed="81"/>
            <rFont val="Tahoma"/>
            <family val="2"/>
          </rPr>
          <t xml:space="preserve">For WACC 1, to put in perspective NRAs' use of local govt bonds as Rf assets at the times of their determinations.
</t>
        </r>
      </text>
    </comment>
    <comment ref="AB155" authorId="0">
      <text>
        <r>
          <rPr>
            <sz val="9"/>
            <color indexed="81"/>
            <rFont val="Tahoma"/>
            <family val="2"/>
          </rPr>
          <t xml:space="preserve">Fitch : </t>
        </r>
        <r>
          <rPr>
            <i/>
            <sz val="9"/>
            <color indexed="81"/>
            <rFont val="Tahoma"/>
            <family val="2"/>
          </rPr>
          <t>Preferred stock issues with fixed dividend payments or redemption dates may be considered as quasi-debt instruments, and may be granted a degree of ―equity credit‖ of 50% or 100%, depending on their terms.</t>
        </r>
        <r>
          <rPr>
            <sz val="9"/>
            <color indexed="81"/>
            <rFont val="Tahoma"/>
            <family val="2"/>
          </rPr>
          <t xml:space="preserve">
</t>
        </r>
      </text>
    </comment>
    <comment ref="S156" authorId="0">
      <text>
        <r>
          <rPr>
            <sz val="9"/>
            <color indexed="81"/>
            <rFont val="Tahoma"/>
            <family val="2"/>
          </rPr>
          <t xml:space="preserve">Except possibly for Financials (banks, insurance).
</t>
        </r>
      </text>
    </comment>
    <comment ref="P188" authorId="0">
      <text>
        <r>
          <rPr>
            <i/>
            <sz val="9"/>
            <color indexed="81"/>
            <rFont val="Tahoma"/>
            <family val="2"/>
          </rPr>
          <t>"From our own analyses, we find that a limited number of credit ratios explain credit rating fairly well, with interest coverage as the single most significant indicator.
From a sample containing all U.S. and European companies rated by S&amp;P's (excluding financial institutions), interest coverage is a key explanatory variable for the its credit ratings, with more than 45% of rating differences explained by interest coverage alone."</t>
        </r>
        <r>
          <rPr>
            <sz val="9"/>
            <color indexed="81"/>
            <rFont val="Tahoma"/>
            <family val="2"/>
          </rPr>
          <t xml:space="preserve">
</t>
        </r>
      </text>
    </comment>
    <comment ref="J291" authorId="0">
      <text>
        <r>
          <rPr>
            <sz val="9"/>
            <color indexed="81"/>
            <rFont val="Tahoma"/>
            <family val="2"/>
          </rPr>
          <t>Short and intelligible for almost everyone.</t>
        </r>
      </text>
    </comment>
    <comment ref="M294" authorId="0">
      <text>
        <r>
          <rPr>
            <sz val="9"/>
            <color indexed="81"/>
            <rFont val="Tahoma"/>
            <family val="2"/>
          </rPr>
          <t>"These rating outcome are shown only for guidance purpose only. Actual rating should be within one notch of indicated rating outcomes."</t>
        </r>
        <r>
          <rPr>
            <i/>
            <sz val="9"/>
            <color indexed="81"/>
            <rFont val="Tahoma"/>
            <family val="2"/>
          </rPr>
          <t xml:space="preserve">
</t>
        </r>
      </text>
    </comment>
    <comment ref="D303" authorId="0">
      <text>
        <r>
          <rPr>
            <sz val="9"/>
            <color indexed="81"/>
            <rFont val="Tahoma"/>
            <family val="2"/>
          </rPr>
          <t xml:space="preserve"> (And it refers only to local-currency ratings)
</t>
        </r>
      </text>
    </comment>
    <comment ref="Z304" authorId="0">
      <text>
        <r>
          <rPr>
            <sz val="9"/>
            <color indexed="81"/>
            <rFont val="Tahoma"/>
            <family val="2"/>
          </rPr>
          <t xml:space="preserve">Direct from the web.
With formulas for key ratios, refine metrics ranges but for US corporate/utilities
</t>
        </r>
      </text>
    </comment>
    <comment ref="J309" authorId="0">
      <text>
        <r>
          <rPr>
            <sz val="9"/>
            <color indexed="81"/>
            <rFont val="Tahoma"/>
            <family val="2"/>
          </rPr>
          <t xml:space="preserve">Also short &amp; clear, but not much more than what is extracted here
</t>
        </r>
      </text>
    </comment>
    <comment ref="AA310" authorId="0">
      <text>
        <r>
          <rPr>
            <sz val="9"/>
            <color indexed="81"/>
            <rFont val="Tahoma"/>
            <family val="2"/>
          </rPr>
          <t xml:space="preserve">Addressing the issue of regulated subsidiaries, among others
</t>
        </r>
      </text>
    </comment>
    <comment ref="T333" authorId="0">
      <text>
        <r>
          <rPr>
            <sz val="9"/>
            <color indexed="81"/>
            <rFont val="Tahoma"/>
            <family val="2"/>
          </rPr>
          <t xml:space="preserve">(+ROC analysis when Ebitda margin is close to thresholds)
</t>
        </r>
      </text>
    </comment>
    <comment ref="H389" authorId="0">
      <text>
        <r>
          <rPr>
            <sz val="9"/>
            <color indexed="81"/>
            <rFont val="Tahoma"/>
            <family val="2"/>
          </rPr>
          <t xml:space="preserve">Longer but still clear and quite easy
</t>
        </r>
      </text>
    </comment>
    <comment ref="AA454" authorId="0">
      <text>
        <r>
          <rPr>
            <sz val="9"/>
            <color indexed="81"/>
            <rFont val="Tahoma"/>
            <family val="2"/>
          </rPr>
          <t xml:space="preserve">Critical essentially for non-investment grade SPs.
</t>
        </r>
      </text>
    </comment>
    <comment ref="R482" authorId="0">
      <text>
        <r>
          <rPr>
            <sz val="9"/>
            <color indexed="81"/>
            <rFont val="Tahoma"/>
            <family val="2"/>
          </rPr>
          <t xml:space="preserve">Telcos
</t>
        </r>
      </text>
    </comment>
    <comment ref="A523" authorId="0">
      <text>
        <r>
          <rPr>
            <sz val="9"/>
            <color indexed="81"/>
            <rFont val="Tahoma"/>
            <family val="2"/>
          </rPr>
          <t xml:space="preserve">S.A. de Droit Public (among displayed entities)
</t>
        </r>
      </text>
    </comment>
    <comment ref="L570" authorId="0">
      <text>
        <r>
          <rPr>
            <sz val="9"/>
            <color indexed="81"/>
            <rFont val="Tahoma"/>
            <family val="2"/>
          </rPr>
          <t>(Illustrated by the latest change at Belgacom's top management ?)</t>
        </r>
      </text>
    </comment>
    <comment ref="A593" authorId="0">
      <text>
        <r>
          <rPr>
            <sz val="9"/>
            <color indexed="81"/>
            <rFont val="Tahoma"/>
            <family val="2"/>
          </rPr>
          <t xml:space="preserve">(Group Holding NV)
</t>
        </r>
      </text>
    </comment>
    <comment ref="F674" authorId="0">
      <text>
        <r>
          <rPr>
            <i/>
            <sz val="9"/>
            <color indexed="81"/>
            <rFont val="Tahoma"/>
            <family val="2"/>
          </rPr>
          <t>Financial flexibility allows an issuer to meet its debt-service obligations and manage periods of volatility without eroding credit quality. The more conservatively capitalised an issuer, the greater its financial flexibility.</t>
        </r>
        <r>
          <rPr>
            <sz val="9"/>
            <color indexed="81"/>
            <rFont val="Tahoma"/>
            <family val="2"/>
          </rPr>
          <t xml:space="preserve">
</t>
        </r>
      </text>
    </comment>
    <comment ref="A679" authorId="0">
      <text>
        <r>
          <rPr>
            <sz val="9"/>
            <color indexed="81"/>
            <rFont val="Tahoma"/>
            <family val="2"/>
          </rPr>
          <t xml:space="preserve">Telekomunikacja Polska S.A.
</t>
        </r>
      </text>
    </comment>
    <comment ref="I714" authorId="0">
      <text>
        <r>
          <rPr>
            <sz val="9"/>
            <color indexed="81"/>
            <rFont val="Tahoma"/>
            <family val="2"/>
          </rPr>
          <t xml:space="preserve">(and for Moody's, still 6 notches above Telenet's in case the reader has missed this.)
</t>
        </r>
      </text>
    </comment>
    <comment ref="D720" authorId="0">
      <text>
        <r>
          <rPr>
            <sz val="9"/>
            <color indexed="81"/>
            <rFont val="Tahoma"/>
            <family val="2"/>
          </rPr>
          <t>(TPS' IR web site provides spreadsheets with exactly the same format as ORA. No xls with Mobistar.)</t>
        </r>
      </text>
    </comment>
    <comment ref="Q724" authorId="0">
      <text>
        <r>
          <rPr>
            <sz val="9"/>
            <color indexed="81"/>
            <rFont val="Tahoma"/>
            <family val="2"/>
          </rPr>
          <t>(Without further speculating.)</t>
        </r>
      </text>
    </comment>
  </commentList>
</comments>
</file>

<file path=xl/comments6.xml><?xml version="1.0" encoding="utf-8"?>
<comments xmlns="http://schemas.openxmlformats.org/spreadsheetml/2006/main">
  <authors>
    <author>Utilisateur</author>
  </authors>
  <commentList>
    <comment ref="L13" authorId="0">
      <text>
        <r>
          <rPr>
            <sz val="9"/>
            <color indexed="81"/>
            <rFont val="Tahoma"/>
            <family val="2"/>
          </rPr>
          <t xml:space="preserve">+ Countries' credit ratings, for info (with regulators' Rf asset).
</t>
        </r>
      </text>
    </comment>
  </commentList>
</comments>
</file>

<file path=xl/comments7.xml><?xml version="1.0" encoding="utf-8"?>
<comments xmlns="http://schemas.openxmlformats.org/spreadsheetml/2006/main">
  <authors>
    <author>Utilisateur</author>
  </authors>
  <commentList>
    <comment ref="AB7" authorId="0">
      <text>
        <r>
          <rPr>
            <sz val="9"/>
            <color indexed="81"/>
            <rFont val="Tahoma"/>
            <family val="2"/>
          </rPr>
          <t xml:space="preserve">Although mentioned target price x shares = 7011.
</t>
        </r>
      </text>
    </comment>
    <comment ref="A9" authorId="0">
      <text>
        <r>
          <rPr>
            <sz val="9"/>
            <color indexed="81"/>
            <rFont val="Tahoma"/>
            <family val="2"/>
          </rPr>
          <t>Actually considers OIBDA.
Unlike EBITDA, OIBDA does not incorporate non-operating income,</t>
        </r>
      </text>
    </comment>
    <comment ref="AB16" authorId="0">
      <text>
        <r>
          <rPr>
            <sz val="9"/>
            <color indexed="81"/>
            <rFont val="Tahoma"/>
            <family val="2"/>
          </rPr>
          <t xml:space="preserve">Instead of 721.
</t>
        </r>
      </text>
    </comment>
    <comment ref="BO16" authorId="0">
      <text>
        <r>
          <rPr>
            <sz val="9"/>
            <color indexed="81"/>
            <rFont val="Tahoma"/>
            <family val="2"/>
          </rPr>
          <t xml:space="preserve">?
</t>
        </r>
      </text>
    </comment>
    <comment ref="AB24" authorId="0">
      <text>
        <r>
          <rPr>
            <sz val="9"/>
            <color indexed="81"/>
            <rFont val="Tahoma"/>
            <family val="2"/>
          </rPr>
          <t xml:space="preserve">Instead of 5659
</t>
        </r>
      </text>
    </comment>
    <comment ref="A32" authorId="0">
      <text>
        <r>
          <rPr>
            <sz val="9"/>
            <color indexed="81"/>
            <rFont val="Tahoma"/>
            <family val="2"/>
          </rPr>
          <t xml:space="preserve">From extract provided by Mobistar.
</t>
        </r>
      </text>
    </comment>
  </commentList>
</comments>
</file>

<file path=xl/comments8.xml><?xml version="1.0" encoding="utf-8"?>
<comments xmlns="http://schemas.openxmlformats.org/spreadsheetml/2006/main">
  <authors>
    <author>djibril diakite</author>
  </authors>
  <commentList>
    <comment ref="J6" authorId="0">
      <text>
        <r>
          <rPr>
            <sz val="9"/>
            <color indexed="81"/>
            <rFont val="Tahoma"/>
            <family val="2"/>
          </rPr>
          <t xml:space="preserve">BT's impact
</t>
        </r>
      </text>
    </comment>
  </commentList>
</comments>
</file>

<file path=xl/comments9.xml><?xml version="1.0" encoding="utf-8"?>
<comments xmlns="http://schemas.openxmlformats.org/spreadsheetml/2006/main">
  <authors>
    <author>djibril diakite</author>
    <author>Thibaut</author>
  </authors>
  <commentList>
    <comment ref="E3" authorId="0">
      <text>
        <r>
          <rPr>
            <sz val="9"/>
            <color indexed="81"/>
            <rFont val="Tahoma"/>
            <family val="2"/>
          </rPr>
          <t>Or 1Q12-1Q3 (Fiscal year 2013) for UK SPs</t>
        </r>
      </text>
    </comment>
    <comment ref="N16" authorId="0">
      <text>
        <r>
          <rPr>
            <sz val="9"/>
            <color indexed="81"/>
            <rFont val="Tahoma"/>
            <family val="2"/>
          </rPr>
          <t>Excluding ICS</t>
        </r>
      </text>
    </comment>
    <comment ref="E71" authorId="0">
      <text>
        <r>
          <rPr>
            <sz val="9"/>
            <color indexed="81"/>
            <rFont val="Tahoma"/>
            <family val="2"/>
          </rPr>
          <t xml:space="preserve">"N/A" replaced by mentioned Total - (Wireless+Wireline) revenues.
</t>
        </r>
      </text>
    </comment>
    <comment ref="U73" authorId="0">
      <text>
        <r>
          <rPr>
            <sz val="9"/>
            <color indexed="81"/>
            <rFont val="Tahoma"/>
            <family val="2"/>
          </rPr>
          <t xml:space="preserve">Wireless services + Mobile wholesale :
different presentation in IR xls 2011 &amp; before (without explicit split Consumer Mobile vs. Consumer Residential)
</t>
        </r>
      </text>
    </comment>
    <comment ref="U74" authorId="0">
      <text>
        <r>
          <rPr>
            <sz val="9"/>
            <color indexed="81"/>
            <rFont val="Tahoma"/>
            <family val="2"/>
          </rPr>
          <t>Voice + Internet</t>
        </r>
      </text>
    </comment>
    <comment ref="Q78" authorId="0">
      <text>
        <r>
          <rPr>
            <sz val="9"/>
            <color indexed="81"/>
            <rFont val="Tahoma"/>
            <family val="2"/>
          </rPr>
          <t>Labelled 'Corporate Market' before 2013</t>
        </r>
      </text>
    </comment>
    <comment ref="Q79" authorId="0">
      <text>
        <r>
          <rPr>
            <sz val="9"/>
            <color indexed="81"/>
            <rFont val="Tahoma"/>
            <family val="2"/>
          </rPr>
          <t>iBasis</t>
        </r>
      </text>
    </comment>
    <comment ref="T87" authorId="0">
      <text>
        <r>
          <rPr>
            <sz val="9"/>
            <color indexed="81"/>
            <rFont val="Tahoma"/>
            <family val="2"/>
          </rPr>
          <t>Wireless services + Mobile wholesale :
different presentation in IR xls 2011 &amp; before (without explicit split Consumer Mobile vs. Consumer Residential)</t>
        </r>
      </text>
    </comment>
    <comment ref="T88" authorId="0">
      <text>
        <r>
          <rPr>
            <sz val="9"/>
            <color indexed="81"/>
            <rFont val="Tahoma"/>
            <family val="2"/>
          </rPr>
          <t xml:space="preserve">Voice + Internet
</t>
        </r>
      </text>
    </comment>
    <comment ref="Q92" authorId="0">
      <text>
        <r>
          <rPr>
            <sz val="9"/>
            <color indexed="81"/>
            <rFont val="Tahoma"/>
            <family val="2"/>
          </rPr>
          <t>Labelled 'Corporate Market' before 2013</t>
        </r>
      </text>
    </comment>
    <comment ref="Q93" authorId="0">
      <text>
        <r>
          <rPr>
            <sz val="9"/>
            <color indexed="81"/>
            <rFont val="Tahoma"/>
            <family val="2"/>
          </rPr>
          <t>iBasis</t>
        </r>
      </text>
    </comment>
    <comment ref="B159" authorId="0">
      <text>
        <r>
          <rPr>
            <sz val="9"/>
            <color indexed="81"/>
            <rFont val="Tahoma"/>
            <family val="2"/>
          </rPr>
          <t>Some absolute values are mentioned but not their % on Bloomberg's screenshot. We prefered to take them into account and ajust original % accordingly</t>
        </r>
      </text>
    </comment>
    <comment ref="F208" authorId="0">
      <text>
        <r>
          <rPr>
            <sz val="9"/>
            <color indexed="81"/>
            <rFont val="Tahoma"/>
            <family val="2"/>
          </rPr>
          <t xml:space="preserve">(Was "N/A")
</t>
        </r>
      </text>
    </comment>
    <comment ref="T208" authorId="0">
      <text>
        <r>
          <rPr>
            <sz val="9"/>
            <color indexed="81"/>
            <rFont val="Tahoma"/>
            <family val="2"/>
          </rPr>
          <t xml:space="preserve">V. Q2 2013
</t>
        </r>
      </text>
    </comment>
    <comment ref="U208" authorId="0">
      <text>
        <r>
          <rPr>
            <sz val="9"/>
            <color indexed="81"/>
            <rFont val="Tahoma"/>
            <family val="2"/>
          </rPr>
          <t xml:space="preserve">737 in AR 2010
</t>
        </r>
      </text>
    </comment>
    <comment ref="C214" authorId="1">
      <text>
        <r>
          <rPr>
            <sz val="9"/>
            <color indexed="81"/>
            <rFont val="Tahoma"/>
            <family val="2"/>
          </rPr>
          <t>Thailand</t>
        </r>
      </text>
    </comment>
    <comment ref="C215" authorId="1">
      <text>
        <r>
          <rPr>
            <sz val="9"/>
            <color indexed="81"/>
            <rFont val="Tahoma"/>
            <family val="2"/>
          </rPr>
          <t>Malaysia</t>
        </r>
      </text>
    </comment>
    <comment ref="C218" authorId="1">
      <text>
        <r>
          <rPr>
            <sz val="9"/>
            <color indexed="81"/>
            <rFont val="Tahoma"/>
            <family val="2"/>
          </rPr>
          <t>Bangladesh</t>
        </r>
      </text>
    </comment>
    <comment ref="C222" authorId="1">
      <text>
        <r>
          <rPr>
            <sz val="9"/>
            <color indexed="81"/>
            <rFont val="Tahoma"/>
            <family val="2"/>
          </rPr>
          <t>Hungary</t>
        </r>
      </text>
    </comment>
    <comment ref="C225" authorId="1">
      <text>
        <r>
          <rPr>
            <sz val="9"/>
            <color indexed="81"/>
            <rFont val="Tahoma"/>
            <family val="2"/>
          </rPr>
          <t>Montenegro</t>
        </r>
      </text>
    </comment>
    <comment ref="U294" authorId="0">
      <text>
        <r>
          <rPr>
            <sz val="9"/>
            <color indexed="81"/>
            <rFont val="Tahoma"/>
            <family val="2"/>
          </rPr>
          <t xml:space="preserve">Once more, not a splendid example of F/M transparency : we understand why Bloomberg's analyst gave up after 2009
</t>
        </r>
      </text>
    </comment>
    <comment ref="AG307" authorId="0">
      <text>
        <r>
          <rPr>
            <sz val="9"/>
            <color indexed="81"/>
            <rFont val="Tahoma"/>
            <family val="2"/>
          </rPr>
          <t>More than a week now, on all browsers. Can't believe it.
Update : rumors of take over bid by America Movil</t>
        </r>
      </text>
    </comment>
  </commentList>
</comments>
</file>

<file path=xl/sharedStrings.xml><?xml version="1.0" encoding="utf-8"?>
<sst xmlns="http://schemas.openxmlformats.org/spreadsheetml/2006/main" count="10340" uniqueCount="2815">
  <si>
    <t>NET_DEBT</t>
  </si>
  <si>
    <t>ENTERPRISE_VALUE</t>
  </si>
  <si>
    <t>MOBB BB  equity</t>
  </si>
  <si>
    <t>TKA AV equity</t>
  </si>
  <si>
    <t>DTE GR equity</t>
  </si>
  <si>
    <t>HTO GA equity</t>
  </si>
  <si>
    <t>TIT IM  equity</t>
  </si>
  <si>
    <t>KPN NA  equity</t>
  </si>
  <si>
    <t>PTC PL equity</t>
  </si>
  <si>
    <t>TEF SM equity</t>
  </si>
  <si>
    <t>TLSN SS equity</t>
  </si>
  <si>
    <t>BT/A LN equity</t>
  </si>
  <si>
    <t>SCMN VX  equity</t>
  </si>
  <si>
    <t>TDC DC equity</t>
  </si>
  <si>
    <t>TEL NO equity</t>
  </si>
  <si>
    <t>TEL2B SS  equity</t>
  </si>
  <si>
    <t>BELG BB equity</t>
  </si>
  <si>
    <t>VOD LN equity</t>
  </si>
  <si>
    <t>TNET BB equity</t>
  </si>
  <si>
    <t>France</t>
  </si>
  <si>
    <t>Belgique</t>
  </si>
  <si>
    <t>Autriche</t>
  </si>
  <si>
    <t>Danemark</t>
  </si>
  <si>
    <t>Allemagne</t>
  </si>
  <si>
    <t>Grèce</t>
  </si>
  <si>
    <t>Italie</t>
  </si>
  <si>
    <t>Pays-Bas</t>
  </si>
  <si>
    <t>Portugal</t>
  </si>
  <si>
    <t>Espagne</t>
  </si>
  <si>
    <t>Suède</t>
  </si>
  <si>
    <t>Suisse</t>
  </si>
  <si>
    <t>Norvège</t>
  </si>
  <si>
    <t>UK</t>
  </si>
  <si>
    <t>ILD FP equity</t>
  </si>
  <si>
    <t>EV_TO_T12M_EBITDA</t>
  </si>
  <si>
    <t>Telekom Austria</t>
  </si>
  <si>
    <t>Mobistar</t>
  </si>
  <si>
    <t>Belgacom</t>
  </si>
  <si>
    <t>Telenet</t>
  </si>
  <si>
    <t>TDC</t>
  </si>
  <si>
    <t>Telefonica</t>
  </si>
  <si>
    <t>Iliad</t>
  </si>
  <si>
    <t>OTE</t>
  </si>
  <si>
    <t>Telenor</t>
  </si>
  <si>
    <t>KPN</t>
  </si>
  <si>
    <t>Portugal Telecom</t>
  </si>
  <si>
    <t>TeliaSonera</t>
  </si>
  <si>
    <t>Tele2</t>
  </si>
  <si>
    <t>Swisscom</t>
  </si>
  <si>
    <t>Vodafone</t>
  </si>
  <si>
    <t>BT</t>
  </si>
  <si>
    <t>MKT_VAL_OF_EQY</t>
  </si>
  <si>
    <t>DT</t>
  </si>
  <si>
    <t>TEF</t>
  </si>
  <si>
    <t>PT</t>
  </si>
  <si>
    <t>Mobile</t>
  </si>
  <si>
    <t>marpij associés</t>
  </si>
  <si>
    <t>71, Faubourg St Antoine</t>
  </si>
  <si>
    <t xml:space="preserve">F-75011 Paris </t>
  </si>
  <si>
    <t>EBITDA</t>
  </si>
  <si>
    <t>Source: xe.com</t>
  </si>
  <si>
    <t>NOK</t>
  </si>
  <si>
    <t>SEK</t>
  </si>
  <si>
    <t>CHF</t>
  </si>
  <si>
    <t>£</t>
  </si>
  <si>
    <t>Europe</t>
  </si>
  <si>
    <t>Ebitda</t>
  </si>
  <si>
    <t>A</t>
  </si>
  <si>
    <t>A-</t>
  </si>
  <si>
    <t>BBB+</t>
  </si>
  <si>
    <t>BBB</t>
  </si>
  <si>
    <t>BBB-</t>
  </si>
  <si>
    <t>#N/A N/A</t>
  </si>
  <si>
    <t>Finland</t>
  </si>
  <si>
    <t>ORA FP equity</t>
  </si>
  <si>
    <t>Pologne</t>
  </si>
  <si>
    <t>TPS PW equity</t>
  </si>
  <si>
    <t>(or value from closest quarter)</t>
  </si>
  <si>
    <t>Missing due to an update failure</t>
  </si>
  <si>
    <t>R.U.</t>
  </si>
  <si>
    <t>Currency</t>
  </si>
  <si>
    <t>Mkt Cap €</t>
  </si>
  <si>
    <t>PLN</t>
  </si>
  <si>
    <t>Avg. Mkt Cap €</t>
  </si>
  <si>
    <t>ELI1V FH equity</t>
  </si>
  <si>
    <t>D/(D+E)</t>
  </si>
  <si>
    <t>Avg. D/(D+E)</t>
  </si>
  <si>
    <t>EV/Ebitda</t>
  </si>
  <si>
    <t>Quaters avg.</t>
  </si>
  <si>
    <t>NOK / €</t>
  </si>
  <si>
    <t>PLN / €</t>
  </si>
  <si>
    <t>£ / €</t>
  </si>
  <si>
    <t>SEK / €</t>
  </si>
  <si>
    <t>CHF / €</t>
  </si>
  <si>
    <r>
      <rPr>
        <b/>
        <sz val="10"/>
        <rFont val="Wingdings"/>
        <charset val="2"/>
      </rPr>
      <t>ä</t>
    </r>
    <r>
      <rPr>
        <b/>
        <sz val="10"/>
        <rFont val="Arial"/>
        <family val="2"/>
      </rPr>
      <t xml:space="preserve"> D/(D+E)</t>
    </r>
  </si>
  <si>
    <t>D/Ebitda</t>
  </si>
  <si>
    <t>S&amp;P's</t>
  </si>
  <si>
    <t>Moody's</t>
  </si>
  <si>
    <t>Fitch</t>
  </si>
  <si>
    <t>Composite</t>
  </si>
  <si>
    <t>Pays</t>
  </si>
  <si>
    <t>Rating</t>
  </si>
  <si>
    <t>Outlook</t>
  </si>
  <si>
    <t>STABLE</t>
  </si>
  <si>
    <t>A1</t>
  </si>
  <si>
    <t>A+</t>
  </si>
  <si>
    <t>Deutsch Telekom</t>
  </si>
  <si>
    <t>Baa1</t>
  </si>
  <si>
    <t>HTO</t>
  </si>
  <si>
    <t>B+</t>
  </si>
  <si>
    <t>Caa1</t>
  </si>
  <si>
    <t>CCC+</t>
  </si>
  <si>
    <t>B-</t>
  </si>
  <si>
    <t>Baa2</t>
  </si>
  <si>
    <t>NEG</t>
  </si>
  <si>
    <t>Orange</t>
  </si>
  <si>
    <t>A3</t>
  </si>
  <si>
    <t>BB</t>
  </si>
  <si>
    <t>Ba2</t>
  </si>
  <si>
    <t>A2</t>
  </si>
  <si>
    <t>POS</t>
  </si>
  <si>
    <t>Telecom Italia</t>
  </si>
  <si>
    <t>Baa3</t>
  </si>
  <si>
    <t>B1</t>
  </si>
  <si>
    <t>Elisa</t>
  </si>
  <si>
    <t>Operator</t>
  </si>
  <si>
    <t>Line</t>
  </si>
  <si>
    <t>Segment</t>
  </si>
  <si>
    <t>Consumer BU</t>
  </si>
  <si>
    <t>1S13</t>
  </si>
  <si>
    <t>Entreprise BU</t>
  </si>
  <si>
    <t>International Carrier Services</t>
  </si>
  <si>
    <t>CBU</t>
  </si>
  <si>
    <t>Service delivery engine</t>
  </si>
  <si>
    <t>EBU</t>
  </si>
  <si>
    <t>Fixed communications services</t>
  </si>
  <si>
    <t>N/A</t>
  </si>
  <si>
    <t>Total</t>
  </si>
  <si>
    <t>Mobile communications services</t>
  </si>
  <si>
    <t>% Ebitda</t>
  </si>
  <si>
    <t>BT retail</t>
  </si>
  <si>
    <t>BT global services</t>
  </si>
  <si>
    <t>Openreach</t>
  </si>
  <si>
    <t>BT wholesale</t>
  </si>
  <si>
    <t>IOT &amp; Managed networks</t>
  </si>
  <si>
    <t>Call and lines</t>
  </si>
  <si>
    <t>other revenue</t>
  </si>
  <si>
    <t>broadband &amp; convergence</t>
  </si>
  <si>
    <t>Mobile &amp; Fixed communications</t>
  </si>
  <si>
    <t>Systems Solutions</t>
  </si>
  <si>
    <t>Operating segments AR 2012: Germany, Europa, US, Systems Solutions, HQ &amp; shared services</t>
  </si>
  <si>
    <t>Group headquarters and shared services</t>
  </si>
  <si>
    <t>Adjustments &amp; other BU</t>
  </si>
  <si>
    <t>Other</t>
  </si>
  <si>
    <t>wireless services</t>
  </si>
  <si>
    <t>wired services</t>
  </si>
  <si>
    <t>Reconciliation</t>
  </si>
  <si>
    <t>Broadband / Fixed network</t>
  </si>
  <si>
    <t>Consumer Customers</t>
  </si>
  <si>
    <t>Corporate Customers</t>
  </si>
  <si>
    <t>Eliminations</t>
  </si>
  <si>
    <t>Other Business</t>
  </si>
  <si>
    <t>Wireless Services</t>
  </si>
  <si>
    <t>Wireline Services</t>
  </si>
  <si>
    <t>Unlocated Items</t>
  </si>
  <si>
    <t>Haut débit internet</t>
  </si>
  <si>
    <t>Wireless services</t>
  </si>
  <si>
    <t>inter-segment sales</t>
  </si>
  <si>
    <t>téléphonie traditionelle</t>
  </si>
  <si>
    <t>The Netherlands</t>
  </si>
  <si>
    <t>Mobile International</t>
  </si>
  <si>
    <t>Wireless</t>
  </si>
  <si>
    <t>Wireline</t>
  </si>
  <si>
    <t>Adjustments &amp; other operations</t>
  </si>
  <si>
    <t>Mobile Telecommunications</t>
  </si>
  <si>
    <t>Rationale of suspending Fixed B2B offers</t>
  </si>
  <si>
    <t>Why:</t>
  </si>
  <si>
    <t>Fixed line telecommunications</t>
  </si>
  <si>
    <t>Luxembourg - Mobile</t>
  </si>
  <si>
    <t>Unallocated</t>
  </si>
  <si>
    <t>Personal communications services</t>
  </si>
  <si>
    <t>Home communications services</t>
  </si>
  <si>
    <t>Entreprise communications services</t>
  </si>
  <si>
    <t>international carrier &amp; shared services</t>
  </si>
  <si>
    <t>Wireless Operations</t>
  </si>
  <si>
    <t>Wireline Operations</t>
  </si>
  <si>
    <t>* Gross figures (excl. eliminations and other income)</t>
  </si>
  <si>
    <t>%Ebitda</t>
  </si>
  <si>
    <t>Brazil Oi</t>
  </si>
  <si>
    <t>Enterprise</t>
  </si>
  <si>
    <t>Brazil</t>
  </si>
  <si>
    <t xml:space="preserve">Sur PT, pas de répartition Fixe/Mobile pour le CA de Brasil Oi qui représente aujourd'hui près de la moitié des </t>
  </si>
  <si>
    <t>Other &amp; Eliminations</t>
  </si>
  <si>
    <t>revenus de PT (et de 40% de l'Ebitda). Pas de données base client en dehors du Portugal sur les xls.</t>
  </si>
  <si>
    <t>Segmentation Portugal (à mi-2013, 42% du CA pour 12% de la base client)</t>
  </si>
  <si>
    <t>Fixe =</t>
  </si>
  <si>
    <t>Personal</t>
  </si>
  <si>
    <t>Resid.</t>
  </si>
  <si>
    <t>Wholesale, other &amp; eliminations (Portugal)</t>
  </si>
  <si>
    <t>Personal = Mobile Consumers</t>
  </si>
  <si>
    <t>Pers.</t>
  </si>
  <si>
    <t>2/3 base client Entreprise, mais Brodband = 10% vs 30% pour le GP</t>
  </si>
  <si>
    <t>adjustments</t>
  </si>
  <si>
    <t xml:space="preserve">Entreprise = Fixe, Mobile, IT Entreprises </t>
  </si>
  <si>
    <t>Entr</t>
  </si>
  <si>
    <t xml:space="preserve">Et Mobile nettement plus high-end a priori. </t>
  </si>
  <si>
    <t>domestic mobile</t>
  </si>
  <si>
    <t>Wholesale, other and eliminations</t>
  </si>
  <si>
    <t>retail</t>
  </si>
  <si>
    <t>Soit CA Fixe Entreprise = 8/11 =</t>
  </si>
  <si>
    <t>(43% si 1 Client Fixe = 1 Client Mobile sur Entreprise)</t>
  </si>
  <si>
    <t>other revenus (hosting)</t>
  </si>
  <si>
    <t xml:space="preserve">Sur les autres marchés (="Brazil Oi" en 2010): hypothèse mobile = </t>
  </si>
  <si>
    <t>Swisscom Switzerland</t>
  </si>
  <si>
    <t>Fastweb</t>
  </si>
  <si>
    <t>Other IT - Services</t>
  </si>
  <si>
    <t>Latin America</t>
  </si>
  <si>
    <t>Spain</t>
  </si>
  <si>
    <t>Other (Atento) and inter-group elimination</t>
  </si>
  <si>
    <t>LatAm</t>
  </si>
  <si>
    <t>Mobile telephony</t>
  </si>
  <si>
    <t>DTAC</t>
  </si>
  <si>
    <t>DiGi</t>
  </si>
  <si>
    <t>Telenor Mobile Sweden</t>
  </si>
  <si>
    <t>Other Network Based Activities</t>
  </si>
  <si>
    <t>Grameenphone</t>
  </si>
  <si>
    <t>Telenor - Pakistan</t>
  </si>
  <si>
    <t>Other Operations</t>
  </si>
  <si>
    <t>Telenor Pannon</t>
  </si>
  <si>
    <t>Unitech Wireless - India</t>
  </si>
  <si>
    <t>Telenor - Serbia</t>
  </si>
  <si>
    <t>Promonte</t>
  </si>
  <si>
    <t>Telenor Mobile Norway</t>
  </si>
  <si>
    <t>Broadcast</t>
  </si>
  <si>
    <t>Montenegro</t>
  </si>
  <si>
    <t>Mobile Telephony</t>
  </si>
  <si>
    <t>Fixed broadband</t>
  </si>
  <si>
    <t>Domestic</t>
  </si>
  <si>
    <t>Brazil Mobile</t>
  </si>
  <si>
    <t>Argentina</t>
  </si>
  <si>
    <t>Olivetti</t>
  </si>
  <si>
    <t>TI Media</t>
  </si>
  <si>
    <t>Media</t>
  </si>
  <si>
    <t>Telecommunications Services</t>
  </si>
  <si>
    <t>Elimination</t>
  </si>
  <si>
    <t>additional markets (Serbia, Macedonia, Liechtenstein)</t>
  </si>
  <si>
    <t>Mobile Communication</t>
  </si>
  <si>
    <t>Fixed Net</t>
  </si>
  <si>
    <t>Landline telephony</t>
  </si>
  <si>
    <t>Mobility services</t>
  </si>
  <si>
    <t>Internet and network</t>
  </si>
  <si>
    <t>Terminal equipment, etc.</t>
  </si>
  <si>
    <t>Residential</t>
  </si>
  <si>
    <t>Cable Television</t>
  </si>
  <si>
    <t>Business</t>
  </si>
  <si>
    <t>Mobile Telephony Services</t>
  </si>
  <si>
    <t>Fixed Line Telephony Services</t>
  </si>
  <si>
    <t>Data Services</t>
  </si>
  <si>
    <t>Radio Communications</t>
  </si>
  <si>
    <t>Fixed-Line telecommunications</t>
  </si>
  <si>
    <t>Mobile telecommunications</t>
  </si>
  <si>
    <t>Mobility</t>
  </si>
  <si>
    <t>AR 2012</t>
  </si>
  <si>
    <t>Broadbd</t>
  </si>
  <si>
    <t>Eurasia</t>
  </si>
  <si>
    <t>% Mobility</t>
  </si>
  <si>
    <t>Voice Revenue</t>
  </si>
  <si>
    <t>Data Revenue</t>
  </si>
  <si>
    <t>Messaging Revenue</t>
  </si>
  <si>
    <t>Fixed line operators / DSL</t>
  </si>
  <si>
    <t>Other revenue / resellers</t>
  </si>
  <si>
    <t>other - service revenue</t>
  </si>
  <si>
    <t>Wired Services</t>
  </si>
  <si>
    <t>AMAP</t>
  </si>
  <si>
    <t>¥</t>
  </si>
  <si>
    <t>MOB</t>
  </si>
  <si>
    <t>TKA</t>
  </si>
  <si>
    <t>VOD</t>
  </si>
  <si>
    <t>BELG</t>
  </si>
  <si>
    <t>TEL</t>
  </si>
  <si>
    <t>TEL2</t>
  </si>
  <si>
    <t>TNET</t>
  </si>
  <si>
    <t>TLSN</t>
  </si>
  <si>
    <t>ELI</t>
  </si>
  <si>
    <t>TIT</t>
  </si>
  <si>
    <t>ILD</t>
  </si>
  <si>
    <t>ORA</t>
  </si>
  <si>
    <t>TPS</t>
  </si>
  <si>
    <t>SCM</t>
  </si>
  <si>
    <t>= = =</t>
  </si>
  <si>
    <t>= =</t>
  </si>
  <si>
    <t>¯ ¯</t>
  </si>
  <si>
    <t>¯ ¯ ¯</t>
  </si>
  <si>
    <t>Comp.</t>
  </si>
  <si>
    <r>
      <t xml:space="preserve">= </t>
    </r>
    <r>
      <rPr>
        <sz val="10"/>
        <rFont val="Symbol"/>
        <family val="1"/>
        <charset val="2"/>
      </rPr>
      <t>¯</t>
    </r>
  </si>
  <si>
    <r>
      <t>­</t>
    </r>
    <r>
      <rPr>
        <sz val="10"/>
        <rFont val="Arial"/>
        <family val="2"/>
      </rPr>
      <t xml:space="preserve"> = =</t>
    </r>
  </si>
  <si>
    <r>
      <t xml:space="preserve">= = </t>
    </r>
    <r>
      <rPr>
        <sz val="10"/>
        <rFont val="Symbol"/>
        <family val="1"/>
        <charset val="2"/>
      </rPr>
      <t>¯</t>
    </r>
  </si>
  <si>
    <r>
      <t xml:space="preserve">= </t>
    </r>
    <r>
      <rPr>
        <sz val="10"/>
        <rFont val="Symbol"/>
        <family val="1"/>
        <charset val="2"/>
      </rPr>
      <t>¯ ¯</t>
    </r>
  </si>
  <si>
    <t>DKK</t>
  </si>
  <si>
    <t>DKK/€</t>
  </si>
  <si>
    <t>Initial</t>
  </si>
  <si>
    <t>Moyenne</t>
  </si>
  <si>
    <t>Sample</t>
  </si>
  <si>
    <r>
      <rPr>
        <b/>
        <sz val="10"/>
        <rFont val="Wingdings"/>
        <charset val="2"/>
      </rPr>
      <t>ä</t>
    </r>
    <r>
      <rPr>
        <b/>
        <sz val="10"/>
        <rFont val="Arial"/>
        <family val="2"/>
      </rPr>
      <t xml:space="preserve"> Mkt Cap €</t>
    </r>
  </si>
  <si>
    <t>AA+</t>
  </si>
  <si>
    <t>Aa1</t>
  </si>
  <si>
    <t>AAA</t>
  </si>
  <si>
    <t>Aaa</t>
  </si>
  <si>
    <t>AA</t>
  </si>
  <si>
    <t>Aa3</t>
  </si>
  <si>
    <t>AA-</t>
  </si>
  <si>
    <t>Mobile Inter.</t>
  </si>
  <si>
    <t>Cons. Mobile</t>
  </si>
  <si>
    <t>Cons. Resid.</t>
  </si>
  <si>
    <t>Dutch Telco</t>
  </si>
  <si>
    <t>IT Solutions</t>
  </si>
  <si>
    <t>Revenue</t>
  </si>
  <si>
    <t>RoW</t>
  </si>
  <si>
    <t>Germ.</t>
  </si>
  <si>
    <t>Belgium</t>
  </si>
  <si>
    <t>% Int.</t>
  </si>
  <si>
    <t>% KPN*</t>
  </si>
  <si>
    <t>% Mobile1</t>
  </si>
  <si>
    <t>http://countryeconomy.com/ratings</t>
  </si>
  <si>
    <t xml:space="preserve">BBB- </t>
  </si>
  <si>
    <t>C</t>
  </si>
  <si>
    <t>D</t>
  </si>
  <si>
    <t>CCC-</t>
  </si>
  <si>
    <t>Ba3</t>
  </si>
  <si>
    <t>BB-</t>
  </si>
  <si>
    <t>BB+</t>
  </si>
  <si>
    <t>B</t>
  </si>
  <si>
    <t>CCC</t>
  </si>
  <si>
    <t>Caa2</t>
  </si>
  <si>
    <t>Caa3</t>
  </si>
  <si>
    <t>Ca</t>
  </si>
  <si>
    <t>D/E</t>
  </si>
  <si>
    <r>
      <rPr>
        <sz val="10"/>
        <rFont val="Symbol"/>
        <family val="1"/>
        <charset val="2"/>
      </rPr>
      <t>¯</t>
    </r>
    <r>
      <rPr>
        <sz val="10"/>
        <rFont val="Arial"/>
        <family val="2"/>
      </rPr>
      <t xml:space="preserve"> </t>
    </r>
    <r>
      <rPr>
        <sz val="10"/>
        <rFont val="Symbol"/>
        <family val="1"/>
        <charset val="2"/>
      </rPr>
      <t>¯ ¯</t>
    </r>
  </si>
  <si>
    <t>Vodafone bought C&amp;W in July 2012 (market cap &gt;1Bn€, against around 6Bn€ by 2007) - integrated into the business on 1 April 2013</t>
  </si>
  <si>
    <t>SNC PL equity</t>
  </si>
  <si>
    <t>Slovénie</t>
  </si>
  <si>
    <t>TLSG SV equity</t>
  </si>
  <si>
    <t>EV_TO_T12M_SALES</t>
  </si>
  <si>
    <t>PE_RATIO</t>
  </si>
  <si>
    <t>EFF_TAX_RATE</t>
  </si>
  <si>
    <t>Px Last</t>
  </si>
  <si>
    <t>DKKEUR Curncy</t>
  </si>
  <si>
    <t>NOKEUR Curncy</t>
  </si>
  <si>
    <t>PLNEUR Curncy</t>
  </si>
  <si>
    <t>GBPEUR Curncy</t>
  </si>
  <si>
    <t>SEKEUR Curncy</t>
  </si>
  <si>
    <t>CHFEUR Curncy</t>
  </si>
  <si>
    <t>(Bloomberg Raw Data)</t>
  </si>
  <si>
    <t>SNC</t>
  </si>
  <si>
    <t>TLSG</t>
  </si>
  <si>
    <t>NET DEBT</t>
  </si>
  <si>
    <t>MKT CAP</t>
  </si>
  <si>
    <t>EV</t>
  </si>
  <si>
    <t>EV/EBITDA</t>
  </si>
  <si>
    <t>EV/SALES</t>
  </si>
  <si>
    <t xml:space="preserve">(Partly) from financial report </t>
  </si>
  <si>
    <t>P/E</t>
  </si>
  <si>
    <t>Italics: bi-annual</t>
  </si>
  <si>
    <t>1H13</t>
  </si>
  <si>
    <t>From Bloomberg terminal screenshots</t>
  </si>
  <si>
    <t>Marpij Analysis</t>
  </si>
  <si>
    <t>% Revenue</t>
  </si>
  <si>
    <t>Geo</t>
  </si>
  <si>
    <t>Fixed</t>
  </si>
  <si>
    <t>Mobile % Rev.</t>
  </si>
  <si>
    <t>SDE&amp;W</t>
  </si>
  <si>
    <t>1H12</t>
  </si>
  <si>
    <t>% Revenue°</t>
  </si>
  <si>
    <t>Avg.</t>
  </si>
  <si>
    <t>Greece</t>
  </si>
  <si>
    <t>Romania</t>
  </si>
  <si>
    <t>Albania</t>
  </si>
  <si>
    <t>Bulgaria</t>
  </si>
  <si>
    <t>%Rev.</t>
  </si>
  <si>
    <t>Avg. Greece Mobile / Greece</t>
  </si>
  <si>
    <t>Mobile % Revenue</t>
  </si>
  <si>
    <t>Greece :</t>
  </si>
  <si>
    <r>
      <t xml:space="preserve">Hypothèse Mobile % CA Portugal à peu près constant. Idem sur le Brésil à partir de 2011, avec l'hypothèse </t>
    </r>
    <r>
      <rPr>
        <i/>
        <sz val="10"/>
        <color rgb="FF0070C0"/>
        <rFont val="Symbol"/>
        <family val="1"/>
        <charset val="2"/>
      </rPr>
      <t>®</t>
    </r>
  </si>
  <si>
    <t>Rev.$ Oi</t>
  </si>
  <si>
    <r>
      <t xml:space="preserve">30% env. base client GP, mais 50% CA GP, soit 1 client Fixe </t>
    </r>
    <r>
      <rPr>
        <i/>
        <sz val="10"/>
        <color rgb="FF0070C0"/>
        <rFont val="Symbol"/>
        <family val="1"/>
        <charset val="2"/>
      </rPr>
      <t>»</t>
    </r>
    <r>
      <rPr>
        <i/>
        <sz val="10"/>
        <color rgb="FF0070C0"/>
        <rFont val="Arial"/>
        <family val="2"/>
      </rPr>
      <t xml:space="preserve"> 5/3 Mobile </t>
    </r>
  </si>
  <si>
    <t>Austria</t>
  </si>
  <si>
    <t>% Ebitda°</t>
  </si>
  <si>
    <t>% Ebitda°/ % Rev.°</t>
  </si>
  <si>
    <t>% Rev.</t>
  </si>
  <si>
    <t>% Revenue Portugal</t>
  </si>
  <si>
    <t>% Ebitda Portugal</t>
  </si>
  <si>
    <t xml:space="preserve">Mobile % Ebitda  </t>
  </si>
  <si>
    <t>% Ebitda / % Rev.</t>
  </si>
  <si>
    <t>% Ebitda/ % Rev.</t>
  </si>
  <si>
    <t>"The main reasons were loss of high-margin service revenue in Mobility Services and net sales</t>
  </si>
  <si>
    <t>volume decrease in Broadband Services, partly offset by the net sales increase in Eurasia."</t>
  </si>
  <si>
    <t xml:space="preserve">"Business area Eurasia comprises mobile operations in Kazakhstan, Azerbaijan, Uzbekistan, Tajikistan, Georgia, Moldova and Nepal. </t>
  </si>
  <si>
    <t>The business area is also responsible for developing TeliaSonera’s shareholding in Russian MegaFon (25 percent) and Turkish Turkcell (38 percent)."</t>
  </si>
  <si>
    <t>BS_PV_FUTURE_MIN_OP_LEASE_OBL</t>
  </si>
  <si>
    <t>WACC_WEIGHT_OF_DEBT_%_AVERAGE</t>
  </si>
  <si>
    <t>TRAIL_12M_INT_EXP_BOND</t>
  </si>
  <si>
    <t>BS_FUTURE_MIN_OPER_LEASE_OBLIG</t>
  </si>
  <si>
    <t>OP. LEASE</t>
  </si>
  <si>
    <t>Avg. Maturity</t>
  </si>
  <si>
    <t>Cost of debt</t>
  </si>
  <si>
    <t>Maturity</t>
  </si>
  <si>
    <t>Present Value</t>
  </si>
  <si>
    <t xml:space="preserve">Maturity </t>
  </si>
  <si>
    <t xml:space="preserve">PV OL </t>
  </si>
  <si>
    <t>Inputs</t>
  </si>
  <si>
    <t>Operating lease expense in current year =</t>
  </si>
  <si>
    <t>Operating Lease Commitments (From footnote to financials)</t>
  </si>
  <si>
    <t>Year</t>
  </si>
  <si>
    <t>Commitment</t>
  </si>
  <si>
    <t>! Year 1 is next year, ….</t>
  </si>
  <si>
    <t>6 and beyond</t>
  </si>
  <si>
    <t>Pre-tax Cost of Debt =</t>
  </si>
  <si>
    <t>From the current financial statements, enter the following</t>
  </si>
  <si>
    <t>Reported Operating Income (EBIT) =</t>
  </si>
  <si>
    <t>! This is the EBIT reported in the current income statement</t>
  </si>
  <si>
    <t>Reported Debt =</t>
  </si>
  <si>
    <t>! This is the interest-bearing debt reported on the balance sheet</t>
  </si>
  <si>
    <t>Reported Interest Expenses =</t>
  </si>
  <si>
    <t>Output</t>
  </si>
  <si>
    <t>Number of years embedded in yr 6 estimate =</t>
  </si>
  <si>
    <t>! I use the average lease expense over the first five years</t>
  </si>
  <si>
    <t>to estimate the number of years of expenses in yr 6</t>
  </si>
  <si>
    <t>Converting Operating Leases into debt</t>
  </si>
  <si>
    <t>! Commitment beyond year 6 converted into an annuity for ten years</t>
  </si>
  <si>
    <t>Debt Value of leases =</t>
  </si>
  <si>
    <t>Restated Financials</t>
  </si>
  <si>
    <t>Operating Income with Operating leases reclassified as debt =</t>
  </si>
  <si>
    <t>Debt with Operating leases reclassified as debt =</t>
  </si>
  <si>
    <t>Full Operating lease adjustment</t>
  </si>
  <si>
    <t>Reported Operating income =</t>
  </si>
  <si>
    <t xml:space="preserve"> + Current year's operating lease expense =</t>
  </si>
  <si>
    <t xml:space="preserve"> - Depreciation on leased asset =</t>
  </si>
  <si>
    <t>Adjusted Operating Income</t>
  </si>
  <si>
    <t>Total OL =</t>
  </si>
  <si>
    <t>PV with a constant commitment :</t>
  </si>
  <si>
    <t>Operating Lease Converter - Damodaran</t>
  </si>
  <si>
    <t>% D*</t>
  </si>
  <si>
    <t>BV OL</t>
  </si>
  <si>
    <t>OL = Operating Lease</t>
  </si>
  <si>
    <t>BV = Book Value</t>
  </si>
  <si>
    <t>PV = Present Value</t>
  </si>
  <si>
    <t>INTEREST_COVERAGE_RATIO</t>
  </si>
  <si>
    <t>Telekom Slovenije</t>
  </si>
  <si>
    <t>Ba1</t>
  </si>
  <si>
    <t>or unavailable when downloaded</t>
  </si>
  <si>
    <t>Bloom Cleaner Data</t>
  </si>
  <si>
    <t>N/A indices</t>
  </si>
  <si>
    <t>TRAIL_12M_EFF_TAX_RT</t>
  </si>
  <si>
    <t>DDIS_AVG_MTY_ISSUER_SUBS</t>
  </si>
  <si>
    <t>WACC_COST_OF_DEBT</t>
  </si>
  <si>
    <t>WACC_COST_OF_DEBT_%_AVERAGE</t>
  </si>
  <si>
    <t>NET_DEBT_TO_EBITDA_AVERAGE</t>
  </si>
  <si>
    <t>INDX_ADJ_POS_PX_EE</t>
  </si>
  <si>
    <t>BS_WTD_AVG_INT_RATE_ST_DEBT</t>
  </si>
  <si>
    <t>INDX_MARKET_CAP</t>
  </si>
  <si>
    <t>BS_WTD_AVG_INT_RATE_LT_DEBT</t>
  </si>
  <si>
    <t>IDX_ENTERPRISE_VALUE</t>
  </si>
  <si>
    <t>BS_WTD_AVG_INT_RATE_ST_LT_DEBT</t>
  </si>
  <si>
    <t>IDX_EST_PRICE_BOOK</t>
  </si>
  <si>
    <t>TOTAL_DEBT_WAVG_MATURITY</t>
  </si>
  <si>
    <t>INDX_PX_SALES</t>
  </si>
  <si>
    <t>EV_EST_SALES_NEXT_YR_AGGTE</t>
  </si>
  <si>
    <t>PX_TO_BOOK_RATIO</t>
  </si>
  <si>
    <t>BB_COMPOSITE</t>
  </si>
  <si>
    <t>INTEREST_COVERAGE_RATIO_AVERAGE</t>
  </si>
  <si>
    <t>EST_PE_NXT_YR</t>
  </si>
  <si>
    <t>BEST_EPEG_RATIO</t>
  </si>
  <si>
    <t>WACC</t>
  </si>
  <si>
    <t>BEST_PEG_RATIO_NXT_YR</t>
  </si>
  <si>
    <t>BEST_EST_LONG_TERM_GROWTH</t>
  </si>
  <si>
    <t>BS_CASH_NEAR_CASH_ITEM</t>
  </si>
  <si>
    <t>BS_PENSION_RSRV</t>
  </si>
  <si>
    <t>NET_DEBT_TO_EBITDA</t>
  </si>
  <si>
    <t>TRAIL_12M_CAP_INT_EXP</t>
  </si>
  <si>
    <t>1H10 - 1H13</t>
  </si>
  <si>
    <t xml:space="preserve">1H12 - 1H13 </t>
  </si>
  <si>
    <t>E300 Telco</t>
  </si>
  <si>
    <t>FT3NCY Index</t>
  </si>
  <si>
    <t>Telco</t>
  </si>
  <si>
    <t>EETELES Index</t>
  </si>
  <si>
    <t>Euro Telco</t>
  </si>
  <si>
    <t>EFMOBTE Index</t>
  </si>
  <si>
    <t>E300 Fixed</t>
  </si>
  <si>
    <t>E3TELE Index</t>
  </si>
  <si>
    <t>E300 Mobile</t>
  </si>
  <si>
    <t>EFTELES Index</t>
  </si>
  <si>
    <t>Ultilities</t>
  </si>
  <si>
    <t>FT3UTL Index</t>
  </si>
  <si>
    <t>Euro Utilities</t>
  </si>
  <si>
    <t>EEUTLOS Index</t>
  </si>
  <si>
    <t>IDX_EST_EV_EBITDA</t>
  </si>
  <si>
    <t>INDX_ADJ_PE</t>
  </si>
  <si>
    <t>INDX_PX_BOOK</t>
  </si>
  <si>
    <t>Germany</t>
  </si>
  <si>
    <t>Italy</t>
  </si>
  <si>
    <t>Norway</t>
  </si>
  <si>
    <t>Netherlands</t>
  </si>
  <si>
    <t>Poland</t>
  </si>
  <si>
    <t>Sweden</t>
  </si>
  <si>
    <t>Switzerland</t>
  </si>
  <si>
    <t>Average</t>
  </si>
  <si>
    <t>Current</t>
  </si>
  <si>
    <t>No rating</t>
  </si>
  <si>
    <t>N/a</t>
  </si>
  <si>
    <t>Original segments: Austria (around 2/3 Revenues &amp; Ebitda), Bulgaria, Croatia, Belarus,</t>
  </si>
  <si>
    <t>Fixed lines only in Austria</t>
  </si>
  <si>
    <t xml:space="preserve">Additional decompositions available within geo. segments: Monthly Fee and Traffic, Data and </t>
  </si>
  <si>
    <t>ICT Solutions, Wholesale (incl. Roaming), Interconnection, Equipment, Other revenues</t>
  </si>
  <si>
    <t>Fixed/Mobile Ebitda split available but Fixed Ebitda negative</t>
  </si>
  <si>
    <t>By 1H13, 1/3 Mobile customer base from MVNO (Telenet).</t>
  </si>
  <si>
    <t>Fixe % Rev.</t>
  </si>
  <si>
    <t>Included interco (1/4 to 1/3 Mobile revenues)</t>
  </si>
  <si>
    <t xml:space="preserve">Mobile revenues n/a in 2011/2010/2010 but: mention of +67% in 2012 with stable Fixed revenues 2011 vs. 2010 </t>
  </si>
  <si>
    <t>And Mobile more than x2 in 2010. (Mobile now about to over Fixed in telephony, i.e excl. broadband and cable TV.)</t>
  </si>
  <si>
    <t>)</t>
  </si>
  <si>
    <t>Broadband</t>
  </si>
  <si>
    <t>TV</t>
  </si>
  <si>
    <t>Terminal Equipement</t>
  </si>
  <si>
    <t>Other Services</t>
  </si>
  <si>
    <t>2012 Ebitda Mobile naturally negative with a start in early 2012, but positive for 1H13</t>
  </si>
  <si>
    <t>Mobile services</t>
  </si>
  <si>
    <t>% Rev. Group</t>
  </si>
  <si>
    <t xml:space="preserve">Mobile services &amp; equipt </t>
  </si>
  <si>
    <t xml:space="preserve">% Rev. (Fixed+Mobile) </t>
  </si>
  <si>
    <t>Beside operational KPI, Fixed/Mobile split n/a as a matter of fact in 2012 &amp; 1H13 financial reports</t>
  </si>
  <si>
    <t>(only, for instance, comments on the relative evolution of Mobile services and Data in Germany)</t>
  </si>
  <si>
    <t>% Revenue°°</t>
  </si>
  <si>
    <t>° Excl. Other : Other's risk profile similar to (Fixe, Mobile) weighted average</t>
  </si>
  <si>
    <t>°° Incl. Other : Other's risk profile assumed similar to Fixed line services</t>
  </si>
  <si>
    <t>% Rev Mobile</t>
  </si>
  <si>
    <t>Brasil Mobile</t>
  </si>
  <si>
    <t>(Avg.)</t>
  </si>
  <si>
    <t>Data</t>
  </si>
  <si>
    <t>Telenor Mobile Danmark</t>
  </si>
  <si>
    <t>Denmark</t>
  </si>
  <si>
    <t>Bl. Mobile % Rev.</t>
  </si>
  <si>
    <t>From Marpij's calculation on IR xls</t>
  </si>
  <si>
    <t>(Montenegro)</t>
  </si>
  <si>
    <t>(Bangladesh)</t>
  </si>
  <si>
    <t>(Thailand)</t>
  </si>
  <si>
    <t>(Hungary)</t>
  </si>
  <si>
    <t>Wireless operations</t>
  </si>
  <si>
    <t>Wireline operations</t>
  </si>
  <si>
    <t>(Marpij - Bloom)</t>
  </si>
  <si>
    <t>Bl. Mobile % (F+M)</t>
  </si>
  <si>
    <t>F+M</t>
  </si>
  <si>
    <t>Bl. Mobile % Total</t>
  </si>
  <si>
    <t>(TEF - Bloom)</t>
  </si>
  <si>
    <t>Other &amp; eliminations</t>
  </si>
  <si>
    <t>ok</t>
  </si>
  <si>
    <t>… Before identifying relevant estimates from Bloomberg :</t>
  </si>
  <si>
    <t>"Mobile Telephony Services" - "Wireless"</t>
  </si>
  <si>
    <t>(Fixed telephony</t>
  </si>
  <si>
    <t>Total Mobile</t>
  </si>
  <si>
    <t>(+ messaging, content and M2M)</t>
  </si>
  <si>
    <t>Voice traffic</t>
  </si>
  <si>
    <t>Wholesale</t>
  </si>
  <si>
    <t>Mobile equipment</t>
  </si>
  <si>
    <t>Fixed services</t>
  </si>
  <si>
    <t>(incl. narrow/broadband, TV, VoIP, enterprise solutions &amp; network, wholesale)</t>
  </si>
  <si>
    <t>"Fixed Line Telephony Services" - "Wireline"</t>
  </si>
  <si>
    <t>Fixed + Mobile</t>
  </si>
  <si>
    <t xml:space="preserve">Mobile % (F+M) </t>
  </si>
  <si>
    <t>Mobile % Rev</t>
  </si>
  <si>
    <t>"Wireless" % Rev</t>
  </si>
  <si>
    <t>(excl. terminals)</t>
  </si>
  <si>
    <t>"Wireless" % Tot.</t>
  </si>
  <si>
    <t>% M. services</t>
  </si>
  <si>
    <t xml:space="preserve">Mob. equipt </t>
  </si>
  <si>
    <t>(i.e. excl. Mob. equipt)</t>
  </si>
  <si>
    <t>(Mob. Equipt + Other)</t>
  </si>
  <si>
    <t>% Total</t>
  </si>
  <si>
    <t>% (Mob. equipt + Other) i.e. % "Sales of Good and Others"</t>
  </si>
  <si>
    <t>Sales of Good and Others</t>
  </si>
  <si>
    <t>Change of presentation in TPS accounts in 2012 :</t>
  </si>
  <si>
    <t>with above adj % Rev.</t>
  </si>
  <si>
    <t xml:space="preserve">Either way, a relatively (and generally) lower Ebitda contribution from Mobile </t>
  </si>
  <si>
    <t>(100% Bloomberg inputs &amp; 1H13 n/a) 70% Mobile in Brazil</t>
  </si>
  <si>
    <t>(Not useful)</t>
  </si>
  <si>
    <t>Brazil Oi consolidé à 25% en fait depuis 2T11 (les chiffres Bloomberg pour 2010 doivent correspondre à Others/Afrique&amp;co.)</t>
  </si>
  <si>
    <t>Hardware</t>
  </si>
  <si>
    <t>Mobile 2</t>
  </si>
  <si>
    <t>Fixed 2</t>
  </si>
  <si>
    <t>% Mobile 2</t>
  </si>
  <si>
    <t>Mapij's calculations on IR xls :</t>
  </si>
  <si>
    <t>Total 1</t>
  </si>
  <si>
    <t>Bl. "Wireless" % Rev.</t>
  </si>
  <si>
    <t xml:space="preserve">Customised sol. </t>
  </si>
  <si>
    <t>Total 2</t>
  </si>
  <si>
    <t>X</t>
  </si>
  <si>
    <t>Fixed 3</t>
  </si>
  <si>
    <t>Total 3</t>
  </si>
  <si>
    <t>Fastweb, IT, Hospitality, etc.</t>
  </si>
  <si>
    <t xml:space="preserve">% Mobile 3 </t>
  </si>
  <si>
    <r>
      <rPr>
        <sz val="10"/>
        <color rgb="FF0070C0"/>
        <rFont val="Wingdings 3"/>
        <family val="1"/>
        <charset val="2"/>
      </rPr>
      <t>Ó</t>
    </r>
    <r>
      <rPr>
        <sz val="10"/>
        <color rgb="FF0070C0"/>
        <rFont val="Wingdings"/>
        <charset val="2"/>
      </rPr>
      <t>ä</t>
    </r>
  </si>
  <si>
    <r>
      <rPr>
        <sz val="10"/>
        <color rgb="FF0070C0"/>
        <rFont val="Symbol"/>
        <family val="1"/>
        <charset val="2"/>
      </rPr>
      <t>­</t>
    </r>
    <r>
      <rPr>
        <sz val="10"/>
        <color rgb="FF0070C0"/>
        <rFont val="Arial"/>
        <family val="2"/>
      </rPr>
      <t xml:space="preserve"> "Bug" here from Bloomberg</t>
    </r>
  </si>
  <si>
    <t xml:space="preserve">For 2012, analyst only took 1P revenues, not 2P/3P, 4P (mixed), and not X = Fastweb (3P Italy) + IT, Hospitality &amp; co </t>
  </si>
  <si>
    <t>V. Bloom incl. a share of terminal sales*</t>
  </si>
  <si>
    <t>(Gross profit available)</t>
  </si>
  <si>
    <t>Operator services</t>
  </si>
  <si>
    <t>(No Ebitda split, but gross profit available)</t>
  </si>
  <si>
    <t xml:space="preserve">Total </t>
  </si>
  <si>
    <t>Excluding (marginal) Operator services (?), Other, and Terminal Equipment - thus, split according to F/M services revenues</t>
  </si>
  <si>
    <t>Bloom - Marpij</t>
  </si>
  <si>
    <t>V. Bloom fully excl. Terminal from Mobile</t>
  </si>
  <si>
    <r>
      <t>(</t>
    </r>
    <r>
      <rPr>
        <sz val="10"/>
        <color rgb="FF0070C0"/>
        <rFont val="Symbol"/>
        <family val="1"/>
        <charset val="2"/>
      </rPr>
      <t>¬</t>
    </r>
    <r>
      <rPr>
        <sz val="10"/>
        <color rgb="FF0070C0"/>
        <rFont val="Arial"/>
        <family val="2"/>
      </rPr>
      <t xml:space="preserve"> estimate for 1H13 on avg.)</t>
    </r>
  </si>
  <si>
    <t>(Including IT &amp; co as Fixed operations)</t>
  </si>
  <si>
    <t>Business Equipt sales added to Fixed 1 (approximation)</t>
  </si>
  <si>
    <t>Assuming around 50% F/M revenue share for relatively marginal 4P bundles (3% in 2012, 6% by 1H13)</t>
  </si>
  <si>
    <t>Devices sales split along % Mobile 1 (approximation)</t>
  </si>
  <si>
    <t>Wired services</t>
  </si>
  <si>
    <t>Fixed Broadband</t>
  </si>
  <si>
    <t>Fixed Telephony</t>
  </si>
  <si>
    <t>Fixed telephony</t>
  </si>
  <si>
    <t>Other operations (IT - outsourcing)</t>
  </si>
  <si>
    <t>Ebit</t>
  </si>
  <si>
    <t>Capex</t>
  </si>
  <si>
    <t>Net sales</t>
  </si>
  <si>
    <t>(Including one-off items)</t>
  </si>
  <si>
    <t>With Other operations (IT &amp; co) rather assimilated to Fixed</t>
  </si>
  <si>
    <t>services in terms of risk :</t>
  </si>
  <si>
    <t>(No clue why Bloomberg's inputs significantly differ from ours</t>
  </si>
  <si>
    <t>Bloom Mobile % Rev.</t>
  </si>
  <si>
    <t>Mobile % Ebitda</t>
  </si>
  <si>
    <t>For Mobile :</t>
  </si>
  <si>
    <t>% Ebit / % Rev.</t>
  </si>
  <si>
    <t>Mobile % Tot. Ebitda</t>
  </si>
  <si>
    <t>Mobile % Tot Ebit</t>
  </si>
  <si>
    <t>Mobile % Tot Capex</t>
  </si>
  <si>
    <t>% Capex / % Rev.</t>
  </si>
  <si>
    <t>Mobile relative contribution clearly decreasing in terms of Ebitda</t>
  </si>
  <si>
    <t>&amp; Ebit (although some one-off items may have impacted above</t>
  </si>
  <si>
    <t>With "neutralized" Other operations" (i.e within Mobile + Fixed</t>
  </si>
  <si>
    <t>Here % (Mobile + Fixed broadband &amp; tel.)</t>
  </si>
  <si>
    <t>broadband &amp; Tel.) :</t>
  </si>
  <si>
    <t>LatAm % Rev.</t>
  </si>
  <si>
    <t>(incl. handsets)</t>
  </si>
  <si>
    <r>
      <t xml:space="preserve">E/R </t>
    </r>
    <r>
      <rPr>
        <sz val="10"/>
        <rFont val="Symbol"/>
        <family val="1"/>
        <charset val="2"/>
      </rPr>
      <t>³</t>
    </r>
    <r>
      <rPr>
        <sz val="10"/>
        <rFont val="Arial"/>
        <family val="2"/>
      </rPr>
      <t xml:space="preserve"> 1 stable</t>
    </r>
  </si>
  <si>
    <t>ratios). V curve in contrast for Capex : renewed investments for</t>
  </si>
  <si>
    <t>(Such transparency and clarity are a rare treat)</t>
  </si>
  <si>
    <t>Mobile 1</t>
  </si>
  <si>
    <t>Fixed 1</t>
  </si>
  <si>
    <t>% Mobile 1</t>
  </si>
  <si>
    <t>% Mobile 3</t>
  </si>
  <si>
    <t>Sonaecom</t>
  </si>
  <si>
    <t>(Bloomberg inputs replaced because of a clear Bloomberg's mistake)</t>
  </si>
  <si>
    <r>
      <t xml:space="preserve">With Ebit &amp; Capex   E/R </t>
    </r>
    <r>
      <rPr>
        <sz val="10"/>
        <color theme="1"/>
        <rFont val="Symbol"/>
        <family val="1"/>
        <charset val="2"/>
      </rPr>
      <t>»</t>
    </r>
    <r>
      <rPr>
        <sz val="10"/>
        <color theme="1"/>
        <rFont val="Arial"/>
        <family val="2"/>
      </rPr>
      <t>1 decreasing</t>
    </r>
  </si>
  <si>
    <t xml:space="preserve">for 2012 &amp; 2009, in spite of straightforward original data.)  </t>
  </si>
  <si>
    <t>Mobile Network</t>
  </si>
  <si>
    <t>Fixed Network</t>
  </si>
  <si>
    <t>Multimedia</t>
  </si>
  <si>
    <t>(Bloomberg screenshot omitted)</t>
  </si>
  <si>
    <t>Information Systems</t>
  </si>
  <si>
    <t>Revenues</t>
  </si>
  <si>
    <t>Service revenues + equipment sales (other revenues not in turnover but added to Ebitda)</t>
  </si>
  <si>
    <t>Software &amp; Information Systems</t>
  </si>
  <si>
    <t>SSI</t>
  </si>
  <si>
    <t>Onine &amp; Media</t>
  </si>
  <si>
    <t>Idem</t>
  </si>
  <si>
    <t>(Online a negative Ebit or Ebitda is mentioned)</t>
  </si>
  <si>
    <t>Bl. Mobile % Ebitda</t>
  </si>
  <si>
    <t>Bl. % Ebitda/ % Rev.</t>
  </si>
  <si>
    <t>Excluding Multimedia (instead of adding it to Fixed, so reducing % Mobile by around 3 bps)</t>
  </si>
  <si>
    <r>
      <t xml:space="preserve">(E/R </t>
    </r>
    <r>
      <rPr>
        <sz val="10"/>
        <color theme="1"/>
        <rFont val="Symbol"/>
        <family val="1"/>
        <charset val="2"/>
      </rPr>
      <t>»</t>
    </r>
    <r>
      <rPr>
        <sz val="9"/>
        <color theme="1"/>
        <rFont val="Arial"/>
        <family val="2"/>
      </rPr>
      <t xml:space="preserve"> </t>
    </r>
    <r>
      <rPr>
        <sz val="10"/>
        <color theme="1"/>
        <rFont val="Arial"/>
        <family val="2"/>
      </rPr>
      <t>1.5)</t>
    </r>
  </si>
  <si>
    <t>do not match additions of indvidual entities)</t>
  </si>
  <si>
    <t>n/a from Bloomberg data (above % Rev.</t>
  </si>
  <si>
    <t>Mobile Telephone services</t>
  </si>
  <si>
    <t>Fixed-Line Telephone services</t>
  </si>
  <si>
    <t>Other/Mobile Telephone</t>
  </si>
  <si>
    <t>Fixed-line telephone services and lease of capacities</t>
  </si>
  <si>
    <t>Mobile services on end-customer market</t>
  </si>
  <si>
    <t>Broadband and other IP services, cable TV</t>
  </si>
  <si>
    <t>Network interconnection and international operator services</t>
  </si>
  <si>
    <t>Unbundled access, co-locations, offer of bit rate access, offer of services and hosting activities</t>
  </si>
  <si>
    <t>Revenue from the sale of merchandise and materials</t>
  </si>
  <si>
    <t>Other revenue</t>
  </si>
  <si>
    <t>Mobile Merchandise</t>
  </si>
  <si>
    <t>(Excluded)</t>
  </si>
  <si>
    <t>(With shares of Merchandise sale along % Mobile 1)</t>
  </si>
  <si>
    <t>AR 2012 about Ebitda decrease :</t>
  </si>
  <si>
    <t>Eurasia 100% Mobile, but not the same business growth and risk profile :</t>
  </si>
  <si>
    <t>(excluding non-recurring items)</t>
  </si>
  <si>
    <t>Mobility margin</t>
  </si>
  <si>
    <t>Broadband margin</t>
  </si>
  <si>
    <t xml:space="preserve">Mobile % Ebitda </t>
  </si>
  <si>
    <t>(Capex by segments also available)</t>
  </si>
  <si>
    <r>
      <t xml:space="preserve">E/R </t>
    </r>
    <r>
      <rPr>
        <sz val="10"/>
        <color rgb="FF0070C0"/>
        <rFont val="Symbol"/>
        <family val="1"/>
        <charset val="2"/>
      </rPr>
      <t>»</t>
    </r>
    <r>
      <rPr>
        <sz val="8"/>
        <color rgb="FF0070C0"/>
        <rFont val="Arial"/>
        <family val="2"/>
      </rPr>
      <t xml:space="preserve"> </t>
    </r>
    <r>
      <rPr>
        <sz val="10"/>
        <color rgb="FF0070C0"/>
        <rFont val="Arial"/>
        <family val="2"/>
      </rPr>
      <t>1 thanks to Eurasia, otherwise below 1 for mature markets (Nordic, Baltic &amp; Spain)</t>
    </r>
  </si>
  <si>
    <r>
      <t xml:space="preserve">Actually for British Fiscal year n+1 ending at March 31, so for Q1 2010-Q1 2013 </t>
    </r>
    <r>
      <rPr>
        <sz val="10"/>
        <color theme="1"/>
        <rFont val="Symbol"/>
        <family val="1"/>
        <charset val="2"/>
      </rPr>
      <t>»</t>
    </r>
    <r>
      <rPr>
        <sz val="10"/>
        <color theme="1"/>
        <rFont val="Arial"/>
        <family val="2"/>
      </rPr>
      <t xml:space="preserve"> period of analysis</t>
    </r>
  </si>
  <si>
    <r>
      <t xml:space="preserve">E/R </t>
    </r>
    <r>
      <rPr>
        <sz val="10"/>
        <color theme="1"/>
        <rFont val="Symbol"/>
        <family val="1"/>
        <charset val="2"/>
      </rPr>
      <t>£</t>
    </r>
    <r>
      <rPr>
        <sz val="10"/>
        <color theme="1"/>
        <rFont val="Arial"/>
        <family val="2"/>
      </rPr>
      <t xml:space="preserve"> 1, </t>
    </r>
    <r>
      <rPr>
        <sz val="10"/>
        <color theme="1"/>
        <rFont val="Symbol"/>
        <family val="1"/>
        <charset val="2"/>
      </rPr>
      <t>»</t>
    </r>
    <r>
      <rPr>
        <sz val="9"/>
        <color theme="1"/>
        <rFont val="Arial"/>
        <family val="2"/>
      </rPr>
      <t xml:space="preserve"> </t>
    </r>
    <r>
      <rPr>
        <sz val="10"/>
        <color theme="1"/>
        <rFont val="Arial"/>
        <family val="2"/>
      </rPr>
      <t>stable</t>
    </r>
  </si>
  <si>
    <t>(Partially)</t>
  </si>
  <si>
    <t>EV/Ebitda with trailing 12M Ebitda</t>
  </si>
  <si>
    <t>INT. COV.</t>
  </si>
  <si>
    <t>D/EBITDA</t>
  </si>
  <si>
    <t>1Q 2009</t>
  </si>
  <si>
    <t>2Q 2009</t>
  </si>
  <si>
    <t>3Q 2009</t>
  </si>
  <si>
    <t>PT Ebitda</t>
  </si>
  <si>
    <t>4Q 2009</t>
  </si>
  <si>
    <r>
      <t xml:space="preserve">2010 xls </t>
    </r>
    <r>
      <rPr>
        <sz val="10"/>
        <color rgb="FF00B050"/>
        <rFont val="Symbol"/>
        <family val="1"/>
        <charset val="2"/>
      </rPr>
      <t>®</t>
    </r>
  </si>
  <si>
    <r>
      <rPr>
        <sz val="10"/>
        <color rgb="FF00B050"/>
        <rFont val="Symbol"/>
        <family val="1"/>
        <charset val="2"/>
      </rPr>
      <t>¬</t>
    </r>
    <r>
      <rPr>
        <sz val="8"/>
        <color rgb="FF00B050"/>
        <rFont val="Arial"/>
        <family val="2"/>
      </rPr>
      <t xml:space="preserve"> </t>
    </r>
    <r>
      <rPr>
        <sz val="10"/>
        <color rgb="FF00B050"/>
        <rFont val="Arial"/>
        <family val="2"/>
      </rPr>
      <t xml:space="preserve">From 2009 xls, almost /2 for 4Q2009 and Total 2009 in 2010 xls… </t>
    </r>
  </si>
  <si>
    <t>1Q 2010</t>
  </si>
  <si>
    <t>2Q 2010</t>
  </si>
  <si>
    <t>3Q 2010</t>
  </si>
  <si>
    <t>4Q 2010</t>
  </si>
  <si>
    <t>EV/Sales with trailing 12M Sales</t>
  </si>
  <si>
    <t>TOT_SHRHLDR_EQY</t>
  </si>
  <si>
    <t>P/B</t>
  </si>
  <si>
    <t>Slovenia</t>
  </si>
  <si>
    <t>Index</t>
  </si>
  <si>
    <t>Eurozone</t>
  </si>
  <si>
    <t>World</t>
  </si>
  <si>
    <r>
      <rPr>
        <b/>
        <sz val="10"/>
        <rFont val="Wingdings"/>
        <charset val="2"/>
      </rPr>
      <t>ä</t>
    </r>
    <r>
      <rPr>
        <b/>
        <sz val="10"/>
        <rFont val="Arial"/>
        <family val="2"/>
      </rPr>
      <t xml:space="preserve"> vs. Sample</t>
    </r>
  </si>
  <si>
    <t>Vs. Sample</t>
  </si>
  <si>
    <t>EV/Sales</t>
  </si>
  <si>
    <t>Avg. EV/Sales</t>
  </si>
  <si>
    <t>D*/(D*+E)</t>
  </si>
  <si>
    <t>Avg. D*/(D*+E)</t>
  </si>
  <si>
    <r>
      <rPr>
        <b/>
        <sz val="10"/>
        <rFont val="Wingdings"/>
        <charset val="2"/>
      </rPr>
      <t>ä</t>
    </r>
    <r>
      <rPr>
        <b/>
        <sz val="10"/>
        <rFont val="Arial"/>
        <family val="2"/>
      </rPr>
      <t xml:space="preserve"> D*/(D*+E)</t>
    </r>
  </si>
  <si>
    <t>PV OL</t>
  </si>
  <si>
    <t>Quartely</t>
  </si>
  <si>
    <t>smoothing</t>
  </si>
  <si>
    <t>% D</t>
  </si>
  <si>
    <t>PV/BV</t>
  </si>
  <si>
    <t>Avg. PV OL in % D</t>
  </si>
  <si>
    <t>End 2009 - End 2012</t>
  </si>
  <si>
    <t>g* - g</t>
  </si>
  <si>
    <t>For Avg. 1H10 - 1H13</t>
  </si>
  <si>
    <t>(g*- g) / g</t>
  </si>
  <si>
    <t>Avg. D/E</t>
  </si>
  <si>
    <r>
      <rPr>
        <b/>
        <sz val="10"/>
        <rFont val="Wingdings"/>
        <charset val="2"/>
      </rPr>
      <t>ä</t>
    </r>
    <r>
      <rPr>
        <b/>
        <sz val="10"/>
        <rFont val="Arial"/>
        <family val="2"/>
      </rPr>
      <t xml:space="preserve"> D/E</t>
    </r>
  </si>
  <si>
    <t>D*/E</t>
  </si>
  <si>
    <r>
      <rPr>
        <b/>
        <sz val="10"/>
        <rFont val="Wingdings"/>
        <charset val="2"/>
      </rPr>
      <t>ä</t>
    </r>
    <r>
      <rPr>
        <b/>
        <sz val="10"/>
        <rFont val="Arial"/>
        <family val="2"/>
      </rPr>
      <t xml:space="preserve"> D*/E</t>
    </r>
  </si>
  <si>
    <t>OL Impact g</t>
  </si>
  <si>
    <t>g = D/(D+E)</t>
  </si>
  <si>
    <t>(x*- x) / x</t>
  </si>
  <si>
    <t>Applied trailing Ebitda for PT</t>
  </si>
  <si>
    <t>D/E (without OL)</t>
  </si>
  <si>
    <t>D*/E (with OL)</t>
  </si>
  <si>
    <t>Avg. WACC</t>
  </si>
  <si>
    <r>
      <rPr>
        <b/>
        <sz val="10"/>
        <rFont val="Wingdings"/>
        <charset val="2"/>
      </rPr>
      <t>ä</t>
    </r>
    <r>
      <rPr>
        <b/>
        <sz val="10"/>
        <rFont val="Arial"/>
        <family val="2"/>
      </rPr>
      <t xml:space="preserve"> WACC</t>
    </r>
  </si>
  <si>
    <r>
      <rPr>
        <b/>
        <sz val="10"/>
        <rFont val="Symbol"/>
        <family val="1"/>
        <charset val="2"/>
      </rPr>
      <t>D</t>
    </r>
    <r>
      <rPr>
        <b/>
        <sz val="8.5"/>
        <rFont val="Arial"/>
        <family val="2"/>
      </rPr>
      <t xml:space="preserve"> </t>
    </r>
    <r>
      <rPr>
        <b/>
        <sz val="10"/>
        <rFont val="Arial"/>
        <family val="2"/>
      </rPr>
      <t>WACC</t>
    </r>
  </si>
  <si>
    <t xml:space="preserve">Mobile % Revenues </t>
  </si>
  <si>
    <t>vs. EV/Sales</t>
  </si>
  <si>
    <t>M % Rev.</t>
  </si>
  <si>
    <t>1H10 - 1H13 Avg.</t>
  </si>
  <si>
    <t>BELGACOM</t>
  </si>
  <si>
    <t>MOBISTAR</t>
  </si>
  <si>
    <t>TELENET</t>
  </si>
  <si>
    <t>æ</t>
  </si>
  <si>
    <t>End 2009</t>
  </si>
  <si>
    <t>1H10 - 1H13 Rel. Var.</t>
  </si>
  <si>
    <t>EBITDA 12M</t>
  </si>
  <si>
    <t>OL Impact D/E</t>
  </si>
  <si>
    <t>% Mobile</t>
  </si>
  <si>
    <t xml:space="preserve">1H10-1H13 </t>
  </si>
  <si>
    <t xml:space="preserve"> Avg. </t>
  </si>
  <si>
    <t>Relative Var.</t>
  </si>
  <si>
    <t xml:space="preserve">Fixed/Mobile Ebitda </t>
  </si>
  <si>
    <t>split available ?</t>
  </si>
  <si>
    <t>Adj. EV/Ebitda</t>
  </si>
  <si>
    <t>(Not directly useful)</t>
  </si>
  <si>
    <t>Adj. EV/Ea</t>
  </si>
  <si>
    <t>Min</t>
  </si>
  <si>
    <t>Max</t>
  </si>
  <si>
    <t>FIXED</t>
  </si>
  <si>
    <t>MOBILE</t>
  </si>
  <si>
    <t>Last</t>
  </si>
  <si>
    <t>OUTPUTS &amp; Inputs</t>
  </si>
  <si>
    <t xml:space="preserve">g* </t>
  </si>
  <si>
    <t>OL</t>
  </si>
  <si>
    <t>g</t>
  </si>
  <si>
    <t xml:space="preserve">Rating </t>
  </si>
  <si>
    <t>1H10-1H13</t>
  </si>
  <si>
    <r>
      <t xml:space="preserve"> </t>
    </r>
    <r>
      <rPr>
        <sz val="10"/>
        <color rgb="FF000000"/>
        <rFont val="Wingdings"/>
        <charset val="2"/>
      </rPr>
      <t>ä</t>
    </r>
    <r>
      <rPr>
        <sz val="10"/>
        <color rgb="FF000000"/>
        <rFont val="Arial"/>
        <family val="2"/>
      </rPr>
      <t xml:space="preserve"> Price (€)</t>
    </r>
  </si>
  <si>
    <t>TO WACC 3</t>
  </si>
  <si>
    <t>SEGMENTS Data &amp;</t>
  </si>
  <si>
    <t>Estimates</t>
  </si>
  <si>
    <t xml:space="preserve">1H10-13 </t>
  </si>
  <si>
    <t>DJ STOXX Europe TMI Mobile Telecommunications</t>
  </si>
  <si>
    <t>DJ STOXX Europe TMI Fixed Line Telecommunications</t>
  </si>
  <si>
    <t>Brattle</t>
  </si>
  <si>
    <t>(Spain)</t>
  </si>
  <si>
    <t>Source : The Brattle Group for ACM, March 2012</t>
  </si>
  <si>
    <t>CMT **</t>
  </si>
  <si>
    <t>DJ</t>
  </si>
  <si>
    <t xml:space="preserve"> STOXX</t>
  </si>
  <si>
    <t>of lack of information</t>
  </si>
  <si>
    <t>Eventually not</t>
  </si>
  <si>
    <t>considered because</t>
  </si>
  <si>
    <t>and very weak betas</t>
  </si>
  <si>
    <t>in WACC 3</t>
  </si>
  <si>
    <r>
      <rPr>
        <sz val="10"/>
        <color theme="0" tint="-0.14999847407452621"/>
        <rFont val="Symbol"/>
        <family val="1"/>
        <charset val="2"/>
      </rPr>
      <t>»</t>
    </r>
    <r>
      <rPr>
        <sz val="8"/>
        <color theme="0" tint="-0.14999847407452621"/>
        <rFont val="Arial"/>
        <family val="2"/>
      </rPr>
      <t xml:space="preserve"> </t>
    </r>
    <r>
      <rPr>
        <sz val="10"/>
        <color theme="0" tint="-0.14999847407452621"/>
        <rFont val="Arial"/>
        <family val="2"/>
      </rPr>
      <t>Fixed</t>
    </r>
  </si>
  <si>
    <r>
      <rPr>
        <sz val="10"/>
        <color theme="0" tint="-0.249977111117893"/>
        <rFont val="Symbol"/>
        <family val="1"/>
        <charset val="2"/>
      </rPr>
      <t>»</t>
    </r>
    <r>
      <rPr>
        <sz val="8"/>
        <color theme="0" tint="-0.249977111117893"/>
        <rFont val="Arial"/>
        <family val="2"/>
      </rPr>
      <t xml:space="preserve"> </t>
    </r>
    <r>
      <rPr>
        <sz val="10"/>
        <color theme="0" tint="-0.249977111117893"/>
        <rFont val="Arial"/>
        <family val="2"/>
      </rPr>
      <t>Fixed</t>
    </r>
  </si>
  <si>
    <r>
      <rPr>
        <sz val="10"/>
        <color theme="0" tint="-0.499984740745262"/>
        <rFont val="Symbol"/>
        <family val="1"/>
        <charset val="2"/>
      </rPr>
      <t>»</t>
    </r>
    <r>
      <rPr>
        <sz val="8"/>
        <color theme="0" tint="-0.499984740745262"/>
        <rFont val="Arial"/>
        <family val="2"/>
      </rPr>
      <t xml:space="preserve"> </t>
    </r>
    <r>
      <rPr>
        <sz val="10"/>
        <color theme="0" tint="-0.499984740745262"/>
        <rFont val="Arial"/>
        <family val="2"/>
      </rPr>
      <t>Fixed</t>
    </r>
  </si>
  <si>
    <t>Criteria *</t>
  </si>
  <si>
    <t>ACM **</t>
  </si>
  <si>
    <t>Freenet</t>
  </si>
  <si>
    <t>Inmarsat</t>
  </si>
  <si>
    <t xml:space="preserve">UK </t>
  </si>
  <si>
    <t>C&amp;W</t>
  </si>
  <si>
    <t>Colt</t>
  </si>
  <si>
    <t>Jazztel</t>
  </si>
  <si>
    <t xml:space="preserve">Italy </t>
  </si>
  <si>
    <t>TIT NC</t>
  </si>
  <si>
    <t>Ziggo NV</t>
  </si>
  <si>
    <t>1H13 or last</t>
  </si>
  <si>
    <t>available</t>
  </si>
  <si>
    <t>A logical outcome of convergence, with an increasing difficulty to split Mobile business from Fixed line services from SPs' financial reports, is different Fixed/Mobile categorizations by market observers.</t>
  </si>
  <si>
    <r>
      <t xml:space="preserve">- </t>
    </r>
    <r>
      <rPr>
        <b/>
        <sz val="10"/>
        <color theme="1"/>
        <rFont val="Arial"/>
        <family val="2"/>
      </rPr>
      <t>Mobile</t>
    </r>
    <r>
      <rPr>
        <sz val="10"/>
        <color theme="1"/>
        <rFont val="Arial"/>
        <family val="2"/>
      </rPr>
      <t xml:space="preserve"> if Mobile % Revenues &gt; 70% or Mobile % Ebitda &gt; 60% </t>
    </r>
    <r>
      <rPr>
        <i/>
        <sz val="10"/>
        <color theme="1"/>
        <rFont val="Arial"/>
        <family val="2"/>
      </rPr>
      <t>(in italics)</t>
    </r>
  </si>
  <si>
    <r>
      <t xml:space="preserve">- </t>
    </r>
    <r>
      <rPr>
        <b/>
        <sz val="10"/>
        <color theme="1"/>
        <rFont val="Arial"/>
        <family val="2"/>
      </rPr>
      <t>Fixed</t>
    </r>
    <r>
      <rPr>
        <sz val="10"/>
        <color theme="1"/>
        <rFont val="Arial"/>
        <family val="2"/>
      </rPr>
      <t xml:space="preserve"> if Mobile % Revenues &lt; 30% or Mobile % Ebitda &lt; 40%</t>
    </r>
  </si>
  <si>
    <t>Austria % Rev.</t>
  </si>
  <si>
    <t>Austria % Ebitda</t>
  </si>
  <si>
    <t>1H13 (or last available)</t>
  </si>
  <si>
    <t>1H13 (or last available) : % Mobile vs. EV/Sales</t>
  </si>
  <si>
    <t>End 2009 : % Mobile vs. EV/Sales</t>
  </si>
  <si>
    <r>
      <t xml:space="preserve">DT </t>
    </r>
    <r>
      <rPr>
        <sz val="10"/>
        <color theme="0" tint="-0.14999847407452621"/>
        <rFont val="Symbol"/>
        <family val="1"/>
        <charset val="2"/>
      </rPr>
      <t>®</t>
    </r>
  </si>
  <si>
    <t>Adjusted values from Bloomberg estimates and our (signifcantly) lower ones for 1H13 and 2012</t>
  </si>
  <si>
    <t>Bulgaria % Rev.</t>
  </si>
  <si>
    <t>Mobile % Rev. Bulgaria</t>
  </si>
  <si>
    <t>Croatia</t>
  </si>
  <si>
    <t>Croatia % Rev.</t>
  </si>
  <si>
    <t>Mobile % Rev. Croatia</t>
  </si>
  <si>
    <t>No, also in Bulgaria (from Q1 2011) &amp; croatia (Q2 2011)</t>
  </si>
  <si>
    <t>Data &amp; ICT Solutions</t>
  </si>
  <si>
    <t>Rev. 1 = Monthly fees &amp; traffic</t>
  </si>
  <si>
    <t>Wholesale, Interco &amp; Equipement left aside (i.e split according to Mobile/Fixed % Rev. 1)</t>
  </si>
  <si>
    <t>From ARPU Mobile</t>
  </si>
  <si>
    <t>From ARPL Fixed</t>
  </si>
  <si>
    <t>Mobile % Rev. 1 Austria</t>
  </si>
  <si>
    <t>Mobile % Rev. 2 Austria</t>
  </si>
  <si>
    <r>
      <t xml:space="preserve">Data &amp; ICT solutions </t>
    </r>
    <r>
      <rPr>
        <sz val="10"/>
        <color rgb="FF0070C0"/>
        <rFont val="Symbol"/>
        <family val="1"/>
        <charset val="2"/>
      </rPr>
      <t>»</t>
    </r>
    <r>
      <rPr>
        <sz val="10"/>
        <color rgb="FF0070C0"/>
        <rFont val="Arial"/>
        <family val="2"/>
      </rPr>
      <t xml:space="preserve"> 0% in international markets</t>
    </r>
  </si>
  <si>
    <t>Other markets % Rev.</t>
  </si>
  <si>
    <t>Fixed % Rev.</t>
  </si>
  <si>
    <t>T Austria</t>
  </si>
  <si>
    <t>FT</t>
  </si>
  <si>
    <t>TI</t>
  </si>
  <si>
    <t>n.d.</t>
  </si>
  <si>
    <t>LatAm : % Rev. group from 40% to &gt; 50%, with Mobile % Revenue around 2/3 also growing</t>
  </si>
  <si>
    <t>Bl. Mobile % Tot. Rev.</t>
  </si>
  <si>
    <t>From IR xls 1H13 or next year (e.g. xls 2012 for 2011)</t>
  </si>
  <si>
    <t>Consumer</t>
  </si>
  <si>
    <r>
      <rPr>
        <i/>
        <sz val="10"/>
        <color rgb="FF00B050"/>
        <rFont val="Arial"/>
        <family val="2"/>
      </rPr>
      <t>Initially</t>
    </r>
    <r>
      <rPr>
        <sz val="10"/>
        <color rgb="FF00B050"/>
        <rFont val="Arial"/>
        <family val="2"/>
      </rPr>
      <t xml:space="preserve"> collected just for 1H13 + other dates to check consistency with Bloomberg inputs or complete them when n/a</t>
    </r>
  </si>
  <si>
    <t>Mobile % Business</t>
  </si>
  <si>
    <t>F3 = F1 + IT</t>
  </si>
  <si>
    <t>F4 = F2 + IT</t>
  </si>
  <si>
    <t>Total 4</t>
  </si>
  <si>
    <t>% Mobile 4</t>
  </si>
  <si>
    <t>F2 = F1+ Netco</t>
  </si>
  <si>
    <t>Int. Wholesale</t>
  </si>
  <si>
    <t>We have thorougly re-investigated KPN's Mobile % Revenues because, when we checked Bloomberg's 2012 estimates</t>
  </si>
  <si>
    <t>from 1H13 IR xls, we got significantly distinct %.</t>
  </si>
  <si>
    <t>For revenues, KPN's xls present : "revenues and other incomes" (1), "of which: revenues" (2), "of which: external revenues" (3).</t>
  </si>
  <si>
    <t>NetCo (NL Wholes.)</t>
  </si>
  <si>
    <t>Mobile NL Wholesale</t>
  </si>
  <si>
    <t>Mobile % NL Wholesale</t>
  </si>
  <si>
    <t>In KPN's presentations :</t>
  </si>
  <si>
    <t>NetCo, referred as 'Wholesale &amp; Operations (national)' until 2011, regard only Fixed line activities (local loop, WBA, etc.)</t>
  </si>
  <si>
    <r>
      <t xml:space="preserve">Domestic Fixed/Mobile split is available only at level (2), hence percentages in </t>
    </r>
    <r>
      <rPr>
        <i/>
        <sz val="10"/>
        <color rgb="FF0070C0"/>
        <rFont val="Arial"/>
        <family val="2"/>
      </rPr>
      <t>blue italics.</t>
    </r>
  </si>
  <si>
    <t>C&amp;E BUs</t>
  </si>
  <si>
    <t>figures naturally slightly lower than (1) and (2), except for Netco : divided by 5 on average (impact of self-consumption).</t>
  </si>
  <si>
    <t>From financial reports and/or Marpij calculations on Excel files available on IR's websites</t>
  </si>
  <si>
    <t>Terminal sales allocated according to Fixed/Mobile</t>
  </si>
  <si>
    <t>Service Delivery Engine &amp; Wholesale :</t>
  </si>
  <si>
    <t>From 2010 presentations, Fixed/Mobile split only for operational KPIs (number of Fixed channels, Mobile customers)</t>
  </si>
  <si>
    <t xml:space="preserve">1H12 </t>
  </si>
  <si>
    <r>
      <t xml:space="preserve">V. AR09 </t>
    </r>
    <r>
      <rPr>
        <sz val="10"/>
        <color rgb="FF0070C0"/>
        <rFont val="Symbol"/>
        <family val="1"/>
        <charset val="2"/>
      </rPr>
      <t>®</t>
    </r>
  </si>
  <si>
    <r>
      <rPr>
        <sz val="10"/>
        <color rgb="FF0070C0"/>
        <rFont val="Symbol"/>
        <family val="1"/>
        <charset val="2"/>
      </rPr>
      <t>¬</t>
    </r>
    <r>
      <rPr>
        <sz val="10"/>
        <color rgb="FF0070C0"/>
        <rFont val="Arial"/>
        <family val="2"/>
      </rPr>
      <t>1H12</t>
    </r>
  </si>
  <si>
    <t>FY 2012</t>
  </si>
  <si>
    <t>FY 2011</t>
  </si>
  <si>
    <t>FY 2010</t>
  </si>
  <si>
    <t>FY 2009</t>
  </si>
  <si>
    <t>FY 2008</t>
  </si>
  <si>
    <t>Assuming within SDE&amp;W a stable Mobile % Rev. equal to 2009 and 2008 levels (small impact)</t>
  </si>
  <si>
    <r>
      <rPr>
        <sz val="10"/>
        <color rgb="FF0070C0"/>
        <rFont val="Symbol"/>
        <family val="1"/>
        <charset val="2"/>
      </rPr>
      <t>®</t>
    </r>
    <r>
      <rPr>
        <sz val="10"/>
        <color rgb="FF0070C0"/>
        <rFont val="Arial"/>
        <family val="2"/>
      </rPr>
      <t xml:space="preserve"> To check if the decrease of Mobile % Rev. between 1H13 and FY 2012 is due to a seasonnal effect : No</t>
    </r>
  </si>
  <si>
    <t>2009 v. AR 2009*</t>
  </si>
  <si>
    <t>With assumed F/M split for Wholesale</t>
  </si>
  <si>
    <t>(Dutch) 'Consumer Mobile' include 'Mobile Wholesale'.</t>
  </si>
  <si>
    <t>(Bloomberg's analyst also gave up).</t>
  </si>
  <si>
    <r>
      <t xml:space="preserve">In Belgacom's presentation, ICT included in Fixed EBU and TV in Fixed CBU </t>
    </r>
    <r>
      <rPr>
        <sz val="10"/>
        <color rgb="FF0070C0"/>
        <rFont val="Arial"/>
        <family val="2"/>
      </rPr>
      <t>(</t>
    </r>
    <r>
      <rPr>
        <sz val="10"/>
        <color rgb="FF0070C0"/>
        <rFont val="Symbol"/>
        <family val="1"/>
        <charset val="2"/>
      </rPr>
      <t>®</t>
    </r>
    <r>
      <rPr>
        <sz val="8"/>
        <color rgb="FF0070C0"/>
        <rFont val="Arial"/>
        <family val="2"/>
      </rPr>
      <t xml:space="preserve"> </t>
    </r>
    <r>
      <rPr>
        <sz val="10"/>
        <color rgb="FF0070C0"/>
        <rFont val="Arial"/>
        <family val="2"/>
      </rPr>
      <t>may be put aside)</t>
    </r>
  </si>
  <si>
    <t>* Only year where we observed small discrepancies between xls year n and xls year n+1, for year n</t>
  </si>
  <si>
    <t>i.e. excl. Enterprise &amp; Int. carrier &amp; shared services, other revenues</t>
  </si>
  <si>
    <t>likely though to exhibit a higher share of Fixed Services than Fixed % Rev. (Fixed + Mobile)</t>
  </si>
  <si>
    <t>No further details for 'Enterprise &amp; Int. carrier &amp; shared services' = 9% Rev. (excl. others) in 2011 and 2011,</t>
  </si>
  <si>
    <t>Autres marchés: pays lusophones en Afrique et Asie</t>
  </si>
  <si>
    <t>Pour Entreprise, hypothèse 1 client Fixe = 4/3 client Mobile en CA</t>
  </si>
  <si>
    <t>Mapij's calc. on IR xls</t>
  </si>
  <si>
    <t>No similar presentation prior to Q3 2010</t>
  </si>
  <si>
    <t>From Mapij's calculations on (easy) IR xls</t>
  </si>
  <si>
    <t>Residential = Fixed Consumers</t>
  </si>
  <si>
    <t>i.e. services to assimilate to Fixed line services. Easier F/M split for 2011 and before in SCM's xls.</t>
  </si>
  <si>
    <t xml:space="preserve">% Rev. </t>
  </si>
  <si>
    <r>
      <t xml:space="preserve">For 2011 &amp; before : wholesale clearly included in given Fixed and Mobile service revenues </t>
    </r>
    <r>
      <rPr>
        <sz val="10"/>
        <color rgb="FF0070C0"/>
        <rFont val="Arial"/>
        <family val="2"/>
      </rPr>
      <t>(see below for 1H13 &amp; 2012)</t>
    </r>
  </si>
  <si>
    <t>1H13 &amp; 2012 : assuming a similar repartition for '3rd party sales external customers' (Y)</t>
  </si>
  <si>
    <t>ICS excluded from analyzed perimeter (although its risk profile might be closer to Fixed line services)</t>
  </si>
  <si>
    <t>* Excl. iBasis = Int. carrier</t>
  </si>
  <si>
    <r>
      <t xml:space="preserve">Y, a new term weighting 8% (Total 3 + Y) in 2012/2013, seems </t>
    </r>
    <r>
      <rPr>
        <sz val="10"/>
        <color rgb="FF0070C0"/>
        <rFont val="Symbol"/>
        <family val="1"/>
        <charset val="2"/>
      </rPr>
      <t>¹</t>
    </r>
    <r>
      <rPr>
        <sz val="10"/>
        <color rgb="FF0070C0"/>
        <rFont val="Arial"/>
        <family val="2"/>
      </rPr>
      <t xml:space="preserve"> than wholesale</t>
    </r>
  </si>
  <si>
    <t>Mapij's calculations on IR xls</t>
  </si>
  <si>
    <t>On total (F+M) Rev.</t>
  </si>
  <si>
    <t>Excl. Other &amp; elimination</t>
  </si>
  <si>
    <t>Differences likely to stem from the analyses of European countries Mobile businesses, beside Spain's</t>
  </si>
  <si>
    <t>Huge eliminations in Bloomberg 2010, but impact should have been small on %(F+M)</t>
  </si>
  <si>
    <t>? Too small to be = Wholesale</t>
  </si>
  <si>
    <t>with % Rev. "Wireless" (Bloomberg)</t>
  </si>
  <si>
    <t>with % Rev. "Mobile Telephony Services" (Bloomberg)</t>
  </si>
  <si>
    <t xml:space="preserve">our own estimates may come from there (i.e. allocation within this group of revenues), </t>
  </si>
  <si>
    <t>Check TKA's original 2009 statements when their server is no longer out of service.</t>
  </si>
  <si>
    <t>2009 Blomberg's estimate is likely to be based on more direct Mobile/Fixed figures, shown</t>
  </si>
  <si>
    <t>ICT in Fixed, terminals sales split by Fixed/Mobile + (assumed) Mobile/Fixed split within national SDE&amp;W</t>
  </si>
  <si>
    <t>(Bug from Bloomberg)</t>
  </si>
  <si>
    <r>
      <rPr>
        <i/>
        <sz val="10"/>
        <color theme="0" tint="-0.14999847407452621"/>
        <rFont val="Symbol"/>
        <family val="1"/>
        <charset val="2"/>
      </rPr>
      <t>»</t>
    </r>
    <r>
      <rPr>
        <i/>
        <sz val="8"/>
        <color theme="0" tint="-0.14999847407452621"/>
        <rFont val="Arial"/>
        <family val="2"/>
      </rPr>
      <t xml:space="preserve"> </t>
    </r>
    <r>
      <rPr>
        <i/>
        <sz val="10"/>
        <color theme="0" tint="-0.14999847407452621"/>
        <rFont val="Arial"/>
        <family val="2"/>
      </rPr>
      <t>Fixed</t>
    </r>
  </si>
  <si>
    <t xml:space="preserve">At group level, they account for 22-25% Total revenues : spread from 2009 Bloomberg's and </t>
  </si>
  <si>
    <t>before a re-organization and change in presentation of financial accounts from 2010 ?</t>
  </si>
  <si>
    <t>Only Mobile</t>
  </si>
  <si>
    <t>Mobile E/R</t>
  </si>
  <si>
    <t>Mobile E/R 2</t>
  </si>
  <si>
    <t>Mobile E/R 3</t>
  </si>
  <si>
    <t>Scand. Mobile E/R</t>
  </si>
  <si>
    <t xml:space="preserve">Update: we later found DT IR xls (with a lot of tabs, a lot). Group's Mobile % Revenues feasible, </t>
  </si>
  <si>
    <t>but seemingly very time-consuming, ultimately for a marginal impact (if any) in the present determination.</t>
  </si>
  <si>
    <t xml:space="preserve">Clearly, DT, like most other SPs, want analysts to think along its defined business lines : </t>
  </si>
  <si>
    <t>at group level, Mobile vs.Fixed is likely to be a secondary feature compared to geo segments.</t>
  </si>
  <si>
    <t>¬</t>
  </si>
  <si>
    <t>Eventually, we use latter figures (3) as they are clean from various 'other gains &amp; losses', 'eliminations' and 'intercompany revenues' :</t>
  </si>
  <si>
    <t>Our initial analysis was based on re-stated figures which (compared to Belgacom's) differs on several lines &amp; years from initial</t>
  </si>
  <si>
    <t>statements. These figures have been also collected as we were investigating reasons for our differences with Blomberg's values.</t>
  </si>
  <si>
    <t>Eventually, we opt for % based on initially released figures because they show the historical information given to investors.</t>
  </si>
  <si>
    <t>% Mobile is later compared to other historical data such as EV/Ebitda, gearing, betas.</t>
  </si>
  <si>
    <t>(2009 figures are based on 2010 xls, but we then average them with 2010 figures for 1H10 estimates.)</t>
  </si>
  <si>
    <r>
      <t xml:space="preserve">Note that </t>
    </r>
    <r>
      <rPr>
        <b/>
        <sz val="10"/>
        <color rgb="FF0070C0"/>
        <rFont val="Arial"/>
        <family val="2"/>
      </rPr>
      <t>KPN Belgium</t>
    </r>
    <r>
      <rPr>
        <sz val="10"/>
        <color rgb="FF0070C0"/>
        <rFont val="Arial"/>
        <family val="2"/>
      </rPr>
      <t xml:space="preserve"> weights around 7% of KPN group, or less (incl. Int. carrier) </t>
    </r>
  </si>
  <si>
    <r>
      <rPr>
        <sz val="10"/>
        <color rgb="FF0070C0"/>
        <rFont val="Symbol"/>
        <family val="1"/>
        <charset val="2"/>
      </rPr>
      <t>¬</t>
    </r>
    <r>
      <rPr>
        <sz val="10"/>
        <color rgb="FF0070C0"/>
        <rFont val="Arial"/>
        <family val="2"/>
      </rPr>
      <t xml:space="preserve"> Excluded (like BICS)</t>
    </r>
  </si>
  <si>
    <t>Possibly also because of restated revenues.</t>
  </si>
  <si>
    <t>Total services</t>
  </si>
  <si>
    <t>Equipment</t>
  </si>
  <si>
    <t>Assimilated to Fixed (or not Mobile)</t>
  </si>
  <si>
    <t>Mobile Com. (M1)</t>
  </si>
  <si>
    <t>M1 % (M1+F1)</t>
  </si>
  <si>
    <r>
      <t xml:space="preserve">"Mainly mobile devices" : </t>
    </r>
    <r>
      <rPr>
        <sz val="10"/>
        <color rgb="FF0070C0"/>
        <rFont val="Arial"/>
        <family val="2"/>
      </rPr>
      <t>split along M1 % (M1+F1)</t>
    </r>
  </si>
  <si>
    <t>Fixed &amp; TV (F1)</t>
  </si>
  <si>
    <t>Satellite &amp; TV ditrib. (STV)</t>
  </si>
  <si>
    <t>Mobile Rev.</t>
  </si>
  <si>
    <r>
      <rPr>
        <sz val="10"/>
        <color rgb="FF0070C0"/>
        <rFont val="Symbol"/>
        <family val="1"/>
        <charset val="2"/>
      </rPr>
      <t>»</t>
    </r>
    <r>
      <rPr>
        <sz val="10"/>
        <color rgb="FF0070C0"/>
        <rFont val="Arial"/>
        <family val="2"/>
      </rPr>
      <t xml:space="preserve">  Bloomberg's estimates, modulo variations from re-stated figures </t>
    </r>
    <r>
      <rPr>
        <sz val="10"/>
        <color rgb="FF0070C0"/>
        <rFont val="Symbol"/>
        <family val="1"/>
        <charset val="2"/>
      </rPr>
      <t>®</t>
    </r>
  </si>
  <si>
    <t>No similar inputs in 1H13 pdf, but calculations by countries on 1H13 xls (with restated 2012) imply :</t>
  </si>
  <si>
    <r>
      <rPr>
        <sz val="10"/>
        <color rgb="FF0070C0"/>
        <rFont val="Symbol"/>
        <family val="1"/>
        <charset val="2"/>
      </rPr>
      <t>¬</t>
    </r>
    <r>
      <rPr>
        <sz val="10"/>
        <color rgb="FF0070C0"/>
        <rFont val="Arial"/>
        <family val="2"/>
      </rPr>
      <t xml:space="preserve"> Thus, no change for 1H13</t>
    </r>
  </si>
  <si>
    <t>Bl. Scandinavia Mobile</t>
  </si>
  <si>
    <r>
      <t xml:space="preserve">Scandinavia </t>
    </r>
    <r>
      <rPr>
        <sz val="10"/>
        <color theme="1"/>
        <rFont val="Symbol"/>
        <family val="1"/>
        <charset val="2"/>
      </rPr>
      <t>»</t>
    </r>
    <r>
      <rPr>
        <sz val="10"/>
        <color theme="1"/>
        <rFont val="Arial"/>
        <family val="2"/>
      </rPr>
      <t xml:space="preserve"> 40% Revenue. Emerging markets (and quite risky ones) for the rest</t>
    </r>
  </si>
  <si>
    <r>
      <t xml:space="preserve">Little change for 1H13 (or last available % Mobile) from period's averages </t>
    </r>
    <r>
      <rPr>
        <sz val="10"/>
        <color theme="1"/>
        <rFont val="Wingdings"/>
        <charset val="2"/>
      </rPr>
      <t>ä</t>
    </r>
  </si>
  <si>
    <t>To check for a future determination/update</t>
  </si>
  <si>
    <t xml:space="preserve">Difference with TIT? </t>
  </si>
  <si>
    <t>Not considered in Ofcom WACC analysis</t>
  </si>
  <si>
    <t xml:space="preserve">Idem </t>
  </si>
  <si>
    <t>Taken over by Vodafone in 2013</t>
  </si>
  <si>
    <t>Russia</t>
  </si>
  <si>
    <t>Satellite</t>
  </si>
  <si>
    <t>Telenor Danmark</t>
  </si>
  <si>
    <t xml:space="preserve">Revenue &amp; Ebitda splits by Bloomberg are puzzling : there are no such things as "Telenor Mobile Norway" or "Telenor Mobile Sweden". </t>
  </si>
  <si>
    <t>Fixed activities regard all Scandinavian countries. And, in financial reports (pdf and xls), Ebitda are only reported at country (=segment) level</t>
  </si>
  <si>
    <t xml:space="preserve">whereas Fixed/Mobile revenues splits are available. Costs allocation to split Ebitda is not possible (and KPIs not  helpful for this). </t>
  </si>
  <si>
    <t xml:space="preserve">Bloomberg's (dubious) estimates imply that, in Scandinavia, Mobile has been providing a bit more Ebitda (relatively) than Fixed line services </t>
  </si>
  <si>
    <t>In financial reports, lack of transparency regarding Fixed vs. Mobile business due to operational re-organisation,</t>
  </si>
  <si>
    <t>for the period of analysis. While this might be true, we would refrain from further considering these estimates</t>
  </si>
  <si>
    <t>Nordic/Swiss</t>
  </si>
  <si>
    <t>Iberian SPs</t>
  </si>
  <si>
    <t>Small Mobile SPs</t>
  </si>
  <si>
    <t>Positive UK slope but lower than for the following years.</t>
  </si>
  <si>
    <t xml:space="preserve">The picture is a bit more contrasted with P/E, for the available period : Mobile P/E are generally higher but on par with Fixed P/E on several instances : it is possible that the lines have later crossed each other. </t>
  </si>
  <si>
    <t>Cd 01/01/2010</t>
  </si>
  <si>
    <t>Cd 31/12/2010</t>
  </si>
  <si>
    <t>Cd 30/12/2011</t>
  </si>
  <si>
    <t>Cd 28/12/2012</t>
  </si>
  <si>
    <t>TO MS WORD</t>
  </si>
  <si>
    <r>
      <rPr>
        <b/>
        <i/>
        <sz val="10"/>
        <color theme="0"/>
        <rFont val="Arial"/>
        <family val="2"/>
      </rPr>
      <t>FROM</t>
    </r>
    <r>
      <rPr>
        <b/>
        <sz val="10"/>
        <color theme="0"/>
        <rFont val="Arial"/>
        <family val="2"/>
      </rPr>
      <t xml:space="preserve"> WACC 3</t>
    </r>
  </si>
  <si>
    <r>
      <rPr>
        <b/>
        <i/>
        <sz val="10"/>
        <color theme="0"/>
        <rFont val="Arial"/>
        <family val="2"/>
      </rPr>
      <t>FROM</t>
    </r>
    <r>
      <rPr>
        <b/>
        <sz val="10"/>
        <color theme="0"/>
        <rFont val="Arial"/>
        <family val="2"/>
      </rPr>
      <t xml:space="preserve"> WACC 1</t>
    </r>
  </si>
  <si>
    <t>Benchmark</t>
  </si>
  <si>
    <t>Itallie</t>
  </si>
  <si>
    <t xml:space="preserve">Belgique </t>
  </si>
  <si>
    <t>Telekom Polska</t>
  </si>
  <si>
    <t>Opérateur</t>
  </si>
  <si>
    <t>Abbrév.</t>
  </si>
  <si>
    <t xml:space="preserve"> DJ Stoxx</t>
  </si>
  <si>
    <t xml:space="preserve">* In its report for ACM (ex-Opta), the Brattle Group proposes a simple rule to sort SPs : </t>
  </si>
  <si>
    <t>Ofcom only considers BT &amp; Vodafone, for understable reasons.</t>
  </si>
  <si>
    <t xml:space="preserve">Russia/CIS. </t>
  </si>
  <si>
    <t>Adj %Mob</t>
  </si>
  <si>
    <t>1H13 or last avail.</t>
  </si>
  <si>
    <t>Market Cap. (€)</t>
  </si>
  <si>
    <t>% Sample</t>
  </si>
  <si>
    <t>Rel. Var.</t>
  </si>
  <si>
    <r>
      <rPr>
        <sz val="10"/>
        <rFont val="Symbol"/>
        <family val="1"/>
        <charset val="2"/>
      </rPr>
      <t>­</t>
    </r>
    <r>
      <rPr>
        <sz val="10"/>
        <rFont val="Arial"/>
        <family val="2"/>
      </rPr>
      <t xml:space="preserve"> Positive, = Stable</t>
    </r>
  </si>
  <si>
    <r>
      <rPr>
        <sz val="10"/>
        <rFont val="Symbol"/>
        <family val="1"/>
        <charset val="2"/>
      </rPr>
      <t>¯</t>
    </r>
    <r>
      <rPr>
        <sz val="10"/>
        <rFont val="Arial"/>
        <family val="2"/>
      </rPr>
      <t xml:space="preserve"> Negative</t>
    </r>
  </si>
  <si>
    <t>4Q11-2Q13</t>
  </si>
  <si>
    <t>P/E = Price/EPS = Market Cap/Earnings. Does not look workable here, beside missing periods.</t>
  </si>
  <si>
    <t>SHLD EQY</t>
  </si>
  <si>
    <t>E/Eb</t>
  </si>
  <si>
    <t>Avg. E/Eb</t>
  </si>
  <si>
    <t>E/Eb vs. P/B</t>
  </si>
  <si>
    <t>albert.wolss@minfin.fed.be</t>
  </si>
  <si>
    <t xml:space="preserve">+32 257 938 66 </t>
  </si>
  <si>
    <t>Adj. D/Ebitda</t>
  </si>
  <si>
    <t>2009-2012</t>
  </si>
  <si>
    <t>Yr. Avg. E/Eb</t>
  </si>
  <si>
    <t>Weighted avg.</t>
  </si>
  <si>
    <t>Simple avg.</t>
  </si>
  <si>
    <t>Nb of operators :</t>
  </si>
  <si>
    <t>Gearing (without OL)</t>
  </si>
  <si>
    <t>OL Impact</t>
  </si>
  <si>
    <t>Mkt Cap. (€)</t>
  </si>
  <si>
    <r>
      <rPr>
        <b/>
        <sz val="10"/>
        <rFont val="Wingdings"/>
        <charset val="2"/>
      </rPr>
      <t>ä</t>
    </r>
    <r>
      <rPr>
        <b/>
        <sz val="8.3000000000000007"/>
        <rFont val="Arial"/>
        <family val="2"/>
      </rPr>
      <t xml:space="preserve"> </t>
    </r>
    <r>
      <rPr>
        <b/>
        <sz val="10"/>
        <rFont val="Arial"/>
        <family val="2"/>
      </rPr>
      <t>Mkt Cap. (€)</t>
    </r>
  </si>
  <si>
    <t>Period Avg.</t>
  </si>
  <si>
    <t xml:space="preserve">Period </t>
  </si>
  <si>
    <t>g (without OL)</t>
  </si>
  <si>
    <t>Gearing* (with OL)</t>
  </si>
  <si>
    <t>g* (with OL)</t>
  </si>
  <si>
    <t>g*-g</t>
  </si>
  <si>
    <t xml:space="preserve"> (g*-g)/g</t>
  </si>
  <si>
    <t>(g*-g)/g</t>
  </si>
  <si>
    <t>EV €</t>
  </si>
  <si>
    <t>Avg. EV €</t>
  </si>
  <si>
    <r>
      <rPr>
        <b/>
        <sz val="10"/>
        <rFont val="Wingdings"/>
        <charset val="2"/>
      </rPr>
      <t>ä</t>
    </r>
    <r>
      <rPr>
        <b/>
        <sz val="10"/>
        <rFont val="Arial"/>
        <family val="2"/>
      </rPr>
      <t xml:space="preserve"> EV €</t>
    </r>
  </si>
  <si>
    <t>Avg. EV</t>
  </si>
  <si>
    <r>
      <rPr>
        <b/>
        <sz val="10"/>
        <rFont val="Wingdings"/>
        <charset val="2"/>
      </rPr>
      <t>ä</t>
    </r>
    <r>
      <rPr>
        <b/>
        <sz val="10"/>
        <rFont val="Arial"/>
        <family val="2"/>
      </rPr>
      <t xml:space="preserve"> EV</t>
    </r>
  </si>
  <si>
    <t>EV*</t>
  </si>
  <si>
    <r>
      <t xml:space="preserve">Sample </t>
    </r>
    <r>
      <rPr>
        <sz val="10"/>
        <rFont val="Symbol"/>
        <family val="1"/>
        <charset val="2"/>
      </rPr>
      <t>®</t>
    </r>
  </si>
  <si>
    <t>Avg. EV*</t>
  </si>
  <si>
    <r>
      <rPr>
        <b/>
        <sz val="10"/>
        <rFont val="Wingdings"/>
        <charset val="2"/>
      </rPr>
      <t>ä</t>
    </r>
    <r>
      <rPr>
        <b/>
        <sz val="10"/>
        <rFont val="Arial"/>
        <family val="2"/>
      </rPr>
      <t xml:space="preserve"> EV*</t>
    </r>
  </si>
  <si>
    <t>Capi. Moy.</t>
  </si>
  <si>
    <t>Iliad (Free)</t>
  </si>
  <si>
    <t xml:space="preserve">% </t>
  </si>
  <si>
    <t>€</t>
  </si>
  <si>
    <t>Local</t>
  </si>
  <si>
    <r>
      <rPr>
        <b/>
        <sz val="10"/>
        <color theme="0" tint="-0.249977111117893"/>
        <rFont val="Wingdings"/>
        <charset val="2"/>
      </rPr>
      <t>ä</t>
    </r>
    <r>
      <rPr>
        <b/>
        <sz val="10"/>
        <color theme="0" tint="-0.249977111117893"/>
        <rFont val="Arial"/>
        <family val="2"/>
      </rPr>
      <t xml:space="preserve"> Mkt cap</t>
    </r>
  </si>
  <si>
    <t>Moyenne échantillon</t>
  </si>
  <si>
    <t>Moy. simple</t>
  </si>
  <si>
    <t>VE/Ebitda</t>
  </si>
  <si>
    <t>SM</t>
  </si>
  <si>
    <t>SF</t>
  </si>
  <si>
    <t>NS</t>
  </si>
  <si>
    <t>IB</t>
  </si>
  <si>
    <t>CI</t>
  </si>
  <si>
    <t>Cont./Incumb.1</t>
  </si>
  <si>
    <t>Cont./Incumb. 2</t>
  </si>
  <si>
    <t>CI+IB</t>
  </si>
  <si>
    <t>Nordic Swiss</t>
  </si>
  <si>
    <t>Small SPs</t>
  </si>
  <si>
    <t>SF + SM</t>
  </si>
  <si>
    <t>VOD + BT</t>
  </si>
  <si>
    <t>With Ib. SPs</t>
  </si>
  <si>
    <t>Small F &amp; M</t>
  </si>
  <si>
    <t>Groupement</t>
  </si>
  <si>
    <t xml:space="preserve">Op. Britanniques </t>
  </si>
  <si>
    <t>Periode</t>
  </si>
  <si>
    <t>Hist. Continentaux</t>
  </si>
  <si>
    <t>Nordiques &amp; Suisse</t>
  </si>
  <si>
    <t>Petits Opérateurs</t>
  </si>
  <si>
    <t>SM+SF</t>
  </si>
  <si>
    <t>1S10</t>
  </si>
  <si>
    <t>Dont cœur Europe</t>
  </si>
  <si>
    <t>Median</t>
  </si>
  <si>
    <t>Mediane échantillon</t>
  </si>
  <si>
    <t>Médiane</t>
  </si>
  <si>
    <r>
      <rPr>
        <sz val="10"/>
        <color theme="0" tint="-0.249977111117893"/>
        <rFont val="Wingdings"/>
        <charset val="2"/>
      </rPr>
      <t>ä</t>
    </r>
    <r>
      <rPr>
        <sz val="10"/>
        <color theme="0" tint="-0.249977111117893"/>
        <rFont val="Arial"/>
        <family val="2"/>
      </rPr>
      <t xml:space="preserve"> Mkt  Cap</t>
    </r>
  </si>
  <si>
    <r>
      <rPr>
        <sz val="10"/>
        <color theme="0" tint="-0.249977111117893"/>
        <rFont val="Wingdings"/>
        <charset val="2"/>
      </rPr>
      <t>ä</t>
    </r>
    <r>
      <rPr>
        <sz val="10"/>
        <color theme="0" tint="-0.249977111117893"/>
        <rFont val="Arial"/>
        <family val="2"/>
      </rPr>
      <t xml:space="preserve"> EV</t>
    </r>
  </si>
  <si>
    <r>
      <rPr>
        <sz val="10"/>
        <color theme="0" tint="-0.249977111117893"/>
        <rFont val="Wingdings"/>
        <charset val="2"/>
      </rPr>
      <t>ä</t>
    </r>
    <r>
      <rPr>
        <sz val="10"/>
        <color theme="0" tint="-0.249977111117893"/>
        <rFont val="Arial"/>
        <family val="2"/>
      </rPr>
      <t xml:space="preserve"> EV*</t>
    </r>
  </si>
  <si>
    <t>Avg. 1H10-1H13</t>
  </si>
  <si>
    <r>
      <rPr>
        <sz val="10"/>
        <color theme="0" tint="-0.249977111117893"/>
        <rFont val="Wingdings"/>
        <charset val="2"/>
      </rPr>
      <t>ä</t>
    </r>
    <r>
      <rPr>
        <sz val="10"/>
        <color theme="0" tint="-0.249977111117893"/>
        <rFont val="Arial"/>
        <family val="2"/>
      </rPr>
      <t xml:space="preserve"> Ebitda</t>
    </r>
  </si>
  <si>
    <r>
      <rPr>
        <b/>
        <sz val="10"/>
        <color theme="0" tint="-0.249977111117893"/>
        <rFont val="Wingdings"/>
        <charset val="2"/>
      </rPr>
      <t>ä</t>
    </r>
    <r>
      <rPr>
        <b/>
        <sz val="10"/>
        <color theme="0" tint="-0.249977111117893"/>
        <rFont val="Arial"/>
        <family val="2"/>
      </rPr>
      <t xml:space="preserve"> Ebitda</t>
    </r>
  </si>
  <si>
    <t>With 2Q avg.</t>
  </si>
  <si>
    <r>
      <rPr>
        <b/>
        <sz val="10"/>
        <color theme="0" tint="-0.249977111117893"/>
        <rFont val="Wingdings"/>
        <charset val="2"/>
      </rPr>
      <t>ä</t>
    </r>
    <r>
      <rPr>
        <b/>
        <sz val="10"/>
        <color theme="0" tint="-0.249977111117893"/>
        <rFont val="Arial"/>
        <family val="2"/>
      </rPr>
      <t xml:space="preserve"> EV</t>
    </r>
  </si>
  <si>
    <t>Dont Op. Ibériques</t>
  </si>
  <si>
    <r>
      <rPr>
        <b/>
        <sz val="10"/>
        <rFont val="Wingdings"/>
        <charset val="2"/>
      </rPr>
      <t>ä</t>
    </r>
    <r>
      <rPr>
        <b/>
        <sz val="10"/>
        <rFont val="Arial"/>
        <family val="2"/>
      </rPr>
      <t xml:space="preserve"> Adj. D/Ebitda</t>
    </r>
  </si>
  <si>
    <t>Gearing*</t>
  </si>
  <si>
    <r>
      <rPr>
        <b/>
        <sz val="10"/>
        <rFont val="Arial"/>
        <family val="2"/>
      </rPr>
      <t>IB :</t>
    </r>
    <r>
      <rPr>
        <sz val="10"/>
        <rFont val="Arial"/>
        <family val="2"/>
      </rPr>
      <t xml:space="preserve"> Iberian SPs,  TEF &amp; PT, here clearly among </t>
    </r>
    <r>
      <rPr>
        <b/>
        <sz val="10"/>
        <rFont val="Arial"/>
        <family val="2"/>
      </rPr>
      <t>CI</t>
    </r>
  </si>
  <si>
    <r>
      <rPr>
        <b/>
        <sz val="10"/>
        <rFont val="Arial"/>
        <family val="2"/>
      </rPr>
      <t>UK :</t>
    </r>
    <r>
      <rPr>
        <sz val="10"/>
        <rFont val="Arial"/>
        <family val="2"/>
      </rPr>
      <t xml:space="preserve"> British axis, Fixed BT &amp; Mobile Vodafone</t>
    </r>
  </si>
  <si>
    <r>
      <rPr>
        <b/>
        <sz val="10"/>
        <rFont val="Arial"/>
        <family val="2"/>
      </rPr>
      <t>NS :</t>
    </r>
    <r>
      <rPr>
        <sz val="10"/>
        <rFont val="Arial"/>
        <family val="2"/>
      </rPr>
      <t xml:space="preserve"> Nordic/Swiss SPs, with TSC &amp; SCM between NS &amp; CI</t>
    </r>
  </si>
  <si>
    <r>
      <rPr>
        <b/>
        <sz val="10"/>
        <rFont val="Arial"/>
        <family val="2"/>
      </rPr>
      <t xml:space="preserve">SF : </t>
    </r>
    <r>
      <rPr>
        <sz val="10"/>
        <rFont val="Arial"/>
        <family val="2"/>
      </rPr>
      <t>Small Fixed SPs, Telenet &amp; Iliad</t>
    </r>
  </si>
  <si>
    <r>
      <rPr>
        <b/>
        <sz val="10"/>
        <rFont val="Arial"/>
        <family val="2"/>
      </rPr>
      <t>SM :</t>
    </r>
    <r>
      <rPr>
        <sz val="10"/>
        <rFont val="Arial"/>
        <family val="2"/>
      </rPr>
      <t xml:space="preserve"> Small Mobile SPs, Mobistar &amp; Sonaecom</t>
    </r>
  </si>
  <si>
    <t>(with BV OL)</t>
  </si>
  <si>
    <t>Current OL</t>
  </si>
  <si>
    <t>(Trailing 4Q)</t>
  </si>
  <si>
    <t>Ebitda*</t>
  </si>
  <si>
    <t>Avg. Ebitda*</t>
  </si>
  <si>
    <r>
      <rPr>
        <b/>
        <sz val="10"/>
        <rFont val="Wingdings"/>
        <charset val="2"/>
      </rPr>
      <t>ä</t>
    </r>
    <r>
      <rPr>
        <b/>
        <sz val="10"/>
        <rFont val="Arial"/>
        <family val="2"/>
      </rPr>
      <t xml:space="preserve"> Ebitda *</t>
    </r>
  </si>
  <si>
    <t>Avg. Ebitda</t>
  </si>
  <si>
    <t>EV*/Ebitda*</t>
  </si>
  <si>
    <t>D*/Ebitda*</t>
  </si>
  <si>
    <t>Avg. D*/Ea*</t>
  </si>
  <si>
    <r>
      <rPr>
        <b/>
        <sz val="10"/>
        <rFont val="Wingdings"/>
        <charset val="2"/>
      </rPr>
      <t>ä</t>
    </r>
    <r>
      <rPr>
        <b/>
        <sz val="10"/>
        <rFont val="Arial"/>
        <family val="2"/>
      </rPr>
      <t xml:space="preserve"> D*/Ea*</t>
    </r>
  </si>
  <si>
    <t>Avg. EV/Ea</t>
  </si>
  <si>
    <r>
      <rPr>
        <b/>
        <sz val="10"/>
        <rFont val="Wingdings"/>
        <charset val="2"/>
      </rPr>
      <t>ä</t>
    </r>
    <r>
      <rPr>
        <b/>
        <sz val="10"/>
        <rFont val="Arial"/>
        <family val="2"/>
      </rPr>
      <t xml:space="preserve"> EV/Ea</t>
    </r>
  </si>
  <si>
    <t>Avg. EV*/Ea*</t>
  </si>
  <si>
    <r>
      <rPr>
        <b/>
        <sz val="10"/>
        <rFont val="Wingdings"/>
        <charset val="2"/>
      </rPr>
      <t>ä</t>
    </r>
    <r>
      <rPr>
        <b/>
        <sz val="10"/>
        <rFont val="Arial"/>
        <family val="2"/>
      </rPr>
      <t xml:space="preserve"> EV*/Ea*</t>
    </r>
  </si>
  <si>
    <t>Avg. Adj. EV/Ea</t>
  </si>
  <si>
    <r>
      <rPr>
        <b/>
        <sz val="10"/>
        <rFont val="Wingdings"/>
        <charset val="2"/>
      </rPr>
      <t>ä</t>
    </r>
    <r>
      <rPr>
        <b/>
        <sz val="10"/>
        <rFont val="Arial"/>
        <family val="2"/>
      </rPr>
      <t xml:space="preserve"> Adj. EV/Ea</t>
    </r>
  </si>
  <si>
    <t>Avg. D*/E</t>
  </si>
  <si>
    <t>Avg. Adj. D/Ea</t>
  </si>
  <si>
    <r>
      <rPr>
        <b/>
        <sz val="10"/>
        <rFont val="Wingdings"/>
        <charset val="2"/>
      </rPr>
      <t>ä</t>
    </r>
    <r>
      <rPr>
        <b/>
        <sz val="10"/>
        <rFont val="Arial"/>
        <family val="2"/>
      </rPr>
      <t xml:space="preserve"> Adj. D/Ea</t>
    </r>
  </si>
  <si>
    <t>Operating Leases</t>
  </si>
  <si>
    <r>
      <rPr>
        <b/>
        <sz val="10"/>
        <rFont val="Arial"/>
        <family val="2"/>
      </rPr>
      <t>x = D/E</t>
    </r>
    <r>
      <rPr>
        <sz val="10"/>
        <rFont val="Arial"/>
        <family val="2"/>
      </rPr>
      <t xml:space="preserve"> = g/(1+g) to unlever βe</t>
    </r>
  </si>
  <si>
    <t>1H10-1H13 : % Mobile vs. EV/Sales</t>
  </si>
  <si>
    <r>
      <rPr>
        <b/>
        <sz val="10"/>
        <color theme="0" tint="-0.249977111117893"/>
        <rFont val="Wingdings"/>
        <charset val="2"/>
      </rPr>
      <t>ä</t>
    </r>
    <r>
      <rPr>
        <b/>
        <sz val="9"/>
        <color theme="0" tint="-0.249977111117893"/>
        <rFont val="Arial"/>
        <family val="2"/>
      </rPr>
      <t xml:space="preserve"> Adj. </t>
    </r>
    <r>
      <rPr>
        <b/>
        <sz val="10"/>
        <color theme="0" tint="-0.249977111117893"/>
        <rFont val="Arial"/>
        <family val="2"/>
      </rPr>
      <t>EV/Ebitda</t>
    </r>
  </si>
  <si>
    <t>Column</t>
  </si>
  <si>
    <r>
      <rPr>
        <sz val="10"/>
        <color theme="0" tint="-0.249977111117893"/>
        <rFont val="Wingdings"/>
        <charset val="2"/>
      </rPr>
      <t>ä</t>
    </r>
    <r>
      <rPr>
        <sz val="10"/>
        <color theme="0" tint="-0.249977111117893"/>
        <rFont val="Arial"/>
        <family val="2"/>
      </rPr>
      <t xml:space="preserve"> Ebitda *</t>
    </r>
  </si>
  <si>
    <r>
      <rPr>
        <sz val="10"/>
        <color theme="0" tint="-0.249977111117893"/>
        <rFont val="Wingdings"/>
        <charset val="2"/>
      </rPr>
      <t>ä</t>
    </r>
    <r>
      <rPr>
        <sz val="10"/>
        <color theme="0" tint="-0.249977111117893"/>
        <rFont val="Arial"/>
        <family val="2"/>
      </rPr>
      <t xml:space="preserve"> Adj. EV/Ea</t>
    </r>
  </si>
  <si>
    <r>
      <rPr>
        <sz val="10"/>
        <color theme="0" tint="-0.249977111117893"/>
        <rFont val="Wingdings"/>
        <charset val="2"/>
      </rPr>
      <t>ä</t>
    </r>
    <r>
      <rPr>
        <sz val="10"/>
        <color theme="0" tint="-0.249977111117893"/>
        <rFont val="Arial"/>
        <family val="2"/>
      </rPr>
      <t xml:space="preserve"> EV/Ea</t>
    </r>
  </si>
  <si>
    <t>EV/Ea</t>
  </si>
  <si>
    <t>Avg. 1H13</t>
  </si>
  <si>
    <t>Mkt Cap</t>
  </si>
  <si>
    <t>Evolution</t>
  </si>
  <si>
    <t>(Reversed ranking for graph)</t>
  </si>
  <si>
    <r>
      <rPr>
        <b/>
        <sz val="10"/>
        <rFont val="Arial"/>
        <family val="2"/>
      </rPr>
      <t>CI</t>
    </r>
    <r>
      <rPr>
        <sz val="10"/>
        <rFont val="Arial"/>
        <family val="2"/>
      </rPr>
      <t xml:space="preserve"> : Continental Incumbent SPs, including Belgacom (in black)</t>
    </r>
  </si>
  <si>
    <t>NOTE 2</t>
  </si>
  <si>
    <t>Market vs. Book Values</t>
  </si>
  <si>
    <t>Minority Int.</t>
  </si>
  <si>
    <t>BELGACOM'S PEERS</t>
  </si>
  <si>
    <t xml:space="preserve">Local currency </t>
  </si>
  <si>
    <t>Ind. Mkt Cap</t>
  </si>
  <si>
    <t>SIZE</t>
  </si>
  <si>
    <t>BEL20</t>
  </si>
  <si>
    <t>E300</t>
  </si>
  <si>
    <t>MSCI Global</t>
  </si>
  <si>
    <t>DJ Stoxx</t>
  </si>
  <si>
    <t>Distance</t>
  </si>
  <si>
    <t>Base 1 at 2Q10</t>
  </si>
  <si>
    <t xml:space="preserve">Mkt Cap </t>
  </si>
  <si>
    <t>Evolution of 2Q10-Indexed Market Caps (in local currency)</t>
  </si>
  <si>
    <t>Market Cap (€)</t>
  </si>
  <si>
    <r>
      <rPr>
        <b/>
        <sz val="10"/>
        <rFont val="Wingdings"/>
        <charset val="2"/>
      </rPr>
      <t>ä</t>
    </r>
    <r>
      <rPr>
        <b/>
        <sz val="10"/>
        <rFont val="Arial"/>
        <family val="2"/>
      </rPr>
      <t xml:space="preserve"> Mkt Cap (€)</t>
    </r>
  </si>
  <si>
    <t>Picture less clear here. Maybe a general slope slightly positive, partly because of DT.</t>
  </si>
  <si>
    <t>Belgacom-Mobistar axis consistent with usual expectations at that period.</t>
  </si>
  <si>
    <t>View that Openreach is more risky than a pure network utility, but carries less specific risk than the Rest of BT Group.</t>
  </si>
  <si>
    <r>
      <rPr>
        <b/>
        <sz val="10"/>
        <color rgb="FF00B050"/>
        <rFont val="Arial"/>
        <family val="2"/>
      </rPr>
      <t>Openreach</t>
    </r>
    <r>
      <rPr>
        <sz val="10"/>
        <color rgb="FF00B050"/>
        <rFont val="Arial"/>
        <family val="2"/>
      </rPr>
      <t xml:space="preserve"> = BT's infrastructure division (opened for business since 2006) </t>
    </r>
  </si>
  <si>
    <r>
      <rPr>
        <b/>
        <sz val="10"/>
        <color rgb="FF00B050"/>
        <rFont val="Arial"/>
        <family val="2"/>
      </rPr>
      <t>Ofcom</t>
    </r>
    <r>
      <rPr>
        <sz val="10"/>
        <color rgb="FF00B050"/>
        <rFont val="Arial"/>
        <family val="2"/>
      </rPr>
      <t xml:space="preserve"> in WBA Charge Control, 20 July 2011 (p. 124-130) : </t>
    </r>
  </si>
  <si>
    <t>Estimate and apply different WACC for Openreach and the Rest of BT, on the grounds that they have different systematic risk profiles</t>
  </si>
  <si>
    <r>
      <t xml:space="preserve">Based on BT’s Current Cost Financial Statements, Openreach’s access services business assumed to account for </t>
    </r>
    <r>
      <rPr>
        <sz val="10"/>
        <color rgb="FF00B050"/>
        <rFont val="Symbol"/>
        <family val="1"/>
        <charset val="2"/>
      </rPr>
      <t>»</t>
    </r>
    <r>
      <rPr>
        <sz val="10"/>
        <color rgb="FF00B050"/>
        <rFont val="Arial"/>
        <family val="2"/>
      </rPr>
      <t xml:space="preserve"> 50% of BT Group’s mean capital employed (MCE)</t>
    </r>
  </si>
  <si>
    <r>
      <t xml:space="preserve">Ofcom's 'Openreach WACC' is actually more a rate for BT’s </t>
    </r>
    <r>
      <rPr>
        <b/>
        <sz val="10"/>
        <color rgb="FF00B050"/>
        <rFont val="Arial"/>
        <family val="2"/>
      </rPr>
      <t xml:space="preserve">copper access </t>
    </r>
    <r>
      <rPr>
        <sz val="10"/>
        <color rgb="FF00B050"/>
        <rFont val="Arial"/>
        <family val="2"/>
      </rPr>
      <t>services business</t>
    </r>
  </si>
  <si>
    <t>Ability of customers to switch to different packages whilst retaining a broadband service</t>
  </si>
  <si>
    <r>
      <t xml:space="preserve">WACC for Rest of BT, inferred from Openreach's and BT group's, deemed appropriate for </t>
    </r>
    <r>
      <rPr>
        <b/>
        <sz val="10"/>
        <color rgb="FF00B050"/>
        <rFont val="Arial"/>
        <family val="2"/>
      </rPr>
      <t>WBA services</t>
    </r>
    <r>
      <rPr>
        <sz val="10"/>
        <color rgb="FF00B050"/>
        <rFont val="Arial"/>
        <family val="2"/>
      </rPr>
      <t>, following an analysis of the responsiveness of the demand for WBA services to the economic cycle :</t>
    </r>
  </si>
  <si>
    <t>Levels of broadband penetration</t>
  </si>
  <si>
    <t>Empirical evidence such as econometric studies</t>
  </si>
  <si>
    <t>Evidence from BT on WBA volumes and BT forecasts for WBA services</t>
  </si>
  <si>
    <t>PROFILES</t>
  </si>
  <si>
    <t>WHAT DEBT ?</t>
  </si>
  <si>
    <t>Segments Data &amp; Estimates</t>
  </si>
  <si>
    <t>Ranking</t>
  </si>
  <si>
    <t>RANKING</t>
  </si>
  <si>
    <t>Adj. EV/Ebitda Evolution</t>
  </si>
  <si>
    <t>Avg. Distance</t>
  </si>
  <si>
    <t>Out of Europe</t>
  </si>
  <si>
    <t>NL</t>
  </si>
  <si>
    <t>Pop. 2012</t>
  </si>
  <si>
    <t xml:space="preserve"> % EV*/Ebitda* vs. EV/Ebitda</t>
  </si>
  <si>
    <t>For §</t>
  </si>
  <si>
    <r>
      <t xml:space="preserve">Weight </t>
    </r>
    <r>
      <rPr>
        <sz val="10"/>
        <color theme="1"/>
        <rFont val="Symbol"/>
        <family val="1"/>
        <charset val="2"/>
      </rPr>
      <t>®</t>
    </r>
  </si>
  <si>
    <r>
      <t xml:space="preserve">Ranking </t>
    </r>
    <r>
      <rPr>
        <sz val="10"/>
        <color theme="1"/>
        <rFont val="Symbol"/>
        <family val="1"/>
        <charset val="2"/>
      </rPr>
      <t>¯</t>
    </r>
  </si>
  <si>
    <t>Purposes</t>
  </si>
  <si>
    <t>Adj. EV/Ebitda 1H10 - 1H13</t>
  </si>
  <si>
    <t>Growth</t>
  </si>
  <si>
    <t>British Axis</t>
  </si>
  <si>
    <t>By EV*</t>
  </si>
  <si>
    <t xml:space="preserve">Below charts regard indices which are market cap weighted. This would not be an issue if their constituents were indeed comparable. But previous considerations suggest that the European telecom landscape should be further disaggregated, beyond "Fixed"/"Mobile" labels (themselves likely to be rather loose - see DJ Stoxx), to take into account distinct realities/market types they are dealing with. </t>
  </si>
  <si>
    <t>If there were not so many gaps in data extracted from Bloomberg, we would have given them more consideration, in spite of above mentioned shortcomings.</t>
  </si>
  <si>
    <t>Below EV/Sales charts (without any OL-related adjustment) are also shown just for info. This ratio may appear more consistent with previous % Mobile since they are mainly based on % Revenues. However, EV/sales remains a poor metric for this industry and we do not think that they would provide a better insight on prevailing valuation vs. % Mobile for the last few years.</t>
  </si>
  <si>
    <t>Calculations</t>
  </si>
  <si>
    <t>Estimation of OL present values.</t>
  </si>
  <si>
    <t>Bloom. Cleaner Data</t>
  </si>
  <si>
    <t>(Bloom. Raw Data)</t>
  </si>
  <si>
    <t>(Bloom Data Not Used or NA)</t>
  </si>
  <si>
    <t>For info.</t>
  </si>
  <si>
    <t>Globally flat (maybe slightly positive, excluding Tele 2)</t>
  </si>
  <si>
    <t>Capi.</t>
  </si>
  <si>
    <r>
      <rPr>
        <sz val="10"/>
        <rFont val="Symbol"/>
        <family val="1"/>
        <charset val="2"/>
      </rPr>
      <t>Ö</t>
    </r>
    <r>
      <rPr>
        <sz val="10"/>
        <rFont val="Arial"/>
        <family val="2"/>
      </rPr>
      <t>(</t>
    </r>
    <r>
      <rPr>
        <sz val="10"/>
        <rFont val="Symbol"/>
        <family val="1"/>
        <charset val="2"/>
      </rPr>
      <t>S</t>
    </r>
    <r>
      <rPr>
        <sz val="8"/>
        <rFont val="Arial"/>
        <family val="2"/>
      </rPr>
      <t xml:space="preserve"> </t>
    </r>
    <r>
      <rPr>
        <sz val="10"/>
        <rFont val="Arial"/>
        <family val="2"/>
      </rPr>
      <t>(w.d</t>
    </r>
    <r>
      <rPr>
        <vertAlign val="superscript"/>
        <sz val="10"/>
        <rFont val="Arial"/>
        <family val="2"/>
      </rPr>
      <t>2</t>
    </r>
    <r>
      <rPr>
        <sz val="10"/>
        <rFont val="Arial"/>
        <family val="2"/>
      </rPr>
      <t>))</t>
    </r>
  </si>
  <si>
    <t>Simple avg. (excl. n/a) :</t>
  </si>
  <si>
    <t>Integ.</t>
  </si>
  <si>
    <t>Min/(Adj.D+E)</t>
  </si>
  <si>
    <t>2Q13</t>
  </si>
  <si>
    <t>Positive slope, with or without OL.</t>
  </si>
  <si>
    <t>Otherwise, from this chart, no clear Fixed/Mobile or cluster pattern. (Flat British axis.)</t>
  </si>
  <si>
    <t>(g, D/Ebitda)</t>
  </si>
  <si>
    <t>( = New Mobile Entrants)</t>
  </si>
  <si>
    <t>Small Fixed SPs</t>
  </si>
  <si>
    <t>(Pre-Brazil) Portuguese PT-SNC axis almost flat.</t>
  </si>
  <si>
    <t>Positive slope on the British axis as well, as on 1H10-1H13 avg.</t>
  </si>
  <si>
    <r>
      <t xml:space="preserve">Estimates from various calculations on IR xls </t>
    </r>
    <r>
      <rPr>
        <sz val="10"/>
        <color rgb="FFFFD757"/>
        <rFont val="Arial"/>
        <family val="2"/>
      </rPr>
      <t>and interpolations from Bloomberg's value for 2009</t>
    </r>
  </si>
  <si>
    <t>Negative slope on the Belgacom-Mobistar axis, the latter having been more "hammered" by the market.</t>
  </si>
  <si>
    <t>Portuguese axis would have probably been the same without Brazil for PT. So, unless you are Vodafone, with a streamlined international 'engine', the market now seems to apply a value discount for lack of truly converging products, or weak perspectives in this field (because of domestic hindering issues).</t>
  </si>
  <si>
    <t>Adj. % Mobile</t>
  </si>
  <si>
    <t>1/(1+distance)</t>
  </si>
  <si>
    <t>(Local currency) D* = D + PV OL</t>
  </si>
  <si>
    <t>D*</t>
  </si>
  <si>
    <t>Avg. D*</t>
  </si>
  <si>
    <r>
      <rPr>
        <b/>
        <sz val="10"/>
        <rFont val="Wingdings"/>
        <charset val="2"/>
      </rPr>
      <t>ä</t>
    </r>
    <r>
      <rPr>
        <b/>
        <sz val="10"/>
        <rFont val="Arial"/>
        <family val="2"/>
      </rPr>
      <t xml:space="preserve"> D*</t>
    </r>
  </si>
  <si>
    <t>Moy. pondérée</t>
  </si>
  <si>
    <t>FIXE</t>
  </si>
  <si>
    <t>g*</t>
  </si>
  <si>
    <t>GEARINGS</t>
  </si>
  <si>
    <t>RATINGS</t>
  </si>
  <si>
    <t>Definitions</t>
  </si>
  <si>
    <t>S&amp;P</t>
  </si>
  <si>
    <t>Prime. Maximum Safety</t>
  </si>
  <si>
    <t>High Grade High Quality</t>
  </si>
  <si>
    <t>Aa2</t>
  </si>
  <si>
    <t>Upper Medium Grade</t>
  </si>
  <si>
    <t>Lower Medium Grade</t>
  </si>
  <si>
    <t>Non Investment Grade</t>
  </si>
  <si>
    <t>Speculative</t>
  </si>
  <si>
    <t>Highly Speculative</t>
  </si>
  <si>
    <t>B2</t>
  </si>
  <si>
    <t>B3</t>
  </si>
  <si>
    <t>Substantial Risk</t>
  </si>
  <si>
    <t>In Poor Standing</t>
  </si>
  <si>
    <t>Extremely Speculative</t>
  </si>
  <si>
    <t>-</t>
  </si>
  <si>
    <t>May be in Default</t>
  </si>
  <si>
    <t xml:space="preserve">Moody's </t>
  </si>
  <si>
    <t>Equiv.</t>
  </si>
  <si>
    <t>Current Ratings</t>
  </si>
  <si>
    <t xml:space="preserve"> 0   0   0</t>
  </si>
  <si>
    <t xml:space="preserve"> 0 +1  0</t>
  </si>
  <si>
    <t>-2 +1 +1</t>
  </si>
  <si>
    <t xml:space="preserve"> 0   0 +1</t>
  </si>
  <si>
    <t xml:space="preserve"> 0  +1  -</t>
  </si>
  <si>
    <t xml:space="preserve"> 0   -   0</t>
  </si>
  <si>
    <t>+2 -1  -</t>
  </si>
  <si>
    <t xml:space="preserve"> 0   0   -</t>
  </si>
  <si>
    <t>=  =  -</t>
  </si>
  <si>
    <t xml:space="preserve">=  -  = </t>
  </si>
  <si>
    <r>
      <t>­</t>
    </r>
    <r>
      <rPr>
        <sz val="10"/>
        <rFont val="Arial"/>
        <family val="2"/>
      </rPr>
      <t xml:space="preserve">  = =</t>
    </r>
  </si>
  <si>
    <t>¯  ¯ ¯</t>
  </si>
  <si>
    <r>
      <rPr>
        <sz val="10"/>
        <rFont val="Symbol"/>
        <family val="1"/>
        <charset val="2"/>
      </rPr>
      <t>¯</t>
    </r>
    <r>
      <rPr>
        <sz val="10"/>
        <rFont val="Arial"/>
        <family val="2"/>
      </rPr>
      <t xml:space="preserve">  </t>
    </r>
    <r>
      <rPr>
        <sz val="10"/>
        <rFont val="Symbol"/>
        <family val="1"/>
        <charset val="2"/>
      </rPr>
      <t>¯ ¯</t>
    </r>
  </si>
  <si>
    <r>
      <t xml:space="preserve">=  </t>
    </r>
    <r>
      <rPr>
        <sz val="10"/>
        <rFont val="Symbol"/>
        <family val="1"/>
        <charset val="2"/>
      </rPr>
      <t xml:space="preserve">¯ </t>
    </r>
    <r>
      <rPr>
        <sz val="10"/>
        <rFont val="Arial"/>
        <family val="2"/>
      </rPr>
      <t>=</t>
    </r>
  </si>
  <si>
    <r>
      <t xml:space="preserve">=  </t>
    </r>
    <r>
      <rPr>
        <sz val="10"/>
        <rFont val="Symbol"/>
        <family val="1"/>
        <charset val="2"/>
      </rPr>
      <t>¯ ¯</t>
    </r>
  </si>
  <si>
    <t xml:space="preserve"> 0 +1   -</t>
  </si>
  <si>
    <r>
      <t xml:space="preserve">=  </t>
    </r>
    <r>
      <rPr>
        <sz val="10"/>
        <rFont val="Symbol"/>
        <family val="1"/>
        <charset val="2"/>
      </rPr>
      <t>¯</t>
    </r>
    <r>
      <rPr>
        <sz val="10"/>
        <rFont val="Arial"/>
        <family val="2"/>
      </rPr>
      <t xml:space="preserve"> -</t>
    </r>
  </si>
  <si>
    <t xml:space="preserve"> -   0   -</t>
  </si>
  <si>
    <r>
      <rPr>
        <b/>
        <sz val="10"/>
        <rFont val="Symbol"/>
        <family val="1"/>
        <charset val="2"/>
      </rPr>
      <t>D</t>
    </r>
    <r>
      <rPr>
        <b/>
        <sz val="9"/>
        <rFont val="Arial"/>
        <family val="2"/>
      </rPr>
      <t xml:space="preserve"> </t>
    </r>
  </si>
  <si>
    <t>WR</t>
  </si>
  <si>
    <t xml:space="preserve">Remarks : </t>
  </si>
  <si>
    <t>Not rated</t>
  </si>
  <si>
    <t>US</t>
  </si>
  <si>
    <t>TO WACC 1</t>
  </si>
  <si>
    <t>=   -  -</t>
  </si>
  <si>
    <t>Italy Nov. 2011</t>
  </si>
  <si>
    <t>Belgacom's rating history by Moody's</t>
  </si>
  <si>
    <t>Telenet's rating history by Moody's</t>
  </si>
  <si>
    <t>ä</t>
  </si>
  <si>
    <t>Below : Speculative Grade</t>
  </si>
  <si>
    <r>
      <t xml:space="preserve">- Cd with </t>
    </r>
    <r>
      <rPr>
        <b/>
        <sz val="10"/>
        <rFont val="Arial"/>
        <family val="2"/>
      </rPr>
      <t>yields in € for all SPs</t>
    </r>
    <r>
      <rPr>
        <sz val="10"/>
        <rFont val="Arial"/>
        <family val="2"/>
      </rPr>
      <t xml:space="preserve"> : appropriate Cd should slightly differ for SPs not based in the Eurozone.</t>
    </r>
  </si>
  <si>
    <t>The B1(CFR) continues to acknowledge (i) Telenet's solid market share in the overall Belgian digital TV and broadband markets as well as its market leading positions for these services in Flanders; (ii) the competitive advantages derived from its technologically advanced networks; and (iii) the growth potential of the company's mobile and B2B activities (...)</t>
  </si>
  <si>
    <t>Group Rating Methodology</t>
  </si>
  <si>
    <t>Minimal</t>
  </si>
  <si>
    <t>Modest</t>
  </si>
  <si>
    <t>1.5-2.0</t>
  </si>
  <si>
    <t>Intermediate</t>
  </si>
  <si>
    <t>Significant</t>
  </si>
  <si>
    <t>Aggressive</t>
  </si>
  <si>
    <t>Highly Leveraged</t>
  </si>
  <si>
    <t>&lt; 1.5</t>
  </si>
  <si>
    <t>2-3</t>
  </si>
  <si>
    <t>3-4</t>
  </si>
  <si>
    <t>4-5</t>
  </si>
  <si>
    <t>&gt; 5</t>
  </si>
  <si>
    <t xml:space="preserve">Rating upside is constrained by Telenet's high leverage and our expectations of substantial shareholder distributions in excess of FOCF generation. However, we could consider raising our rating on Telenet if the company's adjusted gross leverage declines to about 4.5x or less on a sustainable basis. </t>
  </si>
  <si>
    <t>CASH</t>
  </si>
  <si>
    <t>tD/Ebitda</t>
  </si>
  <si>
    <t>Avg. tD/Ea</t>
  </si>
  <si>
    <r>
      <rPr>
        <b/>
        <sz val="10"/>
        <rFont val="Wingdings"/>
        <charset val="2"/>
      </rPr>
      <t>ä</t>
    </r>
    <r>
      <rPr>
        <b/>
        <sz val="10"/>
        <rFont val="Arial"/>
        <family val="2"/>
      </rPr>
      <t xml:space="preserve"> tD/Ea</t>
    </r>
  </si>
  <si>
    <t>tD*/Ebitda*</t>
  </si>
  <si>
    <t>Avg. tD*/Ea*</t>
  </si>
  <si>
    <r>
      <rPr>
        <b/>
        <sz val="10"/>
        <rFont val="Wingdings"/>
        <charset val="2"/>
      </rPr>
      <t>ä</t>
    </r>
    <r>
      <rPr>
        <b/>
        <sz val="10"/>
        <rFont val="Arial"/>
        <family val="2"/>
      </rPr>
      <t xml:space="preserve"> tD*/Ea*</t>
    </r>
  </si>
  <si>
    <t xml:space="preserve">B+ for the period, with just an outlook downgrade in Jan. 2013 from Positive to Stable. </t>
  </si>
  <si>
    <t xml:space="preserve">A firm commitment from both Telenet and Liberty Global that Telenet is committed to a 
more conservative leverage profile and distribution policy. This seems unlikely at present. 
</t>
  </si>
  <si>
    <t>=  =  =</t>
  </si>
  <si>
    <t xml:space="preserve">Management target leverage remains net senior debt to EBITDA of 3.5x-4.5x. Finance leases add approximately 0.5x to these levels, implying a total net leverage of up to 5.0x. </t>
  </si>
  <si>
    <t xml:space="preserve">The proposed regulatory imposition of wholesale access to the cable network is presently not considered a significant near-term risk to the business. However, it is seen as an important precedent for the industry and likely to remain an unwelcome divergence of management attention. </t>
  </si>
  <si>
    <t>Govt support</t>
  </si>
  <si>
    <t>Role as GRE</t>
  </si>
  <si>
    <t>Govt link</t>
  </si>
  <si>
    <t>Limited</t>
  </si>
  <si>
    <t>Low</t>
  </si>
  <si>
    <t>Moderate</t>
  </si>
  <si>
    <t>Strong</t>
  </si>
  <si>
    <t>FT/ORA's rating history by Moody's</t>
  </si>
  <si>
    <t>Ebitda* = Ebitdar = Ebitda + Current OL</t>
  </si>
  <si>
    <t>FT/Orange</t>
  </si>
  <si>
    <t>(...) TPS has publicly committed to maintaining a maximum reported net debt/EBITDA ratio of 1.5x or below in the long term. Moody's will closely monitor (1) the extent to which the company might exceed this level in 2013; and (2) when it will return to a reported net debt/EBITDA ratio of below 1.5x as a result of its underlying cash flow generation and financial policies.</t>
  </si>
  <si>
    <t>(…) TPS' Baa1 rating reflects its leading position as an integrated incumbent operator in the Polish market, and Moody's expectation that the company will maintain its leadership within a tough regulatory environment and increasingly competitive market. The rating also reflects the company's (1) cost optimisation strategies and historically prudent financial policy; (2) conservative credit metrics to date; and (3) liquidity management, under FT's oversight.</t>
  </si>
  <si>
    <r>
      <rPr>
        <sz val="10"/>
        <rFont val="Arial"/>
        <family val="2"/>
      </rPr>
      <t xml:space="preserve">= </t>
    </r>
    <r>
      <rPr>
        <sz val="10"/>
        <rFont val="Symbol"/>
        <family val="1"/>
        <charset val="2"/>
      </rPr>
      <t xml:space="preserve"> ¯</t>
    </r>
    <r>
      <rPr>
        <sz val="10"/>
        <rFont val="Arial"/>
        <family val="2"/>
      </rPr>
      <t xml:space="preserve"> -</t>
    </r>
  </si>
  <si>
    <t>For sovereign issuers, i.e. countries, it is more common to present their foreign currency ratings, even though a large portion of their debt is held by residents.</t>
  </si>
  <si>
    <t>SPs guidance</t>
  </si>
  <si>
    <t>3Q11 tD*/Ea*</t>
  </si>
  <si>
    <t>Same ratings if we had omitted OL.</t>
  </si>
  <si>
    <t>Foreign/local currency rating</t>
  </si>
  <si>
    <t>LGI (Liberty Glb.)</t>
  </si>
  <si>
    <t>4Q12 tD*/Ea*</t>
  </si>
  <si>
    <t>Business challenges include growing exposure to premium content costs (mainly football rights), which in Fitch's analysis is adjusted at the EBITDA level (compared with Telenet's treatment as a capitalised cost), and margin and capex pressure driven by a mobile strategy which includes a subsidised smartphone offer, spectrum and infrastructure ownership.</t>
  </si>
  <si>
    <t>(...) The agency had previously expected leverage (including finance leases) to be managed up to around 4.0x and guided that a metric consistently trending in the 4.3x-4.5x range would pressure the ratings. Financial policy was identified as the single most significant threat to the ratings given the company's strong operational performance. Fitch's base case now envisages the metric trending in the high 4s through 2014 and potentially beyond, depending on future distributions.</t>
  </si>
  <si>
    <t>2Q13 D*/Ea*</t>
  </si>
  <si>
    <t>2Q12 D*/Ea* +1</t>
  </si>
  <si>
    <r>
      <t xml:space="preserve">OL </t>
    </r>
    <r>
      <rPr>
        <sz val="10"/>
        <color theme="0" tint="-0.499984740745262"/>
        <rFont val="Symbol"/>
        <family val="1"/>
        <charset val="2"/>
      </rPr>
      <t>»</t>
    </r>
    <r>
      <rPr>
        <sz val="9"/>
        <color theme="0" tint="-0.499984740745262"/>
        <rFont val="Arial"/>
        <family val="2"/>
      </rPr>
      <t xml:space="preserve"> </t>
    </r>
    <r>
      <rPr>
        <sz val="10"/>
        <color theme="0" tint="-0.499984740745262"/>
        <rFont val="Arial"/>
        <family val="2"/>
      </rPr>
      <t>0 for Telenet.</t>
    </r>
  </si>
  <si>
    <t>1Q13 tD*/Ea*</t>
  </si>
  <si>
    <t>GRE</t>
  </si>
  <si>
    <t>High</t>
  </si>
  <si>
    <r>
      <t xml:space="preserve">The usual approach to composite rating consists in estimating the average rating between the 3 agencies (at least S&amp;P's &amp; Moody's), then </t>
    </r>
    <r>
      <rPr>
        <b/>
        <sz val="10"/>
        <rFont val="Arial"/>
        <family val="2"/>
      </rPr>
      <t>conservatively applying the lowest rating if the average stands between notches.</t>
    </r>
  </si>
  <si>
    <t xml:space="preserve">Mobistar </t>
  </si>
  <si>
    <t>Stakeholder's Note</t>
  </si>
  <si>
    <t>- S&amp;P's assertion that TPS' rating may not be better than on FT</t>
  </si>
  <si>
    <t>Ratings &amp; Ratios (pdf)</t>
  </si>
  <si>
    <t>Country risk</t>
  </si>
  <si>
    <t>Industry risk</t>
  </si>
  <si>
    <t>Business risk</t>
  </si>
  <si>
    <t>FFO/tD</t>
  </si>
  <si>
    <t>tD/Ea</t>
  </si>
  <si>
    <t>&gt; 60%</t>
  </si>
  <si>
    <t>45-60%</t>
  </si>
  <si>
    <t>30-45%</t>
  </si>
  <si>
    <t>20-30%</t>
  </si>
  <si>
    <t>12-20%</t>
  </si>
  <si>
    <t>&lt; 12%</t>
  </si>
  <si>
    <t>&lt; 25%</t>
  </si>
  <si>
    <t>25-35%</t>
  </si>
  <si>
    <t>35-45%</t>
  </si>
  <si>
    <t>45-50%</t>
  </si>
  <si>
    <t>50-60%</t>
  </si>
  <si>
    <t>- Local-currency ratings for non-sovereign issuers are an opinion of an entity's ability and willingness to meet all of its financial obligations on a timely basis, regardless of the currency in which those obligations are denominated and absent transfer and convertibility restrictions.</t>
  </si>
  <si>
    <t xml:space="preserve">So, for firms' WACC estimation, LT local-currency ratings are the most appropriate ratings (as Damodaran also reminds). </t>
  </si>
  <si>
    <t>Cash flow adequacy</t>
  </si>
  <si>
    <t>Capital structure/asset protection</t>
  </si>
  <si>
    <t>Liquidity/short-term factors</t>
  </si>
  <si>
    <t>Recurrent operating or capital subsidies</t>
  </si>
  <si>
    <t>Price ceilings</t>
  </si>
  <si>
    <t>Access to preferential funding</t>
  </si>
  <si>
    <t>Risky project mandates</t>
  </si>
  <si>
    <t>Availability of centralized group liquidity resources</t>
  </si>
  <si>
    <t>Directives to provide loss-making goods and services</t>
  </si>
  <si>
    <t>Conferring monopoly powers</t>
  </si>
  <si>
    <t>Double leverage, high shareholder-distribution policies</t>
  </si>
  <si>
    <t>Favorable government contracts</t>
  </si>
  <si>
    <t>Aggressive financial expectations from owners</t>
  </si>
  <si>
    <t>Supportive regulation</t>
  </si>
  <si>
    <t>Unfavorable regulatory, tax, or legal regime</t>
  </si>
  <si>
    <t>Applicable tax regime</t>
  </si>
  <si>
    <t>Existing guarantees or lines of credit</t>
  </si>
  <si>
    <t>Use of a group brand</t>
  </si>
  <si>
    <t>Provision of services (property, investment, payroll, shares sales force, etc.)</t>
  </si>
  <si>
    <t>Committed capital or liquidity injection</t>
  </si>
  <si>
    <t>Support of financial system</t>
  </si>
  <si>
    <t>Special taxes</t>
  </si>
  <si>
    <t>Special shareholder distributions</t>
  </si>
  <si>
    <t>Recapitalizations with common equity or hybrid instruments</t>
  </si>
  <si>
    <t>One-off transfers of risk from an issuer to a governmental entity, its parent or an affiliate to alleviate future stress</t>
  </si>
  <si>
    <t>Targeted increase in some form of ongoing support to a specific entity beyond promised or planned levels</t>
  </si>
  <si>
    <t xml:space="preserve">The SACP Includes Ongoing Interaction/Influence… </t>
  </si>
  <si>
    <t>Loans from the parent or govt, or through affiliates or govt-owned banks</t>
  </si>
  <si>
    <t>Arrangement of a solvency rescue package directly from the govt or through other market participants</t>
  </si>
  <si>
    <t>Asset- or cash-stripping the issuer at the behest of the group or govt to service other obligations of the group or govt</t>
  </si>
  <si>
    <t>Profitability / Peer</t>
  </si>
  <si>
    <t>Accounting and disclosure practices</t>
  </si>
  <si>
    <t>vs. govt rating</t>
  </si>
  <si>
    <t>(columns : likelihood of support).</t>
  </si>
  <si>
    <r>
      <rPr>
        <b/>
        <i/>
        <sz val="10"/>
        <rFont val="Arial"/>
        <family val="2"/>
      </rPr>
      <t>Financial Risk</t>
    </r>
    <r>
      <rPr>
        <i/>
        <sz val="10"/>
        <rFont val="Arial"/>
        <family val="2"/>
      </rPr>
      <t xml:space="preserve"> Indicative Ratios (Corporates)</t>
    </r>
  </si>
  <si>
    <r>
      <t xml:space="preserve">Rating </t>
    </r>
    <r>
      <rPr>
        <b/>
        <u/>
        <sz val="10"/>
        <rFont val="Arial"/>
        <family val="2"/>
      </rPr>
      <t>GREs:</t>
    </r>
    <r>
      <rPr>
        <u/>
        <sz val="10"/>
        <rFont val="Arial"/>
        <family val="2"/>
      </rPr>
      <t xml:space="preserve"> Methodology And Assumptions</t>
    </r>
  </si>
  <si>
    <t>ICR higher than SACP</t>
  </si>
  <si>
    <t>- In other cases, we may consider the subsidiary could itself qualify as a GRE, because of the prominence of its role and/or links with the government. Some subsidiaries might even be more important to the government than their parent holding if they provide a crucial service to the population for instance. </t>
  </si>
  <si>
    <t>Moody's Rating Symbols and Definitions</t>
  </si>
  <si>
    <t>General Definitions</t>
  </si>
  <si>
    <t>tD/Capital</t>
  </si>
  <si>
    <t>Moreover, our assessment of financial risk is not as simplistic as looking at a few ratios. It encompasses :</t>
  </si>
  <si>
    <t>Ebitda vs. CFO &amp; FCF</t>
  </si>
  <si>
    <t>- FOCF = Free operating cash flow = CFO - Capex</t>
  </si>
  <si>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Deferred tax</t>
    </r>
  </si>
  <si>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Working Capital</t>
    </r>
  </si>
  <si>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Capex</t>
    </r>
  </si>
  <si>
    <t>- Foreign-currency ratings refer to an entity's ability and willingness to meet its foreign currency denominated financial obligations as they come due. For banks and corporates, foreign currency foreign-currency ratings incorporate additional transfer and convertibility risks (from the likelihood of various restrictions imposed by the government).</t>
  </si>
  <si>
    <r>
      <t xml:space="preserve">- In this sheet, we later refer credit rating agencies as </t>
    </r>
    <r>
      <rPr>
        <b/>
        <sz val="10"/>
        <rFont val="Arial"/>
        <family val="2"/>
      </rPr>
      <t>'agencies'</t>
    </r>
    <r>
      <rPr>
        <sz val="10"/>
        <rFont val="Arial"/>
        <family val="2"/>
      </rPr>
      <t>, credit rating as</t>
    </r>
    <r>
      <rPr>
        <b/>
        <sz val="10"/>
        <rFont val="Arial"/>
        <family val="2"/>
      </rPr>
      <t xml:space="preserve"> 'rating'</t>
    </r>
    <r>
      <rPr>
        <sz val="10"/>
        <rFont val="Arial"/>
        <family val="2"/>
      </rPr>
      <t xml:space="preserve"> and credit rating analysts as</t>
    </r>
    <r>
      <rPr>
        <b/>
        <sz val="10"/>
        <rFont val="Arial"/>
        <family val="2"/>
      </rPr>
      <t xml:space="preserve"> 'analysts'.</t>
    </r>
  </si>
  <si>
    <r>
      <t xml:space="preserve">- CFO = Cash from operations = FFO </t>
    </r>
    <r>
      <rPr>
        <sz val="10"/>
        <rFont val="Symbol"/>
        <family val="1"/>
        <charset val="2"/>
      </rPr>
      <t>±</t>
    </r>
    <r>
      <rPr>
        <sz val="10"/>
        <rFont val="Arial"/>
        <family val="2"/>
      </rPr>
      <t xml:space="preserve"> change in Working Capital</t>
    </r>
  </si>
  <si>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Dividends</t>
    </r>
  </si>
  <si>
    <r>
      <t xml:space="preserve">  FCF(F) = Free cash-flow (to the firm) = Ebit.(1-t) +D&amp;A </t>
    </r>
    <r>
      <rPr>
        <sz val="10"/>
        <rFont val="Symbol"/>
        <family val="1"/>
        <charset val="2"/>
      </rPr>
      <t>±</t>
    </r>
    <r>
      <rPr>
        <sz val="10"/>
        <rFont val="Arial"/>
        <family val="2"/>
      </rPr>
      <t xml:space="preserve"> WC changes – Capex = FOCF + interest - t.Ebit </t>
    </r>
  </si>
  <si>
    <t>Cash-flow used in DCF</t>
  </si>
  <si>
    <t xml:space="preserve">More thorough (yet clear and interesting) analysis from </t>
  </si>
  <si>
    <t>- Idem with (FFO + Interest) or (Ebitda - Capex) at the numerator, modulo OL adjustments.</t>
  </si>
  <si>
    <t xml:space="preserve">Tables by likelihood of support from §29. </t>
  </si>
  <si>
    <t>(No table for Low support : see below.)</t>
  </si>
  <si>
    <t>Tables by govt rating from §61</t>
  </si>
  <si>
    <t>¯</t>
  </si>
  <si>
    <t>From §52</t>
  </si>
  <si>
    <t>ORA (BBB+, with</t>
  </si>
  <si>
    <t>France now AA)</t>
  </si>
  <si>
    <t>To determine the overall rating, we convert each of the 11 sub-factor ratings into a numeric value based upon the scale below.</t>
  </si>
  <si>
    <t>- Management Quality</t>
  </si>
  <si>
    <t>- Corporate Governance</t>
  </si>
  <si>
    <t>- Financial Controls</t>
  </si>
  <si>
    <t>- Liquidity Management</t>
  </si>
  <si>
    <t>Aa</t>
  </si>
  <si>
    <t>Baa</t>
  </si>
  <si>
    <t>Ba</t>
  </si>
  <si>
    <t>Caa</t>
  </si>
  <si>
    <t>&lt; 0.5</t>
  </si>
  <si>
    <t>0.5-1.0</t>
  </si>
  <si>
    <t>1.0-2.0</t>
  </si>
  <si>
    <t>2.0-2.75</t>
  </si>
  <si>
    <t>2.75-3.75</t>
  </si>
  <si>
    <t>3.75-6.0</t>
  </si>
  <si>
    <t>&gt; 6.0</t>
  </si>
  <si>
    <t>®</t>
  </si>
  <si>
    <t xml:space="preserve">- Diversified carriers </t>
  </si>
  <si>
    <t>- Shareholder pressure is likely to increase.</t>
  </si>
  <si>
    <r>
      <t xml:space="preserve">- </t>
    </r>
    <r>
      <rPr>
        <b/>
        <sz val="10"/>
        <rFont val="Arial"/>
        <family val="2"/>
      </rPr>
      <t>Mobile</t>
    </r>
    <r>
      <rPr>
        <sz val="10"/>
        <rFont val="Arial"/>
        <family val="2"/>
      </rPr>
      <t xml:space="preserve"> SPs</t>
    </r>
  </si>
  <si>
    <t>- Event risk</t>
  </si>
  <si>
    <t>INTRODUCTION</t>
  </si>
  <si>
    <r>
      <t xml:space="preserve">Graphs &amp; comments from col.  T </t>
    </r>
    <r>
      <rPr>
        <b/>
        <sz val="10"/>
        <rFont val="Symbol"/>
        <family val="1"/>
        <charset val="2"/>
      </rPr>
      <t>®</t>
    </r>
  </si>
  <si>
    <r>
      <rPr>
        <sz val="10"/>
        <rFont val="Arial"/>
        <family val="2"/>
      </rPr>
      <t>Based on LTM</t>
    </r>
    <r>
      <rPr>
        <sz val="10"/>
        <color theme="1" tint="0.499984740745262"/>
        <rFont val="Arial"/>
        <family val="2"/>
      </rPr>
      <t xml:space="preserve"> data from closest quarter to 3Q10 for public SPs, end previous year for private and non-US SPs.</t>
    </r>
  </si>
  <si>
    <t>Other selected excerpts (for the purpose of this determination) :</t>
  </si>
  <si>
    <t>(Moody's also considered this 2009 pdf :</t>
  </si>
  <si>
    <t>Capital</t>
  </si>
  <si>
    <t>tD*/Capital</t>
  </si>
  <si>
    <t>Avg. tD*/Cap</t>
  </si>
  <si>
    <r>
      <rPr>
        <b/>
        <sz val="10"/>
        <rFont val="Wingdings"/>
        <charset val="2"/>
      </rPr>
      <t>ä</t>
    </r>
    <r>
      <rPr>
        <b/>
        <sz val="10"/>
        <rFont val="Arial"/>
        <family val="2"/>
      </rPr>
      <t xml:space="preserve"> tD*/Cap</t>
    </r>
  </si>
  <si>
    <t>Eb incl. preferred stocks (S&amp;P's at least).</t>
  </si>
  <si>
    <t>Also Capital does not include OL.</t>
  </si>
  <si>
    <t>Govt Support</t>
  </si>
  <si>
    <t>Role as GRE/GRI</t>
  </si>
  <si>
    <t>Adj. tD*/Ebitda*</t>
  </si>
  <si>
    <t>FT/ORA</t>
  </si>
  <si>
    <t>Stable at A3 = A- with a Negative outlook since Aug. 2012.</t>
  </si>
  <si>
    <t>Puzzling : TPS' reported D/Ebitda at 1.0x at  least since 4Q12, same from Bloom. &amp; tD/Ea at 1.1x, tD*/Ea* at 1.2x.</t>
  </si>
  <si>
    <r>
      <t>Ea yoy</t>
    </r>
    <r>
      <rPr>
        <sz val="10"/>
        <color theme="1" tint="0.499984740745262"/>
        <rFont val="Wingdings"/>
        <charset val="2"/>
      </rPr>
      <t>ä</t>
    </r>
  </si>
  <si>
    <r>
      <t>Ea* yoy</t>
    </r>
    <r>
      <rPr>
        <sz val="10"/>
        <color theme="1" tint="0.499984740745262"/>
        <rFont val="Wingdings"/>
        <charset val="2"/>
      </rPr>
      <t>ä</t>
    </r>
  </si>
  <si>
    <t>Impact on Mobistar's rating vs. TPS'</t>
  </si>
  <si>
    <t>=</t>
  </si>
  <si>
    <t>* Other transfers possibly and relatively less substantial.</t>
  </si>
  <si>
    <t>But compared to TPS, Mobistar's mere smaller size should make any rescue from FT easier if required by serious circumstances.</t>
  </si>
  <si>
    <t>* A supervision by FT possibly and generally less tight, except maybe in current difficult times both for Mobistar and the group,</t>
  </si>
  <si>
    <t>- Repeatedly or significantly missing targets which have been publicly stated may also have a negative impact by itself, as with share prices. (Between 3Q12-1Q13, TPS' Market Cap. suddenly dropped by almost as much as Mobistar's since mid-2011.)</t>
  </si>
  <si>
    <t xml:space="preserve">1H10-1H13 Avg. </t>
  </si>
  <si>
    <t>1H12-1H13 Avg.</t>
  </si>
  <si>
    <t>Current Rating</t>
  </si>
  <si>
    <t>D*/Ea*</t>
  </si>
  <si>
    <t>Freely available documents, with simple web registration for those from agencies (most sector and company reports are delivered only with premium access).</t>
  </si>
  <si>
    <t>Composite Rating</t>
  </si>
  <si>
    <t>Historical Ratings Recap</t>
  </si>
  <si>
    <t>Recap table for historical ratings at the very end of this sheet.</t>
  </si>
  <si>
    <t xml:space="preserve">Tele2 </t>
  </si>
  <si>
    <t>AAA(-)</t>
  </si>
  <si>
    <t>Synthetic ratings in italics</t>
  </si>
  <si>
    <t>Italics : synthetic rating</t>
  </si>
  <si>
    <t>Values to copy &amp; paste</t>
  </si>
  <si>
    <t>En ought to be lower than Eb, equity's book value.</t>
  </si>
  <si>
    <t>Filo-fisc (pdf)</t>
  </si>
  <si>
    <r>
      <t>Also note this fiscal measure</t>
    </r>
    <r>
      <rPr>
        <b/>
        <sz val="10"/>
        <rFont val="Arial"/>
        <family val="2"/>
      </rPr>
      <t xml:space="preserve"> do not apply when shareholder's </t>
    </r>
  </si>
  <si>
    <t>Accounting tools</t>
  </si>
  <si>
    <t>Avg. P/B</t>
  </si>
  <si>
    <t>Yr. Avg. P/B</t>
  </si>
  <si>
    <t>* (Nordic/Swiss cluster rather in the first half.)</t>
  </si>
  <si>
    <r>
      <t xml:space="preserve">- In previous determinations, En was approximated by Eb, thus possiby implying overstated </t>
    </r>
    <r>
      <rPr>
        <sz val="10"/>
        <rFont val="Symbol"/>
        <family val="1"/>
        <charset val="2"/>
      </rPr>
      <t>D</t>
    </r>
    <r>
      <rPr>
        <sz val="10"/>
        <rFont val="Arial"/>
        <family val="2"/>
      </rPr>
      <t>not.</t>
    </r>
  </si>
  <si>
    <t>1H11-1H13</t>
  </si>
  <si>
    <t xml:space="preserve">Belgacom </t>
  </si>
  <si>
    <t>(E/Eb)</t>
  </si>
  <si>
    <t>Market Cap.</t>
  </si>
  <si>
    <t>Rnot</t>
  </si>
  <si>
    <r>
      <rPr>
        <b/>
        <sz val="10"/>
        <rFont val="Symbol"/>
        <family val="1"/>
        <charset val="2"/>
      </rPr>
      <t>D</t>
    </r>
    <r>
      <rPr>
        <b/>
        <sz val="10"/>
        <rFont val="Arial"/>
        <family val="2"/>
      </rPr>
      <t>not</t>
    </r>
  </si>
  <si>
    <t>Fonds propres sur Ebitda des opérateurs belges</t>
  </si>
  <si>
    <t>t/(1-t).(1-g).Rnot</t>
  </si>
  <si>
    <r>
      <rPr>
        <b/>
        <sz val="10"/>
        <rFont val="Symbol"/>
        <family val="1"/>
        <charset val="2"/>
      </rPr>
      <t>®</t>
    </r>
    <r>
      <rPr>
        <b/>
        <sz val="8"/>
        <rFont val="Arial"/>
        <family val="2"/>
      </rPr>
      <t xml:space="preserve"> </t>
    </r>
    <r>
      <rPr>
        <b/>
        <sz val="10"/>
        <rFont val="Arial"/>
        <family val="2"/>
      </rPr>
      <t>Eb/E</t>
    </r>
  </si>
  <si>
    <r>
      <rPr>
        <b/>
        <sz val="10"/>
        <rFont val="Symbol"/>
        <family val="1"/>
        <charset val="2"/>
      </rPr>
      <t>®</t>
    </r>
    <r>
      <rPr>
        <b/>
        <sz val="8"/>
        <rFont val="Arial"/>
        <family val="2"/>
      </rPr>
      <t xml:space="preserve"> </t>
    </r>
    <r>
      <rPr>
        <b/>
        <sz val="10"/>
        <rFont val="Symbol"/>
        <family val="1"/>
        <charset val="2"/>
      </rPr>
      <t>D</t>
    </r>
    <r>
      <rPr>
        <b/>
        <sz val="10"/>
        <rFont val="Arial"/>
        <family val="2"/>
      </rPr>
      <t>not</t>
    </r>
  </si>
  <si>
    <t>Stakeholder's Note :</t>
  </si>
  <si>
    <t>Operating lease expenses are really financial expenses, and should be treated as such. Accounting standards allow them to be treated as operating expenses. This program will convert commitments to make operating leases into debt and adjust the operating income accordingly, by adding back the imputed interest expense on this debt.</t>
  </si>
  <si>
    <r>
      <t xml:space="preserve">- All </t>
    </r>
    <r>
      <rPr>
        <b/>
        <sz val="10"/>
        <rFont val="Arial"/>
        <family val="2"/>
      </rPr>
      <t>period's ratings</t>
    </r>
    <r>
      <rPr>
        <sz val="10"/>
        <rFont val="Arial"/>
        <family val="2"/>
      </rPr>
      <t xml:space="preserve"> set at current ratings except for Belgian SPs, ORA &amp; TPS</t>
    </r>
  </si>
  <si>
    <t>Years : n =</t>
  </si>
  <si>
    <t>Avg OL/n =</t>
  </si>
  <si>
    <t>q =</t>
  </si>
  <si>
    <t>1/(1+Cd)</t>
  </si>
  <si>
    <t>An input to adjust Ebitda with OL, thus EV/Ebitda and D/Ebitda. (Not found through Bloomberg.)</t>
  </si>
  <si>
    <t>- n-1 instead of n, as current OL is likely to be generally higher than OL/n (as in Damodaran's exemple)</t>
  </si>
  <si>
    <r>
      <t xml:space="preserve">Instead of "crunching" around 3x21 financial reports, we approximate </t>
    </r>
    <r>
      <rPr>
        <b/>
        <sz val="10"/>
        <rFont val="Arial"/>
        <family val="2"/>
      </rPr>
      <t xml:space="preserve">OL expense current year </t>
    </r>
    <r>
      <rPr>
        <sz val="10"/>
        <rFont val="Arial"/>
        <family val="2"/>
      </rPr>
      <t xml:space="preserve">by </t>
    </r>
    <r>
      <rPr>
        <b/>
        <sz val="10"/>
        <rFont val="Arial"/>
        <family val="2"/>
      </rPr>
      <t>OL/(n-1)</t>
    </r>
    <r>
      <rPr>
        <sz val="10"/>
        <rFont val="Arial"/>
        <family val="2"/>
      </rPr>
      <t>, with :</t>
    </r>
  </si>
  <si>
    <t>from next year, as a 'debt'</t>
  </si>
  <si>
    <t>With :    a =</t>
  </si>
  <si>
    <t>And k from 1 to n (instead of 0 to n-1)</t>
  </si>
  <si>
    <r>
      <rPr>
        <sz val="10"/>
        <rFont val="Symbol"/>
        <family val="1"/>
        <charset val="2"/>
      </rPr>
      <t>®</t>
    </r>
    <r>
      <rPr>
        <sz val="9"/>
        <rFont val="Arial"/>
        <family val="2"/>
      </rPr>
      <t xml:space="preserve"> </t>
    </r>
    <r>
      <rPr>
        <sz val="10"/>
        <rFont val="Arial"/>
        <family val="2"/>
      </rPr>
      <t xml:space="preserve">S = </t>
    </r>
  </si>
  <si>
    <t xml:space="preserve">(1-q^(n+1))/(1-q) - 1 = (1-q^n).q/(1-q) </t>
  </si>
  <si>
    <t>S. avg OL =</t>
  </si>
  <si>
    <t>Here : Cd =</t>
  </si>
  <si>
    <t>Might be a lucky example, but, overall, this simplified calculation should provide fair estimates.</t>
  </si>
  <si>
    <t>(1-1/(1+Cd)^n)/Cd</t>
  </si>
  <si>
    <t>No automatic update !</t>
  </si>
  <si>
    <t>Belgian SPs :</t>
  </si>
  <si>
    <t>(All in €.)</t>
  </si>
  <si>
    <t>Peers considered in other regulatory determinations</t>
  </si>
  <si>
    <t>Mob.TeleSyst.</t>
  </si>
  <si>
    <t>TEF Deutschl.</t>
  </si>
  <si>
    <t>TalkTalk Tel.</t>
  </si>
  <si>
    <t>EV/Ebitda for 2005, 2006, 2007, 1H09</t>
  </si>
  <si>
    <r>
      <rPr>
        <b/>
        <sz val="10"/>
        <color theme="1"/>
        <rFont val="Symbol"/>
        <family val="1"/>
        <charset val="2"/>
      </rPr>
      <t>D</t>
    </r>
    <r>
      <rPr>
        <b/>
        <sz val="8"/>
        <color theme="1"/>
        <rFont val="Arial"/>
        <family val="2"/>
      </rPr>
      <t xml:space="preserve"> </t>
    </r>
    <r>
      <rPr>
        <b/>
        <sz val="10"/>
        <color theme="1"/>
        <rFont val="Arial"/>
        <family val="2"/>
      </rPr>
      <t>BIPT 2010</t>
    </r>
  </si>
  <si>
    <t>1H10-13</t>
  </si>
  <si>
    <r>
      <t xml:space="preserve">E/R </t>
    </r>
    <r>
      <rPr>
        <sz val="10"/>
        <color theme="1"/>
        <rFont val="Symbol"/>
        <family val="1"/>
        <charset val="2"/>
      </rPr>
      <t xml:space="preserve">» </t>
    </r>
    <r>
      <rPr>
        <sz val="10"/>
        <color theme="1"/>
        <rFont val="Arial"/>
        <family val="2"/>
      </rPr>
      <t>1 &amp; stable</t>
    </r>
  </si>
  <si>
    <t xml:space="preserve">" All of the quantitative credit metrics incorporate Moody’s standard adjustments to income statement, cash flow statement and balance sheet amounts for restructuring, impairment, off-balance sheet accounts, receivable securitization programs, under-funded pension obligations, and recurring operating leases. " </t>
  </si>
  <si>
    <t>Yet, these perspectives may not prevent the regulator from opting for distinct ratios :</t>
  </si>
  <si>
    <t xml:space="preserve">While the proposed PV OL model allows for yearly credit rating sequences, we believe that such a stricter and time consuming analysis on D* should have a minimal impact for most SPs, even more after smoothing discrepancies between credit rating agencies (we may use only one rating by SP &amp; period). In addition, yields generally do not change overnight following credit rating movements. Such evolutions are often anticipated by market players, not least because of preceding "warnings" issued by credit rating agencies themselves (actually, their observations are sometimes reproached for lagging behind market prices.) </t>
  </si>
  <si>
    <t>For these SPs, βd is at least already cleared from any currency mismatch the proposed forrmulation : both numerator and denominator in €.</t>
  </si>
  <si>
    <r>
      <rPr>
        <b/>
        <sz val="10"/>
        <rFont val="Arial"/>
        <family val="2"/>
      </rPr>
      <t>ICR</t>
    </r>
    <r>
      <rPr>
        <sz val="10"/>
        <rFont val="Arial"/>
        <family val="2"/>
      </rPr>
      <t xml:space="preserve"> = Issuer Credit Rating</t>
    </r>
  </si>
  <si>
    <r>
      <rPr>
        <b/>
        <sz val="10"/>
        <rFont val="Arial"/>
        <family val="2"/>
      </rPr>
      <t>CFR</t>
    </r>
    <r>
      <rPr>
        <sz val="10"/>
        <rFont val="Arial"/>
        <family val="2"/>
      </rPr>
      <t xml:space="preserve"> = Corporate Family Rating </t>
    </r>
  </si>
  <si>
    <r>
      <rPr>
        <b/>
        <sz val="10"/>
        <rFont val="Arial"/>
        <family val="2"/>
      </rPr>
      <t>IDR</t>
    </r>
    <r>
      <rPr>
        <sz val="10"/>
        <rFont val="Arial"/>
        <family val="2"/>
      </rPr>
      <t xml:space="preserve"> = Issuer Default Rating</t>
    </r>
  </si>
  <si>
    <t>Thefore, some underlined hyperlinks require login. If the link does not work properly : right click / modify hyperlink / copy address / paste on browser's bar.</t>
  </si>
  <si>
    <t>Rating a GRE above the rating on its govt from §42 (e.g. OTE &amp; Greece).</t>
  </si>
  <si>
    <t>See hereafter for Belgacom &amp; ORA's GRE &amp; SACP profiles.</t>
  </si>
  <si>
    <t>Belgium (AA, but negative outloook x3)</t>
  </si>
  <si>
    <r>
      <t xml:space="preserve">As a matter of fact, </t>
    </r>
    <r>
      <rPr>
        <b/>
        <sz val="10"/>
        <rFont val="Arial"/>
        <family val="2"/>
      </rPr>
      <t>this matrix addresses a company's SACP</t>
    </r>
    <r>
      <rPr>
        <sz val="10"/>
        <rFont val="Arial"/>
        <family val="2"/>
      </rPr>
      <t xml:space="preserve"> : </t>
    </r>
    <r>
      <rPr>
        <i/>
        <sz val="10"/>
        <rFont val="Arial"/>
        <family val="2"/>
      </rPr>
      <t>it does not take into account of external influences, which could pertain in the case of GREs or subsidiaries that in our view may benefit or suffer from affiliation with a stronger or weaker group.</t>
    </r>
  </si>
  <si>
    <t>- Whereas generic SPs are modeled in a steady state.</t>
  </si>
  <si>
    <t>è</t>
  </si>
  <si>
    <t>Preferred dividends sometimes added to gross interests.</t>
  </si>
  <si>
    <t>Ebit sometimes replace by Ebitda.</t>
  </si>
  <si>
    <t>Preferred dividends sometimes added.</t>
  </si>
  <si>
    <t>Belgacom (A &amp; a)</t>
  </si>
  <si>
    <t>Agencies' Key Acronyms</t>
  </si>
  <si>
    <t>Fitch's</t>
  </si>
  <si>
    <r>
      <t xml:space="preserve">Graphs from Moody's  </t>
    </r>
    <r>
      <rPr>
        <sz val="10"/>
        <color theme="1" tint="0.499984740745262"/>
        <rFont val="Wingdings"/>
        <charset val="2"/>
      </rPr>
      <t>æ</t>
    </r>
  </si>
  <si>
    <t>- And finally, Mobistar's synthetic rating for the realized period, as well as its 'normalized' rating for the forthcoming period.</t>
  </si>
  <si>
    <r>
      <rPr>
        <b/>
        <sz val="10"/>
        <rFont val="Arial"/>
        <family val="2"/>
      </rPr>
      <t>TPS</t>
    </r>
    <r>
      <rPr>
        <sz val="10"/>
        <rFont val="Arial"/>
        <family val="2"/>
      </rPr>
      <t xml:space="preserve"> </t>
    </r>
    <r>
      <rPr>
        <b/>
        <sz val="10"/>
        <rFont val="Arial"/>
        <family val="2"/>
      </rPr>
      <t>:</t>
    </r>
    <r>
      <rPr>
        <sz val="10"/>
        <rFont val="Arial"/>
        <family val="2"/>
      </rPr>
      <t xml:space="preserve"> BBB+ until Aug. 2013 then BBB, </t>
    </r>
    <r>
      <rPr>
        <b/>
        <sz val="10"/>
        <rFont val="Arial"/>
        <family val="2"/>
      </rPr>
      <t>1 notch below ORA.</t>
    </r>
    <r>
      <rPr>
        <sz val="10"/>
        <rFont val="Arial"/>
        <family val="2"/>
      </rPr>
      <t xml:space="preserve"> </t>
    </r>
  </si>
  <si>
    <t>Note that agencies seem to keep some flexibility on whether a downgrade could result from the worsening of one factor or their combined deteroriation.</t>
  </si>
  <si>
    <t>Mkt Cap / Belgacom's Mkt Cap (€)</t>
  </si>
  <si>
    <t>1H12 - 1H13</t>
  </si>
  <si>
    <t>td/cap.</t>
  </si>
  <si>
    <r>
      <rPr>
        <sz val="10"/>
        <rFont val="Wingdings"/>
        <charset val="2"/>
      </rPr>
      <t>ä</t>
    </r>
    <r>
      <rPr>
        <sz val="9"/>
        <rFont val="Arial"/>
        <family val="2"/>
      </rPr>
      <t xml:space="preserve"> </t>
    </r>
    <r>
      <rPr>
        <sz val="10"/>
        <rFont val="Arial"/>
        <family val="2"/>
      </rPr>
      <t>Cd</t>
    </r>
  </si>
  <si>
    <r>
      <rPr>
        <sz val="10"/>
        <rFont val="Wingdings"/>
        <charset val="2"/>
      </rPr>
      <t>ä</t>
    </r>
    <r>
      <rPr>
        <sz val="9"/>
        <rFont val="Arial"/>
        <family val="2"/>
      </rPr>
      <t xml:space="preserve"> </t>
    </r>
    <r>
      <rPr>
        <sz val="10"/>
        <rFont val="Arial"/>
        <family val="2"/>
      </rPr>
      <t>WACC</t>
    </r>
  </si>
  <si>
    <r>
      <t xml:space="preserve">Rating </t>
    </r>
    <r>
      <rPr>
        <sz val="10"/>
        <rFont val="Wingdings"/>
        <charset val="2"/>
      </rPr>
      <t>æ</t>
    </r>
  </si>
  <si>
    <r>
      <rPr>
        <sz val="10"/>
        <rFont val="Wingdings"/>
        <charset val="2"/>
      </rPr>
      <t>ä</t>
    </r>
    <r>
      <rPr>
        <sz val="9"/>
        <rFont val="Arial"/>
        <family val="2"/>
      </rPr>
      <t xml:space="preserve"> </t>
    </r>
    <r>
      <rPr>
        <sz val="10"/>
        <rFont val="Arial"/>
        <family val="2"/>
      </rPr>
      <t>d</t>
    </r>
  </si>
  <si>
    <t>Remarks :</t>
  </si>
  <si>
    <t>RATING METRICS</t>
  </si>
  <si>
    <t>Note that, in their reports, agencies and analysts do not refer to market-value-based measures (i.e their equity-side counterparts), thus to market gearings g.</t>
  </si>
  <si>
    <t>Preferred stocks sometimes added to tD.</t>
  </si>
  <si>
    <t>OL - mplications for lessees' credit</t>
  </si>
  <si>
    <t>Preliminary Remarks</t>
  </si>
  <si>
    <t>- Implemented metrics with values for rated SPs and comparison with their ratings.</t>
  </si>
  <si>
    <r>
      <t xml:space="preserve">- </t>
    </r>
    <r>
      <rPr>
        <b/>
        <sz val="10"/>
        <rFont val="Arial"/>
        <family val="2"/>
      </rPr>
      <t>RCF</t>
    </r>
    <r>
      <rPr>
        <sz val="10"/>
        <rFont val="Arial"/>
        <family val="2"/>
      </rPr>
      <t xml:space="preserve"> = Retained cash flow after deducting dividends</t>
    </r>
  </si>
  <si>
    <t>(Hence, this relatively long analysis.)</t>
  </si>
  <si>
    <t>AGENCIES APPROACHES</t>
  </si>
  <si>
    <t>- The same applies to generic SPs, but then the key question is from which SP(s) would they be initially profiled. This is progressively addressed in the next section.</t>
  </si>
  <si>
    <t>- Reversing axis and drawing vertical lines from given tD/Ebitda, for instance, in order to determine ratings would be misleading.</t>
  </si>
  <si>
    <t>They substantially differ, for instance, for utilities and in our case with Telcos (see above benchmark, an apparent paradox being their values closer to our market-based g*).</t>
  </si>
  <si>
    <t>(Profitability unknown/not investigated)</t>
  </si>
  <si>
    <t>(See above Mkt Cap/Belgacom's)</t>
  </si>
  <si>
    <t>- Some intermediary judgements and preliminary estimates.</t>
  </si>
  <si>
    <r>
      <t xml:space="preserve">- 15 with 1 notch </t>
    </r>
    <r>
      <rPr>
        <sz val="10"/>
        <rFont val="Symbol"/>
        <family val="1"/>
        <charset val="2"/>
      </rPr>
      <t>D</t>
    </r>
    <r>
      <rPr>
        <sz val="10"/>
        <rFont val="Arial"/>
        <family val="2"/>
      </rPr>
      <t xml:space="preserve"> from GIR</t>
    </r>
  </si>
  <si>
    <r>
      <t xml:space="preserve">- 5 with 2 notch </t>
    </r>
    <r>
      <rPr>
        <sz val="10"/>
        <rFont val="Symbol"/>
        <family val="1"/>
        <charset val="2"/>
      </rPr>
      <t>D</t>
    </r>
    <r>
      <rPr>
        <sz val="10"/>
        <rFont val="Arial"/>
        <family val="2"/>
      </rPr>
      <t xml:space="preserve"> from GIR</t>
    </r>
  </si>
  <si>
    <r>
      <t xml:space="preserve">- 1 with 3 notch </t>
    </r>
    <r>
      <rPr>
        <sz val="10"/>
        <rFont val="Symbol"/>
        <family val="1"/>
        <charset val="2"/>
      </rPr>
      <t>D</t>
    </r>
    <r>
      <rPr>
        <sz val="10"/>
        <rFont val="Arial"/>
        <family val="2"/>
      </rPr>
      <t xml:space="preserve"> from GIR</t>
    </r>
  </si>
  <si>
    <t>As of Dec. 2010. Belgacom not included.</t>
  </si>
  <si>
    <t>- 4 = GIR</t>
  </si>
  <si>
    <t>This would require Grid estimates for Belgacom anyway (n/a).</t>
  </si>
  <si>
    <r>
      <rPr>
        <sz val="10"/>
        <rFont val="Arial"/>
        <family val="2"/>
      </rPr>
      <t xml:space="preserve">Fitch's </t>
    </r>
    <r>
      <rPr>
        <u/>
        <sz val="10"/>
        <rFont val="Arial"/>
        <family val="2"/>
      </rPr>
      <t xml:space="preserve">Corporate Rating Methodology </t>
    </r>
  </si>
  <si>
    <t>- On its website, Fitch mentions a sector specific report, Rating Telecom Companies (Aug 2012), requiring premium access.</t>
  </si>
  <si>
    <t>Belgium's rating history by Moody's</t>
  </si>
  <si>
    <t>WIP (just for table's illustration)</t>
  </si>
  <si>
    <t>S&amp;P's Ratios and Adjustments</t>
  </si>
  <si>
    <r>
      <rPr>
        <sz val="10"/>
        <rFont val="Arial"/>
        <family val="2"/>
      </rPr>
      <t xml:space="preserve">In </t>
    </r>
    <r>
      <rPr>
        <u/>
        <sz val="10"/>
        <rFont val="Arial"/>
        <family val="2"/>
      </rPr>
      <t>Key Credit Factors for the Telecommunications and Cable Industry</t>
    </r>
    <r>
      <rPr>
        <sz val="10"/>
        <rFont val="Arial"/>
        <family val="2"/>
      </rPr>
      <t>,</t>
    </r>
  </si>
  <si>
    <r>
      <t xml:space="preserve">Competitive position </t>
    </r>
    <r>
      <rPr>
        <sz val="10"/>
        <rFont val="Symbol"/>
        <family val="1"/>
        <charset val="2"/>
      </rPr>
      <t>¯</t>
    </r>
  </si>
  <si>
    <t>Group comparison</t>
  </si>
  <si>
    <t>- Operating efficiency</t>
  </si>
  <si>
    <r>
      <t xml:space="preserve">- Scale, scope, and diversity   </t>
    </r>
    <r>
      <rPr>
        <sz val="10"/>
        <rFont val="Symbol"/>
        <family val="1"/>
        <charset val="2"/>
      </rPr>
      <t>®</t>
    </r>
  </si>
  <si>
    <r>
      <t xml:space="preserve">- Competitive advantage </t>
    </r>
    <r>
      <rPr>
        <b/>
        <i/>
        <sz val="10"/>
        <rFont val="Arial"/>
        <family val="2"/>
      </rPr>
      <t>(including market share)</t>
    </r>
  </si>
  <si>
    <t>Geographic diversity</t>
  </si>
  <si>
    <t>Ebitda margin with a 3-point scale : below avg. (&lt; 25% Telecoms, &lt; 30% Cable) / avg. / above avg. (&gt; 40%)</t>
  </si>
  <si>
    <r>
      <t xml:space="preserve">- Profitability  </t>
    </r>
    <r>
      <rPr>
        <sz val="10"/>
        <rFont val="Symbol"/>
        <family val="1"/>
        <charset val="2"/>
      </rPr>
      <t>®</t>
    </r>
  </si>
  <si>
    <t>Footprint's size, network or other segment-relevant measures</t>
  </si>
  <si>
    <t>Product diversity incl. ability to offer a competitive suite of services</t>
  </si>
  <si>
    <t>Volatility of profitability a six-point scale using standard error of regression.</t>
  </si>
  <si>
    <t>- "Size" encompasses or is closely related to several other notions such as scale, scope, market share, etc.</t>
  </si>
  <si>
    <r>
      <t xml:space="preserve">- (And one may be dismayed by metrics's weights, although they are not fully independent  </t>
    </r>
    <r>
      <rPr>
        <sz val="10"/>
        <rFont val="Wingdings"/>
        <charset val="2"/>
      </rPr>
      <t>æ</t>
    </r>
    <r>
      <rPr>
        <sz val="10"/>
        <rFont val="Arial"/>
        <family val="2"/>
      </rPr>
      <t>)</t>
    </r>
  </si>
  <si>
    <t>Table below ranks SPs first by rating, then by LTM (or last) tD*/Ebitda*.</t>
  </si>
  <si>
    <t>Page 499 (freely available online).</t>
  </si>
  <si>
    <t>­</t>
  </si>
  <si>
    <t>RATING VARIATIONS</t>
  </si>
  <si>
    <r>
      <t xml:space="preserve">è </t>
    </r>
    <r>
      <rPr>
        <b/>
        <sz val="10"/>
        <rFont val="Arial"/>
        <family val="2"/>
      </rPr>
      <t>Metrics</t>
    </r>
  </si>
  <si>
    <t>We rather move to Moody's bottom-line, i.e. possibly adjust latter estimates to integrate its assigned rating to Belgacom.</t>
  </si>
  <si>
    <t>- We could hardly find more contrasting financial policies than between Belgacom and Telenet - which incidentally is only 1/4 less 'Mobile' than Belgacom.</t>
  </si>
  <si>
    <r>
      <rPr>
        <b/>
        <sz val="10"/>
        <rFont val="Wingdings"/>
        <charset val="2"/>
      </rPr>
      <t>è</t>
    </r>
    <r>
      <rPr>
        <b/>
        <sz val="10"/>
        <rFont val="Arial"/>
        <family val="2"/>
      </rPr>
      <t xml:space="preserve"> Hypothetical Telenet</t>
    </r>
  </si>
  <si>
    <t>Required data series could not be collected to build appropriate estimates for FFO and coverage ratios (preferably in a benchmark analysis, although publicly available agency notes mention some thresholds which are relevant to the sector).</t>
  </si>
  <si>
    <r>
      <rPr>
        <b/>
        <sz val="10"/>
        <rFont val="Arial"/>
        <family val="2"/>
      </rPr>
      <t>i)</t>
    </r>
    <r>
      <rPr>
        <sz val="10"/>
        <rFont val="Arial"/>
        <family val="2"/>
      </rPr>
      <t xml:space="preserve"> As stated, our hypothetical scenarios assume variations of key metrics, FFO*/tD* in particular (and coverage not mentioned here), along with </t>
    </r>
    <r>
      <rPr>
        <b/>
        <sz val="10"/>
        <rFont val="Arial"/>
        <family val="2"/>
      </rPr>
      <t>changes in indebtedness measured by tD*/Ebitda*</t>
    </r>
    <r>
      <rPr>
        <sz val="10"/>
        <rFont val="Arial"/>
        <family val="2"/>
      </rPr>
      <t xml:space="preserve"> (in absence of reference to tD*/Capital), all other things being equal. </t>
    </r>
  </si>
  <si>
    <t>- Analysts comments, and S&amp;P's and Moody's methodologies outlined in the previous section, suggest that Belgacom would likely lose one notch in the central scenario.</t>
  </si>
  <si>
    <t xml:space="preserve">- On the other, there are alternative SPs without any GRE privilege, but still benefiting from some sort of supoport by their respective main shareholders, as it is reminded in the next section. </t>
  </si>
  <si>
    <r>
      <t xml:space="preserve">We may rate the GRE the same as its </t>
    </r>
    <r>
      <rPr>
        <b/>
        <i/>
        <sz val="10"/>
        <rFont val="Arial"/>
        <family val="2"/>
      </rPr>
      <t>SACP</t>
    </r>
    <r>
      <rPr>
        <i/>
        <sz val="10"/>
        <rFont val="Arial"/>
        <family val="2"/>
      </rPr>
      <t xml:space="preserve"> where we believe that the likelihood of govt support is </t>
    </r>
    <r>
      <rPr>
        <b/>
        <i/>
        <sz val="10"/>
        <rFont val="Arial"/>
        <family val="2"/>
      </rPr>
      <t>Low</t>
    </r>
    <r>
      <rPr>
        <i/>
        <sz val="10"/>
        <rFont val="Arial"/>
        <family val="2"/>
      </rPr>
      <t xml:space="preserve"> (..) This is the case, for instance, for </t>
    </r>
    <r>
      <rPr>
        <b/>
        <i/>
        <sz val="10"/>
        <rFont val="Arial"/>
        <family val="2"/>
      </rPr>
      <t>a GRE performing a function that other market participants could easily undertake</t>
    </r>
    <r>
      <rPr>
        <i/>
        <sz val="10"/>
        <rFont val="Arial"/>
        <family val="2"/>
      </rPr>
      <t xml:space="preserve"> and that the private sector usually operates in other countries, </t>
    </r>
    <r>
      <rPr>
        <b/>
        <i/>
        <sz val="10"/>
        <rFont val="Arial"/>
        <family val="2"/>
      </rPr>
      <t>or where the government acts mostly as a regulator and its interventions have the primary objective of enhancing (or in some cases protecting) the functioning of the relevant industry segment, regardless of ownership</t>
    </r>
    <r>
      <rPr>
        <i/>
        <sz val="10"/>
        <rFont val="Arial"/>
        <family val="2"/>
      </rPr>
      <t>.</t>
    </r>
  </si>
  <si>
    <t>GRE - Moderate govt support</t>
  </si>
  <si>
    <r>
      <t>- All these factors weight in agencies' assessment of the '</t>
    </r>
    <r>
      <rPr>
        <b/>
        <sz val="10"/>
        <rFont val="Arial"/>
        <family val="2"/>
      </rPr>
      <t xml:space="preserve">Business Risk' profile. </t>
    </r>
    <r>
      <rPr>
        <sz val="10"/>
        <rFont val="Arial"/>
        <family val="2"/>
      </rPr>
      <t>This part of their analyses is addressed aside from all other previously mentioned indicators, which regard 'Financial Strength' (although they are not fully independent).</t>
    </r>
  </si>
  <si>
    <t xml:space="preserve">From S&amp;P's matrix, 'Satisfactory' Business risk involves with previous Financial Risk profiles  : </t>
  </si>
  <si>
    <t xml:space="preserve">- (A Business Risk profile lower than 'Fair', i.e. 'Weak', is overstretched for any reasonably efficient Belgian generic SP.) </t>
  </si>
  <si>
    <t xml:space="preserve">- Yet, with 3 market players in Belgium, govt may not be totally passive if one of them were to default, entailing possible bankruptcy, thus a telecom market left with only 2 players. </t>
  </si>
  <si>
    <t>(Partially) by S&amp;P's metrics and through its view on Belgacom,</t>
  </si>
  <si>
    <t>adjusted in following developments.</t>
  </si>
  <si>
    <r>
      <rPr>
        <sz val="10"/>
        <rFont val="Arial"/>
        <family val="2"/>
      </rPr>
      <t>Applied Cd then should regard yields in local currency.</t>
    </r>
    <r>
      <rPr>
        <sz val="10"/>
        <color theme="1" tint="0.499984740745262"/>
        <rFont val="Arial"/>
        <family val="2"/>
      </rPr>
      <t xml:space="preserve"> </t>
    </r>
    <r>
      <rPr>
        <sz val="10"/>
        <rFont val="Arial"/>
        <family val="2"/>
      </rPr>
      <t>For SPs which are not based in the Eurozone</t>
    </r>
    <r>
      <rPr>
        <sz val="10"/>
        <color theme="1" tint="0.499984740745262"/>
        <rFont val="Arial"/>
        <family val="2"/>
      </rPr>
      <t xml:space="preserve">, converting in € their D &amp; OL book values, Ebitda as well for financial ratios, through historical FX rates (then possibly applying ratings in foreign currency - see hereafter) might not do the trick with yields derived from Eurozone corporate bonds. </t>
    </r>
  </si>
  <si>
    <t>Preliminary Approximations</t>
  </si>
  <si>
    <t xml:space="preserve">Implemented Metrics </t>
  </si>
  <si>
    <t>By narrowing the field to these implementable metrics, we implictly assume that they fully drive the Financial Risk component of SPs' synthetic ratings; in other words, that overlooked ratios move along with Ebitda/tD (and Capital/tD), all other things being equal.</t>
  </si>
  <si>
    <t>Although corresponding graphs suggest logical trends, none of them is able to provide, by itself, reasonnably accurate rating predictions (especially around BBB).</t>
  </si>
  <si>
    <t>- Should we have been able to calculate appropriate coverage ratios, we would have maybe attempted to build a 2-factor scorecard (in the manner applied to Belgacom's peers) with estimation of the most appropriate weights for coverage and size (probabky a non-linear relationship because of Kohler's observation with respect to extreme sizes).</t>
  </si>
  <si>
    <t xml:space="preserve">- (Note the peculiar situation of OTE, with debt levels and size comparable to TKA but a very poor rating which could be related to Greece's (even worse) rating, CCC-.) </t>
  </si>
  <si>
    <t>- A more general view on rating determination, beyond the mere consideration of financial ratios, with links to some methodological guidelines.</t>
  </si>
  <si>
    <t>- We use the term 'conservatively' because, in S&amp;P's matrix, between 'Strong' and 'Satisfactory' Business Risk profiles, ratings are actually separated by two notches (until 'Significant' Financial Risk). Yet, we believe there should be a siginificant premium for enjoying a dominant position as Belgacom does, something the generic SP may not achieve, by definition. So, strictly, this not just about size.</t>
  </si>
  <si>
    <t xml:space="preserve">- More precisely, by stand-alone SP, we mean a single-activity operator with no sister entity (company or B.U with separated accounts allowing for a specific cost model) operating in the other business, in Belgium and at a comparable scale. </t>
  </si>
  <si>
    <t>Before analyzing the degree of support the integrated SP itself may get from its main shareholder(s).</t>
  </si>
  <si>
    <t xml:space="preserve">- By definition of a generic SP, govt support should be 'Low' - at best. This SP should be an average (but performing) player; its survival should not be essential for the economy. </t>
  </si>
  <si>
    <t xml:space="preserve">- (Difference of rating impacts between Low govt support and no support at all may be perceptible only when Financial Risk indicators becomes quite worrying ?) </t>
  </si>
  <si>
    <r>
      <t xml:space="preserve">No predetermined weights but we tend to </t>
    </r>
    <r>
      <rPr>
        <b/>
        <i/>
        <sz val="10"/>
        <rFont val="Arial"/>
        <family val="2"/>
      </rPr>
      <t>weight Business Risk slightly more than Financial Risk</t>
    </r>
    <r>
      <rPr>
        <i/>
        <sz val="10"/>
        <rFont val="Arial"/>
        <family val="2"/>
      </rPr>
      <t xml:space="preserve"> when differentiating among investment-grade ratings, conversely for speculative-grade issuers.</t>
    </r>
  </si>
  <si>
    <t xml:space="preserve">We skip here any attempt to infer generic Fixed &amp; Mobile ratings "according" to Moody's as we did with S&amp;P's from Belgacom's. </t>
  </si>
  <si>
    <t>Preliminary SACP Estimates</t>
  </si>
  <si>
    <t>- And for the ratings themselves, both at intermediate BBB+, in spite of significantly distinct leverage ratios (yet to relate to above issues).</t>
  </si>
  <si>
    <t xml:space="preserve">- Conversely, one may consider that there is some room for efficiency gains at Belgacom's and that the generic SP should be assumed to outperform Belgacom on several key Business Risk criteria (beside scale related factors). But with prevailing telecoms market's conditions/growth in Belgium and anywhere else in Europe, the bottom-line is that Belgacom's already 'Strong' profile (or almost) is unlikely to be simultaneously achievable by all domestic-only players, even if they are super-efficient. </t>
  </si>
  <si>
    <t>At least implictly, this is the same approach as those applied in determinations seeking differentiated WACC parameters and values from a real SP, e.g. Belgacom's Fixed line in the past, or BT's Openreach. Except that the proposed approach is here hypothetical on two counts, the 'base' integrated SP being already virtual.</t>
  </si>
  <si>
    <t xml:space="preserve">- This would move Mobile's ICR (= SACP) from A/A- to a clearer A- rating, </t>
  </si>
  <si>
    <t xml:space="preserve">- Whereas Fixed's ICR would remain unchanged at BBB+ by S&amp;P's matrix, but in the wider Baa = BBB class by Moody's scale, </t>
  </si>
  <si>
    <t>and probably closer to that rating given its suggested corresponding range (2.0-2.75x).</t>
  </si>
  <si>
    <t>BBB+/BBB</t>
  </si>
  <si>
    <t>- And possibly another one in the 'Low' scenario.</t>
  </si>
  <si>
    <t>- Also, from agencies' observations, illustrative 'High' rating could be raised by 1 notch to match Liberty's (upgraded by S&amp;P last June at Moody's BB- level) = Telenet's previous rating; whereas the 'Low' rating would remain at B+.</t>
  </si>
  <si>
    <t>?</t>
  </si>
  <si>
    <t>- (Here, the lack of rating may not be taken into account, as mentioned at the begining of this sheet.)</t>
  </si>
  <si>
    <t>- Mobistar would probably argue that the recent decrease of its business performances should be rather related to narrowing perspectives in the Belgium's Fixed market. But overall, without going through again the previous analysis, such a hypothetical rating remain 2 notches below ORA's, 3 before its downgrade and 2 below TPS' own downgrade.</t>
  </si>
  <si>
    <t xml:space="preserve">1H13 </t>
  </si>
  <si>
    <t>Avg</t>
  </si>
  <si>
    <t>Fixe</t>
  </si>
  <si>
    <t>ACM°</t>
  </si>
  <si>
    <t>CMT°</t>
  </si>
  <si>
    <r>
      <rPr>
        <i/>
        <sz val="10"/>
        <color theme="0" tint="-0.14999847407452621"/>
        <rFont val="Symbol"/>
        <family val="1"/>
        <charset val="2"/>
      </rPr>
      <t>»</t>
    </r>
    <r>
      <rPr>
        <i/>
        <sz val="10"/>
        <color theme="0" tint="-0.14999847407452621"/>
        <rFont val="Arial"/>
        <family val="2"/>
      </rPr>
      <t>Fixe</t>
    </r>
  </si>
  <si>
    <r>
      <rPr>
        <sz val="10"/>
        <color theme="0" tint="-0.249977111117893"/>
        <rFont val="Symbol"/>
        <family val="1"/>
        <charset val="2"/>
      </rPr>
      <t>»</t>
    </r>
    <r>
      <rPr>
        <sz val="8"/>
        <color theme="0" tint="-0.249977111117893"/>
        <rFont val="Arial"/>
        <family val="2"/>
      </rPr>
      <t xml:space="preserve"> </t>
    </r>
    <r>
      <rPr>
        <sz val="10"/>
        <color theme="0" tint="-0.249977111117893"/>
        <rFont val="Arial"/>
        <family val="2"/>
      </rPr>
      <t>Fixe</t>
    </r>
  </si>
  <si>
    <r>
      <rPr>
        <sz val="10"/>
        <color theme="0" tint="-0.499984740745262"/>
        <rFont val="Symbol"/>
        <family val="1"/>
        <charset val="2"/>
      </rPr>
      <t>»</t>
    </r>
    <r>
      <rPr>
        <sz val="8"/>
        <color theme="0" tint="-0.499984740745262"/>
        <rFont val="Arial"/>
        <family val="2"/>
      </rPr>
      <t xml:space="preserve"> </t>
    </r>
    <r>
      <rPr>
        <sz val="10"/>
        <color theme="0" tint="-0.499984740745262"/>
        <rFont val="Arial"/>
        <family val="2"/>
      </rPr>
      <t>Fixe</t>
    </r>
  </si>
  <si>
    <t>Finlande</t>
  </si>
  <si>
    <t>PV/BV OL</t>
  </si>
  <si>
    <t xml:space="preserve">Avg. PV/BV </t>
  </si>
  <si>
    <t>2010-2012</t>
  </si>
  <si>
    <t>Eb/E</t>
  </si>
  <si>
    <r>
      <rPr>
        <sz val="10"/>
        <rFont val="Symbol"/>
        <family val="1"/>
        <charset val="2"/>
      </rPr>
      <t>®</t>
    </r>
    <r>
      <rPr>
        <sz val="9"/>
        <rFont val="Arial"/>
        <family val="2"/>
      </rPr>
      <t xml:space="preserve"> </t>
    </r>
    <r>
      <rPr>
        <sz val="10"/>
        <rFont val="Arial"/>
        <family val="2"/>
      </rPr>
      <t>E/Ebitda</t>
    </r>
  </si>
  <si>
    <r>
      <t xml:space="preserve">General Methodology: </t>
    </r>
    <r>
      <rPr>
        <b/>
        <u/>
        <sz val="10"/>
        <rFont val="Arial"/>
        <family val="2"/>
      </rPr>
      <t>Business Risk/Financial Risk</t>
    </r>
    <r>
      <rPr>
        <u/>
        <sz val="10"/>
        <rFont val="Arial"/>
        <family val="2"/>
      </rPr>
      <t xml:space="preserve"> Matrix Expanded</t>
    </r>
  </si>
  <si>
    <t>Non</t>
  </si>
  <si>
    <t>TO WACC 3 &amp; 4</t>
  </si>
  <si>
    <t>% Belgacom's Mkt Cap</t>
  </si>
  <si>
    <t>(Mobile % Revenues were not collected.)</t>
  </si>
  <si>
    <t>In our case (and whether on avg or at the time of Brattle's analysis), TDC is at the outer border of the Fixed group. This may stem from different appreciations on what activity (e.g. ICT, equipment sales, etc.) should be included in Fixed Line, or in Mobile, or simply "neutralized" i.e. left out of total Fixed+Mobile.</t>
  </si>
  <si>
    <t>- OTE</t>
  </si>
  <si>
    <t>- TPS</t>
  </si>
  <si>
    <t>- TeliaSonera</t>
  </si>
  <si>
    <t>- Tele2</t>
  </si>
  <si>
    <r>
      <t xml:space="preserve">- and (especially) </t>
    </r>
    <r>
      <rPr>
        <sz val="10"/>
        <color rgb="FF0070C0"/>
        <rFont val="Arial"/>
        <family val="2"/>
      </rPr>
      <t>Sonaecom</t>
    </r>
    <r>
      <rPr>
        <sz val="10"/>
        <rFont val="Arial"/>
        <family val="2"/>
      </rPr>
      <t>,</t>
    </r>
  </si>
  <si>
    <t>- DT, not estimated after 2010, which could actually be at the Fixed/Mobile "border" (see below)</t>
  </si>
  <si>
    <t>- and, to a lesser extent, TIT &amp; ELI.</t>
  </si>
  <si>
    <t>- TKA</t>
  </si>
  <si>
    <t>- PT</t>
  </si>
  <si>
    <t>With Eurofirst indexes, EV/Ebitda are steadily higher for Mobile services. The spread has actually increased : from +20% for Mobile's EV/Ebitda compared to Fixed line's at 2Q10, to +45% at 2Q13. (We also note rising EV/Ebitda in 2013 : impact of large caps such as VOD.)</t>
  </si>
  <si>
    <t>Simple avg for 'integrated' SPs, i.e. for neither Fixed nor Mobile SPs by Brattle's criteria :</t>
  </si>
  <si>
    <t>BGC</t>
  </si>
  <si>
    <t>Simple avg</t>
  </si>
  <si>
    <t>BGC peers</t>
  </si>
  <si>
    <t>BELG peers</t>
  </si>
  <si>
    <t>'Continental' Incumbents</t>
  </si>
  <si>
    <t>Seemingly a positive slope for the 'Continental' SPs, as at the end of the analyzed period. Given the rather flat picture with period averages, there might have been a tipping point in between, i.e. a time frame during which slopes were rather negative.</t>
  </si>
  <si>
    <t>On top of 'Continental' incumbents.</t>
  </si>
  <si>
    <t xml:space="preserve">x (1H13) = </t>
  </si>
  <si>
    <r>
      <t xml:space="preserve">- Usually, in regulatory determinations, market caps differences are not considered as an issue when benchmarking WACC parameters. Actually, even within the traditional CAPM framework, </t>
    </r>
    <r>
      <rPr>
        <b/>
        <sz val="10"/>
        <color theme="1"/>
        <rFont val="Arial"/>
        <family val="2"/>
      </rPr>
      <t>size matters, with a rather subtle impact though.</t>
    </r>
  </si>
  <si>
    <t>* In contrast, if large caps also tend to be more internationally diversified, or exhibit lower earning growths, these features may be addressed to streamline the sample of comparators, regardless of the market cap. Also, two firms operating on the same maket(s), with similar mixes of services, operational leverages (costs flexibility) and reference markets, should exhibit similar asset betas, no matter their respective sizes.</t>
  </si>
  <si>
    <t>(Norway) NPT's basic principles</t>
  </si>
  <si>
    <t>And size effects on WACC</t>
  </si>
  <si>
    <t>regressing :</t>
  </si>
  <si>
    <t>BIPT 2010</t>
  </si>
  <si>
    <t>In CMT's approach, it seems that SPs which are not clearly Mobile are put in the Fixed category - as indices :</t>
  </si>
  <si>
    <t xml:space="preserve">This relativizes the interest of sector indices essentially composed of integrated SPs for a regulatory determination. (Components for later considered FTSE Eurofirst indices could not be identified.) </t>
  </si>
  <si>
    <t>(100% Bloomberg inputs - for this metric, they do not seem always very reliable - &amp; 1H13 n/a)</t>
  </si>
  <si>
    <t xml:space="preserve">(+neutral Switzerland). </t>
  </si>
  <si>
    <t>for less precise estimates.</t>
  </si>
  <si>
    <r>
      <rPr>
        <sz val="10"/>
        <color theme="0" tint="-0.499984740745262"/>
        <rFont val="Symbol"/>
        <family val="1"/>
        <charset val="2"/>
      </rPr>
      <t>­</t>
    </r>
    <r>
      <rPr>
        <i/>
        <sz val="10"/>
        <color theme="0" tint="-0.499984740745262"/>
        <rFont val="Arial"/>
        <family val="2"/>
      </rPr>
      <t>Grey italics</t>
    </r>
    <r>
      <rPr>
        <sz val="10"/>
        <color theme="0" tint="-0.499984740745262"/>
        <rFont val="Symbol"/>
        <family val="1"/>
        <charset val="2"/>
      </rPr>
      <t>¯</t>
    </r>
    <r>
      <rPr>
        <i/>
        <sz val="10"/>
        <color theme="0" tint="-0.499984740745262"/>
        <rFont val="Arial"/>
        <family val="2"/>
      </rPr>
      <t xml:space="preserve"> </t>
    </r>
  </si>
  <si>
    <r>
      <t xml:space="preserve">The standard acronym for Ebitda* is </t>
    </r>
    <r>
      <rPr>
        <b/>
        <sz val="10"/>
        <rFont val="Arial"/>
        <family val="2"/>
      </rPr>
      <t xml:space="preserve">EBITDAR </t>
    </r>
    <r>
      <rPr>
        <sz val="10"/>
        <rFont val="Arial"/>
        <family val="2"/>
      </rPr>
      <t xml:space="preserve">(before </t>
    </r>
    <r>
      <rPr>
        <b/>
        <sz val="10"/>
        <rFont val="Arial"/>
        <family val="2"/>
      </rPr>
      <t>R</t>
    </r>
    <r>
      <rPr>
        <sz val="10"/>
        <rFont val="Arial"/>
        <family val="2"/>
      </rPr>
      <t>ent), but we keep using * for a consistent presentation of OL-adj. metrics.</t>
    </r>
  </si>
  <si>
    <t>(Collect SPs Earnings for direct P/E calculation.)</t>
  </si>
  <si>
    <r>
      <t xml:space="preserve">- Poland's telecom market may lag behind Belgium's in terms of Fixed and Mobile penetration (?), for instance. But </t>
    </r>
    <r>
      <rPr>
        <b/>
        <sz val="10"/>
        <color theme="1"/>
        <rFont val="Arial"/>
        <family val="2"/>
      </rPr>
      <t>TPS</t>
    </r>
    <r>
      <rPr>
        <sz val="10"/>
        <color theme="1"/>
        <rFont val="Arial"/>
        <family val="2"/>
      </rPr>
      <t xml:space="preserve"> is likely to remain a close comparator for Belgacom in a refined analysis.</t>
    </r>
  </si>
  <si>
    <t>Peer analysis not useful for Belgacom's E/Eb either.</t>
  </si>
  <si>
    <t xml:space="preserve"> Avg.</t>
  </si>
  <si>
    <t>1H10 - 1H13 avg.</t>
  </si>
  <si>
    <t>Contrasted situation, between Telenet on one side, and Belgacom/Mobistar on the other. Positive Belgacom-Mobistar slope. Belgacom much below its peers, except TPS.</t>
  </si>
  <si>
    <t>Belgacom-Mobistar positive slope similar to 1H10-1H13 avg, except that it stands at slightly higher levels (see below).</t>
  </si>
  <si>
    <r>
      <t xml:space="preserve">Slightly negative slope on the British axis, the reverse without OL </t>
    </r>
    <r>
      <rPr>
        <sz val="10"/>
        <color theme="1" tint="0.34998626667073579"/>
        <rFont val="Symbol"/>
        <family val="1"/>
        <charset val="2"/>
      </rPr>
      <t>®</t>
    </r>
    <r>
      <rPr>
        <sz val="10"/>
        <color theme="1" tint="0.34998626667073579"/>
        <rFont val="Arial"/>
        <family val="2"/>
      </rPr>
      <t xml:space="preserve"> opposite move to the Belgacom-Mobistar line.</t>
    </r>
  </si>
  <si>
    <t>" L’application de la déduction des intérêts notionnels suppose les fonds propres positifs. Si les fonds propres de la société sont négatifs, ou si les pertes reportées sont égales au capital lors du calcul du capital à risque, la société ne peut qu’appliquer la réserve d’investissement, et ce pour autant qu’au cours de l’exercice, il y ait un accroissement des réserves taxées et qu’elle bénéficie du tarif réduit de l’impôt des sociétés. "</t>
  </si>
  <si>
    <t xml:space="preserve">% Mobile vs. adj. EV/Ebitda </t>
  </si>
  <si>
    <r>
      <t xml:space="preserve">Do not delete </t>
    </r>
    <r>
      <rPr>
        <sz val="10"/>
        <color theme="1" tint="0.499984740745262"/>
        <rFont val="Symbol"/>
        <family val="1"/>
        <charset val="2"/>
      </rPr>
      <t>®</t>
    </r>
  </si>
  <si>
    <t>1H10-1H13 avg.</t>
  </si>
  <si>
    <t>- Telenet the least.</t>
  </si>
  <si>
    <r>
      <t>equity is negative</t>
    </r>
    <r>
      <rPr>
        <sz val="10"/>
        <rFont val="Arial"/>
        <family val="2"/>
      </rPr>
      <t>.</t>
    </r>
  </si>
  <si>
    <t>- Mobile at lower levels than Fixed services;</t>
  </si>
  <si>
    <t>No difference between Bloomberg's tickers for Total S.E. and just S.E.</t>
  </si>
  <si>
    <t xml:space="preserve">2009 - 2012 avg. </t>
  </si>
  <si>
    <t>Ranked by 1H10-1H13 avg.</t>
  </si>
  <si>
    <t>Ranked by 1H11-1H13 avg.</t>
  </si>
  <si>
    <t>Price-to-Book E/Eb</t>
  </si>
  <si>
    <t>Avg &amp; 2Q13</t>
  </si>
  <si>
    <t>Part du Mobile</t>
  </si>
  <si>
    <t>Poids moyens du Mobile sur la période d'analyse et catégorisations</t>
  </si>
  <si>
    <t>Capitalisations boursières des opérateurs européens comparés, en euro</t>
  </si>
  <si>
    <t xml:space="preserve">Croissance des capitalisations boursières sur la période d'analyse, en euro </t>
  </si>
  <si>
    <t>Évolution de capitalisations boursières, base 1 à la mi-2010, en monnaie locale</t>
  </si>
  <si>
    <t>Critère C :</t>
  </si>
  <si>
    <t>Pondération p :</t>
  </si>
  <si>
    <t>% Capitalisation boursière de l'échantillon</t>
  </si>
  <si>
    <t>Évolution des leviers financiers de marché des opérateurs Belges</t>
  </si>
  <si>
    <t>EV/Ebitda moyens sur la pérode d'analyse</t>
  </si>
  <si>
    <t>Leviers financiers des comparateurs de Belgacom</t>
  </si>
  <si>
    <t>2T13</t>
  </si>
  <si>
    <t>Pondération</t>
  </si>
  <si>
    <t>Eb/E 2010</t>
  </si>
  <si>
    <t>Leviers financiers retenus par d'autres régulateurs européens</t>
  </si>
  <si>
    <t>NF compos.</t>
  </si>
  <si>
    <t>Royaume-Uni</t>
  </si>
  <si>
    <t>Notation crédit des opérateurs hypothétiques</t>
  </si>
  <si>
    <t xml:space="preserve">FIXE </t>
  </si>
  <si>
    <t>Intermédiaire</t>
  </si>
  <si>
    <t>Satisfaisant</t>
  </si>
  <si>
    <t>Solide</t>
  </si>
  <si>
    <t>Risque financier</t>
  </si>
  <si>
    <t>Risque d'affaires</t>
  </si>
  <si>
    <t>Transposed values from § 'Calculations'</t>
  </si>
  <si>
    <t>TDC, KPN, TIT, TPS, SCM &amp; TKA among closest peers for Belgacom for the period.</t>
  </si>
  <si>
    <t>Cd is closely related to credit rating so that we need to infer synthetic ratings for hypothetical SPs, i.e. play the role of a credit rating analyst (in a very simplistic fashion) and assign ratings to these SPs primarily upon their assumed financial ratios, but not only (see hereafter qualitative considerations).</t>
  </si>
  <si>
    <t>- Because of these new items ii) &amp; iii), this determination's analysis on credit rating takes a larger importance than in BIPT 2010.</t>
  </si>
  <si>
    <r>
      <rPr>
        <sz val="10"/>
        <color theme="1" tint="0.499984740745262"/>
        <rFont val="Wingdings"/>
        <charset val="2"/>
      </rPr>
      <t>ä</t>
    </r>
    <r>
      <rPr>
        <sz val="9"/>
        <color theme="1" tint="0.499984740745262"/>
        <rFont val="Arial"/>
        <family val="2"/>
      </rPr>
      <t xml:space="preserve"> </t>
    </r>
    <r>
      <rPr>
        <sz val="10"/>
        <color theme="1" tint="0.499984740745262"/>
        <rFont val="Arial"/>
        <family val="2"/>
      </rPr>
      <t xml:space="preserve">WACC up to optimal g*, </t>
    </r>
    <r>
      <rPr>
        <sz val="10"/>
        <color theme="1" tint="0.499984740745262"/>
        <rFont val="Wingdings"/>
        <charset val="2"/>
      </rPr>
      <t>æ</t>
    </r>
    <r>
      <rPr>
        <sz val="10"/>
        <color theme="1" tint="0.499984740745262"/>
        <rFont val="Arial"/>
        <family val="2"/>
      </rPr>
      <t xml:space="preserve"> otherwise.</t>
    </r>
  </si>
  <si>
    <t>i) Current instead of historical credit ratings in PV OL and βd</t>
  </si>
  <si>
    <t>ii) Cd yields in € instead of local currency</t>
  </si>
  <si>
    <r>
      <t xml:space="preserve">Overall, we believe that these approximations are really acceptable, </t>
    </r>
    <r>
      <rPr>
        <b/>
        <sz val="10"/>
        <rFont val="Arial"/>
        <family val="2"/>
      </rPr>
      <t xml:space="preserve">impact should be marginal. </t>
    </r>
    <r>
      <rPr>
        <sz val="10"/>
        <rFont val="Arial"/>
        <family val="2"/>
      </rPr>
      <t xml:space="preserve">In the present exercise, this is first about deriving reasonably accurate OL-adjusted metrics for Belgian SPs, and globally fair ones for all other benchmarked SPs. </t>
    </r>
  </si>
  <si>
    <t>i) Issuer's LT local-currency ratings for firms</t>
  </si>
  <si>
    <t>ii) Equivalences between Moody's and S&amp;P's ratings</t>
  </si>
  <si>
    <t xml:space="preserve">- Fitch uses the same symbols as S&amp;P's (although their precise definition may slightly differ). </t>
  </si>
  <si>
    <t>- Following table shows commonly accepted equivalences between Moody's and S&amp;P's ratings :</t>
  </si>
  <si>
    <t>iii) Composite ratings</t>
  </si>
  <si>
    <r>
      <t xml:space="preserve">Table below shows </t>
    </r>
    <r>
      <rPr>
        <b/>
        <sz val="10"/>
        <rFont val="Arial"/>
        <family val="2"/>
      </rPr>
      <t>SPs' current LT local currency ratings</t>
    </r>
    <r>
      <rPr>
        <sz val="10"/>
        <rFont val="Arial"/>
        <family val="2"/>
      </rPr>
      <t xml:space="preserve"> from Bloomberg screenshots </t>
    </r>
    <r>
      <rPr>
        <sz val="10"/>
        <color theme="0" tint="-0.499984740745262"/>
        <rFont val="Arial"/>
        <family val="2"/>
      </rPr>
      <t>plus</t>
    </r>
    <r>
      <rPr>
        <sz val="10"/>
        <rFont val="Arial"/>
        <family val="2"/>
      </rPr>
      <t xml:space="preserve"> </t>
    </r>
    <r>
      <rPr>
        <sz val="10"/>
        <color theme="0" tint="-0.499984740745262"/>
        <rFont val="Arial"/>
        <family val="2"/>
      </rPr>
      <t>IR &amp; other web sites;</t>
    </r>
  </si>
  <si>
    <t>- Inferred equivalent &amp; composite ratings;</t>
  </si>
  <si>
    <r>
      <t xml:space="preserve">- </t>
    </r>
    <r>
      <rPr>
        <sz val="9"/>
        <rFont val="Arial"/>
        <family val="2"/>
      </rPr>
      <t>In "</t>
    </r>
    <r>
      <rPr>
        <sz val="9"/>
        <rFont val="Symbol"/>
        <family val="1"/>
        <charset val="2"/>
      </rPr>
      <t>D</t>
    </r>
    <r>
      <rPr>
        <sz val="9"/>
        <rFont val="Arial"/>
        <family val="2"/>
      </rPr>
      <t>" c</t>
    </r>
    <r>
      <rPr>
        <sz val="10"/>
        <rFont val="Arial"/>
        <family val="2"/>
      </rPr>
      <t>olumn : resp. S&amp;P's, Moody's and Fitch's rating discrepancies in notches from estimated composite ratings ("-" for no rating);</t>
    </r>
  </si>
  <si>
    <r>
      <t xml:space="preserve">- In "Outlook" column, a recap of their resp. outlooks with : = stable, </t>
    </r>
    <r>
      <rPr>
        <sz val="10"/>
        <rFont val="Symbol"/>
        <family val="1"/>
        <charset val="2"/>
      </rPr>
      <t>­</t>
    </r>
    <r>
      <rPr>
        <sz val="10"/>
        <rFont val="Arial"/>
        <family val="2"/>
      </rPr>
      <t xml:space="preserve"> positive, </t>
    </r>
    <r>
      <rPr>
        <sz val="10"/>
        <rFont val="Symbol"/>
        <family val="1"/>
        <charset val="2"/>
      </rPr>
      <t>¯</t>
    </r>
    <r>
      <rPr>
        <sz val="10"/>
        <rFont val="Arial"/>
        <family val="2"/>
      </rPr>
      <t xml:space="preserve"> negative.</t>
    </r>
  </si>
  <si>
    <r>
      <t xml:space="preserve">Eventually, this section shows the </t>
    </r>
    <r>
      <rPr>
        <b/>
        <sz val="10"/>
        <rFont val="Arial"/>
        <family val="2"/>
      </rPr>
      <t>limits of relying only on these metrics</t>
    </r>
    <r>
      <rPr>
        <sz val="10"/>
        <rFont val="Arial"/>
        <family val="2"/>
      </rPr>
      <t xml:space="preserve"> in order to infer appropriate rating rules for the sector. Notwithstanding this, the next section considers that they should be relevant when estimating, from a given rated SP's profile, impact of metrics variation on its hypothetical rating, all other things being equal.</t>
    </r>
  </si>
  <si>
    <r>
      <rPr>
        <b/>
        <sz val="10"/>
        <rFont val="Arial"/>
        <family val="2"/>
      </rPr>
      <t>i)</t>
    </r>
    <r>
      <rPr>
        <sz val="10"/>
        <rFont val="Arial"/>
        <family val="2"/>
      </rPr>
      <t xml:space="preserve"> As mentioned in 'Note 2', </t>
    </r>
    <r>
      <rPr>
        <b/>
        <sz val="10"/>
        <rFont val="Arial"/>
        <family val="2"/>
      </rPr>
      <t>OL are always taken into account</t>
    </r>
    <r>
      <rPr>
        <sz val="10"/>
        <rFont val="Arial"/>
        <family val="2"/>
      </rPr>
      <t xml:space="preserve"> in agencies' metrics, even though this fact is usually not reminded in their company reports (just in methodological notes). </t>
    </r>
  </si>
  <si>
    <t>Note that, from here, we use the symbol * for OL-adjusted values only in our own tables and estimates : otherwise, it would apply almost everywhere else.</t>
  </si>
  <si>
    <t>- So, for a given date or period, it is normal to observe some small differences in ratios, between agencies' values and between them and our estimates. (See hereafter links for agencies' general methodologies with further details and explanations regarding used financial ratios.)</t>
  </si>
  <si>
    <t>- For this reason, our own quantitative estimates are later adjusted in order to take into account small discrepancies observed in some instances.</t>
  </si>
  <si>
    <t>For some tables, we also remind 'Ea' shortcut for Ebitda (actually EbitdaR).</t>
  </si>
  <si>
    <t xml:space="preserve">- In its "Rating Methodology for the Global Telecommunications Industry", Moody's more precisely states that : </t>
  </si>
  <si>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Idem for Fitch. (S&amp;P ?)</t>
    </r>
  </si>
  <si>
    <r>
      <rPr>
        <b/>
        <sz val="10"/>
        <rFont val="Arial"/>
        <family val="2"/>
      </rPr>
      <t>iii)</t>
    </r>
    <r>
      <rPr>
        <sz val="10"/>
        <rFont val="Arial"/>
        <family val="2"/>
      </rPr>
      <t xml:space="preserve"> Other terms include, among others, the following…</t>
    </r>
  </si>
  <si>
    <r>
      <t>- In its primary and most common definition, (Ebit Interest) Coverage =</t>
    </r>
    <r>
      <rPr>
        <b/>
        <sz val="10"/>
        <rFont val="Arial"/>
        <family val="2"/>
      </rPr>
      <t xml:space="preserve"> Ebit / Interest</t>
    </r>
    <r>
      <rPr>
        <sz val="10"/>
        <rFont val="Arial"/>
        <family val="2"/>
      </rPr>
      <t>.</t>
    </r>
  </si>
  <si>
    <r>
      <t xml:space="preserve">- Almost equally refer to </t>
    </r>
    <r>
      <rPr>
        <b/>
        <sz val="10"/>
        <rFont val="Arial"/>
        <family val="2"/>
      </rPr>
      <t>FFO (or RCF) /tD</t>
    </r>
    <r>
      <rPr>
        <sz val="10"/>
        <rFont val="Arial"/>
        <family val="2"/>
      </rPr>
      <t xml:space="preserve"> than to leverage </t>
    </r>
    <r>
      <rPr>
        <b/>
        <sz val="10"/>
        <rFont val="Arial"/>
        <family val="2"/>
      </rPr>
      <t>tD/Ebitda</t>
    </r>
    <r>
      <rPr>
        <sz val="10"/>
        <rFont val="Arial"/>
        <family val="2"/>
      </rPr>
      <t>, both of them viewed by S&amp;P's</t>
    </r>
    <r>
      <rPr>
        <b/>
        <sz val="10"/>
        <rFont val="Arial"/>
        <family val="2"/>
      </rPr>
      <t xml:space="preserve"> as </t>
    </r>
    <r>
      <rPr>
        <sz val="10"/>
        <rFont val="Arial"/>
        <family val="2"/>
      </rPr>
      <t>"core debt-payback" ratios;</t>
    </r>
  </si>
  <si>
    <t>- Whereas coverage defined in relation with interest expenses is notably absent (though naturally included in their comprehensive analyses).</t>
  </si>
  <si>
    <t>- Idem for tD/Capital, although it is presented in S&amp;P's general methodology as one of its three key "Financial Risk Indicative Ratios", along with FFO/tD and tD/Ebitda.</t>
  </si>
  <si>
    <r>
      <t xml:space="preserve">In agencies' sector notes, it may also be observed that they typically consider </t>
    </r>
    <r>
      <rPr>
        <b/>
        <sz val="10"/>
        <rFont val="Arial"/>
        <family val="2"/>
      </rPr>
      <t>LTM (Last 12 Months) data</t>
    </r>
    <r>
      <rPr>
        <sz val="10"/>
        <rFont val="Arial"/>
        <family val="2"/>
      </rPr>
      <t>, beside most probably forecasts, e.g. for the next 18 months.</t>
    </r>
  </si>
  <si>
    <r>
      <rPr>
        <b/>
        <sz val="10"/>
        <rFont val="Arial"/>
        <family val="2"/>
      </rPr>
      <t>ii)</t>
    </r>
    <r>
      <rPr>
        <sz val="10"/>
        <rFont val="Arial"/>
        <family val="2"/>
      </rPr>
      <t xml:space="preserve"> In contrast : </t>
    </r>
  </si>
  <si>
    <t xml:space="preserve">"While the illustrative grid mapping uses gross debt, it should be noted that there are situations in which we may consider net debt to be a better indicator of an issuer’s financial strength. </t>
  </si>
  <si>
    <t>"The first step would be to develop a score based upon multiple ratios. In making this extension, though, note that complexity comes at a cost. While credit or Z scores may, in fact, yield better estimates of synthetic ratings than those based only upon interest coverage ratios, changes in ratings arising from these scores are much more difficult to explain than those based upon interest coverage ratios. That is the reason we prefer the flawed but simpler ratings that we get from interest coverage ratios."</t>
  </si>
  <si>
    <r>
      <t>Koller's view that size also matters - "</t>
    </r>
    <r>
      <rPr>
        <i/>
        <sz val="10"/>
        <rFont val="Arial"/>
        <family val="2"/>
      </rPr>
      <t>larger companies are more likely to diversify their risk</t>
    </r>
    <r>
      <rPr>
        <sz val="10"/>
        <rFont val="Arial"/>
        <family val="2"/>
      </rPr>
      <t xml:space="preserve"> "- is corroborated in following succint presentations of S&amp;P's and Moody's methodologies. He also adds that "</t>
    </r>
    <r>
      <rPr>
        <i/>
        <sz val="10"/>
        <rFont val="Arial"/>
        <family val="2"/>
      </rPr>
      <t xml:space="preserve">size is </t>
    </r>
    <r>
      <rPr>
        <b/>
        <i/>
        <sz val="10"/>
        <rFont val="Arial"/>
        <family val="2"/>
      </rPr>
      <t>especially relevant in its extremes</t>
    </r>
    <r>
      <rPr>
        <sz val="10"/>
        <rFont val="Arial"/>
        <family val="2"/>
      </rPr>
      <t>."</t>
    </r>
  </si>
  <si>
    <t>Try again to collect data for interest coverage ?</t>
  </si>
  <si>
    <r>
      <t>1)</t>
    </r>
    <r>
      <rPr>
        <sz val="10"/>
        <rFont val="Arial"/>
        <family val="2"/>
      </rPr>
      <t xml:space="preserve"> Therefore,</t>
    </r>
    <r>
      <rPr>
        <b/>
        <sz val="10"/>
        <rFont val="Arial"/>
        <family val="2"/>
      </rPr>
      <t xml:space="preserve"> for financial strength, used indicators are primarily limited to tD/Ebitda</t>
    </r>
    <r>
      <rPr>
        <sz val="10"/>
        <rFont val="Arial"/>
        <family val="2"/>
      </rPr>
      <t>, tD/Capital being shown mainly for info.</t>
    </r>
  </si>
  <si>
    <t>- For real SPs which are not rated, this might be seen as a bit far-stretched (yet not as much as buidling direct equivalence between rating and market gearing). However, as far as non-rated Mobistar is concerned, later developed additional considerations suggest that financial risk ratios would be almost secondary in its case.</t>
  </si>
  <si>
    <r>
      <t xml:space="preserve">- For already rated Belgian SPs, Belgacom in particular, for which we just hypothesize distinct relative debt levels (and to a lesser extent EV/Ebitda), this is naturally less an issue </t>
    </r>
    <r>
      <rPr>
        <sz val="10"/>
        <color theme="1" tint="0.499984740745262"/>
        <rFont val="Arial"/>
        <family val="2"/>
      </rPr>
      <t>(although an increase of its Debt levels relative to Ebitda could also be implemented with a relatively stronger cash-flow generation, for instance).</t>
    </r>
  </si>
  <si>
    <r>
      <rPr>
        <b/>
        <sz val="10"/>
        <rFont val="Arial"/>
        <family val="2"/>
      </rPr>
      <t xml:space="preserve">2) </t>
    </r>
    <r>
      <rPr>
        <sz val="10"/>
        <rFont val="Arial"/>
        <family val="2"/>
      </rPr>
      <t xml:space="preserve">Regarding </t>
    </r>
    <r>
      <rPr>
        <b/>
        <sz val="10"/>
        <rFont val="Arial"/>
        <family val="2"/>
      </rPr>
      <t>size/scale</t>
    </r>
    <r>
      <rPr>
        <sz val="10"/>
        <rFont val="Arial"/>
        <family val="2"/>
      </rPr>
      <t xml:space="preserve">, next table shows market cap. but we would rather take this factor into account through qualitative adjustments. </t>
    </r>
  </si>
  <si>
    <t>tD/Ebitda vs. Rating</t>
  </si>
  <si>
    <t>Market cap vs. Rating</t>
  </si>
  <si>
    <t>(1st graph with reversed axis : Rating vs. tD/Ebitda)</t>
  </si>
  <si>
    <t>Naturally, a selective presentation limited to the purpose of the present exercise.</t>
  </si>
  <si>
    <r>
      <rPr>
        <b/>
        <sz val="10"/>
        <rFont val="Arial"/>
        <family val="2"/>
      </rPr>
      <t xml:space="preserve">i) </t>
    </r>
    <r>
      <rPr>
        <sz val="10"/>
        <rFont val="Arial"/>
        <family val="2"/>
      </rPr>
      <t>S&amp;P's</t>
    </r>
    <r>
      <rPr>
        <b/>
        <sz val="10"/>
        <rFont val="Arial"/>
        <family val="2"/>
      </rPr>
      <t xml:space="preserve"> GRE = "Government-Related Entities", </t>
    </r>
    <r>
      <rPr>
        <sz val="10"/>
        <rFont val="Arial"/>
        <family val="2"/>
      </rPr>
      <t xml:space="preserve">whose credit quality could potentially be affected by extraordinary government intervention during periods of stress. </t>
    </r>
  </si>
  <si>
    <r>
      <t xml:space="preserve">- Equivalent to Moody's </t>
    </r>
    <r>
      <rPr>
        <b/>
        <sz val="10"/>
        <rFont val="Arial"/>
        <family val="2"/>
      </rPr>
      <t>GRI</t>
    </r>
    <r>
      <rPr>
        <sz val="10"/>
        <rFont val="Arial"/>
        <family val="2"/>
      </rPr>
      <t xml:space="preserve"> = "Government-Related Issuer".</t>
    </r>
  </si>
  <si>
    <r>
      <t xml:space="preserve">- Equivalent to S&amp;P's </t>
    </r>
    <r>
      <rPr>
        <b/>
        <sz val="10"/>
        <rFont val="Arial"/>
        <family val="2"/>
      </rPr>
      <t>SACP = "Stand-Alone Credit Profile"</t>
    </r>
    <r>
      <rPr>
        <sz val="10"/>
        <rFont val="Arial"/>
        <family val="2"/>
      </rPr>
      <t>,</t>
    </r>
    <r>
      <rPr>
        <b/>
        <sz val="10"/>
        <rFont val="Arial"/>
        <family val="2"/>
      </rPr>
      <t xml:space="preserve"> </t>
    </r>
    <r>
      <rPr>
        <sz val="10"/>
        <rFont val="Arial"/>
        <family val="2"/>
      </rPr>
      <t xml:space="preserve">with </t>
    </r>
    <r>
      <rPr>
        <b/>
        <sz val="10"/>
        <rFont val="Arial"/>
        <family val="2"/>
      </rPr>
      <t>lower case symbols</t>
    </r>
    <r>
      <rPr>
        <sz val="10"/>
        <rFont val="Arial"/>
        <family val="2"/>
      </rPr>
      <t xml:space="preserve"> paralleling its ICR rating range.</t>
    </r>
  </si>
  <si>
    <r>
      <t xml:space="preserve">From here : quotes still in </t>
    </r>
    <r>
      <rPr>
        <i/>
        <sz val="10"/>
        <rFont val="Arial"/>
        <family val="2"/>
      </rPr>
      <t>italics</t>
    </r>
    <r>
      <rPr>
        <sz val="10"/>
        <rFont val="Arial"/>
        <family val="2"/>
      </rPr>
      <t>, but no longer between " ".</t>
    </r>
  </si>
  <si>
    <r>
      <rPr>
        <b/>
        <sz val="10"/>
        <rFont val="Arial"/>
        <family val="2"/>
      </rPr>
      <t>ii)</t>
    </r>
    <r>
      <rPr>
        <sz val="10"/>
        <rFont val="Arial"/>
        <family val="2"/>
      </rPr>
      <t xml:space="preserve"> Moody's </t>
    </r>
    <r>
      <rPr>
        <b/>
        <sz val="10"/>
        <rFont val="Arial"/>
        <family val="2"/>
      </rPr>
      <t xml:space="preserve">BCA </t>
    </r>
    <r>
      <rPr>
        <sz val="10"/>
        <rFont val="Arial"/>
        <family val="2"/>
      </rPr>
      <t>= "Baseline Credit Assessment", for Moody's opinion of an issuer’ standalone intrinsic strength, absent any extraordinary support from an affiliate or a government.</t>
    </r>
  </si>
  <si>
    <r>
      <rPr>
        <b/>
        <i/>
        <sz val="10"/>
        <rFont val="Arial"/>
        <family val="2"/>
      </rPr>
      <t>But not potential Extraordinary Intervention</t>
    </r>
    <r>
      <rPr>
        <i/>
        <sz val="10"/>
        <rFont val="Arial"/>
        <family val="2"/>
      </rPr>
      <t xml:space="preserve"> </t>
    </r>
    <r>
      <rPr>
        <sz val="10"/>
        <rFont val="Arial"/>
        <family val="2"/>
      </rPr>
      <t>(</t>
    </r>
    <r>
      <rPr>
        <sz val="10"/>
        <rFont val="Symbol"/>
        <family val="1"/>
        <charset val="2"/>
      </rPr>
      <t>®</t>
    </r>
    <r>
      <rPr>
        <sz val="10"/>
        <rFont val="Arial"/>
        <family val="2"/>
      </rPr>
      <t xml:space="preserve"> in the ICR analysis).</t>
    </r>
  </si>
  <si>
    <t>Vs. 2010:</t>
  </si>
  <si>
    <t>Effective tax rate</t>
  </si>
  <si>
    <t>LTM Effective tax rate</t>
  </si>
  <si>
    <t>Pension obligations</t>
  </si>
  <si>
    <t>N/a except for a very few SPs and dates.</t>
  </si>
  <si>
    <t>N/a except yearly for ORA &amp; OTE, but inconsistent low figures for OTE.</t>
  </si>
  <si>
    <t>N/a except yearly for OTE.</t>
  </si>
  <si>
    <t>Possible mismatch between fields and tickers, or obsolete field labels.</t>
  </si>
  <si>
    <t>Idem.</t>
  </si>
  <si>
    <t>(Bloom Data Not Used or N/A)</t>
  </si>
  <si>
    <t>© MARPIJ, 2014</t>
  </si>
  <si>
    <r>
      <t xml:space="preserve">Cf. </t>
    </r>
    <r>
      <rPr>
        <u/>
        <sz val="10"/>
        <color theme="0" tint="-0.499984740745262"/>
        <rFont val="Arial"/>
        <family val="2"/>
      </rPr>
      <t>Last sheet with n/a</t>
    </r>
    <r>
      <rPr>
        <sz val="10"/>
        <color theme="0" tint="-0.499984740745262"/>
        <rFont val="Arial"/>
        <family val="2"/>
      </rPr>
      <t xml:space="preserve"> data from our Bloomberg exctractions.</t>
    </r>
  </si>
  <si>
    <t>No quarterly data: avg between HY</t>
  </si>
  <si>
    <r>
      <t>PT : cf. notes</t>
    </r>
    <r>
      <rPr>
        <sz val="10"/>
        <color rgb="FFFFC000"/>
        <rFont val="Arial"/>
        <family val="2"/>
      </rPr>
      <t xml:space="preserve"> for its EV/Ebitda </t>
    </r>
    <r>
      <rPr>
        <sz val="10"/>
        <color rgb="FFFFC000"/>
        <rFont val="Symbol"/>
        <family val="1"/>
        <charset val="2"/>
      </rPr>
      <t>®</t>
    </r>
  </si>
  <si>
    <t>Not workable in asbsence of Belgian values.</t>
  </si>
  <si>
    <t>UK Telcos: values as of end fiscal year = March 31st.</t>
  </si>
  <si>
    <t>ORA 2009 : n/a, set at 2010 value.</t>
  </si>
  <si>
    <t>Ebitda intially extracted in Raw Data are quarter or half-year values : LTM (last 12 months) Ebitda calculated through EV and EV/Ebitda.</t>
  </si>
  <si>
    <t>Bloomberg's post-tax WACC rates (just for info).</t>
  </si>
  <si>
    <t>Graph stopped at Q3 2009 : weird values afterward (when available).</t>
  </si>
  <si>
    <t>Gaps filled (linear interpolation) for grah plotting purposes.</t>
  </si>
  <si>
    <t>"#N/A N/A"</t>
  </si>
  <si>
    <t>"#N/A Invalid Field"</t>
  </si>
  <si>
    <t>Not workable</t>
  </si>
  <si>
    <r>
      <rPr>
        <sz val="10"/>
        <rFont val="Arial"/>
        <family val="2"/>
      </rPr>
      <t xml:space="preserve">Cf. </t>
    </r>
    <r>
      <rPr>
        <u/>
        <sz val="10"/>
        <rFont val="Arial"/>
        <family val="2"/>
      </rPr>
      <t>here</t>
    </r>
    <r>
      <rPr>
        <sz val="10"/>
        <rFont val="Arial"/>
        <family val="2"/>
      </rPr>
      <t>.</t>
    </r>
  </si>
  <si>
    <r>
      <t xml:space="preserve">Cf. </t>
    </r>
    <r>
      <rPr>
        <u/>
        <sz val="10"/>
        <rFont val="Arial"/>
        <family val="2"/>
      </rPr>
      <t>here</t>
    </r>
    <r>
      <rPr>
        <sz val="10"/>
        <rFont val="Arial"/>
        <family val="2"/>
      </rPr>
      <t>.</t>
    </r>
  </si>
  <si>
    <t>TLSN &amp; TLSG 2011 : n/a, set at avg (2010, 2012) value.</t>
  </si>
  <si>
    <t>D = Net debt, * = with PV OL</t>
  </si>
  <si>
    <t>Implemented Approximations - Marpij</t>
  </si>
  <si>
    <t>Cf. introduction in 'Ratings' :</t>
  </si>
  <si>
    <t>- OL = BV OL (not PV OL),</t>
  </si>
  <si>
    <r>
      <rPr>
        <sz val="10"/>
        <rFont val="Wingdings"/>
        <charset val="2"/>
      </rPr>
      <t>ä</t>
    </r>
    <r>
      <rPr>
        <sz val="10"/>
        <rFont val="Arial"/>
        <family val="2"/>
      </rPr>
      <t xml:space="preserve"> Mkt Cap Local</t>
    </r>
  </si>
  <si>
    <t>Avg. Min/(Adj. D+E)</t>
  </si>
  <si>
    <r>
      <rPr>
        <b/>
        <sz val="10"/>
        <color theme="1" tint="0.499984740745262"/>
        <rFont val="Wingdings"/>
        <charset val="2"/>
      </rPr>
      <t>ä</t>
    </r>
    <r>
      <rPr>
        <b/>
        <sz val="10"/>
        <color theme="1" tint="0.499984740745262"/>
        <rFont val="Arial"/>
        <family val="2"/>
      </rPr>
      <t xml:space="preserve"> Ebitda</t>
    </r>
  </si>
  <si>
    <t>% listed Belgian Telcos EV</t>
  </si>
  <si>
    <t>By mkt cap</t>
  </si>
  <si>
    <t>HY avg.</t>
  </si>
  <si>
    <t>Transpose values to 'Outputs'.</t>
  </si>
  <si>
    <t>Cash/Ebitda*</t>
  </si>
  <si>
    <t>Adj. tD*/Ea*</t>
  </si>
  <si>
    <t>Avg. adj. tD*/Ea*</t>
  </si>
  <si>
    <t>Belgacom in red.</t>
  </si>
  <si>
    <t>(Cf. Belgacom for an example of extraction.)</t>
  </si>
  <si>
    <t>"Clusters"</t>
  </si>
  <si>
    <r>
      <t xml:space="preserve">Do not delete </t>
    </r>
    <r>
      <rPr>
        <sz val="10"/>
        <color theme="0" tint="-0.499984740745262"/>
        <rFont val="Symbol"/>
        <family val="1"/>
        <charset val="2"/>
      </rPr>
      <t>®</t>
    </r>
  </si>
  <si>
    <t>In 'Calculations'</t>
  </si>
  <si>
    <r>
      <t xml:space="preserve">EV/Ebitda (not adj.) and </t>
    </r>
    <r>
      <rPr>
        <sz val="10"/>
        <rFont val="Symbol"/>
        <family val="1"/>
        <charset val="2"/>
      </rPr>
      <t>D</t>
    </r>
  </si>
  <si>
    <t>By decreasing rating (no rating last), then outlook, then increasing 2Q13 Adj. D/Ebidta</t>
  </si>
  <si>
    <t>Manual</t>
  </si>
  <si>
    <r>
      <rPr>
        <b/>
        <sz val="10"/>
        <rFont val="Arial"/>
        <family val="2"/>
      </rPr>
      <t>i)</t>
    </r>
    <r>
      <rPr>
        <sz val="10"/>
        <rFont val="Arial"/>
        <family val="2"/>
      </rPr>
      <t xml:space="preserve"> "</t>
    </r>
    <r>
      <rPr>
        <b/>
        <sz val="10"/>
        <rFont val="Arial"/>
        <family val="2"/>
      </rPr>
      <t>Leverage" generally refer to Total Debt/Ebitda</t>
    </r>
    <r>
      <rPr>
        <sz val="10"/>
        <rFont val="Arial"/>
        <family val="2"/>
      </rPr>
      <t xml:space="preserve">. We remind the following abbreviation introduced in 'Note 2' for </t>
    </r>
    <r>
      <rPr>
        <b/>
        <sz val="10"/>
        <rFont val="Arial"/>
        <family val="2"/>
      </rPr>
      <t xml:space="preserve">Total Debt : tD = D + Cash </t>
    </r>
    <r>
      <rPr>
        <sz val="10"/>
        <rFont val="Arial"/>
        <family val="2"/>
      </rPr>
      <t>&amp; Cash equivalents</t>
    </r>
    <r>
      <rPr>
        <b/>
        <sz val="10"/>
        <rFont val="Arial"/>
        <family val="2"/>
      </rPr>
      <t>.</t>
    </r>
  </si>
  <si>
    <t>Net vs. Total Debt</t>
  </si>
  <si>
    <r>
      <rPr>
        <b/>
        <sz val="10"/>
        <rFont val="Arial"/>
        <family val="2"/>
      </rPr>
      <t>Net Debt D</t>
    </r>
    <r>
      <rPr>
        <sz val="10"/>
        <rFont val="Arial"/>
        <family val="2"/>
      </rPr>
      <t xml:space="preserve"> = </t>
    </r>
    <r>
      <rPr>
        <b/>
        <sz val="10"/>
        <rFont val="Arial"/>
        <family val="2"/>
      </rPr>
      <t xml:space="preserve">Total </t>
    </r>
    <r>
      <rPr>
        <sz val="10"/>
        <rFont val="Arial"/>
        <family val="2"/>
      </rPr>
      <t xml:space="preserve">(or gross) </t>
    </r>
    <r>
      <rPr>
        <b/>
        <sz val="10"/>
        <rFont val="Arial"/>
        <family val="2"/>
      </rPr>
      <t xml:space="preserve">Debt tD </t>
    </r>
    <r>
      <rPr>
        <sz val="10"/>
        <rFont val="Arial"/>
        <family val="2"/>
      </rPr>
      <t>+ Cash &amp; cash equivalents.</t>
    </r>
  </si>
  <si>
    <t>- Some analysts prefer the Net Debt, as this is a measure of a company's ability to repay its debts if they were all due today;</t>
  </si>
  <si>
    <t>- While others, especially in credit rating agencies, generally consider metrics based on tD, as observed in the 'Ratings' sheet.</t>
  </si>
  <si>
    <t>Coming back to the WACC :</t>
  </si>
  <si>
    <t xml:space="preserve">Beyond the WACC : </t>
  </si>
  <si>
    <t>OL are usually omitted in regulatory determinations, probably because required data extraction and calculations for benchmark analysis can be highly time-consuming.</t>
  </si>
  <si>
    <r>
      <t xml:space="preserve">- In light of local and international observations / </t>
    </r>
    <r>
      <rPr>
        <b/>
        <sz val="10"/>
        <rFont val="Arial"/>
        <family val="2"/>
      </rPr>
      <t>"norms"</t>
    </r>
    <r>
      <rPr>
        <sz val="10"/>
        <rFont val="Arial"/>
        <family val="2"/>
      </rPr>
      <t>,</t>
    </r>
  </si>
  <si>
    <r>
      <t xml:space="preserve">- And possibly closer to </t>
    </r>
    <r>
      <rPr>
        <b/>
        <sz val="10"/>
        <rFont val="Arial"/>
        <family val="2"/>
      </rPr>
      <t>optimal levels</t>
    </r>
    <r>
      <rPr>
        <sz val="10"/>
        <rFont val="Arial"/>
        <family val="2"/>
      </rPr>
      <t xml:space="preserve"> - minimizing WACC, thus maximizing value - in the set framework for its regulatory determination. </t>
    </r>
  </si>
  <si>
    <t>- In valuation (Damodaran, Bloomberg, etc.), the Weighted Average Cost of Capital is often estimated with weights, market gearing g and 1-g, based on tD;</t>
  </si>
  <si>
    <t>On- &amp; Off-Balance Sheet</t>
  </si>
  <si>
    <t>Financial Risk</t>
  </si>
  <si>
    <t>Satisfactory</t>
  </si>
  <si>
    <t>Satisf./Fair</t>
  </si>
  <si>
    <t>Business Stgth</t>
  </si>
  <si>
    <r>
      <t xml:space="preserve">Composite ratings as averages of available LT ratings from S&amp;P's, Moody's and Fitch. </t>
    </r>
    <r>
      <rPr>
        <b/>
        <sz val="10"/>
        <rFont val="Arial"/>
        <family val="2"/>
      </rPr>
      <t>Financial Risk</t>
    </r>
    <r>
      <rPr>
        <sz val="10"/>
        <rFont val="Arial"/>
        <family val="2"/>
      </rPr>
      <t xml:space="preserve"> qualified with</t>
    </r>
    <r>
      <rPr>
        <b/>
        <sz val="10"/>
        <rFont val="Arial"/>
        <family val="2"/>
      </rPr>
      <t xml:space="preserve"> tD/Ebitda</t>
    </r>
    <r>
      <rPr>
        <sz val="10"/>
        <rFont val="Arial"/>
        <family val="2"/>
      </rPr>
      <t xml:space="preserve"> and agencies' thresholds. </t>
    </r>
    <r>
      <rPr>
        <b/>
        <sz val="10"/>
        <rFont val="Arial"/>
        <family val="2"/>
      </rPr>
      <t>Business Strength</t>
    </r>
    <r>
      <rPr>
        <sz val="10"/>
        <rFont val="Arial"/>
        <family val="2"/>
      </rPr>
      <t xml:space="preserve"> assessed through qualtitative and comparative analyses (with known profiles).</t>
    </r>
  </si>
  <si>
    <r>
      <t xml:space="preserve">Application of S&amp;P matrix to infer "stand-alone credit profiles" </t>
    </r>
    <r>
      <rPr>
        <b/>
        <sz val="10"/>
        <rFont val="Arial"/>
        <family val="2"/>
      </rPr>
      <t>+</t>
    </r>
    <r>
      <rPr>
        <sz val="10"/>
        <rFont val="Arial"/>
        <family val="2"/>
      </rPr>
      <t xml:space="preserve"> assumed impact of regular </t>
    </r>
    <r>
      <rPr>
        <b/>
        <sz val="10"/>
        <rFont val="Arial"/>
        <family val="2"/>
      </rPr>
      <t>support</t>
    </r>
    <r>
      <rPr>
        <sz val="10"/>
        <rFont val="Arial"/>
        <family val="2"/>
      </rPr>
      <t xml:space="preserve"> from a parent company to its Fixed &amp; Mobile branches. </t>
    </r>
  </si>
  <si>
    <t>Synthetic ratings of non-rated real SPs.</t>
  </si>
  <si>
    <t>High leverage</t>
  </si>
  <si>
    <t xml:space="preserve">Profiles, Gearing, E/Enot, Credit Rating : Benchmark Analysis on 22 European Listed Telecom Operators (SPs). </t>
  </si>
  <si>
    <t>Outputs</t>
  </si>
  <si>
    <t>&amp; Inputs</t>
  </si>
  <si>
    <t>Only issuer's long-term rating matters since WACC is built with LT Cd, not an average Cd blending ST &amp; LT Cd.</t>
  </si>
  <si>
    <t>Beside the D vs. tD issue, there are more or less conservative definitions of debt. Financial statements show what may be seen as minimum amounts.</t>
  </si>
  <si>
    <t>In particular, credit rating agencies use tailored debt estimates, along with other adjustments on financial results. For instance, Moody's states that :</t>
  </si>
  <si>
    <r>
      <t xml:space="preserve">In this edition, SPs' future </t>
    </r>
    <r>
      <rPr>
        <i/>
        <sz val="10"/>
        <rFont val="Arial"/>
        <family val="2"/>
      </rPr>
      <t>minimum</t>
    </r>
    <r>
      <rPr>
        <sz val="10"/>
        <rFont val="Arial"/>
        <family val="2"/>
      </rPr>
      <t xml:space="preserve"> OL obligations are added to D, after their capitalization. The </t>
    </r>
    <r>
      <rPr>
        <b/>
        <sz val="10"/>
        <rFont val="Arial"/>
        <family val="2"/>
      </rPr>
      <t>symbol *</t>
    </r>
    <r>
      <rPr>
        <sz val="10"/>
        <rFont val="Arial"/>
        <family val="2"/>
      </rPr>
      <t xml:space="preserve"> is applied to all </t>
    </r>
    <r>
      <rPr>
        <b/>
        <sz val="10"/>
        <rFont val="Arial"/>
        <family val="2"/>
      </rPr>
      <t>OL-adjusted metrics</t>
    </r>
    <r>
      <rPr>
        <sz val="10"/>
        <rFont val="Arial"/>
        <family val="2"/>
      </rPr>
      <t xml:space="preserve"> : D*, EV*, Ebitda* (= Ebitdar, i.e. before rent), etc.</t>
    </r>
  </si>
  <si>
    <t>2014 BIPT WACC 2/4</t>
  </si>
  <si>
    <r>
      <t xml:space="preserve">i.e. with initially given Ebitda instead of strongly </t>
    </r>
    <r>
      <rPr>
        <sz val="10"/>
        <color rgb="FFFFC000"/>
        <rFont val="Wingdings"/>
        <charset val="2"/>
      </rPr>
      <t>æ</t>
    </r>
    <r>
      <rPr>
        <sz val="10"/>
        <color rgb="FFFFC000"/>
        <rFont val="Arial"/>
        <family val="2"/>
      </rPr>
      <t xml:space="preserve"> revised values later on (at a price for PT's mkt cap)</t>
    </r>
  </si>
  <si>
    <t>- Updated Implications for Lessees’ Credit.</t>
  </si>
  <si>
    <t>Pending access to new IR data, we have interpolated our estimates with Bloomberg 2009, possibly more precise. This adj. allows to integrate our estimated downward trend since 2009.</t>
  </si>
  <si>
    <t>E/R ratio not useful from a small Fixed line business in a very small SP, a business which started to be profitable (Ebit) only in 2012.</t>
  </si>
  <si>
    <t>Assuming a constant Mob. equipt % of Sales of Good and Others, and radio com. (Towerco) to Fixed services.</t>
  </si>
  <si>
    <t>* Data services = leased lines, data transmission, dial-up, broadband and TV revenues : to include in Fixed services</t>
  </si>
  <si>
    <t>* Mobile Telephony includes messaging services and content, but not equipement (thus, in Sale of goods and others)</t>
  </si>
  <si>
    <t>*I.e. a repartition of terminal equipt sales according to the initial rev. split by service, with Marpij's 1H13 estimate.</t>
  </si>
  <si>
    <t>Mobile activities.</t>
  </si>
  <si>
    <t>We opt for own estimates.</t>
  </si>
  <si>
    <r>
      <t xml:space="preserve">All composite ratings set at current ratings, except on : Mobistar, Telenet, ORA &amp; TPS and to a lesser extent ILD, SNC &amp; TEL2. But including Belgacom : was </t>
    </r>
    <r>
      <rPr>
        <sz val="10"/>
        <color theme="4"/>
        <rFont val="Arial"/>
        <family val="2"/>
      </rPr>
      <t>actually rated A+ until 3Q11</t>
    </r>
    <r>
      <rPr>
        <sz val="10"/>
        <color theme="1"/>
        <rFont val="Arial"/>
        <family val="2"/>
      </rPr>
      <t xml:space="preserve">, on average, but A+ yields n/a </t>
    </r>
  </si>
  <si>
    <t>- In a stricter approach, Debt's market values, rather than book values, should be used for market gearings (cf. 'Note 2'), so that we would need Cd, thus credit ratings.</t>
  </si>
  <si>
    <t>Even in (a quasi) absence of OL.</t>
  </si>
  <si>
    <t>- For an entity lacking of any credit rating, i.e. independent and recognized credit quality expertise for lessors, Cd could theoretically at least incorporate a small premium. While this consideration could be fair in order to estimate actual historical Cd for intermediate PV OL calculation, it is out of question for Cd's regulatory determination, even for a small cap.</t>
  </si>
  <si>
    <r>
      <rPr>
        <sz val="10"/>
        <rFont val="Wingdings"/>
        <charset val="2"/>
      </rPr>
      <t>ä</t>
    </r>
    <r>
      <rPr>
        <sz val="10"/>
        <rFont val="Arial"/>
        <family val="2"/>
      </rPr>
      <t xml:space="preserve"> βa</t>
    </r>
  </si>
  <si>
    <r>
      <rPr>
        <sz val="10"/>
        <rFont val="Wingdings"/>
        <charset val="2"/>
      </rPr>
      <t>ä</t>
    </r>
    <r>
      <rPr>
        <sz val="10"/>
        <rFont val="Arial"/>
        <family val="2"/>
      </rPr>
      <t xml:space="preserve"> βd</t>
    </r>
  </si>
  <si>
    <r>
      <rPr>
        <sz val="10"/>
        <color theme="1" tint="0.499984740745262"/>
        <rFont val="Wingdings"/>
        <charset val="2"/>
      </rPr>
      <t>ä</t>
    </r>
    <r>
      <rPr>
        <sz val="10"/>
        <color theme="1" tint="0.499984740745262"/>
        <rFont val="Arial"/>
        <family val="2"/>
      </rPr>
      <t xml:space="preserve"> Cd</t>
    </r>
  </si>
  <si>
    <r>
      <rPr>
        <sz val="10"/>
        <color theme="1" tint="0.499984740745262"/>
        <rFont val="Wingdings"/>
        <charset val="2"/>
      </rPr>
      <t>æ</t>
    </r>
    <r>
      <rPr>
        <sz val="10"/>
        <color theme="1" tint="0.499984740745262"/>
        <rFont val="Arial"/>
        <family val="2"/>
      </rPr>
      <t xml:space="preserve"> PV OL</t>
    </r>
  </si>
  <si>
    <r>
      <rPr>
        <sz val="10"/>
        <color theme="1" tint="0.499984740745262"/>
        <rFont val="Wingdings"/>
        <charset val="2"/>
      </rPr>
      <t>æ</t>
    </r>
    <r>
      <rPr>
        <sz val="10"/>
        <color theme="1" tint="0.499984740745262"/>
        <rFont val="Arial"/>
        <family val="2"/>
      </rPr>
      <t xml:space="preserve"> D*</t>
    </r>
  </si>
  <si>
    <r>
      <rPr>
        <sz val="10"/>
        <color theme="1" tint="0.499984740745262"/>
        <rFont val="Wingdings"/>
        <charset val="2"/>
      </rPr>
      <t>æ</t>
    </r>
    <r>
      <rPr>
        <sz val="10"/>
        <color theme="1" tint="0.499984740745262"/>
        <rFont val="Arial"/>
        <family val="2"/>
      </rPr>
      <t xml:space="preserve"> g*</t>
    </r>
  </si>
  <si>
    <t xml:space="preserve">For period averaged Debt ratios, strictly, extracted OL book values at given dates should be discounted with Cd rates based on prevailing - actual or theoretical - credit ratings, rather than given current (last) ratings. </t>
  </si>
  <si>
    <t xml:space="preserve">Credit ratings do change over time, though upgrades/downgrades are only applied when serious circumstances with assumed lasting effects (at least for the next 18 months) justify such changes, not just temporary variations in financial ratios. </t>
  </si>
  <si>
    <t xml:space="preserve">In contrast, given "outlooks" may change more often, with smaller Cd impact. Yet, by definition, they may forecast a more or less short term rating change. </t>
  </si>
  <si>
    <t>More an issue for emerging markets.</t>
  </si>
  <si>
    <t>Standard &amp; Poor's, Moody's and Fitch.</t>
  </si>
  <si>
    <r>
      <t xml:space="preserve">- The most important distinction is between </t>
    </r>
    <r>
      <rPr>
        <b/>
        <sz val="10"/>
        <rFont val="Arial"/>
        <family val="2"/>
      </rPr>
      <t>investment grade</t>
    </r>
    <r>
      <rPr>
        <sz val="10"/>
        <rFont val="Arial"/>
        <family val="2"/>
      </rPr>
      <t xml:space="preserve"> and non-investment grade firms. </t>
    </r>
  </si>
  <si>
    <t>Some institutional investors are constrained from holding bonds with below-investment grade ratings.</t>
  </si>
  <si>
    <t>- For its composite bond indexes, Bloomberg uses a neutral terminology : e.g. AA1/AA/AA3, instead of AA+/AA/AA- in S&amp;P/Fitch's universe. We prefer to keep the latter which the public is more familiar with.</t>
  </si>
  <si>
    <t>Some pension funds are even constrained from holding anything less secure than AAA securities. hence some technical difficulties with US T-bonds downgrades.</t>
  </si>
  <si>
    <r>
      <t xml:space="preserve">- Some key quantitative metrics considered by analysts to assess a lessee's </t>
    </r>
    <r>
      <rPr>
        <b/>
        <sz val="10"/>
        <rFont val="Arial"/>
        <family val="2"/>
      </rPr>
      <t>Financial Strength/Risk</t>
    </r>
    <r>
      <rPr>
        <sz val="10"/>
        <rFont val="Arial"/>
        <family val="2"/>
      </rPr>
      <t xml:space="preserve"> - beside its Business Risk profile - or by academics and consultants in order to estimate synthetic ratings;</t>
    </r>
  </si>
  <si>
    <r>
      <rPr>
        <b/>
        <sz val="10"/>
        <rFont val="Arial"/>
        <family val="2"/>
      </rPr>
      <t>iii)</t>
    </r>
    <r>
      <rPr>
        <sz val="10"/>
        <rFont val="Arial"/>
        <family val="2"/>
      </rPr>
      <t xml:space="preserve"> As also mentioned in 'Note 2', all </t>
    </r>
    <r>
      <rPr>
        <b/>
        <sz val="10"/>
        <rFont val="Arial"/>
        <family val="2"/>
      </rPr>
      <t>agencies'</t>
    </r>
    <r>
      <rPr>
        <sz val="10"/>
        <rFont val="Arial"/>
        <family val="2"/>
      </rPr>
      <t xml:space="preserve"> financial ratios are derived with </t>
    </r>
    <r>
      <rPr>
        <b/>
        <sz val="10"/>
        <rFont val="Arial"/>
        <family val="2"/>
      </rPr>
      <t xml:space="preserve">in-house adjustments </t>
    </r>
    <r>
      <rPr>
        <sz val="10"/>
        <rFont val="Arial"/>
        <family val="2"/>
      </rPr>
      <t xml:space="preserve">on the perimeters of Debt, Capital, Ebitda etc. </t>
    </r>
  </si>
  <si>
    <t xml:space="preserve">These adjustments are likely to incorporate other items compared to our own measurements, generally on top of them (e.g. under-funded pension obligations), but possibly also in deduction (eg. excl. non-recurring OL), beside our approximations for PV OL. </t>
  </si>
  <si>
    <t>For example, a company may have pre-funded debt maturities or otherwise holds a substantial amount of cash on its balance sheet that we expect will be used for business enhancing activities. Some companies have a long track record of maintaining substantial cash balances that are not dedicated to a specific investment purpose but provide a safety cushion."</t>
  </si>
  <si>
    <t>Degree of capital intensity, flexibility regarding Capex and other cash needs, incl. acquisitions and shareholder distribution.</t>
  </si>
  <si>
    <t xml:space="preserve">- But in the context of OL : </t>
  </si>
  <si>
    <t xml:space="preserve">  (Ebit Interest) Coverage = (Operating income + Lease expense - Depreciation on leased asset) / (Interest +imputed Lease interest), with Lease interest = Cd.PV(OL).</t>
  </si>
  <si>
    <t xml:space="preserve"> (S&amp;P’s also uses measures such as FFO, which differs somewhat from Ebitda but essentially also is aimed at capturing operational cash flow)."</t>
  </si>
  <si>
    <r>
      <t xml:space="preserve"> (1)</t>
    </r>
    <r>
      <rPr>
        <b/>
        <i/>
        <sz val="10"/>
        <rFont val="Arial"/>
        <family val="2"/>
      </rPr>
      <t xml:space="preserve"> size in terms of sales or market capitalization</t>
    </r>
    <r>
      <rPr>
        <i/>
        <sz val="10"/>
        <rFont val="Arial"/>
        <family val="2"/>
      </rPr>
      <t xml:space="preserve"> and (2) interest coverage in terms of Ebita, Ebitda, or tD/Interest</t>
    </r>
  </si>
  <si>
    <r>
      <rPr>
        <b/>
        <sz val="10"/>
        <rFont val="Symbol"/>
        <family val="1"/>
        <charset val="2"/>
      </rPr>
      <t>¯</t>
    </r>
    <r>
      <rPr>
        <b/>
        <sz val="10"/>
        <rFont val="Arial"/>
        <family val="2"/>
      </rPr>
      <t xml:space="preserve"> Key matrix of this sheet.</t>
    </r>
  </si>
  <si>
    <t xml:space="preserve">tD/Capital indicatives ranges are for avg corporates. </t>
  </si>
  <si>
    <t>Discrete liquidity support provided by govts, parents, or affiliates</t>
  </si>
  <si>
    <t>- Even if Belgian SPs enjoyed some geographic diversity (not the case, BICS and ORA Lux. aside), the generic SP ought to be a pure-domestic player - yet fully covering the Kingdom.</t>
  </si>
  <si>
    <t>- (As far as Belgacom is concerned, one may argue that its Fixed activiries have probably a better Business Risk profile than Proximus, which is more exposed to competitive pressure.)</t>
  </si>
  <si>
    <r>
      <t xml:space="preserve">- </t>
    </r>
    <r>
      <rPr>
        <b/>
        <i/>
        <sz val="10"/>
        <rFont val="Arial"/>
        <family val="2"/>
      </rPr>
      <t xml:space="preserve">Case  2: </t>
    </r>
    <r>
      <rPr>
        <i/>
        <sz val="10"/>
        <rFont val="Arial"/>
        <family val="2"/>
      </rPr>
      <t xml:space="preserve">The subsidiary stands in the </t>
    </r>
    <r>
      <rPr>
        <b/>
        <i/>
        <sz val="10"/>
        <rFont val="Arial"/>
        <family val="2"/>
      </rPr>
      <t>moderate-to-low corner of the GRE role-link matrix</t>
    </r>
    <r>
      <rPr>
        <i/>
        <sz val="10"/>
        <rFont val="Arial"/>
        <family val="2"/>
      </rPr>
      <t>. We consider both GRE and parent-subsidiary approaches, but focus more on the latter.</t>
    </r>
  </si>
  <si>
    <t xml:space="preserve">- (One may also consider that 'Case 2' would suit Belgacom's Fixed services, whereas 'Case 1' would be acceptable for Proximus. But this determination is not about these branches.) </t>
  </si>
  <si>
    <t>- Its 30p. dedicated to the telecoms sector are very pedagogic (a bit old and very global, though). Its final sections might also be considered as an invitation to humility for practitioners : with its own data, analyses and analytical grid, Moody's seldom end up with Grid-Indicated Ratings (GIR) matching its own assigned ratings. See mentioned caveats for Moody's Grid.</t>
  </si>
  <si>
    <r>
      <t>Loss Given Default for Speculative-Grade Non-Financial Companies</t>
    </r>
    <r>
      <rPr>
        <sz val="10"/>
        <color theme="0" tint="-0.249977111117893"/>
        <rFont val="Arial"/>
        <family val="2"/>
      </rPr>
      <t>.)</t>
    </r>
  </si>
  <si>
    <t xml:space="preserve">: also interesting and intelligible. But it does not provide any data with mentioned indicators (and Belgacom is not rated by Fitch, unlike Telenet). </t>
  </si>
  <si>
    <r>
      <t xml:space="preserve">- Larger </t>
    </r>
    <r>
      <rPr>
        <b/>
        <i/>
        <sz val="10"/>
        <rFont val="Arial"/>
        <family val="2"/>
      </rPr>
      <t>scale</t>
    </r>
    <r>
      <rPr>
        <i/>
        <sz val="10"/>
        <rFont val="Arial"/>
        <family val="2"/>
      </rPr>
      <t>, which usually goes hand in hand with geographic and business diversity, reduces the risks of a regional weakness or a business downturn. Scale also enhances ability to absorb a temporary disruption, acquisition or an investment mistake; can create greater leverage with suppliers; enhances access to capital mkts and increases financing flexibility; finally, enhances ability to bundle products, increasingly a competitive advantage, and confers a sense of leadership with superior access to customers.</t>
    </r>
  </si>
  <si>
    <t>In some limited circumstances, the benefits of being a large player in a small primary market may be underestimated by the revenue metric. This will be particularly so for ex-incumbent SPs that remain leading players in mkts with GDPs that are small by global standards. Where that is the case, our mapping examples may show the total revenues factor at one or two rating categories above the level that would result from reported revenues.</t>
  </si>
  <si>
    <r>
      <t xml:space="preserve">- But, we notice that our 3Q11 value is around 0.2 lower than 1.5x mentioned both by S&amp;P's and Moody's at that time. We therefore also add this </t>
    </r>
    <r>
      <rPr>
        <sz val="10"/>
        <rFont val="Symbol"/>
        <family val="1"/>
        <charset val="2"/>
      </rPr>
      <t>D</t>
    </r>
    <r>
      <rPr>
        <sz val="10"/>
        <rFont val="Arial"/>
        <family val="2"/>
      </rPr>
      <t>.</t>
    </r>
  </si>
  <si>
    <t>- Yet, Moody's didn't downgrade Belgacom as S&amp;P's did when Belgium was downgraded (but it did it twice in the preceding 3y).</t>
  </si>
  <si>
    <t>mentioned by Moody's or the mid-point 4.5x mentioned by S&amp;P's, modulo a possible small 0.2 underestimation as observed between 4Q12 Moody's gross leverage and our estimate.</t>
  </si>
  <si>
    <t>impact on financial flexibility and leverage.</t>
  </si>
  <si>
    <r>
      <rPr>
        <sz val="10"/>
        <color theme="0"/>
        <rFont val="Symbol"/>
        <family val="1"/>
        <charset val="2"/>
      </rPr>
      <t>¬</t>
    </r>
    <r>
      <rPr>
        <sz val="9"/>
        <color theme="0"/>
        <rFont val="Arial"/>
        <family val="2"/>
      </rPr>
      <t xml:space="preserve"> </t>
    </r>
    <r>
      <rPr>
        <sz val="10"/>
        <color theme="0"/>
        <rFont val="Arial"/>
        <family val="2"/>
      </rPr>
      <t>?</t>
    </r>
  </si>
  <si>
    <t>(...) The expected deterioration in TPS's operating performance reflects (1) revenue declines in all segments with the exception of broadband; (2) MTR cuts imposed by the Polish NRA for 2013; and (3) a fiercely competitive mobile market, in which the launch of unlimited flat-rate mobile offers will continue to affect TPS' revenues.</t>
  </si>
  <si>
    <t>Quaterly composite ratings for βd (simplification for βd's weekly or daily debt premium component), yearly for PV OL</t>
  </si>
  <si>
    <t>Cf. Word report.</t>
  </si>
  <si>
    <r>
      <t xml:space="preserve">The target gearing to determine is actually the </t>
    </r>
    <r>
      <rPr>
        <i/>
        <sz val="10"/>
        <rFont val="Arial"/>
        <family val="2"/>
      </rPr>
      <t>average</t>
    </r>
    <r>
      <rPr>
        <sz val="10"/>
        <rFont val="Arial"/>
        <family val="2"/>
      </rPr>
      <t xml:space="preserve"> forward-looking g for the period matching avg asset economic lives (here assumed at 10Y), and not just the forthcoming regulatory period.</t>
    </r>
  </si>
  <si>
    <t>Actually, by using D instead of tD, cash and debt are implictly assumed to have roughly similar risk. This assumption may be shaky for non-investment grade firms, rated below BB+ (as Telenet).</t>
  </si>
  <si>
    <t>possibly decreasing WACC ??</t>
  </si>
  <si>
    <t xml:space="preserve"> Less concerned by Mobistar : in DJ Stoxx</t>
  </si>
  <si>
    <r>
      <rPr>
        <sz val="10"/>
        <color rgb="FFFFDA65"/>
        <rFont val="Symbol"/>
        <family val="1"/>
        <charset val="2"/>
      </rPr>
      <t>¬</t>
    </r>
    <r>
      <rPr>
        <sz val="9"/>
        <color rgb="FFFFDA65"/>
        <rFont val="Arial"/>
        <family val="2"/>
      </rPr>
      <t xml:space="preserve"> </t>
    </r>
    <r>
      <rPr>
        <sz val="10"/>
        <color rgb="FFFFDA65"/>
        <rFont val="Arial"/>
        <family val="2"/>
      </rPr>
      <t>Add section for geo segments extracted from Bloom</t>
    </r>
  </si>
  <si>
    <t>Full period (FY = Full Year)</t>
  </si>
  <si>
    <t>Here, what is not included in FLS gets included in % Mobile, and vice versa. For this reason, where mentioned, ICT (+TV) are added to FLS and terminals sales split along Mobile/Fixed revenues.</t>
  </si>
  <si>
    <r>
      <rPr>
        <sz val="10"/>
        <color rgb="FFFFD757"/>
        <rFont val="Arial"/>
        <family val="2"/>
      </rPr>
      <t xml:space="preserve">Mobile % Rev. estim. feasible at group level but likely highly time-consuming. </t>
    </r>
    <r>
      <rPr>
        <sz val="10"/>
        <rFont val="Arial"/>
        <family val="2"/>
      </rPr>
      <t>Just 2010 &amp; 2011 avg.</t>
    </r>
    <r>
      <rPr>
        <sz val="10"/>
        <rFont val="Symbol"/>
        <family val="1"/>
        <charset val="2"/>
      </rPr>
      <t>®</t>
    </r>
  </si>
  <si>
    <t>Weight. avg.</t>
  </si>
  <si>
    <r>
      <rPr>
        <sz val="10"/>
        <color theme="1"/>
        <rFont val="Symbol"/>
        <family val="1"/>
        <charset val="2"/>
      </rPr>
      <t>»</t>
    </r>
    <r>
      <rPr>
        <sz val="10"/>
        <color theme="1"/>
        <rFont val="Arial"/>
        <family val="2"/>
      </rPr>
      <t xml:space="preserve"> 40% revenues in cable TV (included in FLS). High growth for Mobile (full MVNO on Mobistar's network)</t>
    </r>
  </si>
  <si>
    <t>Assuming terminals sales split along M/F, though 31% is likely to understimate M/F terminal sales ratio</t>
  </si>
  <si>
    <t>Including Mobile equipment split, excl. 'Enterprise &amp; Int. carrier &amp; shared services'</t>
  </si>
  <si>
    <r>
      <t xml:space="preserve">Rough estimate through interpolations on PT &amp; Brazil Oi xls. </t>
    </r>
    <r>
      <rPr>
        <sz val="10"/>
        <color theme="1"/>
        <rFont val="Arial"/>
        <family val="2"/>
      </rPr>
      <t>Rev. out of Europe &gt; 50% since 2011</t>
    </r>
  </si>
  <si>
    <r>
      <rPr>
        <sz val="10"/>
        <color rgb="FF0070C0"/>
        <rFont val="Arial"/>
        <family val="2"/>
      </rPr>
      <t xml:space="preserve">Mob. % Ebitda = 68% </t>
    </r>
    <r>
      <rPr>
        <sz val="10"/>
        <color theme="1"/>
        <rFont val="Arial"/>
        <family val="2"/>
      </rPr>
      <t xml:space="preserve">on avg : E/R </t>
    </r>
    <r>
      <rPr>
        <sz val="10"/>
        <color theme="1"/>
        <rFont val="Symbol"/>
        <family val="1"/>
        <charset val="2"/>
      </rPr>
      <t>»</t>
    </r>
    <r>
      <rPr>
        <sz val="10"/>
        <color theme="1"/>
        <rFont val="Arial"/>
        <family val="2"/>
      </rPr>
      <t xml:space="preserve"> 1 with 0.9 for mature mkts (Nordic, Baltic &amp; Spain) and 1.5 Eurasia</t>
    </r>
  </si>
  <si>
    <r>
      <rPr>
        <sz val="10"/>
        <color rgb="FF0070C0"/>
        <rFont val="Arial"/>
        <family val="2"/>
      </rPr>
      <t>Mob. % Ebitda = 67%</t>
    </r>
    <r>
      <rPr>
        <sz val="10"/>
        <color theme="1"/>
        <rFont val="Arial"/>
        <family val="2"/>
      </rPr>
      <t xml:space="preserve"> on avg. Mob. E/R </t>
    </r>
    <r>
      <rPr>
        <sz val="10"/>
        <color theme="1"/>
        <rFont val="Wingdings"/>
        <charset val="2"/>
      </rPr>
      <t>æ</t>
    </r>
    <r>
      <rPr>
        <sz val="9"/>
        <color theme="1"/>
        <rFont val="Arial"/>
        <family val="2"/>
      </rPr>
      <t xml:space="preserve"> </t>
    </r>
    <r>
      <rPr>
        <sz val="10"/>
        <color theme="1"/>
        <rFont val="Arial"/>
        <family val="2"/>
      </rPr>
      <t>(whether in Ebit or Ebitda) from 1.1 to 0.9, yet with re-investing trend after a low [Mob. %Capex / Mob. %Rev.] in 2010, 1 vs. 1.2 at 1H13: suggests future trend reversal</t>
    </r>
  </si>
  <si>
    <r>
      <rPr>
        <sz val="10"/>
        <color rgb="FF0070C0"/>
        <rFont val="Arial"/>
        <family val="2"/>
      </rPr>
      <t xml:space="preserve">Mob. % Ebitda = </t>
    </r>
    <r>
      <rPr>
        <b/>
        <sz val="10"/>
        <color rgb="FF0070C0"/>
        <rFont val="Arial"/>
        <family val="2"/>
      </rPr>
      <t>56%</t>
    </r>
    <r>
      <rPr>
        <sz val="10"/>
        <rFont val="Arial"/>
        <family val="2"/>
      </rPr>
      <t xml:space="preserve"> on avg. Higher </t>
    </r>
    <r>
      <rPr>
        <sz val="10"/>
        <rFont val="Symbol"/>
        <family val="1"/>
        <charset val="2"/>
      </rPr>
      <t>D</t>
    </r>
    <r>
      <rPr>
        <sz val="10"/>
        <rFont val="Arial"/>
        <family val="2"/>
      </rPr>
      <t xml:space="preserve"> on the domestic mkt (70% rev. group): 54% Ebitda vs. 46% Rev. </t>
    </r>
  </si>
  <si>
    <r>
      <t xml:space="preserve">As a reminder, </t>
    </r>
    <r>
      <rPr>
        <b/>
        <sz val="10"/>
        <color theme="1"/>
        <rFont val="Arial"/>
        <family val="2"/>
      </rPr>
      <t>% Ebitda</t>
    </r>
    <r>
      <rPr>
        <sz val="10"/>
        <color theme="1"/>
        <rFont val="Arial"/>
        <family val="2"/>
      </rPr>
      <t xml:space="preserve"> is a more relevant input than % Rev. in order to assess the relative value of a given activity. For available Mobile E/R ratios, contrasting results but now all close to 1 (except for SNC). </t>
    </r>
  </si>
  <si>
    <t>%Ebitda / %Revenue &gt; 1?</t>
  </si>
  <si>
    <r>
      <rPr>
        <sz val="10"/>
        <rFont val="Symbol"/>
        <family val="1"/>
        <charset val="2"/>
      </rPr>
      <t>®</t>
    </r>
    <r>
      <rPr>
        <sz val="8"/>
        <rFont val="Arial"/>
        <family val="2"/>
      </rPr>
      <t xml:space="preserve"> </t>
    </r>
    <r>
      <rPr>
        <sz val="10"/>
        <rFont val="Arial"/>
        <family val="2"/>
      </rPr>
      <t xml:space="preserve">For Mobile : </t>
    </r>
    <r>
      <rPr>
        <b/>
        <sz val="10"/>
        <rFont val="Arial"/>
        <family val="2"/>
      </rPr>
      <t>"E/R" =</t>
    </r>
  </si>
  <si>
    <r>
      <t xml:space="preserve">- As far as </t>
    </r>
    <r>
      <rPr>
        <b/>
        <sz val="10"/>
        <rFont val="Arial"/>
        <family val="2"/>
      </rPr>
      <t>Belgacom</t>
    </r>
    <r>
      <rPr>
        <sz val="10"/>
        <rFont val="Arial"/>
        <family val="2"/>
      </rPr>
      <t xml:space="preserve"> is concerned, it is possible that its "E/R" ratio is actually below 1, given that the Fixed line landscape seems less competitive in Belgium than the Mobile business. But we would refrain from implementing any quantitative adjustment from Mobile % Rev.</t>
    </r>
  </si>
  <si>
    <t>- In contrast, we maintain Iliad's Mobile % Rev. in spite of a logical negative/low Ebitda for its fledgling but fast growing Mobile business (it is certainly not negatively valued by the market).</t>
  </si>
  <si>
    <r>
      <t xml:space="preserve">- Similarily, we maintain </t>
    </r>
    <r>
      <rPr>
        <b/>
        <sz val="10"/>
        <color theme="1"/>
        <rFont val="Arial"/>
        <family val="2"/>
      </rPr>
      <t>Telenet</t>
    </r>
    <r>
      <rPr>
        <sz val="10"/>
        <color theme="1"/>
        <rFont val="Arial"/>
        <family val="2"/>
      </rPr>
      <t>'s Mobile % Rev., although, as a full MVNO, its margin for this activity should be lower than for a SP operating on its own infrastructure : given the high growth profile of Telenet's Mobile business, we consider here as well that it could appropriately be "priced" by % Rev.</t>
    </r>
  </si>
  <si>
    <r>
      <rPr>
        <sz val="10"/>
        <rFont val="Symbol"/>
        <family val="1"/>
        <charset val="2"/>
      </rPr>
      <t>­</t>
    </r>
    <r>
      <rPr>
        <sz val="10"/>
        <rFont val="Arial"/>
        <family val="2"/>
      </rPr>
      <t xml:space="preserve"> See % Mobile from </t>
    </r>
    <r>
      <rPr>
        <u/>
        <sz val="10"/>
        <rFont val="Arial"/>
        <family val="2"/>
      </rPr>
      <t>BIPT 2010</t>
    </r>
  </si>
  <si>
    <t>For the Nordic/Swiss SPs, valuation generally higher than for 'Continental' incumbents, but here more spread out than in following years. A slope seemingly negative. A cluster ahead by a couple of years?</t>
  </si>
  <si>
    <t>Equity Analysts Forecasts</t>
  </si>
  <si>
    <t>2014e</t>
  </si>
  <si>
    <t>2015e</t>
  </si>
  <si>
    <t>2016e</t>
  </si>
  <si>
    <t>Eb</t>
  </si>
  <si>
    <t>Broker</t>
  </si>
  <si>
    <t xml:space="preserve">Date </t>
  </si>
  <si>
    <t>ABN Amro</t>
  </si>
  <si>
    <t xml:space="preserve">Ebitda </t>
  </si>
  <si>
    <t xml:space="preserve">Ebitda/Eb </t>
  </si>
  <si>
    <t>BoA Merril Lynch</t>
  </si>
  <si>
    <t>2017e</t>
  </si>
  <si>
    <t>Kepler Chevreux</t>
  </si>
  <si>
    <t>Net debt</t>
  </si>
  <si>
    <t>EV/Ebitda with current E</t>
  </si>
  <si>
    <t>EV with current E</t>
  </si>
  <si>
    <t>EV/Ebitda with target E</t>
  </si>
  <si>
    <t>Price</t>
  </si>
  <si>
    <t xml:space="preserve">Target </t>
  </si>
  <si>
    <t>EV with target E</t>
  </si>
  <si>
    <t>Eb/Target E</t>
  </si>
  <si>
    <t>Macquarie</t>
  </si>
  <si>
    <t>Consensus</t>
  </si>
  <si>
    <t>FactSet</t>
  </si>
  <si>
    <t>ING</t>
  </si>
  <si>
    <t>Minorities</t>
  </si>
  <si>
    <t>And such a low level is likely to be inappropriate for Mobistar &amp; Belgian Mobile (all Belgian SPs for that matter).</t>
  </si>
  <si>
    <t>x = D/E = g/(1-g) and g = x/(1+x). Transpose values to 'Outputs'.</t>
  </si>
  <si>
    <r>
      <t xml:space="preserve">See notes </t>
    </r>
    <r>
      <rPr>
        <u/>
        <sz val="10"/>
        <rFont val="Arial"/>
        <family val="2"/>
      </rPr>
      <t>below</t>
    </r>
  </si>
  <si>
    <r>
      <t xml:space="preserve">D </t>
    </r>
    <r>
      <rPr>
        <b/>
        <sz val="10"/>
        <rFont val="Arial"/>
        <family val="2"/>
      </rPr>
      <t>Adj.</t>
    </r>
  </si>
  <si>
    <t xml:space="preserve">Fitch 2014 Outlook: European Telecoms and Cable </t>
  </si>
  <si>
    <t>TPS aside, Belgacom peers' D/Ebitda have been evolving between 2x-3x. The start of the debt crisis may have triggered a more or less swift readjustment from TDC &amp; TIT in the first semesters.</t>
  </si>
  <si>
    <t>It is rather about management style.</t>
  </si>
  <si>
    <t>Do not insert column until S!</t>
  </si>
  <si>
    <t>BIPT 2014 GEARINGS</t>
  </si>
  <si>
    <t>Integrated</t>
  </si>
  <si>
    <t>Analysts' average</t>
  </si>
  <si>
    <t>1H12-1H13</t>
  </si>
  <si>
    <t>Post-Consultation comment</t>
  </si>
  <si>
    <t>Values to paste in WACC 3 &amp; 4. Inputs from WACC 1 &amp; 3. Tables &amp; graphs for reports in MS Word.</t>
  </si>
  <si>
    <t>Data submitted by Belgacom and Mobistar used for EV/Ebitda, D/Ebitda and Eb/Ebitda estimates.</t>
  </si>
  <si>
    <t>BofA Merril Lynch</t>
  </si>
  <si>
    <t>Mobistar*</t>
  </si>
  <si>
    <t>Marpij / Bloomberg</t>
  </si>
  <si>
    <t>1H12- 1H13</t>
  </si>
  <si>
    <t>Peers simple avg.</t>
  </si>
  <si>
    <t>(excl. TLSG)</t>
  </si>
  <si>
    <t>Local currency</t>
  </si>
  <si>
    <t>2Q10 - 2Q13</t>
  </si>
  <si>
    <t>With HY avg.</t>
  </si>
  <si>
    <r>
      <rPr>
        <sz val="10"/>
        <rFont val="Wingdings"/>
        <charset val="2"/>
      </rPr>
      <t>ä</t>
    </r>
    <r>
      <rPr>
        <sz val="10"/>
        <rFont val="Arial"/>
        <family val="2"/>
      </rPr>
      <t xml:space="preserve"> EV</t>
    </r>
  </si>
  <si>
    <t>EV* = EV + PV OL</t>
  </si>
  <si>
    <r>
      <rPr>
        <b/>
        <sz val="10"/>
        <rFont val="Symbol"/>
        <family val="1"/>
        <charset val="2"/>
      </rPr>
      <t>D</t>
    </r>
    <r>
      <rPr>
        <b/>
        <sz val="10"/>
        <rFont val="Arial"/>
        <family val="2"/>
      </rPr>
      <t xml:space="preserve"> * for avg</t>
    </r>
  </si>
  <si>
    <r>
      <rPr>
        <b/>
        <sz val="10"/>
        <rFont val="Wingdings"/>
        <charset val="2"/>
      </rPr>
      <t>ä</t>
    </r>
    <r>
      <rPr>
        <b/>
        <sz val="10"/>
        <rFont val="Arial"/>
        <family val="2"/>
      </rPr>
      <t xml:space="preserve"> E/Eb</t>
    </r>
  </si>
  <si>
    <r>
      <rPr>
        <b/>
        <sz val="10"/>
        <rFont val="Symbol"/>
        <family val="1"/>
        <charset val="2"/>
      </rPr>
      <t>D</t>
    </r>
    <r>
      <rPr>
        <b/>
        <sz val="10"/>
        <rFont val="Arial"/>
        <family val="2"/>
      </rPr>
      <t>* for avg</t>
    </r>
  </si>
  <si>
    <t>Avg. D/Ea</t>
  </si>
  <si>
    <r>
      <rPr>
        <b/>
        <sz val="10"/>
        <rFont val="Wingdings"/>
        <charset val="2"/>
      </rPr>
      <t>ä</t>
    </r>
    <r>
      <rPr>
        <b/>
        <sz val="10"/>
        <rFont val="Arial"/>
        <family val="2"/>
      </rPr>
      <t xml:space="preserve"> D/Ea</t>
    </r>
  </si>
  <si>
    <r>
      <rPr>
        <i/>
        <sz val="10"/>
        <rFont val="Arial"/>
        <family val="2"/>
      </rPr>
      <t>Weighted</t>
    </r>
    <r>
      <rPr>
        <sz val="10"/>
        <rFont val="Arial"/>
        <family val="2"/>
      </rPr>
      <t xml:space="preserve"> avg. </t>
    </r>
  </si>
  <si>
    <t>Cash</t>
  </si>
  <si>
    <t>Avg. Cash</t>
  </si>
  <si>
    <t>Cash avg</t>
  </si>
  <si>
    <t>Mobistar 4Q11-2Q13</t>
  </si>
  <si>
    <r>
      <rPr>
        <b/>
        <sz val="10"/>
        <rFont val="Wingdings"/>
        <charset val="2"/>
      </rPr>
      <t>ä</t>
    </r>
    <r>
      <rPr>
        <b/>
        <sz val="10"/>
        <rFont val="Arial"/>
        <family val="2"/>
      </rPr>
      <t xml:space="preserve"> P/B</t>
    </r>
  </si>
  <si>
    <t>Bloomberg's post-tax WACC collected for cross-checking, but some values do not appear to make sense (e.g. HTO/OTE).</t>
  </si>
  <si>
    <t>2Q13 - 2Q10</t>
  </si>
  <si>
    <t>2Q13-2Q10</t>
  </si>
  <si>
    <t>BGC Peers</t>
  </si>
  <si>
    <t>Taxes</t>
  </si>
  <si>
    <t>Cash/Ebitda</t>
  </si>
  <si>
    <t>(Ea*-Ea)/Ea</t>
  </si>
  <si>
    <t>Avg. (Ea*-Ea)/Ea</t>
  </si>
  <si>
    <t>Mob - SNC</t>
  </si>
  <si>
    <t>Eb/Ebitda</t>
  </si>
  <si>
    <t>Eb/Ebitda*</t>
  </si>
  <si>
    <r>
      <rPr>
        <sz val="10"/>
        <rFont val="Symbol"/>
        <family val="1"/>
        <charset val="2"/>
      </rPr>
      <t>D</t>
    </r>
    <r>
      <rPr>
        <sz val="10"/>
        <rFont val="Arial"/>
      </rPr>
      <t>not 2010</t>
    </r>
  </si>
  <si>
    <t>Post-tax</t>
  </si>
  <si>
    <t>Avg. Eb/Ea*</t>
  </si>
  <si>
    <t>Adj. Eb /Ea</t>
  </si>
  <si>
    <t>Avg. adj. Eb /Ea</t>
  </si>
  <si>
    <r>
      <t xml:space="preserve"> </t>
    </r>
    <r>
      <rPr>
        <sz val="10"/>
        <color theme="0"/>
        <rFont val="Symbol"/>
        <family val="1"/>
        <charset val="2"/>
      </rPr>
      <t>®</t>
    </r>
  </si>
  <si>
    <t>5.1 Approches</t>
  </si>
  <si>
    <t>Impacts des locations opérationnelles sur les ratios d’endettement, en moyennes historiques</t>
  </si>
  <si>
    <t>LO / Impacts</t>
  </si>
  <si>
    <t>Capi. boursières</t>
  </si>
  <si>
    <t>Comparateurs</t>
  </si>
  <si>
    <t>EV/Ebitda et poids moyens du Mobile sur la période historique</t>
  </si>
  <si>
    <t>Comparateurs de Belgacom et "distances" relatives sur la période historique</t>
  </si>
  <si>
    <t>Valo. rel. déterminées</t>
  </si>
  <si>
    <t>% Mobile vs. valo. rel.</t>
  </si>
  <si>
    <t>Evolution des multiples de valorisations sur la période historique</t>
  </si>
  <si>
    <r>
      <t xml:space="preserve">English versions (Eng.) </t>
    </r>
    <r>
      <rPr>
        <sz val="10"/>
        <color theme="1" tint="0.499984740745262"/>
        <rFont val="Arial"/>
        <family val="2"/>
      </rPr>
      <t>- or tables/graphs not used (NU)</t>
    </r>
  </si>
  <si>
    <r>
      <t xml:space="preserve">Eng </t>
    </r>
    <r>
      <rPr>
        <sz val="10"/>
        <color theme="0"/>
        <rFont val="Symbol"/>
        <family val="1"/>
        <charset val="2"/>
      </rPr>
      <t>®</t>
    </r>
  </si>
  <si>
    <t>End</t>
  </si>
  <si>
    <t>Port. Tel.</t>
  </si>
  <si>
    <t>Tel. Italia</t>
  </si>
  <si>
    <t>Tel. Polska</t>
  </si>
  <si>
    <t>Tel. Austria</t>
  </si>
  <si>
    <t>Impacts des locations opérationnelles sur les multiples de valorisation</t>
  </si>
  <si>
    <t>Fin période</t>
  </si>
  <si>
    <t xml:space="preserve">Multiples de valorisation prévisionnels moyens ajustés aux LO </t>
  </si>
  <si>
    <t>EV/Ebitda analystes 2014-2016</t>
  </si>
  <si>
    <t>Ecart LO fin de période historique</t>
  </si>
  <si>
    <t>EV/Ebitda analystes + écart LO</t>
  </si>
  <si>
    <t>Multiples de valorisation retenus</t>
  </si>
  <si>
    <t>5.2 Profils Opérateurs</t>
  </si>
  <si>
    <t>5.3 Levier Financier</t>
  </si>
  <si>
    <t>Ratios d’endettement de Belgacom, de ses comparateurs et impact des LO sur la période historique</t>
  </si>
  <si>
    <t xml:space="preserve">Leviers financiers de Belgacom, de ses comparateurs et impact des LO sur la période historique </t>
  </si>
  <si>
    <t>Période</t>
  </si>
  <si>
    <t>Ratios d’endettement de Mobistar, de ses comparateurs et impact des LO, sur la période historique</t>
  </si>
  <si>
    <t>Leviers financiers de Mobistar, de ses comparateurs et impact des LO, sur la période historique</t>
  </si>
  <si>
    <t>Ratios d’endettement de Telenet, de ses comparateurs et impact des LO, sur la période historique</t>
  </si>
  <si>
    <t>Leviers financiers de Telenet, de ses comparateurs sur la période historique</t>
  </si>
  <si>
    <t xml:space="preserve">Ratios d’endettement et leviers financiers g retenus </t>
  </si>
  <si>
    <t>g 2010 (sans LO)</t>
  </si>
  <si>
    <t>g* 2014</t>
  </si>
  <si>
    <t>5.4 Déduction not.</t>
  </si>
  <si>
    <t>Sur la période hist.</t>
  </si>
  <si>
    <t>From L150: English versions (Eng.) - or tables/graphs not used (NU)</t>
  </si>
  <si>
    <t>Graphical charter</t>
  </si>
  <si>
    <t>Eb/Ebitda moyens ajustés aux LO et, pour Belgacom, à son ratio d’endettement normalisé</t>
  </si>
  <si>
    <r>
      <t xml:space="preserve">(Conclusion sur </t>
    </r>
    <r>
      <rPr>
        <b/>
        <sz val="10"/>
        <rFont val="Symbol"/>
        <family val="1"/>
        <charset val="2"/>
      </rPr>
      <t>D</t>
    </r>
    <r>
      <rPr>
        <b/>
        <sz val="10"/>
        <rFont val="Arial"/>
        <family val="2"/>
      </rPr>
      <t>not)</t>
    </r>
  </si>
  <si>
    <t>(Récapitulatif sur g)</t>
  </si>
  <si>
    <t>E/Eb 2010</t>
  </si>
  <si>
    <t>Déductions notionnelles déterminées</t>
  </si>
  <si>
    <r>
      <t xml:space="preserve">NU </t>
    </r>
    <r>
      <rPr>
        <sz val="10"/>
        <color theme="0" tint="-0.249977111117893"/>
        <rFont val="Symbol"/>
        <family val="1"/>
        <charset val="2"/>
      </rPr>
      <t>®</t>
    </r>
  </si>
  <si>
    <t>Impact LO sur Ebitda</t>
  </si>
  <si>
    <t>D*/Ebitda* normalisé - prévisionnel</t>
  </si>
  <si>
    <t>Eb/Ebitda analystes 2014-2016</t>
  </si>
  <si>
    <t>Eb/Ebitda* analystes 2014-2016</t>
  </si>
  <si>
    <t>Eb/Ebitda* analystes ajusté</t>
  </si>
  <si>
    <t>Estim. prévisionnelles</t>
  </si>
  <si>
    <t>(Concl. valo. relative)</t>
  </si>
  <si>
    <t>5.5 Notation Crédit</t>
  </si>
  <si>
    <t>Juste / Satisfaisant</t>
  </si>
  <si>
    <t>Agressif</t>
  </si>
  <si>
    <t>(Récapitulatif ratings)</t>
  </si>
  <si>
    <t>Note complémentaire</t>
  </si>
  <si>
    <t>Interméd.</t>
  </si>
  <si>
    <t>Satisf.</t>
  </si>
  <si>
    <r>
      <rPr>
        <sz val="10"/>
        <color theme="0" tint="-0.34998626667073579"/>
        <rFont val="Symbol"/>
        <family val="1"/>
        <charset val="2"/>
      </rPr>
      <t>®</t>
    </r>
    <r>
      <rPr>
        <sz val="9"/>
        <color theme="0" tint="-0.34998626667073579"/>
        <rFont val="Arial"/>
        <family val="2"/>
      </rPr>
      <t xml:space="preserve"> </t>
    </r>
    <r>
      <rPr>
        <sz val="10"/>
        <color theme="0" tint="-0.34998626667073579"/>
        <rFont val="Arial"/>
        <family val="2"/>
      </rPr>
      <t>Direct on Word report.</t>
    </r>
  </si>
  <si>
    <t>Notations crédit, leviers d'endettement et tailles relatives en fin de période</t>
  </si>
  <si>
    <t>Capi. / BGC</t>
  </si>
  <si>
    <t>Persp.</t>
  </si>
  <si>
    <t>Croissances des Ebitdar d'Orange, Mobistar et TPS, en glissement annuel</t>
  </si>
  <si>
    <t>Notation synt. "hist." de Mobistar (réel)</t>
  </si>
  <si>
    <t>Notations des opérateurs déjà notés</t>
  </si>
  <si>
    <t>Évolution des leviers d'endettement ajustés d'opérateurs non notés et de TPS, sur la période historique</t>
  </si>
  <si>
    <t>Profils de risque financier des op. hyp.</t>
  </si>
  <si>
    <t>Cash/Ebitda prévisionnels des opérateurs réels</t>
  </si>
  <si>
    <t>Cash/Ebitda moyen</t>
  </si>
  <si>
    <t>0,2x</t>
  </si>
  <si>
    <t>Cash/Ebitda* moyen</t>
  </si>
  <si>
    <t>Manual.</t>
  </si>
  <si>
    <t>''</t>
  </si>
  <si>
    <t>Générique</t>
  </si>
  <si>
    <t>tD*/Ebitda*ajusté</t>
  </si>
  <si>
    <t>2,7x</t>
  </si>
  <si>
    <t>2,7x-2,8x</t>
  </si>
  <si>
    <t>4,2x-4,6x</t>
  </si>
  <si>
    <t>Agressif (‘b’)</t>
  </si>
  <si>
    <t>Profil de risque financier</t>
  </si>
  <si>
    <r>
      <rPr>
        <sz val="10"/>
        <rFont val="Symbol"/>
        <family val="1"/>
        <charset val="2"/>
      </rPr>
      <t>D</t>
    </r>
    <r>
      <rPr>
        <sz val="10"/>
        <rFont val="Arial"/>
      </rPr>
      <t xml:space="preserve"> Agences</t>
    </r>
  </si>
  <si>
    <r>
      <t xml:space="preserve">tD/Ebitda ajustés et profils de </t>
    </r>
    <r>
      <rPr>
        <b/>
        <i/>
        <u/>
        <sz val="10"/>
        <rFont val="Arial"/>
        <family val="2"/>
      </rPr>
      <t>risque financier</t>
    </r>
    <r>
      <rPr>
        <b/>
        <u/>
        <sz val="10"/>
        <rFont val="Arial"/>
        <family val="2"/>
      </rPr>
      <t xml:space="preserve"> des opérateurs hypothétiques</t>
    </r>
  </si>
  <si>
    <r>
      <t>Intermédiaire</t>
    </r>
    <r>
      <rPr>
        <sz val="10"/>
        <rFont val="Arial"/>
        <family val="2"/>
      </rPr>
      <t xml:space="preserve"> (‘bb’) °</t>
    </r>
  </si>
  <si>
    <t>° (limite ‘b’ pour Moody’s)</t>
  </si>
  <si>
    <t>tD*/Ea*</t>
  </si>
  <si>
    <r>
      <t>- In valuation, in order to estimate the firm's value EV = D+E+Minority Interests (MI)</t>
    </r>
    <r>
      <rPr>
        <sz val="10"/>
        <color theme="1" tint="0.499984740745262"/>
        <rFont val="Arial"/>
        <family val="2"/>
      </rPr>
      <t>, or EV = tD+E+MI - Cash</t>
    </r>
    <r>
      <rPr>
        <sz val="10"/>
        <rFont val="Arial"/>
        <family val="2"/>
      </rPr>
      <t xml:space="preserve">, it usually makes no difference to consider a WACC consistently based on either tD or D. </t>
    </r>
  </si>
  <si>
    <t xml:space="preserve">- In regulation, efficient generic SPs are implicitly assumed not to have any excess cash, or very little. Therefore, benchmarking real SPs' gearings based on D instead of tD allow to prevent distortions because of excess cash. The traditional (European) regulatory approach with Net Debt D is here maintained. </t>
  </si>
  <si>
    <t>Yet, credit rating analysis considers tD/Ebitda to define the financial risk profile, in which case a small operational cash level (Belgacom's 0.2x Ebitda) is here "allowed".</t>
  </si>
  <si>
    <t>- IASB &amp; FASB are expected to issue accounting revisions putting OL (and possibly unfunded pension liabilities) in the balance sheet as debt liabilities, by 2015.</t>
  </si>
  <si>
    <t xml:space="preserve">With tD, the cash balance outstanding is simply added to the value of operating assets. </t>
  </si>
  <si>
    <t>Only the integration of financial leases as well is still under debate between the two international organizations.</t>
  </si>
  <si>
    <r>
      <t xml:space="preserve">OL not to mistake for </t>
    </r>
    <r>
      <rPr>
        <u/>
        <sz val="10"/>
        <color theme="1" tint="0.499984740745262"/>
        <rFont val="Arial"/>
        <family val="2"/>
      </rPr>
      <t>Capital Leases</t>
    </r>
    <r>
      <rPr>
        <sz val="10"/>
        <color theme="1" tint="0.499984740745262"/>
        <rFont val="Arial"/>
        <family val="2"/>
      </rPr>
      <t>.</t>
    </r>
  </si>
  <si>
    <r>
      <t xml:space="preserve">- </t>
    </r>
    <r>
      <rPr>
        <sz val="10"/>
        <rFont val="Arial"/>
        <family val="2"/>
      </rPr>
      <t xml:space="preserve">As most corporate finance textbooks °, Damodaran states that </t>
    </r>
    <r>
      <rPr>
        <i/>
        <sz val="10"/>
        <rFont val="Arial"/>
        <family val="2"/>
      </rPr>
      <t>: "OL expenses are really financial expenses. They should be treated as such and converted into debt."</t>
    </r>
  </si>
  <si>
    <t>Vernimmen, though.</t>
  </si>
  <si>
    <t>° Partially diverging opinion from</t>
  </si>
  <si>
    <r>
      <rPr>
        <sz val="10"/>
        <color theme="1" tint="0.499984740745262"/>
        <rFont val="Symbol"/>
        <family val="1"/>
        <charset val="2"/>
      </rPr>
      <t>®</t>
    </r>
    <r>
      <rPr>
        <sz val="10"/>
        <color theme="1" tint="0.499984740745262"/>
        <rFont val="Arial"/>
        <family val="2"/>
      </rPr>
      <t xml:space="preserve"> Cf. </t>
    </r>
    <r>
      <rPr>
        <u/>
        <sz val="10"/>
        <color theme="1" tint="0.499984740745262"/>
        <rFont val="Arial"/>
        <family val="2"/>
      </rPr>
      <t>AccountingToday</t>
    </r>
    <r>
      <rPr>
        <sz val="10"/>
        <color theme="1" tint="0.499984740745262"/>
        <rFont val="Arial"/>
        <family val="2"/>
      </rPr>
      <t>.</t>
    </r>
  </si>
  <si>
    <t xml:space="preserve"> with a high interest rate (7.5%).</t>
  </si>
  <si>
    <r>
      <t xml:space="preserve">by 20% </t>
    </r>
    <r>
      <rPr>
        <u/>
        <sz val="10"/>
        <rFont val="Arial"/>
        <family val="2"/>
      </rPr>
      <t>here</t>
    </r>
    <r>
      <rPr>
        <sz val="10"/>
        <rFont val="Arial"/>
        <family val="2"/>
      </rPr>
      <t xml:space="preserve"> (and with low interest rates).</t>
    </r>
  </si>
  <si>
    <t>Here, the PV(OL) impact remains substantial on initial market gearings for key SPs.</t>
  </si>
  <si>
    <r>
      <t xml:space="preserve">- The situation is different with OL: they must be discounted at </t>
    </r>
    <r>
      <rPr>
        <b/>
        <sz val="10"/>
        <rFont val="Arial"/>
        <family val="2"/>
      </rPr>
      <t>Present Value</t>
    </r>
    <r>
      <rPr>
        <sz val="10"/>
        <rFont val="Arial"/>
        <family val="2"/>
      </rPr>
      <t xml:space="preserve"> (PV). </t>
    </r>
    <r>
      <rPr>
        <b/>
        <sz val="10"/>
        <rFont val="Arial"/>
        <family val="2"/>
      </rPr>
      <t>PV(OL)</t>
    </r>
    <r>
      <rPr>
        <sz val="10"/>
        <rFont val="Arial"/>
        <family val="2"/>
      </rPr>
      <t xml:space="preserve"> is</t>
    </r>
    <r>
      <rPr>
        <b/>
        <sz val="10"/>
        <rFont val="Arial"/>
        <family val="2"/>
      </rPr>
      <t xml:space="preserve"> </t>
    </r>
    <r>
      <rPr>
        <sz val="10"/>
        <rFont val="Arial"/>
        <family val="2"/>
      </rPr>
      <t>significantly lower than BV(OL):</t>
    </r>
  </si>
  <si>
    <t>Also, according to Damordan:</t>
  </si>
  <si>
    <r>
      <rPr>
        <sz val="10"/>
        <color theme="1" tint="0.499984740745262"/>
        <rFont val="Symbol"/>
        <family val="1"/>
        <charset val="2"/>
      </rPr>
      <t>®</t>
    </r>
    <r>
      <rPr>
        <sz val="10"/>
        <color theme="1" tint="0.499984740745262"/>
        <rFont val="Arial"/>
        <family val="2"/>
      </rPr>
      <t xml:space="preserve"> Cf. debt's overview in </t>
    </r>
    <r>
      <rPr>
        <u/>
        <sz val="10"/>
        <color theme="1" tint="0.499984740745262"/>
        <rFont val="Arial"/>
        <family val="2"/>
      </rPr>
      <t>Investopedia</t>
    </r>
    <r>
      <rPr>
        <sz val="10"/>
        <color theme="1" tint="0.499984740745262"/>
        <rFont val="Arial"/>
        <family val="2"/>
      </rPr>
      <t>.</t>
    </r>
  </si>
  <si>
    <t>(The Beta delevering formula should be corrected for cash as well</t>
  </si>
  <si>
    <r>
      <rPr>
        <sz val="10"/>
        <color theme="1" tint="0.499984740745262"/>
        <rFont val="Symbol"/>
        <family val="1"/>
        <charset val="2"/>
      </rPr>
      <t>®</t>
    </r>
    <r>
      <rPr>
        <sz val="10"/>
        <color theme="1" tint="0.499984740745262"/>
        <rFont val="Arial"/>
        <family val="2"/>
      </rPr>
      <t xml:space="preserve"> cf. </t>
    </r>
    <r>
      <rPr>
        <u/>
        <sz val="10"/>
        <color theme="1" tint="0.499984740745262"/>
        <rFont val="Arial"/>
        <family val="2"/>
      </rPr>
      <t>Damodaran</t>
    </r>
    <r>
      <rPr>
        <sz val="10"/>
        <color theme="1" tint="0.499984740745262"/>
        <rFont val="Arial"/>
        <family val="2"/>
      </rPr>
      <t>'s sheets.)</t>
    </r>
  </si>
  <si>
    <r>
      <t xml:space="preserve">- Stricty, as for Equity, the market value of debt D should be used instead of its </t>
    </r>
    <r>
      <rPr>
        <b/>
        <sz val="10"/>
        <rFont val="Arial"/>
        <family val="2"/>
      </rPr>
      <t>Book Value</t>
    </r>
    <r>
      <rPr>
        <sz val="10"/>
        <rFont val="Arial"/>
        <family val="2"/>
      </rPr>
      <t xml:space="preserve"> (BV). However, </t>
    </r>
    <r>
      <rPr>
        <b/>
        <sz val="10"/>
        <rFont val="Arial"/>
        <family val="2"/>
      </rPr>
      <t>BV(D)</t>
    </r>
    <r>
      <rPr>
        <sz val="10"/>
        <rFont val="Arial"/>
        <family val="2"/>
      </rPr>
      <t xml:space="preserve"> is a well accepted approximation for D: they barely differ.</t>
    </r>
  </si>
  <si>
    <r>
      <t xml:space="preserve">PV(D)/BV(D) = 93% in this </t>
    </r>
    <r>
      <rPr>
        <u/>
        <sz val="10"/>
        <color theme="1" tint="0.499984740745262"/>
        <rFont val="Arial"/>
        <family val="2"/>
      </rPr>
      <t>example</t>
    </r>
  </si>
  <si>
    <r>
      <t>(</t>
    </r>
    <r>
      <rPr>
        <sz val="10"/>
        <color theme="1" tint="0.499984740745262"/>
        <rFont val="Symbol"/>
        <family val="1"/>
        <charset val="2"/>
      </rPr>
      <t>®</t>
    </r>
    <r>
      <rPr>
        <sz val="10"/>
        <color theme="1" tint="0.499984740745262"/>
        <rFont val="Arial"/>
        <family val="2"/>
      </rPr>
      <t xml:space="preserve"> Ex. p. 32-34 </t>
    </r>
    <r>
      <rPr>
        <u/>
        <sz val="10"/>
        <color theme="1" tint="0.499984740745262"/>
        <rFont val="Arial"/>
        <family val="2"/>
      </rPr>
      <t>ACM 2012</t>
    </r>
    <r>
      <rPr>
        <sz val="10"/>
        <color theme="1" tint="0.499984740745262"/>
        <rFont val="Arial"/>
        <family val="2"/>
      </rPr>
      <t>.)</t>
    </r>
  </si>
  <si>
    <r>
      <t xml:space="preserve">"The practice of netting cash against debt is common in both Europe &amp; LatAm, and debt ratios are usually estimated using net D" </t>
    </r>
    <r>
      <rPr>
        <sz val="10"/>
        <color theme="1" tint="0.499984740745262"/>
        <rFont val="Arial"/>
        <family val="2"/>
      </rPr>
      <t>[vs. US: tD].</t>
    </r>
  </si>
  <si>
    <t>&amp; DECOMPOSITIONS</t>
  </si>
  <si>
    <t>Recent vs. Period Avg Values, with Historical Data</t>
  </si>
  <si>
    <t>Decompositions, with Analysts' Forecasts (or Hist. Data)</t>
  </si>
  <si>
    <t>Naturally, perspectives provided by the management itself would be best.</t>
  </si>
  <si>
    <t xml:space="preserve">because there might be an intentional pattern in the variation of the firm's indebtedness (as measured by D/Ebitda - see hereafter) and/or financial leverage over the period. </t>
  </si>
  <si>
    <t xml:space="preserve">However, concluding WACC 4 does not revisit gearings proposed in this file in order to determine such optimal values through an iterative process. </t>
  </si>
  <si>
    <t>For this, as developed in 'Ratings', the sticking point is the relationship between gearing and credit rating, thus cost of debt.</t>
  </si>
  <si>
    <r>
      <t xml:space="preserve">- Whereas, in regulation, at least in Europe to our knowledge, g is always defined as </t>
    </r>
    <r>
      <rPr>
        <b/>
        <sz val="10"/>
        <rFont val="Arial"/>
        <family val="2"/>
      </rPr>
      <t>g = D/(D+E)</t>
    </r>
    <r>
      <rPr>
        <sz val="10"/>
        <rFont val="Arial"/>
        <family val="2"/>
      </rPr>
      <t xml:space="preserve">, rather than with tD - in any case with </t>
    </r>
    <r>
      <rPr>
        <b/>
        <sz val="10"/>
        <rFont val="Arial"/>
        <family val="2"/>
      </rPr>
      <t>E</t>
    </r>
    <r>
      <rPr>
        <sz val="10"/>
        <rFont val="Arial"/>
        <family val="2"/>
      </rPr>
      <t>, the market value of Equity.</t>
    </r>
  </si>
  <si>
    <r>
      <rPr>
        <sz val="10"/>
        <rFont val="Arial"/>
        <family val="2"/>
      </rPr>
      <t xml:space="preserve">Thefefore: </t>
    </r>
    <r>
      <rPr>
        <b/>
        <sz val="10"/>
        <rFont val="Arial"/>
        <family val="2"/>
      </rPr>
      <t xml:space="preserve">g = D/(D+E) </t>
    </r>
    <r>
      <rPr>
        <b/>
        <sz val="10"/>
        <rFont val="Symbol"/>
        <family val="1"/>
        <charset val="2"/>
      </rPr>
      <t>»</t>
    </r>
    <r>
      <rPr>
        <b/>
        <sz val="10"/>
        <rFont val="Arial"/>
        <family val="2"/>
      </rPr>
      <t xml:space="preserve"> D/EV = (D/Ebitda) / (EV/Ebitda)</t>
    </r>
  </si>
  <si>
    <r>
      <t xml:space="preserve">En/E </t>
    </r>
    <r>
      <rPr>
        <b/>
        <sz val="10"/>
        <rFont val="Symbol"/>
        <family val="1"/>
        <charset val="2"/>
      </rPr>
      <t>»</t>
    </r>
    <r>
      <rPr>
        <b/>
        <sz val="10"/>
        <rFont val="Arial"/>
        <family val="2"/>
      </rPr>
      <t xml:space="preserve"> Eb/E </t>
    </r>
    <r>
      <rPr>
        <b/>
        <sz val="10"/>
        <rFont val="Symbol"/>
        <family val="1"/>
        <charset val="2"/>
      </rPr>
      <t>»</t>
    </r>
    <r>
      <rPr>
        <b/>
        <sz val="10"/>
        <rFont val="Arial"/>
        <family val="2"/>
      </rPr>
      <t xml:space="preserve"> (Eb/Ebitda) / [(EV/Ebitda) - (D/Ebitda)]</t>
    </r>
  </si>
  <si>
    <r>
      <rPr>
        <b/>
        <sz val="10"/>
        <rFont val="Arial"/>
        <family val="2"/>
      </rPr>
      <t>i)</t>
    </r>
    <r>
      <rPr>
        <sz val="10"/>
        <rFont val="Arial"/>
        <family val="2"/>
      </rPr>
      <t xml:space="preserve"> The difference beween D+E and EV is above mentioned Minority Interests (MI). As portions of D+E (without or without OL), these MI are usually negligible, at least for Belgian SPs.</t>
    </r>
  </si>
  <si>
    <r>
      <rPr>
        <sz val="10"/>
        <color rgb="FFFFDA65"/>
        <rFont val="Symbol"/>
        <family val="1"/>
        <charset val="2"/>
      </rPr>
      <t>¬</t>
    </r>
    <r>
      <rPr>
        <sz val="9"/>
        <color rgb="FFFFDA65"/>
        <rFont val="Arial"/>
        <family val="2"/>
      </rPr>
      <t xml:space="preserve"> </t>
    </r>
    <r>
      <rPr>
        <sz val="10"/>
        <color rgb="FFFFDA65"/>
        <rFont val="Arial"/>
        <family val="2"/>
      </rPr>
      <t>Investigate (equity) analysts reports for BT as well.</t>
    </r>
  </si>
  <si>
    <t>Remarks:</t>
  </si>
  <si>
    <t>- Among valuation multiples, P/E - or even better, PEG (Price/Earnings to Growth) - should be the ultimate judge as they are based on earnings. But:</t>
  </si>
  <si>
    <r>
      <t>In the present case, Belgacom's parameters are not estimated just for info: also to possibly adjust a Belgian Fixed-Mobile gearing and Beta</t>
    </r>
    <r>
      <rPr>
        <sz val="10"/>
        <rFont val="Arial"/>
        <family val="2"/>
      </rPr>
      <t xml:space="preserve"> axis, if not support such an axis when values for one the </t>
    </r>
    <r>
      <rPr>
        <sz val="10"/>
        <color theme="1"/>
        <rFont val="Arial"/>
        <family val="2"/>
      </rPr>
      <t xml:space="preserve">2 listed domestic quasi pure-players are not workable. </t>
    </r>
  </si>
  <si>
    <r>
      <t>Ratios</t>
    </r>
    <r>
      <rPr>
        <sz val="10"/>
        <color theme="1" tint="0.499984740745262"/>
        <rFont val="Arial"/>
        <family val="2"/>
      </rPr>
      <t xml:space="preserve"> :</t>
    </r>
  </si>
  <si>
    <t xml:space="preserve">EV/Ebitda remains a good metric to compare relative valuations of businesses operating within a same sector, including in an industry as capital intensive as telecoms (by adding back D&amp;A to Ebit, Ebitda prevents distinct useful life estimates from affecting comparisons). </t>
  </si>
  <si>
    <t>- KPN, "Fixed" for DJ Stoxx and CMT: for this reason, we have finally opted for adjusted estimates instead of original Bloomberg values which seemed imprecise in this case and put KPN stands at the level of 'Mobile' TLSN &amp; TEL2.</t>
  </si>
  <si>
    <r>
      <rPr>
        <b/>
        <sz val="10"/>
        <color theme="1"/>
        <rFont val="Arial"/>
        <family val="2"/>
      </rPr>
      <t xml:space="preserve">i) </t>
    </r>
    <r>
      <rPr>
        <sz val="10"/>
        <color theme="1"/>
        <rFont val="Arial"/>
        <family val="2"/>
      </rPr>
      <t>The</t>
    </r>
    <r>
      <rPr>
        <b/>
        <sz val="10"/>
        <color theme="1"/>
        <rFont val="Arial"/>
        <family val="2"/>
      </rPr>
      <t xml:space="preserve"> </t>
    </r>
    <r>
      <rPr>
        <sz val="10"/>
        <color theme="1"/>
        <rFont val="Arial"/>
        <family val="2"/>
      </rPr>
      <t xml:space="preserve">sample shows highly diverse market caps, e.g. by 2Q13: Vodafone = 18x Belgacom, more than 100x Mobistar. </t>
    </r>
  </si>
  <si>
    <t>above except</t>
  </si>
  <si>
    <t>% Mobile      =</t>
  </si>
  <si>
    <r>
      <t xml:space="preserve">for available </t>
    </r>
    <r>
      <rPr>
        <b/>
        <sz val="10"/>
        <color rgb="FF0070C0"/>
        <rFont val="Arial"/>
        <family val="2"/>
      </rPr>
      <t>%Ebitda</t>
    </r>
  </si>
  <si>
    <r>
      <t>Telenet according to Fitch: "</t>
    </r>
    <r>
      <rPr>
        <i/>
        <sz val="10"/>
        <rFont val="Arial"/>
        <family val="2"/>
      </rPr>
      <t xml:space="preserve">Multi-play penetration is high (at 73% at 2Q13), supporting one of the highest ARPU and revenue growth performances in the sector – with Telenet among the strongest in the peer group. And Lower more flexible cost base than incumbent operators." </t>
    </r>
    <r>
      <rPr>
        <sz val="10"/>
        <rFont val="Arial"/>
        <family val="2"/>
      </rPr>
      <t xml:space="preserve">
</t>
    </r>
  </si>
  <si>
    <t>Source: Professor Thore Johnsen, Cost of Capital for Norwegian Mobile Operators, 21 February 2013</t>
  </si>
  <si>
    <t>Marpij:</t>
  </si>
  <si>
    <t>(1st Graph: replace Belgacom's comparators by / or add Euro Telco &amp; BEL20.)</t>
  </si>
  <si>
    <t>(Tables: add total size = EV in € ?)</t>
  </si>
  <si>
    <t>(at least Europe vs. RoW): cf. following "clusters" analysis.</t>
  </si>
  <si>
    <t xml:space="preserve">e.g. Consumer vs. Enterprise (when not just Countries): it generally started to be implemented from 2009 </t>
  </si>
  <si>
    <r>
      <t xml:space="preserve">E/R around 0.8 except in 2010 (1.1): </t>
    </r>
    <r>
      <rPr>
        <sz val="10"/>
        <color rgb="FF0070C0"/>
        <rFont val="Arial"/>
        <family val="2"/>
      </rPr>
      <t xml:space="preserve">Mob. % Ebitda = </t>
    </r>
    <r>
      <rPr>
        <b/>
        <sz val="10"/>
        <color rgb="FF0070C0"/>
        <rFont val="Arial"/>
        <family val="2"/>
      </rPr>
      <t>42%</t>
    </r>
    <r>
      <rPr>
        <sz val="10"/>
        <color theme="1"/>
        <rFont val="Arial"/>
        <family val="2"/>
      </rPr>
      <t xml:space="preserve"> on avg.</t>
    </r>
  </si>
  <si>
    <r>
      <t xml:space="preserve">Substantial Fixed rev. but marginal profits: avg. </t>
    </r>
    <r>
      <rPr>
        <sz val="10"/>
        <color rgb="FF0070C0"/>
        <rFont val="Arial"/>
        <family val="2"/>
      </rPr>
      <t xml:space="preserve">Mobile % Ebitda </t>
    </r>
    <r>
      <rPr>
        <sz val="10"/>
        <color rgb="FF0070C0"/>
        <rFont val="Symbol"/>
        <family val="1"/>
        <charset val="2"/>
      </rPr>
      <t xml:space="preserve">» </t>
    </r>
    <r>
      <rPr>
        <b/>
        <sz val="10"/>
        <color rgb="FF0070C0"/>
        <rFont val="Arial"/>
        <family val="2"/>
      </rPr>
      <t>90%</t>
    </r>
    <r>
      <rPr>
        <sz val="10"/>
        <rFont val="Arial"/>
        <family val="2"/>
      </rPr>
      <t xml:space="preserve">, </t>
    </r>
    <r>
      <rPr>
        <sz val="10"/>
        <color theme="1"/>
        <rFont val="Arial"/>
        <family val="2"/>
      </rPr>
      <t>little relevance in resulting E/R</t>
    </r>
  </si>
  <si>
    <r>
      <t xml:space="preserve">Consequently, we propose to </t>
    </r>
    <r>
      <rPr>
        <b/>
        <sz val="10"/>
        <color theme="1"/>
        <rFont val="Arial"/>
        <family val="2"/>
      </rPr>
      <t>maintain Mobile % Revenues</t>
    </r>
    <r>
      <rPr>
        <sz val="10"/>
        <color theme="1"/>
        <rFont val="Arial"/>
        <family val="2"/>
      </rPr>
      <t xml:space="preserve"> in order to approximate Mobile % Ebitda, </t>
    </r>
    <r>
      <rPr>
        <b/>
        <sz val="10"/>
        <rFont val="Arial"/>
        <family val="2"/>
      </rPr>
      <t>except when Mobile % Ebitda is available or relevant</t>
    </r>
    <r>
      <rPr>
        <b/>
        <sz val="10"/>
        <color rgb="FF0070C0"/>
        <rFont val="Arial"/>
        <family val="2"/>
      </rPr>
      <t xml:space="preserve"> (in blue): </t>
    </r>
    <r>
      <rPr>
        <sz val="10"/>
        <color rgb="FF0070C0"/>
        <rFont val="Arial"/>
        <family val="2"/>
      </rPr>
      <t/>
    </r>
  </si>
  <si>
    <r>
      <t xml:space="preserve">- but also for </t>
    </r>
    <r>
      <rPr>
        <b/>
        <sz val="10"/>
        <color rgb="FF0070C0"/>
        <rFont val="Arial"/>
        <family val="2"/>
      </rPr>
      <t>Mobistar</t>
    </r>
    <r>
      <rPr>
        <sz val="10"/>
        <color theme="1"/>
        <rFont val="Arial"/>
        <family val="2"/>
      </rPr>
      <t>: although its Fixed Ebitda is negative, we still attach some weight to this activity by averaging Mobile % Rev. and 100% (instead of 100%).</t>
    </r>
  </si>
  <si>
    <r>
      <rPr>
        <i/>
        <sz val="10"/>
        <color theme="0" tint="-0.499984740745262"/>
        <rFont val="Arial"/>
        <family val="2"/>
      </rPr>
      <t xml:space="preserve">Imprecise </t>
    </r>
    <r>
      <rPr>
        <sz val="10"/>
        <color theme="0" tint="-0.499984740745262"/>
        <rFont val="Arial"/>
        <family val="2"/>
      </rPr>
      <t>Mobile % Revenues may rather regard:</t>
    </r>
  </si>
  <si>
    <r>
      <t xml:space="preserve">** Source: The Brattle Group for ACM, March 2012 (cf. table from column AC </t>
    </r>
    <r>
      <rPr>
        <sz val="10"/>
        <color theme="1"/>
        <rFont val="Symbol"/>
        <family val="1"/>
        <charset val="2"/>
      </rPr>
      <t>®</t>
    </r>
    <r>
      <rPr>
        <sz val="10"/>
        <color theme="1"/>
        <rFont val="Arial"/>
        <family val="2"/>
      </rPr>
      <t>)</t>
    </r>
  </si>
  <si>
    <t xml:space="preserve">They are interesting though for cross-checking or adjusting/correcting estimates: </t>
  </si>
  <si>
    <r>
      <t xml:space="preserve">- DT: </t>
    </r>
    <r>
      <rPr>
        <sz val="10"/>
        <color rgb="FF0070C0"/>
        <rFont val="Wingdings 3"/>
        <family val="1"/>
        <charset val="2"/>
      </rPr>
      <t>Õ</t>
    </r>
    <r>
      <rPr>
        <sz val="10"/>
        <color rgb="FF0070C0"/>
        <rFont val="Arial"/>
        <family val="2"/>
      </rPr>
      <t xml:space="preserve"> "Mobile"</t>
    </r>
    <r>
      <rPr>
        <sz val="10"/>
        <color theme="1"/>
        <rFont val="Arial"/>
        <family val="2"/>
      </rPr>
      <t xml:space="preserve"> for DJ Stoxx (but "Fixed" for CMT) while Bloomberg Mobile % Rev. estimates (61%) put DT below "Fixed" TEF (64%). Without other data, we keep DT original estimates but add "</t>
    </r>
    <r>
      <rPr>
        <sz val="10"/>
        <color theme="1"/>
        <rFont val="Symbol"/>
        <family val="1"/>
        <charset val="2"/>
      </rPr>
      <t>®</t>
    </r>
    <r>
      <rPr>
        <sz val="10"/>
        <color theme="1"/>
        <rFont val="Arial"/>
        <family val="2"/>
      </rPr>
      <t>" on graphs.</t>
    </r>
  </si>
  <si>
    <t>- TKA: we have revisited our initial rough estimates which were at odds with DJ Stoxx &amp; CMT's findings.</t>
  </si>
  <si>
    <r>
      <rPr>
        <sz val="10"/>
        <color rgb="FFFFD757"/>
        <rFont val="Arial"/>
        <family val="2"/>
      </rPr>
      <t xml:space="preserve">To check for a future determination/update: </t>
    </r>
    <r>
      <rPr>
        <sz val="10"/>
        <rFont val="Arial"/>
        <family val="2"/>
      </rPr>
      <t>in Brattle/ACM's sample for Cable WACC, along with Telenet, Virgin Media and Zon Multimedia</t>
    </r>
  </si>
  <si>
    <t xml:space="preserve">Impact is naturally marginal at the opposite ends of the spectrum: this essentially regards the middle ground, where SPs are converging or attempting to do so. </t>
  </si>
  <si>
    <t>* Partially available results are not workable;</t>
  </si>
  <si>
    <r>
      <rPr>
        <i/>
        <sz val="10"/>
        <rFont val="Arial"/>
        <family val="2"/>
      </rPr>
      <t>"</t>
    </r>
    <r>
      <rPr>
        <i/>
        <u/>
        <sz val="10"/>
        <rFont val="Arial"/>
        <family val="2"/>
      </rPr>
      <t>Why should customers pay for any size effect</t>
    </r>
    <r>
      <rPr>
        <u/>
        <sz val="10"/>
        <rFont val="Arial"/>
        <family val="2"/>
      </rPr>
      <t xml:space="preserve"> ?</t>
    </r>
    <r>
      <rPr>
        <i/>
        <sz val="10"/>
        <rFont val="Arial"/>
        <family val="2"/>
      </rPr>
      <t xml:space="preserve">" </t>
    </r>
  </si>
  <si>
    <t>% MOBILE</t>
  </si>
  <si>
    <t>Mobile % Ebitda 2005, 2006, 2007, 2008</t>
  </si>
  <si>
    <t>From:</t>
  </si>
  <si>
    <t>(generally no longer available after 2008).</t>
  </si>
  <si>
    <t>The effect of this adjustment was a variable translation of % Mobile:</t>
  </si>
  <si>
    <t>- PEG ratio = NTM P/E divided by NTM earnings growth.</t>
  </si>
  <si>
    <t>- Trailing P/E = month-end price / Last 12m of available reported earnings (Trailing EPS)</t>
  </si>
  <si>
    <t>- Forward P/E = most recent price / consensus estimates for earnings in the next 12m (NTM EPS)</t>
  </si>
  <si>
    <t>Positive slope on this cluster (with Iliad's spectacular entrance on the French Mobile market). But an interesting point is their increasing EV/Ebitda with %Mobile: compare 1H13 with 2009 and period avg.</t>
  </si>
  <si>
    <t>Iberian SPs are coming back to the 'Continental' cluster: growth prospects are slowing down in LatAm, still significantly higher than in Europe though, especially troubled domestic economies.</t>
  </si>
  <si>
    <t>For the whole sample, EV/Ebitda range from to 4x to 8x, vs. almost 3-10x at 1H13: is the market getting more selective, with a clearer view on players' ability to stand up to challenges ?</t>
  </si>
  <si>
    <t>End 2009: % Mobile vs. adj. EV/Ebitda</t>
  </si>
  <si>
    <t xml:space="preserve"> 1H10-1H13: % Mobile vs. adj. EV/Ebitda</t>
  </si>
  <si>
    <t>1H13 (or last available): % Mobile vs. adj. EV/Ebitda</t>
  </si>
  <si>
    <t>Overall, the picture is now quite unclear. However, we note the following:</t>
  </si>
  <si>
    <t>* While being fundamental to assess a firm as a whole, earnings incorporate items which are not relevant here: other financial gains, deferred taxes, etc.</t>
  </si>
  <si>
    <t xml:space="preserve">Once more, this adjustment has a marginal impact (see below), and for key quasi pure-players, it is close to zero (even more at WACC level). </t>
  </si>
  <si>
    <t>Belgacom's</t>
  </si>
  <si>
    <t>Peers</t>
  </si>
  <si>
    <t>FY 2005, 06, 07 &amp; 1H09</t>
  </si>
  <si>
    <t>Mobile as % Revenues</t>
  </si>
  <si>
    <t>Classification vs. % Mobile</t>
  </si>
  <si>
    <t>Adjustment to % Mobile</t>
  </si>
  <si>
    <t>Amplif.</t>
  </si>
  <si>
    <t>In the future, among listed SPs, BT could become the only pure-player (except possible functional separations and Netcos), and many RAs may adopt a single WACC as well, modulo some premium (super fast broadband) or discount (local loop). This section's Fixed/Mobile analyses would become almost irrelevant - if only feasible.</t>
  </si>
  <si>
    <t xml:space="preserve"> NPT, aksing:</t>
  </si>
  <si>
    <r>
      <t xml:space="preserve">This question may be related to the general issue of (a)symmetry for new entrants, which should be a relevant concern for only a few years, by EC recommendation. For this reason, we tend to agree that </t>
    </r>
    <r>
      <rPr>
        <b/>
        <sz val="10"/>
        <color theme="1"/>
        <rFont val="Arial"/>
        <family val="2"/>
      </rPr>
      <t>no small size premium</t>
    </r>
    <r>
      <rPr>
        <sz val="10"/>
        <color theme="1"/>
        <rFont val="Arial"/>
        <family val="2"/>
      </rPr>
      <t xml:space="preserve"> should be added to the cost of equity or WACC of alternative SPs - as long as this is not required for the avg generic SP in the considered universe. (Such a premium might be suitable in a narrow universe such as Belgian Cable.)</t>
    </r>
  </si>
  <si>
    <r>
      <rPr>
        <b/>
        <sz val="10"/>
        <color theme="1"/>
        <rFont val="Arial"/>
        <family val="2"/>
      </rPr>
      <t xml:space="preserve">ii) </t>
    </r>
    <r>
      <rPr>
        <sz val="10"/>
        <color theme="1"/>
        <rFont val="Arial"/>
        <family val="2"/>
      </rPr>
      <t xml:space="preserve">For the period of analysis, a large variety of </t>
    </r>
    <r>
      <rPr>
        <b/>
        <sz val="10"/>
        <color theme="1"/>
        <rFont val="Arial"/>
        <family val="2"/>
      </rPr>
      <t>mkt cap growths</t>
    </r>
    <r>
      <rPr>
        <sz val="10"/>
        <color theme="1"/>
        <rFont val="Arial"/>
        <family val="2"/>
      </rPr>
      <t xml:space="preserve"> is also observed, and almost as much within Belgium as across the whole European sample. </t>
    </r>
  </si>
  <si>
    <r>
      <rPr>
        <sz val="10"/>
        <rFont val="Arial"/>
        <family val="2"/>
      </rPr>
      <t>Excerpt from Moody's "Outlook for European cable TV operators in 2014"</t>
    </r>
    <r>
      <rPr>
        <i/>
        <sz val="10"/>
        <rFont val="Arial"/>
        <family val="2"/>
      </rPr>
      <t>: "Moody's expects cable operators' competitive positions to be underpinned by the convergence of Fixed and Mobile technologies in the form of "quad-play", which will serve to bolster and increase customer retention. While Mobile services will on average generate only incremental revenues, for some companies, such as Telenet, Mobile can become a significant revenue driver."</t>
    </r>
  </si>
  <si>
    <t xml:space="preserve">Sure, Mobistar is not the only one in this situation among benchmarked European SPs: see KPN, for instance. But it can be latter observed that, in terms of EV/Ebitda, the decrease of KPN's relative valuation is rather moderate in comparison with the fall of its mkt cap. </t>
  </si>
  <si>
    <t>For a Fixed/Mobile WACC determination, the Belgium mkt provides a rare opportunity to exhibit quasi pure-players for both services (for the period of analysis). Had there not been any apparent valuation distortion around these SPs, this whole analysis would have been almost pointless, except for some of its qualitative appreciations. But :</t>
  </si>
  <si>
    <t>- Inputs from the 'British axis' may be relativised with Vodafone's international profile (beside a huge mkt cap), BT's semingly exceptional operational performance, and possibly other local specifities.</t>
  </si>
  <si>
    <t>So, we still need to look at the "middle-ground", Belgacom in particular but not only, to infer appropriate "norms".</t>
  </si>
  <si>
    <r>
      <t xml:space="preserve">In WACC 4, the estimated </t>
    </r>
    <r>
      <rPr>
        <i/>
        <sz val="10"/>
        <color theme="1"/>
        <rFont val="Arial"/>
        <family val="2"/>
      </rPr>
      <t>forward-looking</t>
    </r>
    <r>
      <rPr>
        <sz val="10"/>
        <color theme="1"/>
        <rFont val="Arial"/>
        <family val="2"/>
      </rPr>
      <t xml:space="preserve"> Fixed/Mobile WACC spread before </t>
    </r>
    <r>
      <rPr>
        <sz val="10"/>
        <color theme="1"/>
        <rFont val="Symbol"/>
        <family val="1"/>
        <charset val="2"/>
      </rPr>
      <t>D</t>
    </r>
    <r>
      <rPr>
        <sz val="10"/>
        <color theme="1"/>
        <rFont val="Arial"/>
        <family val="2"/>
      </rPr>
      <t>not is close to zero. But in valuation, WACC is applied to cash-flow, NOPLAT, i.e. further down the P&amp;L than Ebitda (not integrating Capex).</t>
    </r>
  </si>
  <si>
    <t>In order to infer appropriate domestic "norms", benchmarking analyses may rather address other differentiating features between SPs, e.g. : degree of exposure to categorized mkts (growth and risk profile, competitive intensity, etc.) and mkt positioning (incumbent SP vs. recent entrant) to adjust estimates, at least on a qualitative basis.</t>
  </si>
  <si>
    <r>
      <rPr>
        <sz val="10"/>
        <color theme="1"/>
        <rFont val="Symbol"/>
        <family val="1"/>
        <charset val="2"/>
      </rPr>
      <t xml:space="preserve">® </t>
    </r>
    <r>
      <rPr>
        <sz val="10"/>
        <color theme="1"/>
        <rFont val="Arial"/>
        <family val="2"/>
      </rPr>
      <t>What we have sketched with above 'clusters', and hereafter with the determination of Belgacom's closest peers.</t>
    </r>
  </si>
  <si>
    <r>
      <t xml:space="preserve">Subset limited to SPs within a relative average "distance" of </t>
    </r>
    <r>
      <rPr>
        <b/>
        <sz val="10"/>
        <color theme="1"/>
        <rFont val="Arial"/>
        <family val="2"/>
      </rPr>
      <t xml:space="preserve">0.5 </t>
    </r>
    <r>
      <rPr>
        <sz val="10"/>
        <color theme="1"/>
        <rFont val="Arial"/>
        <family val="2"/>
      </rPr>
      <t xml:space="preserve">(i.e. with avg discrepancies </t>
    </r>
    <r>
      <rPr>
        <sz val="10"/>
        <color theme="1"/>
        <rFont val="Symbol"/>
        <family val="1"/>
        <charset val="2"/>
      </rPr>
      <t>£</t>
    </r>
    <r>
      <rPr>
        <sz val="10"/>
        <color theme="1"/>
        <rFont val="Arial"/>
        <family val="2"/>
      </rPr>
      <t xml:space="preserve"> 50%).</t>
    </r>
  </si>
  <si>
    <r>
      <t xml:space="preserve">- In contrast, </t>
    </r>
    <r>
      <rPr>
        <b/>
        <sz val="10"/>
        <color theme="1"/>
        <rFont val="Arial"/>
        <family val="2"/>
      </rPr>
      <t xml:space="preserve">PT </t>
    </r>
    <r>
      <rPr>
        <sz val="10"/>
        <color theme="1"/>
        <rFont val="Arial"/>
        <family val="2"/>
      </rPr>
      <t xml:space="preserve">is actually more a Brazilian SP since 2011 than a European operator. Its average "distance" from Belgacom would be certainly much higher if operating markets' features were added to the previous basic grid of analysis (while KPN would probably gets closer to Belgacom). </t>
    </r>
  </si>
  <si>
    <t>Consequently, we consider :</t>
  </si>
  <si>
    <r>
      <t xml:space="preserve">With C0 = value for Belgacom, d = C/Co-1 if C&gt;Co, C0/C-1 otherwise </t>
    </r>
    <r>
      <rPr>
        <sz val="10"/>
        <rFont val="Symbol"/>
        <family val="1"/>
        <charset val="2"/>
      </rPr>
      <t>®</t>
    </r>
  </si>
  <si>
    <t>Ranking to sort again if weights are changed.</t>
  </si>
  <si>
    <t>Vs. Mkt Cap</t>
  </si>
  <si>
    <t>For the period</t>
  </si>
  <si>
    <t>Mkt Cap…</t>
  </si>
  <si>
    <t>By 1H13</t>
  </si>
  <si>
    <t>By end 2009</t>
  </si>
  <si>
    <t xml:space="preserve">For the next WACC revision, if a full set of forecast from equity analysts is available (and ok to publicly release, at least with avg. values), calculate 'distances' with: </t>
  </si>
  <si>
    <t>- Forecast EV*/Ebitda* on avg. for forthcoming period;</t>
  </si>
  <si>
    <t>This approach may be extended to other criteria, such as those mentioned at the end of the above % Mobile analysis, as long as they can be somehow quantify.</t>
  </si>
  <si>
    <t xml:space="preserve">For the main operator of Belgium, a country both rather small and at the crossroads of Europe, this list intuitively makes sense. In addition to KPN &amp; TKA, it includes the 'continental' side of the Swisso-Nordic cluster, and a touch of Southern and Eastern Europe SPs. And beside the latter, these SPs' domestic markets have comparable sizes. (Although Mkt Cap weights here only 10% of the mark, this criterion excludes ORA and DT.) </t>
  </si>
  <si>
    <r>
      <t xml:space="preserve">- Iliad for Telenet, and </t>
    </r>
    <r>
      <rPr>
        <b/>
        <sz val="10"/>
        <rFont val="Arial"/>
        <family val="2"/>
      </rPr>
      <t xml:space="preserve">BT </t>
    </r>
    <r>
      <rPr>
        <sz val="10"/>
        <rFont val="Arial"/>
        <family val="2"/>
      </rPr>
      <t>for FLS in general.</t>
    </r>
  </si>
  <si>
    <t>BIPT 2014 (adj.) % MOBILE</t>
  </si>
  <si>
    <r>
      <t xml:space="preserve">- </t>
    </r>
    <r>
      <rPr>
        <b/>
        <sz val="10"/>
        <rFont val="Arial"/>
        <family val="2"/>
      </rPr>
      <t>Sonaecom</t>
    </r>
    <r>
      <rPr>
        <sz val="10"/>
        <rFont val="Arial"/>
        <family val="2"/>
      </rPr>
      <t>, and to a lesser extent, Vodafone, for Mobistar/Mobile;</t>
    </r>
  </si>
  <si>
    <t>- Mobistar's market cap has plummeted since 2011 (also Belgacom's but to a much lesser extent). Without judging whether it is fair or not, due mainly to external or (and) internal / Orange group issues, the consequence of this is that its market cap based financial ratios, notably gearing, may not be really under control;</t>
  </si>
  <si>
    <t>- Iliad's and (tiny) Sonaecom's inputs respectively exhibit similar or comparable issues;</t>
  </si>
  <si>
    <t>Indexes P/E (and EV/Sales) graphs, shown for info in the Consultation version, hidden at this sheet's end.</t>
  </si>
  <si>
    <r>
      <rPr>
        <b/>
        <sz val="10"/>
        <color theme="1"/>
        <rFont val="Arial"/>
        <family val="2"/>
      </rPr>
      <t xml:space="preserve">i) </t>
    </r>
    <r>
      <rPr>
        <sz val="10"/>
        <color theme="1"/>
        <rFont val="Arial"/>
        <family val="2"/>
      </rPr>
      <t xml:space="preserve">This section aims at estimating Belgacom's closest peers, beyond the previous general characterization of Belgacom as a 'Continental' incumbent SP. </t>
    </r>
  </si>
  <si>
    <r>
      <rPr>
        <b/>
        <sz val="10"/>
        <rFont val="Arial"/>
        <family val="2"/>
      </rPr>
      <t>ii)</t>
    </r>
    <r>
      <rPr>
        <sz val="10"/>
        <rFont val="Arial"/>
        <family val="2"/>
      </rPr>
      <t xml:space="preserve"> As far as </t>
    </r>
    <r>
      <rPr>
        <b/>
        <sz val="10"/>
        <rFont val="Arial"/>
        <family val="2"/>
      </rPr>
      <t>Mobistar</t>
    </r>
    <r>
      <rPr>
        <sz val="10"/>
        <rFont val="Arial"/>
        <family val="2"/>
      </rPr>
      <t xml:space="preserve"> (vs. generic Mobile) and </t>
    </r>
    <r>
      <rPr>
        <b/>
        <sz val="10"/>
        <rFont val="Arial"/>
        <family val="2"/>
      </rPr>
      <t>Telenet</t>
    </r>
    <r>
      <rPr>
        <sz val="10"/>
        <rFont val="Arial"/>
        <family val="2"/>
      </rPr>
      <t xml:space="preserve"> (vs. Fixed) are concerned, their peers seem obvious, by prioritizing % Mobile for these 'extreme' categories:</t>
    </r>
  </si>
  <si>
    <r>
      <t xml:space="preserve">- The </t>
    </r>
    <r>
      <rPr>
        <b/>
        <sz val="10"/>
        <color theme="1"/>
        <rFont val="Arial"/>
        <family val="2"/>
      </rPr>
      <t>British</t>
    </r>
    <r>
      <rPr>
        <sz val="10"/>
        <color theme="1"/>
        <rFont val="Arial"/>
        <family val="2"/>
      </rPr>
      <t xml:space="preserve"> slope keeps being largely positive. The premium for Vodafone's substantial international operations (in markets often exhibiting higher growth than in the UK) is unknown. Yet, in the UK, domestic Mobile services may remain at least slightly better valued than their Fixed counterpart.</t>
    </r>
  </si>
  <si>
    <r>
      <t xml:space="preserve">- Among </t>
    </r>
    <r>
      <rPr>
        <b/>
        <sz val="10"/>
        <color theme="1"/>
        <rFont val="Arial"/>
        <family val="2"/>
      </rPr>
      <t>'Continental' Incumbents</t>
    </r>
    <r>
      <rPr>
        <sz val="10"/>
        <color theme="1"/>
        <rFont val="Arial"/>
        <family val="2"/>
      </rPr>
      <t>, the trend seems rather flat for the period, while being possibly and slightly positive at its both ends: a likely swing in between - whereas Swisso-Nordic SPs might be one (or half a) swing ahead ?</t>
    </r>
  </si>
  <si>
    <r>
      <t xml:space="preserve">- For </t>
    </r>
    <r>
      <rPr>
        <b/>
        <sz val="10"/>
        <color theme="1"/>
        <rFont val="Arial"/>
        <family val="2"/>
      </rPr>
      <t>small Mobile SPs</t>
    </r>
    <r>
      <rPr>
        <sz val="10"/>
        <color theme="1"/>
        <rFont val="Arial"/>
        <family val="2"/>
      </rPr>
      <t>, their story relative to their market's dominant integrated SPs is quite the opposite. Mobile business seems less valued than FLS, but to which extent this is due to the fact that their core business, their Mobile customer base, is threatened by the lack of attractive Fixed/Mobile bundles ?</t>
    </r>
  </si>
  <si>
    <r>
      <t xml:space="preserve">- For </t>
    </r>
    <r>
      <rPr>
        <b/>
        <sz val="10"/>
        <color theme="1"/>
        <rFont val="Arial"/>
        <family val="2"/>
      </rPr>
      <t>small Fixed SPs / new Mobile Entrants</t>
    </r>
    <r>
      <rPr>
        <sz val="10"/>
        <color theme="1"/>
        <rFont val="Arial"/>
        <family val="2"/>
      </rPr>
      <t>, EV/Ebitda have increased along with their % Mobile. But to which extent these higher valuations is due to higher share of Mobile business rather than commercial and operational synergies for increasingly converging products ?</t>
    </r>
  </si>
  <si>
    <r>
      <rPr>
        <sz val="10"/>
        <color theme="1"/>
        <rFont val="Symbol"/>
        <family val="1"/>
        <charset val="2"/>
      </rPr>
      <t>®</t>
    </r>
    <r>
      <rPr>
        <sz val="9"/>
        <color theme="1"/>
        <rFont val="Arial"/>
        <family val="2"/>
      </rPr>
      <t xml:space="preserve"> </t>
    </r>
    <r>
      <rPr>
        <sz val="10"/>
        <color theme="1"/>
        <rFont val="Arial"/>
        <family val="2"/>
      </rPr>
      <t>For 1H13 values, we propose a small amplification, except for the Nordic/Swiss cluster:</t>
    </r>
  </si>
  <si>
    <t xml:space="preserve">Period's x = </t>
  </si>
  <si>
    <r>
      <rPr>
        <sz val="10"/>
        <color theme="1"/>
        <rFont val="Arial"/>
        <family val="2"/>
      </rPr>
      <t xml:space="preserve">In 2010, we carried out a regression analysis, </t>
    </r>
    <r>
      <rPr>
        <b/>
        <sz val="10"/>
        <color theme="1"/>
        <rFont val="Arial"/>
        <family val="2"/>
      </rPr>
      <t>EV/Ebitda vs. Mobile % Ebitda ('M%Ea')</t>
    </r>
    <r>
      <rPr>
        <sz val="10"/>
        <color theme="1"/>
        <rFont val="Arial"/>
        <family val="2"/>
      </rPr>
      <t xml:space="preserve">, in order to </t>
    </r>
    <r>
      <rPr>
        <b/>
        <sz val="10"/>
        <color theme="1"/>
        <rFont val="Arial"/>
        <family val="2"/>
      </rPr>
      <t>refine Mobile's market value weighting</t>
    </r>
    <r>
      <rPr>
        <sz val="10"/>
        <color theme="1"/>
        <rFont val="Arial"/>
        <family val="2"/>
      </rPr>
      <t xml:space="preserve">. It suggested a M%Ea </t>
    </r>
    <r>
      <rPr>
        <b/>
        <sz val="10"/>
        <color theme="1"/>
        <rFont val="Arial"/>
        <family val="2"/>
      </rPr>
      <t xml:space="preserve">amplification X </t>
    </r>
    <r>
      <rPr>
        <sz val="10"/>
        <color theme="1"/>
        <rFont val="Arial"/>
        <family val="2"/>
      </rPr>
      <t>of around 25% across sample (with data cuts):</t>
    </r>
    <r>
      <rPr>
        <b/>
        <sz val="10"/>
        <color theme="1"/>
        <rFont val="Arial"/>
        <family val="2"/>
      </rPr>
      <t xml:space="preserve"> Adj. % Mobile = M%Ea.(1+X) / [(M%Ea.(1+X) + (1-M%Ea)]</t>
    </r>
    <r>
      <rPr>
        <sz val="10"/>
        <color theme="1"/>
        <rFont val="Arial"/>
        <family val="2"/>
      </rPr>
      <t xml:space="preserve"> = M%Ea.(1+X)/(1+X.M%Ea). </t>
    </r>
  </si>
  <si>
    <r>
      <t>This, in contrast, was perceived as</t>
    </r>
    <r>
      <rPr>
        <b/>
        <sz val="10"/>
        <rFont val="Arial"/>
        <family val="2"/>
      </rPr>
      <t xml:space="preserve"> possibly inducing a biais in the determination of an appropriate market gearing for the generic Mobile SP.</t>
    </r>
  </si>
  <si>
    <r>
      <t xml:space="preserve">* In particular, </t>
    </r>
    <r>
      <rPr>
        <i/>
        <sz val="10"/>
        <color theme="1"/>
        <rFont val="Arial"/>
        <family val="2"/>
      </rPr>
      <t>all other things being equal</t>
    </r>
    <r>
      <rPr>
        <sz val="10"/>
        <color theme="1"/>
        <rFont val="Arial"/>
        <family val="2"/>
      </rPr>
      <t xml:space="preserve">, a large cap will tend to have </t>
    </r>
    <r>
      <rPr>
        <b/>
        <sz val="10"/>
        <color theme="1"/>
        <rFont val="Arial"/>
        <family val="2"/>
      </rPr>
      <t xml:space="preserve">more broadly diversified investors </t>
    </r>
    <r>
      <rPr>
        <sz val="10"/>
        <color theme="1"/>
        <rFont val="Arial"/>
        <family val="2"/>
      </rPr>
      <t xml:space="preserve">(cf. WACC 1 / 'ERP') than a small cap, thus a possibly lower ERP, as well as a </t>
    </r>
    <r>
      <rPr>
        <b/>
        <sz val="10"/>
        <color theme="1"/>
        <rFont val="Arial"/>
        <family val="2"/>
      </rPr>
      <t>better credit rating</t>
    </r>
    <r>
      <rPr>
        <sz val="10"/>
        <color theme="1"/>
        <rFont val="Arial"/>
        <family val="2"/>
      </rPr>
      <t xml:space="preserve"> (cf. 'Ratings') entailing a stronger ability to tap debt.</t>
    </r>
  </si>
  <si>
    <r>
      <t xml:space="preserve">- A striking feature from benchmarked market cap growths is the </t>
    </r>
    <r>
      <rPr>
        <b/>
        <sz val="10"/>
        <rFont val="Arial"/>
        <family val="2"/>
      </rPr>
      <t>top 3 positions held by Fixed (quasi) pure-players. Yet:</t>
    </r>
  </si>
  <si>
    <t>* The growth of Telenet's and Iliad's mkt cap may also largely relates to their performance and perspectives in their (rather) new business line : Mobile.</t>
  </si>
  <si>
    <r>
      <rPr>
        <b/>
        <sz val="10"/>
        <color theme="1"/>
        <rFont val="Arial"/>
        <family val="2"/>
      </rPr>
      <t>Indices</t>
    </r>
    <r>
      <rPr>
        <sz val="10"/>
        <color theme="1"/>
        <rFont val="Arial"/>
        <family val="2"/>
      </rPr>
      <t xml:space="preserve"> such as DJ Stoxx may not apply criteria as strict as Brattle's to avoid ending with very few firms in each sub-sector : it seems that every telecom operator has to belong to either one these Fixed/Mobile sub-sectors, provided they meet various general criteria, e.g. market cap/free float size, liquidity, etc. </t>
    </r>
    <r>
      <rPr>
        <b/>
        <sz val="10"/>
        <color theme="1"/>
        <rFont val="Arial"/>
        <family val="2"/>
      </rPr>
      <t>°</t>
    </r>
  </si>
  <si>
    <r>
      <rPr>
        <b/>
        <sz val="10"/>
        <rFont val="Arial"/>
        <family val="2"/>
      </rPr>
      <t>°</t>
    </r>
    <r>
      <rPr>
        <sz val="10"/>
        <color theme="1" tint="0.499984740745262"/>
        <rFont val="Arial"/>
        <family val="2"/>
      </rPr>
      <t xml:space="preserve"> In this respect, and in contrast with Mobistar, we note the absence of Telenet and Iliad from DJ Stoxx Europe Fixed Line Telecoms. (But Telenet is a member of the DJ Stoxx 600 index since March 2010.)</t>
    </r>
  </si>
  <si>
    <t xml:space="preserve">As a general rule, we have only included SPs from the E.E. Area. </t>
  </si>
  <si>
    <t>So, are excluded: MTS, Turkcell, non-identified Israeli SPs (but not 'European' SPs with large operations out of Europe).</t>
  </si>
  <si>
    <r>
      <t xml:space="preserve">The </t>
    </r>
    <r>
      <rPr>
        <b/>
        <sz val="10"/>
        <color theme="1"/>
        <rFont val="Arial"/>
        <family val="2"/>
      </rPr>
      <t>'distance' of operators from Belgacom</t>
    </r>
    <r>
      <rPr>
        <sz val="10"/>
        <color theme="1"/>
        <rFont val="Arial"/>
        <family val="2"/>
      </rPr>
      <t xml:space="preserve"> may be graphically assessed from previous adj. EV/Ebitda vs. % Mobile charts, when this distance is only based on these two metrics, and with equal weights.</t>
    </r>
  </si>
  <si>
    <t xml:space="preserve">For indebtedness, size also matters as earlier stated. But at the level of Belgacom, we consider that mkt cap is a rather secondary criteria; whereas valuation multiple adj. EV/Ebitda should be the prominent factor to sort profiles within this subset of comparators.  </t>
  </si>
  <si>
    <t>RELATIVE VALUATION</t>
  </si>
  <si>
    <t>No quarterly results for Iliad and Vodafone (for which Q2 &amp; Q4 are simply avg. of bordering Q: in 2011, its EV/Ebitda may have fallen by 2Q11, not 1Q11).</t>
  </si>
  <si>
    <t>Same graph with more comparators for Belgacom</t>
  </si>
  <si>
    <r>
      <t xml:space="preserve">Belgacom's </t>
    </r>
    <r>
      <rPr>
        <u/>
        <sz val="10"/>
        <rFont val="Arial"/>
        <family val="2"/>
      </rPr>
      <t>closest comparators</t>
    </r>
    <r>
      <rPr>
        <sz val="10"/>
        <rFont val="Arial"/>
        <family val="2"/>
      </rPr>
      <t xml:space="preserve"> are estimated by the end of this sheet (among them: KPN &amp; TDC).</t>
    </r>
  </si>
  <si>
    <t>- While keeping recent % Mobile (if still calculable) since Fixed/Mobile financial splits (operational metric aside) are usually n/a from analysts' notes;</t>
  </si>
  <si>
    <t xml:space="preserve">- All this beside possible additional geographical markets' &amp; SPs' metrics, as discussed above. </t>
  </si>
  <si>
    <r>
      <t xml:space="preserve">Since 1Q11, </t>
    </r>
    <r>
      <rPr>
        <b/>
        <sz val="10"/>
        <color theme="1"/>
        <rFont val="Arial"/>
        <family val="2"/>
      </rPr>
      <t>Belgacom</t>
    </r>
    <r>
      <rPr>
        <sz val="10"/>
        <color theme="1"/>
        <rFont val="Arial"/>
        <family val="2"/>
      </rPr>
      <t xml:space="preserve">'s adj. EV/Ebitda "plateau" has been standing at around 5x, at peers' avg. level, with a slight decrease from 3Q12 (not spectacular nor remarkable though, in light of the ratio's evolutions for its comparators; see also opposite chart). </t>
    </r>
  </si>
  <si>
    <r>
      <rPr>
        <b/>
        <sz val="10"/>
        <color theme="1"/>
        <rFont val="Arial"/>
        <family val="2"/>
      </rPr>
      <t>Mobistar</t>
    </r>
    <r>
      <rPr>
        <sz val="10"/>
        <color theme="1"/>
        <rFont val="Arial"/>
        <family val="2"/>
      </rPr>
      <t>'s situation is clearly aside, with a spectacular drop of its relative valuation since 2Q11, to the point that its adj. EV/Ebitda has then fallen below:</t>
    </r>
  </si>
  <si>
    <t>for Belgacom</t>
  </si>
  <si>
    <t>for its peers</t>
  </si>
  <si>
    <t>Adj. EV/Ebitda since 1Q11:</t>
  </si>
  <si>
    <t>for Mobistar</t>
  </si>
  <si>
    <t>for Sonaecom</t>
  </si>
  <si>
    <t>for Vodafone</t>
  </si>
  <si>
    <r>
      <rPr>
        <b/>
        <sz val="10"/>
        <color theme="1"/>
        <rFont val="Arial"/>
        <family val="2"/>
      </rPr>
      <t>Telenet's</t>
    </r>
    <r>
      <rPr>
        <sz val="10"/>
        <color theme="1"/>
        <rFont val="Arial"/>
        <family val="2"/>
      </rPr>
      <t xml:space="preserve"> ratio has been evolving at very high multiples (as Iliad's, for already mentioned reasons), rather stable from 1Q11 around its latest value by 2Q13: 9x. </t>
    </r>
  </si>
  <si>
    <r>
      <rPr>
        <sz val="10"/>
        <color theme="1" tint="0.499984740745262"/>
        <rFont val="Arial"/>
        <family val="2"/>
      </rPr>
      <t xml:space="preserve">As Telenet's growth will eventually slow down and its profile gets closer to a typical domestic integrated SP, its relative valuation should inevitably decrease (unless taping into other markets). </t>
    </r>
    <r>
      <rPr>
        <sz val="10"/>
        <color theme="1"/>
        <rFont val="Arial"/>
        <family val="2"/>
      </rPr>
      <t>Nowthstanding this, for FLS, this EV/Ebitda analysis on Telenet is secondary because of its stated target D/Ebitda: around 4x.</t>
    </r>
  </si>
  <si>
    <t>for Telenet</t>
  </si>
  <si>
    <t>for BT</t>
  </si>
  <si>
    <t>for Iliad</t>
  </si>
  <si>
    <t xml:space="preserve">- Except for SCM, TDC at the beginning and TPS end of period; </t>
  </si>
  <si>
    <r>
      <rPr>
        <b/>
        <sz val="10"/>
        <color theme="1"/>
        <rFont val="Arial"/>
        <family val="2"/>
      </rPr>
      <t xml:space="preserve">Belgacom's peers </t>
    </r>
    <r>
      <rPr>
        <sz val="10"/>
        <color theme="1"/>
        <rFont val="Arial"/>
        <family val="2"/>
      </rPr>
      <t>ratios moving between 4x-6x (a narrower range than for all SPs, by construction);</t>
    </r>
  </si>
  <si>
    <t>Steady decline in KPN's adj. EV/Ebitda, but not with the magnitude of the fall of its Mkt Cap during the period.</t>
  </si>
  <si>
    <t>- And even Sonaecom's (struggling with possibly a fiercer competition from PT, both for Mobile and FLS) …</t>
  </si>
  <si>
    <t>… Vodafone remaining aside in many respects …</t>
  </si>
  <si>
    <t>… And if evolutions on the 'British axis' are not strictly parallel, at least lines have not crossed each other.</t>
  </si>
  <si>
    <t>Also note that, since Iliad's entrance on the French Mobile mkt by 1Q12, its adj. EV/Ebitda has got very close to Telenet's, slightly above 9x.</t>
  </si>
  <si>
    <r>
      <t xml:space="preserve">In the above graph and its more detailed opposite, note </t>
    </r>
    <r>
      <rPr>
        <b/>
        <sz val="10"/>
        <color theme="1"/>
        <rFont val="Arial"/>
        <family val="2"/>
      </rPr>
      <t>a common valuation re-adjustement until 1Q11</t>
    </r>
    <r>
      <rPr>
        <sz val="10"/>
        <color theme="1"/>
        <rFont val="Arial"/>
        <family val="2"/>
      </rPr>
      <t xml:space="preserve"> for Belgian and many other SPs.</t>
    </r>
  </si>
  <si>
    <t>Same graph with in addition Belgacom's individual peers, Vodafone and Iliad</t>
  </si>
  <si>
    <t>OL Impacts</t>
  </si>
  <si>
    <t xml:space="preserve">For better consistency, we have used inputs only from notes submitted by Belgacom and Mobistar addressing at least both of them (sometimes Telenet as well). </t>
  </si>
  <si>
    <t xml:space="preserve">The best approach would have been to use consensus estimates, as collected by FactSet (ok to release consensus avg, not individual brokers'). </t>
  </si>
  <si>
    <t xml:space="preserve">But data included in the speadsheet extracted and submitted by Mobistar only refer to current prices and valuations, thus without avg expected evolutions. </t>
  </si>
  <si>
    <t>N/a: provided data not workable (in consistence with other D/Ebidta &amp; Eb/Ebitda estimates) for this reason.</t>
  </si>
  <si>
    <t>OL check</t>
  </si>
  <si>
    <r>
      <rPr>
        <sz val="10"/>
        <rFont val="Symbol"/>
        <family val="1"/>
        <charset val="2"/>
      </rPr>
      <t>®</t>
    </r>
    <r>
      <rPr>
        <sz val="10"/>
        <rFont val="Arial"/>
        <family val="2"/>
      </rPr>
      <t xml:space="preserve"> Analysts metrics &amp; ratios clearly without OL adj.</t>
    </r>
  </si>
  <si>
    <t>Profit Before Tax</t>
  </si>
  <si>
    <t>Tax Rate</t>
  </si>
  <si>
    <t>EV/Ea with Current E</t>
  </si>
  <si>
    <t>EV with Current E</t>
  </si>
  <si>
    <t>EV/Ebitda with Target E</t>
  </si>
  <si>
    <t>Total Debt tD</t>
  </si>
  <si>
    <t xml:space="preserve">Inputs framed. </t>
  </si>
  <si>
    <t>No frame for calculation.</t>
  </si>
  <si>
    <r>
      <t xml:space="preserve"> </t>
    </r>
    <r>
      <rPr>
        <sz val="10"/>
        <rFont val="Symbol"/>
        <family val="1"/>
        <charset val="2"/>
      </rPr>
      <t>®</t>
    </r>
  </si>
  <si>
    <r>
      <t xml:space="preserve"> </t>
    </r>
    <r>
      <rPr>
        <sz val="10"/>
        <color theme="1" tint="0.499984740745262"/>
        <rFont val="Symbol"/>
        <family val="1"/>
        <charset val="2"/>
      </rPr>
      <t>®</t>
    </r>
  </si>
  <si>
    <r>
      <t>From calculations in '</t>
    </r>
    <r>
      <rPr>
        <u/>
        <sz val="10"/>
        <color theme="1" tint="0.499984740745262"/>
        <rFont val="Arial"/>
        <family val="2"/>
      </rPr>
      <t>Equity Analysts Forecasts</t>
    </r>
    <r>
      <rPr>
        <sz val="10"/>
        <color theme="1" tint="0.499984740745262"/>
        <rFont val="Arial"/>
        <family val="2"/>
      </rPr>
      <t>'.</t>
    </r>
  </si>
  <si>
    <t xml:space="preserve">Analysts avg. "EV*/Ebitda*" </t>
  </si>
  <si>
    <t>As measured for the last 2 years of the period of analysis - without OL.</t>
  </si>
  <si>
    <t>Vs. recent hist. EV/Ebitda</t>
  </si>
  <si>
    <t>Vs. recent hist. EV*/Ebitda*</t>
  </si>
  <si>
    <t>As measured for the last 2 years of the period of analysis - with OL.</t>
  </si>
  <si>
    <r>
      <t xml:space="preserve">Eventually, following </t>
    </r>
    <r>
      <rPr>
        <b/>
        <sz val="10"/>
        <rFont val="Arial"/>
        <family val="2"/>
      </rPr>
      <t>rounded figures</t>
    </r>
    <r>
      <rPr>
        <sz val="10"/>
        <rFont val="Arial"/>
        <family val="2"/>
      </rPr>
      <t xml:space="preserve"> are retained for actual Belgian SPs' forward-looking EV*/Ebitda*: extra precision would be overstretched (in general for forecasts, and in particular here, with a limited sample of equity analysts' estimates).</t>
    </r>
  </si>
  <si>
    <t>Vs. Consultation version</t>
  </si>
  <si>
    <t>- Belgacom's when it used to be at least +1x higher before (and in the 2010 study, on avg. at 6.0x vs. 5.6x Belgacom);</t>
  </si>
  <si>
    <r>
      <t xml:space="preserve">Yet, refer to the Word report for discussions around theses SPs. In contrast with Telenet's intermediary ratios with respect to the generic Fixed SP, </t>
    </r>
    <r>
      <rPr>
        <b/>
        <sz val="10"/>
        <rFont val="Arial"/>
        <family val="2"/>
      </rPr>
      <t>Mobistar is arguably a very close proxy for the generic Mobile SP. Both SPs are later superposed.</t>
    </r>
  </si>
  <si>
    <t>5,5</t>
  </si>
  <si>
    <t>- The third part considers avg. values derived from equity analysts' estimates for the forthcoming regulatory period, i.e. the next 3 accounting year 2014-2016.</t>
  </si>
  <si>
    <r>
      <rPr>
        <b/>
        <sz val="10"/>
        <color theme="1"/>
        <rFont val="Symbol"/>
        <family val="1"/>
        <charset val="2"/>
      </rPr>
      <t>®</t>
    </r>
    <r>
      <rPr>
        <b/>
        <sz val="9"/>
        <color theme="1"/>
        <rFont val="Arial"/>
        <family val="2"/>
      </rPr>
      <t xml:space="preserve"> </t>
    </r>
    <r>
      <rPr>
        <b/>
        <sz val="10"/>
        <color theme="1"/>
        <rFont val="Arial"/>
        <family val="2"/>
      </rPr>
      <t>For period's averages</t>
    </r>
    <r>
      <rPr>
        <sz val="10"/>
        <color theme="1"/>
        <rFont val="Arial"/>
        <family val="2"/>
      </rPr>
      <t>, we propose not to further adjust % Mobile:</t>
    </r>
  </si>
  <si>
    <r>
      <rPr>
        <sz val="10"/>
        <rFont val="Symbol"/>
        <family val="1"/>
        <charset val="2"/>
      </rPr>
      <t>®</t>
    </r>
    <r>
      <rPr>
        <sz val="9.3000000000000007"/>
        <rFont val="Arial"/>
        <family val="2"/>
      </rPr>
      <t xml:space="preserve"> </t>
    </r>
    <r>
      <rPr>
        <sz val="10"/>
        <rFont val="Arial"/>
        <family val="2"/>
      </rPr>
      <t>See 'GEARINGS' sheet.</t>
    </r>
  </si>
  <si>
    <t>Cf. end of 'NOTE 2'.</t>
  </si>
  <si>
    <t>- More sophisticated models do include small cap / (il)liquidity premia: cf. 'WACC 1 / NOTE 1'. Yet, see opposite the opinion of Pr Thore Johnsen for Norway's</t>
  </si>
  <si>
    <r>
      <t xml:space="preserve">- For this determination, the key evolution, </t>
    </r>
    <r>
      <rPr>
        <b/>
        <sz val="10"/>
        <rFont val="Arial"/>
        <family val="2"/>
      </rPr>
      <t xml:space="preserve">the feature which first triggered the gearing decomposition developed in 'NOTE 2' </t>
    </r>
    <r>
      <rPr>
        <sz val="10"/>
        <rFont val="Arial"/>
        <family val="2"/>
      </rPr>
      <t xml:space="preserve">(introduced in the preliminary study before using analysts' forecasts), </t>
    </r>
    <r>
      <rPr>
        <b/>
        <sz val="10"/>
        <rFont val="Arial"/>
        <family val="2"/>
      </rPr>
      <t>is the sharp fall of Mobistar's market cap</t>
    </r>
    <r>
      <rPr>
        <sz val="10"/>
        <rFont val="Arial"/>
        <family val="2"/>
      </rPr>
      <t>.</t>
    </r>
    <r>
      <rPr>
        <sz val="10"/>
        <color theme="1" tint="0.499984740745262"/>
        <rFont val="Arial"/>
        <family val="2"/>
      </rPr>
      <t/>
    </r>
  </si>
  <si>
    <t>* P/E or PEG is not usefull to decompose g, whereas the price-to-book ratio may be decomposed as E/Eb = (P/E).(ROE) with the Return on Equity (but then, unclear how to address consistency issues between g et Eb/E mentioned in 'NOTE 2').</t>
  </si>
  <si>
    <r>
      <t xml:space="preserve">This sheet's last section addresses the other and now </t>
    </r>
    <r>
      <rPr>
        <b/>
        <sz val="10"/>
        <color theme="1"/>
        <rFont val="Arial"/>
        <family val="2"/>
      </rPr>
      <t>key purpose of the EV/Ebitda analysis: the determination of an appropriate EV/Ebitda to apply in g and Eb/E decompositions</t>
    </r>
    <r>
      <rPr>
        <sz val="10"/>
        <color theme="1"/>
        <rFont val="Arial"/>
        <family val="2"/>
      </rPr>
      <t xml:space="preserve">, with 'NOTE 2' equations: g </t>
    </r>
    <r>
      <rPr>
        <sz val="10"/>
        <color theme="1"/>
        <rFont val="Symbol"/>
        <family val="1"/>
        <charset val="2"/>
      </rPr>
      <t>»</t>
    </r>
    <r>
      <rPr>
        <sz val="9.3000000000000007"/>
        <color theme="1"/>
        <rFont val="Arial"/>
        <family val="2"/>
      </rPr>
      <t xml:space="preserve"> </t>
    </r>
    <r>
      <rPr>
        <sz val="10"/>
        <color theme="1"/>
        <rFont val="Arial"/>
        <family val="2"/>
      </rPr>
      <t>(D/Ebitda)</t>
    </r>
    <r>
      <rPr>
        <b/>
        <sz val="10"/>
        <color theme="1"/>
        <rFont val="Arial"/>
        <family val="2"/>
      </rPr>
      <t xml:space="preserve"> / (EV/Ebitda)</t>
    </r>
    <r>
      <rPr>
        <sz val="10"/>
        <color theme="1"/>
        <rFont val="Arial"/>
        <family val="2"/>
      </rPr>
      <t xml:space="preserve">, and Eb/E </t>
    </r>
    <r>
      <rPr>
        <sz val="10"/>
        <color theme="1"/>
        <rFont val="Symbol"/>
        <family val="1"/>
        <charset val="2"/>
      </rPr>
      <t>»</t>
    </r>
    <r>
      <rPr>
        <sz val="10"/>
        <color theme="1"/>
        <rFont val="Arial"/>
        <family val="2"/>
      </rPr>
      <t xml:space="preserve"> (Eb/Ebitda) </t>
    </r>
    <r>
      <rPr>
        <b/>
        <sz val="10"/>
        <color theme="1"/>
        <rFont val="Arial"/>
        <family val="2"/>
      </rPr>
      <t>/ [(EV/Ebitda)</t>
    </r>
    <r>
      <rPr>
        <sz val="10"/>
        <color theme="1"/>
        <rFont val="Arial"/>
        <family val="2"/>
      </rPr>
      <t xml:space="preserve"> - (D/Ebitda)]</t>
    </r>
  </si>
  <si>
    <r>
      <t xml:space="preserve">* BT, according to Fitch, is </t>
    </r>
    <r>
      <rPr>
        <i/>
        <sz val="10"/>
        <rFont val="Arial"/>
        <family val="2"/>
      </rPr>
      <t>"one of the most successful cost- cutting incumbents</t>
    </r>
    <r>
      <rPr>
        <i/>
        <sz val="10"/>
        <rFont val="Arial"/>
        <family val="2"/>
      </rPr>
      <t xml:space="preserve">. Now using cost savings to fund an aggressive entry into pay-TV." </t>
    </r>
    <r>
      <rPr>
        <sz val="10"/>
        <rFont val="Arial"/>
        <family val="2"/>
      </rPr>
      <t xml:space="preserve">
</t>
    </r>
  </si>
  <si>
    <r>
      <t xml:space="preserve">Yet, this purpose of the EV/Ebitda analysis is </t>
    </r>
    <r>
      <rPr>
        <b/>
        <sz val="10"/>
        <color theme="1"/>
        <rFont val="Arial"/>
        <family val="2"/>
      </rPr>
      <t>now rather secondary</t>
    </r>
    <r>
      <rPr>
        <sz val="10"/>
        <color theme="1"/>
        <rFont val="Arial"/>
        <family val="2"/>
      </rPr>
      <t xml:space="preserve"> compared to the determination of appropriate EV/Ebitda in decomposed g and Eb/E.</t>
    </r>
  </si>
  <si>
    <t>Belgacom-Mobistar axis flat, in contrast with the Portuguese PT-SNC axis: would have probably been flat as in 2009 if PT had remained essentially domestic.</t>
  </si>
  <si>
    <t>Eventually, in the 'GEARING &amp; Eb/E' sheet, only Belgacom's 'normative' debt levels D*/Ebitda* and g* from its peers' averages have here some impact.</t>
  </si>
  <si>
    <t>(Naturally, later benchmarked parameters - financial leverage and Betas - must be excluded, otherwise this would twist the very purpose of their analysis.)</t>
  </si>
  <si>
    <r>
      <rPr>
        <sz val="10"/>
        <color theme="1"/>
        <rFont val="Symbol"/>
        <family val="1"/>
        <charset val="2"/>
      </rPr>
      <t>®</t>
    </r>
    <r>
      <rPr>
        <sz val="10"/>
        <color theme="1"/>
        <rFont val="Arial"/>
        <family val="2"/>
      </rPr>
      <t xml:space="preserve"> </t>
    </r>
    <r>
      <rPr>
        <b/>
        <sz val="10"/>
        <color theme="1"/>
        <rFont val="Arial"/>
        <family val="2"/>
      </rPr>
      <t>Yet, a general Fixed/Mobile rule may not be derived from these charts: country and SP specific issues are likely to prevail</t>
    </r>
    <r>
      <rPr>
        <sz val="10"/>
        <color theme="1"/>
        <rFont val="Arial"/>
        <family val="2"/>
      </rPr>
      <t xml:space="preserve">. </t>
    </r>
  </si>
  <si>
    <r>
      <t>From '</t>
    </r>
    <r>
      <rPr>
        <u/>
        <sz val="10"/>
        <color theme="1" tint="0.499984740745262"/>
        <rFont val="Arial"/>
        <family val="2"/>
      </rPr>
      <t>SEGMENTS</t>
    </r>
    <r>
      <rPr>
        <sz val="10"/>
        <color theme="1" tint="0.499984740745262"/>
        <rFont val="Arial"/>
        <family val="2"/>
      </rPr>
      <t xml:space="preserve"> Data &amp; Estimates'</t>
    </r>
  </si>
  <si>
    <t>- Telenet's high valuation (see below) is due to a growth profile (whose contribution from Mobile is larger than its revenues share), and this feature may not suit general FLS in Belgium, Belgacom's in particular;</t>
  </si>
  <si>
    <t>(Telenet's management seems not to expect soon a significant EV/Ea decrease, otherwise its already high gearing, above 40%, would increase accordingly).</t>
  </si>
  <si>
    <t>Note the reversal of the intial proposals for Belgacom and Mobistar. The lower value for the latter is now more in tune with the trend observed since 2011.</t>
  </si>
  <si>
    <t>EV/Ebitda:</t>
  </si>
  <si>
    <r>
      <rPr>
        <sz val="10"/>
        <rFont val="Symbol"/>
        <family val="1"/>
        <charset val="2"/>
      </rPr>
      <t>D</t>
    </r>
    <r>
      <rPr>
        <sz val="10"/>
        <rFont val="Arial"/>
        <family val="2"/>
      </rPr>
      <t>*</t>
    </r>
  </si>
  <si>
    <r>
      <rPr>
        <b/>
        <sz val="10"/>
        <rFont val="Symbol"/>
        <family val="1"/>
        <charset val="2"/>
      </rPr>
      <t>D</t>
    </r>
    <r>
      <rPr>
        <b/>
        <sz val="10"/>
        <rFont val="Arial"/>
        <family val="2"/>
      </rPr>
      <t>*</t>
    </r>
  </si>
  <si>
    <t>In the case of Mobistar, the spread has significantly increased in the last semesters, so that narrower avg. for the last 4Q are retained for forward-looking estimates:</t>
  </si>
  <si>
    <t>This graph shows that integrating OL both at the levels of EV and Ebitda has almost no impact on resulting EV*/Ea* vs. EV/Ea - except for Mobistar.</t>
  </si>
  <si>
    <r>
      <t>- Considered "</t>
    </r>
    <r>
      <rPr>
        <b/>
        <sz val="10"/>
        <rFont val="Arial"/>
        <family val="2"/>
      </rPr>
      <t>adj. EV/Ebitda</t>
    </r>
    <r>
      <rPr>
        <sz val="10"/>
        <rFont val="Arial"/>
        <family val="2"/>
      </rPr>
      <t>" is simply a weighted average of EV/Ebitda with OL and without : added forms on following graphs are based on a default setting of adj. EV/Ebitda = 100%  EV*/Ebitda*. See Line 1. (No impact on related comments, because OL impact is small on this ratio.)</t>
    </r>
  </si>
  <si>
    <t>(Ea = Ebitda. Rev. = revenues. FLS = Fixed Line Services.)</t>
  </si>
  <si>
    <t>FORECASTS</t>
  </si>
  <si>
    <r>
      <rPr>
        <b/>
        <sz val="10"/>
        <color theme="1"/>
        <rFont val="Arial"/>
        <family val="2"/>
      </rPr>
      <t>Belgacom's and Mobistar/Mobile's ratios are now equal, at 5.5x, so that this value can be retained for all generic SPs</t>
    </r>
    <r>
      <rPr>
        <sz val="10"/>
        <color theme="1"/>
        <rFont val="Arial"/>
        <family val="2"/>
      </rPr>
      <t xml:space="preserve"> (Fixed as well as Integrated).</t>
    </r>
  </si>
  <si>
    <t xml:space="preserve">Analysts 2014e-2016e avg. EV/Ebitda at target price </t>
  </si>
  <si>
    <t>Telenet's EV/Ebitda is unchanged, but its high value (irrelevant for the generic Fixed SP!) is secondary for already mentioned reasons.</t>
  </si>
  <si>
    <r>
      <t xml:space="preserve">Therefore, their original estimates should be adjusted, and this can be approximated by adding recently observed </t>
    </r>
    <r>
      <rPr>
        <sz val="10"/>
        <color theme="1"/>
        <rFont val="Symbol"/>
        <family val="1"/>
        <charset val="2"/>
      </rPr>
      <t>D</t>
    </r>
    <r>
      <rPr>
        <sz val="9"/>
        <color theme="1"/>
        <rFont val="Arial"/>
        <family val="2"/>
      </rPr>
      <t>(</t>
    </r>
    <r>
      <rPr>
        <sz val="10"/>
        <color theme="1"/>
        <rFont val="Arial"/>
        <family val="2"/>
      </rPr>
      <t xml:space="preserve">EV*/Ea* - EV/Ea) - as in the study's preliminary version for all WACC specific parameters (now only regards </t>
    </r>
    <r>
      <rPr>
        <sz val="10"/>
        <color theme="1"/>
        <rFont val="Symbol"/>
        <family val="1"/>
        <charset val="2"/>
      </rPr>
      <t>b</t>
    </r>
    <r>
      <rPr>
        <sz val="10"/>
        <color theme="1"/>
        <rFont val="Arial"/>
        <family val="2"/>
      </rPr>
      <t xml:space="preserve">, </t>
    </r>
    <r>
      <rPr>
        <sz val="10"/>
        <color theme="1"/>
        <rFont val="Symbol"/>
        <family val="1"/>
        <charset val="2"/>
      </rPr>
      <t>l</t>
    </r>
    <r>
      <rPr>
        <sz val="10"/>
        <color theme="1"/>
        <rFont val="Arial"/>
        <family val="2"/>
      </rPr>
      <t>).</t>
    </r>
  </si>
  <si>
    <t xml:space="preserve">- Yet, as mentioned in 'NOTE 2', until 2015, historical data remain usefull because equity analysts still do not adjust their metrics for OL. </t>
  </si>
  <si>
    <r>
      <t xml:space="preserve">Noticeable in the clear-cut case of </t>
    </r>
    <r>
      <rPr>
        <u/>
        <sz val="10"/>
        <color theme="1" tint="0.34998626667073579"/>
        <rFont val="Arial"/>
        <family val="2"/>
      </rPr>
      <t>Mobistar</t>
    </r>
    <r>
      <rPr>
        <sz val="10"/>
        <color theme="1" tint="0.34998626667073579"/>
        <rFont val="Arial"/>
        <family val="2"/>
      </rPr>
      <t>'s D/Ebitda.</t>
    </r>
  </si>
  <si>
    <t>'Manual'</t>
  </si>
  <si>
    <r>
      <rPr>
        <sz val="10"/>
        <color theme="1" tint="0.499984740745262"/>
        <rFont val="Wingdings 3"/>
        <family val="1"/>
        <charset val="2"/>
      </rPr>
      <t>l</t>
    </r>
    <r>
      <rPr>
        <sz val="10"/>
        <color theme="1" tint="0.499984740745262"/>
        <rFont val="Arial"/>
        <family val="2"/>
      </rPr>
      <t>ranking</t>
    </r>
    <r>
      <rPr>
        <sz val="10"/>
        <color theme="1" tint="0.499984740745262"/>
        <rFont val="Wingdings 3"/>
        <family val="1"/>
        <charset val="2"/>
      </rPr>
      <t>m</t>
    </r>
  </si>
  <si>
    <t>In simple average by analyst's avg. 2014e-2016e EV/Ebitda.</t>
  </si>
  <si>
    <t>ING values are first shown because ING is the only stockbroker mentioned in Belgacom's long note;</t>
  </si>
  <si>
    <t>(The BofA Merril Lynch's note, also among Belgacom's annexes, addresses the 3 Belgian SPs, but relevant EV/Ebitda estimates cannot be inferred from it.)</t>
  </si>
  <si>
    <t>See remark hereafter.</t>
  </si>
  <si>
    <r>
      <t xml:space="preserve">Macquarie's relevant estimates (among many types of EV/Ebitda) are actually limited to 2014e &amp; 2015e. Except for Belgacom, all other 2017e EV/Ebitda are on avg. a bit lower than 2016e (and Macquarie's 2015e are lower than 2014e). For </t>
    </r>
    <r>
      <rPr>
        <b/>
        <sz val="10"/>
        <rFont val="Arial"/>
        <family val="2"/>
      </rPr>
      <t>Telenet</t>
    </r>
    <r>
      <rPr>
        <sz val="10"/>
        <rFont val="Arial"/>
        <family val="2"/>
      </rPr>
      <t xml:space="preserve">, with data from 3 stockbrokers instead of 4 for the other Belgian SPs, indeed, it is reasonnable to assume that a complete 2014e-2016e avg would be closer to 9x. </t>
    </r>
  </si>
  <si>
    <t>Last 4Q avg (EV*/Ea*-EV/Ea)</t>
  </si>
  <si>
    <t>As mentioned, simply adding above recent EV/Ea spreads due to OL, to analysts' avg. without OL.</t>
  </si>
  <si>
    <r>
      <t xml:space="preserve">Develop the case if Belgacom's and Mobistar's EV*/Ea* get distinct again. In the preliminary version, Fixed EV*/Ea* inferred through its g* (extrapolated from the actual Belgian SPs' g* axis: ok) and its D*/Ea* (interpolated from SPs' D*/Ea*: flawed here - not linear with % Mobile, unlike g and </t>
    </r>
    <r>
      <rPr>
        <sz val="10"/>
        <color rgb="FFFFDA65"/>
        <rFont val="Symbol"/>
        <family val="1"/>
        <charset val="2"/>
      </rPr>
      <t>b</t>
    </r>
    <r>
      <rPr>
        <sz val="10"/>
        <color rgb="FFFFDA65"/>
        <rFont val="Arial"/>
        <family val="2"/>
      </rPr>
      <t>).</t>
    </r>
  </si>
  <si>
    <t>EV/Ea linearity also to check</t>
  </si>
  <si>
    <t>Nb of operators:</t>
  </si>
  <si>
    <t xml:space="preserve">For the sample:  </t>
  </si>
  <si>
    <t>GEARINGS &amp; Eb/E</t>
  </si>
  <si>
    <t>D/Ea</t>
  </si>
  <si>
    <r>
      <rPr>
        <sz val="10"/>
        <color theme="0" tint="-0.249977111117893"/>
        <rFont val="Symbol"/>
        <family val="1"/>
        <charset val="2"/>
      </rPr>
      <t>D</t>
    </r>
    <r>
      <rPr>
        <sz val="10"/>
        <color theme="0" tint="-0.249977111117893"/>
        <rFont val="Arial"/>
        <family val="2"/>
      </rPr>
      <t>*</t>
    </r>
  </si>
  <si>
    <r>
      <t>D</t>
    </r>
    <r>
      <rPr>
        <sz val="10"/>
        <color theme="0" tint="-0.249977111117893"/>
        <rFont val="Arial"/>
        <family val="2"/>
      </rPr>
      <t>* =  D*/Ea*-D/Ea</t>
    </r>
  </si>
  <si>
    <r>
      <rPr>
        <sz val="10"/>
        <color theme="0" tint="-0.249977111117893"/>
        <rFont val="Symbol"/>
        <family val="1"/>
        <charset val="2"/>
      </rPr>
      <t>D</t>
    </r>
    <r>
      <rPr>
        <sz val="10"/>
        <color theme="0" tint="-0.249977111117893"/>
        <rFont val="Arial"/>
        <family val="2"/>
      </rPr>
      <t>*/(D/Ea)</t>
    </r>
  </si>
  <si>
    <t>Minority Interests</t>
  </si>
  <si>
    <t>Not ranked</t>
  </si>
  <si>
    <t>(Countries' alphabetical order maintained - Base table for following ones.)</t>
  </si>
  <si>
    <t>OL impact: (g*-g)/g</t>
  </si>
  <si>
    <t>(D*/Ea*-D/Ea)/(D/Ea)</t>
  </si>
  <si>
    <r>
      <t xml:space="preserve">MI/(D+E) </t>
    </r>
    <r>
      <rPr>
        <sz val="10"/>
        <color theme="1" tint="0.499984740745262"/>
        <rFont val="Symbol"/>
        <family val="1"/>
        <charset val="2"/>
      </rPr>
      <t>£</t>
    </r>
    <r>
      <rPr>
        <sz val="10"/>
        <color theme="1" tint="0.499984740745262"/>
        <rFont val="Arial"/>
        <family val="2"/>
      </rPr>
      <t xml:space="preserve"> 2%, </t>
    </r>
    <r>
      <rPr>
        <u/>
        <sz val="10"/>
        <color theme="1" tint="0.499984740745262"/>
        <rFont val="Arial"/>
        <family val="2"/>
      </rPr>
      <t>here</t>
    </r>
    <r>
      <rPr>
        <sz val="10"/>
        <color theme="1" tint="0.499984740745262"/>
        <rFont val="Arial"/>
        <family val="2"/>
      </rPr>
      <t>.</t>
    </r>
  </si>
  <si>
    <t>OL addition and relative impact on D/Ebitda</t>
  </si>
  <si>
    <r>
      <rPr>
        <b/>
        <sz val="10"/>
        <rFont val="Arial"/>
        <family val="2"/>
      </rPr>
      <t xml:space="preserve">Basis for the approximation D+E </t>
    </r>
    <r>
      <rPr>
        <b/>
        <sz val="10"/>
        <rFont val="Symbol"/>
        <family val="1"/>
        <charset val="2"/>
      </rPr>
      <t>»</t>
    </r>
    <r>
      <rPr>
        <b/>
        <sz val="10"/>
        <rFont val="Arial"/>
        <family val="2"/>
      </rPr>
      <t xml:space="preserve"> EV</t>
    </r>
    <r>
      <rPr>
        <sz val="10"/>
        <rFont val="Arial"/>
        <family val="2"/>
      </rPr>
      <t xml:space="preserve"> applied to g and Eb/E decompositions mentioned in 'NOTE 2'.</t>
    </r>
  </si>
  <si>
    <t>D/Ebitda:</t>
  </si>
  <si>
    <t xml:space="preserve">Without OL, Mobistar would have been the least indebted European SP (at 0.7x), and the slope negative. </t>
  </si>
  <si>
    <t>Large differences for very comparable SPs: debt financing can be more a question of management style, sometimes clearly stemming from the main shareholder's - cf. S&amp;P's observations on Telenet/Liberty Global in 'RATINGS' - and/or, up to a certain level for that matter, the founder's more personal credit risk aversion.</t>
  </si>
  <si>
    <r>
      <t xml:space="preserve">(Remark: excerpt from Letter Vernimen 117 September 2013 </t>
    </r>
    <r>
      <rPr>
        <sz val="10"/>
        <rFont val="Symbol"/>
        <family val="1"/>
        <charset val="2"/>
      </rPr>
      <t>¯</t>
    </r>
    <r>
      <rPr>
        <sz val="10"/>
        <rFont val="Arial"/>
        <family val="2"/>
      </rPr>
      <t>)</t>
    </r>
  </si>
  <si>
    <r>
      <rPr>
        <b/>
        <sz val="10"/>
        <color theme="1" tint="0.34998626667073579"/>
        <rFont val="Arial"/>
        <family val="2"/>
      </rPr>
      <t>Increased debt levels</t>
    </r>
    <r>
      <rPr>
        <sz val="10"/>
        <color theme="1" tint="0.34998626667073579"/>
        <rFont val="Arial"/>
        <family val="2"/>
      </rPr>
      <t xml:space="preserve"> for almost all SPs, especially those which where are at the bottom of D/Ebitda - Belgacom in particular, but already heavily indebted Telenet as well, by sample's standard around 2.1-2.4x. It is remind that, for the last two semesters, </t>
    </r>
    <r>
      <rPr>
        <b/>
        <sz val="10"/>
        <color theme="1" tint="0.34998626667073579"/>
        <rFont val="Arial"/>
        <family val="2"/>
      </rPr>
      <t xml:space="preserve">debt could be raised at a rather cheap cost </t>
    </r>
    <r>
      <rPr>
        <sz val="10"/>
        <color theme="1" tint="0.34998626667073579"/>
        <rFont val="Arial"/>
        <family val="2"/>
      </rPr>
      <t>for most SPs: cf.</t>
    </r>
    <r>
      <rPr>
        <i/>
        <sz val="10"/>
        <color theme="1" tint="0.34998626667073579"/>
        <rFont val="Arial"/>
        <family val="2"/>
      </rPr>
      <t xml:space="preserve"> Evolution of European corporate 10Y spreads by credit rating</t>
    </r>
    <r>
      <rPr>
        <sz val="10"/>
        <color theme="1" tint="0.34998626667073579"/>
        <rFont val="Arial"/>
        <family val="2"/>
      </rPr>
      <t xml:space="preserve"> in 'WACC 1/ Rf &amp; Cd'.</t>
    </r>
  </si>
  <si>
    <t>and OL impact on Belgacom's D/Ea</t>
  </si>
  <si>
    <t>and OL impact on Mobistar's D/Ea</t>
  </si>
  <si>
    <t>and OL impact on Telenet's D/Ea</t>
  </si>
  <si>
    <r>
      <t>(</t>
    </r>
    <r>
      <rPr>
        <sz val="10"/>
        <color theme="0" tint="-0.34998626667073579"/>
        <rFont val="Symbol"/>
        <family val="1"/>
        <charset val="2"/>
      </rPr>
      <t>¯</t>
    </r>
    <r>
      <rPr>
        <sz val="9"/>
        <color theme="0" tint="-0.34998626667073579"/>
        <rFont val="Arial"/>
        <family val="2"/>
      </rPr>
      <t xml:space="preserve"> </t>
    </r>
    <r>
      <rPr>
        <sz val="10"/>
        <color theme="0" tint="-0.34998626667073579"/>
        <rFont val="Arial"/>
        <family val="2"/>
      </rPr>
      <t>Telenet's note on Ebitda: may explain why they mention D/Ea = 4.2x at 2Q13, when we got 4.4x with or without OL.)</t>
    </r>
  </si>
  <si>
    <t>Stated in 2Q13 financial report.</t>
  </si>
  <si>
    <t>Belgacom:</t>
  </si>
  <si>
    <t>Mobistar:</t>
  </si>
  <si>
    <t>Telenet:</t>
  </si>
  <si>
    <t>Cf. comments in Word report.</t>
  </si>
  <si>
    <t>- Evolution of D*/Ea - D/Ea in a single graph for Belgian SPs;</t>
  </si>
  <si>
    <t xml:space="preserve">Hidden tables and charts (eventually not used): </t>
  </si>
  <si>
    <t>- Adj. D/Ea relative variation vs. period avg. % Mobile.</t>
  </si>
  <si>
    <t>- Adj D/Ea vs. % Mobile with period avg. and end period values;</t>
  </si>
  <si>
    <t>All Belgian SPs' (D*/Ea* - D/Ea) stable for the period…</t>
  </si>
  <si>
    <t>… Including for Mobistar's, in contrast to its (EV*/Ea* - EV/Ea).</t>
  </si>
  <si>
    <t>BIPT 2014 EV/EBITDA</t>
  </si>
  <si>
    <t>BIPT 2014 D/EBITDA</t>
  </si>
  <si>
    <r>
      <t xml:space="preserve">Original avg. estimates without OL </t>
    </r>
    <r>
      <rPr>
        <b/>
        <sz val="10"/>
        <rFont val="Arial"/>
        <family val="2"/>
      </rPr>
      <t>rounded at closest 0,1x</t>
    </r>
    <r>
      <rPr>
        <sz val="10"/>
        <rFont val="Arial"/>
        <family val="2"/>
      </rPr>
      <t>:</t>
    </r>
  </si>
  <si>
    <r>
      <rPr>
        <b/>
        <sz val="10"/>
        <rFont val="Arial"/>
        <family val="2"/>
      </rPr>
      <t>Adding period avg. (D*/Ea*-D/Ea)</t>
    </r>
    <r>
      <rPr>
        <sz val="10"/>
        <rFont val="Arial"/>
        <family val="2"/>
      </rPr>
      <t xml:space="preserve">, also rounded:  </t>
    </r>
  </si>
  <si>
    <t xml:space="preserve">Hence:     </t>
  </si>
  <si>
    <r>
      <rPr>
        <b/>
        <sz val="10"/>
        <rFont val="Arial"/>
        <family val="2"/>
      </rPr>
      <t>With EV*/Ebitda* retained in 'PROFILES</t>
    </r>
    <r>
      <rPr>
        <sz val="10"/>
        <rFont val="Arial"/>
        <family val="2"/>
      </rPr>
      <t>', this entails g* = (D*/Ebitda*) / (EV*/Ebitda*) =</t>
    </r>
  </si>
  <si>
    <t>Vs.</t>
  </si>
  <si>
    <r>
      <t xml:space="preserve">Given that forward-looking gearings are the same for all real SPs </t>
    </r>
    <r>
      <rPr>
        <sz val="10"/>
        <rFont val="Arial"/>
        <family val="2"/>
      </rPr>
      <t>(normalized or not),</t>
    </r>
  </si>
  <si>
    <t>the same applies to generic SPs.</t>
  </si>
  <si>
    <t>Excl. OL</t>
  </si>
  <si>
    <t>Slope from Mob.- Tnet. :</t>
  </si>
  <si>
    <t>Slope from Mob.- Belg. :</t>
  </si>
  <si>
    <r>
      <rPr>
        <b/>
        <sz val="10"/>
        <rFont val="Arial"/>
        <family val="2"/>
      </rPr>
      <t xml:space="preserve">- </t>
    </r>
    <r>
      <rPr>
        <b/>
        <sz val="10"/>
        <rFont val="Symbol"/>
        <family val="1"/>
        <charset val="2"/>
      </rPr>
      <t>D</t>
    </r>
    <r>
      <rPr>
        <b/>
        <sz val="10"/>
        <rFont val="Arial"/>
        <family val="2"/>
      </rPr>
      <t>not, through the decomposition of Eb/E</t>
    </r>
    <r>
      <rPr>
        <sz val="10"/>
        <rFont val="Arial"/>
        <family val="2"/>
      </rPr>
      <t xml:space="preserve"> (and along with EV*/Ebitda*).</t>
    </r>
  </si>
  <si>
    <t>Same gearings and EV*/Ebitda* imply same D*/Ebitda*.</t>
  </si>
  <si>
    <t>Analysts avg "D*/Ea*"</t>
  </si>
  <si>
    <r>
      <t>Hors écart type des mesures des agences (</t>
    </r>
    <r>
      <rPr>
        <sz val="10"/>
        <color rgb="FFFFDC6D"/>
        <rFont val="Symbol"/>
        <family val="1"/>
        <charset val="2"/>
      </rPr>
      <t xml:space="preserve">» </t>
    </r>
    <r>
      <rPr>
        <sz val="10"/>
        <color rgb="FFFFDC6D"/>
        <rFont val="Arial"/>
        <family val="2"/>
      </rPr>
      <t xml:space="preserve">+0,2x) </t>
    </r>
    <r>
      <rPr>
        <sz val="10"/>
        <color rgb="FFFFDC6D"/>
        <rFont val="Symbol"/>
        <family val="1"/>
        <charset val="2"/>
      </rPr>
      <t>­</t>
    </r>
    <r>
      <rPr>
        <sz val="9"/>
        <color rgb="FFFFDC6D"/>
        <rFont val="Arial"/>
        <family val="2"/>
      </rPr>
      <t xml:space="preserve">   </t>
    </r>
  </si>
  <si>
    <t>Consult.</t>
  </si>
  <si>
    <r>
      <rPr>
        <sz val="10"/>
        <color theme="0" tint="-0.34998626667073579"/>
        <rFont val="Symbol"/>
        <family val="1"/>
        <charset val="2"/>
      </rPr>
      <t>®</t>
    </r>
    <r>
      <rPr>
        <sz val="9"/>
        <color theme="0" tint="-0.34998626667073579"/>
        <rFont val="Arial"/>
        <family val="2"/>
      </rPr>
      <t xml:space="preserve"> </t>
    </r>
    <r>
      <rPr>
        <sz val="10"/>
        <color theme="0" tint="-0.34998626667073579"/>
        <rFont val="Arial"/>
        <family val="2"/>
      </rPr>
      <t>Taking the slightly flatter Mobistar - Telenet slope, still more tilted than with OL, and closer to 2010 slope.</t>
    </r>
  </si>
  <si>
    <t>(Idem.)</t>
  </si>
  <si>
    <t xml:space="preserve">As far as Mobistar and Telenet are concerned, no reason to replace or further adjust their 2014-2016 D*/Ea* estimates. </t>
  </si>
  <si>
    <r>
      <t xml:space="preserve">Inputs still required </t>
    </r>
    <r>
      <rPr>
        <b/>
        <sz val="10"/>
        <rFont val="Arial"/>
        <family val="2"/>
      </rPr>
      <t>for generic SPs':</t>
    </r>
  </si>
  <si>
    <t>EV*/Ea*</t>
  </si>
  <si>
    <t>Recap from 'PROFILE'.</t>
  </si>
  <si>
    <r>
      <rPr>
        <b/>
        <sz val="10"/>
        <color theme="1" tint="0.34998626667073579"/>
        <rFont val="Arial"/>
        <family val="2"/>
      </rPr>
      <t>Labels in bold</t>
    </r>
    <r>
      <rPr>
        <sz val="10"/>
        <color theme="1" tint="0.34998626667073579"/>
        <rFont val="Arial"/>
        <family val="2"/>
      </rPr>
      <t xml:space="preserve">  for Belgian SPs + Belgacom's closest peers.</t>
    </r>
  </si>
  <si>
    <r>
      <rPr>
        <sz val="10"/>
        <color theme="1" tint="0.34998626667073579"/>
        <rFont val="Wingdings"/>
        <charset val="2"/>
      </rPr>
      <t>ä</t>
    </r>
    <r>
      <rPr>
        <sz val="10"/>
        <color theme="1" tint="0.34998626667073579"/>
        <rFont val="Arial"/>
        <family val="2"/>
      </rPr>
      <t xml:space="preserve"> = relative variation.</t>
    </r>
  </si>
  <si>
    <r>
      <rPr>
        <b/>
        <sz val="10"/>
        <color theme="0" tint="-0.14999847407452621"/>
        <rFont val="Wingdings"/>
        <charset val="2"/>
      </rPr>
      <t>ä</t>
    </r>
    <r>
      <rPr>
        <b/>
        <sz val="8"/>
        <color theme="0" tint="-0.14999847407452621"/>
        <rFont val="Arial"/>
        <family val="2"/>
      </rPr>
      <t xml:space="preserve"> </t>
    </r>
    <r>
      <rPr>
        <b/>
        <sz val="10"/>
        <color theme="0" tint="-0.14999847407452621"/>
        <rFont val="Arial"/>
        <family val="2"/>
      </rPr>
      <t>D*</t>
    </r>
  </si>
  <si>
    <t>(1/2)</t>
  </si>
  <si>
    <t xml:space="preserve">(But note that Fixed and Mobile D/Ebitda may not be directly extrapolated from actual SPs' D/Ea by extending D/Ea vs. % Mobile axis - as with market gearings and Betas.) </t>
  </si>
  <si>
    <t>HISTORICAL Analysis</t>
  </si>
  <si>
    <t>Therefore, the small amplification factor x applied to % Mobile, and only at the end of the historical period of analysis, may remain globally consistent with a determination of almost fully converging WACC for the forthcoming regulatory period. (Limited circularity issue here, as final % Mobile remain an indirect input.)</t>
  </si>
  <si>
    <r>
      <t>Its purpose, here, is</t>
    </r>
    <r>
      <rPr>
        <b/>
        <sz val="10"/>
        <color theme="1"/>
        <rFont val="Arial"/>
        <family val="2"/>
      </rPr>
      <t xml:space="preserve"> mainly to lighten graphs with recent historical evolutions, and compare relative debt levels and asset </t>
    </r>
    <r>
      <rPr>
        <b/>
        <sz val="10"/>
        <color theme="1"/>
        <rFont val="Symbol"/>
        <family val="1"/>
        <charset val="2"/>
      </rPr>
      <t>b</t>
    </r>
    <r>
      <rPr>
        <b/>
        <sz val="9"/>
        <color theme="1"/>
        <rFont val="Arial"/>
        <family val="2"/>
      </rPr>
      <t xml:space="preserve"> </t>
    </r>
    <r>
      <rPr>
        <b/>
        <sz val="10"/>
        <color theme="1"/>
        <rFont val="Arial"/>
        <family val="2"/>
      </rPr>
      <t>within this peer group</t>
    </r>
    <r>
      <rPr>
        <sz val="10"/>
        <color theme="1"/>
        <rFont val="Arial"/>
        <family val="2"/>
      </rPr>
      <t xml:space="preserve">, so that more appropriate 'normative' values may be inferred for Belgacom. These values may then impact those assigned to generic SPs. </t>
    </r>
  </si>
  <si>
    <r>
      <t xml:space="preserve">The table below shows for integrated SPs, i.e. neither Fixed nor Mobile by Brattle's criteria, 'distances' from Belgacom by adding to </t>
    </r>
    <r>
      <rPr>
        <b/>
        <sz val="10"/>
        <color theme="1"/>
        <rFont val="Arial"/>
        <family val="2"/>
      </rPr>
      <t>adj. EV/Ebitda</t>
    </r>
    <r>
      <rPr>
        <sz val="10"/>
        <color theme="1"/>
        <rFont val="Arial"/>
        <family val="2"/>
      </rPr>
      <t xml:space="preserve"> and </t>
    </r>
    <r>
      <rPr>
        <b/>
        <sz val="10"/>
        <color theme="1"/>
        <rFont val="Arial"/>
        <family val="2"/>
      </rPr>
      <t>% Mobile</t>
    </r>
    <r>
      <rPr>
        <sz val="10"/>
        <color theme="1"/>
        <rFont val="Arial"/>
        <family val="2"/>
      </rPr>
      <t xml:space="preserve">, </t>
    </r>
    <r>
      <rPr>
        <b/>
        <sz val="10"/>
        <color theme="1"/>
        <rFont val="Arial"/>
        <family val="2"/>
      </rPr>
      <t>Mkt Cap</t>
    </r>
    <r>
      <rPr>
        <sz val="10"/>
        <color theme="1"/>
        <rFont val="Arial"/>
        <family val="2"/>
      </rPr>
      <t xml:space="preserve"> (all on average for the historical period of analysis), then "distorting" their 3D space: a customised Euclidean distance. </t>
    </r>
  </si>
  <si>
    <t>- Target E (instead of historical Mkt Caps);</t>
  </si>
  <si>
    <t>- This section's first part shows, now just for illustration, adj. EV/Ebitda evolutions for the historical period.</t>
  </si>
  <si>
    <t>for the Historical Period</t>
  </si>
  <si>
    <t>Evolution of SPs' adj. EV/Ebitda for the historical period of analysis</t>
  </si>
  <si>
    <t>Impacts on EV/Ebitda of integrating OL for the historical period of analysis</t>
  </si>
  <si>
    <r>
      <t xml:space="preserve">For forward-looking estimates, in contrast to market's general parameters (cf. WACC 1), </t>
    </r>
    <r>
      <rPr>
        <b/>
        <sz val="10"/>
        <rFont val="Arial"/>
        <family val="2"/>
      </rPr>
      <t xml:space="preserve">recent values or trends </t>
    </r>
    <r>
      <rPr>
        <sz val="10"/>
        <rFont val="Arial"/>
        <family val="2"/>
      </rPr>
      <t>are generally more relevant than averages over the whole (historical) period of analysis,</t>
    </r>
  </si>
  <si>
    <r>
      <rPr>
        <b/>
        <sz val="10"/>
        <rFont val="Arial"/>
        <family val="2"/>
      </rPr>
      <t>As forecasted by analysts, Belgacom's D*/Ea* remains low with respect to its peers' values</t>
    </r>
    <r>
      <rPr>
        <sz val="10"/>
        <rFont val="Arial"/>
        <family val="2"/>
      </rPr>
      <t xml:space="preserve">, </t>
    </r>
    <r>
      <rPr>
        <b/>
        <sz val="10"/>
        <rFont val="Arial"/>
        <family val="2"/>
      </rPr>
      <t>between 2.0x-2.5x on avg. for the historical period</t>
    </r>
    <r>
      <rPr>
        <sz val="10"/>
        <rFont val="Arial"/>
        <family val="2"/>
      </rPr>
      <t xml:space="preserve">, </t>
    </r>
    <r>
      <rPr>
        <b/>
        <sz val="10"/>
        <rFont val="Arial"/>
        <family val="2"/>
      </rPr>
      <t>2.3x for the last 4Q: retained ratio still within Belgacom's stated limit</t>
    </r>
    <r>
      <rPr>
        <sz val="10"/>
        <rFont val="Arial"/>
        <family val="2"/>
      </rPr>
      <t xml:space="preserve"> (also 2.0x-2.5x excl. OL). </t>
    </r>
  </si>
  <si>
    <t>and OL impact on Belgacom's gearing</t>
  </si>
  <si>
    <t>and OL impact on Mobistar's gearing</t>
  </si>
  <si>
    <t>and OL impact on Telenet's gearing</t>
  </si>
  <si>
    <r>
      <t xml:space="preserve">Individual gearings of Belgacom's peers </t>
    </r>
    <r>
      <rPr>
        <sz val="10"/>
        <color theme="1" tint="0.34998626667073579"/>
        <rFont val="Symbol"/>
        <family val="1"/>
        <charset val="2"/>
      </rPr>
      <t>®</t>
    </r>
  </si>
  <si>
    <t>Period avg.</t>
  </si>
  <si>
    <t xml:space="preserve">+ Calculation of simple and weighted avg. g* </t>
  </si>
  <si>
    <t>for the historical period and by 1H13.</t>
  </si>
  <si>
    <r>
      <t xml:space="preserve">However, in an Oct 2011 note, Moody's refers to Belgacom's </t>
    </r>
    <r>
      <rPr>
        <i/>
        <sz val="10"/>
        <color theme="1" tint="0.34998626667073579"/>
        <rFont val="Arial"/>
        <family val="2"/>
      </rPr>
      <t>"published limit of 2.0x-2.5x reported non-adjusted net debt/EBITDA"</t>
    </r>
    <r>
      <rPr>
        <sz val="10"/>
        <color theme="1" tint="0.34998626667073579"/>
        <rFont val="Arial"/>
        <family val="2"/>
      </rPr>
      <t xml:space="preserve"> (cf. 'RATINGS').</t>
    </r>
  </si>
  <si>
    <r>
      <t xml:space="preserve">3.5-4.5x </t>
    </r>
    <r>
      <rPr>
        <b/>
        <sz val="10"/>
        <color theme="1" tint="0.34998626667073579"/>
        <rFont val="Symbol"/>
        <family val="1"/>
        <charset val="2"/>
      </rPr>
      <t>®</t>
    </r>
  </si>
  <si>
    <r>
      <t>Belgium's general Tax Code</t>
    </r>
    <r>
      <rPr>
        <sz val="10"/>
        <rFont val="Arial"/>
        <family val="2"/>
      </rPr>
      <t xml:space="preserve"> states the following regarding En:</t>
    </r>
  </si>
  <si>
    <t>Remarks about En</t>
  </si>
  <si>
    <r>
      <t xml:space="preserve">Eb/E (and </t>
    </r>
    <r>
      <rPr>
        <b/>
        <sz val="10"/>
        <rFont val="Symbol"/>
        <family val="1"/>
        <charset val="2"/>
      </rPr>
      <t>D</t>
    </r>
    <r>
      <rPr>
        <b/>
        <sz val="10"/>
        <rFont val="Arial"/>
        <family val="2"/>
      </rPr>
      <t>not)</t>
    </r>
  </si>
  <si>
    <t>- For real SPs, we would need En/E estimates for end 2013 &amp; 2014;</t>
  </si>
  <si>
    <r>
      <t>- Yet, no stakeholder (Belgacom in particular) ever made any objection about this, so that this approximation is upheld:</t>
    </r>
    <r>
      <rPr>
        <b/>
        <sz val="10"/>
        <rFont val="Arial"/>
        <family val="2"/>
      </rPr>
      <t/>
    </r>
  </si>
  <si>
    <r>
      <t xml:space="preserve">En </t>
    </r>
    <r>
      <rPr>
        <b/>
        <sz val="10"/>
        <rFont val="Symbol"/>
        <family val="1"/>
        <charset val="2"/>
      </rPr>
      <t>»</t>
    </r>
    <r>
      <rPr>
        <b/>
        <sz val="9"/>
        <rFont val="Arial"/>
        <family val="2"/>
      </rPr>
      <t xml:space="preserve"> </t>
    </r>
    <r>
      <rPr>
        <b/>
        <sz val="10"/>
        <rFont val="Arial"/>
        <family val="2"/>
      </rPr>
      <t xml:space="preserve">Eb </t>
    </r>
    <r>
      <rPr>
        <sz val="10"/>
        <rFont val="Arial"/>
        <family val="2"/>
      </rPr>
      <t>= Total Assets - Total Liabilities.</t>
    </r>
  </si>
  <si>
    <r>
      <t>In a similar fashion to Rnot, En is based on its</t>
    </r>
    <r>
      <rPr>
        <b/>
        <sz val="10"/>
        <rFont val="Arial"/>
        <family val="2"/>
      </rPr>
      <t xml:space="preserve"> value by the end of the previous fical year. </t>
    </r>
    <r>
      <rPr>
        <sz val="10"/>
        <rFont val="Arial"/>
        <family val="2"/>
      </rPr>
      <t xml:space="preserve">E.g. for fiscal year 2014, so tax due in 2015: value as of 31 Dec. 2013. </t>
    </r>
  </si>
  <si>
    <t>See also:</t>
  </si>
  <si>
    <t xml:space="preserve">Ministry: </t>
  </si>
  <si>
    <r>
      <t xml:space="preserve">- Extract from </t>
    </r>
    <r>
      <rPr>
        <u/>
        <sz val="10"/>
        <rFont val="Arial"/>
        <family val="2"/>
      </rPr>
      <t>Cefip</t>
    </r>
    <r>
      <rPr>
        <sz val="10"/>
        <rFont val="Arial"/>
        <family val="2"/>
      </rPr>
      <t>:</t>
    </r>
  </si>
  <si>
    <r>
      <t xml:space="preserve">- Eb &lt; 0, as it can be later observed in the case of </t>
    </r>
    <r>
      <rPr>
        <b/>
        <sz val="10"/>
        <rFont val="Arial"/>
        <family val="2"/>
      </rPr>
      <t>Telenet</t>
    </r>
    <r>
      <rPr>
        <sz val="10"/>
        <rFont val="Arial"/>
        <family val="2"/>
      </rPr>
      <t xml:space="preserve">, does not necessarily mean that the firm is in trouble. </t>
    </r>
  </si>
  <si>
    <r>
      <t xml:space="preserve">For Telenet, its consolidated statements show that this situation is rather related to </t>
    </r>
    <r>
      <rPr>
        <b/>
        <sz val="10"/>
        <rFont val="Arial"/>
        <family val="2"/>
      </rPr>
      <t>substantial shareholder return programs</t>
    </r>
    <r>
      <rPr>
        <sz val="10"/>
        <rFont val="Arial"/>
        <family val="2"/>
      </rPr>
      <t>: share repurchase &amp; dividend.</t>
    </r>
  </si>
  <si>
    <t>Analysts avg "Eb/Ea*"</t>
  </si>
  <si>
    <t>Original avg. estimates without OL (rounded at closest 0,1x):</t>
  </si>
  <si>
    <t xml:space="preserve">While OL impact on Ebitda have averaged for the last 4Q: </t>
  </si>
  <si>
    <t>Significative impact only for Mobistar.</t>
  </si>
  <si>
    <t>(Small) impact only for Mobistar.</t>
  </si>
  <si>
    <t>BIPT 2014 Eb/E</t>
  </si>
  <si>
    <t>BIPT 2014 Eb/EBITDA*</t>
  </si>
  <si>
    <t>Eb/E vs.</t>
  </si>
  <si>
    <t xml:space="preserve">E/Ea* </t>
  </si>
  <si>
    <t>EV*/Ea* = A</t>
  </si>
  <si>
    <t>D*/Ea* = B</t>
  </si>
  <si>
    <t>E/Ea* = A-B</t>
  </si>
  <si>
    <r>
      <t xml:space="preserve">Eb/E </t>
    </r>
    <r>
      <rPr>
        <sz val="10"/>
        <rFont val="Arial"/>
        <family val="2"/>
      </rPr>
      <t>= Eb/Ea / (A-B)</t>
    </r>
  </si>
  <si>
    <r>
      <t xml:space="preserve">- </t>
    </r>
    <r>
      <rPr>
        <b/>
        <sz val="10"/>
        <rFont val="Arial"/>
        <family val="2"/>
      </rPr>
      <t>Credit ratings</t>
    </r>
    <r>
      <rPr>
        <sz val="10"/>
        <rFont val="Arial"/>
        <family val="2"/>
      </rPr>
      <t xml:space="preserve">, to determine their Financial Risk Profiles </t>
    </r>
    <r>
      <rPr>
        <b/>
        <sz val="10"/>
        <rFont val="Arial"/>
        <family val="2"/>
      </rPr>
      <t>through tD*/Ebitda*</t>
    </r>
    <r>
      <rPr>
        <sz val="10"/>
        <rFont val="Arial"/>
        <family val="2"/>
      </rPr>
      <t xml:space="preserve"> (incl. for a generic integrated SP);</t>
    </r>
  </si>
  <si>
    <t>(1-g)</t>
  </si>
  <si>
    <r>
      <rPr>
        <b/>
        <sz val="10"/>
        <rFont val="Symbol"/>
        <family val="1"/>
        <charset val="2"/>
      </rPr>
      <t>D</t>
    </r>
    <r>
      <rPr>
        <b/>
        <sz val="10"/>
        <rFont val="Arial"/>
        <family val="2"/>
      </rPr>
      <t>not</t>
    </r>
    <r>
      <rPr>
        <sz val="10"/>
        <rFont val="Arial"/>
        <family val="2"/>
      </rPr>
      <t xml:space="preserve"> = C.Eb/E</t>
    </r>
  </si>
  <si>
    <t>thus t/(1-t) =</t>
  </si>
  <si>
    <t>Eb/Ea*</t>
  </si>
  <si>
    <r>
      <t xml:space="preserve">Since Eb = Total Asset - Total liabilities, </t>
    </r>
    <r>
      <rPr>
        <b/>
        <sz val="10"/>
        <rFont val="Arial"/>
        <family val="2"/>
      </rPr>
      <t>analysts' Eb/Ea* must be discounted by any spread between retained (normalized) D*/Ea* and the equivalent ratio they implicitly consider.</t>
    </r>
  </si>
  <si>
    <t>Here, this only regards Belgacom.</t>
  </si>
  <si>
    <r>
      <t xml:space="preserve">Also, given that Telenet's actual avg. Eb/Ea* is expected to remain negative, </t>
    </r>
    <r>
      <rPr>
        <b/>
        <sz val="10"/>
        <rFont val="Arial"/>
        <family val="2"/>
      </rPr>
      <t>Telenet is also normalized at this level: a ratio set at Belgacom's value by approximation.</t>
    </r>
    <r>
      <rPr>
        <sz val="10"/>
        <rFont val="Arial"/>
        <family val="2"/>
      </rPr>
      <t xml:space="preserve">  </t>
    </r>
  </si>
  <si>
    <r>
      <rPr>
        <b/>
        <sz val="10"/>
        <rFont val="Wingdings 3"/>
        <family val="1"/>
        <charset val="2"/>
      </rPr>
      <t>9</t>
    </r>
    <r>
      <rPr>
        <b/>
        <sz val="9"/>
        <rFont val="Arial"/>
        <family val="2"/>
      </rPr>
      <t xml:space="preserve"> </t>
    </r>
    <r>
      <rPr>
        <b/>
        <sz val="10"/>
        <rFont val="Arial"/>
        <family val="2"/>
      </rPr>
      <t>Idem for Belgian FLS.</t>
    </r>
  </si>
  <si>
    <t>E/Eb (for info)</t>
  </si>
  <si>
    <t>= C</t>
  </si>
  <si>
    <t>At this stage, all inputs required for Eb/E estimation are known.</t>
  </si>
  <si>
    <t>Rnot.t/(1-t)  x</t>
  </si>
  <si>
    <r>
      <rPr>
        <sz val="10"/>
        <rFont val="Symbol"/>
        <family val="1"/>
        <charset val="2"/>
      </rPr>
      <t>D</t>
    </r>
    <r>
      <rPr>
        <sz val="10"/>
        <rFont val="Arial"/>
        <family val="2"/>
      </rPr>
      <t>not vs.</t>
    </r>
  </si>
  <si>
    <t>(Manual inputs.)</t>
  </si>
  <si>
    <t xml:space="preserve">Remark: if we had directly - and inappropriately - considered analyst's Eb/E for Belgacom and Mobistar, their ratios would have been:  </t>
  </si>
  <si>
    <r>
      <t xml:space="preserve">… idem for </t>
    </r>
    <r>
      <rPr>
        <sz val="10"/>
        <rFont val="Symbol"/>
        <family val="1"/>
        <charset val="2"/>
      </rPr>
      <t>D</t>
    </r>
    <r>
      <rPr>
        <sz val="10"/>
        <rFont val="Arial"/>
        <family val="2"/>
      </rPr>
      <t>ont, shown here just for info:</t>
    </r>
  </si>
  <si>
    <t xml:space="preserve"> 'WACC 4' uses Eb/E as the only input from this section.</t>
  </si>
  <si>
    <t>- Possibly do the same with last gearings for the component t/(1-t).(1-g);</t>
  </si>
  <si>
    <t>- And apply respective annual Rnot to En/Eb and t/(1-t).(1-g);</t>
  </si>
  <si>
    <r>
      <t xml:space="preserve">However such an approach would bring extra complexity in 'WACC 4' final table, this just for illustrative WACC rates and a rather secondary input. (Or, conversely, a direct </t>
    </r>
    <r>
      <rPr>
        <sz val="10"/>
        <color theme="1" tint="0.499984740745262"/>
        <rFont val="Symbol"/>
        <family val="1"/>
        <charset val="2"/>
      </rPr>
      <t>D</t>
    </r>
    <r>
      <rPr>
        <sz val="10"/>
        <color theme="1" tint="0.499984740745262"/>
        <rFont val="Arial"/>
        <family val="2"/>
      </rPr>
      <t xml:space="preserve">not injection would hide its variable components from the model). Its rationable is also disputable from a regulatory perspective. </t>
    </r>
  </si>
  <si>
    <r>
      <t xml:space="preserve">Therefore, real SPs' </t>
    </r>
    <r>
      <rPr>
        <sz val="10"/>
        <color theme="1" tint="0.499984740745262"/>
        <rFont val="Symbol"/>
        <family val="1"/>
        <charset val="2"/>
      </rPr>
      <t>D</t>
    </r>
    <r>
      <rPr>
        <sz val="10"/>
        <color theme="1" tint="0.499984740745262"/>
        <rFont val="Arial"/>
        <family val="2"/>
      </rPr>
      <t>not are modeled as for generic SPs, with avg g, avg Eb/E &amp; avg Rnot.</t>
    </r>
  </si>
  <si>
    <t>Max E/Ea*</t>
  </si>
  <si>
    <t>Min E/Eb</t>
  </si>
  <si>
    <t>Max E/Eb</t>
  </si>
  <si>
    <t>Min E/Ea*</t>
  </si>
  <si>
    <r>
      <t xml:space="preserve">i) Following up with analysts' Eb/E, </t>
    </r>
    <r>
      <rPr>
        <sz val="10"/>
        <color theme="1" tint="0.499984740745262"/>
        <rFont val="Symbol"/>
        <family val="1"/>
        <charset val="2"/>
      </rPr>
      <t>D</t>
    </r>
    <r>
      <rPr>
        <sz val="10"/>
        <color theme="1" tint="0.499984740745262"/>
        <rFont val="Arial"/>
        <family val="2"/>
      </rPr>
      <t>not would have been:</t>
    </r>
  </si>
  <si>
    <t>ii) Whereas generic SPs are modeled in a steady-state, one may consider that, strictly, realized values for real SPs' and this (fiscal) parameter should not be ignored, i.e:</t>
  </si>
  <si>
    <t>Tax rate:</t>
  </si>
  <si>
    <t xml:space="preserve">Rnot from WACC1: </t>
  </si>
  <si>
    <t xml:space="preserve">Rnot.t/(1-t).(1-g)  </t>
  </si>
  <si>
    <t>2010</t>
  </si>
  <si>
    <t>Not used any longer, just shown for info.</t>
  </si>
  <si>
    <t>(2/2) g* Evolution</t>
  </si>
  <si>
    <t>Belgacom's &amp; peer's historical gearings,</t>
  </si>
  <si>
    <t>Mobistar's &amp; peer's historical gearings,</t>
  </si>
  <si>
    <t>Telenet's &amp; peer's historical gearings,</t>
  </si>
  <si>
    <t>Belgacom's &amp; peer's historical adj. D/Ebitda,</t>
  </si>
  <si>
    <t>Mobistar's &amp; peer's historical adj. D/Ebitda,</t>
  </si>
  <si>
    <t>Telenet's &amp; peer's historical adj. D/Ebitda,</t>
  </si>
  <si>
    <t>Belgian SPs and Belgacom' peers historical price-to-book ratios</t>
  </si>
  <si>
    <r>
      <t xml:space="preserve">Eb/Ebitda* </t>
    </r>
    <r>
      <rPr>
        <sz val="10"/>
        <color theme="1" tint="0.34998626667073579"/>
        <rFont val="Arial"/>
        <family val="2"/>
      </rPr>
      <t>(by quarters)</t>
    </r>
  </si>
  <si>
    <r>
      <rPr>
        <b/>
        <sz val="10"/>
        <color theme="1" tint="0.34998626667073579"/>
        <rFont val="Arial"/>
        <family val="2"/>
      </rPr>
      <t>1H11</t>
    </r>
    <r>
      <rPr>
        <sz val="10"/>
        <color theme="1" tint="0.34998626667073579"/>
        <rFont val="Arial"/>
        <family val="2"/>
      </rPr>
      <t xml:space="preserve"> - 1H13 avg.</t>
    </r>
  </si>
  <si>
    <r>
      <t xml:space="preserve">E/Eb </t>
    </r>
    <r>
      <rPr>
        <sz val="10"/>
        <color theme="1" tint="0.34998626667073579"/>
        <rFont val="Arial"/>
        <family val="2"/>
      </rPr>
      <t>(by quarters)</t>
    </r>
  </si>
  <si>
    <r>
      <t xml:space="preserve">E/Eb </t>
    </r>
    <r>
      <rPr>
        <sz val="10"/>
        <color theme="1" tint="0.34998626667073579"/>
        <rFont val="Arial"/>
        <family val="2"/>
      </rPr>
      <t>(end of year)</t>
    </r>
  </si>
  <si>
    <t xml:space="preserve">From a regulatory point of view, it would be inappropriate to relieve Telenet's WACC rate - furthemore the Fixed rate - from any notional discount because of financial practices rather peculiar to this firm (whatever its good reasons for this negative Eb) . </t>
  </si>
  <si>
    <t>- Opposite table shows benchmarked E/Eb, ranked by decreasing period averages (since spring 2011):</t>
  </si>
  <si>
    <t>But see above consideration on Telenet's forecast Eb/Ebitda*.</t>
  </si>
  <si>
    <t>* No trend by SP size;</t>
  </si>
  <si>
    <t>Benchmarked E/Eb did not seem very helpful.</t>
  </si>
  <si>
    <t>* Bloomberg's extractions turned out far too uncomplete to infer any appropriate P/B level for each SP;</t>
  </si>
  <si>
    <t>* We also noticed relatively small discrepancies between Bloomberg's few available P/B ratios and our calculations. This may stem from differences in considered perimeters for the shareholder's equity, either including or excluding intangible assets and goodwill (unclear which definition is applied by Bloomberg in each case).</t>
  </si>
  <si>
    <r>
      <t xml:space="preserve">- Remark:  above E/Eb are computed from extracted data for Mkt Cap and shareholder's equity Eb. We initially collected </t>
    </r>
    <r>
      <rPr>
        <b/>
        <sz val="10"/>
        <color theme="0" tint="-0.34998626667073579"/>
        <rFont val="Arial"/>
        <family val="2"/>
      </rPr>
      <t>price-to-book ratio (P/B)</t>
    </r>
    <r>
      <rPr>
        <sz val="10"/>
        <color theme="0" tint="-0.34998626667073579"/>
        <rFont val="Arial"/>
        <family val="2"/>
      </rPr>
      <t>. However :</t>
    </r>
  </si>
  <si>
    <t>Market indexes' historical price-to-book ratios</t>
  </si>
  <si>
    <t>- All values within a 1x-2.5x range, getting narrower at 1.5x-2x by period's end;</t>
  </si>
  <si>
    <t>- A small surge until mid-2011, already observed in SPs' Mkt Caps, and a sharper rise since end 2012.</t>
  </si>
  <si>
    <t>* They are likely to encompass significantly distinct realities and financial practices, which have nothing to do with the Fixed vs. Mobile issue;</t>
  </si>
  <si>
    <t>* Components of these indexes are unknown, but we suspect that the Mobile ratios, for instance, are heavily skewed by Vodafone's P/B moving around 1x.</t>
  </si>
  <si>
    <t>(Cf. observed changes around mid-2011 in 'PROFILES'.)</t>
  </si>
  <si>
    <r>
      <t xml:space="preserve">- </t>
    </r>
    <r>
      <rPr>
        <b/>
        <sz val="10"/>
        <color theme="1" tint="0.499984740745262"/>
        <rFont val="Arial"/>
        <family val="2"/>
      </rPr>
      <t>Mobistar</t>
    </r>
    <r>
      <rPr>
        <sz val="10"/>
        <color theme="1" tint="0.499984740745262"/>
        <rFont val="Arial"/>
        <family val="2"/>
      </rPr>
      <t>'s E/Eb ratios were clearly impacted by the drop of its Mkt Cap since mid 2011.</t>
    </r>
  </si>
  <si>
    <r>
      <t xml:space="preserve">* </t>
    </r>
    <r>
      <rPr>
        <b/>
        <sz val="10"/>
        <color theme="1" tint="0.499984740745262"/>
        <rFont val="Arial"/>
        <family val="2"/>
      </rPr>
      <t>Small quasi pure-players stood at the opposite ends of the spectrum</t>
    </r>
    <r>
      <rPr>
        <sz val="10"/>
        <color theme="1" tint="0.499984740745262"/>
        <rFont val="Arial"/>
        <family val="2"/>
      </rPr>
      <t>: Mobistar vs. Sonaecom, Telenet vs. Iliad;</t>
    </r>
  </si>
  <si>
    <r>
      <t>*</t>
    </r>
    <r>
      <rPr>
        <b/>
        <sz val="10"/>
        <color theme="1" tint="0.499984740745262"/>
        <rFont val="Arial"/>
        <family val="2"/>
      </rPr>
      <t xml:space="preserve"> BT</t>
    </r>
    <r>
      <rPr>
        <sz val="10"/>
        <color theme="1" tint="0.499984740745262"/>
        <rFont val="Arial"/>
        <family val="2"/>
      </rPr>
      <t>'s values looked nonsensical;</t>
    </r>
  </si>
  <si>
    <r>
      <rPr>
        <sz val="10"/>
        <color theme="0" tint="-0.249977111117893"/>
        <rFont val="Symbol"/>
        <family val="1"/>
        <charset val="2"/>
      </rPr>
      <t>¬</t>
    </r>
    <r>
      <rPr>
        <sz val="10"/>
        <color theme="0" tint="-0.249977111117893"/>
        <rFont val="Arial"/>
        <family val="2"/>
      </rPr>
      <t xml:space="preserve"> Yet, see </t>
    </r>
    <r>
      <rPr>
        <u/>
        <sz val="10"/>
        <color theme="0" tint="-0.249977111117893"/>
        <rFont val="Arial"/>
        <family val="2"/>
      </rPr>
      <t>remark</t>
    </r>
    <r>
      <rPr>
        <sz val="10"/>
        <color theme="0" tint="-0.249977111117893"/>
        <rFont val="Arial"/>
        <family val="2"/>
      </rPr>
      <t xml:space="preserve"> hereafter.</t>
    </r>
  </si>
  <si>
    <t>Also, we do not estimate here values omitting OL.</t>
  </si>
  <si>
    <r>
      <t xml:space="preserve">i) For the Cost of Debt Cd of modeled hypothetical SPs </t>
    </r>
    <r>
      <rPr>
        <sz val="10"/>
        <rFont val="Arial"/>
        <family val="2"/>
      </rPr>
      <t>in 'WACC 4'.</t>
    </r>
  </si>
  <si>
    <t>ii) But before that: for PV OL estimates of benchmarked SPs which are not rated.</t>
  </si>
  <si>
    <r>
      <t>iii) And also for Debt Betas βd</t>
    </r>
    <r>
      <rPr>
        <sz val="10"/>
        <rFont val="Arial"/>
        <family val="2"/>
      </rPr>
      <t xml:space="preserve"> in 'WACC 3'.</t>
    </r>
  </si>
  <si>
    <t>Whatever the chosen approach to βd, it is better to consider prices or yields to constant maturities. Such yields are approximated through various interpolations in composite bond indexes by rating class. In 'WACC 3', βd is decomposed in several items, including the debt premium d = Cd - Rf.</t>
  </si>
  <si>
    <r>
      <t xml:space="preserve">- </t>
    </r>
    <r>
      <rPr>
        <b/>
        <sz val="10"/>
        <rFont val="Arial"/>
        <family val="2"/>
      </rPr>
      <t xml:space="preserve">Belgium </t>
    </r>
    <r>
      <rPr>
        <sz val="10"/>
        <rFont val="Arial"/>
        <family val="2"/>
      </rPr>
      <t>since the government is Belgacom's main shareholder, also for illustration in 'WACC 1'.</t>
    </r>
  </si>
  <si>
    <t>The same applies to data series considered in 'WACC 3' for d, thus βd.</t>
  </si>
  <si>
    <t>Cf. in particular Fitch's note:</t>
  </si>
  <si>
    <r>
      <t>- Logically,</t>
    </r>
    <r>
      <rPr>
        <b/>
        <sz val="10"/>
        <rFont val="Arial"/>
        <family val="2"/>
      </rPr>
      <t xml:space="preserve"> the lower the rating (downgrade), the higher the WACC:</t>
    </r>
  </si>
  <si>
    <r>
      <rPr>
        <sz val="10"/>
        <rFont val="Wingdings"/>
        <charset val="2"/>
      </rPr>
      <t>ä</t>
    </r>
    <r>
      <rPr>
        <sz val="9"/>
        <rFont val="Arial"/>
        <family val="2"/>
      </rPr>
      <t xml:space="preserve"> </t>
    </r>
    <r>
      <rPr>
        <sz val="10"/>
        <rFont val="Arial"/>
        <family val="2"/>
      </rPr>
      <t>WACC: main rating's (direct) impact</t>
    </r>
  </si>
  <si>
    <r>
      <t xml:space="preserve">We need credit rating for all benchmarked SPs : their (pre-tax) Cd is an input to capitalize leases and resulting PV is an input for gearing, thus asset beta as well. Consequently, synthetic ratings also have to be inferred for SPs which are not rated, in the present case: </t>
    </r>
    <r>
      <rPr>
        <b/>
        <sz val="10"/>
        <rFont val="Arial"/>
        <family val="2"/>
      </rPr>
      <t>Mobistar, TEL2, ILD, SNC, i.e.</t>
    </r>
    <r>
      <rPr>
        <sz val="10"/>
        <rFont val="Arial"/>
        <family val="2"/>
      </rPr>
      <t xml:space="preserve"> the </t>
    </r>
    <r>
      <rPr>
        <b/>
        <sz val="10"/>
        <rFont val="Arial"/>
        <family val="2"/>
      </rPr>
      <t>small</t>
    </r>
    <r>
      <rPr>
        <sz val="10"/>
        <rFont val="Arial"/>
        <family val="2"/>
      </rPr>
      <t xml:space="preserve">est </t>
    </r>
    <r>
      <rPr>
        <b/>
        <sz val="10"/>
        <rFont val="Arial"/>
        <family val="2"/>
      </rPr>
      <t>SPs</t>
    </r>
    <r>
      <rPr>
        <sz val="10"/>
        <rFont val="Arial"/>
        <family val="2"/>
      </rPr>
      <t xml:space="preserve"> (SNC, Mobistar) and/or the smallest quasi pure-players / incumbent challengers (TEL2, ILD) - except Telenet.</t>
    </r>
  </si>
  <si>
    <r>
      <t xml:space="preserve">Historical ratings </t>
    </r>
    <r>
      <rPr>
        <sz val="10"/>
        <rFont val="Arial"/>
        <family val="2"/>
      </rPr>
      <t>are here presented</t>
    </r>
    <r>
      <rPr>
        <b/>
        <sz val="10"/>
        <rFont val="Arial"/>
        <family val="2"/>
      </rPr>
      <t xml:space="preserve"> for:</t>
    </r>
  </si>
  <si>
    <r>
      <t>-</t>
    </r>
    <r>
      <rPr>
        <b/>
        <sz val="10"/>
        <rFont val="Arial"/>
        <family val="2"/>
      </rPr>
      <t xml:space="preserve"> </t>
    </r>
    <r>
      <rPr>
        <sz val="10"/>
        <rFont val="Arial"/>
        <family val="2"/>
      </rPr>
      <t xml:space="preserve">Belgian rated SPs </t>
    </r>
    <r>
      <rPr>
        <b/>
        <sz val="10"/>
        <rFont val="Arial"/>
        <family val="2"/>
      </rPr>
      <t>Belgacom &amp; Telenet</t>
    </r>
    <r>
      <rPr>
        <sz val="10"/>
        <rFont val="Arial"/>
        <family val="2"/>
      </rPr>
      <t>;</t>
    </r>
  </si>
  <si>
    <r>
      <t>-</t>
    </r>
    <r>
      <rPr>
        <b/>
        <sz val="10"/>
        <rFont val="Arial"/>
        <family val="2"/>
      </rPr>
      <t xml:space="preserve"> Mobistar's affiliates</t>
    </r>
    <r>
      <rPr>
        <sz val="10"/>
        <rFont val="Arial"/>
        <family val="2"/>
      </rPr>
      <t>: strategic shareholder ORA and rated "sister" company TPS;</t>
    </r>
  </si>
  <si>
    <t>Building specifc Cd matrices by rating &amp; maturity just for them would not be reasonable for the purpose of this determination - if feasible: Bloomberg should provide composite British Industrial yields by rating class in pound sterling, but it is quite unlikely to propose equivalents yields for SWE, DK, NO &amp; CH smaller financial markets.</t>
  </si>
  <si>
    <t>Each credit agency mention several ratings: short-term notes vs. long-term debt (also : subordinated, senior/junior, etc), sometimes for individual debt issues (instrument ratings).</t>
  </si>
  <si>
    <t>S&amp;P:</t>
  </si>
  <si>
    <t>Moddy's:</t>
  </si>
  <si>
    <t xml:space="preserve">Fitch: </t>
  </si>
  <si>
    <t>There are then two types of ratings:</t>
  </si>
  <si>
    <t xml:space="preserve">As mentioned, there are 3 main credit rating agencies (in the western world): </t>
  </si>
  <si>
    <t xml:space="preserve">Remarks: </t>
  </si>
  <si>
    <t xml:space="preserve">then: </t>
  </si>
  <si>
    <r>
      <t xml:space="preserve">Table below shows </t>
    </r>
    <r>
      <rPr>
        <b/>
        <sz val="10"/>
        <rFont val="Arial"/>
        <family val="2"/>
      </rPr>
      <t xml:space="preserve">countries' ratings </t>
    </r>
    <r>
      <rPr>
        <sz val="10"/>
        <rFont val="Arial"/>
        <family val="2"/>
      </rPr>
      <t>(for info):</t>
    </r>
  </si>
  <si>
    <t>This section presents:</t>
  </si>
  <si>
    <r>
      <rPr>
        <b/>
        <sz val="10"/>
        <rFont val="Arial"/>
        <family val="2"/>
      </rPr>
      <t>ii)</t>
    </r>
    <r>
      <rPr>
        <sz val="10"/>
        <rFont val="Arial"/>
        <family val="2"/>
      </rPr>
      <t xml:space="preserve"> Rating metrics, such as those below, essentially regard Debt-related ratios. Even though they may not directly provide accurate synthetic ratings, a consequence of the previous remark (which should be apparent since the Introduction) is an exercise open up in a </t>
    </r>
    <r>
      <rPr>
        <b/>
        <sz val="10"/>
        <rFont val="Arial"/>
        <family val="2"/>
      </rPr>
      <t>circular logic</t>
    </r>
    <r>
      <rPr>
        <sz val="10"/>
        <rFont val="Arial"/>
        <family val="2"/>
      </rPr>
      <t xml:space="preserve">: Debt-related ratios require Cd estimation, which requires rating. But, this may be addressed through an </t>
    </r>
    <r>
      <rPr>
        <b/>
        <sz val="10"/>
        <rFont val="Arial"/>
        <family val="2"/>
      </rPr>
      <t>iterative process</t>
    </r>
    <r>
      <rPr>
        <sz val="10"/>
        <rFont val="Arial"/>
        <family val="2"/>
      </rPr>
      <t>: see hereafter the case for Mobistar.</t>
    </r>
  </si>
  <si>
    <r>
      <rPr>
        <b/>
        <sz val="10"/>
        <rFont val="Arial"/>
        <family val="2"/>
      </rPr>
      <t>ii)</t>
    </r>
    <r>
      <rPr>
        <sz val="10"/>
        <rFont val="Arial"/>
        <family val="2"/>
      </rPr>
      <t xml:space="preserve"> </t>
    </r>
    <r>
      <rPr>
        <b/>
        <sz val="10"/>
        <rFont val="Arial"/>
        <family val="2"/>
      </rPr>
      <t>For tD</t>
    </r>
    <r>
      <rPr>
        <sz val="10"/>
        <rFont val="Arial"/>
        <family val="2"/>
      </rPr>
      <t xml:space="preserve"> (or LT Debt)</t>
    </r>
    <r>
      <rPr>
        <b/>
        <sz val="10"/>
        <rFont val="Arial"/>
        <family val="2"/>
      </rPr>
      <t xml:space="preserve"> /Capital: Capital = tD + Eb + MI</t>
    </r>
    <r>
      <rPr>
        <sz val="10"/>
        <rFont val="Arial"/>
        <family val="2"/>
      </rPr>
      <t>,</t>
    </r>
    <r>
      <rPr>
        <b/>
        <sz val="10"/>
        <rFont val="Arial"/>
        <family val="2"/>
      </rPr>
      <t xml:space="preserve"> </t>
    </r>
    <r>
      <rPr>
        <sz val="10"/>
        <rFont val="Arial"/>
        <family val="2"/>
      </rPr>
      <t xml:space="preserve">with </t>
    </r>
    <r>
      <rPr>
        <b/>
        <sz val="10"/>
        <rFont val="Arial"/>
        <family val="2"/>
      </rPr>
      <t>Eb = shareholder equity</t>
    </r>
    <r>
      <rPr>
        <sz val="10"/>
        <rFont val="Arial"/>
        <family val="2"/>
      </rPr>
      <t xml:space="preserve"> (cf. 'E&amp;Enot') and MI = minority interests. Capital differs from 'tEV' (EV+cash) by using Eb instead of E.</t>
    </r>
  </si>
  <si>
    <t>… which require more explicit assumptions about line items that are challenging to predict accurately:</t>
  </si>
  <si>
    <r>
      <t xml:space="preserve">- </t>
    </r>
    <r>
      <rPr>
        <b/>
        <sz val="10"/>
        <rFont val="Arial"/>
        <family val="2"/>
      </rPr>
      <t>FFO</t>
    </r>
    <r>
      <rPr>
        <sz val="10"/>
        <rFont val="Arial"/>
        <family val="2"/>
      </rPr>
      <t xml:space="preserve"> </t>
    </r>
    <r>
      <rPr>
        <b/>
        <sz val="10"/>
        <rFont val="Arial"/>
        <family val="2"/>
      </rPr>
      <t>(used for FFO/tD)</t>
    </r>
    <r>
      <rPr>
        <sz val="10"/>
        <rFont val="Arial"/>
        <family val="2"/>
      </rPr>
      <t xml:space="preserve"> = Funds from operations = </t>
    </r>
    <r>
      <rPr>
        <sz val="10"/>
        <color theme="0" tint="-0.499984740745262"/>
        <rFont val="Arial"/>
        <family val="2"/>
      </rPr>
      <t>Net income from continuing op. + Depreciation + Amortization + Deferred income taxes + other noncash items</t>
    </r>
    <r>
      <rPr>
        <sz val="9"/>
        <rFont val="Arial"/>
        <family val="2"/>
      </rPr>
      <t xml:space="preserve"> </t>
    </r>
    <r>
      <rPr>
        <sz val="9"/>
        <rFont val="Symbol"/>
        <family val="1"/>
        <charset val="2"/>
      </rPr>
      <t>»</t>
    </r>
    <r>
      <rPr>
        <sz val="9"/>
        <rFont val="Arial"/>
        <family val="2"/>
      </rPr>
      <t xml:space="preserve"> </t>
    </r>
    <r>
      <rPr>
        <sz val="10"/>
        <rFont val="Arial"/>
        <family val="2"/>
      </rPr>
      <t>Ebitda - (tax - deferred tax) - interest</t>
    </r>
  </si>
  <si>
    <r>
      <rPr>
        <b/>
        <sz val="10"/>
        <rFont val="Arial"/>
        <family val="2"/>
      </rPr>
      <t xml:space="preserve">iv) "Coverage" </t>
    </r>
    <r>
      <rPr>
        <sz val="10"/>
        <rFont val="Arial"/>
        <family val="2"/>
      </rPr>
      <t>is</t>
    </r>
    <r>
      <rPr>
        <b/>
        <sz val="10"/>
        <rFont val="Arial"/>
        <family val="2"/>
      </rPr>
      <t xml:space="preserve"> </t>
    </r>
    <r>
      <rPr>
        <sz val="10"/>
        <rFont val="Arial"/>
        <family val="2"/>
      </rPr>
      <t>a measure of a firm’s ability to cover the cost of its borrowed capital (to comply with its short-term debt service obligations) through operating income or cash flow:</t>
    </r>
  </si>
  <si>
    <r>
      <rPr>
        <b/>
        <sz val="10"/>
        <rFont val="Arial"/>
        <family val="2"/>
      </rPr>
      <t>i)</t>
    </r>
    <r>
      <rPr>
        <sz val="10"/>
        <rFont val="Arial"/>
        <family val="2"/>
      </rPr>
      <t xml:space="preserve"> In the next section 'Rating Variation', it can be obseved that </t>
    </r>
    <r>
      <rPr>
        <b/>
        <sz val="10"/>
        <rFont val="Arial"/>
        <family val="2"/>
      </rPr>
      <t>analysts' summary notes</t>
    </r>
    <r>
      <rPr>
        <sz val="10"/>
        <rFont val="Arial"/>
        <family val="2"/>
      </rPr>
      <t xml:space="preserve">: </t>
    </r>
  </si>
  <si>
    <r>
      <t>For Moody's: "</t>
    </r>
    <r>
      <rPr>
        <i/>
        <sz val="10"/>
        <rFont val="Arial"/>
        <family val="2"/>
      </rPr>
      <t>the coverage ratio is particularly meaningful for speculative grade companies, especially in an environment of rising interest rates."</t>
    </r>
  </si>
  <si>
    <r>
      <t xml:space="preserve">- For </t>
    </r>
    <r>
      <rPr>
        <b/>
        <sz val="10"/>
        <rFont val="Arial"/>
        <family val="2"/>
      </rPr>
      <t>Damodaran</t>
    </r>
    <r>
      <rPr>
        <sz val="10"/>
        <rFont val="Arial"/>
        <family val="2"/>
      </rPr>
      <t xml:space="preserve">, the (Ebit) </t>
    </r>
    <r>
      <rPr>
        <b/>
        <sz val="10"/>
        <rFont val="Arial"/>
        <family val="2"/>
      </rPr>
      <t>coverage ratio</t>
    </r>
    <r>
      <rPr>
        <sz val="10"/>
        <rFont val="Arial"/>
        <family val="2"/>
      </rPr>
      <t xml:space="preserve"> is the most appropriate metric to derive synthetic ratings. He also adds in 'Applied Corporate Finance': </t>
    </r>
  </si>
  <si>
    <r>
      <t xml:space="preserve">- Similarily, </t>
    </r>
    <r>
      <rPr>
        <b/>
        <sz val="10"/>
        <rFont val="Arial"/>
        <family val="2"/>
      </rPr>
      <t xml:space="preserve">Koller et al </t>
    </r>
    <r>
      <rPr>
        <sz val="10"/>
        <rFont val="Arial"/>
        <family val="2"/>
      </rPr>
      <t>consider in Valuation</t>
    </r>
    <r>
      <rPr>
        <b/>
        <sz val="10"/>
        <rFont val="Arial"/>
        <family val="2"/>
      </rPr>
      <t xml:space="preserve"> </t>
    </r>
    <r>
      <rPr>
        <sz val="10"/>
        <rFont val="Arial"/>
        <family val="2"/>
      </rPr>
      <t>(McKinsey) that coverage is the main rating's driver, but not only:</t>
    </r>
  </si>
  <si>
    <r>
      <t>"</t>
    </r>
    <r>
      <rPr>
        <i/>
        <sz val="10"/>
        <color theme="1" tint="0.499984740745262"/>
        <rFont val="Arial"/>
        <family val="2"/>
      </rPr>
      <t xml:space="preserve">The process of setting a credit rating for a company is elaborate and relies considerably on qualitative assessment of the historical and likely future performance of a company’s management and business. </t>
    </r>
    <r>
      <rPr>
        <i/>
        <sz val="10"/>
        <rFont val="Arial"/>
        <family val="2"/>
      </rPr>
      <t>Nevertheless, empirical evidence shows that credit ratings are primarily related to two financial indicators:</t>
    </r>
  </si>
  <si>
    <t xml:space="preserve">This is of interest for this determination since Belgian quasi pure-players are among the smallest SPs in our European benchmark.  As the next section further shows, note that : </t>
  </si>
  <si>
    <t>So, we need to further investigate ratings drivers, yet within reason : credit rating - an industry with very few players - is a complex topic by itself. This section provides:</t>
  </si>
  <si>
    <t>Financial governance, risk tolerance</t>
  </si>
  <si>
    <t>See ex. with US utilities :</t>
  </si>
  <si>
    <t>Dividend policies, equity issuance flexibility/restriction</t>
  </si>
  <si>
    <t>Examples of positive influence on SACP:</t>
  </si>
  <si>
    <t>Examples of negative influence on SACP:</t>
  </si>
  <si>
    <t>Examples of potential extraordinary support:</t>
  </si>
  <si>
    <t>Examples of potential extraordinary interference:</t>
  </si>
  <si>
    <t xml:space="preserve">S&amp;P's states that, for its Competitive Position analysis (including Profitability), it reviews SPs': </t>
  </si>
  <si>
    <t>(Only factor with indicated metrics:)</t>
  </si>
  <si>
    <t>Factors influencing business stability and enable realization of scale economies incl:</t>
  </si>
  <si>
    <t>PLEASE NOTE:</t>
  </si>
  <si>
    <t>From following analyses, the Word report determines the generic Fixed and Mobile SPs' ratings with a different and simpler approach. Among other issues, size and ownership (by a generic integrated domestic SP) are addressed in its preliminary section 3.1. From here, consider rather this 'RATINGS' sheet for its inputs: data, sources and quotes from credit rating agencies.</t>
  </si>
  <si>
    <t>Following text is not adjusted either with revised post-consultation D/Ebitda.</t>
  </si>
  <si>
    <t>(Then 1 / 0 / 1 notch)</t>
  </si>
  <si>
    <t xml:space="preserve">- This approach does not imply that these entities then should be individually rated, no more than that they would be individually listed and/or able to raise debt financing (which, generally, would not be very efficient). In essence, it is rather about estimating the impact of a given activity on the group's rating - or its gearing as in the previous sheet, or its Beta as in 'WACC 3'. </t>
  </si>
  <si>
    <t>- In the present case, the question becomes: what SACP would be assigned to the generic integrated SP if it had Fixed or Mobile features - while still enjoying group synergies, scale, etc. ?</t>
  </si>
  <si>
    <t>Previous sheets present the only differentiated features which are identifiable at this stage, in practice for ratings:</t>
  </si>
  <si>
    <t>* Whereas Business Risk profiles may not be differentiated, as stated in § iii: 'Satisfactory' both for Fixed and Mobile.</t>
  </si>
  <si>
    <t>- First, each of these SPs would be around half the size of the generic integrated SP, or 1/6 Belgium's telecom market, probably putting them at the (low) "extreme" Kohler is thinking of.</t>
  </si>
  <si>
    <r>
      <t xml:space="preserve">è </t>
    </r>
    <r>
      <rPr>
        <b/>
        <sz val="10"/>
        <color theme="1" tint="0.499984740745262"/>
        <rFont val="Arial"/>
        <family val="2"/>
      </rPr>
      <t>Generic SPs' Business Risk Profiles</t>
    </r>
  </si>
  <si>
    <r>
      <rPr>
        <b/>
        <sz val="10"/>
        <color theme="1" tint="0.499984740745262"/>
        <rFont val="Arial"/>
        <family val="2"/>
      </rPr>
      <t>1)</t>
    </r>
    <r>
      <rPr>
        <sz val="10"/>
        <color theme="1" tint="0.499984740745262"/>
        <rFont val="Arial"/>
        <family val="2"/>
      </rPr>
      <t xml:space="preserve"> It is later shown that </t>
    </r>
    <r>
      <rPr>
        <b/>
        <sz val="10"/>
        <color theme="1" tint="0.499984740745262"/>
        <rFont val="Arial"/>
        <family val="2"/>
      </rPr>
      <t>Belgacom</t>
    </r>
    <r>
      <rPr>
        <sz val="10"/>
        <color theme="1" tint="0.499984740745262"/>
        <rFont val="Arial"/>
        <family val="2"/>
      </rPr>
      <t xml:space="preserve">'s SACP is 'a', in line with its ICR (A), while its financial risk could probably be qualified as "Minimal" by S&amp;P's standard (or at worst "Modest") with a leverage below 1.5x. From above matrix, this implies a </t>
    </r>
    <r>
      <rPr>
        <b/>
        <sz val="10"/>
        <color theme="1" tint="0.499984740745262"/>
        <rFont val="Arial"/>
        <family val="2"/>
      </rPr>
      <t>"Strong" Business Risk profile</t>
    </r>
    <r>
      <rPr>
        <sz val="10"/>
        <color theme="1" tint="0.499984740745262"/>
        <rFont val="Arial"/>
        <family val="2"/>
      </rPr>
      <t xml:space="preserve"> (at worst "Satisfactory") by S&amp;P's definition.</t>
    </r>
  </si>
  <si>
    <r>
      <rPr>
        <b/>
        <sz val="10"/>
        <color theme="1" tint="0.499984740745262"/>
        <rFont val="Arial"/>
        <family val="2"/>
      </rPr>
      <t>2)</t>
    </r>
    <r>
      <rPr>
        <sz val="10"/>
        <color theme="1" tint="0.499984740745262"/>
        <rFont val="Arial"/>
        <family val="2"/>
      </rPr>
      <t xml:space="preserve"> The Business Risk profile of an </t>
    </r>
    <r>
      <rPr>
        <b/>
        <sz val="10"/>
        <color theme="1" tint="0.499984740745262"/>
        <rFont val="Arial"/>
        <family val="2"/>
      </rPr>
      <t>hypothetical domestic integrated SP</t>
    </r>
    <r>
      <rPr>
        <sz val="10"/>
        <color theme="1" tint="0.499984740745262"/>
        <rFont val="Arial"/>
        <family val="2"/>
      </rPr>
      <t xml:space="preserve"> </t>
    </r>
    <r>
      <rPr>
        <b/>
        <sz val="10"/>
        <color theme="1" tint="0.499984740745262"/>
        <rFont val="Arial"/>
        <family val="2"/>
      </rPr>
      <t>- both average and efficient</t>
    </r>
    <r>
      <rPr>
        <sz val="10"/>
        <color theme="1" tint="0.499984740745262"/>
        <rFont val="Arial"/>
        <family val="2"/>
      </rPr>
      <t xml:space="preserve"> - could be conservatively assumed to be </t>
    </r>
    <r>
      <rPr>
        <b/>
        <sz val="10"/>
        <color theme="1" tint="0.499984740745262"/>
        <rFont val="Arial"/>
        <family val="2"/>
      </rPr>
      <t>'Satisfactory'</t>
    </r>
    <r>
      <rPr>
        <sz val="10"/>
        <color theme="1" tint="0.499984740745262"/>
        <rFont val="Arial"/>
        <family val="2"/>
      </rPr>
      <t xml:space="preserve">. </t>
    </r>
  </si>
  <si>
    <r>
      <t>- While Belgacom's weights a bit more than half of the sector's Market Cap in Belgium, this average SP would account for around a third, i.e. a bit more than half the size of Belgacom (</t>
    </r>
    <r>
      <rPr>
        <sz val="10"/>
        <color theme="1" tint="0.499984740745262"/>
        <rFont val="Symbol"/>
        <family val="1"/>
        <charset val="2"/>
      </rPr>
      <t xml:space="preserve">» </t>
    </r>
    <r>
      <rPr>
        <sz val="10"/>
        <color theme="1" tint="0.499984740745262"/>
        <rFont val="Arial"/>
        <family val="2"/>
      </rPr>
      <t xml:space="preserve">Telenet's). This </t>
    </r>
    <r>
      <rPr>
        <b/>
        <sz val="10"/>
        <color theme="1" tint="0.499984740745262"/>
        <rFont val="Arial"/>
        <family val="2"/>
      </rPr>
      <t>smaller size/scale</t>
    </r>
    <r>
      <rPr>
        <sz val="10"/>
        <color theme="1" tint="0.499984740745262"/>
        <rFont val="Arial"/>
        <family val="2"/>
      </rPr>
      <t xml:space="preserve"> is the main reason for the proposed downgrade of around 1 level from Belgacom's.</t>
    </r>
  </si>
  <si>
    <r>
      <rPr>
        <b/>
        <sz val="10"/>
        <color theme="1" tint="0.499984740745262"/>
        <rFont val="Arial"/>
        <family val="2"/>
      </rPr>
      <t>3)</t>
    </r>
    <r>
      <rPr>
        <sz val="10"/>
        <color theme="1" tint="0.499984740745262"/>
        <rFont val="Arial"/>
        <family val="2"/>
      </rPr>
      <t xml:space="preserve"> The Business Risk profile of </t>
    </r>
    <r>
      <rPr>
        <b/>
        <sz val="10"/>
        <color theme="1" tint="0.499984740745262"/>
        <rFont val="Arial"/>
        <family val="2"/>
      </rPr>
      <t xml:space="preserve">Belgian generic stand-alone pure-player </t>
    </r>
    <r>
      <rPr>
        <sz val="10"/>
        <color theme="1" tint="0.499984740745262"/>
        <rFont val="Arial"/>
        <family val="2"/>
      </rPr>
      <t xml:space="preserve">may be rather assumed to be </t>
    </r>
    <r>
      <rPr>
        <b/>
        <sz val="10"/>
        <color theme="1" tint="0.499984740745262"/>
        <rFont val="Arial"/>
        <family val="2"/>
      </rPr>
      <t>"Fair"</t>
    </r>
    <r>
      <rPr>
        <sz val="10"/>
        <color theme="1" tint="0.499984740745262"/>
        <rFont val="Arial"/>
        <family val="2"/>
      </rPr>
      <t xml:space="preserve"> = 1-line downgrade from their integrated counterpart = 2 rating notches until 'Intermediate' Financial Risk :</t>
    </r>
  </si>
  <si>
    <r>
      <t xml:space="preserve">- Second, in the current environment where converging services offering has moved from a KSF to an almost prerequisite, the Business Risk profile of a very small </t>
    </r>
    <r>
      <rPr>
        <b/>
        <sz val="10"/>
        <color theme="1" tint="0.499984740745262"/>
        <rFont val="Arial"/>
        <family val="2"/>
      </rPr>
      <t>&amp;</t>
    </r>
    <r>
      <rPr>
        <sz val="10"/>
        <color theme="1" tint="0.499984740745262"/>
        <rFont val="Arial"/>
        <family val="2"/>
      </rPr>
      <t xml:space="preserve"> single-activity SP may not be qualified as "satisfactory" (although we don't know the precise definition of S&amp;P's 'Satisfactory' label). It is the combination of these 2 factors, small &amp; single business, that significantly downgrade their profile, in our view. Otherwise, huge and geographically diversified Vodafone would not enjoy an excellent A- rating. </t>
    </r>
  </si>
  <si>
    <r>
      <t xml:space="preserve">- Also, for these hypothetical SPs, we may </t>
    </r>
    <r>
      <rPr>
        <b/>
        <sz val="10"/>
        <color theme="1" tint="0.499984740745262"/>
        <rFont val="Arial"/>
        <family val="2"/>
      </rPr>
      <t>not differentiate Fixed line's and Mobile's Business Risk profiles</t>
    </r>
    <r>
      <rPr>
        <sz val="10"/>
        <color theme="1" tint="0.499984740745262"/>
        <rFont val="Arial"/>
        <family val="2"/>
      </rPr>
      <t xml:space="preserve"> (in terms of rating assessment), i.e. consider that an average Mobile SP should have a better profile than its Fixed line counterpart - or vice-versa. Situations of real Belgian SPs are far too contrasted to infer any general rule in this respect. We may only hypothetize that each generic SP is performing as best as its size and single activity feature allow along with its (identical) peers.</t>
    </r>
  </si>
  <si>
    <r>
      <t xml:space="preserve">- For a stand-alone Mobile SP : between 'Minimal' and 'Modest' </t>
    </r>
    <r>
      <rPr>
        <b/>
        <sz val="10"/>
        <color theme="1" tint="0.499984740745262"/>
        <rFont val="Symbol"/>
        <family val="1"/>
        <charset val="2"/>
      </rPr>
      <t>®</t>
    </r>
    <r>
      <rPr>
        <b/>
        <sz val="9"/>
        <color theme="1" tint="0.499984740745262"/>
        <rFont val="Arial"/>
        <family val="2"/>
      </rPr>
      <t xml:space="preserve"> </t>
    </r>
    <r>
      <rPr>
        <b/>
        <sz val="10"/>
        <color theme="1" tint="0.499984740745262"/>
        <rFont val="Arial"/>
        <family val="2"/>
      </rPr>
      <t>SACP around bbb;</t>
    </r>
  </si>
  <si>
    <r>
      <t xml:space="preserve">- For a stand-alone Fixed : 'Intermediate' SP </t>
    </r>
    <r>
      <rPr>
        <b/>
        <sz val="10"/>
        <color theme="1" tint="0.499984740745262"/>
        <rFont val="Symbol"/>
        <family val="1"/>
        <charset val="2"/>
      </rPr>
      <t>®</t>
    </r>
    <r>
      <rPr>
        <b/>
        <sz val="10"/>
        <color theme="1" tint="0.499984740745262"/>
        <rFont val="Arial"/>
        <family val="2"/>
      </rPr>
      <t xml:space="preserve"> SACP at bb+</t>
    </r>
  </si>
  <si>
    <r>
      <rPr>
        <b/>
        <sz val="10"/>
        <color theme="1" tint="0.499984740745262"/>
        <rFont val="Arial"/>
        <family val="2"/>
      </rPr>
      <t>4)</t>
    </r>
    <r>
      <rPr>
        <sz val="10"/>
        <color theme="1" tint="0.499984740745262"/>
        <rFont val="Arial"/>
        <family val="2"/>
      </rPr>
      <t xml:space="preserve"> However, </t>
    </r>
    <r>
      <rPr>
        <b/>
        <sz val="10"/>
        <color theme="1" tint="0.499984740745262"/>
        <rFont val="Arial"/>
        <family val="2"/>
      </rPr>
      <t xml:space="preserve">the hypothesis of small standalone pure-players may itself contradict or unduly downgrade the efficiency assumption, </t>
    </r>
    <r>
      <rPr>
        <sz val="10"/>
        <color theme="1" tint="0.499984740745262"/>
        <rFont val="Arial"/>
        <family val="2"/>
      </rPr>
      <t xml:space="preserve">for the above reason. Therefore, we are in the view that the generic Mobile and Fixed SPs </t>
    </r>
    <r>
      <rPr>
        <b/>
        <sz val="10"/>
        <color theme="1" tint="0.499984740745262"/>
        <rFont val="Arial"/>
        <family val="2"/>
      </rPr>
      <t>should be instead considered as entities owned by the previous hypothetical well-integrated domestic SP.</t>
    </r>
  </si>
  <si>
    <r>
      <rPr>
        <sz val="9"/>
        <color theme="1" tint="0.499984740745262"/>
        <rFont val="Arial"/>
        <family val="2"/>
      </rPr>
      <t>*</t>
    </r>
    <r>
      <rPr>
        <sz val="10"/>
        <color theme="1" tint="0.499984740745262"/>
        <rFont val="Arial"/>
        <family val="2"/>
      </rPr>
      <t xml:space="preserve"> Our main available Financial Risk metric: tD*/Ebitda*; </t>
    </r>
  </si>
  <si>
    <r>
      <rPr>
        <b/>
        <sz val="10"/>
        <color theme="1" tint="0.499984740745262"/>
        <rFont val="Wingdings"/>
        <charset val="2"/>
      </rPr>
      <t>è</t>
    </r>
    <r>
      <rPr>
        <b/>
        <sz val="9"/>
        <color theme="1" tint="0.499984740745262"/>
        <rFont val="Arial"/>
        <family val="2"/>
      </rPr>
      <t xml:space="preserve"> </t>
    </r>
    <r>
      <rPr>
        <b/>
        <sz val="10"/>
        <color theme="1" tint="0.499984740745262"/>
        <rFont val="Arial"/>
        <family val="2"/>
      </rPr>
      <t>Preliminary SACP Estimates</t>
    </r>
  </si>
  <si>
    <r>
      <t xml:space="preserve">* Mobile in integrated SP </t>
    </r>
    <r>
      <rPr>
        <b/>
        <sz val="10"/>
        <color theme="1" tint="0.499984740745262"/>
        <rFont val="Symbol"/>
        <family val="1"/>
        <charset val="2"/>
      </rPr>
      <t>®</t>
    </r>
    <r>
      <rPr>
        <b/>
        <sz val="9"/>
        <color theme="1" tint="0.499984740745262"/>
        <rFont val="Arial"/>
        <family val="2"/>
      </rPr>
      <t xml:space="preserve"> </t>
    </r>
    <r>
      <rPr>
        <b/>
        <sz val="10"/>
        <color theme="1" tint="0.499984740745262"/>
        <rFont val="Arial"/>
        <family val="2"/>
      </rPr>
      <t>SACP around a-/bbb+</t>
    </r>
  </si>
  <si>
    <r>
      <t xml:space="preserve">* Fixed in integrated SP </t>
    </r>
    <r>
      <rPr>
        <b/>
        <sz val="10"/>
        <color theme="1" tint="0.499984740745262"/>
        <rFont val="Symbol"/>
        <family val="1"/>
        <charset val="2"/>
      </rPr>
      <t>®</t>
    </r>
    <r>
      <rPr>
        <b/>
        <sz val="10"/>
        <color theme="1" tint="0.499984740745262"/>
        <rFont val="Arial"/>
        <family val="2"/>
      </rPr>
      <t xml:space="preserve"> SACP at bbb</t>
    </r>
  </si>
  <si>
    <t>Role-link matrix for assessing the likelihood of extraordinary government support:</t>
  </si>
  <si>
    <r>
      <rPr>
        <sz val="10"/>
        <rFont val="Arial"/>
        <family val="2"/>
      </rPr>
      <t>Rating a</t>
    </r>
    <r>
      <rPr>
        <b/>
        <sz val="10"/>
        <rFont val="Arial"/>
        <family val="2"/>
      </rPr>
      <t xml:space="preserve"> GRE's subsidiaries</t>
    </r>
    <r>
      <rPr>
        <sz val="10"/>
        <rFont val="Arial"/>
        <family val="2"/>
      </rPr>
      <t>:</t>
    </r>
  </si>
  <si>
    <r>
      <t xml:space="preserve">- </t>
    </r>
    <r>
      <rPr>
        <b/>
        <i/>
        <sz val="10"/>
        <rFont val="Arial"/>
        <family val="2"/>
      </rPr>
      <t>Case 1: The subsidiary is essentially not a GRE</t>
    </r>
    <r>
      <rPr>
        <i/>
        <sz val="10"/>
        <rFont val="Arial"/>
        <family val="2"/>
      </rPr>
      <t>.  We rate the subsidiary primarily from a parent-subsidiary perspective, taking as a reference the parent's SACP.</t>
    </r>
  </si>
  <si>
    <r>
      <t xml:space="preserve">Ex: Govt AA [= Belgium], Parent's ICR A [= Belgacom], Parents SACP bbb+ [Belgacom a], Subsdiary's SACP bbb-     </t>
    </r>
    <r>
      <rPr>
        <i/>
        <sz val="10"/>
        <rFont val="Symbol"/>
        <family val="1"/>
        <charset val="2"/>
      </rPr>
      <t>®</t>
    </r>
    <r>
      <rPr>
        <i/>
        <sz val="9"/>
        <rFont val="Arial"/>
        <family val="2"/>
      </rPr>
      <t xml:space="preserve"> </t>
    </r>
    <r>
      <rPr>
        <i/>
        <sz val="10"/>
        <rFont val="Arial"/>
        <family val="2"/>
      </rPr>
      <t>Subsdiary's ICR typically between BBB- and BBB+.</t>
    </r>
  </si>
  <si>
    <r>
      <t xml:space="preserve">- </t>
    </r>
    <r>
      <rPr>
        <b/>
        <i/>
        <sz val="10"/>
        <rFont val="Arial"/>
        <family val="2"/>
      </rPr>
      <t>Case 3: The subsidiary is a prominent GRE</t>
    </r>
    <r>
      <rPr>
        <i/>
        <sz val="10"/>
        <rFont val="Arial"/>
        <family val="2"/>
      </rPr>
      <t xml:space="preserve">. In situations where, despite its subsidiary status, the GRE discharges important policy or other functions, we consider both GRE and parent-subsidiary approaches but will likely place more weight on the former. And the subsidiary's ICR is not necessarily limited by that of its parent. </t>
    </r>
  </si>
  <si>
    <r>
      <t xml:space="preserve">è </t>
    </r>
    <r>
      <rPr>
        <b/>
        <sz val="10"/>
        <color theme="1" tint="0.499984740745262"/>
        <rFont val="Arial"/>
        <family val="2"/>
      </rPr>
      <t xml:space="preserve">Generic SPs GRE Status </t>
    </r>
  </si>
  <si>
    <r>
      <rPr>
        <b/>
        <sz val="10"/>
        <color theme="1" tint="0.499984740745262"/>
        <rFont val="Arial"/>
        <family val="2"/>
      </rPr>
      <t>ii)</t>
    </r>
    <r>
      <rPr>
        <sz val="10"/>
        <color theme="1" tint="0.499984740745262"/>
        <rFont val="Arial"/>
        <family val="2"/>
      </rPr>
      <t xml:space="preserve"> However, it could be easily and reasonably assume that the</t>
    </r>
    <r>
      <rPr>
        <b/>
        <sz val="10"/>
        <color theme="1" tint="0.499984740745262"/>
        <rFont val="Arial"/>
        <family val="2"/>
      </rPr>
      <t xml:space="preserve"> govt support should be 'Low'</t>
    </r>
    <r>
      <rPr>
        <sz val="10"/>
        <color theme="1" tint="0.499984740745262"/>
        <rFont val="Arial"/>
        <family val="2"/>
      </rPr>
      <t xml:space="preserve"> for a Belgian generic integrated SP : see above description of 'Low' govt support.</t>
    </r>
  </si>
  <si>
    <r>
      <t xml:space="preserve">So 'Low' remains an appropriate characterization </t>
    </r>
    <r>
      <rPr>
        <sz val="10"/>
        <color theme="1" tint="0.499984740745262"/>
        <rFont val="Symbol"/>
        <family val="1"/>
        <charset val="2"/>
      </rPr>
      <t>®</t>
    </r>
    <r>
      <rPr>
        <sz val="10"/>
        <color theme="1" tint="0.499984740745262"/>
        <rFont val="Arial"/>
        <family val="2"/>
      </rPr>
      <t xml:space="preserve"> </t>
    </r>
    <r>
      <rPr>
        <b/>
        <sz val="10"/>
        <color theme="1" tint="0.499984740745262"/>
        <rFont val="Arial"/>
        <family val="2"/>
      </rPr>
      <t>ICR = SACP</t>
    </r>
  </si>
  <si>
    <r>
      <rPr>
        <sz val="10"/>
        <color theme="1" tint="0.499984740745262"/>
        <rFont val="Wingdings"/>
        <charset val="2"/>
      </rPr>
      <t>è</t>
    </r>
    <r>
      <rPr>
        <sz val="9"/>
        <color theme="1" tint="0.499984740745262"/>
        <rFont val="Arial"/>
        <family val="2"/>
      </rPr>
      <t xml:space="preserve"> </t>
    </r>
    <r>
      <rPr>
        <b/>
        <sz val="10"/>
        <color theme="1" tint="0.499984740745262"/>
        <rFont val="Arial"/>
        <family val="2"/>
      </rPr>
      <t>Preliminary Rating Estimates</t>
    </r>
  </si>
  <si>
    <r>
      <t xml:space="preserve">* Mobile in integrated SP </t>
    </r>
    <r>
      <rPr>
        <b/>
        <sz val="10"/>
        <color theme="1" tint="0.499984740745262"/>
        <rFont val="Symbol"/>
        <family val="1"/>
        <charset val="2"/>
      </rPr>
      <t>®</t>
    </r>
    <r>
      <rPr>
        <b/>
        <sz val="9"/>
        <color theme="1" tint="0.499984740745262"/>
        <rFont val="Arial"/>
        <family val="2"/>
      </rPr>
      <t xml:space="preserve"> </t>
    </r>
    <r>
      <rPr>
        <b/>
        <sz val="10"/>
        <color theme="1" tint="0.499984740745262"/>
        <rFont val="Arial"/>
        <family val="2"/>
      </rPr>
      <t>ICR around A/A-</t>
    </r>
  </si>
  <si>
    <r>
      <t xml:space="preserve">* Fixed in integrated SP </t>
    </r>
    <r>
      <rPr>
        <b/>
        <sz val="10"/>
        <color theme="1" tint="0.499984740745262"/>
        <rFont val="Symbol"/>
        <family val="1"/>
        <charset val="2"/>
      </rPr>
      <t>®</t>
    </r>
    <r>
      <rPr>
        <b/>
        <sz val="10"/>
        <color theme="1" tint="0.499984740745262"/>
        <rFont val="Arial"/>
        <family val="2"/>
      </rPr>
      <t xml:space="preserve"> ICR at BBB+</t>
    </r>
  </si>
  <si>
    <r>
      <rPr>
        <b/>
        <sz val="10"/>
        <color theme="1" tint="0.499984740745262"/>
        <rFont val="Arial"/>
        <family val="2"/>
      </rPr>
      <t>iii)</t>
    </r>
    <r>
      <rPr>
        <sz val="10"/>
        <color theme="1" tint="0.499984740745262"/>
        <rFont val="Arial"/>
        <family val="2"/>
      </rPr>
      <t xml:space="preserve"> If we consider generic stand-alone pure-players rather than subsidiaries of a larger integrated SP, govt support would be even lower with possibly no GRE status at all (above 'Case 1'). At ICR's level, this does not change anything.</t>
    </r>
  </si>
  <si>
    <r>
      <t xml:space="preserve">We consider the rationale for extraordinary govt support to be significantly weaker for the subsidiary than for the parent (for a variety of reasons: indirect link, role of lower importance to the govt, operations in a different country, group restructuring/divestments/strategic revisions in a period of stress, etc.). Ex. with same inputs   </t>
    </r>
    <r>
      <rPr>
        <sz val="10"/>
        <rFont val="Symbol"/>
        <family val="1"/>
        <charset val="2"/>
      </rPr>
      <t>®</t>
    </r>
    <r>
      <rPr>
        <i/>
        <sz val="9"/>
        <rFont val="Arial"/>
        <family val="2"/>
      </rPr>
      <t xml:space="preserve"> </t>
    </r>
    <r>
      <rPr>
        <i/>
        <sz val="10"/>
        <rFont val="Arial"/>
        <family val="2"/>
      </rPr>
      <t>Subsdiary's ICR typically between BBB- and A.</t>
    </r>
  </si>
  <si>
    <r>
      <rPr>
        <b/>
        <sz val="10"/>
        <color theme="1" tint="0.499984740745262"/>
        <rFont val="Arial"/>
        <family val="2"/>
      </rPr>
      <t xml:space="preserve">i) </t>
    </r>
    <r>
      <rPr>
        <sz val="10"/>
        <color theme="1" tint="0.499984740745262"/>
        <rFont val="Arial"/>
        <family val="2"/>
      </rPr>
      <t xml:space="preserve">The </t>
    </r>
    <r>
      <rPr>
        <b/>
        <sz val="10"/>
        <color theme="1" tint="0.499984740745262"/>
        <rFont val="Arial"/>
        <family val="2"/>
      </rPr>
      <t>GRE issue</t>
    </r>
    <r>
      <rPr>
        <sz val="10"/>
        <color theme="1" tint="0.499984740745262"/>
        <rFont val="Arial"/>
        <family val="2"/>
      </rPr>
      <t xml:space="preserve"> seems to further complexifies rating estimation since it requires additional assumptions about the generic SP's profile, at least in Belgium:</t>
    </r>
  </si>
  <si>
    <t>- On one hand, there is an incumbent SP with a clear GRE status;</t>
  </si>
  <si>
    <t>This paragraph presents (mainly) for info:</t>
  </si>
  <si>
    <t>Aggregate Weighted Total Factor Score x give then and a Grid-Indicated Rating:</t>
  </si>
  <si>
    <r>
      <t xml:space="preserve">- </t>
    </r>
    <r>
      <rPr>
        <b/>
        <i/>
        <sz val="10"/>
        <rFont val="Arial"/>
        <family val="2"/>
      </rPr>
      <t>Market share</t>
    </r>
    <r>
      <rPr>
        <i/>
        <sz val="10"/>
        <rFont val="Arial"/>
        <family val="2"/>
      </rPr>
      <t xml:space="preserve"> : small SPs typically have strong positions in niche mkts. However, we may not view a SP’s mkt share as “leading” when a wider definition of the mkt is more appropriate.</t>
    </r>
  </si>
  <si>
    <t>For Factor 1 = Scale / Business Model / Competitive Environment / Technology (27%), analysis differentiating:</t>
  </si>
  <si>
    <r>
      <t xml:space="preserve">Moody's lists </t>
    </r>
    <r>
      <rPr>
        <i/>
        <sz val="10"/>
        <rFont val="Arial"/>
        <family val="2"/>
      </rPr>
      <t>assumptions, limitations and rating considerations that are not covered in the Grid</t>
    </r>
    <r>
      <rPr>
        <sz val="10"/>
        <rFont val="Arial"/>
        <family val="2"/>
      </rPr>
      <t>, including:</t>
    </r>
  </si>
  <si>
    <t>Out of 25 assigned ratings:</t>
  </si>
  <si>
    <r>
      <rPr>
        <sz val="10"/>
        <color theme="1" tint="0.499984740745262"/>
        <rFont val="Arial"/>
        <family val="2"/>
      </rPr>
      <t>Appendix:</t>
    </r>
    <r>
      <rPr>
        <i/>
        <sz val="10"/>
        <color theme="1" tint="0.499984740745262"/>
        <rFont val="Arial"/>
        <family val="2"/>
      </rPr>
      <t xml:space="preserve"> Key Rating Issues Going Into the Next Decade</t>
    </r>
  </si>
  <si>
    <t xml:space="preserve">Rating Methodology: Global Pay TV, Cable and Direct to Home Satellite Op. </t>
  </si>
  <si>
    <r>
      <t xml:space="preserve">Moody's Rating Methodology: Global </t>
    </r>
    <r>
      <rPr>
        <b/>
        <u/>
        <sz val="10"/>
        <rFont val="Arial"/>
        <family val="2"/>
      </rPr>
      <t>Telecommunications</t>
    </r>
    <r>
      <rPr>
        <u/>
        <sz val="10"/>
        <rFont val="Arial"/>
        <family val="2"/>
      </rPr>
      <t xml:space="preserve"> Industry (pdf, Dec. 2010)</t>
    </r>
  </si>
  <si>
    <r>
      <t>Stand-Alone Credit Profiles</t>
    </r>
    <r>
      <rPr>
        <b/>
        <u/>
        <sz val="10"/>
        <rFont val="Arial"/>
        <family val="2"/>
      </rPr>
      <t xml:space="preserve"> (SACP)</t>
    </r>
    <r>
      <rPr>
        <u/>
        <sz val="10"/>
        <rFont val="Arial"/>
        <family val="2"/>
      </rPr>
      <t>: One Component Of A Rating</t>
    </r>
  </si>
  <si>
    <r>
      <t xml:space="preserve">- </t>
    </r>
    <r>
      <rPr>
        <b/>
        <i/>
        <sz val="10"/>
        <rFont val="Arial"/>
        <family val="2"/>
      </rPr>
      <t>Regulation</t>
    </r>
    <r>
      <rPr>
        <i/>
        <sz val="10"/>
        <rFont val="Arial"/>
        <family val="2"/>
      </rPr>
      <t xml:space="preserve"> impacts ratings primarily because it can help or hinder the ability of a company to predictably grow its return on investment. Its impact is primarily felt in the way it influences the competitive environment. Sub-factor assessed on 4 aspects: (i) support for ROI; (ii) predictability; (iii) regulatory barriers to entry, such as propensity for additional licenses or concessions to be issued; and (iv) level of reliance on a regulated revenue stream or service subsidies. </t>
    </r>
    <r>
      <rPr>
        <sz val="10"/>
        <rFont val="Arial"/>
        <family val="2"/>
      </rPr>
      <t xml:space="preserve">[This assessment also varies according to the SP: what is good for one may not be so for another SP.] </t>
    </r>
  </si>
  <si>
    <r>
      <t xml:space="preserve">- Financial Strength </t>
    </r>
    <r>
      <rPr>
        <sz val="10"/>
        <rFont val="Arial"/>
        <family val="2"/>
      </rPr>
      <t>[ 47%: a bit less than the rest, like in S&amp;P's assessment with investment grade firms ]:</t>
    </r>
  </si>
  <si>
    <r>
      <t xml:space="preserve">In </t>
    </r>
    <r>
      <rPr>
        <u/>
        <sz val="10"/>
        <rFont val="Arial"/>
        <family val="2"/>
      </rPr>
      <t xml:space="preserve">Rating Methodology - </t>
    </r>
    <r>
      <rPr>
        <b/>
        <u/>
        <sz val="10"/>
        <rFont val="Arial"/>
        <family val="2"/>
      </rPr>
      <t>GRIs</t>
    </r>
    <r>
      <rPr>
        <u/>
        <sz val="10"/>
        <rFont val="Arial"/>
        <family val="2"/>
      </rPr>
      <t xml:space="preserve"> (pdf, July 2010)</t>
    </r>
    <r>
      <rPr>
        <sz val="10"/>
        <rFont val="Arial"/>
        <family val="2"/>
      </rPr>
      <t>, as for S&amp;P's, Moody's Joint Default Analysis accounts for:</t>
    </r>
  </si>
  <si>
    <t>- Support: an estimate of the likelihood of extraordinary government support, with % Ownership as the sole metric.</t>
  </si>
  <si>
    <t>- The GRI’s standalone risk (BCA) and the supporting government's rating;</t>
  </si>
  <si>
    <t xml:space="preserve">- Dependence: an estimate of the default correlation between the two entities, incl. various Scorecard estimates; </t>
  </si>
  <si>
    <t>- Competition will intensify;</t>
  </si>
  <si>
    <t>- Regulation will remain important;</t>
  </si>
  <si>
    <t>- Capital intensity will persist;</t>
  </si>
  <si>
    <t>- M&amp;A activity expected to remain high;</t>
  </si>
  <si>
    <t>See also for Telenet (pdf, April 2013):</t>
  </si>
  <si>
    <t>This last section before concluding presents:</t>
  </si>
  <si>
    <t>[Belgacom and Telenet may provide aditional documents requiring premium access: recent S&amp;P's Summary note, Moody's Credit opinions, related industry analyses, etc.]</t>
  </si>
  <si>
    <t>- The evolution of key SPs' actual and composite ratings (beside Belgium's sovereign ratings), with extracts from agencies' freely available documents/abstracts showing how analysts ultimately motivate and summarize changes in assigned ratings/outlooks;</t>
  </si>
  <si>
    <t>- Adjusted rating estimates for already rated Belgian SPs, along with their 'normalized' values/assumptions from the 'Gearing' sheet;</t>
  </si>
  <si>
    <t>- Adjustements also for generic SPs' ratings from Belgacom's;</t>
  </si>
  <si>
    <t>1 notch downgrade in Nov. 2011: from AA+ (AAA in local currrency) to AA, with a Negative outlook since Jan. 2012</t>
  </si>
  <si>
    <t>2 notches downgrade in Dec. 2011: from Aa1 =AA+ to Aa3 = AA-, also with a Negative outlook</t>
  </si>
  <si>
    <t>1 notch downgrade in January 2012: from AA+ to AA, also with a Negative outlok.</t>
  </si>
  <si>
    <r>
      <rPr>
        <b/>
        <sz val="10"/>
        <rFont val="Arial"/>
        <family val="2"/>
      </rPr>
      <t xml:space="preserve">Belgium: </t>
    </r>
    <r>
      <rPr>
        <sz val="10"/>
        <rFont val="Arial"/>
        <family val="2"/>
      </rPr>
      <t xml:space="preserve"> AA+ until Q3 2011 than AA, with a Negative outlook for the 3 agencies, as of today. (Composite rating would be rather AA- without Fitch.)</t>
    </r>
  </si>
  <si>
    <t>Also:</t>
  </si>
  <si>
    <r>
      <t xml:space="preserve">- </t>
    </r>
    <r>
      <rPr>
        <b/>
        <sz val="10"/>
        <rFont val="Arial"/>
        <family val="2"/>
      </rPr>
      <t>Fixed</t>
    </r>
    <r>
      <rPr>
        <sz val="10"/>
        <rFont val="Arial"/>
        <family val="2"/>
      </rPr>
      <t xml:space="preserve"> only SPs</t>
    </r>
  </si>
  <si>
    <t>&amp; Scale</t>
  </si>
  <si>
    <t>1 notch downgrade 2 Dec 2011: from A+ to A / Stable.</t>
  </si>
  <si>
    <r>
      <t xml:space="preserve">Set at A for the full period: corporate A+ yields not collected but </t>
    </r>
    <r>
      <rPr>
        <sz val="10"/>
        <color theme="1" tint="0.499984740745262"/>
        <rFont val="Symbol"/>
        <family val="1"/>
        <charset val="2"/>
      </rPr>
      <t>D</t>
    </r>
    <r>
      <rPr>
        <sz val="10"/>
        <color theme="1" tint="0.499984740745262"/>
        <rFont val="Arial"/>
        <family val="2"/>
      </rPr>
      <t xml:space="preserve"> with AA is already very slim.</t>
    </r>
  </si>
  <si>
    <t>Same difference between tD/Ea and D/Ea (0.2 on average) by omitting OL.</t>
  </si>
  <si>
    <r>
      <t xml:space="preserve">According to our criteria for rating GREs, we base our 'A' rating on Belgacom on the group's </t>
    </r>
    <r>
      <rPr>
        <b/>
        <i/>
        <sz val="10"/>
        <color theme="1" tint="0.249977111117893"/>
        <rFont val="Arial"/>
        <family val="2"/>
      </rPr>
      <t>SACP</t>
    </r>
    <r>
      <rPr>
        <i/>
        <sz val="10"/>
        <color theme="1" tint="0.249977111117893"/>
        <rFont val="Arial"/>
        <family val="2"/>
      </rPr>
      <t xml:space="preserve">, which we assess at 'a'. </t>
    </r>
    <r>
      <rPr>
        <b/>
        <i/>
        <sz val="10"/>
        <color theme="1" tint="0.249977111117893"/>
        <rFont val="Arial"/>
        <family val="2"/>
      </rPr>
      <t>The rating on the group is now in line with its SACP</t>
    </r>
    <r>
      <rPr>
        <i/>
        <sz val="10"/>
        <color theme="1" tint="0.249977111117893"/>
        <rFont val="Arial"/>
        <family val="2"/>
      </rPr>
      <t>. The rating also factors in our opinion that there is a "moderate" likelihood that the Belgian government would provide timely and sufficient extraordinary support to Belgacom, if it encountered periods of financial distress. This is based on our view of Belgacom's "limited" role for and "strong" link with the Belgian state.</t>
    </r>
  </si>
  <si>
    <r>
      <t xml:space="preserve">Belgacom's SACP is supported by its position as the leading integrated provider of telecoms services in Belgium. We view positively its full ownership of the country's market-leading mobile operator Proximus, the steady growth of its data and bundled products, and its strong free operating cash flow (FOCF) generation. Belgacom's credit quality also benefits from its </t>
    </r>
    <r>
      <rPr>
        <b/>
        <i/>
        <sz val="10"/>
        <color theme="1" tint="0.249977111117893"/>
        <rFont val="Arial"/>
        <family val="2"/>
      </rPr>
      <t>prudent financial policy</t>
    </r>
    <r>
      <rPr>
        <i/>
        <sz val="10"/>
        <color theme="1" tint="0.249977111117893"/>
        <rFont val="Arial"/>
        <family val="2"/>
      </rPr>
      <t xml:space="preserve">, illustrated by its leverage, which we view as moderate at </t>
    </r>
    <r>
      <rPr>
        <b/>
        <i/>
        <sz val="10"/>
        <color theme="1" tint="0.249977111117893"/>
        <rFont val="Arial"/>
        <family val="2"/>
      </rPr>
      <t>1.5x</t>
    </r>
    <r>
      <rPr>
        <i/>
        <sz val="10"/>
        <color theme="1" tint="0.249977111117893"/>
        <rFont val="Arial"/>
        <family val="2"/>
      </rPr>
      <t xml:space="preserve"> at the end of September 2011. </t>
    </r>
  </si>
  <si>
    <r>
      <rPr>
        <b/>
        <i/>
        <sz val="10"/>
        <color theme="1" tint="0.249977111117893"/>
        <rFont val="Arial"/>
        <family val="2"/>
      </rPr>
      <t>A move by Belgacom to a more aggressive financial policy</t>
    </r>
    <r>
      <rPr>
        <i/>
        <sz val="10"/>
        <color theme="1" tint="0.249977111117893"/>
        <rFont val="Arial"/>
        <family val="2"/>
      </rPr>
      <t xml:space="preserve">, a sustained weakening in the group's business risk profile, or a deterioration in the group's financial profile, as a result of a strongly unfavorable judgment relating to ongoing litigation, </t>
    </r>
    <r>
      <rPr>
        <b/>
        <i/>
        <sz val="10"/>
        <color theme="1" tint="0.249977111117893"/>
        <rFont val="Arial"/>
        <family val="2"/>
      </rPr>
      <t>could prompt us to lower our assessment of the SACP</t>
    </r>
    <r>
      <rPr>
        <i/>
        <sz val="10"/>
        <color theme="1" tint="0.249977111117893"/>
        <rFont val="Arial"/>
        <family val="2"/>
      </rPr>
      <t>.</t>
    </r>
  </si>
  <si>
    <r>
      <t xml:space="preserve">We are </t>
    </r>
    <r>
      <rPr>
        <b/>
        <i/>
        <sz val="10"/>
        <color theme="1" tint="0.249977111117893"/>
        <rFont val="Arial"/>
        <family val="2"/>
      </rPr>
      <t>unlikely to raise the SACP on Belgacom in the next couple of years</t>
    </r>
    <r>
      <rPr>
        <i/>
        <sz val="10"/>
        <color theme="1" tint="0.249977111117893"/>
        <rFont val="Arial"/>
        <family val="2"/>
      </rPr>
      <t>, given the strain we see on its business risk profile from competition and regulatory pressures.</t>
    </r>
  </si>
  <si>
    <r>
      <t xml:space="preserve">Belgacom's stable outlook reflects Moody's expectation that the company will sustain its financial ratios at current levels, with a retained cash flow (RCF)/debt ratio of between 25% and 30% and Debt/EBITDA </t>
    </r>
    <r>
      <rPr>
        <b/>
        <i/>
        <sz val="10"/>
        <color theme="1" tint="0.249977111117893"/>
        <rFont val="Arial"/>
        <family val="2"/>
      </rPr>
      <t>above 1.5x</t>
    </r>
    <r>
      <rPr>
        <i/>
        <sz val="10"/>
        <color theme="1" tint="0.249977111117893"/>
        <rFont val="Arial"/>
        <family val="2"/>
      </rPr>
      <t xml:space="preserve">. This expectation is based on Belgacom's balance between shareholder remuneration policies and strong cash flow generation capacity within a </t>
    </r>
    <r>
      <rPr>
        <b/>
        <i/>
        <sz val="10"/>
        <color theme="1" tint="0.249977111117893"/>
        <rFont val="Arial"/>
        <family val="2"/>
      </rPr>
      <t>prudent balance-sheet management strategy</t>
    </r>
    <r>
      <rPr>
        <i/>
        <sz val="10"/>
        <color theme="1" tint="0.249977111117893"/>
        <rFont val="Arial"/>
        <family val="2"/>
      </rPr>
      <t xml:space="preserve">. This approach </t>
    </r>
    <r>
      <rPr>
        <b/>
        <i/>
        <sz val="10"/>
        <color theme="1" tint="0.249977111117893"/>
        <rFont val="Arial"/>
        <family val="2"/>
      </rPr>
      <t>leaves some room</t>
    </r>
    <r>
      <rPr>
        <i/>
        <sz val="10"/>
        <color theme="1" tint="0.249977111117893"/>
        <rFont val="Arial"/>
        <family val="2"/>
      </rPr>
      <t xml:space="preserve"> for further increases in shareholder remuneration and/or additional debt-financed acquisitions.</t>
    </r>
  </si>
  <si>
    <r>
      <t>Nevertheless, given current market uncertainties, Moody's does not expect Belgacom to make any transformational acquisitions and therefore considers it likely that the company will meet its published credit-metric guidance. However,</t>
    </r>
    <r>
      <rPr>
        <b/>
        <i/>
        <sz val="10"/>
        <color theme="1" tint="0.249977111117893"/>
        <rFont val="Arial"/>
        <family val="2"/>
      </rPr>
      <t xml:space="preserve"> </t>
    </r>
    <r>
      <rPr>
        <i/>
        <sz val="10"/>
        <color theme="1" tint="0.249977111117893"/>
        <rFont val="Arial"/>
        <family val="2"/>
      </rPr>
      <t>it</t>
    </r>
    <r>
      <rPr>
        <b/>
        <i/>
        <sz val="10"/>
        <color theme="1" tint="0.249977111117893"/>
        <rFont val="Arial"/>
        <family val="2"/>
      </rPr>
      <t xml:space="preserve"> may make further use of its financial flexibility in the medium term, within the published limit of 2.0x-2.5x reported non-adj. net debt/EBITDA.</t>
    </r>
  </si>
  <si>
    <r>
      <rPr>
        <b/>
        <i/>
        <sz val="10"/>
        <color theme="1" tint="0.249977111117893"/>
        <rFont val="Arial"/>
        <family val="2"/>
      </rPr>
      <t xml:space="preserve">Negative pressure </t>
    </r>
    <r>
      <rPr>
        <i/>
        <sz val="10"/>
        <color theme="1" tint="0.249977111117893"/>
        <rFont val="Arial"/>
        <family val="2"/>
      </rPr>
      <t xml:space="preserve">on Belgacom's rating would be likely to arise </t>
    </r>
    <r>
      <rPr>
        <b/>
        <i/>
        <sz val="10"/>
        <color theme="1" tint="0.249977111117893"/>
        <rFont val="Arial"/>
        <family val="2"/>
      </rPr>
      <t>if</t>
    </r>
    <r>
      <rPr>
        <i/>
        <sz val="10"/>
        <color theme="1" tint="0.249977111117893"/>
        <rFont val="Arial"/>
        <family val="2"/>
      </rPr>
      <t xml:space="preserve"> (i) the level of govt support available to the company were to diminish; (ii) its RCF/debt ratio (before extraordinary dividends being deducted from RCF) were to further deteriorate to around 25%; </t>
    </r>
    <r>
      <rPr>
        <b/>
        <i/>
        <sz val="10"/>
        <color theme="1" tint="0.249977111117893"/>
        <rFont val="Arial"/>
        <family val="2"/>
      </rPr>
      <t>and/or</t>
    </r>
    <r>
      <rPr>
        <i/>
        <sz val="10"/>
        <color theme="1" tint="0.249977111117893"/>
        <rFont val="Arial"/>
        <family val="2"/>
      </rPr>
      <t xml:space="preserve"> </t>
    </r>
    <r>
      <rPr>
        <b/>
        <i/>
        <sz val="10"/>
        <color theme="1" tint="0.249977111117893"/>
        <rFont val="Arial"/>
        <family val="2"/>
      </rPr>
      <t>(iii)</t>
    </r>
    <r>
      <rPr>
        <i/>
        <sz val="10"/>
        <color theme="1" tint="0.249977111117893"/>
        <rFont val="Arial"/>
        <family val="2"/>
      </rPr>
      <t xml:space="preserve"> its debt/EBITDA ratio were to trend </t>
    </r>
    <r>
      <rPr>
        <b/>
        <i/>
        <sz val="10"/>
        <color theme="1" tint="0.249977111117893"/>
        <rFont val="Arial"/>
        <family val="2"/>
      </rPr>
      <t>higher than 2.0x</t>
    </r>
    <r>
      <rPr>
        <i/>
        <sz val="10"/>
        <color theme="1" tint="0.249977111117893"/>
        <rFont val="Arial"/>
        <family val="2"/>
      </rPr>
      <t>. In addition to the factors affecting Belgacom's BCA, the company's ratings could also be affected by changes to the ratings of the supporting govt, or by changes in Moody's assessment of the level of default dependence and support described above.</t>
    </r>
  </si>
  <si>
    <r>
      <rPr>
        <sz val="10"/>
        <color theme="1" tint="0.249977111117893"/>
        <rFont val="Arial"/>
        <family val="2"/>
      </rPr>
      <t>15 Dec. 2010:</t>
    </r>
    <r>
      <rPr>
        <i/>
        <sz val="10"/>
        <color theme="1" tint="0.249977111117893"/>
        <rFont val="Arial"/>
        <family val="2"/>
      </rPr>
      <t xml:space="preserve"> We revised our outlook on the Kingdom of Belgium to negative from stable on Dec. 14, 2010. We continue to believe that the likelihood of timely and sufficient extraordinary government support for Belgacom - the majority state-owned telecoms incumbent in Belgium- is "moderate." In line with our criteria for rating </t>
    </r>
    <r>
      <rPr>
        <b/>
        <i/>
        <sz val="10"/>
        <color theme="1" tint="0.249977111117893"/>
        <rFont val="Arial"/>
        <family val="2"/>
      </rPr>
      <t>GREs</t>
    </r>
    <r>
      <rPr>
        <i/>
        <sz val="10"/>
        <color theme="1" tint="0.249977111117893"/>
        <rFont val="Arial"/>
        <family val="2"/>
      </rPr>
      <t>, we are revising the outlook on Belgacom to negative from stable. We are affirming the 'A+' rating.</t>
    </r>
    <r>
      <rPr>
        <b/>
        <i/>
        <sz val="10"/>
        <color theme="1" tint="0.249977111117893"/>
        <rFont val="Arial"/>
        <family val="2"/>
      </rPr>
      <t xml:space="preserve"> If we were to lower the sovereign rating by one notch, we would also lower the long-term rating on Belgacom by one notch.</t>
    </r>
  </si>
  <si>
    <r>
      <rPr>
        <sz val="10"/>
        <color theme="1" tint="0.249977111117893"/>
        <rFont val="Arial"/>
        <family val="2"/>
      </rPr>
      <t>2 Dec. 2011:</t>
    </r>
    <r>
      <rPr>
        <i/>
        <sz val="10"/>
        <color theme="1" tint="0.249977111117893"/>
        <rFont val="Arial"/>
        <family val="2"/>
      </rPr>
      <t xml:space="preserve"> We lowered the LT rating on the Kingdom of Belgium to 'AA' from 'AA+' on Nov. 25, 2011 (...) In line with our criteria for GREs, we are lowering our LT rating on Belgacom to 'A' from 'A+'. The stable outlook reflects our view that Belgacom will maintain a strong business position in Belgium's telecoms market, continue to generate solid free operating cash flow, and maintain S&amp;P's-adjusted leverage </t>
    </r>
    <r>
      <rPr>
        <b/>
        <i/>
        <sz val="10"/>
        <color theme="1" tint="0.249977111117893"/>
        <rFont val="Arial"/>
        <family val="2"/>
      </rPr>
      <t>below 2.0x</t>
    </r>
    <r>
      <rPr>
        <i/>
        <sz val="10"/>
        <color theme="1" tint="0.249977111117893"/>
        <rFont val="Arial"/>
        <family val="2"/>
      </rPr>
      <t xml:space="preserve"> over the next 18 months.</t>
    </r>
  </si>
  <si>
    <t>1 notch downgrade in January 2010 (following another one in Feb. 2009): from Aa3 = AA- to A+ / Stable.</t>
  </si>
  <si>
    <r>
      <rPr>
        <sz val="10"/>
        <color theme="1" tint="0.249977111117893"/>
        <rFont val="Arial"/>
        <family val="2"/>
      </rPr>
      <t>10 Oct 2011:</t>
    </r>
    <r>
      <rPr>
        <i/>
        <sz val="10"/>
        <color theme="1" tint="0.249977111117893"/>
        <rFont val="Arial"/>
        <family val="2"/>
      </rPr>
      <t xml:space="preserve"> Belgacom qualifies as a </t>
    </r>
    <r>
      <rPr>
        <b/>
        <i/>
        <sz val="10"/>
        <color theme="1" tint="0.249977111117893"/>
        <rFont val="Arial"/>
        <family val="2"/>
      </rPr>
      <t>GRI</t>
    </r>
    <r>
      <rPr>
        <i/>
        <sz val="10"/>
        <color theme="1" tint="0.249977111117893"/>
        <rFont val="Arial"/>
        <family val="2"/>
      </rPr>
      <t xml:space="preserve"> based on its 53.5% ownership by the government. As such, the rating reflects a combination of : </t>
    </r>
    <r>
      <rPr>
        <b/>
        <i/>
        <sz val="10"/>
        <color theme="1" tint="0.249977111117893"/>
        <rFont val="Arial"/>
        <family val="2"/>
      </rPr>
      <t xml:space="preserve">(i) </t>
    </r>
    <r>
      <rPr>
        <i/>
        <sz val="10"/>
        <color theme="1" tint="0.249977111117893"/>
        <rFont val="Arial"/>
        <family val="2"/>
      </rPr>
      <t xml:space="preserve">a </t>
    </r>
    <r>
      <rPr>
        <b/>
        <i/>
        <sz val="10"/>
        <color theme="1" tint="0.249977111117893"/>
        <rFont val="Arial"/>
        <family val="2"/>
      </rPr>
      <t xml:space="preserve">BCA </t>
    </r>
    <r>
      <rPr>
        <i/>
        <sz val="10"/>
        <color theme="1" tint="0.249977111117893"/>
        <rFont val="Arial"/>
        <family val="2"/>
      </rPr>
      <t xml:space="preserve">range of 5-7; </t>
    </r>
    <r>
      <rPr>
        <b/>
        <i/>
        <sz val="10"/>
        <color theme="1" tint="0.249977111117893"/>
        <rFont val="Arial"/>
        <family val="2"/>
      </rPr>
      <t>(ii)</t>
    </r>
    <r>
      <rPr>
        <i/>
        <sz val="10"/>
        <color theme="1" tint="0.249977111117893"/>
        <rFont val="Arial"/>
        <family val="2"/>
      </rPr>
      <t xml:space="preserve"> the Aa1 (rating on review for downgrade) of </t>
    </r>
    <r>
      <rPr>
        <b/>
        <i/>
        <sz val="10"/>
        <color theme="1" tint="0.249977111117893"/>
        <rFont val="Arial"/>
        <family val="2"/>
      </rPr>
      <t>Belgium</t>
    </r>
    <r>
      <rPr>
        <i/>
        <sz val="10"/>
        <color theme="1" tint="0.249977111117893"/>
        <rFont val="Arial"/>
        <family val="2"/>
      </rPr>
      <t xml:space="preserve">; </t>
    </r>
    <r>
      <rPr>
        <b/>
        <i/>
        <sz val="10"/>
        <color theme="1" tint="0.249977111117893"/>
        <rFont val="Arial"/>
        <family val="2"/>
      </rPr>
      <t>(iii)</t>
    </r>
    <r>
      <rPr>
        <i/>
        <sz val="10"/>
        <color theme="1" tint="0.249977111117893"/>
        <rFont val="Arial"/>
        <family val="2"/>
      </rPr>
      <t xml:space="preserve"> </t>
    </r>
    <r>
      <rPr>
        <b/>
        <i/>
        <sz val="10"/>
        <color theme="1" tint="0.249977111117893"/>
        <rFont val="Arial"/>
        <family val="2"/>
      </rPr>
      <t>moderate dependence</t>
    </r>
    <r>
      <rPr>
        <i/>
        <sz val="10"/>
        <color theme="1" tint="0.249977111117893"/>
        <rFont val="Arial"/>
        <family val="2"/>
      </rPr>
      <t xml:space="preserve">; and </t>
    </r>
    <r>
      <rPr>
        <b/>
        <i/>
        <sz val="10"/>
        <color theme="1" tint="0.249977111117893"/>
        <rFont val="Arial"/>
        <family val="2"/>
      </rPr>
      <t>(iv) strong support</t>
    </r>
    <r>
      <rPr>
        <i/>
        <sz val="10"/>
        <color theme="1" tint="0.249977111117893"/>
        <rFont val="Arial"/>
        <family val="2"/>
      </rPr>
      <t xml:space="preserve"> from the government.</t>
    </r>
  </si>
  <si>
    <r>
      <t xml:space="preserve">Last Credit Opinion, Dec. 2012: </t>
    </r>
    <r>
      <rPr>
        <i/>
        <sz val="10"/>
        <color theme="1" tint="0.249977111117893"/>
        <rFont val="Arial"/>
        <family val="2"/>
      </rPr>
      <t xml:space="preserve">Belgacom's rating reflects the company's </t>
    </r>
    <r>
      <rPr>
        <b/>
        <i/>
        <sz val="10"/>
        <color theme="1" tint="0.249977111117893"/>
        <rFont val="Arial"/>
        <family val="2"/>
      </rPr>
      <t>conservative financial policy</t>
    </r>
    <r>
      <rPr>
        <i/>
        <sz val="10"/>
        <color theme="1" tint="0.249977111117893"/>
        <rFont val="Arial"/>
        <family val="2"/>
      </rPr>
      <t xml:space="preserve"> and strong operating cash flow, which is supported by its innovative broadband product offerings (including a very successful TV offering) and high-quality broadband network. In our view, Belgacom's robust cash flow generation...</t>
    </r>
    <r>
      <rPr>
        <sz val="10"/>
        <color theme="1" tint="0.249977111117893"/>
        <rFont val="Arial"/>
        <family val="2"/>
      </rPr>
      <t xml:space="preserve"> [Abstract cut - premium access.]</t>
    </r>
  </si>
  <si>
    <t>Remark: as an anecdotal observation, it seems that, if Belgacom were to signicantly and quickly change its financial policy, credit analysts might not appreciate the surprise; but a move towards higher financial leverage would not be in their mind utterly heretic either (allocating some newly raised funds also to domestic "transformational" projects?).</t>
  </si>
  <si>
    <r>
      <t xml:space="preserve">- From previous D*/Ebitda* assumptions on 'normalized' Belgacom's (cf. 'GEARINGS'), tD*/Ebitda* adjusted for </t>
    </r>
    <r>
      <rPr>
        <sz val="10"/>
        <rFont val="Symbol"/>
        <family val="1"/>
        <charset val="2"/>
      </rPr>
      <t>D</t>
    </r>
    <r>
      <rPr>
        <sz val="9"/>
        <rFont val="Arial"/>
        <family val="2"/>
      </rPr>
      <t xml:space="preserve"> </t>
    </r>
    <r>
      <rPr>
        <sz val="10"/>
        <rFont val="Arial"/>
        <family val="2"/>
      </rPr>
      <t xml:space="preserve">agencies/Marpij become   </t>
    </r>
    <r>
      <rPr>
        <sz val="10"/>
        <rFont val="Symbol"/>
        <family val="1"/>
        <charset val="2"/>
      </rPr>
      <t>®</t>
    </r>
  </si>
  <si>
    <r>
      <rPr>
        <b/>
        <sz val="10"/>
        <color theme="1" tint="0.499984740745262"/>
        <rFont val="Wingdings"/>
        <charset val="2"/>
      </rPr>
      <t>è</t>
    </r>
    <r>
      <rPr>
        <b/>
        <sz val="10"/>
        <color theme="1" tint="0.499984740745262"/>
        <rFont val="Arial"/>
        <family val="2"/>
      </rPr>
      <t xml:space="preserve"> Hypothetical Belgacom </t>
    </r>
  </si>
  <si>
    <r>
      <rPr>
        <b/>
        <sz val="10"/>
        <color theme="1" tint="0.499984740745262"/>
        <rFont val="Arial"/>
        <family val="2"/>
      </rPr>
      <t>ii)</t>
    </r>
    <r>
      <rPr>
        <sz val="10"/>
        <color theme="1" tint="0.499984740745262"/>
        <rFont val="Arial"/>
        <family val="2"/>
      </rPr>
      <t xml:space="preserve"> Regarding </t>
    </r>
    <r>
      <rPr>
        <b/>
        <sz val="10"/>
        <color theme="1" tint="0.499984740745262"/>
        <rFont val="Arial"/>
        <family val="2"/>
      </rPr>
      <t>SACP/BCA</t>
    </r>
    <r>
      <rPr>
        <sz val="10"/>
        <color theme="1" tint="0.499984740745262"/>
        <rFont val="Arial"/>
        <family val="2"/>
      </rPr>
      <t xml:space="preserve"> ratings:</t>
    </r>
  </si>
  <si>
    <t xml:space="preserve">- The 'High' scenario differs from Belgacom's actual situation at 2Q13 by a leverage only 0.1x higher: Belgacom would keep its SACP/BCA at 'a'. </t>
  </si>
  <si>
    <r>
      <rPr>
        <b/>
        <sz val="10"/>
        <color theme="1" tint="0.499984740745262"/>
        <rFont val="Arial"/>
        <family val="2"/>
      </rPr>
      <t>iii)</t>
    </r>
    <r>
      <rPr>
        <sz val="10"/>
        <color theme="1" tint="0.499984740745262"/>
        <rFont val="Arial"/>
        <family val="2"/>
      </rPr>
      <t xml:space="preserve"> Then, given S&amp;P's GRE table for </t>
    </r>
    <r>
      <rPr>
        <b/>
        <sz val="10"/>
        <color theme="1" tint="0.499984740745262"/>
        <rFont val="Arial"/>
        <family val="2"/>
      </rPr>
      <t>Moderate likelihood of</t>
    </r>
    <r>
      <rPr>
        <sz val="10"/>
        <color theme="1" tint="0.499984740745262"/>
        <rFont val="Arial"/>
        <family val="2"/>
      </rPr>
      <t xml:space="preserve"> </t>
    </r>
    <r>
      <rPr>
        <b/>
        <sz val="10"/>
        <color theme="1" tint="0.499984740745262"/>
        <rFont val="Arial"/>
        <family val="2"/>
      </rPr>
      <t>govt support</t>
    </r>
    <r>
      <rPr>
        <sz val="10"/>
        <color theme="1" tint="0.499984740745262"/>
        <rFont val="Arial"/>
        <family val="2"/>
      </rPr>
      <t xml:space="preserve">, final Belgacom's ICR would also lose one notch only in the Low scenario. The same could apply according to Moody's perspective, although this is slightly less clear: </t>
    </r>
  </si>
  <si>
    <r>
      <rPr>
        <b/>
        <sz val="10"/>
        <color theme="1" tint="0.499984740745262"/>
        <rFont val="Arial"/>
        <family val="2"/>
      </rPr>
      <t>iv)</t>
    </r>
    <r>
      <rPr>
        <sz val="10"/>
        <color theme="1" tint="0.499984740745262"/>
        <rFont val="Arial"/>
        <family val="2"/>
      </rPr>
      <t xml:space="preserve"> Finally, we also note that the triple </t>
    </r>
    <r>
      <rPr>
        <b/>
        <sz val="10"/>
        <color theme="1" tint="0.499984740745262"/>
        <rFont val="Arial"/>
        <family val="2"/>
      </rPr>
      <t>negative outlook on Belgium's sovereign ratings</t>
    </r>
    <r>
      <rPr>
        <sz val="10"/>
        <color theme="1" tint="0.499984740745262"/>
        <rFont val="Arial"/>
        <family val="2"/>
      </rPr>
      <t>. Therefore, if this determination were specifically about Belgacom, as a precaution, we would consent to consider a forward-looking AA- for Belgium, rather than current AA. This implies:</t>
    </r>
  </si>
  <si>
    <r>
      <t xml:space="preserve">GRE's ICR with </t>
    </r>
    <r>
      <rPr>
        <b/>
        <sz val="10"/>
        <rFont val="Arial"/>
        <family val="2"/>
      </rPr>
      <t>Moderate</t>
    </r>
    <r>
      <rPr>
        <sz val="10"/>
        <rFont val="Arial"/>
        <family val="2"/>
      </rPr>
      <t xml:space="preserve"> likelihood of support:</t>
    </r>
  </si>
  <si>
    <t>In the triangle:</t>
  </si>
  <si>
    <t>- Used terms suggest that Moody's consider a slightly stronger Belgacom - govt relationship;</t>
  </si>
  <si>
    <t>Eventually, no impact for the composite rating based on the lowest rating if there is only one notch spread.</t>
  </si>
  <si>
    <r>
      <rPr>
        <b/>
        <sz val="10"/>
        <color theme="1" tint="0.499984740745262"/>
        <rFont val="Wingdings"/>
        <charset val="2"/>
      </rPr>
      <t>è</t>
    </r>
    <r>
      <rPr>
        <b/>
        <sz val="10"/>
        <color theme="1" tint="0.499984740745262"/>
        <rFont val="Arial"/>
        <family val="2"/>
      </rPr>
      <t xml:space="preserve"> Revised Generic Ratings</t>
    </r>
  </si>
  <si>
    <t>If we consistently apply the agencies vs. Marpij tD*/Ebitda* spread of 0.2 observed with Belgacom, we obtain the following adj. tD*/Ebitda*:</t>
  </si>
  <si>
    <t>BRP satisfactory etc.</t>
  </si>
  <si>
    <t>Downgrade in April 2013: from Ba3 = BB- to B1 = B+ / Stable.</t>
  </si>
  <si>
    <r>
      <rPr>
        <sz val="10"/>
        <color theme="1" tint="0.249977111117893"/>
        <rFont val="Arial"/>
        <family val="2"/>
      </rPr>
      <t>21 Jan. 2013:</t>
    </r>
    <r>
      <rPr>
        <i/>
        <sz val="10"/>
        <color theme="1" tint="0.249977111117893"/>
        <rFont val="Arial"/>
        <family val="2"/>
      </rPr>
      <t xml:space="preserve"> As of Jan. 14, 2013, international cable operator </t>
    </r>
    <r>
      <rPr>
        <b/>
        <i/>
        <sz val="10"/>
        <color theme="1" tint="0.249977111117893"/>
        <rFont val="Arial"/>
        <family val="2"/>
      </rPr>
      <t>Liberty Global Inc. (LGI)</t>
    </r>
    <r>
      <rPr>
        <i/>
        <sz val="10"/>
        <color theme="1" tint="0.249977111117893"/>
        <rFont val="Arial"/>
        <family val="2"/>
      </rPr>
      <t xml:space="preserve">  has increased its ownership of Telenet to 58.4% from 50.1% of total issued shares. We now anticipate that </t>
    </r>
    <r>
      <rPr>
        <b/>
        <i/>
        <sz val="10"/>
        <color theme="1" tint="0.249977111117893"/>
        <rFont val="Arial"/>
        <family val="2"/>
      </rPr>
      <t>LGI</t>
    </r>
    <r>
      <rPr>
        <i/>
        <sz val="10"/>
        <color theme="1" tint="0.249977111117893"/>
        <rFont val="Arial"/>
        <family val="2"/>
      </rPr>
      <t xml:space="preserve"> will pursue a more aggressive financial policy at Telenet, including maintenance of higher debt leverage going forward (...) The stable outlook reflects our expectation that Telenet will report sustained revenue and EBITDA growth from increasing penetration of bundled products, and maintain S&amp;P's-adjusted gross debt leverage of more than </t>
    </r>
    <r>
      <rPr>
        <b/>
        <i/>
        <sz val="10"/>
        <color theme="1" tint="0.249977111117893"/>
        <rFont val="Arial"/>
        <family val="2"/>
      </rPr>
      <t>4.5x</t>
    </r>
    <r>
      <rPr>
        <i/>
        <sz val="10"/>
        <color theme="1" tint="0.249977111117893"/>
        <rFont val="Arial"/>
        <family val="2"/>
      </rPr>
      <t xml:space="preserve"> over the next 12-18 months.</t>
    </r>
  </si>
  <si>
    <r>
      <t xml:space="preserve">(…) We are revising our assessment of Telenet's financial risk profile to </t>
    </r>
    <r>
      <rPr>
        <b/>
        <i/>
        <sz val="10"/>
        <color theme="1" tint="0.249977111117893"/>
        <rFont val="Arial"/>
        <family val="2"/>
      </rPr>
      <t>"highly leveraged"</t>
    </r>
    <r>
      <rPr>
        <i/>
        <sz val="10"/>
        <color theme="1" tint="0.249977111117893"/>
        <rFont val="Arial"/>
        <family val="2"/>
      </rPr>
      <t xml:space="preserve"> from "aggressive" (…) </t>
    </r>
  </si>
  <si>
    <r>
      <t xml:space="preserve">That said, before considering a positive rating action, we will need to reassess LGI strategy and financial policy with regard to Telenet. Furthermore, the </t>
    </r>
    <r>
      <rPr>
        <b/>
        <i/>
        <sz val="10"/>
        <color theme="1" tint="0.249977111117893"/>
        <rFont val="Arial"/>
        <family val="2"/>
      </rPr>
      <t>small distinctions that we see between the credit quality of Telenet and LGI</t>
    </r>
    <r>
      <rPr>
        <i/>
        <sz val="10"/>
        <color theme="1" tint="0.249977111117893"/>
        <rFont val="Arial"/>
        <family val="2"/>
      </rPr>
      <t xml:space="preserve">, as well as LGI's control of Telenet's strategy and financial policy would likely limit any potential future differential between the ratings on the two entities. </t>
    </r>
  </si>
  <si>
    <r>
      <t xml:space="preserve">We could </t>
    </r>
    <r>
      <rPr>
        <b/>
        <i/>
        <sz val="10"/>
        <color theme="1" tint="0.249977111117893"/>
        <rFont val="Arial"/>
        <family val="2"/>
      </rPr>
      <t>lower the rating if</t>
    </r>
    <r>
      <rPr>
        <i/>
        <sz val="10"/>
        <color theme="1" tint="0.249977111117893"/>
        <rFont val="Arial"/>
        <family val="2"/>
      </rPr>
      <t xml:space="preserve"> Telenet's ratio of adjusted debt to EBITDA were to increase to </t>
    </r>
    <r>
      <rPr>
        <b/>
        <i/>
        <sz val="10"/>
        <color theme="1" tint="0.249977111117893"/>
        <rFont val="Arial"/>
        <family val="2"/>
      </rPr>
      <t>more than 6</t>
    </r>
    <r>
      <rPr>
        <i/>
        <sz val="10"/>
        <color theme="1" tint="0.249977111117893"/>
        <rFont val="Arial"/>
        <family val="2"/>
      </rPr>
      <t xml:space="preserve">x, for example, as a result of an even more aggressive financial policy or operating underperformance. However, we view this scenario as </t>
    </r>
    <r>
      <rPr>
        <b/>
        <i/>
        <sz val="10"/>
        <color theme="1" tint="0.249977111117893"/>
        <rFont val="Arial"/>
        <family val="2"/>
      </rPr>
      <t>unlikely</t>
    </r>
    <r>
      <rPr>
        <i/>
        <sz val="10"/>
        <color theme="1" tint="0.249977111117893"/>
        <rFont val="Arial"/>
        <family val="2"/>
      </rPr>
      <t xml:space="preserve"> at this stage.</t>
    </r>
  </si>
  <si>
    <r>
      <rPr>
        <sz val="10"/>
        <color theme="1" tint="0.249977111117893"/>
        <rFont val="Arial"/>
        <family val="2"/>
      </rPr>
      <t xml:space="preserve">2 April 2013: </t>
    </r>
    <r>
      <rPr>
        <i/>
        <sz val="10"/>
        <color theme="1" tint="0.249977111117893"/>
        <rFont val="Arial"/>
        <family val="2"/>
      </rPr>
      <t xml:space="preserve">The rating downgrade reflects the expected increase in gross leverage (to </t>
    </r>
    <r>
      <rPr>
        <b/>
        <i/>
        <sz val="10"/>
        <color theme="1" tint="0.249977111117893"/>
        <rFont val="Arial"/>
        <family val="2"/>
      </rPr>
      <t>5.2x</t>
    </r>
    <r>
      <rPr>
        <i/>
        <sz val="10"/>
        <color theme="1" tint="0.249977111117893"/>
        <rFont val="Arial"/>
        <family val="2"/>
      </rPr>
      <t xml:space="preserve">, as measured by Moody's, on a </t>
    </r>
    <r>
      <rPr>
        <b/>
        <i/>
        <sz val="10"/>
        <color theme="1" tint="0.249977111117893"/>
        <rFont val="Arial"/>
        <family val="2"/>
      </rPr>
      <t>2012</t>
    </r>
    <r>
      <rPr>
        <i/>
        <sz val="10"/>
        <color theme="1" tint="0.249977111117893"/>
        <rFont val="Arial"/>
        <family val="2"/>
      </rPr>
      <t xml:space="preserve"> pro forma basis) from the company's proposed shareholder return for 2013 of 950M€ (900M€ dividend and a share buy-back of up to 50M€). It also reflects Moody's expectation that over time Telenet's leverage will increase towards 5.5x or higher as the company's controlling shareholder </t>
    </r>
    <r>
      <rPr>
        <b/>
        <i/>
        <sz val="10"/>
        <color theme="1" tint="0.249977111117893"/>
        <rFont val="Arial"/>
        <family val="2"/>
      </rPr>
      <t>LGI</t>
    </r>
    <r>
      <rPr>
        <i/>
        <sz val="10"/>
        <color theme="1" tint="0.249977111117893"/>
        <rFont val="Arial"/>
        <family val="2"/>
      </rPr>
      <t xml:space="preserve"> implements an alignment of Telenet's leverage policy with that of LGI such that target leverage will be </t>
    </r>
    <r>
      <rPr>
        <b/>
        <i/>
        <sz val="10"/>
        <color theme="1" tint="0.249977111117893"/>
        <rFont val="Arial"/>
        <family val="2"/>
      </rPr>
      <t xml:space="preserve">4.0 to 5.0x net </t>
    </r>
    <r>
      <rPr>
        <i/>
        <sz val="10"/>
        <color theme="1" tint="0.249977111117893"/>
        <rFont val="Arial"/>
        <family val="2"/>
      </rPr>
      <t>total debt to annualized EBITDA (excluding financial leases) and possibly higher (...)</t>
    </r>
  </si>
  <si>
    <r>
      <rPr>
        <b/>
        <i/>
        <sz val="10"/>
        <color theme="1" tint="0.249977111117893"/>
        <rFont val="Arial"/>
        <family val="2"/>
      </rPr>
      <t>Upward rating pressure</t>
    </r>
    <r>
      <rPr>
        <i/>
        <sz val="10"/>
        <color theme="1" tint="0.249977111117893"/>
        <rFont val="Arial"/>
        <family val="2"/>
      </rPr>
      <t xml:space="preserve"> could develop</t>
    </r>
    <r>
      <rPr>
        <b/>
        <i/>
        <sz val="10"/>
        <color theme="1" tint="0.249977111117893"/>
        <rFont val="Arial"/>
        <family val="2"/>
      </rPr>
      <t xml:space="preserve"> if</t>
    </r>
    <r>
      <rPr>
        <i/>
        <sz val="10"/>
        <color theme="1" tint="0.249977111117893"/>
        <rFont val="Arial"/>
        <family val="2"/>
      </rPr>
      <t xml:space="preserve">, inter alia, the company demonstrates clear commitment to maintaining its gross debt to EBITDA ratio at or </t>
    </r>
    <r>
      <rPr>
        <b/>
        <i/>
        <sz val="10"/>
        <color theme="1" tint="0.249977111117893"/>
        <rFont val="Arial"/>
        <family val="2"/>
      </rPr>
      <t xml:space="preserve">below 5.0x </t>
    </r>
    <r>
      <rPr>
        <i/>
        <sz val="10"/>
        <color theme="1" tint="0.249977111117893"/>
        <rFont val="Arial"/>
        <family val="2"/>
      </rPr>
      <t xml:space="preserve">(as calculated by Moody's) </t>
    </r>
    <r>
      <rPr>
        <b/>
        <i/>
        <sz val="10"/>
        <color theme="1" tint="0.249977111117893"/>
        <rFont val="Arial"/>
        <family val="2"/>
      </rPr>
      <t xml:space="preserve">on a sustained basis </t>
    </r>
    <r>
      <rPr>
        <i/>
        <sz val="10"/>
        <color theme="1" tint="0.249977111117893"/>
        <rFont val="Arial"/>
        <family val="2"/>
      </rPr>
      <t>and shows improvement in its free cash flow generation (as defined by Moody's - post capex and dividends).</t>
    </r>
  </si>
  <si>
    <r>
      <rPr>
        <b/>
        <i/>
        <sz val="10"/>
        <color theme="1" tint="0.249977111117893"/>
        <rFont val="Arial"/>
        <family val="2"/>
      </rPr>
      <t>Negative ratings pressure</t>
    </r>
    <r>
      <rPr>
        <i/>
        <sz val="10"/>
        <color theme="1" tint="0.249977111117893"/>
        <rFont val="Arial"/>
        <family val="2"/>
      </rPr>
      <t xml:space="preserve"> could ensue</t>
    </r>
    <r>
      <rPr>
        <b/>
        <i/>
        <sz val="10"/>
        <color theme="1" tint="0.249977111117893"/>
        <rFont val="Arial"/>
        <family val="2"/>
      </rPr>
      <t xml:space="preserve"> if</t>
    </r>
    <r>
      <rPr>
        <i/>
        <sz val="10"/>
        <color theme="1" tint="0.249977111117893"/>
        <rFont val="Arial"/>
        <family val="2"/>
      </rPr>
      <t xml:space="preserve">: (i) leverage moves towards a ratio of </t>
    </r>
    <r>
      <rPr>
        <b/>
        <i/>
        <sz val="10"/>
        <color theme="1" tint="0.249977111117893"/>
        <rFont val="Arial"/>
        <family val="2"/>
      </rPr>
      <t>6.0x</t>
    </r>
    <r>
      <rPr>
        <i/>
        <sz val="10"/>
        <color theme="1" tint="0.249977111117893"/>
        <rFont val="Arial"/>
        <family val="2"/>
      </rPr>
      <t xml:space="preserve"> Gross Debt/ EBITDA (as adjusted by Moody's) and/or the company experiences a marked deterioration in operating performance; (ii) free cash flow (pre-dividend) turns negative for a sustained period of time and (iii) liquidity becomes constrained.</t>
    </r>
  </si>
  <si>
    <r>
      <t>(…) While Fitch considers management to exercise a high degree of autonomy and continues to</t>
    </r>
    <r>
      <rPr>
        <b/>
        <i/>
        <sz val="10"/>
        <color theme="1" tint="0.249977111117893"/>
        <rFont val="Arial"/>
        <family val="2"/>
      </rPr>
      <t xml:space="preserve"> rate Telenet on a standalone basis</t>
    </r>
    <r>
      <rPr>
        <i/>
        <sz val="10"/>
        <color theme="1" tint="0.249977111117893"/>
        <rFont val="Arial"/>
        <family val="2"/>
      </rPr>
      <t xml:space="preserve">, the agency considers </t>
    </r>
    <r>
      <rPr>
        <b/>
        <i/>
        <sz val="10"/>
        <color theme="1" tint="0.249977111117893"/>
        <rFont val="Arial"/>
        <family val="2"/>
      </rPr>
      <t>financial policy and leverage tolerance</t>
    </r>
    <r>
      <rPr>
        <i/>
        <sz val="10"/>
        <color theme="1" tint="0.249977111117893"/>
        <rFont val="Arial"/>
        <family val="2"/>
      </rPr>
      <t xml:space="preserve"> are </t>
    </r>
    <r>
      <rPr>
        <b/>
        <i/>
        <sz val="10"/>
        <color theme="1" tint="0.249977111117893"/>
        <rFont val="Arial"/>
        <family val="2"/>
      </rPr>
      <t>influenced by this ownership.</t>
    </r>
  </si>
  <si>
    <r>
      <rPr>
        <sz val="10"/>
        <color theme="1" tint="0.249977111117893"/>
        <rFont val="Arial"/>
        <family val="2"/>
      </rPr>
      <t xml:space="preserve">From </t>
    </r>
    <r>
      <rPr>
        <u/>
        <sz val="10"/>
        <color theme="1" tint="0.249977111117893"/>
        <rFont val="Arial"/>
        <family val="2"/>
      </rPr>
      <t>"2014 Outlook : European Telecoms and Cable"</t>
    </r>
    <r>
      <rPr>
        <sz val="10"/>
        <color theme="1" tint="0.249977111117893"/>
        <rFont val="Arial"/>
        <family val="2"/>
      </rPr>
      <t>, possible short-term ratings triggers :</t>
    </r>
  </si>
  <si>
    <t>2 notches downgrade in August 2012: from BB to B+ / Stable.</t>
  </si>
  <si>
    <r>
      <rPr>
        <sz val="10"/>
        <color theme="1" tint="0.249977111117893"/>
        <rFont val="Arial"/>
        <family val="2"/>
      </rPr>
      <t xml:space="preserve">13 Aug. 2012: </t>
    </r>
    <r>
      <rPr>
        <i/>
        <sz val="10"/>
        <color theme="1" tint="0.249977111117893"/>
        <rFont val="Arial"/>
        <family val="2"/>
      </rPr>
      <t xml:space="preserve">The rating actions follow Telenet's announcement of its intention to raise approximately 700M€ in new senior secured debt to fund a share buyback of approximately 656M€. The combination of these transactions will result in leverage increasing by roughly one turn of EBITDA, taking unadjusted </t>
    </r>
    <r>
      <rPr>
        <b/>
        <i/>
        <sz val="10"/>
        <color theme="1" tint="0.249977111117893"/>
        <rFont val="Arial"/>
        <family val="2"/>
      </rPr>
      <t xml:space="preserve">net debt EBITDA </t>
    </r>
    <r>
      <rPr>
        <i/>
        <sz val="10"/>
        <color theme="1" tint="0.249977111117893"/>
        <rFont val="Arial"/>
        <family val="2"/>
      </rPr>
      <t>to above 5.0x at both 1H12 and forecast FY2012.</t>
    </r>
  </si>
  <si>
    <r>
      <rPr>
        <b/>
        <sz val="10"/>
        <rFont val="Arial"/>
        <family val="2"/>
      </rPr>
      <t>(Historical) Telenet:</t>
    </r>
    <r>
      <rPr>
        <sz val="10"/>
        <rFont val="Arial"/>
        <family val="2"/>
      </rPr>
      <t xml:space="preserve"> BB- until Aug. 2012 then B+ / Stable, 1 notch below Liberty Global.</t>
    </r>
  </si>
  <si>
    <r>
      <rPr>
        <b/>
        <sz val="10"/>
        <rFont val="Arial"/>
        <family val="2"/>
      </rPr>
      <t>(Historical) Belgacom</t>
    </r>
    <r>
      <rPr>
        <b/>
        <sz val="10"/>
        <rFont val="Arial"/>
        <family val="2"/>
      </rPr>
      <t>:</t>
    </r>
    <r>
      <rPr>
        <sz val="10"/>
        <rFont val="Arial"/>
        <family val="2"/>
      </rPr>
      <t xml:space="preserve"> A+ until Q3 2011, then A / Stable, 3 notches = 1 rating class below Belgium's. </t>
    </r>
  </si>
  <si>
    <r>
      <t>- Therefore, in our central scenario, there is</t>
    </r>
    <r>
      <rPr>
        <b/>
        <sz val="10"/>
        <color theme="1" tint="0.499984740745262"/>
        <rFont val="Arial"/>
        <family val="2"/>
      </rPr>
      <t xml:space="preserve"> no reason to adjust Telenet's current rating</t>
    </r>
    <r>
      <rPr>
        <sz val="10"/>
        <color theme="1" tint="0.499984740745262"/>
        <rFont val="Arial"/>
        <family val="2"/>
      </rPr>
      <t xml:space="preserve"> with a stable outlook. </t>
    </r>
  </si>
  <si>
    <t>- Although Telenet's financial policy is set in accordance with LGI's, resulting in very similar credit quality as writes S&amp;P's, Telenet seems to be still rated on a standalone basis (and not just by Fitch): if its credit metrics were to depart from its own and LGI's typical values, LGI's shareholding would probably have little impact, in contrast to Belgacom with respect to the Belgian state.</t>
  </si>
  <si>
    <t>Motivations given for the ratings on FT/ORA and its subsiary in Poland, TPS, are interesting essentially for the following reasons:</t>
  </si>
  <si>
    <t>- Primarily for Mobistar's relationship with FT/ORA, similar to TPS, with seemingly a strong impact on affiliates' ratings in the case of this group;</t>
  </si>
  <si>
    <t>- From FT, as an illustration of the marginal impact of a 'low' GRE/GRI profile compared to Belgacom's;</t>
  </si>
  <si>
    <t>- From TPS, as an illustration of the impact of disappointing results on analysts' perceptions (and tone);</t>
  </si>
  <si>
    <r>
      <t xml:space="preserve">(FL </t>
    </r>
    <r>
      <rPr>
        <sz val="10"/>
        <color theme="1" tint="0.499984740745262"/>
        <rFont val="Symbol"/>
        <family val="1"/>
        <charset val="2"/>
      </rPr>
      <t>¹</t>
    </r>
    <r>
      <rPr>
        <sz val="10"/>
        <color theme="1" tint="0.499984740745262"/>
        <rFont val="Arial"/>
        <family val="2"/>
      </rPr>
      <t xml:space="preserve"> OL: cf. 'NOTE 2.')</t>
    </r>
  </si>
  <si>
    <t>Downgrade in April 2013: from A- to BBB+ / Stable.</t>
  </si>
  <si>
    <r>
      <t xml:space="preserve">Group </t>
    </r>
    <r>
      <rPr>
        <b/>
        <i/>
        <sz val="10"/>
        <color theme="1" tint="0.249977111117893"/>
        <rFont val="Arial"/>
        <family val="2"/>
      </rPr>
      <t>EBITDA in 2013 will likely drop more sharply than we had previously assumed</t>
    </r>
    <r>
      <rPr>
        <i/>
        <sz val="10"/>
        <color theme="1" tint="0.249977111117893"/>
        <rFont val="Arial"/>
        <family val="2"/>
      </rPr>
      <t>, and the restoration of stronger credit metrics by 2014 will consequently fall short of our previous expectations. The outlook is stable, reflecting our anticipation that EBITDA will stabilize by 2015, and that FT will maintain its strong business profile and deleverage by reducing absolute debt.</t>
    </r>
  </si>
  <si>
    <r>
      <t xml:space="preserve">The </t>
    </r>
    <r>
      <rPr>
        <b/>
        <i/>
        <sz val="10"/>
        <color theme="1" tint="0.249977111117893"/>
        <rFont val="Arial"/>
        <family val="2"/>
      </rPr>
      <t>French state owns about 27%</t>
    </r>
    <r>
      <rPr>
        <i/>
        <sz val="10"/>
        <color theme="1" tint="0.249977111117893"/>
        <rFont val="Arial"/>
        <family val="2"/>
      </rPr>
      <t xml:space="preserve"> of FT's share capital and voting rights. Consequently, we consider FT to be a </t>
    </r>
    <r>
      <rPr>
        <b/>
        <i/>
        <sz val="10"/>
        <color theme="1" tint="0.249977111117893"/>
        <rFont val="Arial"/>
        <family val="2"/>
      </rPr>
      <t>GRE</t>
    </r>
    <r>
      <rPr>
        <i/>
        <sz val="10"/>
        <color theme="1" tint="0.249977111117893"/>
        <rFont val="Arial"/>
        <family val="2"/>
      </rPr>
      <t>. In line with our criteria on GREs, we assess the likelihood of timely and sufficient extraordinary government support for FT, if needed, as "low." We base this assessment on our view that FT's role as a GRE is of "limited importance" for the French state and that the link between FT and the government is "limited."</t>
    </r>
  </si>
  <si>
    <r>
      <t xml:space="preserve">We think FT will deleverage by trimming absolute debt and that its fully adjusted ratios of debt to EBITDA and FFO to debt will remain </t>
    </r>
    <r>
      <rPr>
        <b/>
        <i/>
        <sz val="10"/>
        <color theme="1" tint="0.249977111117893"/>
        <rFont val="Arial"/>
        <family val="2"/>
      </rPr>
      <t xml:space="preserve">below 3x </t>
    </r>
    <r>
      <rPr>
        <i/>
        <sz val="10"/>
        <color theme="1" tint="0.249977111117893"/>
        <rFont val="Arial"/>
        <family val="2"/>
      </rPr>
      <t xml:space="preserve">and at about 30% respectively, which we see as </t>
    </r>
    <r>
      <rPr>
        <b/>
        <i/>
        <sz val="10"/>
        <color theme="1" tint="0.249977111117893"/>
        <rFont val="Arial"/>
        <family val="2"/>
      </rPr>
      <t>commensurate with the rating</t>
    </r>
    <r>
      <rPr>
        <i/>
        <sz val="10"/>
        <color theme="1" tint="0.249977111117893"/>
        <rFont val="Arial"/>
        <family val="2"/>
      </rPr>
      <t xml:space="preserve">. We could, however, consider a </t>
    </r>
    <r>
      <rPr>
        <b/>
        <i/>
        <sz val="10"/>
        <color theme="1" tint="0.249977111117893"/>
        <rFont val="Arial"/>
        <family val="2"/>
      </rPr>
      <t>positive rating action if</t>
    </r>
    <r>
      <rPr>
        <i/>
        <sz val="10"/>
        <color theme="1" tint="0.249977111117893"/>
        <rFont val="Arial"/>
        <family val="2"/>
      </rPr>
      <t xml:space="preserve"> FT maintained its strong business risk profile and strengthened its balance sheet more than we currently envisage, including </t>
    </r>
    <r>
      <rPr>
        <b/>
        <i/>
        <sz val="10"/>
        <color theme="1" tint="0.249977111117893"/>
        <rFont val="Arial"/>
        <family val="2"/>
      </rPr>
      <t>debt to EBITDA below 2.5x.</t>
    </r>
  </si>
  <si>
    <r>
      <t xml:space="preserve">22 April 2013, credit rating downgrade on diminishing deleveraging prospects: </t>
    </r>
    <r>
      <rPr>
        <i/>
        <sz val="10"/>
        <color theme="1" tint="0.249977111117893"/>
        <rFont val="Arial"/>
        <family val="2"/>
      </rPr>
      <t>We think competitive and price pressures in FT's domestic mobile market will remain stiff in the next two years.</t>
    </r>
  </si>
  <si>
    <r>
      <t xml:space="preserve">2 Aug 2012: </t>
    </r>
    <r>
      <rPr>
        <i/>
        <sz val="10"/>
        <color theme="1" tint="0.249977111117893"/>
        <rFont val="Arial"/>
        <family val="2"/>
      </rPr>
      <t xml:space="preserve">The change in rating outlook reflects Moody's view that FT's operating performance prospects might be affected by the increasingly competitive nature of the French mobile and fixed market segments, regulation and the increasing difficulty experienced by the company in executing operating cost cuts, despite the initiatives that management is implementing. </t>
    </r>
  </si>
  <si>
    <r>
      <t xml:space="preserve">In the absence of corrective measures, deteriorating cash flow as a result of competitive and regulatory pressures could impair FT's ability to sustain adjusted financial ratios such as adjusted </t>
    </r>
    <r>
      <rPr>
        <b/>
        <i/>
        <sz val="10"/>
        <color theme="1" tint="0.249977111117893"/>
        <rFont val="Arial"/>
        <family val="2"/>
      </rPr>
      <t>net debt/EBITDA ratio below 2.5x</t>
    </r>
    <r>
      <rPr>
        <i/>
        <sz val="10"/>
        <color theme="1" tint="0.249977111117893"/>
        <rFont val="Arial"/>
        <family val="2"/>
      </rPr>
      <t xml:space="preserve"> and adjusted retained cash flow/net debt ratio above 20%, in line with the current A3 rating level.</t>
    </r>
  </si>
  <si>
    <r>
      <t xml:space="preserve">Nov 2012 : </t>
    </r>
    <r>
      <rPr>
        <i/>
        <sz val="10"/>
        <color theme="1" tint="0.249977111117893"/>
        <rFont val="Arial"/>
        <family val="2"/>
      </rPr>
      <t xml:space="preserve">FT's A3 ratings </t>
    </r>
    <r>
      <rPr>
        <b/>
        <i/>
        <sz val="10"/>
        <color theme="1" tint="0.249977111117893"/>
        <rFont val="Arial"/>
        <family val="2"/>
      </rPr>
      <t>unaffected by France downgrade.</t>
    </r>
  </si>
  <si>
    <t xml:space="preserve">30 Oct 2012, credit rating downgrade on concern that Orange will struggle to raise prices and boost profitability amid competition at home from "discounter" Iliad: </t>
  </si>
  <si>
    <t>Downgrade end Oct. 2012 from A- to BBB+ (first downgrade by a credit rating agency in a decade), then oulook from Stable to Negative in Nov. 2013.</t>
  </si>
  <si>
    <r>
      <rPr>
        <b/>
        <sz val="10"/>
        <rFont val="Arial"/>
        <family val="2"/>
      </rPr>
      <t>FT/ORA:</t>
    </r>
    <r>
      <rPr>
        <sz val="10"/>
        <rFont val="Arial"/>
        <family val="2"/>
      </rPr>
      <t xml:space="preserve"> A- then BBB+ from April 2013. 5/6 notches below France: such a spread would not be allowed if FT's GRE status was deemed stronger: FT's ICR  </t>
    </r>
    <r>
      <rPr>
        <sz val="10"/>
        <rFont val="Symbol"/>
        <family val="1"/>
        <charset val="2"/>
      </rPr>
      <t>»</t>
    </r>
    <r>
      <rPr>
        <sz val="10"/>
        <rFont val="Arial"/>
        <family val="2"/>
      </rPr>
      <t xml:space="preserve"> SACP, at least up to a certain point.</t>
    </r>
  </si>
  <si>
    <t>Lowered from BBB+ to BBB / Stable in Aug 2013 (following an outlook downgrade in Nov. 2012).</t>
  </si>
  <si>
    <t>Lowered from A3 = A- to Baa1 =  BBB+ / Negative in March 2013 (follwoing an outlook downgrade in Nov. 2012).</t>
  </si>
  <si>
    <r>
      <rPr>
        <b/>
        <i/>
        <sz val="10"/>
        <color theme="1" tint="0.249977111117893"/>
        <rFont val="Arial"/>
        <family val="2"/>
      </rPr>
      <t>Although the Baa1 rating does not factor in explicit support from FT (A3 negative), Moody's views positively the fact that the company is controlled and closely supervised by its parent</t>
    </r>
    <r>
      <rPr>
        <i/>
        <sz val="10"/>
        <color theme="1" tint="0.249977111117893"/>
        <rFont val="Arial"/>
        <family val="2"/>
      </rPr>
      <t xml:space="preserve">, which (1) controls the supervisory board of TPS (with seven out of 13 of the members nominated by FT); and (2) fully consolidates TPS into its own reported results. </t>
    </r>
    <r>
      <rPr>
        <b/>
        <i/>
        <sz val="10"/>
        <color theme="1" tint="0.249977111117893"/>
        <rFont val="Arial"/>
        <family val="2"/>
      </rPr>
      <t>More importantly, the rating also takes into consideration TPS' recently announced agreement with FT by which TPS will have access to funding provided by FT with the intention to secure TPS' financing needs.</t>
    </r>
  </si>
  <si>
    <r>
      <t xml:space="preserve">TPS also benefits from (1) the strength of FT's owned Orange brand; (2) its procurement agreements with FT and sharing of research and development (R&amp;D) expenses with the company; and (3) the perceived strong implicit support from FT. </t>
    </r>
    <r>
      <rPr>
        <b/>
        <i/>
        <sz val="10"/>
        <color theme="1" tint="0.249977111117893"/>
        <rFont val="Arial"/>
        <family val="2"/>
      </rPr>
      <t>Whilst TPS rating is predominantly based on a standalone assessment</t>
    </r>
    <r>
      <rPr>
        <i/>
        <sz val="10"/>
        <color theme="1" tint="0.249977111117893"/>
        <rFont val="Arial"/>
        <family val="2"/>
      </rPr>
      <t xml:space="preserve">, </t>
    </r>
    <r>
      <rPr>
        <b/>
        <i/>
        <sz val="10"/>
        <color theme="1" tint="0.249977111117893"/>
        <rFont val="Arial"/>
        <family val="2"/>
      </rPr>
      <t>Moody's nevertheless regards the company's credit profile as having a degree of correlation with that of FT.</t>
    </r>
  </si>
  <si>
    <r>
      <rPr>
        <b/>
        <i/>
        <sz val="10"/>
        <color theme="1" tint="0.249977111117893"/>
        <rFont val="Arial"/>
        <family val="2"/>
      </rPr>
      <t>A further rating downgrade</t>
    </r>
    <r>
      <rPr>
        <i/>
        <sz val="10"/>
        <color theme="1" tint="0.249977111117893"/>
        <rFont val="Arial"/>
        <family val="2"/>
      </rPr>
      <t xml:space="preserve"> could result </t>
    </r>
    <r>
      <rPr>
        <b/>
        <i/>
        <sz val="10"/>
        <color theme="1" tint="0.249977111117893"/>
        <rFont val="Arial"/>
        <family val="2"/>
      </rPr>
      <t>if</t>
    </r>
    <r>
      <rPr>
        <i/>
        <sz val="10"/>
        <color theme="1" tint="0.249977111117893"/>
        <rFont val="Arial"/>
        <family val="2"/>
      </rPr>
      <t xml:space="preserve"> there was an accelerated decline in TPS operational performance resulting in a significant deterioration in its credit metrics. An example of such a deterioration would be adjusted retained cash flow (RCF)/debt sustainably below 30% and adjusted </t>
    </r>
    <r>
      <rPr>
        <b/>
        <i/>
        <sz val="10"/>
        <color theme="1" tint="0.249977111117893"/>
        <rFont val="Arial"/>
        <family val="2"/>
      </rPr>
      <t xml:space="preserve">debt/EBITDA trending towards 2.5x. </t>
    </r>
    <r>
      <rPr>
        <i/>
        <sz val="10"/>
        <color theme="1" tint="0.249977111117893"/>
        <rFont val="Arial"/>
        <family val="2"/>
      </rPr>
      <t xml:space="preserve">As stated above, </t>
    </r>
    <r>
      <rPr>
        <b/>
        <i/>
        <sz val="10"/>
        <color theme="1" tint="0.249977111117893"/>
        <rFont val="Arial"/>
        <family val="2"/>
      </rPr>
      <t>any significant deviation from the publicly stated operating and financial committed guidelines</t>
    </r>
    <r>
      <rPr>
        <i/>
        <sz val="10"/>
        <color theme="1" tint="0.249977111117893"/>
        <rFont val="Arial"/>
        <family val="2"/>
      </rPr>
      <t xml:space="preserve"> (including management's reported net debt/EBITDA below 1.5x target ratio) would also exert pressure on the rating.</t>
    </r>
  </si>
  <si>
    <r>
      <t xml:space="preserve">An (unlikely) </t>
    </r>
    <r>
      <rPr>
        <b/>
        <i/>
        <sz val="10"/>
        <color theme="1" tint="0.249977111117893"/>
        <rFont val="Arial"/>
        <family val="2"/>
      </rPr>
      <t>rating upgrade</t>
    </r>
    <r>
      <rPr>
        <i/>
        <sz val="10"/>
        <color theme="1" tint="0.249977111117893"/>
        <rFont val="Arial"/>
        <family val="2"/>
      </rPr>
      <t xml:space="preserve"> could occur </t>
    </r>
    <r>
      <rPr>
        <b/>
        <i/>
        <sz val="10"/>
        <color theme="1" tint="0.249977111117893"/>
        <rFont val="Arial"/>
        <family val="2"/>
      </rPr>
      <t>if</t>
    </r>
    <r>
      <rPr>
        <i/>
        <sz val="10"/>
        <color theme="1" tint="0.249977111117893"/>
        <rFont val="Arial"/>
        <family val="2"/>
      </rPr>
      <t xml:space="preserve"> the operating environment were to improve substantially and the company could sustain improved financial ratios including adjusted </t>
    </r>
    <r>
      <rPr>
        <b/>
        <i/>
        <sz val="10"/>
        <color theme="1" tint="0.249977111117893"/>
        <rFont val="Arial"/>
        <family val="2"/>
      </rPr>
      <t>gross debt/EBITDA around 1.5x</t>
    </r>
    <r>
      <rPr>
        <i/>
        <sz val="10"/>
        <color theme="1" tint="0.249977111117893"/>
        <rFont val="Arial"/>
        <family val="2"/>
      </rPr>
      <t>. In addition, Moody's would require TPS to demonstrate significant deleveraging capacity by sustainably generating stronger positive free cash flow from both its fixed-line and wireless operations on the back of more supportive industry conditions.</t>
    </r>
  </si>
  <si>
    <r>
      <t xml:space="preserve">TPS also faces significant cash outflows over the next 12m, which, along with the weak performance, will lead to adj. </t>
    </r>
    <r>
      <rPr>
        <b/>
        <sz val="10"/>
        <color theme="1" tint="0.249977111117893"/>
        <rFont val="Arial"/>
        <family val="2"/>
      </rPr>
      <t xml:space="preserve">leverage of about 2.0x </t>
    </r>
    <r>
      <rPr>
        <sz val="10"/>
        <color theme="1" tint="0.249977111117893"/>
        <rFont val="Arial"/>
        <family val="2"/>
      </rPr>
      <t>and negative discretionary cash flows [frequencies].</t>
    </r>
  </si>
  <si>
    <r>
      <t xml:space="preserve">The </t>
    </r>
    <r>
      <rPr>
        <b/>
        <sz val="10"/>
        <color theme="1" tint="0.249977111117893"/>
        <rFont val="Arial"/>
        <family val="2"/>
      </rPr>
      <t xml:space="preserve">stable outlook </t>
    </r>
    <r>
      <rPr>
        <sz val="10"/>
        <color theme="1" tint="0.249977111117893"/>
        <rFont val="Arial"/>
        <family val="2"/>
      </rPr>
      <t xml:space="preserve">reflects our view that TPS' balance sheet, notably its </t>
    </r>
    <r>
      <rPr>
        <b/>
        <sz val="10"/>
        <color theme="1" tint="0.249977111117893"/>
        <rFont val="Arial"/>
        <family val="2"/>
      </rPr>
      <t>relatively low indebtedness</t>
    </r>
    <r>
      <rPr>
        <sz val="10"/>
        <color theme="1" tint="0.249977111117893"/>
        <rFont val="Arial"/>
        <family val="2"/>
      </rPr>
      <t>, will limit the impact of additional operating difficulties.</t>
    </r>
  </si>
  <si>
    <r>
      <t xml:space="preserve">1st Aug. 2013: </t>
    </r>
    <r>
      <rPr>
        <i/>
        <sz val="10"/>
        <color theme="1" tint="0.249977111117893"/>
        <rFont val="Arial"/>
        <family val="2"/>
      </rPr>
      <t xml:space="preserve">TPS experienced a </t>
    </r>
    <r>
      <rPr>
        <b/>
        <i/>
        <sz val="10"/>
        <color theme="1" tint="0.249977111117893"/>
        <rFont val="Arial"/>
        <family val="2"/>
      </rPr>
      <t xml:space="preserve">significant drop in its EBITDA </t>
    </r>
    <r>
      <rPr>
        <i/>
        <sz val="10"/>
        <color theme="1" tint="0.249977111117893"/>
        <rFont val="Arial"/>
        <family val="2"/>
      </rPr>
      <t>and cash flows in the first half of 2013, which we expect to continue, albeit at a slower pace.</t>
    </r>
  </si>
  <si>
    <r>
      <t>Summary May 2013:</t>
    </r>
    <r>
      <rPr>
        <i/>
        <sz val="10"/>
        <color theme="1" tint="0.249977111117893"/>
        <rFont val="Arial"/>
        <family val="2"/>
      </rPr>
      <t xml:space="preserve"> </t>
    </r>
    <r>
      <rPr>
        <b/>
        <i/>
        <sz val="10"/>
        <color theme="1" tint="0.249977111117893"/>
        <rFont val="Arial"/>
        <family val="2"/>
      </rPr>
      <t>Our rating on TPS is capped by that on its controlling shareholder</t>
    </r>
    <r>
      <rPr>
        <i/>
        <sz val="10"/>
        <color theme="1" tint="0.249977111117893"/>
        <rFont val="Arial"/>
        <family val="2"/>
      </rPr>
      <t xml:space="preserve">, FT. This is due to </t>
    </r>
    <r>
      <rPr>
        <b/>
        <i/>
        <sz val="10"/>
        <color theme="1" tint="0.249977111117893"/>
        <rFont val="Arial"/>
        <family val="2"/>
      </rPr>
      <t xml:space="preserve">our view that FT exercises considerable control of TPS business strategy and financial … </t>
    </r>
    <r>
      <rPr>
        <sz val="10"/>
        <color theme="1" tint="0.249977111117893"/>
        <rFont val="Arial"/>
        <family val="2"/>
      </rPr>
      <t xml:space="preserve"> [Abstract cut - premium access.]</t>
    </r>
  </si>
  <si>
    <r>
      <t xml:space="preserve">2 Aug. 2012: </t>
    </r>
    <r>
      <rPr>
        <i/>
        <sz val="10"/>
        <color theme="1" tint="0.249977111117893"/>
        <rFont val="Arial"/>
        <family val="2"/>
      </rPr>
      <t>Concurrently</t>
    </r>
    <r>
      <rPr>
        <sz val="10"/>
        <color theme="1" tint="0.249977111117893"/>
        <rFont val="Arial"/>
        <family val="2"/>
      </rPr>
      <t xml:space="preserve"> [to above Moody's downgrade of FT's outlook]</t>
    </r>
    <r>
      <rPr>
        <i/>
        <sz val="10"/>
        <color theme="1" tint="0.249977111117893"/>
        <rFont val="Arial"/>
        <family val="2"/>
      </rPr>
      <t>, the rating outlook on FT's 50.7% owned and controlled Polish subsidiary, TPS (A3 Stable), is unaffected because of the underlying credit strength of the Polish subsidiary on a stand-alone basis.</t>
    </r>
  </si>
  <si>
    <r>
      <t xml:space="preserve">But 3 months later: </t>
    </r>
    <r>
      <rPr>
        <i/>
        <sz val="10"/>
        <color theme="1" tint="0.249977111117893"/>
        <rFont val="Arial"/>
        <family val="2"/>
      </rPr>
      <t>Moody's changes the outlook on TPS' A3 ratings to Negative. The outlook change reflects Moody's view that TPS will face an increasingly challenging operating environment, mainly due to the fiercely competitive nature of the Polish mobile and fixed market segments, and tough regulation.</t>
    </r>
  </si>
  <si>
    <r>
      <t xml:space="preserve">4 March 2013: </t>
    </r>
    <r>
      <rPr>
        <i/>
        <sz val="10"/>
        <color theme="1" tint="0.249977111117893"/>
        <rFont val="Arial"/>
        <family val="2"/>
      </rPr>
      <t>We have downgraded TPS' ratings to Baa1 due to the uncertainty surrounding its ability to sustain historically strong financial metrics in the face of increasing competitive and regulatory pressures (…) TPS' recent full-year performance suggests that a more challenging operating environment is developing in Poland, in which the company suffered a fall in revenues of approximately 4.1% and a decline in reported EBITDA of around 8.9% in 2012 compared with 2011.</t>
    </r>
  </si>
  <si>
    <t>(Still not the final determination)</t>
  </si>
  <si>
    <t>Similar deal for Mobistar (2013 PR)</t>
  </si>
  <si>
    <r>
      <rPr>
        <sz val="10"/>
        <color theme="1" tint="0.499984740745262"/>
        <rFont val="Wingdings"/>
        <charset val="2"/>
      </rPr>
      <t>è</t>
    </r>
    <r>
      <rPr>
        <b/>
        <sz val="10"/>
        <color theme="1" tint="0.499984740745262"/>
        <rFont val="Arial"/>
        <family val="2"/>
      </rPr>
      <t xml:space="preserve"> Profile</t>
    </r>
  </si>
  <si>
    <r>
      <rPr>
        <b/>
        <sz val="10"/>
        <color theme="1" tint="0.499984740745262"/>
        <rFont val="Arial"/>
        <family val="2"/>
      </rPr>
      <t>i)</t>
    </r>
    <r>
      <rPr>
        <sz val="10"/>
        <color theme="1" tint="0.499984740745262"/>
        <rFont val="Arial"/>
        <family val="2"/>
      </rPr>
      <t xml:space="preserve"> Regarding the issue of the relationship between the ratings on a controling shareholder and its affiliates, we note:</t>
    </r>
  </si>
  <si>
    <r>
      <t xml:space="preserve">- For Mobistar, the </t>
    </r>
    <r>
      <rPr>
        <b/>
        <sz val="10"/>
        <color theme="1" tint="0.499984740745262"/>
        <rFont val="Arial"/>
        <family val="2"/>
      </rPr>
      <t>same controlling shareholder as TPS, and with a similar stake</t>
    </r>
    <r>
      <rPr>
        <sz val="10"/>
        <color theme="1" tint="0.499984740745262"/>
        <rFont val="Arial"/>
        <family val="2"/>
      </rPr>
      <t xml:space="preserve"> (52.9%)</t>
    </r>
  </si>
  <si>
    <r>
      <rPr>
        <sz val="10"/>
        <color theme="1" tint="0.499984740745262"/>
        <rFont val="Symbol"/>
        <family val="1"/>
        <charset val="2"/>
      </rPr>
      <t>»</t>
    </r>
    <r>
      <rPr>
        <sz val="10"/>
        <color theme="1" tint="0.499984740745262"/>
        <rFont val="Arial"/>
        <family val="2"/>
      </rPr>
      <t xml:space="preserve"> or </t>
    </r>
    <r>
      <rPr>
        <sz val="10"/>
        <color theme="1" tint="0.499984740745262"/>
        <rFont val="Symbol"/>
        <family val="1"/>
        <charset val="2"/>
      </rPr>
      <t>­</t>
    </r>
    <r>
      <rPr>
        <sz val="10"/>
        <color theme="1" tint="0.499984740745262"/>
        <rFont val="Arial"/>
        <family val="2"/>
      </rPr>
      <t xml:space="preserve"> a portion of a notche (the latter factor possibly overriding the former) ?</t>
    </r>
  </si>
  <si>
    <r>
      <t xml:space="preserve">- Mobistar is around 50% smaller than TPS, is less diversified </t>
    </r>
    <r>
      <rPr>
        <sz val="10"/>
        <color theme="1" tint="0.499984740745262"/>
        <rFont val="Arial"/>
        <family val="2"/>
      </rPr>
      <t>(in revenue terms)</t>
    </r>
    <r>
      <rPr>
        <b/>
        <sz val="10"/>
        <color theme="1" tint="0.499984740745262"/>
        <rFont val="Arial"/>
        <family val="2"/>
      </rPr>
      <t>, is not the historic or market leading SP</t>
    </r>
  </si>
  <si>
    <r>
      <rPr>
        <sz val="10"/>
        <color theme="1" tint="0.499984740745262"/>
        <rFont val="Symbol"/>
        <family val="1"/>
        <charset val="2"/>
      </rPr>
      <t>¯</t>
    </r>
    <r>
      <rPr>
        <sz val="10"/>
        <color theme="1" tint="0.499984740745262"/>
        <rFont val="Arial"/>
        <family val="2"/>
      </rPr>
      <t xml:space="preserve"> Around 2 notches, especially since Mobistar's perspectives have been trimmed ?</t>
    </r>
  </si>
  <si>
    <r>
      <t xml:space="preserve">- And </t>
    </r>
    <r>
      <rPr>
        <b/>
        <sz val="10"/>
        <color theme="1" tint="0.499984740745262"/>
        <rFont val="Arial"/>
        <family val="2"/>
      </rPr>
      <t xml:space="preserve">Mobistar is not rated. </t>
    </r>
  </si>
  <si>
    <r>
      <rPr>
        <sz val="10"/>
        <color theme="1" tint="0.499984740745262"/>
        <rFont val="Symbol"/>
        <family val="1"/>
        <charset val="2"/>
      </rPr>
      <t>¯</t>
    </r>
    <r>
      <rPr>
        <sz val="10"/>
        <color theme="1" tint="0.499984740745262"/>
        <rFont val="Arial"/>
        <family val="2"/>
      </rPr>
      <t xml:space="preserve"> A portion of a notch for its actual Cd ? </t>
    </r>
  </si>
  <si>
    <r>
      <rPr>
        <b/>
        <sz val="10"/>
        <color theme="1" tint="0.499984740745262"/>
        <rFont val="Arial"/>
        <family val="2"/>
      </rPr>
      <t>iii)</t>
    </r>
    <r>
      <rPr>
        <sz val="10"/>
        <color theme="1" tint="0.499984740745262"/>
        <rFont val="Arial"/>
        <family val="2"/>
      </rPr>
      <t xml:space="preserve"> Ebitda stands at the denominator of key credit rating financial ratios. For FT &amp; TPS, Ebitda decline along with rather dim perspectives seem the main driver for rating &amp; outlook downgrades.</t>
    </r>
  </si>
  <si>
    <r>
      <t xml:space="preserve">- </t>
    </r>
    <r>
      <rPr>
        <b/>
        <sz val="10"/>
        <color theme="1" tint="0.499984740745262"/>
        <rFont val="Arial"/>
        <family val="2"/>
      </rPr>
      <t>Mobistar's falling Ebitda is another feature shared with ORA &amp; TPS</t>
    </r>
    <r>
      <rPr>
        <sz val="10"/>
        <color theme="1" tint="0.499984740745262"/>
        <rFont val="Arial"/>
        <family val="2"/>
      </rPr>
      <t>, though clearly not unique to this group. In this respect, Mobistar roughly stands between ORA &amp; TPS.</t>
    </r>
  </si>
  <si>
    <r>
      <t xml:space="preserve">» </t>
    </r>
    <r>
      <rPr>
        <sz val="10"/>
        <color theme="1" tint="0.499984740745262"/>
        <rFont val="Arial"/>
        <family val="2"/>
      </rPr>
      <t xml:space="preserve">or </t>
    </r>
    <r>
      <rPr>
        <sz val="10"/>
        <color theme="1" tint="0.499984740745262"/>
        <rFont val="Symbol"/>
        <family val="1"/>
        <charset val="2"/>
      </rPr>
      <t>­</t>
    </r>
    <r>
      <rPr>
        <sz val="10"/>
        <color theme="1" tint="0.499984740745262"/>
        <rFont val="Arial"/>
        <family val="2"/>
      </rPr>
      <t xml:space="preserve"> a portion of a notch ?</t>
    </r>
  </si>
  <si>
    <r>
      <t xml:space="preserve">Initially =, </t>
    </r>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a portion of a notch end of period.</t>
    </r>
  </si>
  <si>
    <r>
      <rPr>
        <sz val="10"/>
        <color theme="1" tint="0.499984740745262"/>
        <rFont val="Wingdings"/>
        <charset val="2"/>
      </rPr>
      <t>è</t>
    </r>
    <r>
      <rPr>
        <sz val="9"/>
        <color theme="1" tint="0.499984740745262"/>
        <rFont val="Arial"/>
        <family val="2"/>
      </rPr>
      <t xml:space="preserve"> </t>
    </r>
    <r>
      <rPr>
        <b/>
        <sz val="10"/>
        <color theme="1" tint="0.499984740745262"/>
        <rFont val="Arial"/>
        <family val="2"/>
      </rPr>
      <t>'Historical' Mobistar</t>
    </r>
  </si>
  <si>
    <r>
      <t xml:space="preserve">Remark : initial Mobistar's estimates (across period) were simply based on current TPS' rating. The </t>
    </r>
    <r>
      <rPr>
        <b/>
        <sz val="10"/>
        <color theme="1" tint="0.499984740745262"/>
        <rFont val="Arial"/>
        <family val="2"/>
      </rPr>
      <t>circularity issue</t>
    </r>
    <r>
      <rPr>
        <sz val="10"/>
        <color theme="1" tint="0.499984740745262"/>
        <rFont val="Arial"/>
        <family val="2"/>
      </rPr>
      <t xml:space="preserve"> has a limited impact here because this synthetic rating is just partially based on Mobistar's leverage.</t>
    </r>
  </si>
  <si>
    <r>
      <rPr>
        <sz val="10"/>
        <color theme="1" tint="0.499984740745262"/>
        <rFont val="Wingdings"/>
        <charset val="2"/>
      </rPr>
      <t>è</t>
    </r>
    <r>
      <rPr>
        <sz val="9"/>
        <color theme="1" tint="0.499984740745262"/>
        <rFont val="Arial"/>
        <family val="2"/>
      </rPr>
      <t xml:space="preserve"> </t>
    </r>
    <r>
      <rPr>
        <b/>
        <sz val="10"/>
        <color theme="1" tint="0.499984740745262"/>
        <rFont val="Arial"/>
        <family val="2"/>
      </rPr>
      <t>Hypothetical Mobistar</t>
    </r>
  </si>
  <si>
    <r>
      <t xml:space="preserve">For a more 'normalized' forward-looking rating estimate (i.e. if this determination was specifically about Mobistar's allowed returns), we would rather consider a rating </t>
    </r>
    <r>
      <rPr>
        <b/>
        <sz val="10"/>
        <color theme="1" tint="0.499984740745262"/>
        <rFont val="Arial"/>
        <family val="2"/>
      </rPr>
      <t>1 notch above the current hypothetical BB+</t>
    </r>
    <r>
      <rPr>
        <sz val="10"/>
        <color theme="1" tint="0.499984740745262"/>
        <rFont val="Arial"/>
        <family val="2"/>
      </rPr>
      <t>, mainly because, in Belgium, the regulator may not consent to compensate for a deteriorated credit profile at least partially due to more company/group specific reasons.</t>
    </r>
  </si>
  <si>
    <r>
      <t xml:space="preserve">- </t>
    </r>
    <r>
      <rPr>
        <b/>
        <sz val="10"/>
        <color theme="1" tint="0.499984740745262"/>
        <rFont val="Arial"/>
        <family val="2"/>
      </rPr>
      <t xml:space="preserve">FT's </t>
    </r>
    <r>
      <rPr>
        <sz val="10"/>
        <color theme="1" tint="0.499984740745262"/>
        <rFont val="Arial"/>
        <family val="2"/>
      </rPr>
      <t>possibly</t>
    </r>
    <r>
      <rPr>
        <b/>
        <sz val="10"/>
        <color theme="1" tint="0.499984740745262"/>
        <rFont val="Arial"/>
        <family val="2"/>
      </rPr>
      <t xml:space="preserve"> upward impact </t>
    </r>
    <r>
      <rPr>
        <sz val="10"/>
        <color theme="1" tint="0.499984740745262"/>
        <rFont val="Arial"/>
        <family val="2"/>
      </rPr>
      <t xml:space="preserve">on TPS' rating, according to Moody's, through close supervision, debt financing support, in addition to various operational synergies and marketing transfers. We tend to think that Mobistar could be slightly more autonomous, with: </t>
    </r>
  </si>
  <si>
    <r>
      <rPr>
        <b/>
        <sz val="10"/>
        <color theme="1" tint="0.499984740745262"/>
        <rFont val="Arial"/>
        <family val="2"/>
      </rPr>
      <t>ii)</t>
    </r>
    <r>
      <rPr>
        <sz val="10"/>
        <color theme="1" tint="0.499984740745262"/>
        <rFont val="Arial"/>
        <family val="2"/>
      </rPr>
      <t xml:space="preserve"> On a standalone basis, we also remind that: </t>
    </r>
  </si>
  <si>
    <r>
      <t xml:space="preserve">Overall, </t>
    </r>
    <r>
      <rPr>
        <b/>
        <sz val="10"/>
        <color theme="1" tint="0.499984740745262"/>
        <rFont val="Arial"/>
        <family val="2"/>
      </rPr>
      <t>for Mobistar's actual Cd used for its PV OL</t>
    </r>
    <r>
      <rPr>
        <sz val="10"/>
        <color theme="1" tint="0.499984740745262"/>
        <rFont val="Arial"/>
        <family val="2"/>
      </rPr>
      <t xml:space="preserve">, we assume a rating </t>
    </r>
    <r>
      <rPr>
        <b/>
        <sz val="10"/>
        <color theme="1" tint="0.499984740745262"/>
        <rFont val="Arial"/>
        <family val="2"/>
      </rPr>
      <t xml:space="preserve">2 notches below TPS, though with a downgrade prior to TPS: from BBB- to BB+ </t>
    </r>
    <r>
      <rPr>
        <sz val="10"/>
        <color theme="1" tint="0.499984740745262"/>
        <rFont val="Arial"/>
        <family val="2"/>
      </rPr>
      <t>since</t>
    </r>
    <r>
      <rPr>
        <b/>
        <sz val="10"/>
        <color theme="1" tint="0.499984740745262"/>
        <rFont val="Arial"/>
        <family val="2"/>
      </rPr>
      <t xml:space="preserve"> </t>
    </r>
    <r>
      <rPr>
        <sz val="10"/>
        <color theme="1" tint="0.499984740745262"/>
        <rFont val="Arial"/>
        <family val="2"/>
      </rPr>
      <t>end 2012, for instance, to take into account a likely earlier general downgrade of Mobistar's situation (not just by Ebitda growth) and perspectives.</t>
    </r>
  </si>
  <si>
    <r>
      <rPr>
        <b/>
        <sz val="10"/>
        <color theme="1" tint="0.499984740745262"/>
        <rFont val="Arial"/>
        <family val="2"/>
      </rPr>
      <t>iv)</t>
    </r>
    <r>
      <rPr>
        <sz val="10"/>
        <color theme="1" tint="0.499984740745262"/>
        <rFont val="Arial"/>
        <family val="2"/>
      </rPr>
      <t xml:space="preserve"> With almost no cash, Mobistar's net and gross Debt ratios are the same: </t>
    </r>
  </si>
  <si>
    <t>BIPT 2014 RATINGS</t>
  </si>
  <si>
    <t>With all ratings set at current values, except for Telenet, Mobistar, ORA &amp; TPS, and to a lesser extent ILD, SNC &amp; TEL2. But including for Belgacom: was actually rated A+ (corporate yields n/a) until 3Q11, on average.</t>
  </si>
  <si>
    <t>(To improve if not too time-consuming, i.e. if historical composite ratings can be extracted from Bloomberg.)</t>
  </si>
  <si>
    <t>Data collection for % Mobile estimation from Bloomberg screenshots + research on financial reports:  calculations &amp; comments.</t>
  </si>
  <si>
    <r>
      <t xml:space="preserve">Below </t>
    </r>
    <r>
      <rPr>
        <sz val="10"/>
        <color rgb="FF0070C0"/>
        <rFont val="Arial"/>
        <family val="2"/>
      </rPr>
      <t xml:space="preserve">in blue, rough estimates </t>
    </r>
    <r>
      <rPr>
        <sz val="10"/>
        <rFont val="Arial"/>
        <family val="2"/>
      </rPr>
      <t xml:space="preserve">for speculative grade yields. Only regard Telenet (but OL </t>
    </r>
    <r>
      <rPr>
        <sz val="10"/>
        <rFont val="Symbol"/>
        <family val="1"/>
        <charset val="2"/>
      </rPr>
      <t>»</t>
    </r>
    <r>
      <rPr>
        <sz val="10"/>
        <rFont val="Arial"/>
        <family val="2"/>
      </rPr>
      <t xml:space="preserve"> 0), and OTE.</t>
    </r>
  </si>
  <si>
    <t>(Pre-tax) Cost of Debt Cd°</t>
  </si>
  <si>
    <t>Before issuance fees</t>
  </si>
  <si>
    <t>Cd° 01/01/2010</t>
  </si>
  <si>
    <t>Cd° 31/12/2010</t>
  </si>
  <si>
    <t>Cd° 30/12/2011</t>
  </si>
  <si>
    <t>Cd° 28/12/2012</t>
  </si>
  <si>
    <t>From 'WACC 1'</t>
  </si>
  <si>
    <t>As % (Adj.D + E)</t>
  </si>
  <si>
    <t>Also drives:</t>
  </si>
  <si>
    <t>for adj. D (in EV vs. D+E)</t>
  </si>
  <si>
    <t xml:space="preserve">% D*/Ea* vs. D/Ea: </t>
  </si>
  <si>
    <t>for adj. D/Ea. Default setting: 100%.</t>
  </si>
  <si>
    <t>Belgian SPs and Belgacom' peers historical adj. Eb/Ebitda</t>
  </si>
  <si>
    <t>Adj. Eb/Ebitda</t>
  </si>
  <si>
    <r>
      <rPr>
        <sz val="10"/>
        <color theme="1" tint="0.34998626667073579"/>
        <rFont val="Symbol"/>
        <family val="1"/>
        <charset val="2"/>
      </rPr>
      <t>®</t>
    </r>
    <r>
      <rPr>
        <sz val="9"/>
        <color theme="1" tint="0.34998626667073579"/>
        <rFont val="Arial"/>
        <family val="2"/>
      </rPr>
      <t xml:space="preserve"> = </t>
    </r>
    <r>
      <rPr>
        <sz val="10"/>
        <color theme="1" tint="0.34998626667073579"/>
        <rFont val="Arial"/>
        <family val="2"/>
      </rPr>
      <t>Because of supposed higher operational leverage (% fixed costs) ?</t>
    </r>
  </si>
  <si>
    <r>
      <rPr>
        <sz val="10"/>
        <color theme="1" tint="0.34998626667073579"/>
        <rFont val="Symbol"/>
        <family val="1"/>
        <charset val="2"/>
      </rPr>
      <t>®</t>
    </r>
    <r>
      <rPr>
        <sz val="10"/>
        <color theme="1" tint="0.34998626667073579"/>
        <rFont val="Arial"/>
        <family val="2"/>
      </rPr>
      <t xml:space="preserve"> (Not captured by single-factor CAPM)</t>
    </r>
  </si>
  <si>
    <r>
      <rPr>
        <sz val="10"/>
        <color theme="1" tint="0.34998626667073579"/>
        <rFont val="Symbol"/>
        <family val="1"/>
        <charset val="2"/>
      </rPr>
      <t>®</t>
    </r>
    <r>
      <rPr>
        <sz val="10"/>
        <color theme="1" tint="0.34998626667073579"/>
        <rFont val="Arial"/>
        <family val="2"/>
      </rPr>
      <t xml:space="preserve"> In Europe, possibly at the level of tiny SNC ?</t>
    </r>
  </si>
  <si>
    <r>
      <rPr>
        <sz val="10"/>
        <color theme="1" tint="0.34998626667073579"/>
        <rFont val="Symbol"/>
        <family val="1"/>
        <charset val="2"/>
      </rPr>
      <t>®</t>
    </r>
    <r>
      <rPr>
        <sz val="10"/>
        <color theme="1" tint="0.34998626667073579"/>
        <rFont val="Arial"/>
        <family val="2"/>
      </rPr>
      <t xml:space="preserve"> Unclear: high P/B would imply relatively low market gearing, </t>
    </r>
  </si>
  <si>
    <r>
      <rPr>
        <sz val="10"/>
        <color theme="1" tint="0.249977111117893"/>
        <rFont val="Symbol"/>
        <family val="1"/>
        <charset val="2"/>
      </rPr>
      <t>®</t>
    </r>
    <r>
      <rPr>
        <sz val="9"/>
        <color theme="1" tint="0.249977111117893"/>
        <rFont val="Arial"/>
        <family val="2"/>
      </rPr>
      <t xml:space="preserve"> </t>
    </r>
    <r>
      <rPr>
        <sz val="10"/>
        <color theme="1" tint="0.249977111117893"/>
        <rFont val="Arial"/>
        <family val="2"/>
      </rPr>
      <t>Telenet and Iliad: small caps, high growth, especially in their new Mobile business. Although we qualify Telenet as a (rather) new Mobile entrant, it operates as a MVNO since 2006, nowdays as a full MVNO on Mobistar's network. And it acquired 3G &amp; 2G spectrum end June 2011.</t>
    </r>
  </si>
  <si>
    <r>
      <rPr>
        <sz val="10"/>
        <color theme="1" tint="0.249977111117893"/>
        <rFont val="Symbol"/>
        <family val="1"/>
        <charset val="2"/>
      </rPr>
      <t>®</t>
    </r>
    <r>
      <rPr>
        <sz val="10"/>
        <color theme="1" tint="0.249977111117893"/>
        <rFont val="Arial"/>
        <family val="2"/>
      </rPr>
      <t xml:space="preserve"> Quasi pure-players, large cap, mainly operating in the same mkt - though the UK accounts for a minority rev. share for Vodafone (30% rev. out of Europe). This feature may partially explain the valuation </t>
    </r>
    <r>
      <rPr>
        <sz val="10"/>
        <color theme="1" tint="0.249977111117893"/>
        <rFont val="Symbol"/>
        <family val="1"/>
        <charset val="2"/>
      </rPr>
      <t>D</t>
    </r>
    <r>
      <rPr>
        <sz val="10"/>
        <color theme="1" tint="0.249977111117893"/>
        <rFont val="Arial"/>
        <family val="2"/>
      </rPr>
      <t>, while BT is "locked" on the domestic Fixed mkt under tight regulatory control (but Vodafone slow on 4G).</t>
    </r>
  </si>
  <si>
    <r>
      <rPr>
        <sz val="10"/>
        <color theme="1" tint="0.249977111117893"/>
        <rFont val="Symbol"/>
        <family val="1"/>
        <charset val="2"/>
      </rPr>
      <t>®</t>
    </r>
    <r>
      <rPr>
        <sz val="10"/>
        <color theme="1" tint="0.249977111117893"/>
        <rFont val="Arial"/>
        <family val="2"/>
      </rPr>
      <t xml:space="preserve"> With a balanced Fixed/Mobile mix, and within this 'cluster', two types of operators: SPs such as Belgacom mainly relying on their domestic Fixed line business stronghold, and SPs with a significantly higher Mobile share because they had no other choice than to find growth in other markets (typically in geo-politic spheres of influence, or US for T-Mobile/DT), starting with Mobile services.</t>
    </r>
  </si>
  <si>
    <r>
      <rPr>
        <sz val="10"/>
        <color theme="1" tint="0.249977111117893"/>
        <rFont val="Symbol"/>
        <family val="1"/>
        <charset val="2"/>
      </rPr>
      <t>®</t>
    </r>
    <r>
      <rPr>
        <sz val="10"/>
        <color theme="1" tint="0.249977111117893"/>
        <rFont val="Arial"/>
        <family val="2"/>
      </rPr>
      <t xml:space="preserve"> Relying on local (domestic/Scandinavian/Baltic) mkt dynamics with advanced features and, especially for Telenor, on emerging mkts far away (maybe too risky and small for large European SPs). Ultimately, valuation relates to management skills and to growth potential of established &amp; targeted mkts.</t>
    </r>
  </si>
  <si>
    <r>
      <rPr>
        <sz val="10"/>
        <color theme="1" tint="0.249977111117893"/>
        <rFont val="Symbol"/>
        <family val="1"/>
        <charset val="2"/>
      </rPr>
      <t>®</t>
    </r>
    <r>
      <rPr>
        <sz val="9"/>
        <color theme="1" tint="0.249977111117893"/>
        <rFont val="Arial"/>
        <family val="2"/>
      </rPr>
      <t xml:space="preserve"> </t>
    </r>
    <r>
      <rPr>
        <sz val="10"/>
        <color theme="1" tint="0.249977111117893"/>
        <rFont val="Arial"/>
        <family val="2"/>
      </rPr>
      <t>On avg. for the period, they tend to distance themselves from the 'Continental' cluster to which they should belong. Main reason: their very large footprint in Latin America (beside other European mkts for Telefonica), larger than their domestic (or European) operations and with significantly higher growth.</t>
    </r>
  </si>
  <si>
    <r>
      <rPr>
        <sz val="10"/>
        <color theme="1" tint="0.249977111117893"/>
        <rFont val="Symbol"/>
        <family val="1"/>
        <charset val="2"/>
      </rPr>
      <t>®</t>
    </r>
    <r>
      <rPr>
        <sz val="9"/>
        <color theme="1" tint="0.249977111117893"/>
        <rFont val="Arial"/>
        <family val="2"/>
      </rPr>
      <t xml:space="preserve"> </t>
    </r>
    <r>
      <rPr>
        <sz val="10"/>
        <color theme="1" tint="0.249977111117893"/>
        <rFont val="Arial"/>
        <family val="2"/>
      </rPr>
      <t>Mobistar and Sonaecom: small Mobile SPs struggling in their attempt to diversify their business through the provision of Fixed line services.</t>
    </r>
  </si>
  <si>
    <r>
      <t xml:space="preserve">The latter's slope more or less matches the apparent trend between small pure-players: not plotted because small Fixed SP's high EV/Ebitda is partially related to their </t>
    </r>
    <r>
      <rPr>
        <sz val="10"/>
        <color theme="1" tint="0.249977111117893"/>
        <rFont val="Wingdings"/>
        <charset val="2"/>
      </rPr>
      <t>ä</t>
    </r>
    <r>
      <rPr>
        <sz val="10"/>
        <color theme="1" tint="0.249977111117893"/>
        <rFont val="Arial"/>
        <family val="2"/>
      </rPr>
      <t xml:space="preserve"> in Mobile services, in addition to a strong core business performance which may not represent the avg situation of a hyp. Fixed Belgian SP.</t>
    </r>
  </si>
  <si>
    <r>
      <t xml:space="preserve">When they were pure Fixed players, valuation of Telenet and Iliad was closer to BT's: the gap suggests a premium given (at that time) to small Fixed SPs for their </t>
    </r>
    <r>
      <rPr>
        <sz val="10"/>
        <color theme="1" tint="0.249977111117893"/>
        <rFont val="Wingdings"/>
        <charset val="2"/>
      </rPr>
      <t>ä</t>
    </r>
    <r>
      <rPr>
        <sz val="10"/>
        <color theme="1" tint="0.249977111117893"/>
        <rFont val="Arial"/>
        <family val="2"/>
      </rPr>
      <t xml:space="preserve"> perspectives, at least in their core business.</t>
    </r>
  </si>
  <si>
    <r>
      <rPr>
        <b/>
        <sz val="10"/>
        <color theme="1" tint="0.249977111117893"/>
        <rFont val="Arial"/>
        <family val="2"/>
      </rPr>
      <t>Following more or less homogeneous 'clusters' may be differentiated</t>
    </r>
    <r>
      <rPr>
        <sz val="10"/>
        <color theme="1" tint="0.249977111117893"/>
        <rFont val="Arial"/>
        <family val="2"/>
      </rPr>
      <t>, especially in the graph with period average values:</t>
    </r>
  </si>
  <si>
    <t>OL additions and relative impacts on avg. gearings</t>
  </si>
  <si>
    <t>As proportions of gearings (idem hereafter for D/Ebitda):</t>
  </si>
  <si>
    <t>- Mobistar is the SP the most relying on OL;</t>
  </si>
  <si>
    <t>But, this is definitely not a Fixed vs. Mobile issue, nor a cultural/country issue: see BT &amp; VOD, TLSN &amp; TEL2, PT &amp; SNC.</t>
  </si>
  <si>
    <r>
      <t>See '</t>
    </r>
    <r>
      <rPr>
        <u/>
        <sz val="10"/>
        <color theme="1" tint="0.499984740745262"/>
        <rFont val="Arial"/>
        <family val="2"/>
      </rPr>
      <t>RATINGS</t>
    </r>
    <r>
      <rPr>
        <sz val="10"/>
        <color theme="1" tint="0.499984740745262"/>
        <rFont val="Arial"/>
        <family val="2"/>
      </rPr>
      <t>'.</t>
    </r>
  </si>
  <si>
    <r>
      <t xml:space="preserve">- Use 4Q12 En/E for 2014 </t>
    </r>
    <r>
      <rPr>
        <sz val="10"/>
        <color theme="1" tint="0.499984740745262"/>
        <rFont val="Symbol"/>
        <family val="1"/>
        <charset val="2"/>
      </rPr>
      <t>D</t>
    </r>
    <r>
      <rPr>
        <sz val="10"/>
        <color theme="1" tint="0.499984740745262"/>
        <rFont val="Arial"/>
        <family val="2"/>
      </rPr>
      <t xml:space="preserve">not and 4Q13 values for 2015 </t>
    </r>
    <r>
      <rPr>
        <sz val="10"/>
        <color theme="1" tint="0.499984740745262"/>
        <rFont val="Symbol"/>
        <family val="1"/>
        <charset val="2"/>
      </rPr>
      <t>D</t>
    </r>
    <r>
      <rPr>
        <sz val="10"/>
        <color theme="1" tint="0.499984740745262"/>
        <rFont val="Arial"/>
        <family val="2"/>
      </rPr>
      <t>not;</t>
    </r>
  </si>
  <si>
    <r>
      <t xml:space="preserve">- </t>
    </r>
    <r>
      <rPr>
        <b/>
        <sz val="10"/>
        <color theme="1" tint="0.499984740745262"/>
        <rFont val="Arial"/>
        <family val="2"/>
      </rPr>
      <t>Telenet</t>
    </r>
    <r>
      <rPr>
        <sz val="10"/>
        <color theme="1" tint="0.499984740745262"/>
        <rFont val="Arial"/>
        <family val="2"/>
      </rPr>
      <t xml:space="preserve">'s case seemed easy: no </t>
    </r>
    <r>
      <rPr>
        <sz val="10"/>
        <color theme="1" tint="0.499984740745262"/>
        <rFont val="Symbol"/>
        <family val="1"/>
        <charset val="2"/>
      </rPr>
      <t>D</t>
    </r>
    <r>
      <rPr>
        <sz val="10"/>
        <color theme="1" tint="0.499984740745262"/>
        <rFont val="Arial"/>
        <family val="2"/>
      </rPr>
      <t>not, at least for 2012 &amp; 2013, and probably neither or close to 0 for fiscal year 2014.</t>
    </r>
  </si>
  <si>
    <r>
      <t xml:space="preserve">- Beside </t>
    </r>
    <r>
      <rPr>
        <b/>
        <sz val="10"/>
        <color theme="1" tint="0.499984740745262"/>
        <rFont val="Arial"/>
        <family val="2"/>
      </rPr>
      <t>Belgacom</t>
    </r>
    <r>
      <rPr>
        <sz val="10"/>
        <color theme="1" tint="0.499984740745262"/>
        <rFont val="Arial"/>
        <family val="2"/>
      </rPr>
      <t xml:space="preserve">, again a beacon of relative stability, with values standing between 2x (1&amp;2Q13) and </t>
    </r>
    <r>
      <rPr>
        <sz val="10"/>
        <color theme="1" tint="0.499984740745262"/>
        <rFont val="Symbol"/>
        <family val="1"/>
        <charset val="2"/>
      </rPr>
      <t>»</t>
    </r>
    <r>
      <rPr>
        <sz val="10"/>
        <color theme="1" tint="0.499984740745262"/>
        <rFont val="Arial"/>
        <family val="2"/>
      </rPr>
      <t xml:space="preserve"> 2.5x for the last 2y or more; values which were globally in line with its peers'.</t>
    </r>
  </si>
  <si>
    <t>In spite of this, we were reluctant to consider these values for Belgian generic SPs, even their relative positioning, because:</t>
  </si>
  <si>
    <r>
      <rPr>
        <sz val="10"/>
        <color theme="0" tint="-0.249977111117893"/>
        <rFont val="Arial"/>
        <family val="2"/>
      </rPr>
      <t xml:space="preserve">See around </t>
    </r>
    <r>
      <rPr>
        <u/>
        <sz val="10"/>
        <color theme="0" tint="-0.249977111117893"/>
        <rFont val="Arial"/>
        <family val="2"/>
      </rPr>
      <t>here</t>
    </r>
    <r>
      <rPr>
        <sz val="10"/>
        <color theme="0" tint="-0.249977111117893"/>
        <rFont val="Arial"/>
        <family val="2"/>
      </rPr>
      <t>.</t>
    </r>
  </si>
  <si>
    <r>
      <t xml:space="preserve">See around </t>
    </r>
    <r>
      <rPr>
        <u/>
        <sz val="10"/>
        <color theme="0" tint="-0.249977111117893"/>
        <rFont val="Arial"/>
        <family val="2"/>
      </rPr>
      <t>here</t>
    </r>
    <r>
      <rPr>
        <sz val="10"/>
        <color theme="0" tint="-0.249977111117893"/>
        <rFont val="Arial"/>
        <family val="2"/>
      </rPr>
      <t>.</t>
    </r>
  </si>
  <si>
    <t xml:space="preserve">Note that Mobistar's Eb/Ea* have evolved at much higher levels (around 0.6) than those inferred from equity analyts' estimates.  </t>
  </si>
  <si>
    <t>This stems from a shared view that this SP's Ebitda should substantially decrease by the coming years.</t>
  </si>
  <si>
    <t xml:space="preserve">In contrast, Ebitda is neutral with respect to capital structure: it is a cash-flow item from operations, indepedent from the financial funding mix. </t>
  </si>
  <si>
    <t>With % D*/Ea* vs. D/Ea for adj. gearing:</t>
  </si>
  <si>
    <t>% D* vs. D,</t>
  </si>
  <si>
    <t>for adj. gearing</t>
  </si>
  <si>
    <t>for adj. Eb/Ea.</t>
  </si>
  <si>
    <t>% Eb*/Ea* vs. Eb/Ea,</t>
  </si>
  <si>
    <t>% g* vs. g,</t>
  </si>
  <si>
    <r>
      <rPr>
        <u/>
        <sz val="10"/>
        <rFont val="Arial"/>
        <family val="2"/>
      </rPr>
      <t>Fitch's</t>
    </r>
    <r>
      <rPr>
        <sz val="10"/>
        <rFont val="Arial"/>
        <family val="2"/>
      </rPr>
      <t>: OL</t>
    </r>
  </si>
  <si>
    <t>Doc. mentioned in 'Ratings', with 3 OL valuation methods (2 of which workable), incl. a basic approach: apply a multiple to current OL expense, typically 8x.</t>
  </si>
  <si>
    <r>
      <rPr>
        <b/>
        <sz val="10"/>
        <rFont val="Arial"/>
        <family val="2"/>
      </rPr>
      <t>"H"</t>
    </r>
    <r>
      <rPr>
        <sz val="10"/>
        <rFont val="Arial"/>
        <family val="2"/>
      </rPr>
      <t xml:space="preserve"> used to show avg, </t>
    </r>
    <r>
      <rPr>
        <b/>
        <sz val="10"/>
        <rFont val="Arial"/>
        <family val="2"/>
      </rPr>
      <t>"Q"</t>
    </r>
    <r>
      <rPr>
        <sz val="10"/>
        <rFont val="Arial"/>
        <family val="2"/>
      </rPr>
      <t xml:space="preserve"> for </t>
    </r>
    <r>
      <rPr>
        <sz val="10"/>
        <rFont val="Wingdings"/>
        <charset val="2"/>
      </rPr>
      <t>ä</t>
    </r>
  </si>
  <si>
    <r>
      <rPr>
        <b/>
        <sz val="10"/>
        <rFont val="Arial"/>
        <family val="2"/>
      </rPr>
      <t>Ea</t>
    </r>
    <r>
      <rPr>
        <sz val="10"/>
        <rFont val="Arial"/>
        <family val="2"/>
      </rPr>
      <t xml:space="preserve"> = Ebitda</t>
    </r>
  </si>
  <si>
    <r>
      <rPr>
        <b/>
        <sz val="10"/>
        <color theme="1" tint="0.499984740745262"/>
        <rFont val="Wingdings"/>
        <charset val="2"/>
      </rPr>
      <t>ä</t>
    </r>
    <r>
      <rPr>
        <b/>
        <sz val="10"/>
        <color theme="1" tint="0.499984740745262"/>
        <rFont val="Arial"/>
        <family val="2"/>
      </rPr>
      <t xml:space="preserve"> EV/Sales</t>
    </r>
  </si>
  <si>
    <t>1Q11-1H13</t>
  </si>
  <si>
    <t>2H12-1H13</t>
  </si>
  <si>
    <t>Only thing worth considering in our opinion: a general decrease in WACC rates.</t>
  </si>
  <si>
    <t>Note 2: What Debt ?</t>
  </si>
  <si>
    <r>
      <t xml:space="preserve">Eb/E (and </t>
    </r>
    <r>
      <rPr>
        <b/>
        <u/>
        <sz val="10"/>
        <rFont val="Symbol"/>
        <family val="1"/>
        <charset val="2"/>
      </rPr>
      <t>D</t>
    </r>
    <r>
      <rPr>
        <b/>
        <u/>
        <sz val="10"/>
        <rFont val="Arial"/>
        <family val="2"/>
      </rPr>
      <t>not)</t>
    </r>
  </si>
  <si>
    <t xml:space="preserve">Intermediary spreadsheet presenting altogether historical metrics considered in the three main sheets, with various rankings. </t>
  </si>
  <si>
    <t>Intermediate calculations on historical data for the 3 main sheets (and outputs for WACC 3), except % Mobile.</t>
  </si>
  <si>
    <t>Cleaner presentation of extracted historical data from Bloomberg.</t>
  </si>
  <si>
    <t>Historical data extracted from Bloomberg.</t>
  </si>
  <si>
    <t>- Rnot is the notional discount discount rate, addressed in 'WACC 1';</t>
  </si>
  <si>
    <r>
      <t xml:space="preserve">In 2010, from BIPT's WACC formula incorporating the effect of Belgium's 'notional discount', we determined that this fiscal incentive implies a pre-tax WACC deducted by </t>
    </r>
    <r>
      <rPr>
        <b/>
        <sz val="10"/>
        <rFont val="Arial"/>
        <family val="2"/>
      </rPr>
      <t>Δnot = t/(1-t).(1-g).Rnot.En/E</t>
    </r>
    <r>
      <rPr>
        <sz val="10"/>
        <rFont val="Arial"/>
        <family val="2"/>
      </rPr>
      <t xml:space="preserve">, </t>
    </r>
  </si>
  <si>
    <t>Where:</t>
  </si>
  <si>
    <r>
      <t>- En</t>
    </r>
    <r>
      <rPr>
        <sz val="10"/>
        <rFont val="Arial"/>
        <family val="2"/>
      </rPr>
      <t xml:space="preserve"> (or Enot) is the perimeter of shareholder's equity </t>
    </r>
    <r>
      <rPr>
        <b/>
        <sz val="10"/>
        <rFont val="Arial"/>
        <family val="2"/>
      </rPr>
      <t>Eb</t>
    </r>
    <r>
      <rPr>
        <sz val="10"/>
        <rFont val="Arial"/>
        <family val="2"/>
      </rPr>
      <t xml:space="preserve"> = BV(E) to which the 'notional discount' measure may apply; with the approximation</t>
    </r>
    <r>
      <rPr>
        <b/>
        <sz val="10"/>
        <rFont val="Arial"/>
        <family val="2"/>
      </rPr>
      <t xml:space="preserve"> En </t>
    </r>
    <r>
      <rPr>
        <b/>
        <sz val="10"/>
        <rFont val="Symbol"/>
        <family val="1"/>
        <charset val="2"/>
      </rPr>
      <t>»</t>
    </r>
    <r>
      <rPr>
        <b/>
        <sz val="10"/>
        <rFont val="Arial"/>
        <family val="2"/>
      </rPr>
      <t xml:space="preserve"> Eb</t>
    </r>
  </si>
  <si>
    <r>
      <t xml:space="preserve">More about this </t>
    </r>
    <r>
      <rPr>
        <u/>
        <sz val="10"/>
        <color theme="1" tint="0.499984740745262"/>
        <rFont val="Arial"/>
        <family val="2"/>
      </rPr>
      <t>here</t>
    </r>
    <r>
      <rPr>
        <sz val="10"/>
        <color theme="1" tint="0.499984740745262"/>
        <rFont val="Arial"/>
        <family val="2"/>
      </rPr>
      <t>.</t>
    </r>
  </si>
  <si>
    <t>&amp; Decompositions</t>
  </si>
  <si>
    <r>
      <rPr>
        <b/>
        <sz val="10"/>
        <rFont val="Arial"/>
        <family val="2"/>
      </rPr>
      <t>Net Debt (D)</t>
    </r>
    <r>
      <rPr>
        <sz val="10"/>
        <rFont val="Arial"/>
        <family val="2"/>
      </rPr>
      <t xml:space="preserve"> instead of gross debt (tD) in regulators' WACC. Off-balance sheet commitments: following ratios take </t>
    </r>
    <r>
      <rPr>
        <b/>
        <sz val="10"/>
        <rFont val="Arial"/>
        <family val="2"/>
      </rPr>
      <t xml:space="preserve">Operating Leases (OL) </t>
    </r>
    <r>
      <rPr>
        <sz val="10"/>
        <rFont val="Arial"/>
        <family val="2"/>
      </rPr>
      <t>into account. Market vs. Book values. Target gearing's horizon. Recent vs. average values with historical data.</t>
    </r>
  </si>
  <si>
    <r>
      <t xml:space="preserve">Belgacom's closest </t>
    </r>
    <r>
      <rPr>
        <b/>
        <sz val="10"/>
        <rFont val="Arial"/>
        <family val="2"/>
      </rPr>
      <t>peers</t>
    </r>
    <r>
      <rPr>
        <sz val="10"/>
        <rFont val="Arial"/>
        <family val="2"/>
      </rPr>
      <t xml:space="preserve"> by weighting EV/Ebitda, % Mobile and Market Cap 'proximities': TDC, KPN, TIT, TPS, SCM,TKA.</t>
    </r>
  </si>
  <si>
    <r>
      <t xml:space="preserve">SPs sizes and growths. </t>
    </r>
    <r>
      <rPr>
        <b/>
        <sz val="10"/>
        <rFont val="Arial"/>
        <family val="2"/>
      </rPr>
      <t>Mobile weights</t>
    </r>
    <r>
      <rPr>
        <sz val="10"/>
        <rFont val="Arial"/>
        <family val="2"/>
      </rPr>
      <t xml:space="preserve">, essentially from % Revenues (Ebitda split seldom available): e.g. 37% on avg. for Belgacom. Fixed/Mobile classification by other market observers. SPs' distinction according to geographic 'clusters'. </t>
    </r>
  </si>
  <si>
    <r>
      <rPr>
        <b/>
        <sz val="10"/>
        <rFont val="Arial"/>
        <family val="2"/>
      </rPr>
      <t xml:space="preserve">OL </t>
    </r>
    <r>
      <rPr>
        <sz val="10"/>
        <rFont val="Arial"/>
        <family val="2"/>
      </rPr>
      <t xml:space="preserve">historical </t>
    </r>
    <r>
      <rPr>
        <b/>
        <sz val="10"/>
        <rFont val="Arial"/>
        <family val="2"/>
      </rPr>
      <t xml:space="preserve">impacts </t>
    </r>
    <r>
      <rPr>
        <sz val="10"/>
        <rFont val="Arial"/>
        <family val="2"/>
      </rPr>
      <t>on g et D/Ebitda. Mobistar the European SP most relying on OL, Belgacom median, Telenet the least.</t>
    </r>
  </si>
  <si>
    <t>Δnot = t/(1-t).(1-g).Rnot.Eb/E</t>
  </si>
  <si>
    <t>2014 (incl. OL)</t>
  </si>
  <si>
    <r>
      <t xml:space="preserve">All </t>
    </r>
    <r>
      <rPr>
        <b/>
        <sz val="10"/>
        <rFont val="Arial"/>
        <family val="2"/>
      </rPr>
      <t>D/Ebitda</t>
    </r>
    <r>
      <rPr>
        <sz val="10"/>
        <rFont val="Arial"/>
        <family val="2"/>
      </rPr>
      <t xml:space="preserve"> retained at</t>
    </r>
    <r>
      <rPr>
        <b/>
        <sz val="10"/>
        <rFont val="Arial"/>
        <family val="2"/>
      </rPr>
      <t xml:space="preserve"> 2.3x, except Telenet </t>
    </r>
    <r>
      <rPr>
        <sz val="10"/>
        <rFont val="Arial"/>
        <family val="2"/>
      </rPr>
      <t xml:space="preserve">(3.8x), </t>
    </r>
    <r>
      <rPr>
        <b/>
        <sz val="10"/>
        <rFont val="Arial"/>
        <family val="2"/>
      </rPr>
      <t>yet implying the same gearin</t>
    </r>
    <r>
      <rPr>
        <sz val="10"/>
        <rFont val="Arial"/>
        <family val="2"/>
      </rPr>
      <t>g for all Belgian SPs.</t>
    </r>
  </si>
  <si>
    <t>2014 Eb/E</t>
  </si>
  <si>
    <r>
      <t xml:space="preserve">2014 </t>
    </r>
    <r>
      <rPr>
        <sz val="10"/>
        <rFont val="Symbol"/>
        <family val="1"/>
        <charset val="2"/>
      </rPr>
      <t>D</t>
    </r>
    <r>
      <rPr>
        <sz val="10"/>
        <rFont val="Arial"/>
        <family val="2"/>
      </rPr>
      <t>not</t>
    </r>
  </si>
  <si>
    <r>
      <t xml:space="preserve">2010 </t>
    </r>
    <r>
      <rPr>
        <sz val="10"/>
        <rFont val="Symbol"/>
        <family val="1"/>
        <charset val="2"/>
      </rPr>
      <t>D</t>
    </r>
    <r>
      <rPr>
        <sz val="10"/>
        <rFont val="Arial"/>
        <family val="2"/>
      </rPr>
      <t>not</t>
    </r>
  </si>
  <si>
    <r>
      <t xml:space="preserve">With previously set E/Ebitda </t>
    </r>
    <r>
      <rPr>
        <sz val="10"/>
        <rFont val="Symbol"/>
        <family val="1"/>
        <charset val="2"/>
      </rPr>
      <t>»</t>
    </r>
    <r>
      <rPr>
        <sz val="10"/>
        <rFont val="Arial"/>
        <family val="2"/>
      </rPr>
      <t xml:space="preserve"> (EV/Ebitda-D/Ebitda), Eb/E determined through </t>
    </r>
    <r>
      <rPr>
        <b/>
        <sz val="10"/>
        <rFont val="Arial"/>
        <family val="2"/>
      </rPr>
      <t>Eb/Ebitda</t>
    </r>
    <r>
      <rPr>
        <sz val="10"/>
        <rFont val="Arial"/>
        <family val="2"/>
      </rPr>
      <t xml:space="preserve">: from analysts forecasts for Mobistar/ Mobile; idem for Belgacom but </t>
    </r>
    <r>
      <rPr>
        <b/>
        <sz val="10"/>
        <rFont val="Arial"/>
        <family val="2"/>
      </rPr>
      <t>after adjusting</t>
    </r>
    <r>
      <rPr>
        <sz val="10"/>
        <rFont val="Arial"/>
        <family val="2"/>
      </rPr>
      <t xml:space="preserve"> its ratio </t>
    </r>
    <r>
      <rPr>
        <b/>
        <sz val="10"/>
        <rFont val="Arial"/>
        <family val="2"/>
      </rPr>
      <t xml:space="preserve">for the application of a normalized D/Ebitda </t>
    </r>
    <r>
      <rPr>
        <sz val="10"/>
        <rFont val="Arial"/>
        <family val="2"/>
      </rPr>
      <t>instead of its forecast.</t>
    </r>
  </si>
  <si>
    <t xml:space="preserve">New purposes of credit rating: for the cost of debt Cd used to capitalize leases and in debt Beta decomposition (in 'WACC 3'). </t>
  </si>
  <si>
    <t>This file has been fully revised following the submission of equity analysts estimates.</t>
  </si>
  <si>
    <r>
      <t xml:space="preserve">Gearing with </t>
    </r>
    <r>
      <rPr>
        <b/>
        <sz val="10"/>
        <rFont val="Arial"/>
        <family val="2"/>
      </rPr>
      <t>EV/Ebitda</t>
    </r>
    <r>
      <rPr>
        <sz val="10"/>
        <rFont val="Arial"/>
        <family val="2"/>
      </rPr>
      <t xml:space="preserve"> and </t>
    </r>
    <r>
      <rPr>
        <b/>
        <sz val="10"/>
        <rFont val="Arial"/>
        <family val="2"/>
      </rPr>
      <t>D/Ebitda</t>
    </r>
    <r>
      <rPr>
        <sz val="10"/>
        <rFont val="Arial"/>
        <family val="2"/>
      </rPr>
      <t xml:space="preserve"> estimates;</t>
    </r>
    <r>
      <rPr>
        <b/>
        <sz val="10"/>
        <rFont val="Arial"/>
        <family val="2"/>
      </rPr>
      <t xml:space="preserve"> </t>
    </r>
    <r>
      <rPr>
        <sz val="10"/>
        <rFont val="Arial"/>
        <family val="2"/>
      </rPr>
      <t xml:space="preserve">Eb/E for </t>
    </r>
    <r>
      <rPr>
        <sz val="10"/>
        <rFont val="Symbol"/>
        <family val="1"/>
        <charset val="2"/>
      </rPr>
      <t>D</t>
    </r>
    <r>
      <rPr>
        <sz val="10"/>
        <rFont val="Arial"/>
        <family val="2"/>
      </rPr>
      <t xml:space="preserve">not, with the last 2 items + </t>
    </r>
    <r>
      <rPr>
        <b/>
        <sz val="10"/>
        <rFont val="Arial"/>
        <family val="2"/>
      </rPr>
      <t>Eb/Ebitda</t>
    </r>
    <r>
      <rPr>
        <sz val="10"/>
        <rFont val="Arial"/>
        <family val="2"/>
      </rPr>
      <t>. Benefits: allow to use equity analysts forecasts, provide forward-looking estimates consistent between each other - when cautiously considered/adjusted.</t>
    </r>
  </si>
  <si>
    <t>(No marks in next sheets for practical reasons.)</t>
  </si>
  <si>
    <r>
      <rPr>
        <b/>
        <sz val="10"/>
        <rFont val="Arial"/>
        <family val="2"/>
      </rPr>
      <t>Telenet's</t>
    </r>
    <r>
      <rPr>
        <sz val="10"/>
        <rFont val="Arial"/>
        <family val="2"/>
      </rPr>
      <t xml:space="preserve"> &lt; 0 ratios due to its specific financial practices, irrelevant for regulation. </t>
    </r>
    <r>
      <rPr>
        <b/>
        <sz val="10"/>
        <rFont val="Arial"/>
        <family val="2"/>
      </rPr>
      <t>Proxied instead by Belgacom's Eb/Ebitda.</t>
    </r>
    <r>
      <rPr>
        <sz val="10"/>
        <rFont val="Arial"/>
        <family val="2"/>
      </rPr>
      <t xml:space="preserve"> Idem for </t>
    </r>
    <r>
      <rPr>
        <b/>
        <sz val="10"/>
        <rFont val="Arial"/>
        <family val="2"/>
      </rPr>
      <t>Fixed</t>
    </r>
    <r>
      <rPr>
        <sz val="10"/>
        <rFont val="Arial"/>
        <family val="2"/>
      </rPr>
      <t>.</t>
    </r>
  </si>
  <si>
    <r>
      <t xml:space="preserve">Applied </t>
    </r>
    <r>
      <rPr>
        <b/>
        <sz val="10"/>
        <rFont val="Arial"/>
        <family val="2"/>
      </rPr>
      <t>EV/Ebitda</t>
    </r>
    <r>
      <rPr>
        <sz val="10"/>
        <rFont val="Arial"/>
        <family val="2"/>
      </rPr>
      <t xml:space="preserve"> from analysts' forecasts, after small OL adjustment from historical data: </t>
    </r>
    <r>
      <rPr>
        <b/>
        <sz val="10"/>
        <rFont val="Arial"/>
        <family val="2"/>
      </rPr>
      <t xml:space="preserve">all at 5.5x except Telenet </t>
    </r>
    <r>
      <rPr>
        <sz val="10"/>
        <rFont val="Arial"/>
        <family val="2"/>
      </rPr>
      <t>(9x).</t>
    </r>
  </si>
  <si>
    <r>
      <t>Belgian SPs</t>
    </r>
    <r>
      <rPr>
        <b/>
        <sz val="10"/>
        <rFont val="Arial"/>
        <family val="2"/>
      </rPr>
      <t xml:space="preserve"> historical D/Ebitda vs.</t>
    </r>
    <r>
      <rPr>
        <sz val="10"/>
        <rFont val="Arial"/>
        <family val="2"/>
      </rPr>
      <t xml:space="preserve"> their respective </t>
    </r>
    <r>
      <rPr>
        <b/>
        <sz val="10"/>
        <rFont val="Arial"/>
        <family val="2"/>
      </rPr>
      <t>peers'</t>
    </r>
    <r>
      <rPr>
        <sz val="10"/>
        <rFont val="Arial"/>
        <family val="2"/>
      </rPr>
      <t>. Application of forecast D/Ebitda to Belgian reals SPs, adjusted for OL impacts, except for Belgacom whose estimate remains significantly below historical peers avg. (stable for the period).</t>
    </r>
  </si>
  <si>
    <r>
      <t xml:space="preserve">Among previous items, </t>
    </r>
    <r>
      <rPr>
        <b/>
        <sz val="10"/>
        <rFont val="Arial"/>
        <family val="2"/>
      </rPr>
      <t>Operating Leases (OL)</t>
    </r>
    <r>
      <rPr>
        <sz val="10"/>
        <rFont val="Arial"/>
        <family val="2"/>
      </rPr>
      <t xml:space="preserve"> - not omitted by credit rating agencies -</t>
    </r>
    <r>
      <rPr>
        <b/>
        <sz val="10"/>
        <rFont val="Arial"/>
        <family val="2"/>
      </rPr>
      <t xml:space="preserve"> </t>
    </r>
    <r>
      <rPr>
        <sz val="10"/>
        <rFont val="Arial"/>
        <family val="2"/>
      </rPr>
      <t>are probably the most important off-balance sheet commitments.</t>
    </r>
  </si>
  <si>
    <r>
      <t xml:space="preserve">And similarly, given that E </t>
    </r>
    <r>
      <rPr>
        <sz val="10"/>
        <rFont val="Symbol"/>
        <family val="1"/>
        <charset val="2"/>
      </rPr>
      <t>»</t>
    </r>
    <r>
      <rPr>
        <sz val="10"/>
        <rFont val="Arial"/>
        <family val="2"/>
      </rPr>
      <t xml:space="preserve"> EV - D:</t>
    </r>
  </si>
  <si>
    <r>
      <t xml:space="preserve">- This ratio is </t>
    </r>
    <r>
      <rPr>
        <b/>
        <sz val="10"/>
        <rFont val="Arial"/>
        <family val="2"/>
      </rPr>
      <t>not affected by the normalization of SPs' capital structures</t>
    </r>
    <r>
      <rPr>
        <sz val="10"/>
        <rFont val="Arial"/>
        <family val="2"/>
      </rPr>
      <t>: the financing mix may not impact the intrinsic relative value creation from operations.</t>
    </r>
  </si>
  <si>
    <r>
      <t>- A</t>
    </r>
    <r>
      <rPr>
        <b/>
        <sz val="10"/>
        <rFont val="Arial"/>
        <family val="2"/>
      </rPr>
      <t xml:space="preserve"> 'business' metric, cleared from valuation issues</t>
    </r>
    <r>
      <rPr>
        <sz val="10"/>
        <rFont val="Arial"/>
        <family val="2"/>
      </rPr>
      <t>, which should be under management control. (When a firm's management provides guidance regarding its target debt level, it usually considers this ratio, e.g. D/Ebitda = 2x). Even better with forecast D and Ebitda from analysts.</t>
    </r>
  </si>
  <si>
    <r>
      <t xml:space="preserve">- A ratio also </t>
    </r>
    <r>
      <rPr>
        <b/>
        <sz val="10"/>
        <rFont val="Arial"/>
        <family val="2"/>
      </rPr>
      <t>useful to infer synthetic credit ratings, through the determination of Financial Risk Profiles</t>
    </r>
    <r>
      <rPr>
        <sz val="10"/>
        <rFont val="Arial"/>
        <family val="2"/>
      </rPr>
      <t xml:space="preserve"> (in absence of workable coverage ratios and other relevant multiples).</t>
    </r>
  </si>
  <si>
    <r>
      <rPr>
        <b/>
        <sz val="10"/>
        <rFont val="Arial"/>
        <family val="2"/>
      </rPr>
      <t xml:space="preserve">However, </t>
    </r>
    <r>
      <rPr>
        <b/>
        <i/>
        <sz val="10"/>
        <rFont val="Arial"/>
        <family val="2"/>
      </rPr>
      <t>equity</t>
    </r>
    <r>
      <rPr>
        <b/>
        <sz val="10"/>
        <rFont val="Arial"/>
        <family val="2"/>
      </rPr>
      <t xml:space="preserve"> analysts' do not take OL into account, yet</t>
    </r>
    <r>
      <rPr>
        <sz val="10"/>
        <rFont val="Arial"/>
        <family val="2"/>
      </rPr>
      <t>: they have to stand by to the official accounting standard, until it changes next year. They will then be able to adjust their estimates. We cannot until the next WACC revision. Consequently, these analysts' D/Ebitda, as in following ratios, must be adjusted now - a task requiring historical data series.</t>
    </r>
  </si>
  <si>
    <t>In practice, there is only one single target price, thus market cap E; and this target usually refers to the peformance expected (or deemed fair) for the next 12 months. Consequently, by definition, future annual EV at target price may only vary according to net debt (minority interests being necessarily set at current value). Yet, resulting future annual EV/Ebitda estimates are not just unavoidable approximations: they are also reasonnable in a sense that they show multiples at different distant years, each deemed fair by the analyst.</t>
  </si>
  <si>
    <r>
      <t xml:space="preserve">- A classic valuation multiple, EV/Ebitda is </t>
    </r>
    <r>
      <rPr>
        <b/>
        <sz val="10"/>
        <rFont val="Arial"/>
        <family val="2"/>
      </rPr>
      <t>at the core of equity analysts expertise</t>
    </r>
    <r>
      <rPr>
        <sz val="10"/>
        <rFont val="Arial"/>
        <family val="2"/>
      </rPr>
      <t xml:space="preserve">. Relevant values can be inferred from their forecasts, provided that forward-looking estimates are extracted both for EV and Ebitda, not just Ebitda. With current EV, the ratios show by how much the firm is currently valued by the market relative to future (end of year) Ebitda as estimated by the analyst: 2015 Ebitda estimate, 2016e, etc. This may support a view that the stocks is currently trading at a high or low multiple in comparison with its peers within the sector, but by itself, this not a relevant input for a regulatory determination. </t>
    </r>
  </si>
  <si>
    <r>
      <rPr>
        <b/>
        <sz val="10"/>
        <rFont val="Arial"/>
        <family val="2"/>
      </rPr>
      <t>ii)</t>
    </r>
    <r>
      <rPr>
        <sz val="10"/>
        <rFont val="Arial"/>
        <family val="2"/>
      </rPr>
      <t xml:space="preserve"> Transferring the gearing and </t>
    </r>
    <r>
      <rPr>
        <sz val="10"/>
        <rFont val="Symbol"/>
        <family val="1"/>
        <charset val="2"/>
      </rPr>
      <t>D</t>
    </r>
    <r>
      <rPr>
        <sz val="10"/>
        <rFont val="Arial"/>
        <family val="2"/>
      </rPr>
      <t>not analyses to the D/Ebitda, EV/Ebitda and Eb/Ebitda ratios presents several benefits.</t>
    </r>
  </si>
  <si>
    <r>
      <t xml:space="preserve">Since </t>
    </r>
    <r>
      <rPr>
        <b/>
        <sz val="10"/>
        <rFont val="Arial"/>
        <family val="2"/>
      </rPr>
      <t>Eb = Total Asset - Total liabilities</t>
    </r>
    <r>
      <rPr>
        <sz val="10"/>
        <rFont val="Arial"/>
        <family val="2"/>
      </rPr>
      <t xml:space="preserve">, Eb/Ebitda is itself affected by D/Ebitda. As such, this decomposition of Eb/E </t>
    </r>
    <r>
      <rPr>
        <b/>
        <sz val="10"/>
        <rFont val="Arial"/>
        <family val="2"/>
      </rPr>
      <t>emphasizes the required consistency between this parameter and g</t>
    </r>
    <r>
      <rPr>
        <sz val="10"/>
        <rFont val="Arial"/>
        <family val="2"/>
      </rPr>
      <t xml:space="preserve">. Therefore, analysts' Eb/Ebitda must be discounted by the spread, if any, between retained D/Ebitda and the equivalent ratio analysts (implicitly) consider for the given SP.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</si>
</sst>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 &quot;€&quot;;[Red]\-#,##0.00\ &quot;€&quot;"/>
    <numFmt numFmtId="165" formatCode="_-* #,##0.00\ &quot;€&quot;_-;\-* #,##0.00\ &quot;€&quot;_-;_-* &quot;-&quot;??\ &quot;€&quot;_-;_-@_-"/>
    <numFmt numFmtId="166" formatCode="_-* #,##0.00\ _€_-;\-* #,##0.00\ _€_-;_-* &quot;-&quot;??\ _€_-;_-@_-"/>
    <numFmt numFmtId="167" formatCode="0.0"/>
    <numFmt numFmtId="168" formatCode="0.0%"/>
    <numFmt numFmtId="169" formatCode="0.000"/>
    <numFmt numFmtId="170" formatCode="_(* #,##0_);_(* \(#,##0\);_(* &quot;-&quot;_);_(@_)"/>
    <numFmt numFmtId="171" formatCode="_(&quot;$&quot;* #,##0.00_);_(&quot;$&quot;* \(#,##0.00\);_(&quot;$&quot;* &quot;-&quot;??_);_(@_)"/>
    <numFmt numFmtId="172" formatCode="#,##0;\(#,##0\)"/>
    <numFmt numFmtId="173" formatCode="[$-809]mmmm\ yyyy;@"/>
    <numFmt numFmtId="174" formatCode="#,##0_);\(#,##0\);0_)"/>
    <numFmt numFmtId="175" formatCode="_(&quot;$&quot;* #,##0_);_(&quot;$&quot;* \(#,##0\);_(&quot;$&quot;* &quot;-&quot;??_);_(@_)"/>
    <numFmt numFmtId="176" formatCode="#,##0.0\ _€"/>
    <numFmt numFmtId="177" formatCode="#,##0.00\ _€"/>
  </numFmts>
  <fonts count="222">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sz val="10"/>
      <name val="Arial"/>
      <family val="2"/>
    </font>
    <font>
      <u/>
      <sz val="10"/>
      <color indexed="12"/>
      <name val="Arial"/>
      <family val="2"/>
    </font>
    <font>
      <i/>
      <sz val="10"/>
      <name val="Arial"/>
      <family val="2"/>
    </font>
    <font>
      <sz val="9"/>
      <color indexed="81"/>
      <name val="Tahoma"/>
      <family val="2"/>
    </font>
    <font>
      <sz val="9"/>
      <name val="Arial"/>
      <family val="2"/>
    </font>
    <font>
      <sz val="8"/>
      <color indexed="8"/>
      <name val="Arial"/>
      <family val="2"/>
    </font>
    <font>
      <b/>
      <i/>
      <sz val="10"/>
      <name val="Arial"/>
      <family val="2"/>
    </font>
    <font>
      <i/>
      <sz val="8"/>
      <name val="Arial"/>
      <family val="2"/>
    </font>
    <font>
      <sz val="10"/>
      <color theme="1" tint="0.499984740745262"/>
      <name val="Arial"/>
      <family val="2"/>
    </font>
    <font>
      <sz val="10"/>
      <color theme="0" tint="-0.499984740745262"/>
      <name val="Arial"/>
      <family val="2"/>
    </font>
    <font>
      <b/>
      <sz val="10"/>
      <color theme="1"/>
      <name val="Arial"/>
      <family val="2"/>
    </font>
    <font>
      <sz val="10"/>
      <color rgb="FF0070C0"/>
      <name val="Arial"/>
      <family val="2"/>
    </font>
    <font>
      <sz val="10"/>
      <color rgb="FFFF0000"/>
      <name val="Arial"/>
      <family val="2"/>
    </font>
    <font>
      <sz val="10"/>
      <color rgb="FF00B0F0"/>
      <name val="Arial"/>
      <family val="2"/>
    </font>
    <font>
      <sz val="10"/>
      <name val="Wingdings"/>
      <charset val="2"/>
    </font>
    <font>
      <b/>
      <sz val="10"/>
      <name val="Wingdings"/>
      <charset val="2"/>
    </font>
    <font>
      <sz val="10"/>
      <color rgb="FF3D3D3D"/>
      <name val="Arial"/>
      <family val="2"/>
    </font>
    <font>
      <sz val="10"/>
      <color rgb="FF00B050"/>
      <name val="Arial"/>
      <family val="2"/>
    </font>
    <font>
      <i/>
      <sz val="10"/>
      <color rgb="FF00B0F0"/>
      <name val="Arial"/>
      <family val="2"/>
    </font>
    <font>
      <i/>
      <sz val="10"/>
      <color rgb="FF00B050"/>
      <name val="Arial"/>
      <family val="2"/>
    </font>
    <font>
      <b/>
      <sz val="10"/>
      <color rgb="FF0070C0"/>
      <name val="Arial"/>
      <family val="2"/>
    </font>
    <font>
      <sz val="10"/>
      <color theme="2"/>
      <name val="Arial"/>
      <family val="2"/>
    </font>
    <font>
      <sz val="10"/>
      <color rgb="FF0070C0"/>
      <name val="Symbol"/>
      <family val="1"/>
      <charset val="2"/>
    </font>
    <font>
      <i/>
      <sz val="10"/>
      <color theme="1"/>
      <name val="Arial"/>
      <family val="2"/>
    </font>
    <font>
      <sz val="10"/>
      <name val="Verdana"/>
      <family val="2"/>
    </font>
    <font>
      <sz val="10"/>
      <color rgb="FF00B050"/>
      <name val="Trebuchet MS"/>
      <family val="2"/>
    </font>
    <font>
      <i/>
      <sz val="10"/>
      <color rgb="FF0070C0"/>
      <name val="Arial"/>
      <family val="2"/>
    </font>
    <font>
      <b/>
      <sz val="9"/>
      <color indexed="81"/>
      <name val="Tahoma"/>
      <family val="2"/>
    </font>
    <font>
      <sz val="8"/>
      <name val="Verdana"/>
      <family val="2"/>
    </font>
    <font>
      <b/>
      <sz val="8"/>
      <name val="Verdana"/>
      <family val="2"/>
    </font>
    <font>
      <sz val="10"/>
      <color theme="0" tint="-0.14999847407452621"/>
      <name val="Arial"/>
      <family val="2"/>
    </font>
    <font>
      <sz val="10"/>
      <color theme="1"/>
      <name val="Symbol"/>
      <family val="1"/>
      <charset val="2"/>
    </font>
    <font>
      <b/>
      <i/>
      <sz val="10"/>
      <color rgb="FF0070C0"/>
      <name val="Arial"/>
      <family val="2"/>
    </font>
    <font>
      <sz val="10"/>
      <name val="Symbol"/>
      <family val="1"/>
      <charset val="2"/>
    </font>
    <font>
      <sz val="10"/>
      <color theme="0" tint="-0.34998626667073579"/>
      <name val="Arial"/>
      <family val="2"/>
    </font>
    <font>
      <sz val="9"/>
      <name val="Symbol"/>
      <family val="1"/>
      <charset val="2"/>
    </font>
    <font>
      <sz val="10"/>
      <color rgb="FFFFC000"/>
      <name val="Arial"/>
      <family val="2"/>
    </font>
    <font>
      <b/>
      <sz val="10"/>
      <name val="Symbol"/>
      <family val="1"/>
      <charset val="2"/>
    </font>
    <font>
      <b/>
      <sz val="10"/>
      <color theme="0"/>
      <name val="Arial"/>
      <family val="2"/>
    </font>
    <font>
      <sz val="10"/>
      <color theme="0"/>
      <name val="Arial"/>
      <family val="2"/>
    </font>
    <font>
      <sz val="10"/>
      <color theme="0" tint="-0.249977111117893"/>
      <name val="Arial"/>
      <family val="2"/>
    </font>
    <font>
      <i/>
      <sz val="10"/>
      <color rgb="FFFFC000"/>
      <name val="Arial"/>
      <family val="2"/>
    </font>
    <font>
      <b/>
      <u/>
      <sz val="10"/>
      <name val="Arial"/>
      <family val="2"/>
    </font>
    <font>
      <sz val="10"/>
      <color theme="4"/>
      <name val="Arial"/>
      <family val="2"/>
    </font>
    <font>
      <i/>
      <sz val="10"/>
      <color theme="0" tint="-0.34998626667073579"/>
      <name val="Arial"/>
      <family val="2"/>
    </font>
    <font>
      <sz val="8"/>
      <name val="Arial"/>
      <family val="2"/>
    </font>
    <font>
      <i/>
      <sz val="10"/>
      <color rgb="FF0070C0"/>
      <name val="Symbol"/>
      <family val="1"/>
      <charset val="2"/>
    </font>
    <font>
      <sz val="10"/>
      <name val="Arial"/>
      <family val="2"/>
    </font>
    <font>
      <b/>
      <sz val="14"/>
      <name val="Times"/>
      <family val="1"/>
    </font>
    <font>
      <b/>
      <sz val="10"/>
      <name val="Times"/>
      <family val="1"/>
    </font>
    <font>
      <sz val="10"/>
      <name val="Times"/>
      <family val="1"/>
    </font>
    <font>
      <i/>
      <sz val="10"/>
      <name val="Times"/>
      <family val="1"/>
    </font>
    <font>
      <b/>
      <sz val="9"/>
      <color indexed="81"/>
      <name val="Geneva"/>
    </font>
    <font>
      <sz val="9"/>
      <color indexed="81"/>
      <name val="Geneva"/>
    </font>
    <font>
      <b/>
      <sz val="10"/>
      <color theme="0" tint="-0.249977111117893"/>
      <name val="Arial"/>
      <family val="2"/>
    </font>
    <font>
      <b/>
      <sz val="10"/>
      <color rgb="FF00B050"/>
      <name val="Arial"/>
      <family val="2"/>
    </font>
    <font>
      <sz val="10"/>
      <color theme="4" tint="0.39997558519241921"/>
      <name val="Arial"/>
      <family val="2"/>
    </font>
    <font>
      <sz val="10"/>
      <color rgb="FF0070C0"/>
      <name val="Wingdings"/>
      <charset val="2"/>
    </font>
    <font>
      <sz val="10"/>
      <color theme="3" tint="0.59999389629810485"/>
      <name val="Arial"/>
      <family val="2"/>
    </font>
    <font>
      <sz val="10"/>
      <color rgb="FF0070C0"/>
      <name val="Frutiger 45 Light"/>
      <family val="2"/>
    </font>
    <font>
      <sz val="10"/>
      <color rgb="FF0070C0"/>
      <name val="Frutiger 45 Light"/>
    </font>
    <font>
      <sz val="10"/>
      <color rgb="FF00B050"/>
      <name val="Frutiger 45 Light"/>
      <family val="2"/>
    </font>
    <font>
      <sz val="10"/>
      <color rgb="FF00B050"/>
      <name val="Frutiger 45 Light"/>
    </font>
    <font>
      <sz val="10"/>
      <color rgb="FF0070C0"/>
      <name val="Wingdings 3"/>
      <family val="1"/>
      <charset val="2"/>
    </font>
    <font>
      <sz val="9"/>
      <color theme="1"/>
      <name val="Arial"/>
      <family val="2"/>
    </font>
    <font>
      <b/>
      <sz val="10"/>
      <color theme="0" tint="-0.34998626667073579"/>
      <name val="Arial"/>
      <family val="2"/>
    </font>
    <font>
      <sz val="8"/>
      <color rgb="FF0070C0"/>
      <name val="Arial"/>
      <family val="2"/>
    </font>
    <font>
      <sz val="10"/>
      <color rgb="FF00B050"/>
      <name val="Symbol"/>
      <family val="1"/>
      <charset val="2"/>
    </font>
    <font>
      <sz val="8"/>
      <color rgb="FF00B050"/>
      <name val="Arial"/>
      <family val="2"/>
    </font>
    <font>
      <b/>
      <sz val="8.5"/>
      <name val="Arial"/>
      <family val="2"/>
    </font>
    <font>
      <sz val="10"/>
      <color theme="1"/>
      <name val="Wingdings"/>
      <charset val="2"/>
    </font>
    <font>
      <sz val="10"/>
      <color rgb="FFC00000"/>
      <name val="Arial"/>
      <family val="2"/>
    </font>
    <font>
      <b/>
      <sz val="10"/>
      <color rgb="FFC00000"/>
      <name val="Arial"/>
      <family val="2"/>
    </font>
    <font>
      <sz val="10"/>
      <color rgb="FF000000"/>
      <name val="Arial"/>
      <family val="2"/>
    </font>
    <font>
      <sz val="10"/>
      <color rgb="FF000000"/>
      <name val="Wingdings"/>
      <charset val="2"/>
    </font>
    <font>
      <b/>
      <u/>
      <sz val="10"/>
      <color theme="1"/>
      <name val="Arial"/>
      <family val="2"/>
    </font>
    <font>
      <sz val="10"/>
      <color theme="0" tint="-0.14999847407452621"/>
      <name val="Symbol"/>
      <family val="1"/>
      <charset val="2"/>
    </font>
    <font>
      <sz val="8"/>
      <color theme="0" tint="-0.14999847407452621"/>
      <name val="Arial"/>
      <family val="2"/>
    </font>
    <font>
      <sz val="10"/>
      <color theme="0" tint="-0.249977111117893"/>
      <name val="Symbol"/>
      <family val="1"/>
      <charset val="2"/>
    </font>
    <font>
      <sz val="8"/>
      <color theme="0" tint="-0.249977111117893"/>
      <name val="Arial"/>
      <family val="2"/>
    </font>
    <font>
      <sz val="10"/>
      <color theme="0" tint="-0.499984740745262"/>
      <name val="Symbol"/>
      <family val="1"/>
      <charset val="2"/>
    </font>
    <font>
      <sz val="8"/>
      <color theme="0" tint="-0.499984740745262"/>
      <name val="Arial"/>
      <family val="2"/>
    </font>
    <font>
      <b/>
      <i/>
      <sz val="10"/>
      <color theme="0" tint="-0.499984740745262"/>
      <name val="Arial"/>
      <family val="2"/>
    </font>
    <font>
      <sz val="10"/>
      <color rgb="FFFFD757"/>
      <name val="Arial"/>
      <family val="2"/>
    </font>
    <font>
      <b/>
      <sz val="10"/>
      <color theme="0" tint="-0.499984740745262"/>
      <name val="Arial"/>
      <family val="2"/>
    </font>
    <font>
      <sz val="10"/>
      <color theme="0" tint="-0.499984740745262"/>
      <name val="Wingdings"/>
      <charset val="2"/>
    </font>
    <font>
      <b/>
      <u/>
      <sz val="10"/>
      <color theme="0" tint="-0.499984740745262"/>
      <name val="Arial"/>
      <family val="2"/>
    </font>
    <font>
      <strike/>
      <sz val="10"/>
      <color rgb="FF0070C0"/>
      <name val="Arial"/>
      <family val="2"/>
    </font>
    <font>
      <b/>
      <sz val="10"/>
      <color rgb="FF00B050"/>
      <name val="Trebuchet MS"/>
      <family val="2"/>
    </font>
    <font>
      <sz val="10"/>
      <color theme="3" tint="0.39997558519241921"/>
      <name val="Arial"/>
      <family val="2"/>
    </font>
    <font>
      <u/>
      <sz val="10"/>
      <color rgb="FF00B050"/>
      <name val="Arial"/>
      <family val="2"/>
    </font>
    <font>
      <i/>
      <sz val="10"/>
      <color theme="0" tint="-0.14999847407452621"/>
      <name val="Arial"/>
      <family val="2"/>
    </font>
    <font>
      <i/>
      <sz val="10"/>
      <color theme="0" tint="-0.499984740745262"/>
      <name val="Arial"/>
      <family val="2"/>
    </font>
    <font>
      <i/>
      <sz val="10"/>
      <color theme="1" tint="0.499984740745262"/>
      <name val="Arial"/>
      <family val="2"/>
    </font>
    <font>
      <i/>
      <sz val="10"/>
      <color theme="0" tint="-0.14999847407452621"/>
      <name val="Symbol"/>
      <family val="1"/>
      <charset val="2"/>
    </font>
    <font>
      <i/>
      <sz val="8"/>
      <color theme="0" tint="-0.14999847407452621"/>
      <name val="Arial"/>
      <family val="2"/>
    </font>
    <font>
      <sz val="10"/>
      <color theme="0" tint="-4.9989318521683403E-2"/>
      <name val="Arial"/>
      <family val="2"/>
    </font>
    <font>
      <b/>
      <i/>
      <sz val="10"/>
      <color theme="0"/>
      <name val="Arial"/>
      <family val="2"/>
    </font>
    <font>
      <b/>
      <sz val="10"/>
      <color theme="1"/>
      <name val="Symbol"/>
      <family val="1"/>
      <charset val="2"/>
    </font>
    <font>
      <u/>
      <sz val="10"/>
      <name val="Arial"/>
      <family val="2"/>
    </font>
    <font>
      <sz val="10"/>
      <color theme="1" tint="0.499984740745262"/>
      <name val="Symbol"/>
      <family val="1"/>
      <charset val="2"/>
    </font>
    <font>
      <b/>
      <sz val="8.3000000000000007"/>
      <name val="Arial"/>
      <family val="2"/>
    </font>
    <font>
      <sz val="10"/>
      <color theme="0" tint="-0.249977111117893"/>
      <name val="Wingdings"/>
      <charset val="2"/>
    </font>
    <font>
      <b/>
      <sz val="10"/>
      <color theme="0" tint="-0.249977111117893"/>
      <name val="Wingdings"/>
      <charset val="2"/>
    </font>
    <font>
      <b/>
      <sz val="9"/>
      <color theme="0" tint="-0.249977111117893"/>
      <name val="Arial"/>
      <family val="2"/>
    </font>
    <font>
      <u/>
      <sz val="10"/>
      <color theme="10"/>
      <name val="Arial"/>
      <family val="2"/>
    </font>
    <font>
      <sz val="10"/>
      <color rgb="FFFFD347"/>
      <name val="Arial"/>
      <family val="2"/>
    </font>
    <font>
      <sz val="10"/>
      <color rgb="FFFFDA65"/>
      <name val="Arial"/>
      <family val="2"/>
    </font>
    <font>
      <vertAlign val="superscript"/>
      <sz val="10"/>
      <name val="Arial"/>
      <family val="2"/>
    </font>
    <font>
      <b/>
      <sz val="9"/>
      <name val="Arial"/>
      <family val="2"/>
    </font>
    <font>
      <b/>
      <sz val="8"/>
      <name val="Arial"/>
      <family val="2"/>
    </font>
    <font>
      <b/>
      <sz val="10"/>
      <color theme="1" tint="0.499984740745262"/>
      <name val="Arial"/>
      <family val="2"/>
    </font>
    <font>
      <u/>
      <sz val="10"/>
      <color theme="0" tint="-0.499984740745262"/>
      <name val="Arial"/>
      <family val="2"/>
    </font>
    <font>
      <i/>
      <u/>
      <sz val="10"/>
      <name val="Arial"/>
      <family val="2"/>
    </font>
    <font>
      <u/>
      <sz val="10"/>
      <color theme="1" tint="0.499984740745262"/>
      <name val="Arial"/>
      <family val="2"/>
    </font>
    <font>
      <sz val="10"/>
      <color theme="1" tint="0.34998626667073579"/>
      <name val="Arial"/>
      <family val="2"/>
    </font>
    <font>
      <i/>
      <sz val="10"/>
      <color theme="1" tint="0.34998626667073579"/>
      <name val="Arial"/>
      <family val="2"/>
    </font>
    <font>
      <i/>
      <u/>
      <sz val="10"/>
      <color theme="1" tint="0.34998626667073579"/>
      <name val="Arial"/>
      <family val="2"/>
    </font>
    <font>
      <sz val="9"/>
      <color theme="0" tint="-0.499984740745262"/>
      <name val="Arial"/>
      <family val="2"/>
    </font>
    <font>
      <sz val="10"/>
      <color theme="1" tint="0.499984740745262"/>
      <name val="Wingdings"/>
      <charset val="2"/>
    </font>
    <font>
      <sz val="9"/>
      <color theme="1" tint="0.499984740745262"/>
      <name val="Arial"/>
      <family val="2"/>
    </font>
    <font>
      <b/>
      <sz val="10"/>
      <name val="Arial"/>
      <family val="2"/>
      <charset val="238"/>
    </font>
    <font>
      <i/>
      <sz val="10"/>
      <name val="Symbol"/>
      <family val="1"/>
      <charset val="2"/>
    </font>
    <font>
      <i/>
      <sz val="9"/>
      <name val="Arial"/>
      <family val="2"/>
    </font>
    <font>
      <u/>
      <sz val="10"/>
      <color theme="0" tint="-0.249977111117893"/>
      <name val="Arial"/>
      <family val="2"/>
    </font>
    <font>
      <i/>
      <sz val="9"/>
      <color indexed="81"/>
      <name val="Tahoma"/>
      <family val="2"/>
    </font>
    <font>
      <u/>
      <sz val="10"/>
      <color theme="1" tint="0.34998626667073579"/>
      <name val="Arial"/>
      <family val="2"/>
    </font>
    <font>
      <b/>
      <u/>
      <sz val="10"/>
      <name val="Symbol"/>
      <family val="1"/>
      <charset val="2"/>
    </font>
    <font>
      <b/>
      <sz val="8"/>
      <color theme="1"/>
      <name val="Arial"/>
      <family val="2"/>
    </font>
    <font>
      <sz val="10"/>
      <color rgb="FFFFDA65"/>
      <name val="Symbol"/>
      <family val="1"/>
      <charset val="2"/>
    </font>
    <font>
      <b/>
      <sz val="9"/>
      <color theme="1"/>
      <name val="Arial"/>
      <family val="2"/>
    </font>
    <font>
      <sz val="10"/>
      <color theme="3"/>
      <name val="Arial"/>
      <family val="2"/>
    </font>
    <font>
      <strike/>
      <sz val="10"/>
      <color theme="0" tint="-0.499984740745262"/>
      <name val="Arial"/>
      <family val="2"/>
    </font>
    <font>
      <sz val="10"/>
      <color rgb="FFFFE697"/>
      <name val="Arial"/>
      <family val="2"/>
    </font>
    <font>
      <b/>
      <sz val="10"/>
      <color theme="1" tint="0.34998626667073579"/>
      <name val="Arial"/>
      <family val="2"/>
    </font>
    <font>
      <sz val="10"/>
      <color theme="1" tint="0.34998626667073579"/>
      <name val="Symbol"/>
      <family val="1"/>
      <charset val="2"/>
    </font>
    <font>
      <sz val="9"/>
      <color rgb="FFFFDA65"/>
      <name val="Arial"/>
      <family val="2"/>
    </font>
    <font>
      <u/>
      <sz val="10"/>
      <color theme="0" tint="-0.34998626667073579"/>
      <name val="Arial"/>
      <family val="2"/>
    </font>
    <font>
      <b/>
      <sz val="10"/>
      <color theme="0" tint="-4.9989318521683403E-2"/>
      <name val="Arial"/>
      <family val="2"/>
    </font>
    <font>
      <b/>
      <sz val="10"/>
      <color theme="0" tint="-0.14999847407452621"/>
      <name val="Arial"/>
      <family val="2"/>
    </font>
    <font>
      <u/>
      <sz val="9"/>
      <color theme="0" tint="-0.34998626667073579"/>
      <name val="Arial"/>
      <family val="2"/>
    </font>
    <font>
      <sz val="9"/>
      <color theme="0" tint="-0.34998626667073579"/>
      <name val="Arial"/>
      <family val="2"/>
    </font>
    <font>
      <sz val="9"/>
      <color rgb="FFC00000"/>
      <name val="Arial"/>
      <family val="2"/>
    </font>
    <font>
      <u/>
      <sz val="10"/>
      <color rgb="FFFFC000"/>
      <name val="Arial"/>
      <family val="2"/>
    </font>
    <font>
      <sz val="10"/>
      <color rgb="FFFFC000"/>
      <name val="Symbol"/>
      <family val="1"/>
      <charset val="2"/>
    </font>
    <font>
      <sz val="10"/>
      <color rgb="FFFFC000"/>
      <name val="Wingdings"/>
      <charset val="2"/>
    </font>
    <font>
      <b/>
      <sz val="10"/>
      <color theme="1" tint="0.499984740745262"/>
      <name val="Wingdings"/>
      <charset val="2"/>
    </font>
    <font>
      <b/>
      <u/>
      <sz val="10"/>
      <color theme="1" tint="0.34998626667073579"/>
      <name val="Arial"/>
      <family val="2"/>
    </font>
    <font>
      <sz val="9"/>
      <color theme="0"/>
      <name val="Arial"/>
      <family val="2"/>
    </font>
    <font>
      <sz val="10"/>
      <color theme="0"/>
      <name val="Symbol"/>
      <family val="1"/>
      <charset val="2"/>
    </font>
    <font>
      <i/>
      <sz val="10"/>
      <color theme="0"/>
      <name val="Symbol"/>
      <family val="1"/>
      <charset val="2"/>
    </font>
    <font>
      <sz val="10"/>
      <color theme="0"/>
      <name val="Wingdings"/>
      <charset val="2"/>
    </font>
    <font>
      <sz val="10"/>
      <color theme="0" tint="-0.14999847407452621"/>
      <name val="Wingdings"/>
      <charset val="2"/>
    </font>
    <font>
      <sz val="8"/>
      <color indexed="8"/>
      <name val="Trebuchet MS"/>
      <family val="2"/>
    </font>
    <font>
      <sz val="10"/>
      <color rgb="FFFFDC6D"/>
      <name val="Arial"/>
      <family val="2"/>
    </font>
    <font>
      <sz val="9"/>
      <color theme="1" tint="0.34998626667073579"/>
      <name val="Arial"/>
      <family val="2"/>
    </font>
    <font>
      <b/>
      <u/>
      <sz val="10"/>
      <color theme="1" tint="0.499984740745262"/>
      <name val="Arial"/>
      <family val="2"/>
    </font>
    <font>
      <sz val="10"/>
      <color theme="0" tint="-0.34998626667073579"/>
      <name val="Symbol"/>
      <family val="1"/>
      <charset val="2"/>
    </font>
    <font>
      <b/>
      <i/>
      <u/>
      <sz val="10"/>
      <name val="Arial"/>
      <family val="2"/>
    </font>
    <font>
      <sz val="10"/>
      <color rgb="FFFFDC6D"/>
      <name val="Symbol"/>
      <family val="1"/>
      <charset val="2"/>
    </font>
    <font>
      <sz val="9"/>
      <color rgb="FFFFDC6D"/>
      <name val="Arial"/>
      <family val="2"/>
    </font>
    <font>
      <b/>
      <sz val="10"/>
      <color rgb="FFFFC000"/>
      <name val="Arial"/>
      <family val="2"/>
    </font>
    <font>
      <sz val="9.3000000000000007"/>
      <color theme="1"/>
      <name val="Arial"/>
      <family val="2"/>
    </font>
    <font>
      <sz val="9.3000000000000007"/>
      <name val="Arial"/>
      <family val="2"/>
    </font>
    <font>
      <sz val="10"/>
      <color rgb="FF92D050"/>
      <name val="Arial"/>
      <family val="2"/>
    </font>
    <font>
      <sz val="10"/>
      <color theme="1" tint="0.499984740745262"/>
      <name val="Wingdings 3"/>
      <family val="1"/>
      <charset val="2"/>
    </font>
    <font>
      <sz val="9"/>
      <color theme="0" tint="-0.249977111117893"/>
      <name val="Symbol"/>
      <family val="1"/>
      <charset val="2"/>
    </font>
    <font>
      <sz val="10"/>
      <color theme="1" tint="0.34998626667073579"/>
      <name val="Wingdings"/>
      <charset val="2"/>
    </font>
    <font>
      <b/>
      <sz val="10"/>
      <color theme="0" tint="-0.14999847407452621"/>
      <name val="Wingdings"/>
      <charset val="2"/>
    </font>
    <font>
      <b/>
      <sz val="8"/>
      <color theme="0" tint="-0.14999847407452621"/>
      <name val="Arial"/>
      <family val="2"/>
    </font>
    <font>
      <b/>
      <sz val="10"/>
      <color theme="1" tint="0.249977111117893"/>
      <name val="Arial"/>
      <family val="2"/>
    </font>
    <font>
      <b/>
      <sz val="10"/>
      <color theme="1" tint="0.34998626667073579"/>
      <name val="Symbol"/>
      <family val="1"/>
      <charset val="2"/>
    </font>
    <font>
      <sz val="10"/>
      <color theme="1" tint="0.249977111117893"/>
      <name val="Arial"/>
      <family val="2"/>
    </font>
    <font>
      <u/>
      <sz val="10"/>
      <color theme="1" tint="0.249977111117893"/>
      <name val="Arial"/>
      <family val="2"/>
    </font>
    <font>
      <b/>
      <sz val="10"/>
      <name val="Wingdings 3"/>
      <family val="1"/>
      <charset val="2"/>
    </font>
    <font>
      <sz val="9"/>
      <color indexed="81"/>
      <name val="Symbol"/>
      <family val="1"/>
      <charset val="2"/>
    </font>
    <font>
      <b/>
      <sz val="10"/>
      <color theme="1" tint="0.499984740745262"/>
      <name val="Symbol"/>
      <family val="1"/>
      <charset val="2"/>
    </font>
    <font>
      <b/>
      <sz val="9"/>
      <color theme="1" tint="0.499984740745262"/>
      <name val="Arial"/>
      <family val="2"/>
    </font>
    <font>
      <i/>
      <sz val="10"/>
      <color theme="1" tint="0.249977111117893"/>
      <name val="Arial"/>
      <family val="2"/>
    </font>
    <font>
      <b/>
      <i/>
      <sz val="10"/>
      <color theme="1" tint="0.249977111117893"/>
      <name val="Arial"/>
      <family val="2"/>
    </font>
    <font>
      <i/>
      <u/>
      <sz val="10"/>
      <color theme="1" tint="0.249977111117893"/>
      <name val="Arial"/>
      <family val="2"/>
    </font>
    <font>
      <sz val="10"/>
      <color theme="1" tint="0.249977111117893"/>
      <name val="Symbol"/>
      <family val="1"/>
      <charset val="2"/>
    </font>
    <font>
      <sz val="9"/>
      <color theme="1" tint="0.249977111117893"/>
      <name val="Arial"/>
      <family val="2"/>
    </font>
    <font>
      <sz val="10"/>
      <color theme="1" tint="0.249977111117893"/>
      <name val="Wingdings"/>
      <charset val="2"/>
    </font>
  </fonts>
  <fills count="35">
    <fill>
      <patternFill patternType="none"/>
    </fill>
    <fill>
      <patternFill patternType="gray125"/>
    </fill>
    <fill>
      <patternFill patternType="solid">
        <fgColor indexed="42"/>
        <bgColor indexed="64"/>
      </patternFill>
    </fill>
    <fill>
      <patternFill patternType="solid">
        <fgColor theme="2"/>
        <bgColor indexed="64"/>
      </patternFill>
    </fill>
    <fill>
      <patternFill patternType="solid">
        <fgColor rgb="FFFFFFFF"/>
        <bgColor indexed="64"/>
      </patternFill>
    </fill>
    <fill>
      <patternFill patternType="solid">
        <fgColor theme="2"/>
        <bgColor rgb="FF000000"/>
      </patternFill>
    </fill>
    <fill>
      <patternFill patternType="solid">
        <fgColor theme="2" tint="-0.249977111117893"/>
        <bgColor indexed="64"/>
      </patternFill>
    </fill>
    <fill>
      <patternFill patternType="solid">
        <fgColor rgb="FFFFC000"/>
        <bgColor indexed="64"/>
      </patternFill>
    </fill>
    <fill>
      <patternFill patternType="solid">
        <fgColor theme="6" tint="-0.499984740745262"/>
        <bgColor indexed="64"/>
      </patternFill>
    </fill>
    <fill>
      <patternFill patternType="solid">
        <fgColor rgb="FFFFFF00"/>
        <bgColor indexed="64"/>
      </patternFill>
    </fill>
    <fill>
      <patternFill patternType="solid">
        <fgColor indexed="43"/>
        <bgColor indexed="64"/>
      </patternFill>
    </fill>
    <fill>
      <patternFill patternType="solid">
        <fgColor theme="1" tint="0.499984740745262"/>
        <bgColor indexed="64"/>
      </patternFill>
    </fill>
    <fill>
      <patternFill patternType="solid">
        <fgColor rgb="FFFFFF66"/>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DDD9C3"/>
        <bgColor rgb="FF000000"/>
      </patternFill>
    </fill>
    <fill>
      <patternFill patternType="solid">
        <fgColor theme="0" tint="-0.499984740745262"/>
        <bgColor indexed="64"/>
      </patternFill>
    </fill>
    <fill>
      <patternFill patternType="solid">
        <fgColor rgb="FFFFFF99"/>
        <bgColor indexed="64"/>
      </patternFill>
    </fill>
    <fill>
      <patternFill patternType="solid">
        <fgColor rgb="FFC00000"/>
        <bgColor indexed="64"/>
      </patternFill>
    </fill>
    <fill>
      <patternFill patternType="solid">
        <fgColor rgb="FF948A54"/>
        <bgColor indexed="64"/>
      </patternFill>
    </fill>
    <fill>
      <patternFill patternType="solid">
        <fgColor rgb="FF558ED5"/>
        <bgColor indexed="64"/>
      </patternFill>
    </fill>
    <fill>
      <patternFill patternType="solid">
        <fgColor rgb="FF808000"/>
        <bgColor indexed="64"/>
      </patternFill>
    </fill>
    <fill>
      <patternFill patternType="solid">
        <fgColor rgb="FF5D7430"/>
        <bgColor indexed="64"/>
      </patternFill>
    </fill>
    <fill>
      <patternFill patternType="solid">
        <fgColor theme="1"/>
        <bgColor indexed="64"/>
      </patternFill>
    </fill>
    <fill>
      <patternFill patternType="solid">
        <fgColor rgb="FFFFD347"/>
        <bgColor indexed="64"/>
      </patternFill>
    </fill>
    <fill>
      <patternFill patternType="solid">
        <fgColor theme="0"/>
        <bgColor indexed="64"/>
      </patternFill>
    </fill>
    <fill>
      <patternFill patternType="solid">
        <fgColor theme="2" tint="-0.499984740745262"/>
        <bgColor indexed="64"/>
      </patternFill>
    </fill>
    <fill>
      <patternFill patternType="solid">
        <fgColor rgb="FF0070C0"/>
        <bgColor indexed="64"/>
      </patternFill>
    </fill>
    <fill>
      <patternFill patternType="solid">
        <fgColor rgb="FFF2F2F2"/>
        <bgColor indexed="64"/>
      </patternFill>
    </fill>
    <fill>
      <patternFill patternType="solid">
        <fgColor rgb="FFFFDA65"/>
        <bgColor indexed="64"/>
      </patternFill>
    </fill>
    <fill>
      <patternFill patternType="solid">
        <fgColor theme="6" tint="-0.249977111117893"/>
        <bgColor indexed="64"/>
      </patternFill>
    </fill>
    <fill>
      <patternFill patternType="solid">
        <fgColor rgb="FFFFE697"/>
        <bgColor indexed="64"/>
      </patternFill>
    </fill>
    <fill>
      <patternFill patternType="solid">
        <fgColor indexed="9"/>
      </patternFill>
    </fill>
    <fill>
      <patternFill patternType="solid">
        <fgColor theme="0" tint="-0.14999847407452621"/>
        <bgColor indexed="64"/>
      </patternFill>
    </fill>
    <fill>
      <patternFill patternType="solid">
        <fgColor rgb="FFFFFFF3"/>
        <bgColor indexed="64"/>
      </patternFill>
    </fill>
  </fills>
  <borders count="161">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right/>
      <top/>
      <bottom style="dotted">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bottom style="thin">
        <color indexed="64"/>
      </bottom>
      <diagonal/>
    </border>
    <border>
      <left style="hair">
        <color auto="1"/>
      </left>
      <right style="hair">
        <color auto="1"/>
      </right>
      <top style="thin">
        <color indexed="64"/>
      </top>
      <bottom/>
      <diagonal/>
    </border>
    <border>
      <left style="hair">
        <color auto="1"/>
      </left>
      <right/>
      <top style="thin">
        <color indexed="64"/>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style="hair">
        <color auto="1"/>
      </left>
      <right style="hair">
        <color auto="1"/>
      </right>
      <top style="thin">
        <color indexed="64"/>
      </top>
      <bottom style="hair">
        <color auto="1"/>
      </bottom>
      <diagonal/>
    </border>
    <border>
      <left style="hair">
        <color auto="1"/>
      </left>
      <right/>
      <top style="thin">
        <color indexed="64"/>
      </top>
      <bottom style="hair">
        <color auto="1"/>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style="thin">
        <color indexed="64"/>
      </top>
      <bottom/>
      <diagonal/>
    </border>
    <border>
      <left/>
      <right style="mediumDashed">
        <color indexed="64"/>
      </right>
      <top style="thin">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thin">
        <color indexed="64"/>
      </bottom>
      <diagonal/>
    </border>
    <border>
      <left/>
      <right style="mediumDashed">
        <color indexed="64"/>
      </right>
      <top/>
      <bottom style="thin">
        <color indexed="64"/>
      </bottom>
      <diagonal/>
    </border>
    <border>
      <left style="mediumDashed">
        <color indexed="64"/>
      </left>
      <right/>
      <top/>
      <bottom style="mediumDashed">
        <color indexed="64"/>
      </bottom>
      <diagonal/>
    </border>
    <border>
      <left/>
      <right/>
      <top/>
      <bottom style="mediumDashed">
        <color indexed="64"/>
      </bottom>
      <diagonal/>
    </border>
    <border>
      <left style="hair">
        <color indexed="64"/>
      </left>
      <right style="hair">
        <color indexed="64"/>
      </right>
      <top/>
      <bottom style="mediumDashed">
        <color indexed="64"/>
      </bottom>
      <diagonal/>
    </border>
    <border>
      <left/>
      <right style="mediumDashed">
        <color indexed="64"/>
      </right>
      <top/>
      <bottom style="mediumDashed">
        <color indexed="64"/>
      </bottom>
      <diagonal/>
    </border>
    <border>
      <left style="thin">
        <color indexed="64"/>
      </left>
      <right style="thin">
        <color indexed="64"/>
      </right>
      <top style="hair">
        <color indexed="64"/>
      </top>
      <bottom/>
      <diagonal/>
    </border>
    <border>
      <left/>
      <right style="thin">
        <color indexed="64"/>
      </right>
      <top style="mediumDashed">
        <color indexed="64"/>
      </top>
      <bottom/>
      <diagonal/>
    </border>
    <border>
      <left style="thin">
        <color indexed="64"/>
      </left>
      <right/>
      <top style="mediumDashed">
        <color indexed="64"/>
      </top>
      <bottom/>
      <diagonal/>
    </border>
    <border>
      <left style="mediumDashed">
        <color indexed="64"/>
      </left>
      <right/>
      <top style="thin">
        <color indexed="64"/>
      </top>
      <bottom style="mediumDashed">
        <color indexed="64"/>
      </bottom>
      <diagonal/>
    </border>
    <border>
      <left/>
      <right/>
      <top style="thin">
        <color indexed="64"/>
      </top>
      <bottom style="mediumDashed">
        <color indexed="64"/>
      </bottom>
      <diagonal/>
    </border>
    <border>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Dashed">
        <color indexed="64"/>
      </right>
      <top style="thin">
        <color indexed="64"/>
      </top>
      <bottom style="mediumDashed">
        <color indexed="64"/>
      </bottom>
      <diagonal/>
    </border>
    <border>
      <left style="mediumDashed">
        <color auto="1"/>
      </left>
      <right/>
      <top style="mediumDashed">
        <color auto="1"/>
      </top>
      <bottom style="mediumDashed">
        <color auto="1"/>
      </bottom>
      <diagonal/>
    </border>
    <border>
      <left/>
      <right style="mediumDashed">
        <color auto="1"/>
      </right>
      <top style="mediumDashed">
        <color auto="1"/>
      </top>
      <bottom style="mediumDashed">
        <color auto="1"/>
      </bottom>
      <diagonal/>
    </border>
    <border>
      <left style="thin">
        <color indexed="64"/>
      </left>
      <right style="mediumDashed">
        <color indexed="64"/>
      </right>
      <top style="mediumDashed">
        <color indexed="64"/>
      </top>
      <bottom/>
      <diagonal/>
    </border>
    <border>
      <left style="thin">
        <color indexed="64"/>
      </left>
      <right style="mediumDashed">
        <color indexed="64"/>
      </right>
      <top/>
      <bottom/>
      <diagonal/>
    </border>
    <border>
      <left style="thin">
        <color indexed="64"/>
      </left>
      <right style="mediumDashed">
        <color indexed="64"/>
      </right>
      <top/>
      <bottom style="mediumDashed">
        <color indexed="64"/>
      </bottom>
      <diagonal/>
    </border>
    <border>
      <left style="thin">
        <color indexed="64"/>
      </left>
      <right style="thin">
        <color indexed="64"/>
      </right>
      <top style="thin">
        <color indexed="64"/>
      </top>
      <bottom style="mediumDashed">
        <color indexed="64"/>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style="thin">
        <color indexed="64"/>
      </left>
      <right style="thin">
        <color indexed="64"/>
      </right>
      <top style="hair">
        <color indexed="64"/>
      </top>
      <bottom style="hair">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medium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dotted">
        <color indexed="64"/>
      </top>
      <bottom style="dotted">
        <color indexed="64"/>
      </bottom>
      <diagonal/>
    </border>
    <border>
      <left/>
      <right style="dotted">
        <color indexed="64"/>
      </right>
      <top/>
      <bottom/>
      <diagonal/>
    </border>
    <border>
      <left/>
      <right style="thin">
        <color indexed="64"/>
      </right>
      <top style="hair">
        <color auto="1"/>
      </top>
      <bottom/>
      <diagonal/>
    </border>
    <border>
      <left/>
      <right style="thin">
        <color indexed="64"/>
      </right>
      <top/>
      <bottom style="hair">
        <color indexed="64"/>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hair">
        <color auto="1"/>
      </top>
      <bottom style="thin">
        <color auto="1"/>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auto="1"/>
      </right>
      <top style="double">
        <color indexed="64"/>
      </top>
      <bottom/>
      <diagonal/>
    </border>
    <border>
      <left style="hair">
        <color indexed="64"/>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hair">
        <color auto="1"/>
      </right>
      <top/>
      <bottom style="double">
        <color indexed="64"/>
      </bottom>
      <diagonal/>
    </border>
    <border>
      <left style="mediumDashed">
        <color auto="1"/>
      </left>
      <right style="thin">
        <color indexed="64"/>
      </right>
      <top style="thin">
        <color indexed="64"/>
      </top>
      <bottom/>
      <diagonal/>
    </border>
    <border>
      <left style="thin">
        <color indexed="64"/>
      </left>
      <right style="mediumDashed">
        <color auto="1"/>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mediumDashed">
        <color indexed="64"/>
      </left>
      <right style="thin">
        <color indexed="64"/>
      </right>
      <top style="mediumDashed">
        <color indexed="64"/>
      </top>
      <bottom/>
      <diagonal/>
    </border>
    <border>
      <left style="mediumDashed">
        <color indexed="64"/>
      </left>
      <right style="thin">
        <color indexed="64"/>
      </right>
      <top/>
      <bottom/>
      <diagonal/>
    </border>
    <border>
      <left style="mediumDashed">
        <color indexed="64"/>
      </left>
      <right style="thin">
        <color indexed="64"/>
      </right>
      <top/>
      <bottom style="thin">
        <color indexed="64"/>
      </bottom>
      <diagonal/>
    </border>
    <border>
      <left style="thin">
        <color indexed="64"/>
      </left>
      <right style="mediumDashed">
        <color indexed="64"/>
      </right>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style="mediumDashed">
        <color indexed="64"/>
      </right>
      <top style="thin">
        <color indexed="64"/>
      </top>
      <bottom style="mediumDashed">
        <color indexed="64"/>
      </bottom>
      <diagonal/>
    </border>
    <border>
      <left/>
      <right/>
      <top style="dotted">
        <color indexed="64"/>
      </top>
      <bottom/>
      <diagonal/>
    </border>
    <border>
      <left style="thin">
        <color indexed="64"/>
      </left>
      <right style="hair">
        <color auto="1"/>
      </right>
      <top style="thin">
        <color indexed="64"/>
      </top>
      <bottom style="thin">
        <color indexed="64"/>
      </bottom>
      <diagonal/>
    </border>
    <border>
      <left/>
      <right style="hair">
        <color auto="1"/>
      </right>
      <top style="hair">
        <color auto="1"/>
      </top>
      <bottom style="hair">
        <color auto="1"/>
      </bottom>
      <diagonal/>
    </border>
    <border>
      <left/>
      <right/>
      <top style="mediumDashed">
        <color auto="1"/>
      </top>
      <bottom style="mediumDashed">
        <color auto="1"/>
      </bottom>
      <diagonal/>
    </border>
    <border>
      <left style="mediumDashed">
        <color indexed="64"/>
      </left>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style="mediumDashed">
        <color indexed="64"/>
      </left>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theme="0" tint="-0.499984740745262"/>
      </top>
      <bottom/>
      <diagonal/>
    </border>
    <border>
      <left/>
      <right/>
      <top style="thin">
        <color indexed="64"/>
      </top>
      <bottom style="hair">
        <color indexed="64"/>
      </bottom>
      <diagonal/>
    </border>
    <border>
      <left style="hair">
        <color indexed="22"/>
      </left>
      <right style="hair">
        <color indexed="22"/>
      </right>
      <top style="hair">
        <color indexed="22"/>
      </top>
      <bottom style="hair">
        <color indexed="22"/>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bottom style="thin">
        <color theme="1"/>
      </bottom>
      <diagonal/>
    </border>
    <border>
      <left style="thin">
        <color auto="1"/>
      </left>
      <right style="thin">
        <color auto="1"/>
      </right>
      <top style="thin">
        <color indexed="64"/>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theme="1" tint="0.499984740745262"/>
      </top>
      <bottom/>
      <diagonal/>
    </border>
    <border>
      <left/>
      <right/>
      <top style="hair">
        <color auto="1"/>
      </top>
      <bottom style="hair">
        <color auto="1"/>
      </bottom>
      <diagonal/>
    </border>
    <border>
      <left/>
      <right/>
      <top style="hair">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theme="0" tint="-0.499984740745262"/>
      </right>
      <top/>
      <bottom/>
      <diagonal/>
    </border>
    <border>
      <left/>
      <right style="thin">
        <color auto="1"/>
      </right>
      <top style="hair">
        <color auto="1"/>
      </top>
      <bottom style="hair">
        <color auto="1"/>
      </bottom>
      <diagonal/>
    </border>
    <border>
      <left/>
      <right style="thin">
        <color auto="1"/>
      </right>
      <top style="hair">
        <color auto="1"/>
      </top>
      <bottom style="thin">
        <color indexed="64"/>
      </bottom>
      <diagonal/>
    </border>
    <border>
      <left style="dotted">
        <color indexed="64"/>
      </left>
      <right style="thin">
        <color indexed="64"/>
      </right>
      <top style="thin">
        <color indexed="64"/>
      </top>
      <bottom/>
      <diagonal/>
    </border>
  </borders>
  <cellStyleXfs count="19">
    <xf numFmtId="0" fontId="0" fillId="0" borderId="0"/>
    <xf numFmtId="0" fontId="39" fillId="0" borderId="0" applyNumberFormat="0" applyFill="0" applyBorder="0" applyAlignment="0" applyProtection="0">
      <alignment vertical="top"/>
      <protection locked="0"/>
    </xf>
    <xf numFmtId="0" fontId="38" fillId="0" borderId="0"/>
    <xf numFmtId="9" fontId="36" fillId="0" borderId="0" applyFont="0" applyFill="0" applyBorder="0" applyAlignment="0" applyProtection="0"/>
    <xf numFmtId="0" fontId="42" fillId="0" borderId="0">
      <alignment vertical="top"/>
    </xf>
    <xf numFmtId="0" fontId="62" fillId="0" borderId="0"/>
    <xf numFmtId="0" fontId="35" fillId="0" borderId="0"/>
    <xf numFmtId="9" fontId="35" fillId="0" borderId="0" applyFont="0" applyFill="0" applyBorder="0" applyAlignment="0" applyProtection="0"/>
    <xf numFmtId="166" fontId="35" fillId="0" borderId="0" applyFont="0" applyFill="0" applyBorder="0" applyAlignment="0" applyProtection="0"/>
    <xf numFmtId="0" fontId="36" fillId="0" borderId="0"/>
    <xf numFmtId="170" fontId="66" fillId="2" borderId="0" applyNumberFormat="0">
      <alignment horizontal="right"/>
    </xf>
    <xf numFmtId="0" fontId="66" fillId="2" borderId="0">
      <alignment horizontal="left" wrapText="1"/>
    </xf>
    <xf numFmtId="0" fontId="67" fillId="2" borderId="0">
      <alignment horizontal="left" wrapText="1"/>
    </xf>
    <xf numFmtId="0" fontId="36" fillId="0" borderId="0"/>
    <xf numFmtId="165" fontId="85" fillId="0" borderId="0" applyFont="0" applyFill="0" applyBorder="0" applyAlignment="0" applyProtection="0"/>
    <xf numFmtId="173" fontId="36" fillId="0" borderId="0"/>
    <xf numFmtId="173" fontId="143" fillId="0" borderId="0" applyNumberFormat="0" applyFill="0" applyBorder="0" applyAlignment="0" applyProtection="0">
      <alignment vertical="top"/>
      <protection locked="0"/>
    </xf>
    <xf numFmtId="0" fontId="36" fillId="0" borderId="0"/>
    <xf numFmtId="0" fontId="191" fillId="32" borderId="131" applyNumberFormat="0" applyBorder="0" applyProtection="0">
      <alignment vertical="center"/>
    </xf>
  </cellStyleXfs>
  <cellXfs count="4585">
    <xf numFmtId="0" fontId="0" fillId="0" borderId="0" xfId="0"/>
    <xf numFmtId="0" fontId="0" fillId="0" borderId="0" xfId="0" applyFill="1"/>
    <xf numFmtId="0" fontId="0" fillId="0" borderId="0" xfId="0" applyBorder="1"/>
    <xf numFmtId="0" fontId="0" fillId="0" borderId="0" xfId="0" applyFill="1" applyBorder="1"/>
    <xf numFmtId="0" fontId="36" fillId="0" borderId="0" xfId="0" applyFont="1"/>
    <xf numFmtId="14" fontId="0" fillId="0" borderId="0" xfId="0" applyNumberFormat="1" applyAlignment="1">
      <alignment horizontal="left"/>
    </xf>
    <xf numFmtId="0" fontId="0" fillId="0" borderId="5" xfId="0" applyBorder="1"/>
    <xf numFmtId="0" fontId="0" fillId="0" borderId="0" xfId="0" applyAlignment="1">
      <alignment horizontal="left"/>
    </xf>
    <xf numFmtId="0" fontId="0" fillId="0" borderId="12" xfId="0" applyBorder="1"/>
    <xf numFmtId="0" fontId="37" fillId="0" borderId="0" xfId="0" applyFont="1" applyAlignment="1">
      <alignment horizontal="left"/>
    </xf>
    <xf numFmtId="9" fontId="0" fillId="0" borderId="0" xfId="0" applyNumberFormat="1" applyAlignment="1">
      <alignment horizontal="left"/>
    </xf>
    <xf numFmtId="0" fontId="36" fillId="0" borderId="0" xfId="0" applyFont="1" applyAlignment="1">
      <alignment horizontal="left"/>
    </xf>
    <xf numFmtId="11" fontId="36" fillId="0" borderId="0" xfId="0" applyNumberFormat="1" applyFont="1" applyAlignment="1">
      <alignment horizontal="left"/>
    </xf>
    <xf numFmtId="1" fontId="0" fillId="0" borderId="0" xfId="0" applyNumberFormat="1" applyAlignment="1">
      <alignment horizontal="left"/>
    </xf>
    <xf numFmtId="0" fontId="51" fillId="0" borderId="0" xfId="0" applyFont="1" applyAlignment="1">
      <alignment horizontal="left"/>
    </xf>
    <xf numFmtId="167" fontId="0" fillId="0" borderId="0" xfId="0" applyNumberFormat="1" applyAlignment="1">
      <alignment horizontal="left"/>
    </xf>
    <xf numFmtId="167" fontId="51" fillId="0" borderId="0" xfId="0" applyNumberFormat="1" applyFont="1" applyAlignment="1">
      <alignment horizontal="left"/>
    </xf>
    <xf numFmtId="14" fontId="37" fillId="0" borderId="0" xfId="0" applyNumberFormat="1" applyFont="1" applyAlignment="1">
      <alignment horizontal="left"/>
    </xf>
    <xf numFmtId="9" fontId="0" fillId="0" borderId="0" xfId="3" applyFont="1" applyAlignment="1">
      <alignment horizontal="left"/>
    </xf>
    <xf numFmtId="169" fontId="54" fillId="4" borderId="0" xfId="0" applyNumberFormat="1" applyFont="1" applyFill="1" applyAlignment="1">
      <alignment horizontal="left" vertical="top" wrapText="1"/>
    </xf>
    <xf numFmtId="169" fontId="54" fillId="0" borderId="0" xfId="0" applyNumberFormat="1" applyFont="1" applyAlignment="1">
      <alignment horizontal="left"/>
    </xf>
    <xf numFmtId="0" fontId="46" fillId="0" borderId="0" xfId="0" applyFont="1" applyAlignment="1">
      <alignment horizontal="left"/>
    </xf>
    <xf numFmtId="167" fontId="46" fillId="0" borderId="0" xfId="0" applyNumberFormat="1" applyFont="1" applyAlignment="1">
      <alignment horizontal="left"/>
    </xf>
    <xf numFmtId="0" fontId="55" fillId="0" borderId="0" xfId="0" applyFont="1" applyAlignment="1">
      <alignment horizontal="left"/>
    </xf>
    <xf numFmtId="14" fontId="36" fillId="0" borderId="0" xfId="0" applyNumberFormat="1" applyFont="1" applyAlignment="1">
      <alignment horizontal="left"/>
    </xf>
    <xf numFmtId="0" fontId="40" fillId="0" borderId="0" xfId="0" applyFont="1" applyAlignment="1">
      <alignment horizontal="left"/>
    </xf>
    <xf numFmtId="1" fontId="40" fillId="0" borderId="0" xfId="0" applyNumberFormat="1" applyFont="1" applyAlignment="1">
      <alignment horizontal="left"/>
    </xf>
    <xf numFmtId="1" fontId="56" fillId="0" borderId="0" xfId="0" applyNumberFormat="1" applyFont="1" applyAlignment="1">
      <alignment horizontal="left"/>
    </xf>
    <xf numFmtId="167" fontId="40" fillId="0" borderId="0" xfId="0" applyNumberFormat="1" applyFont="1" applyAlignment="1">
      <alignment horizontal="left"/>
    </xf>
    <xf numFmtId="167" fontId="56" fillId="0" borderId="0" xfId="0" applyNumberFormat="1" applyFont="1" applyAlignment="1">
      <alignment horizontal="left"/>
    </xf>
    <xf numFmtId="1" fontId="57" fillId="0" borderId="0" xfId="0" applyNumberFormat="1" applyFont="1" applyAlignment="1">
      <alignment horizontal="left"/>
    </xf>
    <xf numFmtId="0" fontId="36" fillId="0" borderId="11" xfId="0" applyFont="1" applyBorder="1" applyAlignment="1">
      <alignment horizontal="left"/>
    </xf>
    <xf numFmtId="0" fontId="49" fillId="0" borderId="0" xfId="0" applyFont="1" applyBorder="1"/>
    <xf numFmtId="0" fontId="0" fillId="0" borderId="10" xfId="0" applyBorder="1"/>
    <xf numFmtId="0" fontId="0" fillId="0" borderId="11" xfId="0" applyBorder="1"/>
    <xf numFmtId="0" fontId="0" fillId="0" borderId="15" xfId="0" applyBorder="1"/>
    <xf numFmtId="11" fontId="36" fillId="0" borderId="11" xfId="0" applyNumberFormat="1" applyFont="1" applyBorder="1" applyAlignment="1">
      <alignment horizontal="left"/>
    </xf>
    <xf numFmtId="0" fontId="36" fillId="0" borderId="13" xfId="0" applyFont="1" applyBorder="1" applyAlignment="1">
      <alignment horizontal="left"/>
    </xf>
    <xf numFmtId="9" fontId="49" fillId="0" borderId="0" xfId="3" applyFont="1" applyBorder="1" applyAlignment="1">
      <alignment horizontal="left"/>
    </xf>
    <xf numFmtId="0" fontId="63" fillId="0" borderId="0" xfId="5" applyFont="1" applyFill="1" applyBorder="1" applyProtection="1"/>
    <xf numFmtId="0" fontId="49" fillId="0" borderId="0" xfId="6" applyFont="1" applyFill="1" applyAlignment="1">
      <alignment horizontal="left"/>
    </xf>
    <xf numFmtId="0" fontId="49" fillId="0" borderId="0" xfId="6" applyFont="1" applyAlignment="1">
      <alignment horizontal="left"/>
    </xf>
    <xf numFmtId="0" fontId="55" fillId="0" borderId="0" xfId="6" applyFont="1" applyFill="1" applyAlignment="1">
      <alignment horizontal="left"/>
    </xf>
    <xf numFmtId="0" fontId="48" fillId="0" borderId="0" xfId="6" applyFont="1" applyAlignment="1">
      <alignment horizontal="left"/>
    </xf>
    <xf numFmtId="0" fontId="58" fillId="0" borderId="0" xfId="6" applyFont="1" applyAlignment="1">
      <alignment horizontal="left"/>
    </xf>
    <xf numFmtId="0" fontId="55" fillId="0" borderId="0" xfId="6" applyFont="1" applyAlignment="1">
      <alignment horizontal="left"/>
    </xf>
    <xf numFmtId="0" fontId="48" fillId="0" borderId="5" xfId="6" applyFont="1" applyBorder="1" applyAlignment="1">
      <alignment horizontal="left"/>
    </xf>
    <xf numFmtId="0" fontId="49" fillId="0" borderId="5" xfId="6" applyFont="1" applyBorder="1" applyAlignment="1">
      <alignment horizontal="left"/>
    </xf>
    <xf numFmtId="0" fontId="55" fillId="0" borderId="5" xfId="6" applyFont="1" applyBorder="1" applyAlignment="1">
      <alignment horizontal="left"/>
    </xf>
    <xf numFmtId="0" fontId="49" fillId="0" borderId="0" xfId="6" applyFont="1" applyBorder="1" applyAlignment="1">
      <alignment horizontal="left"/>
    </xf>
    <xf numFmtId="0" fontId="55" fillId="0" borderId="0" xfId="6" applyFont="1" applyBorder="1" applyAlignment="1">
      <alignment horizontal="left"/>
    </xf>
    <xf numFmtId="0" fontId="48" fillId="0" borderId="0" xfId="6" applyFont="1" applyBorder="1" applyAlignment="1">
      <alignment horizontal="left"/>
    </xf>
    <xf numFmtId="9" fontId="49" fillId="0" borderId="0" xfId="6" applyNumberFormat="1" applyFont="1" applyBorder="1" applyAlignment="1">
      <alignment horizontal="left"/>
    </xf>
    <xf numFmtId="9" fontId="49" fillId="0" borderId="0" xfId="7" applyFont="1" applyBorder="1" applyAlignment="1">
      <alignment horizontal="left"/>
    </xf>
    <xf numFmtId="0" fontId="55" fillId="0" borderId="14" xfId="6" applyFont="1" applyBorder="1" applyAlignment="1">
      <alignment horizontal="left"/>
    </xf>
    <xf numFmtId="0" fontId="37" fillId="0" borderId="5" xfId="6" applyFont="1" applyBorder="1" applyAlignment="1">
      <alignment horizontal="left"/>
    </xf>
    <xf numFmtId="0" fontId="36" fillId="0" borderId="0" xfId="6" applyFont="1" applyBorder="1" applyAlignment="1">
      <alignment horizontal="left"/>
    </xf>
    <xf numFmtId="9" fontId="55" fillId="0" borderId="0" xfId="7" applyFont="1" applyBorder="1" applyAlignment="1">
      <alignment horizontal="left"/>
    </xf>
    <xf numFmtId="2" fontId="49" fillId="0" borderId="0" xfId="6" applyNumberFormat="1" applyFont="1" applyBorder="1" applyAlignment="1">
      <alignment horizontal="left"/>
    </xf>
    <xf numFmtId="0" fontId="49" fillId="0" borderId="0" xfId="6" applyFont="1" applyBorder="1" applyAlignment="1">
      <alignment horizontal="left" indent="1"/>
    </xf>
    <xf numFmtId="167" fontId="49" fillId="0" borderId="0" xfId="6" applyNumberFormat="1" applyFont="1" applyBorder="1" applyAlignment="1">
      <alignment horizontal="left"/>
    </xf>
    <xf numFmtId="1" fontId="49" fillId="0" borderId="5" xfId="8" applyNumberFormat="1" applyFont="1" applyBorder="1" applyAlignment="1">
      <alignment horizontal="left"/>
    </xf>
    <xf numFmtId="1" fontId="55" fillId="0" borderId="5" xfId="6" applyNumberFormat="1" applyFont="1" applyBorder="1" applyAlignment="1">
      <alignment horizontal="left"/>
    </xf>
    <xf numFmtId="0" fontId="55" fillId="0" borderId="0" xfId="6" applyFont="1" applyBorder="1" applyAlignment="1">
      <alignment horizontal="left" indent="1"/>
    </xf>
    <xf numFmtId="1" fontId="49" fillId="0" borderId="0" xfId="6" applyNumberFormat="1" applyFont="1" applyBorder="1" applyAlignment="1">
      <alignment horizontal="left"/>
    </xf>
    <xf numFmtId="0" fontId="61" fillId="0" borderId="5" xfId="6" applyFont="1" applyBorder="1" applyAlignment="1">
      <alignment horizontal="left"/>
    </xf>
    <xf numFmtId="0" fontId="61" fillId="0" borderId="0" xfId="6" applyFont="1" applyBorder="1" applyAlignment="1">
      <alignment horizontal="left"/>
    </xf>
    <xf numFmtId="1" fontId="55" fillId="0" borderId="0" xfId="6" applyNumberFormat="1" applyFont="1" applyBorder="1" applyAlignment="1">
      <alignment horizontal="left"/>
    </xf>
    <xf numFmtId="167" fontId="55" fillId="0" borderId="5" xfId="6" applyNumberFormat="1" applyFont="1" applyBorder="1" applyAlignment="1">
      <alignment horizontal="left"/>
    </xf>
    <xf numFmtId="167" fontId="55" fillId="0" borderId="0" xfId="6" applyNumberFormat="1" applyFont="1" applyBorder="1" applyAlignment="1">
      <alignment horizontal="left"/>
    </xf>
    <xf numFmtId="167" fontId="49" fillId="0" borderId="0" xfId="7" applyNumberFormat="1" applyFont="1" applyBorder="1" applyAlignment="1">
      <alignment horizontal="left" indent="1"/>
    </xf>
    <xf numFmtId="0" fontId="37" fillId="0" borderId="0" xfId="6" applyFont="1" applyAlignment="1">
      <alignment horizontal="center" vertical="top"/>
    </xf>
    <xf numFmtId="0" fontId="36" fillId="0" borderId="0" xfId="6" applyFont="1" applyAlignment="1">
      <alignment horizontal="left" vertical="top"/>
    </xf>
    <xf numFmtId="0" fontId="36" fillId="0" borderId="0" xfId="6" applyFont="1" applyBorder="1" applyAlignment="1">
      <alignment horizontal="left" vertical="top"/>
    </xf>
    <xf numFmtId="0" fontId="36" fillId="0" borderId="7" xfId="6" applyFont="1" applyBorder="1" applyAlignment="1">
      <alignment horizontal="left" vertical="top"/>
    </xf>
    <xf numFmtId="0" fontId="47" fillId="0" borderId="0" xfId="6" applyFont="1" applyAlignment="1">
      <alignment horizontal="left" vertical="top"/>
    </xf>
    <xf numFmtId="0" fontId="36" fillId="0" borderId="5" xfId="6" applyFont="1" applyBorder="1" applyAlignment="1">
      <alignment horizontal="left" vertical="top"/>
    </xf>
    <xf numFmtId="0" fontId="36" fillId="0" borderId="0" xfId="6" applyFont="1" applyFill="1" applyBorder="1" applyAlignment="1">
      <alignment horizontal="left" vertical="top"/>
    </xf>
    <xf numFmtId="0" fontId="49" fillId="0" borderId="14" xfId="6" applyFont="1" applyBorder="1" applyAlignment="1">
      <alignment horizontal="left"/>
    </xf>
    <xf numFmtId="0" fontId="37" fillId="0" borderId="0" xfId="0" applyFont="1" applyAlignment="1">
      <alignment horizontal="left" vertical="top"/>
    </xf>
    <xf numFmtId="0" fontId="36" fillId="0" borderId="11" xfId="0" applyFont="1" applyBorder="1" applyAlignment="1">
      <alignment horizontal="left" vertical="top"/>
    </xf>
    <xf numFmtId="0" fontId="36" fillId="0" borderId="0" xfId="0" applyFont="1" applyBorder="1" applyAlignment="1">
      <alignment horizontal="left" vertical="top"/>
    </xf>
    <xf numFmtId="0" fontId="36" fillId="0" borderId="10" xfId="6" applyFont="1" applyBorder="1" applyAlignment="1">
      <alignment horizontal="left" vertical="top"/>
    </xf>
    <xf numFmtId="0" fontId="36" fillId="0" borderId="15" xfId="6" applyFont="1" applyBorder="1" applyAlignment="1">
      <alignment horizontal="left" vertical="top"/>
    </xf>
    <xf numFmtId="0" fontId="36" fillId="0" borderId="15" xfId="0" applyFont="1" applyBorder="1" applyAlignment="1">
      <alignment horizontal="left" vertical="top"/>
    </xf>
    <xf numFmtId="0" fontId="36" fillId="0" borderId="15" xfId="0" quotePrefix="1" applyFont="1" applyBorder="1"/>
    <xf numFmtId="0" fontId="71" fillId="0" borderId="15" xfId="0" quotePrefix="1" applyFont="1" applyBorder="1"/>
    <xf numFmtId="0" fontId="36" fillId="0" borderId="15" xfId="0" applyFont="1" applyBorder="1"/>
    <xf numFmtId="0" fontId="71" fillId="0" borderId="15" xfId="0" applyFont="1" applyBorder="1"/>
    <xf numFmtId="0" fontId="36" fillId="0" borderId="13" xfId="0" applyFont="1" applyBorder="1" applyAlignment="1">
      <alignment horizontal="left" vertical="top"/>
    </xf>
    <xf numFmtId="0" fontId="36" fillId="0" borderId="14" xfId="0" applyFont="1" applyBorder="1" applyAlignment="1">
      <alignment horizontal="left" vertical="top"/>
    </xf>
    <xf numFmtId="0" fontId="36" fillId="0" borderId="9" xfId="0" applyFont="1" applyBorder="1" applyAlignment="1">
      <alignment horizontal="left" vertical="top"/>
    </xf>
    <xf numFmtId="0" fontId="36" fillId="0" borderId="0" xfId="0" applyFont="1" applyFill="1" applyAlignment="1">
      <alignment horizontal="left" vertical="top"/>
    </xf>
    <xf numFmtId="0" fontId="37" fillId="0" borderId="0" xfId="0" applyFont="1" applyFill="1" applyAlignment="1">
      <alignment horizontal="left" vertical="top"/>
    </xf>
    <xf numFmtId="0" fontId="37" fillId="7" borderId="0" xfId="0" applyFont="1" applyFill="1" applyAlignment="1">
      <alignment horizontal="left" vertical="top"/>
    </xf>
    <xf numFmtId="0" fontId="36" fillId="0" borderId="0" xfId="0" applyFont="1" applyBorder="1"/>
    <xf numFmtId="0" fontId="36" fillId="0" borderId="2" xfId="0" applyFont="1" applyBorder="1"/>
    <xf numFmtId="0" fontId="36" fillId="0" borderId="1" xfId="0" applyFont="1" applyBorder="1"/>
    <xf numFmtId="0" fontId="36" fillId="0" borderId="4" xfId="0" applyFont="1" applyBorder="1"/>
    <xf numFmtId="0" fontId="36" fillId="0" borderId="0" xfId="0" applyFont="1" applyFill="1" applyBorder="1"/>
    <xf numFmtId="0" fontId="36" fillId="0" borderId="13" xfId="0" applyFont="1" applyBorder="1"/>
    <xf numFmtId="9" fontId="37" fillId="0" borderId="16" xfId="0" applyNumberFormat="1" applyFont="1" applyBorder="1" applyAlignment="1">
      <alignment horizontal="left" vertical="top"/>
    </xf>
    <xf numFmtId="0" fontId="37" fillId="6" borderId="0" xfId="0" applyFont="1" applyFill="1" applyAlignment="1">
      <alignment horizontal="left" vertical="top"/>
    </xf>
    <xf numFmtId="9" fontId="36" fillId="0" borderId="11" xfId="0" applyNumberFormat="1" applyFont="1" applyBorder="1" applyAlignment="1">
      <alignment horizontal="left" vertical="top"/>
    </xf>
    <xf numFmtId="9" fontId="36" fillId="0" borderId="16" xfId="0" applyNumberFormat="1" applyFont="1" applyBorder="1" applyAlignment="1">
      <alignment horizontal="left" vertical="top"/>
    </xf>
    <xf numFmtId="0" fontId="36" fillId="0" borderId="0" xfId="0" applyFont="1" applyFill="1" applyBorder="1" applyAlignment="1">
      <alignment horizontal="left"/>
    </xf>
    <xf numFmtId="0" fontId="36" fillId="0" borderId="14" xfId="6" applyFont="1" applyBorder="1" applyAlignment="1">
      <alignment horizontal="left" vertical="top"/>
    </xf>
    <xf numFmtId="0" fontId="36" fillId="0" borderId="5" xfId="0" applyFont="1" applyBorder="1" applyAlignment="1">
      <alignment horizontal="left" vertical="top"/>
    </xf>
    <xf numFmtId="0" fontId="36" fillId="0" borderId="0" xfId="0" applyFont="1" applyFill="1" applyBorder="1" applyAlignment="1">
      <alignment horizontal="left" vertical="top"/>
    </xf>
    <xf numFmtId="0" fontId="76" fillId="8" borderId="0" xfId="0" applyFont="1" applyFill="1" applyAlignment="1">
      <alignment horizontal="left" vertical="top"/>
    </xf>
    <xf numFmtId="0" fontId="78" fillId="0" borderId="0" xfId="0" applyFont="1" applyAlignment="1">
      <alignment horizontal="left" vertical="top"/>
    </xf>
    <xf numFmtId="1" fontId="36" fillId="0" borderId="12" xfId="0" applyNumberFormat="1" applyFont="1" applyBorder="1" applyAlignment="1">
      <alignment horizontal="left" vertical="top" wrapText="1"/>
    </xf>
    <xf numFmtId="168" fontId="36" fillId="0" borderId="14" xfId="3" applyNumberFormat="1" applyFont="1" applyBorder="1" applyAlignment="1">
      <alignment horizontal="left" vertical="top"/>
    </xf>
    <xf numFmtId="168" fontId="36" fillId="0" borderId="0" xfId="3" applyNumberFormat="1" applyFont="1" applyBorder="1" applyAlignment="1">
      <alignment horizontal="left" vertical="top"/>
    </xf>
    <xf numFmtId="168" fontId="36" fillId="0" borderId="15" xfId="3" applyNumberFormat="1" applyFont="1" applyBorder="1" applyAlignment="1">
      <alignment horizontal="left" vertical="top"/>
    </xf>
    <xf numFmtId="1" fontId="36" fillId="0" borderId="11" xfId="0" applyNumberFormat="1" applyFont="1" applyBorder="1" applyAlignment="1">
      <alignment horizontal="left" vertical="top"/>
    </xf>
    <xf numFmtId="9" fontId="36" fillId="0" borderId="0" xfId="0" applyNumberFormat="1" applyFont="1" applyBorder="1" applyAlignment="1">
      <alignment horizontal="left" vertical="top"/>
    </xf>
    <xf numFmtId="1" fontId="36" fillId="0" borderId="18" xfId="0" applyNumberFormat="1" applyFont="1" applyBorder="1" applyAlignment="1">
      <alignment horizontal="left" vertical="top"/>
    </xf>
    <xf numFmtId="1" fontId="36" fillId="0" borderId="0" xfId="0" applyNumberFormat="1" applyFont="1" applyFill="1" applyAlignment="1">
      <alignment horizontal="left" vertical="top"/>
    </xf>
    <xf numFmtId="168" fontId="36" fillId="0" borderId="0" xfId="3" applyNumberFormat="1" applyFont="1" applyAlignment="1">
      <alignment horizontal="left" vertical="top"/>
    </xf>
    <xf numFmtId="1" fontId="36" fillId="0" borderId="13" xfId="0" applyNumberFormat="1" applyFont="1" applyBorder="1" applyAlignment="1">
      <alignment horizontal="left" vertical="top"/>
    </xf>
    <xf numFmtId="9" fontId="36" fillId="0" borderId="14" xfId="0" applyNumberFormat="1" applyFont="1" applyBorder="1" applyAlignment="1">
      <alignment horizontal="left" vertical="top"/>
    </xf>
    <xf numFmtId="1" fontId="36" fillId="0" borderId="19" xfId="0" applyNumberFormat="1" applyFont="1" applyBorder="1" applyAlignment="1">
      <alignment horizontal="left" vertical="top"/>
    </xf>
    <xf numFmtId="9" fontId="37" fillId="0" borderId="17" xfId="0" applyNumberFormat="1" applyFont="1" applyBorder="1" applyAlignment="1">
      <alignment horizontal="left" vertical="top"/>
    </xf>
    <xf numFmtId="0" fontId="74" fillId="0" borderId="0" xfId="0" applyFont="1" applyAlignment="1">
      <alignment horizontal="left"/>
    </xf>
    <xf numFmtId="1" fontId="74" fillId="0" borderId="0" xfId="0" applyNumberFormat="1" applyFont="1" applyAlignment="1">
      <alignment horizontal="left"/>
    </xf>
    <xf numFmtId="1" fontId="79" fillId="0" borderId="0" xfId="0" applyNumberFormat="1" applyFont="1" applyAlignment="1">
      <alignment horizontal="left"/>
    </xf>
    <xf numFmtId="167" fontId="74" fillId="0" borderId="0" xfId="0" applyNumberFormat="1" applyFont="1" applyAlignment="1">
      <alignment horizontal="left"/>
    </xf>
    <xf numFmtId="167" fontId="79" fillId="0" borderId="0" xfId="0" applyNumberFormat="1" applyFont="1" applyAlignment="1">
      <alignment horizontal="left"/>
    </xf>
    <xf numFmtId="167" fontId="36" fillId="0" borderId="16" xfId="0" applyNumberFormat="1" applyFont="1" applyBorder="1" applyAlignment="1">
      <alignment horizontal="left" vertical="top"/>
    </xf>
    <xf numFmtId="167" fontId="36" fillId="0" borderId="11" xfId="0" applyNumberFormat="1" applyFont="1" applyBorder="1" applyAlignment="1">
      <alignment horizontal="left" vertical="top"/>
    </xf>
    <xf numFmtId="0" fontId="36" fillId="0" borderId="0" xfId="0" quotePrefix="1" applyFont="1" applyAlignment="1">
      <alignment horizontal="left" vertical="top"/>
    </xf>
    <xf numFmtId="0" fontId="36" fillId="0" borderId="12" xfId="0" applyFont="1" applyFill="1" applyBorder="1" applyAlignment="1">
      <alignment horizontal="left" vertical="top"/>
    </xf>
    <xf numFmtId="0" fontId="36" fillId="0" borderId="5" xfId="0" applyFont="1" applyFill="1" applyBorder="1" applyAlignment="1">
      <alignment horizontal="left" vertical="top"/>
    </xf>
    <xf numFmtId="167" fontId="36" fillId="0" borderId="0" xfId="0" applyNumberFormat="1" applyFont="1" applyAlignment="1">
      <alignment horizontal="left" vertical="top"/>
    </xf>
    <xf numFmtId="0" fontId="0" fillId="0" borderId="14" xfId="0" applyBorder="1"/>
    <xf numFmtId="0" fontId="0" fillId="0" borderId="9" xfId="0" applyBorder="1"/>
    <xf numFmtId="0" fontId="55" fillId="0" borderId="0" xfId="6" applyFont="1" applyBorder="1" applyAlignment="1">
      <alignment horizontal="right"/>
    </xf>
    <xf numFmtId="0" fontId="81" fillId="0" borderId="0" xfId="6" applyFont="1" applyBorder="1" applyAlignment="1">
      <alignment horizontal="left"/>
    </xf>
    <xf numFmtId="9" fontId="81" fillId="0" borderId="0" xfId="3" applyFont="1" applyBorder="1" applyAlignment="1">
      <alignment horizontal="left"/>
    </xf>
    <xf numFmtId="14" fontId="59" fillId="0" borderId="0" xfId="0" applyNumberFormat="1" applyFont="1" applyAlignment="1">
      <alignment horizontal="left"/>
    </xf>
    <xf numFmtId="0" fontId="36" fillId="0" borderId="6" xfId="0" applyFont="1" applyBorder="1" applyAlignment="1">
      <alignment horizontal="left" vertical="top"/>
    </xf>
    <xf numFmtId="0" fontId="36" fillId="0" borderId="0" xfId="0" applyFont="1" applyAlignment="1">
      <alignment horizontal="right" vertical="top"/>
    </xf>
    <xf numFmtId="0" fontId="72" fillId="0" borderId="0" xfId="0" applyFont="1" applyAlignment="1">
      <alignment horizontal="left"/>
    </xf>
    <xf numFmtId="9" fontId="72" fillId="0" borderId="0" xfId="3" applyFont="1" applyAlignment="1">
      <alignment horizontal="left"/>
    </xf>
    <xf numFmtId="0" fontId="36" fillId="0" borderId="0" xfId="0" quotePrefix="1" applyFont="1" applyBorder="1"/>
    <xf numFmtId="0" fontId="36" fillId="0" borderId="0" xfId="0" applyFont="1" applyFill="1"/>
    <xf numFmtId="0" fontId="36" fillId="0" borderId="0" xfId="0" applyFont="1" applyAlignment="1">
      <alignment horizontal="center" vertical="top"/>
    </xf>
    <xf numFmtId="9" fontId="36" fillId="0" borderId="0" xfId="0" applyNumberFormat="1" applyFont="1" applyAlignment="1">
      <alignment horizontal="left" vertical="top"/>
    </xf>
    <xf numFmtId="9" fontId="36" fillId="0" borderId="0" xfId="3" applyFont="1" applyBorder="1" applyAlignment="1">
      <alignment horizontal="left" vertical="top"/>
    </xf>
    <xf numFmtId="0" fontId="34" fillId="0" borderId="0" xfId="6" applyFont="1" applyBorder="1" applyAlignment="1">
      <alignment horizontal="left" vertical="top"/>
    </xf>
    <xf numFmtId="0" fontId="34" fillId="0" borderId="0" xfId="6" applyFont="1" applyAlignment="1">
      <alignment horizontal="left" vertical="top"/>
    </xf>
    <xf numFmtId="1" fontId="36" fillId="0" borderId="0" xfId="0" applyNumberFormat="1" applyFont="1" applyAlignment="1">
      <alignment horizontal="left" vertical="top"/>
    </xf>
    <xf numFmtId="9" fontId="36" fillId="0" borderId="0" xfId="3" applyFont="1" applyAlignment="1">
      <alignment horizontal="left" vertical="top"/>
    </xf>
    <xf numFmtId="0" fontId="34" fillId="0" borderId="0" xfId="6" applyFont="1" applyFill="1" applyBorder="1" applyAlignment="1">
      <alignment horizontal="left" vertical="top"/>
    </xf>
    <xf numFmtId="0" fontId="36" fillId="0" borderId="8" xfId="0" applyFont="1" applyBorder="1" applyAlignment="1">
      <alignment horizontal="left" vertical="top"/>
    </xf>
    <xf numFmtId="167" fontId="36" fillId="0" borderId="13" xfId="0" applyNumberFormat="1" applyFont="1" applyBorder="1" applyAlignment="1">
      <alignment horizontal="left" vertical="top"/>
    </xf>
    <xf numFmtId="167" fontId="36" fillId="0" borderId="17" xfId="0" applyNumberFormat="1" applyFont="1" applyBorder="1" applyAlignment="1">
      <alignment horizontal="left" vertical="top"/>
    </xf>
    <xf numFmtId="9" fontId="36" fillId="0" borderId="13" xfId="0" applyNumberFormat="1" applyFont="1" applyBorder="1" applyAlignment="1">
      <alignment horizontal="left" vertical="top"/>
    </xf>
    <xf numFmtId="9" fontId="36" fillId="0" borderId="14" xfId="3" applyFont="1" applyBorder="1" applyAlignment="1">
      <alignment horizontal="left" vertical="top"/>
    </xf>
    <xf numFmtId="0" fontId="34" fillId="0" borderId="0" xfId="6" applyFont="1" applyAlignment="1">
      <alignment horizontal="left" vertical="top" wrapText="1"/>
    </xf>
    <xf numFmtId="0" fontId="34" fillId="0" borderId="0" xfId="6" applyFont="1" applyAlignment="1">
      <alignment horizontal="left"/>
    </xf>
    <xf numFmtId="0" fontId="34" fillId="0" borderId="7" xfId="6" applyFont="1" applyBorder="1" applyAlignment="1">
      <alignment horizontal="left" vertical="top"/>
    </xf>
    <xf numFmtId="0" fontId="34" fillId="0" borderId="0" xfId="6" applyFont="1" applyAlignment="1">
      <alignment horizontal="center" vertical="top"/>
    </xf>
    <xf numFmtId="0" fontId="34" fillId="0" borderId="0" xfId="6" applyFont="1" applyFill="1" applyAlignment="1">
      <alignment horizontal="left" vertical="top"/>
    </xf>
    <xf numFmtId="1" fontId="36" fillId="0" borderId="0" xfId="0" applyNumberFormat="1" applyFont="1" applyAlignment="1">
      <alignment horizontal="left"/>
    </xf>
    <xf numFmtId="167" fontId="36" fillId="0" borderId="0" xfId="0" applyNumberFormat="1" applyFont="1" applyAlignment="1">
      <alignment horizontal="left"/>
    </xf>
    <xf numFmtId="0" fontId="34" fillId="0" borderId="0" xfId="6" applyFont="1" applyFill="1" applyAlignment="1">
      <alignment horizontal="left"/>
    </xf>
    <xf numFmtId="0" fontId="34" fillId="0" borderId="5" xfId="6" applyFont="1" applyBorder="1" applyAlignment="1">
      <alignment horizontal="left"/>
    </xf>
    <xf numFmtId="0" fontId="34" fillId="0" borderId="0" xfId="6" applyFont="1" applyBorder="1" applyAlignment="1">
      <alignment horizontal="left"/>
    </xf>
    <xf numFmtId="0" fontId="34" fillId="0" borderId="14" xfId="6" applyFont="1" applyBorder="1" applyAlignment="1">
      <alignment horizontal="left"/>
    </xf>
    <xf numFmtId="0" fontId="74" fillId="0" borderId="0" xfId="0" applyFont="1"/>
    <xf numFmtId="9" fontId="68" fillId="0" borderId="0" xfId="3" applyFont="1" applyAlignment="1">
      <alignment horizontal="left"/>
    </xf>
    <xf numFmtId="167" fontId="56" fillId="0" borderId="0" xfId="0" applyNumberFormat="1" applyFont="1" applyFill="1" applyAlignment="1">
      <alignment horizontal="left"/>
    </xf>
    <xf numFmtId="0" fontId="36" fillId="0" borderId="0" xfId="0" applyFont="1" applyFill="1" applyAlignment="1">
      <alignment horizontal="left"/>
    </xf>
    <xf numFmtId="1" fontId="56" fillId="0" borderId="0" xfId="0" applyNumberFormat="1" applyFont="1" applyFill="1" applyAlignment="1">
      <alignment horizontal="left"/>
    </xf>
    <xf numFmtId="0" fontId="40" fillId="0" borderId="0" xfId="0" applyFont="1" applyFill="1" applyAlignment="1">
      <alignment horizontal="left"/>
    </xf>
    <xf numFmtId="0" fontId="32" fillId="0" borderId="5" xfId="6" applyFont="1" applyBorder="1" applyAlignment="1">
      <alignment horizontal="left"/>
    </xf>
    <xf numFmtId="0" fontId="32" fillId="0" borderId="0" xfId="6" applyFont="1" applyBorder="1" applyAlignment="1">
      <alignment horizontal="left"/>
    </xf>
    <xf numFmtId="0" fontId="32" fillId="0" borderId="0" xfId="6" applyFont="1" applyBorder="1" applyAlignment="1">
      <alignment horizontal="right"/>
    </xf>
    <xf numFmtId="0" fontId="49" fillId="0" borderId="0" xfId="6" applyFont="1" applyBorder="1" applyAlignment="1">
      <alignment horizontal="right"/>
    </xf>
    <xf numFmtId="0" fontId="57" fillId="0" borderId="0" xfId="6" applyFont="1" applyBorder="1" applyAlignment="1">
      <alignment horizontal="left"/>
    </xf>
    <xf numFmtId="0" fontId="64" fillId="0" borderId="0" xfId="6" applyFont="1" applyBorder="1" applyAlignment="1">
      <alignment horizontal="left"/>
    </xf>
    <xf numFmtId="0" fontId="57" fillId="0" borderId="5" xfId="6" applyFont="1" applyBorder="1" applyAlignment="1">
      <alignment horizontal="left"/>
    </xf>
    <xf numFmtId="0" fontId="40" fillId="0" borderId="0" xfId="6" applyFont="1" applyBorder="1" applyAlignment="1">
      <alignment horizontal="left" vertical="top"/>
    </xf>
    <xf numFmtId="0" fontId="40" fillId="0" borderId="0" xfId="0" applyFont="1"/>
    <xf numFmtId="1" fontId="36" fillId="0" borderId="11" xfId="0" applyNumberFormat="1" applyFont="1" applyBorder="1" applyAlignment="1">
      <alignment horizontal="left"/>
    </xf>
    <xf numFmtId="1" fontId="56" fillId="0" borderId="11" xfId="0" applyNumberFormat="1" applyFont="1" applyBorder="1" applyAlignment="1">
      <alignment horizontal="left"/>
    </xf>
    <xf numFmtId="1" fontId="74" fillId="0" borderId="11" xfId="0" applyNumberFormat="1" applyFont="1" applyBorder="1" applyAlignment="1">
      <alignment horizontal="left"/>
    </xf>
    <xf numFmtId="14" fontId="36" fillId="0" borderId="0" xfId="0" applyNumberFormat="1" applyFont="1" applyFill="1" applyBorder="1" applyAlignment="1">
      <alignment horizontal="left"/>
    </xf>
    <xf numFmtId="0" fontId="40" fillId="0" borderId="0" xfId="0" applyFont="1" applyFill="1" applyBorder="1" applyAlignment="1">
      <alignment horizontal="left"/>
    </xf>
    <xf numFmtId="0" fontId="49" fillId="0" borderId="0" xfId="0" applyFont="1" applyFill="1" applyBorder="1" applyAlignment="1">
      <alignment horizontal="left"/>
    </xf>
    <xf numFmtId="14" fontId="49" fillId="0" borderId="0" xfId="0" applyNumberFormat="1" applyFont="1" applyFill="1" applyBorder="1" applyAlignment="1">
      <alignment horizontal="left"/>
    </xf>
    <xf numFmtId="1" fontId="36" fillId="0" borderId="0" xfId="0" applyNumberFormat="1" applyFont="1" applyFill="1" applyBorder="1" applyAlignment="1">
      <alignment horizontal="left"/>
    </xf>
    <xf numFmtId="1" fontId="40" fillId="0" borderId="0" xfId="0" applyNumberFormat="1" applyFont="1" applyFill="1" applyBorder="1" applyAlignment="1">
      <alignment horizontal="left"/>
    </xf>
    <xf numFmtId="0" fontId="88" fillId="0" borderId="3" xfId="0" applyFont="1" applyBorder="1" applyAlignment="1">
      <alignment horizontal="center"/>
    </xf>
    <xf numFmtId="10" fontId="88" fillId="10" borderId="24" xfId="0" applyNumberFormat="1" applyFont="1" applyFill="1" applyBorder="1" applyAlignment="1">
      <alignment horizontal="center"/>
    </xf>
    <xf numFmtId="171" fontId="87" fillId="0" borderId="0" xfId="14" applyNumberFormat="1" applyFont="1" applyBorder="1"/>
    <xf numFmtId="0" fontId="88" fillId="2" borderId="3" xfId="0" applyFont="1" applyFill="1" applyBorder="1" applyAlignment="1">
      <alignment horizontal="center"/>
    </xf>
    <xf numFmtId="0" fontId="88" fillId="0" borderId="3" xfId="0" applyFont="1" applyBorder="1"/>
    <xf numFmtId="0" fontId="88" fillId="0" borderId="2" xfId="0" applyFont="1" applyBorder="1"/>
    <xf numFmtId="0" fontId="86" fillId="0" borderId="11" xfId="0" applyFont="1" applyBorder="1" applyAlignment="1">
      <alignment horizontal="centerContinuous"/>
    </xf>
    <xf numFmtId="0" fontId="86" fillId="0" borderId="0" xfId="0" applyFont="1" applyBorder="1" applyAlignment="1">
      <alignment horizontal="centerContinuous"/>
    </xf>
    <xf numFmtId="0" fontId="87" fillId="0" borderId="11" xfId="0" applyFont="1" applyBorder="1"/>
    <xf numFmtId="0" fontId="87" fillId="0" borderId="0" xfId="0" applyFont="1" applyBorder="1"/>
    <xf numFmtId="0" fontId="88" fillId="0" borderId="11" xfId="0" applyFont="1" applyBorder="1"/>
    <xf numFmtId="0" fontId="88" fillId="0" borderId="0" xfId="0" applyFont="1" applyBorder="1"/>
    <xf numFmtId="0" fontId="89" fillId="0" borderId="11" xfId="0" applyFont="1" applyBorder="1"/>
    <xf numFmtId="0" fontId="89" fillId="0" borderId="0" xfId="0" applyFont="1" applyBorder="1"/>
    <xf numFmtId="0" fontId="89" fillId="0" borderId="15" xfId="0" applyFont="1" applyBorder="1"/>
    <xf numFmtId="0" fontId="88" fillId="0" borderId="15" xfId="0" applyFont="1" applyBorder="1"/>
    <xf numFmtId="0" fontId="87" fillId="0" borderId="15" xfId="0" applyFont="1" applyBorder="1"/>
    <xf numFmtId="0" fontId="88" fillId="0" borderId="26" xfId="0" applyFont="1" applyBorder="1"/>
    <xf numFmtId="0" fontId="0" fillId="0" borderId="13" xfId="0" applyBorder="1"/>
    <xf numFmtId="0" fontId="76" fillId="0" borderId="0" xfId="0" applyFont="1" applyFill="1" applyAlignment="1">
      <alignment horizontal="left" vertical="top"/>
    </xf>
    <xf numFmtId="0" fontId="35" fillId="0" borderId="0" xfId="6" applyFill="1" applyBorder="1" applyAlignment="1">
      <alignment horizontal="left" vertical="top"/>
    </xf>
    <xf numFmtId="0" fontId="0" fillId="0" borderId="0" xfId="0" applyFill="1" applyAlignment="1">
      <alignment horizontal="left"/>
    </xf>
    <xf numFmtId="14" fontId="36" fillId="0" borderId="0" xfId="0" applyNumberFormat="1" applyFont="1" applyFill="1" applyAlignment="1">
      <alignment horizontal="left"/>
    </xf>
    <xf numFmtId="9" fontId="37" fillId="0" borderId="0" xfId="6" applyNumberFormat="1" applyFont="1" applyFill="1" applyBorder="1" applyAlignment="1">
      <alignment horizontal="center" vertical="top"/>
    </xf>
    <xf numFmtId="0" fontId="37" fillId="0" borderId="14" xfId="0" applyFont="1" applyBorder="1"/>
    <xf numFmtId="169" fontId="36" fillId="0" borderId="0" xfId="0" applyNumberFormat="1" applyFont="1" applyAlignment="1">
      <alignment horizontal="left"/>
    </xf>
    <xf numFmtId="169" fontId="36" fillId="4" borderId="0" xfId="0" applyNumberFormat="1" applyFont="1" applyFill="1" applyAlignment="1">
      <alignment horizontal="left" vertical="top" wrapText="1"/>
    </xf>
    <xf numFmtId="169" fontId="74" fillId="4" borderId="0" xfId="0" applyNumberFormat="1" applyFont="1" applyFill="1" applyAlignment="1">
      <alignment horizontal="left" vertical="top" wrapText="1"/>
    </xf>
    <xf numFmtId="169" fontId="74" fillId="0" borderId="0" xfId="0" applyNumberFormat="1" applyFont="1" applyAlignment="1">
      <alignment horizontal="left"/>
    </xf>
    <xf numFmtId="0" fontId="47" fillId="0" borderId="0" xfId="0" applyFont="1" applyAlignment="1">
      <alignment horizontal="left"/>
    </xf>
    <xf numFmtId="9" fontId="47" fillId="0" borderId="0" xfId="0" applyNumberFormat="1" applyFont="1" applyAlignment="1">
      <alignment horizontal="left"/>
    </xf>
    <xf numFmtId="0" fontId="50" fillId="0" borderId="0" xfId="0" applyFont="1" applyAlignment="1">
      <alignment horizontal="left"/>
    </xf>
    <xf numFmtId="1" fontId="36" fillId="0" borderId="0" xfId="0" applyNumberFormat="1" applyFont="1" applyBorder="1" applyAlignment="1">
      <alignment horizontal="left" vertical="top"/>
    </xf>
    <xf numFmtId="167" fontId="36" fillId="0" borderId="0" xfId="0" applyNumberFormat="1" applyFont="1" applyBorder="1" applyAlignment="1">
      <alignment horizontal="left" vertical="top"/>
    </xf>
    <xf numFmtId="9" fontId="0" fillId="0" borderId="0" xfId="3" applyFont="1" applyFill="1" applyAlignment="1">
      <alignment horizontal="left"/>
    </xf>
    <xf numFmtId="0" fontId="47" fillId="0" borderId="0" xfId="6" applyFont="1" applyFill="1" applyAlignment="1">
      <alignment horizontal="left"/>
    </xf>
    <xf numFmtId="0" fontId="48" fillId="0" borderId="0" xfId="6" applyFont="1" applyFill="1" applyBorder="1" applyAlignment="1">
      <alignment horizontal="left" vertical="top"/>
    </xf>
    <xf numFmtId="9" fontId="37" fillId="0" borderId="3" xfId="6" applyNumberFormat="1" applyFont="1" applyFill="1" applyBorder="1" applyAlignment="1">
      <alignment horizontal="center" vertical="top"/>
    </xf>
    <xf numFmtId="9" fontId="44" fillId="0" borderId="3" xfId="6" applyNumberFormat="1" applyFont="1" applyFill="1" applyBorder="1" applyAlignment="1">
      <alignment horizontal="center" vertical="top"/>
    </xf>
    <xf numFmtId="0" fontId="31" fillId="0" borderId="0" xfId="6" applyFont="1" applyBorder="1" applyAlignment="1">
      <alignment horizontal="left"/>
    </xf>
    <xf numFmtId="9" fontId="36" fillId="0" borderId="0" xfId="7" applyFont="1" applyBorder="1" applyAlignment="1">
      <alignment horizontal="left"/>
    </xf>
    <xf numFmtId="9" fontId="36" fillId="0" borderId="0" xfId="3" applyFont="1" applyBorder="1" applyAlignment="1">
      <alignment horizontal="left"/>
    </xf>
    <xf numFmtId="0" fontId="31" fillId="0" borderId="5" xfId="6" applyFont="1" applyBorder="1" applyAlignment="1">
      <alignment horizontal="left"/>
    </xf>
    <xf numFmtId="1" fontId="49" fillId="0" borderId="0" xfId="6" applyNumberFormat="1" applyFont="1" applyBorder="1" applyAlignment="1">
      <alignment horizontal="right"/>
    </xf>
    <xf numFmtId="0" fontId="30" fillId="0" borderId="7" xfId="6" applyFont="1" applyBorder="1" applyAlignment="1">
      <alignment horizontal="left" vertical="top" wrapText="1"/>
    </xf>
    <xf numFmtId="0" fontId="49" fillId="0" borderId="5" xfId="0" applyFont="1" applyFill="1" applyBorder="1" applyAlignment="1">
      <alignment horizontal="left" vertical="center"/>
    </xf>
    <xf numFmtId="0" fontId="48" fillId="0" borderId="14" xfId="6" applyFont="1" applyBorder="1" applyAlignment="1">
      <alignment horizontal="left"/>
    </xf>
    <xf numFmtId="0" fontId="48" fillId="0" borderId="0" xfId="6" applyFont="1" applyFill="1"/>
    <xf numFmtId="9" fontId="55" fillId="0" borderId="0" xfId="3" applyFont="1" applyBorder="1" applyAlignment="1">
      <alignment horizontal="left"/>
    </xf>
    <xf numFmtId="9" fontId="36" fillId="0" borderId="3" xfId="6" applyNumberFormat="1" applyFont="1" applyBorder="1" applyAlignment="1">
      <alignment horizontal="left" vertical="top"/>
    </xf>
    <xf numFmtId="0" fontId="36" fillId="0" borderId="7" xfId="6" applyFont="1" applyBorder="1" applyAlignment="1">
      <alignment horizontal="left" vertical="top" wrapText="1"/>
    </xf>
    <xf numFmtId="0" fontId="29" fillId="0" borderId="5" xfId="6" applyFont="1" applyBorder="1" applyAlignment="1">
      <alignment horizontal="left"/>
    </xf>
    <xf numFmtId="0" fontId="49" fillId="0" borderId="5" xfId="6" applyFont="1" applyBorder="1" applyAlignment="1">
      <alignment horizontal="right"/>
    </xf>
    <xf numFmtId="0" fontId="29" fillId="0" borderId="0" xfId="6" applyFont="1" applyBorder="1" applyAlignment="1">
      <alignment horizontal="left"/>
    </xf>
    <xf numFmtId="0" fontId="34" fillId="0" borderId="22" xfId="6" applyFont="1" applyFill="1" applyBorder="1" applyAlignment="1">
      <alignment horizontal="left"/>
    </xf>
    <xf numFmtId="0" fontId="34" fillId="0" borderId="22" xfId="6" applyFont="1" applyBorder="1" applyAlignment="1">
      <alignment horizontal="left"/>
    </xf>
    <xf numFmtId="0" fontId="48" fillId="0" borderId="22" xfId="6" applyFont="1" applyBorder="1" applyAlignment="1">
      <alignment horizontal="left"/>
    </xf>
    <xf numFmtId="0" fontId="48" fillId="0" borderId="28" xfId="6" applyFont="1" applyBorder="1" applyAlignment="1">
      <alignment horizontal="left"/>
    </xf>
    <xf numFmtId="0" fontId="34" fillId="0" borderId="29" xfId="6" applyFont="1" applyBorder="1" applyAlignment="1">
      <alignment horizontal="left"/>
    </xf>
    <xf numFmtId="2" fontId="34" fillId="0" borderId="29" xfId="6" applyNumberFormat="1" applyFont="1" applyBorder="1" applyAlignment="1">
      <alignment horizontal="left"/>
    </xf>
    <xf numFmtId="2" fontId="34" fillId="0" borderId="22" xfId="6" applyNumberFormat="1" applyFont="1" applyBorder="1" applyAlignment="1">
      <alignment horizontal="left"/>
    </xf>
    <xf numFmtId="9" fontId="49" fillId="0" borderId="22" xfId="3" applyFont="1" applyBorder="1" applyAlignment="1">
      <alignment horizontal="left"/>
    </xf>
    <xf numFmtId="0" fontId="49" fillId="0" borderId="8" xfId="6" applyFont="1" applyFill="1" applyBorder="1" applyAlignment="1">
      <alignment horizontal="left"/>
    </xf>
    <xf numFmtId="0" fontId="49" fillId="0" borderId="22" xfId="6" applyFont="1" applyFill="1" applyBorder="1" applyAlignment="1">
      <alignment horizontal="left"/>
    </xf>
    <xf numFmtId="0" fontId="49" fillId="0" borderId="22" xfId="6" applyFont="1" applyBorder="1" applyAlignment="1">
      <alignment horizontal="left"/>
    </xf>
    <xf numFmtId="0" fontId="40" fillId="0" borderId="22" xfId="6" applyFont="1" applyBorder="1" applyAlignment="1">
      <alignment horizontal="left"/>
    </xf>
    <xf numFmtId="0" fontId="58" fillId="0" borderId="22" xfId="6" applyFont="1" applyBorder="1" applyAlignment="1">
      <alignment horizontal="left"/>
    </xf>
    <xf numFmtId="0" fontId="49" fillId="0" borderId="28" xfId="6" applyFont="1" applyBorder="1" applyAlignment="1">
      <alignment horizontal="left"/>
    </xf>
    <xf numFmtId="0" fontId="49" fillId="0" borderId="29" xfId="6" applyFont="1" applyBorder="1" applyAlignment="1">
      <alignment horizontal="left"/>
    </xf>
    <xf numFmtId="9" fontId="49" fillId="0" borderId="22" xfId="7" applyFont="1" applyBorder="1" applyAlignment="1">
      <alignment horizontal="left"/>
    </xf>
    <xf numFmtId="2" fontId="49" fillId="0" borderId="22" xfId="6" applyNumberFormat="1" applyFont="1" applyBorder="1" applyAlignment="1">
      <alignment horizontal="left"/>
    </xf>
    <xf numFmtId="1" fontId="49" fillId="0" borderId="22" xfId="6" applyNumberFormat="1" applyFont="1" applyBorder="1" applyAlignment="1">
      <alignment horizontal="left"/>
    </xf>
    <xf numFmtId="1" fontId="49" fillId="0" borderId="29" xfId="6" applyNumberFormat="1" applyFont="1" applyBorder="1" applyAlignment="1">
      <alignment horizontal="left"/>
    </xf>
    <xf numFmtId="9" fontId="81" fillId="0" borderId="22" xfId="3" applyFont="1" applyBorder="1" applyAlignment="1">
      <alignment horizontal="left"/>
    </xf>
    <xf numFmtId="0" fontId="59" fillId="0" borderId="29" xfId="6" applyFont="1" applyBorder="1" applyAlignment="1">
      <alignment horizontal="left"/>
    </xf>
    <xf numFmtId="9" fontId="49" fillId="0" borderId="29" xfId="7" applyFont="1" applyBorder="1" applyAlignment="1">
      <alignment horizontal="left" indent="1"/>
    </xf>
    <xf numFmtId="9" fontId="49" fillId="0" borderId="22" xfId="7" applyFont="1" applyBorder="1" applyAlignment="1">
      <alignment horizontal="left" indent="1"/>
    </xf>
    <xf numFmtId="0" fontId="59" fillId="0" borderId="22" xfId="6" applyFont="1" applyBorder="1" applyAlignment="1">
      <alignment horizontal="left"/>
    </xf>
    <xf numFmtId="167" fontId="49" fillId="0" borderId="27" xfId="6" applyNumberFormat="1" applyFont="1" applyBorder="1" applyAlignment="1">
      <alignment horizontal="left"/>
    </xf>
    <xf numFmtId="167" fontId="49" fillId="0" borderId="22" xfId="6" applyNumberFormat="1" applyFont="1" applyBorder="1" applyAlignment="1">
      <alignment horizontal="left" indent="1"/>
    </xf>
    <xf numFmtId="1" fontId="49" fillId="0" borderId="29" xfId="8" applyNumberFormat="1" applyFont="1" applyBorder="1" applyAlignment="1">
      <alignment horizontal="left"/>
    </xf>
    <xf numFmtId="166" fontId="49" fillId="0" borderId="22" xfId="8" applyNumberFormat="1" applyFont="1" applyBorder="1" applyAlignment="1">
      <alignment horizontal="left"/>
    </xf>
    <xf numFmtId="0" fontId="34" fillId="0" borderId="28" xfId="6" applyFont="1" applyBorder="1" applyAlignment="1">
      <alignment horizontal="left"/>
    </xf>
    <xf numFmtId="0" fontId="55" fillId="0" borderId="22" xfId="6" applyFont="1" applyBorder="1" applyAlignment="1">
      <alignment horizontal="left"/>
    </xf>
    <xf numFmtId="167" fontId="55" fillId="0" borderId="22" xfId="6" applyNumberFormat="1" applyFont="1" applyBorder="1" applyAlignment="1">
      <alignment horizontal="left"/>
    </xf>
    <xf numFmtId="167" fontId="49" fillId="0" borderId="22" xfId="6" applyNumberFormat="1" applyFont="1" applyBorder="1" applyAlignment="1">
      <alignment horizontal="left"/>
    </xf>
    <xf numFmtId="167" fontId="49" fillId="0" borderId="22" xfId="7" applyNumberFormat="1" applyFont="1" applyBorder="1" applyAlignment="1">
      <alignment horizontal="left" indent="1"/>
    </xf>
    <xf numFmtId="0" fontId="34" fillId="0" borderId="22" xfId="6" applyFont="1" applyBorder="1" applyAlignment="1">
      <alignment horizontal="left" indent="1"/>
    </xf>
    <xf numFmtId="0" fontId="29" fillId="0" borderId="22" xfId="6" applyFont="1" applyBorder="1" applyAlignment="1">
      <alignment horizontal="left"/>
    </xf>
    <xf numFmtId="0" fontId="29" fillId="0" borderId="7" xfId="6" applyFont="1" applyBorder="1" applyAlignment="1">
      <alignment horizontal="left" vertical="top" wrapText="1"/>
    </xf>
    <xf numFmtId="9" fontId="34" fillId="0" borderId="0" xfId="3" applyFont="1" applyBorder="1" applyAlignment="1">
      <alignment horizontal="left"/>
    </xf>
    <xf numFmtId="2" fontId="29" fillId="0" borderId="22" xfId="6" applyNumberFormat="1" applyFont="1" applyBorder="1" applyAlignment="1">
      <alignment horizontal="left"/>
    </xf>
    <xf numFmtId="0" fontId="58" fillId="0" borderId="5" xfId="6" applyFont="1" applyBorder="1" applyAlignment="1">
      <alignment horizontal="right"/>
    </xf>
    <xf numFmtId="0" fontId="49" fillId="0" borderId="5" xfId="6" applyFont="1" applyBorder="1" applyAlignment="1">
      <alignment horizontal="right" indent="1"/>
    </xf>
    <xf numFmtId="0" fontId="49" fillId="0" borderId="0" xfId="6" applyFont="1" applyBorder="1" applyAlignment="1">
      <alignment horizontal="right" indent="1"/>
    </xf>
    <xf numFmtId="0" fontId="58" fillId="0" borderId="0" xfId="6" applyFont="1" applyBorder="1" applyAlignment="1">
      <alignment horizontal="right"/>
    </xf>
    <xf numFmtId="0" fontId="55" fillId="0" borderId="5" xfId="6" applyFont="1" applyBorder="1" applyAlignment="1">
      <alignment horizontal="right"/>
    </xf>
    <xf numFmtId="0" fontId="81" fillId="0" borderId="0" xfId="6" applyFont="1" applyBorder="1" applyAlignment="1">
      <alignment horizontal="right"/>
    </xf>
    <xf numFmtId="0" fontId="34" fillId="0" borderId="8" xfId="6" applyFont="1" applyBorder="1" applyAlignment="1">
      <alignment horizontal="left" vertical="top"/>
    </xf>
    <xf numFmtId="0" fontId="36" fillId="0" borderId="8" xfId="6" applyFont="1" applyBorder="1" applyAlignment="1">
      <alignment horizontal="left" vertical="top"/>
    </xf>
    <xf numFmtId="0" fontId="49" fillId="0" borderId="30" xfId="6" applyFont="1" applyBorder="1" applyAlignment="1">
      <alignment horizontal="left"/>
    </xf>
    <xf numFmtId="168" fontId="49" fillId="0" borderId="22" xfId="3" applyNumberFormat="1" applyFont="1" applyBorder="1" applyAlignment="1">
      <alignment horizontal="left"/>
    </xf>
    <xf numFmtId="168" fontId="49" fillId="0" borderId="0" xfId="6" applyNumberFormat="1" applyFont="1" applyBorder="1" applyAlignment="1">
      <alignment horizontal="left"/>
    </xf>
    <xf numFmtId="168" fontId="64" fillId="0" borderId="0" xfId="6" applyNumberFormat="1" applyFont="1" applyBorder="1" applyAlignment="1">
      <alignment horizontal="left"/>
    </xf>
    <xf numFmtId="168" fontId="49" fillId="0" borderId="22" xfId="6" applyNumberFormat="1" applyFont="1" applyBorder="1" applyAlignment="1">
      <alignment horizontal="left"/>
    </xf>
    <xf numFmtId="1" fontId="34" fillId="0" borderId="22" xfId="6" applyNumberFormat="1" applyFont="1" applyBorder="1" applyAlignment="1">
      <alignment horizontal="left"/>
    </xf>
    <xf numFmtId="1" fontId="29" fillId="0" borderId="22" xfId="6" applyNumberFormat="1" applyFont="1" applyBorder="1" applyAlignment="1">
      <alignment horizontal="left"/>
    </xf>
    <xf numFmtId="9" fontId="94" fillId="0" borderId="22" xfId="3" applyFont="1" applyBorder="1" applyAlignment="1">
      <alignment horizontal="left"/>
    </xf>
    <xf numFmtId="0" fontId="96" fillId="0" borderId="0" xfId="6" applyFont="1" applyBorder="1" applyAlignment="1">
      <alignment horizontal="left"/>
    </xf>
    <xf numFmtId="0" fontId="96" fillId="0" borderId="22" xfId="6" applyFont="1" applyBorder="1" applyAlignment="1">
      <alignment horizontal="left"/>
    </xf>
    <xf numFmtId="9" fontId="96" fillId="0" borderId="22" xfId="3" applyFont="1" applyBorder="1" applyAlignment="1">
      <alignment horizontal="left"/>
    </xf>
    <xf numFmtId="1" fontId="96" fillId="0" borderId="22" xfId="6" applyNumberFormat="1" applyFont="1" applyBorder="1" applyAlignment="1">
      <alignment horizontal="left"/>
    </xf>
    <xf numFmtId="0" fontId="36" fillId="0" borderId="0" xfId="6" applyFont="1" applyBorder="1" applyAlignment="1">
      <alignment horizontal="right"/>
    </xf>
    <xf numFmtId="168" fontId="49" fillId="0" borderId="0" xfId="3" applyNumberFormat="1" applyFont="1" applyBorder="1" applyAlignment="1">
      <alignment horizontal="left"/>
    </xf>
    <xf numFmtId="10" fontId="49" fillId="0" borderId="0" xfId="3" applyNumberFormat="1" applyFont="1" applyBorder="1" applyAlignment="1">
      <alignment horizontal="left"/>
    </xf>
    <xf numFmtId="2" fontId="96" fillId="0" borderId="22" xfId="6" applyNumberFormat="1" applyFont="1" applyBorder="1" applyAlignment="1">
      <alignment horizontal="left"/>
    </xf>
    <xf numFmtId="9" fontId="64" fillId="0" borderId="31" xfId="3" applyFont="1" applyBorder="1" applyAlignment="1">
      <alignment horizontal="left"/>
    </xf>
    <xf numFmtId="9" fontId="36" fillId="0" borderId="31" xfId="3" applyFont="1" applyBorder="1" applyAlignment="1">
      <alignment horizontal="left"/>
    </xf>
    <xf numFmtId="0" fontId="36" fillId="0" borderId="13" xfId="6" applyFont="1" applyBorder="1" applyAlignment="1">
      <alignment horizontal="left" vertical="top"/>
    </xf>
    <xf numFmtId="2" fontId="49" fillId="0" borderId="0" xfId="8" applyNumberFormat="1" applyFont="1" applyBorder="1" applyAlignment="1">
      <alignment horizontal="left"/>
    </xf>
    <xf numFmtId="2" fontId="61" fillId="0" borderId="29" xfId="6" applyNumberFormat="1" applyFont="1" applyBorder="1" applyAlignment="1">
      <alignment horizontal="left"/>
    </xf>
    <xf numFmtId="2" fontId="61" fillId="0" borderId="22" xfId="6" applyNumberFormat="1" applyFont="1" applyBorder="1" applyAlignment="1">
      <alignment horizontal="left"/>
    </xf>
    <xf numFmtId="0" fontId="61" fillId="0" borderId="22" xfId="6" applyFont="1" applyBorder="1" applyAlignment="1">
      <alignment horizontal="left"/>
    </xf>
    <xf numFmtId="172" fontId="97" fillId="0" borderId="0" xfId="0" applyNumberFormat="1" applyFont="1" applyBorder="1" applyAlignment="1">
      <alignment horizontal="left" vertical="top"/>
    </xf>
    <xf numFmtId="9" fontId="97" fillId="0" borderId="0" xfId="3" applyFont="1" applyBorder="1" applyAlignment="1">
      <alignment horizontal="left" vertical="top"/>
    </xf>
    <xf numFmtId="0" fontId="97" fillId="0" borderId="0" xfId="0" applyFont="1" applyBorder="1" applyAlignment="1">
      <alignment horizontal="right" vertical="top"/>
    </xf>
    <xf numFmtId="2" fontId="49" fillId="0" borderId="0" xfId="7" applyNumberFormat="1" applyFont="1" applyBorder="1" applyAlignment="1">
      <alignment horizontal="left"/>
    </xf>
    <xf numFmtId="9" fontId="49" fillId="0" borderId="31" xfId="6" applyNumberFormat="1" applyFont="1" applyBorder="1" applyAlignment="1">
      <alignment horizontal="left"/>
    </xf>
    <xf numFmtId="0" fontId="99" fillId="0" borderId="0" xfId="0" applyFont="1" applyBorder="1" applyAlignment="1">
      <alignment horizontal="right" vertical="top"/>
    </xf>
    <xf numFmtId="172" fontId="99" fillId="0" borderId="0" xfId="0" applyNumberFormat="1" applyFont="1" applyBorder="1" applyAlignment="1">
      <alignment horizontal="left" vertical="top"/>
    </xf>
    <xf numFmtId="0" fontId="100" fillId="0" borderId="0" xfId="0" applyFont="1" applyBorder="1" applyAlignment="1">
      <alignment horizontal="right" vertical="top"/>
    </xf>
    <xf numFmtId="172" fontId="100" fillId="0" borderId="0" xfId="0" applyNumberFormat="1" applyFont="1" applyBorder="1" applyAlignment="1">
      <alignment horizontal="left" vertical="top"/>
    </xf>
    <xf numFmtId="0" fontId="49" fillId="0" borderId="32" xfId="6" applyFont="1" applyBorder="1" applyAlignment="1">
      <alignment horizontal="right"/>
    </xf>
    <xf numFmtId="9" fontId="49" fillId="0" borderId="31" xfId="7" applyFont="1" applyBorder="1" applyAlignment="1">
      <alignment horizontal="left"/>
    </xf>
    <xf numFmtId="0" fontId="49" fillId="0" borderId="31" xfId="6" applyFont="1" applyBorder="1" applyAlignment="1">
      <alignment horizontal="right"/>
    </xf>
    <xf numFmtId="0" fontId="49" fillId="0" borderId="21" xfId="6" applyFont="1" applyBorder="1" applyAlignment="1">
      <alignment horizontal="right"/>
    </xf>
    <xf numFmtId="0" fontId="49" fillId="0" borderId="21" xfId="6" applyFont="1" applyBorder="1" applyAlignment="1">
      <alignment horizontal="right" indent="1"/>
    </xf>
    <xf numFmtId="0" fontId="49" fillId="0" borderId="35" xfId="6" applyFont="1" applyBorder="1" applyAlignment="1">
      <alignment horizontal="left"/>
    </xf>
    <xf numFmtId="167" fontId="49" fillId="0" borderId="31" xfId="6" applyNumberFormat="1" applyFont="1" applyBorder="1" applyAlignment="1">
      <alignment horizontal="left"/>
    </xf>
    <xf numFmtId="0" fontId="49" fillId="0" borderId="31" xfId="6" applyFont="1" applyBorder="1" applyAlignment="1">
      <alignment horizontal="left"/>
    </xf>
    <xf numFmtId="0" fontId="34" fillId="0" borderId="36" xfId="6" applyFont="1" applyBorder="1" applyAlignment="1">
      <alignment horizontal="left"/>
    </xf>
    <xf numFmtId="168" fontId="55" fillId="0" borderId="0" xfId="6" applyNumberFormat="1" applyFont="1" applyBorder="1" applyAlignment="1">
      <alignment horizontal="left"/>
    </xf>
    <xf numFmtId="9" fontId="49" fillId="0" borderId="21" xfId="3" applyFont="1" applyBorder="1" applyAlignment="1">
      <alignment horizontal="left"/>
    </xf>
    <xf numFmtId="9" fontId="64" fillId="0" borderId="21" xfId="6" applyNumberFormat="1" applyFont="1" applyBorder="1" applyAlignment="1">
      <alignment horizontal="left"/>
    </xf>
    <xf numFmtId="9" fontId="49" fillId="0" borderId="0" xfId="3" applyNumberFormat="1" applyFont="1" applyBorder="1" applyAlignment="1">
      <alignment horizontal="left"/>
    </xf>
    <xf numFmtId="0" fontId="28" fillId="0" borderId="5" xfId="6" applyFont="1" applyBorder="1" applyAlignment="1">
      <alignment horizontal="left"/>
    </xf>
    <xf numFmtId="0" fontId="28" fillId="0" borderId="0" xfId="6" applyFont="1" applyBorder="1" applyAlignment="1">
      <alignment horizontal="left"/>
    </xf>
    <xf numFmtId="0" fontId="28" fillId="0" borderId="0" xfId="6" applyFont="1" applyBorder="1" applyAlignment="1">
      <alignment horizontal="right"/>
    </xf>
    <xf numFmtId="0" fontId="49" fillId="0" borderId="34" xfId="6" applyFont="1" applyBorder="1" applyAlignment="1">
      <alignment horizontal="right"/>
    </xf>
    <xf numFmtId="9" fontId="49" fillId="0" borderId="36" xfId="7" applyFont="1" applyBorder="1" applyAlignment="1">
      <alignment horizontal="left"/>
    </xf>
    <xf numFmtId="0" fontId="59" fillId="0" borderId="23" xfId="6" applyFont="1" applyBorder="1" applyAlignment="1">
      <alignment horizontal="left"/>
    </xf>
    <xf numFmtId="0" fontId="49" fillId="0" borderId="22" xfId="6" applyFont="1" applyBorder="1" applyAlignment="1">
      <alignment horizontal="right"/>
    </xf>
    <xf numFmtId="0" fontId="49" fillId="0" borderId="23" xfId="6" applyFont="1" applyBorder="1" applyAlignment="1">
      <alignment horizontal="right"/>
    </xf>
    <xf numFmtId="0" fontId="49" fillId="0" borderId="23" xfId="6" applyFont="1" applyBorder="1" applyAlignment="1">
      <alignment horizontal="left"/>
    </xf>
    <xf numFmtId="0" fontId="49" fillId="0" borderId="36" xfId="6" applyFont="1" applyBorder="1" applyAlignment="1">
      <alignment horizontal="right"/>
    </xf>
    <xf numFmtId="1" fontId="49" fillId="0" borderId="22" xfId="3" applyNumberFormat="1" applyFont="1" applyBorder="1" applyAlignment="1">
      <alignment horizontal="left"/>
    </xf>
    <xf numFmtId="0" fontId="55" fillId="0" borderId="35" xfId="6" applyFont="1" applyBorder="1" applyAlignment="1">
      <alignment horizontal="right"/>
    </xf>
    <xf numFmtId="0" fontId="34" fillId="0" borderId="35" xfId="6" applyFont="1" applyBorder="1" applyAlignment="1">
      <alignment horizontal="left"/>
    </xf>
    <xf numFmtId="0" fontId="55" fillId="0" borderId="35" xfId="6" applyFont="1" applyBorder="1" applyAlignment="1">
      <alignment horizontal="left"/>
    </xf>
    <xf numFmtId="9" fontId="55" fillId="0" borderId="35" xfId="7" applyFont="1" applyBorder="1" applyAlignment="1">
      <alignment horizontal="left"/>
    </xf>
    <xf numFmtId="9" fontId="49" fillId="0" borderId="35" xfId="7" applyFont="1" applyBorder="1" applyAlignment="1">
      <alignment horizontal="left"/>
    </xf>
    <xf numFmtId="172" fontId="55" fillId="0" borderId="35" xfId="6" applyNumberFormat="1" applyFont="1" applyBorder="1" applyAlignment="1">
      <alignment horizontal="left"/>
    </xf>
    <xf numFmtId="0" fontId="99" fillId="0" borderId="35" xfId="0" applyFont="1" applyBorder="1" applyAlignment="1">
      <alignment horizontal="right" vertical="top"/>
    </xf>
    <xf numFmtId="172" fontId="99" fillId="0" borderId="35" xfId="0" applyNumberFormat="1" applyFont="1" applyBorder="1" applyAlignment="1">
      <alignment horizontal="left" vertical="top"/>
    </xf>
    <xf numFmtId="172" fontId="55" fillId="0" borderId="0" xfId="6" applyNumberFormat="1" applyFont="1" applyBorder="1" applyAlignment="1">
      <alignment horizontal="left"/>
    </xf>
    <xf numFmtId="0" fontId="100" fillId="0" borderId="35" xfId="0" applyFont="1" applyBorder="1" applyAlignment="1">
      <alignment horizontal="right" vertical="top"/>
    </xf>
    <xf numFmtId="172" fontId="100" fillId="0" borderId="35" xfId="0" applyNumberFormat="1" applyFont="1" applyBorder="1" applyAlignment="1">
      <alignment horizontal="left" vertical="top"/>
    </xf>
    <xf numFmtId="0" fontId="98" fillId="0" borderId="38" xfId="0" applyFont="1" applyBorder="1" applyAlignment="1">
      <alignment horizontal="right" vertical="top"/>
    </xf>
    <xf numFmtId="172" fontId="100" fillId="0" borderId="38" xfId="0" applyNumberFormat="1" applyFont="1" applyBorder="1" applyAlignment="1">
      <alignment horizontal="left" vertical="top"/>
    </xf>
    <xf numFmtId="0" fontId="34" fillId="0" borderId="33" xfId="6" applyFont="1" applyBorder="1" applyAlignment="1">
      <alignment horizontal="left"/>
    </xf>
    <xf numFmtId="0" fontId="55" fillId="0" borderId="33" xfId="6" applyFont="1" applyBorder="1" applyAlignment="1">
      <alignment horizontal="right"/>
    </xf>
    <xf numFmtId="0" fontId="55" fillId="0" borderId="33" xfId="6" applyFont="1" applyBorder="1" applyAlignment="1">
      <alignment horizontal="left"/>
    </xf>
    <xf numFmtId="0" fontId="49" fillId="0" borderId="33" xfId="6" applyFont="1" applyBorder="1" applyAlignment="1">
      <alignment horizontal="left"/>
    </xf>
    <xf numFmtId="0" fontId="49" fillId="0" borderId="33" xfId="6" applyFont="1" applyBorder="1" applyAlignment="1">
      <alignment horizontal="right"/>
    </xf>
    <xf numFmtId="1" fontId="49" fillId="0" borderId="33" xfId="6" applyNumberFormat="1" applyFont="1" applyBorder="1" applyAlignment="1">
      <alignment horizontal="left"/>
    </xf>
    <xf numFmtId="167" fontId="49" fillId="0" borderId="36" xfId="6" applyNumberFormat="1" applyFont="1" applyBorder="1" applyAlignment="1">
      <alignment horizontal="left"/>
    </xf>
    <xf numFmtId="2" fontId="49" fillId="0" borderId="36" xfId="6" applyNumberFormat="1" applyFont="1" applyBorder="1" applyAlignment="1">
      <alignment horizontal="left"/>
    </xf>
    <xf numFmtId="1" fontId="49" fillId="0" borderId="22" xfId="6" applyNumberFormat="1" applyFont="1" applyBorder="1" applyAlignment="1">
      <alignment horizontal="right"/>
    </xf>
    <xf numFmtId="0" fontId="34" fillId="0" borderId="21" xfId="6" applyFont="1" applyBorder="1" applyAlignment="1">
      <alignment horizontal="left"/>
    </xf>
    <xf numFmtId="9" fontId="49" fillId="0" borderId="21" xfId="7" applyFont="1" applyBorder="1" applyAlignment="1">
      <alignment horizontal="left"/>
    </xf>
    <xf numFmtId="9" fontId="49" fillId="0" borderId="31" xfId="3" applyFont="1" applyBorder="1" applyAlignment="1">
      <alignment horizontal="left"/>
    </xf>
    <xf numFmtId="9" fontId="49" fillId="0" borderId="36" xfId="3" applyFont="1" applyBorder="1" applyAlignment="1">
      <alignment horizontal="left"/>
    </xf>
    <xf numFmtId="2" fontId="49" fillId="0" borderId="31" xfId="6" applyNumberFormat="1" applyFont="1" applyBorder="1" applyAlignment="1">
      <alignment horizontal="left"/>
    </xf>
    <xf numFmtId="1" fontId="49" fillId="0" borderId="22" xfId="8" applyNumberFormat="1" applyFont="1" applyBorder="1" applyAlignment="1">
      <alignment horizontal="left"/>
    </xf>
    <xf numFmtId="0" fontId="34" fillId="0" borderId="31" xfId="6" applyFont="1" applyBorder="1" applyAlignment="1">
      <alignment horizontal="left"/>
    </xf>
    <xf numFmtId="0" fontId="55" fillId="0" borderId="35" xfId="6" applyFont="1" applyBorder="1" applyAlignment="1">
      <alignment horizontal="left" indent="1"/>
    </xf>
    <xf numFmtId="2" fontId="49" fillId="0" borderId="36" xfId="7" applyNumberFormat="1" applyFont="1" applyBorder="1" applyAlignment="1">
      <alignment horizontal="left"/>
    </xf>
    <xf numFmtId="0" fontId="49" fillId="0" borderId="21" xfId="6" applyFont="1" applyBorder="1" applyAlignment="1">
      <alignment horizontal="left"/>
    </xf>
    <xf numFmtId="167" fontId="49" fillId="0" borderId="21" xfId="6" applyNumberFormat="1" applyFont="1" applyBorder="1" applyAlignment="1">
      <alignment horizontal="left"/>
    </xf>
    <xf numFmtId="9" fontId="55" fillId="0" borderId="0" xfId="7" applyFont="1" applyBorder="1" applyAlignment="1">
      <alignment horizontal="right"/>
    </xf>
    <xf numFmtId="0" fontId="55" fillId="0" borderId="39" xfId="6" applyFont="1" applyBorder="1" applyAlignment="1">
      <alignment horizontal="left"/>
    </xf>
    <xf numFmtId="167" fontId="55" fillId="0" borderId="39" xfId="6" applyNumberFormat="1" applyFont="1" applyBorder="1" applyAlignment="1">
      <alignment horizontal="left"/>
    </xf>
    <xf numFmtId="9" fontId="55" fillId="0" borderId="29" xfId="7" applyFont="1" applyBorder="1" applyAlignment="1">
      <alignment horizontal="right"/>
    </xf>
    <xf numFmtId="9" fontId="49" fillId="0" borderId="0" xfId="7" applyFont="1" applyBorder="1" applyAlignment="1">
      <alignment horizontal="right"/>
    </xf>
    <xf numFmtId="9" fontId="49" fillId="0" borderId="36" xfId="7" applyFont="1" applyBorder="1" applyAlignment="1">
      <alignment horizontal="right"/>
    </xf>
    <xf numFmtId="0" fontId="55" fillId="0" borderId="21" xfId="6" applyFont="1" applyBorder="1" applyAlignment="1">
      <alignment horizontal="left"/>
    </xf>
    <xf numFmtId="167" fontId="55" fillId="0" borderId="21" xfId="6" applyNumberFormat="1" applyFont="1" applyBorder="1" applyAlignment="1">
      <alignment horizontal="left"/>
    </xf>
    <xf numFmtId="9" fontId="49" fillId="0" borderId="22" xfId="7" applyFont="1" applyBorder="1" applyAlignment="1">
      <alignment horizontal="right"/>
    </xf>
    <xf numFmtId="167" fontId="49" fillId="0" borderId="21" xfId="7" applyNumberFormat="1" applyFont="1" applyBorder="1" applyAlignment="1">
      <alignment horizontal="left" indent="1"/>
    </xf>
    <xf numFmtId="0" fontId="49" fillId="0" borderId="40" xfId="6" applyFont="1" applyBorder="1" applyAlignment="1">
      <alignment horizontal="right" indent="1"/>
    </xf>
    <xf numFmtId="167" fontId="49" fillId="0" borderId="39" xfId="6" applyNumberFormat="1" applyFont="1" applyBorder="1" applyAlignment="1">
      <alignment horizontal="left" indent="1"/>
    </xf>
    <xf numFmtId="9" fontId="49" fillId="0" borderId="36" xfId="6" applyNumberFormat="1" applyFont="1" applyBorder="1" applyAlignment="1">
      <alignment horizontal="left" indent="1"/>
    </xf>
    <xf numFmtId="9" fontId="49" fillId="0" borderId="36" xfId="6" applyNumberFormat="1" applyFont="1" applyBorder="1" applyAlignment="1">
      <alignment horizontal="left"/>
    </xf>
    <xf numFmtId="0" fontId="49" fillId="0" borderId="36" xfId="6" applyFont="1" applyBorder="1" applyAlignment="1">
      <alignment horizontal="left"/>
    </xf>
    <xf numFmtId="167" fontId="49" fillId="0" borderId="36" xfId="6" applyNumberFormat="1" applyFont="1" applyBorder="1" applyAlignment="1">
      <alignment horizontal="left" indent="1"/>
    </xf>
    <xf numFmtId="0" fontId="58" fillId="0" borderId="27" xfId="6" applyFont="1" applyBorder="1" applyAlignment="1">
      <alignment horizontal="right"/>
    </xf>
    <xf numFmtId="0" fontId="28" fillId="0" borderId="7" xfId="6" applyFont="1" applyBorder="1" applyAlignment="1">
      <alignment horizontal="left" vertical="top" wrapText="1"/>
    </xf>
    <xf numFmtId="167" fontId="49" fillId="0" borderId="23" xfId="6" applyNumberFormat="1" applyFont="1" applyBorder="1" applyAlignment="1">
      <alignment horizontal="left"/>
    </xf>
    <xf numFmtId="9" fontId="49" fillId="0" borderId="23" xfId="7" applyFont="1" applyBorder="1" applyAlignment="1">
      <alignment horizontal="left"/>
    </xf>
    <xf numFmtId="2" fontId="49" fillId="0" borderId="21" xfId="6" applyNumberFormat="1" applyFont="1" applyBorder="1" applyAlignment="1">
      <alignment horizontal="left"/>
    </xf>
    <xf numFmtId="0" fontId="28" fillId="0" borderId="0" xfId="6" applyFont="1" applyAlignment="1">
      <alignment horizontal="left"/>
    </xf>
    <xf numFmtId="0" fontId="36" fillId="0" borderId="6" xfId="6" applyFont="1" applyBorder="1" applyAlignment="1">
      <alignment horizontal="left" vertical="top"/>
    </xf>
    <xf numFmtId="0" fontId="28" fillId="0" borderId="22" xfId="6" applyFont="1" applyBorder="1" applyAlignment="1">
      <alignment horizontal="left"/>
    </xf>
    <xf numFmtId="2" fontId="49" fillId="0" borderId="22" xfId="3" applyNumberFormat="1" applyFont="1" applyBorder="1" applyAlignment="1">
      <alignment horizontal="left"/>
    </xf>
    <xf numFmtId="9" fontId="36" fillId="0" borderId="31" xfId="7" applyFont="1" applyBorder="1" applyAlignment="1">
      <alignment horizontal="left"/>
    </xf>
    <xf numFmtId="0" fontId="55" fillId="0" borderId="0" xfId="6" applyFont="1" applyAlignment="1">
      <alignment horizontal="right"/>
    </xf>
    <xf numFmtId="0" fontId="74" fillId="0" borderId="0" xfId="6" applyFont="1" applyAlignment="1">
      <alignment horizontal="left"/>
    </xf>
    <xf numFmtId="0" fontId="49" fillId="0" borderId="35" xfId="6" applyFont="1" applyBorder="1" applyAlignment="1">
      <alignment horizontal="right"/>
    </xf>
    <xf numFmtId="167" fontId="55" fillId="0" borderId="0" xfId="6" applyNumberFormat="1" applyFont="1" applyAlignment="1">
      <alignment horizontal="left"/>
    </xf>
    <xf numFmtId="1" fontId="49" fillId="0" borderId="35" xfId="6" applyNumberFormat="1" applyFont="1" applyBorder="1" applyAlignment="1">
      <alignment horizontal="left"/>
    </xf>
    <xf numFmtId="167" fontId="34" fillId="0" borderId="0" xfId="6" applyNumberFormat="1" applyFont="1" applyAlignment="1">
      <alignment horizontal="left"/>
    </xf>
    <xf numFmtId="167" fontId="49" fillId="0" borderId="27" xfId="3" applyNumberFormat="1" applyFont="1" applyBorder="1" applyAlignment="1">
      <alignment horizontal="left"/>
    </xf>
    <xf numFmtId="167" fontId="49" fillId="0" borderId="0" xfId="7" applyNumberFormat="1" applyFont="1" applyBorder="1" applyAlignment="1">
      <alignment horizontal="left"/>
    </xf>
    <xf numFmtId="2" fontId="36" fillId="0" borderId="29" xfId="6" applyNumberFormat="1" applyFont="1" applyBorder="1" applyAlignment="1">
      <alignment horizontal="left"/>
    </xf>
    <xf numFmtId="2" fontId="36" fillId="0" borderId="22" xfId="6" applyNumberFormat="1" applyFont="1" applyBorder="1" applyAlignment="1">
      <alignment horizontal="left"/>
    </xf>
    <xf numFmtId="1" fontId="49" fillId="0" borderId="0" xfId="6" applyNumberFormat="1" applyFont="1" applyAlignment="1">
      <alignment horizontal="left"/>
    </xf>
    <xf numFmtId="9" fontId="58" fillId="0" borderId="0" xfId="3" applyFont="1" applyBorder="1" applyAlignment="1">
      <alignment horizontal="left"/>
    </xf>
    <xf numFmtId="9" fontId="58" fillId="0" borderId="36" xfId="3" applyFont="1" applyBorder="1" applyAlignment="1">
      <alignment horizontal="left"/>
    </xf>
    <xf numFmtId="0" fontId="94" fillId="0" borderId="22" xfId="6" applyFont="1" applyBorder="1" applyAlignment="1">
      <alignment horizontal="left"/>
    </xf>
    <xf numFmtId="0" fontId="94" fillId="0" borderId="0" xfId="6" applyFont="1" applyBorder="1" applyAlignment="1">
      <alignment horizontal="right"/>
    </xf>
    <xf numFmtId="0" fontId="94" fillId="0" borderId="0" xfId="6" applyFont="1" applyBorder="1" applyAlignment="1">
      <alignment horizontal="left"/>
    </xf>
    <xf numFmtId="0" fontId="103" fillId="0" borderId="5" xfId="6" applyFont="1" applyBorder="1" applyAlignment="1">
      <alignment horizontal="left"/>
    </xf>
    <xf numFmtId="0" fontId="72" fillId="0" borderId="5" xfId="6" applyFont="1" applyBorder="1" applyAlignment="1">
      <alignment horizontal="left"/>
    </xf>
    <xf numFmtId="0" fontId="72" fillId="0" borderId="29" xfId="6" applyFont="1" applyBorder="1" applyAlignment="1">
      <alignment horizontal="left"/>
    </xf>
    <xf numFmtId="0" fontId="72" fillId="0" borderId="5" xfId="6" applyFont="1" applyBorder="1" applyAlignment="1">
      <alignment horizontal="right"/>
    </xf>
    <xf numFmtId="0" fontId="72" fillId="0" borderId="0" xfId="6" applyFont="1" applyAlignment="1">
      <alignment horizontal="left"/>
    </xf>
    <xf numFmtId="0" fontId="72" fillId="0" borderId="22" xfId="6" applyFont="1" applyBorder="1" applyAlignment="1">
      <alignment horizontal="left"/>
    </xf>
    <xf numFmtId="2" fontId="72" fillId="0" borderId="0" xfId="6" applyNumberFormat="1" applyFont="1" applyAlignment="1">
      <alignment horizontal="left"/>
    </xf>
    <xf numFmtId="0" fontId="72" fillId="0" borderId="35" xfId="6" applyFont="1" applyBorder="1" applyAlignment="1">
      <alignment horizontal="right"/>
    </xf>
    <xf numFmtId="0" fontId="72" fillId="0" borderId="35" xfId="6" applyFont="1" applyBorder="1" applyAlignment="1">
      <alignment horizontal="left"/>
    </xf>
    <xf numFmtId="0" fontId="72" fillId="0" borderId="0" xfId="6" applyFont="1" applyAlignment="1">
      <alignment horizontal="right"/>
    </xf>
    <xf numFmtId="1" fontId="72" fillId="0" borderId="0" xfId="6" applyNumberFormat="1" applyFont="1" applyAlignment="1">
      <alignment horizontal="left"/>
    </xf>
    <xf numFmtId="1" fontId="72" fillId="0" borderId="35" xfId="6" applyNumberFormat="1" applyFont="1" applyBorder="1" applyAlignment="1">
      <alignment horizontal="left"/>
    </xf>
    <xf numFmtId="164" fontId="72" fillId="0" borderId="0" xfId="6" applyNumberFormat="1" applyFont="1" applyAlignment="1">
      <alignment horizontal="right"/>
    </xf>
    <xf numFmtId="2" fontId="49" fillId="0" borderId="36" xfId="3" applyNumberFormat="1" applyFont="1" applyBorder="1" applyAlignment="1">
      <alignment horizontal="left"/>
    </xf>
    <xf numFmtId="0" fontId="72" fillId="0" borderId="0" xfId="0" applyFont="1" applyFill="1" applyAlignment="1">
      <alignment horizontal="left"/>
    </xf>
    <xf numFmtId="0" fontId="68" fillId="0" borderId="0" xfId="0" applyFont="1" applyAlignment="1">
      <alignment horizontal="left"/>
    </xf>
    <xf numFmtId="1" fontId="51" fillId="0" borderId="0" xfId="0" applyNumberFormat="1" applyFont="1" applyAlignment="1">
      <alignment horizontal="left"/>
    </xf>
    <xf numFmtId="3" fontId="55" fillId="0" borderId="0" xfId="0" applyNumberFormat="1" applyFont="1" applyAlignment="1">
      <alignment horizontal="left"/>
    </xf>
    <xf numFmtId="3" fontId="55" fillId="0" borderId="0" xfId="0" applyNumberFormat="1" applyFont="1" applyAlignment="1">
      <alignment horizontal="left" wrapText="1"/>
    </xf>
    <xf numFmtId="0" fontId="36" fillId="0" borderId="12" xfId="0" applyFont="1" applyBorder="1"/>
    <xf numFmtId="0" fontId="36" fillId="0" borderId="0" xfId="0" applyFont="1" applyBorder="1" applyAlignment="1">
      <alignment horizontal="left"/>
    </xf>
    <xf numFmtId="9" fontId="47" fillId="0" borderId="0" xfId="3" applyFont="1" applyAlignment="1">
      <alignment horizontal="left"/>
    </xf>
    <xf numFmtId="0" fontId="36" fillId="0" borderId="12" xfId="0" applyFont="1" applyBorder="1" applyAlignment="1">
      <alignment horizontal="left"/>
    </xf>
    <xf numFmtId="1" fontId="36" fillId="0" borderId="0" xfId="0" applyNumberFormat="1" applyFont="1" applyBorder="1" applyAlignment="1">
      <alignment horizontal="left"/>
    </xf>
    <xf numFmtId="10" fontId="36" fillId="0" borderId="0" xfId="3" applyNumberFormat="1" applyFont="1" applyBorder="1" applyAlignment="1">
      <alignment horizontal="left"/>
    </xf>
    <xf numFmtId="1" fontId="0" fillId="0" borderId="0" xfId="0" applyNumberFormat="1" applyBorder="1" applyAlignment="1">
      <alignment horizontal="left"/>
    </xf>
    <xf numFmtId="9" fontId="0" fillId="0" borderId="0" xfId="3" applyFont="1" applyBorder="1" applyAlignment="1">
      <alignment horizontal="left"/>
    </xf>
    <xf numFmtId="9" fontId="0" fillId="0" borderId="15" xfId="3" applyFont="1" applyBorder="1" applyAlignment="1">
      <alignment horizontal="left"/>
    </xf>
    <xf numFmtId="0" fontId="40" fillId="0" borderId="11" xfId="0" applyFont="1" applyBorder="1" applyAlignment="1">
      <alignment horizontal="left"/>
    </xf>
    <xf numFmtId="0" fontId="0" fillId="0" borderId="14" xfId="0" applyBorder="1" applyAlignment="1">
      <alignment horizontal="left"/>
    </xf>
    <xf numFmtId="1" fontId="36" fillId="0" borderId="13" xfId="0" applyNumberFormat="1" applyFont="1" applyBorder="1" applyAlignment="1">
      <alignment horizontal="left"/>
    </xf>
    <xf numFmtId="1" fontId="36" fillId="0" borderId="14" xfId="0" applyNumberFormat="1" applyFont="1" applyBorder="1" applyAlignment="1">
      <alignment horizontal="left"/>
    </xf>
    <xf numFmtId="10" fontId="36" fillId="0" borderId="14" xfId="3" applyNumberFormat="1" applyFont="1" applyBorder="1" applyAlignment="1">
      <alignment horizontal="left"/>
    </xf>
    <xf numFmtId="1" fontId="36" fillId="0" borderId="14" xfId="0" applyNumberFormat="1" applyFont="1" applyFill="1" applyBorder="1" applyAlignment="1">
      <alignment horizontal="left"/>
    </xf>
    <xf numFmtId="1" fontId="0" fillId="0" borderId="14" xfId="0" applyNumberFormat="1" applyBorder="1" applyAlignment="1">
      <alignment horizontal="left"/>
    </xf>
    <xf numFmtId="9" fontId="0" fillId="0" borderId="14" xfId="3" applyFont="1" applyBorder="1" applyAlignment="1">
      <alignment horizontal="left"/>
    </xf>
    <xf numFmtId="1" fontId="74" fillId="0" borderId="13" xfId="0" applyNumberFormat="1" applyFont="1" applyBorder="1" applyAlignment="1">
      <alignment horizontal="left"/>
    </xf>
    <xf numFmtId="9" fontId="0" fillId="0" borderId="9" xfId="3" applyFont="1" applyBorder="1" applyAlignment="1">
      <alignment horizontal="left"/>
    </xf>
    <xf numFmtId="9" fontId="0" fillId="0" borderId="9" xfId="0" applyNumberFormat="1" applyBorder="1" applyAlignment="1">
      <alignment horizontal="center"/>
    </xf>
    <xf numFmtId="0" fontId="37" fillId="0" borderId="0" xfId="0" applyFont="1" applyFill="1" applyAlignment="1">
      <alignment horizontal="left"/>
    </xf>
    <xf numFmtId="14" fontId="0" fillId="0" borderId="0" xfId="0" applyNumberFormat="1" applyFill="1" applyAlignment="1">
      <alignment horizontal="left"/>
    </xf>
    <xf numFmtId="9" fontId="0" fillId="0" borderId="0" xfId="0" applyNumberFormat="1" applyFill="1" applyAlignment="1">
      <alignment horizontal="left"/>
    </xf>
    <xf numFmtId="1" fontId="74" fillId="0" borderId="0" xfId="0" applyNumberFormat="1" applyFont="1" applyBorder="1" applyAlignment="1">
      <alignment horizontal="left"/>
    </xf>
    <xf numFmtId="1" fontId="56" fillId="0" borderId="0" xfId="0" applyNumberFormat="1" applyFont="1" applyBorder="1" applyAlignment="1">
      <alignment horizontal="left"/>
    </xf>
    <xf numFmtId="9" fontId="37" fillId="0" borderId="0" xfId="0" applyNumberFormat="1" applyFont="1" applyBorder="1" applyAlignment="1">
      <alignment horizontal="center"/>
    </xf>
    <xf numFmtId="9" fontId="0" fillId="0" borderId="15" xfId="0" applyNumberFormat="1" applyBorder="1" applyAlignment="1">
      <alignment horizontal="center"/>
    </xf>
    <xf numFmtId="9" fontId="0" fillId="0" borderId="0" xfId="0" applyNumberFormat="1" applyBorder="1" applyAlignment="1">
      <alignment horizontal="center"/>
    </xf>
    <xf numFmtId="0" fontId="55" fillId="0" borderId="38" xfId="0" applyFont="1" applyBorder="1" applyAlignment="1">
      <alignment horizontal="left"/>
    </xf>
    <xf numFmtId="0" fontId="55" fillId="0" borderId="38" xfId="0" applyFont="1" applyBorder="1" applyAlignment="1">
      <alignment horizontal="left" wrapText="1"/>
    </xf>
    <xf numFmtId="0" fontId="46" fillId="0" borderId="0" xfId="0" applyFont="1"/>
    <xf numFmtId="9" fontId="0" fillId="0" borderId="34" xfId="3" applyFont="1" applyFill="1" applyBorder="1" applyAlignment="1">
      <alignment horizontal="left"/>
    </xf>
    <xf numFmtId="9" fontId="0" fillId="0" borderId="35" xfId="3" applyFont="1" applyFill="1" applyBorder="1" applyAlignment="1">
      <alignment horizontal="left"/>
    </xf>
    <xf numFmtId="9" fontId="0" fillId="0" borderId="41" xfId="3" applyFont="1" applyFill="1" applyBorder="1" applyAlignment="1">
      <alignment horizontal="left"/>
    </xf>
    <xf numFmtId="9" fontId="0" fillId="0" borderId="36" xfId="3" applyFont="1" applyFill="1" applyBorder="1" applyAlignment="1">
      <alignment horizontal="left"/>
    </xf>
    <xf numFmtId="9" fontId="0" fillId="0" borderId="0" xfId="3" applyFont="1" applyFill="1" applyBorder="1" applyAlignment="1">
      <alignment horizontal="left"/>
    </xf>
    <xf numFmtId="9" fontId="0" fillId="0" borderId="42" xfId="3" applyFont="1" applyFill="1" applyBorder="1" applyAlignment="1">
      <alignment horizontal="left"/>
    </xf>
    <xf numFmtId="9" fontId="0" fillId="0" borderId="34" xfId="3" applyFont="1" applyBorder="1" applyAlignment="1">
      <alignment horizontal="left"/>
    </xf>
    <xf numFmtId="9" fontId="0" fillId="0" borderId="35" xfId="3" applyFont="1" applyBorder="1" applyAlignment="1">
      <alignment horizontal="left"/>
    </xf>
    <xf numFmtId="9" fontId="0" fillId="0" borderId="41" xfId="3" applyFont="1" applyBorder="1" applyAlignment="1">
      <alignment horizontal="left"/>
    </xf>
    <xf numFmtId="9" fontId="0" fillId="0" borderId="36" xfId="3" applyFont="1" applyBorder="1" applyAlignment="1">
      <alignment horizontal="left"/>
    </xf>
    <xf numFmtId="9" fontId="0" fillId="0" borderId="42" xfId="3" applyFont="1" applyBorder="1" applyAlignment="1">
      <alignment horizontal="left"/>
    </xf>
    <xf numFmtId="9" fontId="0" fillId="0" borderId="0" xfId="3" applyNumberFormat="1" applyFont="1" applyAlignment="1">
      <alignment horizontal="left"/>
    </xf>
    <xf numFmtId="0" fontId="37" fillId="0" borderId="0" xfId="6" applyFont="1" applyFill="1" applyAlignment="1">
      <alignment horizontal="center" vertical="top"/>
    </xf>
    <xf numFmtId="9" fontId="34" fillId="0" borderId="6" xfId="6" applyNumberFormat="1" applyFont="1" applyBorder="1" applyAlignment="1">
      <alignment horizontal="left" vertical="top"/>
    </xf>
    <xf numFmtId="9" fontId="34" fillId="0" borderId="7" xfId="6" applyNumberFormat="1" applyFont="1" applyBorder="1" applyAlignment="1">
      <alignment horizontal="left" vertical="top"/>
    </xf>
    <xf numFmtId="9" fontId="34" fillId="0" borderId="8" xfId="6" applyNumberFormat="1" applyFont="1" applyBorder="1" applyAlignment="1">
      <alignment horizontal="left" vertical="top"/>
    </xf>
    <xf numFmtId="9" fontId="36" fillId="0" borderId="6" xfId="6" applyNumberFormat="1" applyFont="1" applyBorder="1" applyAlignment="1">
      <alignment horizontal="left" vertical="top"/>
    </xf>
    <xf numFmtId="9" fontId="36" fillId="0" borderId="7" xfId="6" applyNumberFormat="1" applyFont="1" applyBorder="1" applyAlignment="1">
      <alignment horizontal="left" vertical="top"/>
    </xf>
    <xf numFmtId="9" fontId="36" fillId="0" borderId="8" xfId="6" applyNumberFormat="1" applyFont="1" applyBorder="1" applyAlignment="1">
      <alignment horizontal="left" vertical="top"/>
    </xf>
    <xf numFmtId="9" fontId="36" fillId="0" borderId="6" xfId="7" applyNumberFormat="1" applyFont="1" applyBorder="1" applyAlignment="1">
      <alignment horizontal="left" vertical="top"/>
    </xf>
    <xf numFmtId="9" fontId="36" fillId="0" borderId="7" xfId="7" applyNumberFormat="1" applyFont="1" applyBorder="1" applyAlignment="1">
      <alignment horizontal="left" vertical="top"/>
    </xf>
    <xf numFmtId="9" fontId="36" fillId="0" borderId="8" xfId="7" applyNumberFormat="1" applyFont="1" applyBorder="1" applyAlignment="1">
      <alignment horizontal="left" vertical="top"/>
    </xf>
    <xf numFmtId="9" fontId="61" fillId="0" borderId="7" xfId="6" applyNumberFormat="1" applyFont="1" applyBorder="1" applyAlignment="1">
      <alignment horizontal="left" vertical="top"/>
    </xf>
    <xf numFmtId="9" fontId="61" fillId="0" borderId="8" xfId="6" applyNumberFormat="1" applyFont="1" applyBorder="1" applyAlignment="1">
      <alignment horizontal="left" vertical="top"/>
    </xf>
    <xf numFmtId="0" fontId="34" fillId="0" borderId="6" xfId="6" applyFont="1" applyBorder="1" applyAlignment="1">
      <alignment horizontal="left" vertical="top"/>
    </xf>
    <xf numFmtId="9" fontId="36" fillId="0" borderId="3" xfId="6" applyNumberFormat="1" applyFont="1" applyFill="1" applyBorder="1" applyAlignment="1">
      <alignment horizontal="left" vertical="top"/>
    </xf>
    <xf numFmtId="9" fontId="40" fillId="0" borderId="3" xfId="6" applyNumberFormat="1" applyFont="1" applyFill="1" applyBorder="1" applyAlignment="1">
      <alignment horizontal="left" vertical="top"/>
    </xf>
    <xf numFmtId="167" fontId="34" fillId="0" borderId="3" xfId="6" applyNumberFormat="1" applyFont="1" applyBorder="1" applyAlignment="1">
      <alignment horizontal="left" vertical="top"/>
    </xf>
    <xf numFmtId="0" fontId="68" fillId="0" borderId="0" xfId="6" applyFont="1" applyAlignment="1">
      <alignment horizontal="left" vertical="top"/>
    </xf>
    <xf numFmtId="0" fontId="108" fillId="0" borderId="0" xfId="6" applyFont="1" applyAlignment="1">
      <alignment horizontal="left" vertical="top"/>
    </xf>
    <xf numFmtId="167" fontId="0" fillId="0" borderId="0" xfId="3" applyNumberFormat="1" applyFont="1" applyAlignment="1">
      <alignment horizontal="left"/>
    </xf>
    <xf numFmtId="0" fontId="29" fillId="0" borderId="6" xfId="6" applyFont="1" applyBorder="1" applyAlignment="1">
      <alignment horizontal="left" vertical="top"/>
    </xf>
    <xf numFmtId="11" fontId="36" fillId="0" borderId="6" xfId="6" applyNumberFormat="1" applyFont="1" applyBorder="1" applyAlignment="1">
      <alignment horizontal="left" vertical="top"/>
    </xf>
    <xf numFmtId="9" fontId="34" fillId="0" borderId="6" xfId="3" applyFont="1" applyBorder="1" applyAlignment="1">
      <alignment horizontal="left" vertical="top"/>
    </xf>
    <xf numFmtId="9" fontId="34" fillId="0" borderId="7" xfId="3" applyFont="1" applyBorder="1" applyAlignment="1">
      <alignment horizontal="left" vertical="top"/>
    </xf>
    <xf numFmtId="9" fontId="34" fillId="0" borderId="8" xfId="3" applyFont="1" applyBorder="1" applyAlignment="1">
      <alignment horizontal="left" vertical="top"/>
    </xf>
    <xf numFmtId="0" fontId="34" fillId="0" borderId="10" xfId="6" applyFont="1" applyFill="1" applyBorder="1" applyAlignment="1">
      <alignment horizontal="left" vertical="top"/>
    </xf>
    <xf numFmtId="0" fontId="32" fillId="0" borderId="5" xfId="6" applyFont="1" applyFill="1" applyBorder="1" applyAlignment="1">
      <alignment horizontal="left" wrapText="1"/>
    </xf>
    <xf numFmtId="9" fontId="49" fillId="0" borderId="6" xfId="3" applyFont="1" applyBorder="1" applyAlignment="1">
      <alignment horizontal="left" vertical="top"/>
    </xf>
    <xf numFmtId="9" fontId="49" fillId="0" borderId="7" xfId="3" applyFont="1" applyBorder="1" applyAlignment="1">
      <alignment horizontal="left" vertical="top"/>
    </xf>
    <xf numFmtId="9" fontId="49" fillId="0" borderId="8" xfId="3" applyFont="1" applyBorder="1" applyAlignment="1">
      <alignment horizontal="left" vertical="top"/>
    </xf>
    <xf numFmtId="9" fontId="61" fillId="0" borderId="6" xfId="3" applyFont="1" applyBorder="1" applyAlignment="1">
      <alignment horizontal="left" vertical="top"/>
    </xf>
    <xf numFmtId="9" fontId="61" fillId="0" borderId="7" xfId="3" applyFont="1" applyBorder="1" applyAlignment="1">
      <alignment horizontal="left" vertical="top"/>
    </xf>
    <xf numFmtId="9" fontId="61" fillId="0" borderId="8" xfId="3" applyFont="1" applyBorder="1" applyAlignment="1">
      <alignment horizontal="left" vertical="top"/>
    </xf>
    <xf numFmtId="9" fontId="70" fillId="0" borderId="36" xfId="3" applyFont="1" applyBorder="1" applyAlignment="1">
      <alignment horizontal="left"/>
    </xf>
    <xf numFmtId="0" fontId="49" fillId="0" borderId="6" xfId="6" applyFont="1" applyBorder="1" applyAlignment="1">
      <alignment horizontal="left" vertical="top"/>
    </xf>
    <xf numFmtId="0" fontId="49" fillId="0" borderId="8" xfId="6" applyFont="1" applyBorder="1" applyAlignment="1">
      <alignment horizontal="left" vertical="top"/>
    </xf>
    <xf numFmtId="9" fontId="58" fillId="0" borderId="3" xfId="6" applyNumberFormat="1" applyFont="1" applyFill="1" applyBorder="1" applyAlignment="1">
      <alignment horizontal="center" vertical="top"/>
    </xf>
    <xf numFmtId="3" fontId="74" fillId="0" borderId="0" xfId="0" applyNumberFormat="1" applyFont="1" applyAlignment="1">
      <alignment horizontal="left"/>
    </xf>
    <xf numFmtId="1" fontId="36" fillId="0" borderId="44" xfId="0" applyNumberFormat="1" applyFont="1" applyFill="1" applyBorder="1" applyAlignment="1">
      <alignment horizontal="left"/>
    </xf>
    <xf numFmtId="1" fontId="40" fillId="0" borderId="45" xfId="0" applyNumberFormat="1" applyFont="1" applyFill="1" applyBorder="1" applyAlignment="1">
      <alignment horizontal="left"/>
    </xf>
    <xf numFmtId="1" fontId="36" fillId="0" borderId="45" xfId="0" applyNumberFormat="1" applyFont="1" applyFill="1" applyBorder="1" applyAlignment="1">
      <alignment horizontal="left"/>
    </xf>
    <xf numFmtId="1" fontId="36" fillId="0" borderId="46" xfId="0" applyNumberFormat="1" applyFont="1" applyFill="1" applyBorder="1" applyAlignment="1">
      <alignment horizontal="left"/>
    </xf>
    <xf numFmtId="2" fontId="36" fillId="0" borderId="47" xfId="0" applyNumberFormat="1" applyFont="1" applyFill="1" applyBorder="1" applyAlignment="1">
      <alignment horizontal="left" vertical="top"/>
    </xf>
    <xf numFmtId="2" fontId="40" fillId="0" borderId="5" xfId="0" applyNumberFormat="1" applyFont="1" applyFill="1" applyBorder="1" applyAlignment="1">
      <alignment horizontal="left" vertical="top"/>
    </xf>
    <xf numFmtId="2" fontId="36" fillId="0" borderId="5" xfId="0" applyNumberFormat="1" applyFont="1" applyFill="1" applyBorder="1" applyAlignment="1">
      <alignment horizontal="left" vertical="top"/>
    </xf>
    <xf numFmtId="2" fontId="36" fillId="0" borderId="29" xfId="0" applyNumberFormat="1" applyFont="1" applyFill="1" applyBorder="1" applyAlignment="1">
      <alignment horizontal="left" vertical="top"/>
    </xf>
    <xf numFmtId="2" fontId="36" fillId="0" borderId="48" xfId="0" applyNumberFormat="1" applyFont="1" applyFill="1" applyBorder="1" applyAlignment="1">
      <alignment horizontal="left" vertical="top"/>
    </xf>
    <xf numFmtId="2" fontId="40" fillId="0" borderId="49" xfId="0" applyNumberFormat="1" applyFont="1" applyFill="1" applyBorder="1" applyAlignment="1">
      <alignment horizontal="left" vertical="top"/>
    </xf>
    <xf numFmtId="2" fontId="40" fillId="0" borderId="0" xfId="0" applyNumberFormat="1" applyFont="1" applyFill="1" applyBorder="1" applyAlignment="1">
      <alignment horizontal="left" vertical="top"/>
    </xf>
    <xf numFmtId="2" fontId="40" fillId="0" borderId="22" xfId="0" applyNumberFormat="1" applyFont="1" applyFill="1" applyBorder="1" applyAlignment="1">
      <alignment horizontal="left" vertical="top"/>
    </xf>
    <xf numFmtId="2" fontId="40" fillId="0" borderId="50" xfId="0" applyNumberFormat="1" applyFont="1" applyFill="1" applyBorder="1" applyAlignment="1">
      <alignment horizontal="left" vertical="top"/>
    </xf>
    <xf numFmtId="2" fontId="36" fillId="0" borderId="49" xfId="0" applyNumberFormat="1" applyFont="1" applyFill="1" applyBorder="1" applyAlignment="1">
      <alignment horizontal="left" vertical="top"/>
    </xf>
    <xf numFmtId="2" fontId="36" fillId="0" borderId="0" xfId="0" applyNumberFormat="1" applyFont="1" applyFill="1" applyBorder="1" applyAlignment="1">
      <alignment horizontal="left" vertical="top"/>
    </xf>
    <xf numFmtId="2" fontId="36" fillId="0" borderId="22" xfId="0" applyNumberFormat="1" applyFont="1" applyFill="1" applyBorder="1" applyAlignment="1">
      <alignment horizontal="left" vertical="top"/>
    </xf>
    <xf numFmtId="2" fontId="36" fillId="0" borderId="50" xfId="0" applyNumberFormat="1" applyFont="1" applyFill="1" applyBorder="1" applyAlignment="1">
      <alignment horizontal="left" vertical="top"/>
    </xf>
    <xf numFmtId="2" fontId="49" fillId="0" borderId="49" xfId="0" applyNumberFormat="1" applyFont="1" applyFill="1" applyBorder="1" applyAlignment="1">
      <alignment horizontal="left" vertical="top"/>
    </xf>
    <xf numFmtId="2" fontId="49" fillId="0" borderId="0" xfId="0" applyNumberFormat="1" applyFont="1" applyFill="1" applyBorder="1" applyAlignment="1">
      <alignment horizontal="left" vertical="top"/>
    </xf>
    <xf numFmtId="2" fontId="49" fillId="0" borderId="22" xfId="0" applyNumberFormat="1" applyFont="1" applyFill="1" applyBorder="1" applyAlignment="1">
      <alignment horizontal="left" vertical="top"/>
    </xf>
    <xf numFmtId="2" fontId="49" fillId="0" borderId="50" xfId="0" applyNumberFormat="1" applyFont="1" applyFill="1" applyBorder="1" applyAlignment="1">
      <alignment horizontal="left" vertical="top"/>
    </xf>
    <xf numFmtId="2" fontId="49" fillId="0" borderId="51" xfId="0" applyNumberFormat="1" applyFont="1" applyFill="1" applyBorder="1" applyAlignment="1">
      <alignment horizontal="left" vertical="top"/>
    </xf>
    <xf numFmtId="2" fontId="40" fillId="0" borderId="14" xfId="0" applyNumberFormat="1" applyFont="1" applyFill="1" applyBorder="1" applyAlignment="1">
      <alignment horizontal="left" vertical="top"/>
    </xf>
    <xf numFmtId="2" fontId="49" fillId="0" borderId="14" xfId="0" applyNumberFormat="1" applyFont="1" applyFill="1" applyBorder="1" applyAlignment="1">
      <alignment horizontal="left" vertical="top"/>
    </xf>
    <xf numFmtId="2" fontId="49" fillId="0" borderId="28" xfId="0" applyNumberFormat="1" applyFont="1" applyFill="1" applyBorder="1" applyAlignment="1">
      <alignment horizontal="left" vertical="top"/>
    </xf>
    <xf numFmtId="2" fontId="49" fillId="0" borderId="52" xfId="0" applyNumberFormat="1" applyFont="1" applyFill="1" applyBorder="1" applyAlignment="1">
      <alignment horizontal="left" vertical="top"/>
    </xf>
    <xf numFmtId="1" fontId="36" fillId="0" borderId="49" xfId="0" applyNumberFormat="1" applyFont="1" applyFill="1" applyBorder="1" applyAlignment="1">
      <alignment horizontal="left"/>
    </xf>
    <xf numFmtId="1" fontId="36" fillId="0" borderId="50" xfId="0" applyNumberFormat="1" applyFont="1" applyFill="1" applyBorder="1" applyAlignment="1">
      <alignment horizontal="left"/>
    </xf>
    <xf numFmtId="2" fontId="49" fillId="0" borderId="53" xfId="0" applyNumberFormat="1" applyFont="1" applyFill="1" applyBorder="1" applyAlignment="1">
      <alignment horizontal="left" vertical="top"/>
    </xf>
    <xf numFmtId="2" fontId="40" fillId="0" borderId="54" xfId="0" applyNumberFormat="1" applyFont="1" applyFill="1" applyBorder="1" applyAlignment="1">
      <alignment horizontal="left" vertical="top"/>
    </xf>
    <xf numFmtId="2" fontId="49" fillId="0" borderId="54" xfId="0" applyNumberFormat="1" applyFont="1" applyFill="1" applyBorder="1" applyAlignment="1">
      <alignment horizontal="left" vertical="top"/>
    </xf>
    <xf numFmtId="2" fontId="49" fillId="0" borderId="55" xfId="0" applyNumberFormat="1" applyFont="1" applyFill="1" applyBorder="1" applyAlignment="1">
      <alignment horizontal="left" vertical="top"/>
    </xf>
    <xf numFmtId="2" fontId="49" fillId="0" borderId="56" xfId="0" applyNumberFormat="1" applyFont="1" applyFill="1" applyBorder="1" applyAlignment="1">
      <alignment horizontal="left" vertical="top"/>
    </xf>
    <xf numFmtId="9" fontId="34" fillId="0" borderId="0" xfId="6" applyNumberFormat="1" applyFont="1" applyBorder="1" applyAlignment="1">
      <alignment horizontal="left" vertical="top"/>
    </xf>
    <xf numFmtId="0" fontId="28" fillId="0" borderId="0" xfId="6" applyFont="1" applyBorder="1" applyAlignment="1">
      <alignment horizontal="left" vertical="top" wrapText="1"/>
    </xf>
    <xf numFmtId="0" fontId="28" fillId="0" borderId="0" xfId="6" applyFont="1" applyBorder="1" applyAlignment="1">
      <alignment horizontal="left" vertical="top"/>
    </xf>
    <xf numFmtId="0" fontId="26" fillId="0" borderId="0" xfId="6" applyNumberFormat="1" applyFont="1" applyAlignment="1">
      <alignment horizontal="left" vertical="top" wrapText="1"/>
    </xf>
    <xf numFmtId="0" fontId="0" fillId="7" borderId="0" xfId="0" applyFill="1"/>
    <xf numFmtId="0" fontId="37" fillId="0" borderId="0" xfId="0" applyFont="1" applyFill="1" applyBorder="1" applyAlignment="1">
      <alignment horizontal="left"/>
    </xf>
    <xf numFmtId="0" fontId="109" fillId="0" borderId="0" xfId="0" applyFont="1" applyFill="1"/>
    <xf numFmtId="9" fontId="36" fillId="0" borderId="0" xfId="0" applyNumberFormat="1" applyFont="1" applyFill="1"/>
    <xf numFmtId="0" fontId="36" fillId="0" borderId="10" xfId="0" applyFont="1" applyFill="1" applyBorder="1" applyAlignment="1">
      <alignment horizontal="left" vertical="top"/>
    </xf>
    <xf numFmtId="0" fontId="37" fillId="0" borderId="0" xfId="0" applyFont="1" applyFill="1" applyBorder="1" applyAlignment="1">
      <alignment horizontal="left" vertical="top"/>
    </xf>
    <xf numFmtId="173" fontId="37" fillId="7" borderId="0" xfId="0" applyNumberFormat="1" applyFont="1" applyFill="1" applyBorder="1"/>
    <xf numFmtId="173" fontId="36" fillId="7" borderId="0" xfId="0" applyNumberFormat="1" applyFont="1" applyFill="1"/>
    <xf numFmtId="0" fontId="36" fillId="0" borderId="6" xfId="0" applyFont="1" applyFill="1" applyBorder="1" applyAlignment="1">
      <alignment horizontal="left" vertical="top"/>
    </xf>
    <xf numFmtId="0" fontId="36" fillId="0" borderId="7" xfId="0" applyFont="1" applyFill="1" applyBorder="1" applyAlignment="1">
      <alignment horizontal="left" vertical="top"/>
    </xf>
    <xf numFmtId="0" fontId="72" fillId="0" borderId="0" xfId="0" applyFont="1" applyFill="1" applyBorder="1" applyAlignment="1">
      <alignment horizontal="left" vertical="top"/>
    </xf>
    <xf numFmtId="173" fontId="25" fillId="7" borderId="0" xfId="0" applyNumberFormat="1" applyFont="1" applyFill="1" applyBorder="1"/>
    <xf numFmtId="173" fontId="36" fillId="7" borderId="0" xfId="0" applyNumberFormat="1" applyFont="1" applyFill="1" applyBorder="1" applyAlignment="1">
      <alignment horizontal="center"/>
    </xf>
    <xf numFmtId="173" fontId="36" fillId="7" borderId="0" xfId="0" applyNumberFormat="1" applyFont="1" applyFill="1" applyBorder="1"/>
    <xf numFmtId="173" fontId="25" fillId="7" borderId="0" xfId="0" applyNumberFormat="1" applyFont="1" applyFill="1"/>
    <xf numFmtId="0" fontId="37" fillId="0" borderId="2" xfId="0" applyFont="1" applyBorder="1"/>
    <xf numFmtId="9" fontId="36" fillId="0" borderId="44" xfId="0" applyNumberFormat="1" applyFont="1" applyFill="1" applyBorder="1" applyAlignment="1">
      <alignment horizontal="left" vertical="top"/>
    </xf>
    <xf numFmtId="9" fontId="36" fillId="0" borderId="67" xfId="0" applyNumberFormat="1" applyFont="1" applyFill="1" applyBorder="1" applyAlignment="1">
      <alignment horizontal="left" vertical="top"/>
    </xf>
    <xf numFmtId="9" fontId="36" fillId="0" borderId="49" xfId="0" applyNumberFormat="1" applyFont="1" applyFill="1" applyBorder="1" applyAlignment="1">
      <alignment horizontal="left" vertical="top"/>
    </xf>
    <xf numFmtId="9" fontId="36" fillId="0" borderId="68" xfId="0" applyNumberFormat="1" applyFont="1" applyFill="1" applyBorder="1" applyAlignment="1">
      <alignment horizontal="left" vertical="top"/>
    </xf>
    <xf numFmtId="9" fontId="36" fillId="3" borderId="49" xfId="0" applyNumberFormat="1" applyFont="1" applyFill="1" applyBorder="1" applyAlignment="1">
      <alignment horizontal="left" vertical="top"/>
    </xf>
    <xf numFmtId="9" fontId="36" fillId="3" borderId="68" xfId="0" applyNumberFormat="1" applyFont="1" applyFill="1" applyBorder="1" applyAlignment="1">
      <alignment horizontal="left" vertical="top"/>
    </xf>
    <xf numFmtId="9" fontId="36" fillId="0" borderId="53" xfId="0" applyNumberFormat="1" applyFont="1" applyFill="1" applyBorder="1" applyAlignment="1">
      <alignment horizontal="left" vertical="top"/>
    </xf>
    <xf numFmtId="9" fontId="36" fillId="0" borderId="69" xfId="0" applyNumberFormat="1" applyFont="1" applyFill="1" applyBorder="1" applyAlignment="1">
      <alignment horizontal="left" vertical="top"/>
    </xf>
    <xf numFmtId="0" fontId="36" fillId="0" borderId="48" xfId="0" applyFont="1" applyBorder="1"/>
    <xf numFmtId="0" fontId="0" fillId="0" borderId="50" xfId="0" applyBorder="1"/>
    <xf numFmtId="0" fontId="36" fillId="0" borderId="11" xfId="6" applyFont="1" applyFill="1" applyBorder="1" applyAlignment="1">
      <alignment horizontal="left" vertical="top"/>
    </xf>
    <xf numFmtId="0" fontId="36" fillId="0" borderId="50" xfId="6" applyFont="1" applyFill="1" applyBorder="1" applyAlignment="1">
      <alignment horizontal="left" vertical="top"/>
    </xf>
    <xf numFmtId="0" fontId="0" fillId="0" borderId="52" xfId="0" applyBorder="1"/>
    <xf numFmtId="0" fontId="37" fillId="6" borderId="6" xfId="0" applyFont="1" applyFill="1" applyBorder="1" applyAlignment="1">
      <alignment horizontal="left"/>
    </xf>
    <xf numFmtId="0" fontId="37" fillId="6" borderId="8" xfId="0" applyFont="1" applyFill="1" applyBorder="1" applyAlignment="1">
      <alignment horizontal="left"/>
    </xf>
    <xf numFmtId="0" fontId="37" fillId="13" borderId="6" xfId="0" applyFont="1" applyFill="1" applyBorder="1" applyAlignment="1">
      <alignment horizontal="left"/>
    </xf>
    <xf numFmtId="0" fontId="37" fillId="13" borderId="8" xfId="0" applyFont="1" applyFill="1" applyBorder="1" applyAlignment="1">
      <alignment horizontal="left"/>
    </xf>
    <xf numFmtId="0" fontId="36" fillId="0" borderId="70" xfId="0" applyFont="1" applyFill="1" applyBorder="1" applyAlignment="1">
      <alignment horizontal="left"/>
    </xf>
    <xf numFmtId="0" fontId="36" fillId="3" borderId="70" xfId="0" applyFont="1" applyFill="1" applyBorder="1"/>
    <xf numFmtId="0" fontId="0" fillId="0" borderId="70" xfId="0" applyFill="1" applyBorder="1" applyAlignment="1">
      <alignment horizontal="left"/>
    </xf>
    <xf numFmtId="9" fontId="0" fillId="0" borderId="44" xfId="0" applyNumberFormat="1" applyFill="1" applyBorder="1" applyAlignment="1">
      <alignment horizontal="left"/>
    </xf>
    <xf numFmtId="9" fontId="0" fillId="0" borderId="45" xfId="0" applyNumberFormat="1" applyFill="1" applyBorder="1" applyAlignment="1">
      <alignment horizontal="left"/>
    </xf>
    <xf numFmtId="9" fontId="0" fillId="3" borderId="45" xfId="0" applyNumberFormat="1" applyFill="1" applyBorder="1" applyAlignment="1">
      <alignment horizontal="left"/>
    </xf>
    <xf numFmtId="9" fontId="36" fillId="0" borderId="45" xfId="0" applyNumberFormat="1" applyFont="1" applyFill="1" applyBorder="1" applyAlignment="1">
      <alignment horizontal="left"/>
    </xf>
    <xf numFmtId="9" fontId="0" fillId="0" borderId="46" xfId="0" applyNumberFormat="1" applyFill="1" applyBorder="1" applyAlignment="1">
      <alignment horizontal="left"/>
    </xf>
    <xf numFmtId="9" fontId="0" fillId="0" borderId="49" xfId="7" applyFont="1" applyFill="1" applyBorder="1" applyAlignment="1">
      <alignment horizontal="left"/>
    </xf>
    <xf numFmtId="9" fontId="0" fillId="0" borderId="0" xfId="7" applyFont="1" applyFill="1" applyBorder="1" applyAlignment="1">
      <alignment horizontal="left"/>
    </xf>
    <xf numFmtId="9" fontId="0" fillId="3" borderId="0" xfId="7" applyFont="1" applyFill="1" applyBorder="1" applyAlignment="1">
      <alignment horizontal="left"/>
    </xf>
    <xf numFmtId="9" fontId="0" fillId="0" borderId="0" xfId="0" applyNumberFormat="1" applyFill="1" applyBorder="1" applyAlignment="1">
      <alignment horizontal="left"/>
    </xf>
    <xf numFmtId="9" fontId="0" fillId="0" borderId="50" xfId="0" applyNumberFormat="1" applyFill="1" applyBorder="1" applyAlignment="1">
      <alignment horizontal="left"/>
    </xf>
    <xf numFmtId="14" fontId="0" fillId="0" borderId="12" xfId="0" applyNumberFormat="1" applyFill="1" applyBorder="1" applyAlignment="1">
      <alignment horizontal="left"/>
    </xf>
    <xf numFmtId="14" fontId="0" fillId="0" borderId="48" xfId="0" applyNumberFormat="1" applyFill="1" applyBorder="1" applyAlignment="1">
      <alignment horizontal="left"/>
    </xf>
    <xf numFmtId="14" fontId="0" fillId="0" borderId="11" xfId="3" applyNumberFormat="1" applyFont="1" applyFill="1" applyBorder="1" applyAlignment="1">
      <alignment horizontal="left"/>
    </xf>
    <xf numFmtId="14" fontId="0" fillId="0" borderId="50" xfId="3" applyNumberFormat="1" applyFont="1" applyFill="1" applyBorder="1" applyAlignment="1">
      <alignment horizontal="left"/>
    </xf>
    <xf numFmtId="9" fontId="36" fillId="0" borderId="71" xfId="3" applyFont="1" applyBorder="1" applyAlignment="1">
      <alignment horizontal="left"/>
    </xf>
    <xf numFmtId="9" fontId="36" fillId="0" borderId="72" xfId="3" applyFont="1" applyBorder="1" applyAlignment="1">
      <alignment horizontal="left"/>
    </xf>
    <xf numFmtId="9" fontId="36" fillId="0" borderId="73" xfId="3" applyFont="1" applyBorder="1" applyAlignment="1">
      <alignment horizontal="left"/>
    </xf>
    <xf numFmtId="173" fontId="111" fillId="0" borderId="0" xfId="0" applyNumberFormat="1" applyFont="1" applyBorder="1"/>
    <xf numFmtId="0" fontId="111" fillId="0" borderId="0" xfId="0" applyFont="1" applyBorder="1" applyAlignment="1">
      <alignment horizontal="left"/>
    </xf>
    <xf numFmtId="0" fontId="111" fillId="0" borderId="12" xfId="0" applyFont="1" applyBorder="1" applyAlignment="1">
      <alignment horizontal="left"/>
    </xf>
    <xf numFmtId="173" fontId="111" fillId="0" borderId="5" xfId="0" applyNumberFormat="1" applyFont="1" applyFill="1" applyBorder="1"/>
    <xf numFmtId="0" fontId="111" fillId="0" borderId="11" xfId="0" applyFont="1" applyBorder="1" applyAlignment="1">
      <alignment horizontal="left"/>
    </xf>
    <xf numFmtId="173" fontId="111" fillId="0" borderId="0" xfId="0" applyNumberFormat="1" applyFont="1" applyFill="1" applyBorder="1"/>
    <xf numFmtId="0" fontId="111" fillId="0" borderId="13" xfId="0" applyFont="1" applyBorder="1" applyAlignment="1">
      <alignment horizontal="left"/>
    </xf>
    <xf numFmtId="173" fontId="111" fillId="0" borderId="14" xfId="0" applyNumberFormat="1" applyFont="1" applyFill="1" applyBorder="1"/>
    <xf numFmtId="173" fontId="111" fillId="0" borderId="12" xfId="0" applyNumberFormat="1" applyFont="1" applyBorder="1"/>
    <xf numFmtId="173" fontId="111" fillId="0" borderId="11" xfId="0" applyNumberFormat="1" applyFont="1" applyBorder="1"/>
    <xf numFmtId="173" fontId="111" fillId="0" borderId="13" xfId="0" applyNumberFormat="1" applyFont="1" applyBorder="1"/>
    <xf numFmtId="0" fontId="111" fillId="0" borderId="0" xfId="0" applyFont="1" applyBorder="1" applyAlignment="1">
      <alignment horizontal="right"/>
    </xf>
    <xf numFmtId="0" fontId="113" fillId="0" borderId="0" xfId="6" applyFont="1" applyAlignment="1">
      <alignment horizontal="left" vertical="top"/>
    </xf>
    <xf numFmtId="0" fontId="24" fillId="0" borderId="1" xfId="6" applyFont="1" applyBorder="1" applyAlignment="1">
      <alignment horizontal="left" vertical="top"/>
    </xf>
    <xf numFmtId="0" fontId="34" fillId="0" borderId="1" xfId="6" applyFont="1" applyBorder="1" applyAlignment="1">
      <alignment horizontal="left" vertical="top"/>
    </xf>
    <xf numFmtId="0" fontId="24" fillId="0" borderId="4" xfId="6" applyFont="1" applyBorder="1" applyAlignment="1">
      <alignment horizontal="left" vertical="top"/>
    </xf>
    <xf numFmtId="0" fontId="37" fillId="13" borderId="2" xfId="6" applyFont="1" applyFill="1" applyBorder="1" applyAlignment="1">
      <alignment horizontal="center" vertical="top"/>
    </xf>
    <xf numFmtId="0" fontId="37" fillId="13" borderId="4" xfId="6" applyFont="1" applyFill="1" applyBorder="1" applyAlignment="1">
      <alignment horizontal="center" vertical="top"/>
    </xf>
    <xf numFmtId="0" fontId="80" fillId="0" borderId="0" xfId="6" applyFont="1" applyAlignment="1">
      <alignment horizontal="left" vertical="top"/>
    </xf>
    <xf numFmtId="0" fontId="61" fillId="0" borderId="1" xfId="6" applyFont="1" applyBorder="1" applyAlignment="1">
      <alignment horizontal="left" vertical="top"/>
    </xf>
    <xf numFmtId="0" fontId="23" fillId="0" borderId="1" xfId="6" applyFont="1" applyBorder="1" applyAlignment="1">
      <alignment horizontal="left" vertical="top"/>
    </xf>
    <xf numFmtId="0" fontId="78" fillId="0" borderId="1" xfId="0" applyFont="1" applyFill="1" applyBorder="1" applyAlignment="1">
      <alignment horizontal="left"/>
    </xf>
    <xf numFmtId="0" fontId="47" fillId="0" borderId="1" xfId="0" applyFont="1" applyFill="1" applyBorder="1" applyAlignment="1">
      <alignment horizontal="left"/>
    </xf>
    <xf numFmtId="0" fontId="47" fillId="0" borderId="2" xfId="6" applyFont="1" applyBorder="1" applyAlignment="1">
      <alignment horizontal="left" vertical="top"/>
    </xf>
    <xf numFmtId="0" fontId="76" fillId="8" borderId="11" xfId="0" applyFont="1" applyFill="1" applyBorder="1" applyAlignment="1">
      <alignment horizontal="left" vertical="top"/>
    </xf>
    <xf numFmtId="0" fontId="36" fillId="0" borderId="11" xfId="6" applyFont="1" applyBorder="1" applyAlignment="1">
      <alignment horizontal="left" vertical="top"/>
    </xf>
    <xf numFmtId="0" fontId="34" fillId="0" borderId="11" xfId="6" applyFont="1" applyBorder="1" applyAlignment="1">
      <alignment horizontal="left" vertical="top"/>
    </xf>
    <xf numFmtId="0" fontId="23" fillId="0" borderId="11" xfId="6" applyFont="1" applyBorder="1" applyAlignment="1">
      <alignment horizontal="left" vertical="top"/>
    </xf>
    <xf numFmtId="0" fontId="47" fillId="0" borderId="6" xfId="6" applyFont="1" applyBorder="1" applyAlignment="1">
      <alignment horizontal="left" vertical="top"/>
    </xf>
    <xf numFmtId="0" fontId="47" fillId="0" borderId="7" xfId="6" applyFont="1" applyBorder="1" applyAlignment="1">
      <alignment horizontal="left" vertical="top"/>
    </xf>
    <xf numFmtId="0" fontId="47" fillId="0" borderId="15" xfId="6" applyFont="1" applyBorder="1" applyAlignment="1">
      <alignment horizontal="left" vertical="top"/>
    </xf>
    <xf numFmtId="9" fontId="120" fillId="0" borderId="3" xfId="6" applyNumberFormat="1" applyFont="1" applyBorder="1" applyAlignment="1">
      <alignment horizontal="center" vertical="top"/>
    </xf>
    <xf numFmtId="0" fontId="34" fillId="7" borderId="0" xfId="6" applyFont="1" applyFill="1" applyBorder="1" applyAlignment="1">
      <alignment horizontal="left" vertical="top"/>
    </xf>
    <xf numFmtId="0" fontId="36" fillId="7" borderId="0" xfId="6" applyFont="1" applyFill="1" applyBorder="1" applyAlignment="1">
      <alignment horizontal="left" vertical="top"/>
    </xf>
    <xf numFmtId="0" fontId="48" fillId="13" borderId="2" xfId="6" applyFont="1" applyFill="1" applyBorder="1" applyAlignment="1">
      <alignment horizontal="left" vertical="top"/>
    </xf>
    <xf numFmtId="0" fontId="48" fillId="13" borderId="4" xfId="6" applyFont="1" applyFill="1" applyBorder="1" applyAlignment="1">
      <alignment horizontal="left" vertical="top"/>
    </xf>
    <xf numFmtId="0" fontId="48" fillId="13" borderId="3" xfId="6" applyFont="1" applyFill="1" applyBorder="1" applyAlignment="1">
      <alignment horizontal="left" vertical="top"/>
    </xf>
    <xf numFmtId="0" fontId="36" fillId="14" borderId="6" xfId="6" applyFont="1" applyFill="1" applyBorder="1" applyAlignment="1">
      <alignment horizontal="left" vertical="top"/>
    </xf>
    <xf numFmtId="0" fontId="36" fillId="14" borderId="7" xfId="6" applyFont="1" applyFill="1" applyBorder="1" applyAlignment="1">
      <alignment horizontal="left" vertical="top"/>
    </xf>
    <xf numFmtId="9" fontId="34" fillId="14" borderId="6" xfId="6" applyNumberFormat="1" applyFont="1" applyFill="1" applyBorder="1" applyAlignment="1">
      <alignment horizontal="left" vertical="top"/>
    </xf>
    <xf numFmtId="9" fontId="34" fillId="14" borderId="7" xfId="6" applyNumberFormat="1" applyFont="1" applyFill="1" applyBorder="1" applyAlignment="1">
      <alignment horizontal="left" vertical="top"/>
    </xf>
    <xf numFmtId="9" fontId="34" fillId="14" borderId="8" xfId="6" applyNumberFormat="1" applyFont="1" applyFill="1" applyBorder="1" applyAlignment="1">
      <alignment horizontal="left" vertical="top"/>
    </xf>
    <xf numFmtId="9" fontId="37" fillId="14" borderId="3" xfId="6" applyNumberFormat="1" applyFont="1" applyFill="1" applyBorder="1" applyAlignment="1">
      <alignment horizontal="center" vertical="top"/>
    </xf>
    <xf numFmtId="0" fontId="34" fillId="14" borderId="8" xfId="6" applyFont="1" applyFill="1" applyBorder="1" applyAlignment="1">
      <alignment horizontal="left" vertical="top"/>
    </xf>
    <xf numFmtId="168" fontId="34" fillId="14" borderId="8" xfId="6" applyNumberFormat="1" applyFont="1" applyFill="1" applyBorder="1" applyAlignment="1">
      <alignment horizontal="left" vertical="top"/>
    </xf>
    <xf numFmtId="9" fontId="58" fillId="14" borderId="3" xfId="6" applyNumberFormat="1" applyFont="1" applyFill="1" applyBorder="1" applyAlignment="1">
      <alignment horizontal="center" vertical="top"/>
    </xf>
    <xf numFmtId="0" fontId="36" fillId="14" borderId="8" xfId="6" applyFont="1" applyFill="1" applyBorder="1" applyAlignment="1">
      <alignment horizontal="left" vertical="top"/>
    </xf>
    <xf numFmtId="9" fontId="34" fillId="14" borderId="6" xfId="3" applyFont="1" applyFill="1" applyBorder="1" applyAlignment="1">
      <alignment horizontal="left" vertical="top"/>
    </xf>
    <xf numFmtId="9" fontId="34" fillId="14" borderId="7" xfId="3" applyFont="1" applyFill="1" applyBorder="1" applyAlignment="1">
      <alignment horizontal="left" vertical="top"/>
    </xf>
    <xf numFmtId="9" fontId="34" fillId="14" borderId="8" xfId="3" applyFont="1" applyFill="1" applyBorder="1" applyAlignment="1">
      <alignment horizontal="left" vertical="top"/>
    </xf>
    <xf numFmtId="0" fontId="49" fillId="14" borderId="6" xfId="6" applyFont="1" applyFill="1" applyBorder="1" applyAlignment="1">
      <alignment horizontal="left" vertical="top"/>
    </xf>
    <xf numFmtId="0" fontId="49" fillId="14" borderId="8" xfId="6" applyFont="1" applyFill="1" applyBorder="1" applyAlignment="1">
      <alignment horizontal="left" vertical="top"/>
    </xf>
    <xf numFmtId="9" fontId="49" fillId="14" borderId="6" xfId="3" applyFont="1" applyFill="1" applyBorder="1" applyAlignment="1">
      <alignment horizontal="left" vertical="top"/>
    </xf>
    <xf numFmtId="9" fontId="49" fillId="14" borderId="7" xfId="3" applyFont="1" applyFill="1" applyBorder="1" applyAlignment="1">
      <alignment horizontal="left" vertical="top"/>
    </xf>
    <xf numFmtId="9" fontId="49" fillId="14" borderId="8" xfId="3" applyFont="1" applyFill="1" applyBorder="1" applyAlignment="1">
      <alignment horizontal="left" vertical="top"/>
    </xf>
    <xf numFmtId="0" fontId="37" fillId="0" borderId="0" xfId="6" applyFont="1" applyFill="1" applyBorder="1" applyAlignment="1">
      <alignment horizontal="center" vertical="top"/>
    </xf>
    <xf numFmtId="0" fontId="48" fillId="7" borderId="0" xfId="6" applyFont="1" applyFill="1" applyBorder="1" applyAlignment="1">
      <alignment horizontal="left" vertical="top"/>
    </xf>
    <xf numFmtId="0" fontId="34" fillId="7" borderId="0" xfId="6" applyFont="1" applyFill="1" applyAlignment="1">
      <alignment horizontal="left" vertical="top"/>
    </xf>
    <xf numFmtId="0" fontId="37" fillId="6" borderId="13" xfId="6" applyFont="1" applyFill="1" applyBorder="1" applyAlignment="1">
      <alignment horizontal="left" vertical="top"/>
    </xf>
    <xf numFmtId="0" fontId="37" fillId="6" borderId="9" xfId="6" applyFont="1" applyFill="1" applyBorder="1" applyAlignment="1">
      <alignment horizontal="left" vertical="top"/>
    </xf>
    <xf numFmtId="0" fontId="48" fillId="7" borderId="11" xfId="6" applyFont="1" applyFill="1" applyBorder="1" applyAlignment="1">
      <alignment horizontal="left" vertical="top"/>
    </xf>
    <xf numFmtId="0" fontId="63" fillId="0" borderId="35" xfId="5" applyFont="1" applyFill="1" applyBorder="1" applyProtection="1"/>
    <xf numFmtId="0" fontId="34" fillId="14" borderId="1" xfId="6" applyFont="1" applyFill="1" applyBorder="1" applyAlignment="1">
      <alignment horizontal="left" vertical="top"/>
    </xf>
    <xf numFmtId="0" fontId="24" fillId="14" borderId="1" xfId="6" applyFont="1" applyFill="1" applyBorder="1" applyAlignment="1">
      <alignment horizontal="left" vertical="top"/>
    </xf>
    <xf numFmtId="0" fontId="24" fillId="14" borderId="2" xfId="6" applyFont="1" applyFill="1" applyBorder="1" applyAlignment="1">
      <alignment horizontal="left" vertical="top"/>
    </xf>
    <xf numFmtId="0" fontId="68" fillId="14" borderId="1" xfId="0" applyFont="1" applyFill="1" applyBorder="1" applyAlignment="1">
      <alignment horizontal="left"/>
    </xf>
    <xf numFmtId="9" fontId="36" fillId="14" borderId="3" xfId="6" applyNumberFormat="1" applyFont="1" applyFill="1" applyBorder="1" applyAlignment="1">
      <alignment horizontal="left" vertical="top"/>
    </xf>
    <xf numFmtId="167" fontId="34" fillId="14" borderId="3" xfId="6" applyNumberFormat="1" applyFont="1" applyFill="1" applyBorder="1" applyAlignment="1">
      <alignment horizontal="left" vertical="top"/>
    </xf>
    <xf numFmtId="0" fontId="123" fillId="0" borderId="0" xfId="6" applyFont="1" applyAlignment="1">
      <alignment horizontal="left" vertical="top"/>
    </xf>
    <xf numFmtId="0" fontId="122" fillId="13" borderId="3" xfId="6" applyFont="1" applyFill="1" applyBorder="1" applyAlignment="1">
      <alignment horizontal="left" vertical="top"/>
    </xf>
    <xf numFmtId="0" fontId="122" fillId="0" borderId="0" xfId="6" applyFont="1" applyFill="1" applyAlignment="1">
      <alignment horizontal="center" vertical="top"/>
    </xf>
    <xf numFmtId="9" fontId="47" fillId="0" borderId="3" xfId="6" applyNumberFormat="1" applyFont="1" applyBorder="1" applyAlignment="1">
      <alignment horizontal="left" vertical="top"/>
    </xf>
    <xf numFmtId="9" fontId="47" fillId="0" borderId="3" xfId="3" applyFont="1" applyBorder="1" applyAlignment="1">
      <alignment horizontal="left" vertical="top"/>
    </xf>
    <xf numFmtId="9" fontId="47" fillId="14" borderId="3" xfId="6" applyNumberFormat="1" applyFont="1" applyFill="1" applyBorder="1" applyAlignment="1">
      <alignment horizontal="left" vertical="top"/>
    </xf>
    <xf numFmtId="9" fontId="47" fillId="14" borderId="3" xfId="3" applyFont="1" applyFill="1" applyBorder="1" applyAlignment="1">
      <alignment horizontal="left" vertical="top"/>
    </xf>
    <xf numFmtId="0" fontId="36" fillId="14" borderId="0" xfId="0" applyFont="1" applyFill="1" applyAlignment="1">
      <alignment horizontal="left"/>
    </xf>
    <xf numFmtId="0" fontId="36" fillId="14" borderId="0" xfId="6" applyFont="1" applyFill="1" applyBorder="1" applyAlignment="1">
      <alignment horizontal="left" vertical="top"/>
    </xf>
    <xf numFmtId="0" fontId="0" fillId="14" borderId="0" xfId="0" applyFill="1" applyAlignment="1">
      <alignment horizontal="left"/>
    </xf>
    <xf numFmtId="0" fontId="47" fillId="14" borderId="0" xfId="0" applyFont="1" applyFill="1" applyAlignment="1">
      <alignment horizontal="left"/>
    </xf>
    <xf numFmtId="1" fontId="0" fillId="14" borderId="0" xfId="0" applyNumberFormat="1" applyFill="1" applyAlignment="1">
      <alignment horizontal="left"/>
    </xf>
    <xf numFmtId="9" fontId="0" fillId="14" borderId="0" xfId="0" applyNumberFormat="1" applyFill="1" applyAlignment="1">
      <alignment horizontal="left"/>
    </xf>
    <xf numFmtId="9" fontId="0" fillId="14" borderId="0" xfId="3" applyFont="1" applyFill="1" applyAlignment="1">
      <alignment horizontal="left"/>
    </xf>
    <xf numFmtId="167" fontId="0" fillId="14" borderId="0" xfId="0" applyNumberFormat="1" applyFill="1" applyAlignment="1">
      <alignment horizontal="left"/>
    </xf>
    <xf numFmtId="167" fontId="0" fillId="14" borderId="0" xfId="3" applyNumberFormat="1" applyFont="1" applyFill="1" applyAlignment="1">
      <alignment horizontal="left"/>
    </xf>
    <xf numFmtId="9" fontId="0" fillId="14" borderId="36" xfId="3" applyFont="1" applyFill="1" applyBorder="1" applyAlignment="1">
      <alignment horizontal="left"/>
    </xf>
    <xf numFmtId="9" fontId="0" fillId="14" borderId="0" xfId="3" applyFont="1" applyFill="1" applyBorder="1" applyAlignment="1">
      <alignment horizontal="left"/>
    </xf>
    <xf numFmtId="9" fontId="0" fillId="14" borderId="42" xfId="3" applyFont="1" applyFill="1" applyBorder="1" applyAlignment="1">
      <alignment horizontal="left"/>
    </xf>
    <xf numFmtId="9" fontId="0" fillId="14" borderId="0" xfId="3" applyNumberFormat="1" applyFont="1" applyFill="1" applyAlignment="1">
      <alignment horizontal="left"/>
    </xf>
    <xf numFmtId="167" fontId="36" fillId="14" borderId="0" xfId="3" applyNumberFormat="1" applyFont="1" applyFill="1" applyAlignment="1">
      <alignment horizontal="left"/>
    </xf>
    <xf numFmtId="1" fontId="36" fillId="14" borderId="0" xfId="0" applyNumberFormat="1" applyFont="1" applyFill="1" applyAlignment="1">
      <alignment horizontal="left"/>
    </xf>
    <xf numFmtId="167" fontId="36" fillId="14" borderId="0" xfId="0" applyNumberFormat="1" applyFont="1" applyFill="1" applyAlignment="1">
      <alignment horizontal="left"/>
    </xf>
    <xf numFmtId="0" fontId="40" fillId="14" borderId="0" xfId="0" applyFont="1" applyFill="1" applyAlignment="1">
      <alignment horizontal="left"/>
    </xf>
    <xf numFmtId="1" fontId="40" fillId="14" borderId="0" xfId="0" applyNumberFormat="1" applyFont="1" applyFill="1" applyAlignment="1">
      <alignment horizontal="left"/>
    </xf>
    <xf numFmtId="1" fontId="56" fillId="14" borderId="0" xfId="0" applyNumberFormat="1" applyFont="1" applyFill="1" applyAlignment="1">
      <alignment horizontal="left"/>
    </xf>
    <xf numFmtId="167" fontId="40" fillId="14" borderId="0" xfId="0" applyNumberFormat="1" applyFont="1" applyFill="1" applyAlignment="1">
      <alignment horizontal="left"/>
    </xf>
    <xf numFmtId="167" fontId="56" fillId="14" borderId="0" xfId="0" applyNumberFormat="1" applyFont="1" applyFill="1" applyAlignment="1">
      <alignment horizontal="left"/>
    </xf>
    <xf numFmtId="0" fontId="48" fillId="14" borderId="5" xfId="6" applyFont="1" applyFill="1" applyBorder="1" applyAlignment="1">
      <alignment horizontal="left"/>
    </xf>
    <xf numFmtId="0" fontId="32" fillId="14" borderId="5" xfId="6" applyFont="1" applyFill="1" applyBorder="1" applyAlignment="1">
      <alignment horizontal="left"/>
    </xf>
    <xf numFmtId="0" fontId="34" fillId="14" borderId="5" xfId="6" applyFont="1" applyFill="1" applyBorder="1" applyAlignment="1">
      <alignment horizontal="left"/>
    </xf>
    <xf numFmtId="0" fontId="34" fillId="14" borderId="29" xfId="6" applyFont="1" applyFill="1" applyBorder="1" applyAlignment="1">
      <alignment horizontal="left"/>
    </xf>
    <xf numFmtId="0" fontId="49" fillId="14" borderId="5" xfId="6" applyFont="1" applyFill="1" applyBorder="1" applyAlignment="1">
      <alignment horizontal="left"/>
    </xf>
    <xf numFmtId="0" fontId="49" fillId="14" borderId="29" xfId="6" applyFont="1" applyFill="1" applyBorder="1" applyAlignment="1">
      <alignment horizontal="left"/>
    </xf>
    <xf numFmtId="0" fontId="55" fillId="14" borderId="5" xfId="6" applyFont="1" applyFill="1" applyBorder="1" applyAlignment="1">
      <alignment horizontal="right"/>
    </xf>
    <xf numFmtId="0" fontId="55" fillId="14" borderId="5" xfId="6" applyFont="1" applyFill="1" applyBorder="1" applyAlignment="1">
      <alignment horizontal="left"/>
    </xf>
    <xf numFmtId="0" fontId="34" fillId="14" borderId="0" xfId="6" applyFont="1" applyFill="1" applyBorder="1" applyAlignment="1">
      <alignment horizontal="left"/>
    </xf>
    <xf numFmtId="0" fontId="34" fillId="14" borderId="22" xfId="6" applyFont="1" applyFill="1" applyBorder="1" applyAlignment="1">
      <alignment horizontal="left"/>
    </xf>
    <xf numFmtId="9" fontId="49" fillId="14" borderId="27" xfId="7" applyFont="1" applyFill="1" applyBorder="1" applyAlignment="1">
      <alignment horizontal="left"/>
    </xf>
    <xf numFmtId="168" fontId="49" fillId="14" borderId="0" xfId="7" applyNumberFormat="1" applyFont="1" applyFill="1" applyBorder="1" applyAlignment="1">
      <alignment horizontal="left"/>
    </xf>
    <xf numFmtId="0" fontId="55" fillId="14" borderId="35" xfId="6" applyFont="1" applyFill="1" applyBorder="1" applyAlignment="1">
      <alignment horizontal="right"/>
    </xf>
    <xf numFmtId="0" fontId="55" fillId="14" borderId="35" xfId="6" applyFont="1" applyFill="1" applyBorder="1" applyAlignment="1">
      <alignment horizontal="left"/>
    </xf>
    <xf numFmtId="1" fontId="49" fillId="14" borderId="35" xfId="6" applyNumberFormat="1" applyFont="1" applyFill="1" applyBorder="1" applyAlignment="1">
      <alignment horizontal="left"/>
    </xf>
    <xf numFmtId="1" fontId="55" fillId="14" borderId="35" xfId="6" applyNumberFormat="1" applyFont="1" applyFill="1" applyBorder="1" applyAlignment="1">
      <alignment horizontal="left"/>
    </xf>
    <xf numFmtId="0" fontId="64" fillId="14" borderId="35" xfId="6" applyFont="1" applyFill="1" applyBorder="1" applyAlignment="1">
      <alignment horizontal="left"/>
    </xf>
    <xf numFmtId="0" fontId="55" fillId="14" borderId="0" xfId="6" applyFont="1" applyFill="1" applyBorder="1" applyAlignment="1">
      <alignment horizontal="left"/>
    </xf>
    <xf numFmtId="0" fontId="49" fillId="14" borderId="0" xfId="6" applyFont="1" applyFill="1" applyBorder="1" applyAlignment="1">
      <alignment horizontal="left"/>
    </xf>
    <xf numFmtId="0" fontId="49" fillId="14" borderId="22" xfId="6" applyFont="1" applyFill="1" applyBorder="1" applyAlignment="1">
      <alignment horizontal="left"/>
    </xf>
    <xf numFmtId="0" fontId="55" fillId="14" borderId="0" xfId="6" applyFont="1" applyFill="1" applyBorder="1" applyAlignment="1">
      <alignment horizontal="right"/>
    </xf>
    <xf numFmtId="1" fontId="55" fillId="14" borderId="0" xfId="6" applyNumberFormat="1" applyFont="1" applyFill="1" applyBorder="1" applyAlignment="1">
      <alignment horizontal="left"/>
    </xf>
    <xf numFmtId="9" fontId="49" fillId="14" borderId="22" xfId="7" applyFont="1" applyFill="1" applyBorder="1" applyAlignment="1">
      <alignment horizontal="left"/>
    </xf>
    <xf numFmtId="9" fontId="49" fillId="14" borderId="0" xfId="7" applyFont="1" applyFill="1" applyBorder="1" applyAlignment="1">
      <alignment horizontal="left"/>
    </xf>
    <xf numFmtId="2" fontId="55" fillId="14" borderId="0" xfId="6" applyNumberFormat="1" applyFont="1" applyFill="1" applyBorder="1" applyAlignment="1">
      <alignment horizontal="left"/>
    </xf>
    <xf numFmtId="1" fontId="49" fillId="14" borderId="0" xfId="6" applyNumberFormat="1" applyFont="1" applyFill="1" applyBorder="1" applyAlignment="1">
      <alignment horizontal="left"/>
    </xf>
    <xf numFmtId="1" fontId="64" fillId="14" borderId="0" xfId="6" applyNumberFormat="1" applyFont="1" applyFill="1" applyBorder="1" applyAlignment="1">
      <alignment horizontal="left"/>
    </xf>
    <xf numFmtId="0" fontId="61" fillId="14" borderId="29" xfId="6" applyFont="1" applyFill="1" applyBorder="1" applyAlignment="1">
      <alignment horizontal="left"/>
    </xf>
    <xf numFmtId="9" fontId="49" fillId="14" borderId="27" xfId="6" applyNumberFormat="1" applyFont="1" applyFill="1" applyBorder="1" applyAlignment="1">
      <alignment horizontal="left"/>
    </xf>
    <xf numFmtId="9" fontId="36" fillId="14" borderId="27" xfId="6" applyNumberFormat="1" applyFont="1" applyFill="1" applyBorder="1" applyAlignment="1">
      <alignment horizontal="left"/>
    </xf>
    <xf numFmtId="9" fontId="36" fillId="14" borderId="5" xfId="6" applyNumberFormat="1" applyFont="1" applyFill="1" applyBorder="1" applyAlignment="1">
      <alignment horizontal="left"/>
    </xf>
    <xf numFmtId="0" fontId="48" fillId="14" borderId="0" xfId="6" applyFont="1" applyFill="1" applyBorder="1" applyAlignment="1">
      <alignment horizontal="left"/>
    </xf>
    <xf numFmtId="0" fontId="61" fillId="14" borderId="22" xfId="6" applyFont="1" applyFill="1" applyBorder="1" applyAlignment="1">
      <alignment horizontal="left"/>
    </xf>
    <xf numFmtId="0" fontId="49" fillId="14" borderId="0" xfId="6" applyFont="1" applyFill="1" applyBorder="1" applyAlignment="1">
      <alignment horizontal="right"/>
    </xf>
    <xf numFmtId="9" fontId="64" fillId="14" borderId="22" xfId="6" applyNumberFormat="1" applyFont="1" applyFill="1" applyBorder="1" applyAlignment="1">
      <alignment horizontal="left"/>
    </xf>
    <xf numFmtId="1" fontId="49" fillId="14" borderId="22" xfId="6" applyNumberFormat="1" applyFont="1" applyFill="1" applyBorder="1" applyAlignment="1">
      <alignment horizontal="left"/>
    </xf>
    <xf numFmtId="0" fontId="29" fillId="14" borderId="0" xfId="6" applyFont="1" applyFill="1" applyBorder="1" applyAlignment="1">
      <alignment horizontal="left"/>
    </xf>
    <xf numFmtId="0" fontId="55" fillId="14" borderId="0" xfId="6" applyFont="1" applyFill="1" applyAlignment="1">
      <alignment horizontal="left"/>
    </xf>
    <xf numFmtId="0" fontId="55" fillId="14" borderId="33" xfId="6" applyFont="1" applyFill="1" applyBorder="1" applyAlignment="1">
      <alignment horizontal="left"/>
    </xf>
    <xf numFmtId="0" fontId="61" fillId="14" borderId="0" xfId="6" applyFont="1" applyFill="1" applyBorder="1" applyAlignment="1">
      <alignment horizontal="left"/>
    </xf>
    <xf numFmtId="0" fontId="34" fillId="14" borderId="38" xfId="6" applyFont="1" applyFill="1" applyBorder="1" applyAlignment="1">
      <alignment horizontal="left"/>
    </xf>
    <xf numFmtId="10" fontId="49" fillId="14" borderId="22" xfId="6" applyNumberFormat="1" applyFont="1" applyFill="1" applyBorder="1" applyAlignment="1">
      <alignment horizontal="left"/>
    </xf>
    <xf numFmtId="9" fontId="49" fillId="14" borderId="22" xfId="6" applyNumberFormat="1" applyFont="1" applyFill="1" applyBorder="1" applyAlignment="1">
      <alignment horizontal="left"/>
    </xf>
    <xf numFmtId="9" fontId="49" fillId="14" borderId="0" xfId="6" applyNumberFormat="1" applyFont="1" applyFill="1" applyBorder="1" applyAlignment="1">
      <alignment horizontal="left"/>
    </xf>
    <xf numFmtId="0" fontId="32" fillId="14" borderId="0" xfId="6" applyFont="1" applyFill="1" applyBorder="1" applyAlignment="1">
      <alignment horizontal="left"/>
    </xf>
    <xf numFmtId="9" fontId="49" fillId="14" borderId="0" xfId="3" applyFont="1" applyFill="1" applyBorder="1" applyAlignment="1">
      <alignment horizontal="left"/>
    </xf>
    <xf numFmtId="9" fontId="49" fillId="14" borderId="22" xfId="3" applyFont="1" applyFill="1" applyBorder="1" applyAlignment="1">
      <alignment horizontal="left"/>
    </xf>
    <xf numFmtId="0" fontId="49" fillId="14" borderId="14" xfId="6" applyFont="1" applyFill="1" applyBorder="1" applyAlignment="1">
      <alignment horizontal="left"/>
    </xf>
    <xf numFmtId="0" fontId="55" fillId="14" borderId="14" xfId="6" applyFont="1" applyFill="1" applyBorder="1" applyAlignment="1">
      <alignment horizontal="left"/>
    </xf>
    <xf numFmtId="0" fontId="113" fillId="0" borderId="0" xfId="6" applyFont="1" applyFill="1" applyAlignment="1">
      <alignment horizontal="left" vertical="top"/>
    </xf>
    <xf numFmtId="0" fontId="124" fillId="0" borderId="0" xfId="6" applyFont="1" applyFill="1" applyAlignment="1">
      <alignment horizontal="left" vertical="top"/>
    </xf>
    <xf numFmtId="0" fontId="113" fillId="0" borderId="0" xfId="6" applyFont="1" applyFill="1" applyAlignment="1">
      <alignment horizontal="left" vertical="top" wrapText="1" indent="7"/>
    </xf>
    <xf numFmtId="0" fontId="124" fillId="0" borderId="0" xfId="6" applyFont="1" applyFill="1" applyAlignment="1">
      <alignment horizontal="left" vertical="top" wrapText="1" indent="7"/>
    </xf>
    <xf numFmtId="0" fontId="121" fillId="0" borderId="11" xfId="6" applyFont="1" applyBorder="1" applyAlignment="1">
      <alignment horizontal="left" vertical="top"/>
    </xf>
    <xf numFmtId="9" fontId="49" fillId="0" borderId="22" xfId="6" applyNumberFormat="1" applyFont="1" applyBorder="1" applyAlignment="1">
      <alignment horizontal="left"/>
    </xf>
    <xf numFmtId="0" fontId="36" fillId="0" borderId="1" xfId="6" applyFont="1" applyBorder="1" applyAlignment="1">
      <alignment horizontal="left" vertical="top"/>
    </xf>
    <xf numFmtId="0" fontId="22" fillId="0" borderId="0" xfId="6" applyFont="1" applyBorder="1" applyAlignment="1">
      <alignment horizontal="left"/>
    </xf>
    <xf numFmtId="0" fontId="63" fillId="0" borderId="33" xfId="5" applyFont="1" applyFill="1" applyBorder="1" applyProtection="1"/>
    <xf numFmtId="9" fontId="49" fillId="0" borderId="33" xfId="7" applyFont="1" applyBorder="1" applyAlignment="1">
      <alignment horizontal="left"/>
    </xf>
    <xf numFmtId="9" fontId="49" fillId="0" borderId="33" xfId="6" applyNumberFormat="1" applyFont="1" applyBorder="1" applyAlignment="1">
      <alignment horizontal="left"/>
    </xf>
    <xf numFmtId="9" fontId="49" fillId="0" borderId="35" xfId="6" applyNumberFormat="1" applyFont="1" applyBorder="1" applyAlignment="1">
      <alignment horizontal="left"/>
    </xf>
    <xf numFmtId="0" fontId="34" fillId="0" borderId="38" xfId="6" applyFont="1" applyBorder="1" applyAlignment="1">
      <alignment horizontal="left"/>
    </xf>
    <xf numFmtId="0" fontId="49" fillId="0" borderId="38" xfId="6" applyFont="1" applyBorder="1" applyAlignment="1">
      <alignment horizontal="right"/>
    </xf>
    <xf numFmtId="9" fontId="49" fillId="0" borderId="38" xfId="6" applyNumberFormat="1" applyFont="1" applyBorder="1" applyAlignment="1">
      <alignment horizontal="left"/>
    </xf>
    <xf numFmtId="9" fontId="49" fillId="0" borderId="38" xfId="7" applyFont="1" applyBorder="1" applyAlignment="1">
      <alignment horizontal="left"/>
    </xf>
    <xf numFmtId="0" fontId="125" fillId="0" borderId="0" xfId="6" applyFont="1" applyBorder="1" applyAlignment="1">
      <alignment horizontal="left"/>
    </xf>
    <xf numFmtId="0" fontId="126" fillId="0" borderId="33" xfId="5" applyFont="1" applyFill="1" applyBorder="1" applyProtection="1"/>
    <xf numFmtId="0" fontId="21" fillId="14" borderId="7" xfId="6" applyFont="1" applyFill="1" applyBorder="1" applyAlignment="1">
      <alignment horizontal="left" vertical="top" wrapText="1"/>
    </xf>
    <xf numFmtId="0" fontId="21" fillId="0" borderId="7" xfId="6" applyFont="1" applyBorder="1" applyAlignment="1">
      <alignment horizontal="left" vertical="top" wrapText="1"/>
    </xf>
    <xf numFmtId="0" fontId="21" fillId="0" borderId="0" xfId="6" applyFont="1" applyBorder="1" applyAlignment="1">
      <alignment horizontal="left"/>
    </xf>
    <xf numFmtId="1" fontId="49" fillId="0" borderId="0" xfId="6" applyNumberFormat="1" applyFont="1" applyBorder="1" applyAlignment="1">
      <alignment horizontal="left" indent="1"/>
    </xf>
    <xf numFmtId="1" fontId="64" fillId="0" borderId="0" xfId="6" applyNumberFormat="1" applyFont="1" applyBorder="1" applyAlignment="1">
      <alignment horizontal="left" indent="1"/>
    </xf>
    <xf numFmtId="9" fontId="64" fillId="0" borderId="0" xfId="3" applyFont="1" applyBorder="1" applyAlignment="1">
      <alignment horizontal="left" indent="1"/>
    </xf>
    <xf numFmtId="1" fontId="49" fillId="0" borderId="21" xfId="6" applyNumberFormat="1" applyFont="1" applyBorder="1" applyAlignment="1">
      <alignment horizontal="left"/>
    </xf>
    <xf numFmtId="1" fontId="49" fillId="0" borderId="31" xfId="6" applyNumberFormat="1" applyFont="1" applyBorder="1" applyAlignment="1">
      <alignment horizontal="left"/>
    </xf>
    <xf numFmtId="10" fontId="49" fillId="0" borderId="22" xfId="3" applyNumberFormat="1" applyFont="1" applyBorder="1" applyAlignment="1">
      <alignment horizontal="left"/>
    </xf>
    <xf numFmtId="1" fontId="49" fillId="0" borderId="39" xfId="6" applyNumberFormat="1" applyFont="1" applyBorder="1" applyAlignment="1">
      <alignment horizontal="left"/>
    </xf>
    <xf numFmtId="0" fontId="128" fillId="0" borderId="0" xfId="6" applyFont="1" applyBorder="1" applyAlignment="1">
      <alignment horizontal="left"/>
    </xf>
    <xf numFmtId="0" fontId="128" fillId="0" borderId="35" xfId="6" applyFont="1" applyBorder="1" applyAlignment="1">
      <alignment horizontal="left"/>
    </xf>
    <xf numFmtId="0" fontId="49" fillId="14" borderId="33" xfId="6" applyFont="1" applyFill="1" applyBorder="1" applyAlignment="1">
      <alignment horizontal="left"/>
    </xf>
    <xf numFmtId="0" fontId="49" fillId="14" borderId="35" xfId="6" applyFont="1" applyFill="1" applyBorder="1" applyAlignment="1">
      <alignment horizontal="left"/>
    </xf>
    <xf numFmtId="9" fontId="49" fillId="14" borderId="33" xfId="3" applyFont="1" applyFill="1" applyBorder="1" applyAlignment="1">
      <alignment horizontal="left"/>
    </xf>
    <xf numFmtId="0" fontId="64" fillId="14" borderId="0" xfId="6" applyFont="1" applyFill="1" applyBorder="1" applyAlignment="1">
      <alignment horizontal="left"/>
    </xf>
    <xf numFmtId="1" fontId="64" fillId="14" borderId="33" xfId="6" applyNumberFormat="1" applyFont="1" applyFill="1" applyBorder="1" applyAlignment="1">
      <alignment horizontal="left"/>
    </xf>
    <xf numFmtId="9" fontId="49" fillId="14" borderId="27" xfId="3" applyFont="1" applyFill="1" applyBorder="1" applyAlignment="1">
      <alignment horizontal="left"/>
    </xf>
    <xf numFmtId="9" fontId="49" fillId="14" borderId="22" xfId="3" applyNumberFormat="1" applyFont="1" applyFill="1" applyBorder="1" applyAlignment="1">
      <alignment horizontal="left"/>
    </xf>
    <xf numFmtId="0" fontId="49" fillId="14" borderId="22" xfId="6" applyFont="1" applyFill="1" applyBorder="1" applyAlignment="1">
      <alignment horizontal="right"/>
    </xf>
    <xf numFmtId="0" fontId="21" fillId="0" borderId="0" xfId="6" applyFont="1" applyFill="1" applyBorder="1" applyAlignment="1">
      <alignment horizontal="left" vertical="top"/>
    </xf>
    <xf numFmtId="0" fontId="74" fillId="0" borderId="0" xfId="6" applyFont="1" applyBorder="1" applyAlignment="1">
      <alignment horizontal="left"/>
    </xf>
    <xf numFmtId="9" fontId="49" fillId="14" borderId="31" xfId="7" applyFont="1" applyFill="1" applyBorder="1" applyAlignment="1">
      <alignment horizontal="left"/>
    </xf>
    <xf numFmtId="9" fontId="49" fillId="14" borderId="31" xfId="7" applyNumberFormat="1" applyFont="1" applyFill="1" applyBorder="1" applyAlignment="1">
      <alignment horizontal="left"/>
    </xf>
    <xf numFmtId="9" fontId="49" fillId="0" borderId="0" xfId="0" applyNumberFormat="1" applyFont="1" applyFill="1" applyBorder="1" applyAlignment="1">
      <alignment horizontal="left" vertical="center"/>
    </xf>
    <xf numFmtId="9" fontId="55" fillId="14" borderId="33" xfId="3" applyFont="1" applyFill="1" applyBorder="1" applyAlignment="1">
      <alignment horizontal="left"/>
    </xf>
    <xf numFmtId="9" fontId="61" fillId="0" borderId="6" xfId="6" applyNumberFormat="1" applyFont="1" applyBorder="1" applyAlignment="1">
      <alignment horizontal="left" vertical="top"/>
    </xf>
    <xf numFmtId="9" fontId="21" fillId="0" borderId="6" xfId="6" applyNumberFormat="1" applyFont="1" applyBorder="1" applyAlignment="1">
      <alignment horizontal="left" vertical="top"/>
    </xf>
    <xf numFmtId="9" fontId="21" fillId="0" borderId="7" xfId="6" applyNumberFormat="1" applyFont="1" applyBorder="1" applyAlignment="1">
      <alignment horizontal="left" vertical="top"/>
    </xf>
    <xf numFmtId="9" fontId="21" fillId="0" borderId="8" xfId="6" applyNumberFormat="1" applyFont="1" applyBorder="1" applyAlignment="1">
      <alignment horizontal="left" vertical="top"/>
    </xf>
    <xf numFmtId="9" fontId="64" fillId="0" borderId="31" xfId="6" applyNumberFormat="1" applyFont="1" applyBorder="1" applyAlignment="1">
      <alignment horizontal="left"/>
    </xf>
    <xf numFmtId="0" fontId="127" fillId="0" borderId="0" xfId="6" applyFont="1" applyBorder="1" applyAlignment="1">
      <alignment horizontal="right"/>
    </xf>
    <xf numFmtId="9" fontId="127" fillId="0" borderId="23" xfId="3" applyFont="1" applyBorder="1" applyAlignment="1">
      <alignment horizontal="left"/>
    </xf>
    <xf numFmtId="0" fontId="34" fillId="14" borderId="36" xfId="6" applyFont="1" applyFill="1" applyBorder="1" applyAlignment="1">
      <alignment horizontal="left"/>
    </xf>
    <xf numFmtId="0" fontId="58" fillId="14" borderId="27" xfId="6" applyFont="1" applyFill="1" applyBorder="1" applyAlignment="1">
      <alignment horizontal="right"/>
    </xf>
    <xf numFmtId="0" fontId="58" fillId="14" borderId="76" xfId="6" applyFont="1" applyFill="1" applyBorder="1" applyAlignment="1">
      <alignment horizontal="right"/>
    </xf>
    <xf numFmtId="0" fontId="55" fillId="14" borderId="27" xfId="6" applyFont="1" applyFill="1" applyBorder="1" applyAlignment="1">
      <alignment horizontal="right"/>
    </xf>
    <xf numFmtId="9" fontId="36" fillId="14" borderId="27" xfId="3" applyFont="1" applyFill="1" applyBorder="1" applyAlignment="1">
      <alignment horizontal="right"/>
    </xf>
    <xf numFmtId="9" fontId="36" fillId="14" borderId="27" xfId="3" applyFont="1" applyFill="1" applyBorder="1" applyAlignment="1">
      <alignment horizontal="left"/>
    </xf>
    <xf numFmtId="9" fontId="49" fillId="3" borderId="27" xfId="6" applyNumberFormat="1" applyFont="1" applyFill="1" applyBorder="1" applyAlignment="1">
      <alignment horizontal="left"/>
    </xf>
    <xf numFmtId="0" fontId="58" fillId="3" borderId="76" xfId="6" applyFont="1" applyFill="1" applyBorder="1" applyAlignment="1">
      <alignment horizontal="right"/>
    </xf>
    <xf numFmtId="9" fontId="36" fillId="3" borderId="27" xfId="6" applyNumberFormat="1" applyFont="1" applyFill="1" applyBorder="1" applyAlignment="1">
      <alignment horizontal="left"/>
    </xf>
    <xf numFmtId="0" fontId="58" fillId="14" borderId="7" xfId="6" applyFont="1" applyFill="1" applyBorder="1" applyAlignment="1">
      <alignment horizontal="right"/>
    </xf>
    <xf numFmtId="167" fontId="64" fillId="0" borderId="27" xfId="6" applyNumberFormat="1" applyFont="1" applyBorder="1" applyAlignment="1">
      <alignment horizontal="left"/>
    </xf>
    <xf numFmtId="9" fontId="64" fillId="0" borderId="36" xfId="6" applyNumberFormat="1" applyFont="1" applyBorder="1" applyAlignment="1">
      <alignment horizontal="left" indent="1"/>
    </xf>
    <xf numFmtId="9" fontId="64" fillId="0" borderId="36" xfId="6" applyNumberFormat="1" applyFont="1" applyBorder="1" applyAlignment="1">
      <alignment horizontal="left"/>
    </xf>
    <xf numFmtId="9" fontId="64" fillId="14" borderId="27" xfId="3" applyFont="1" applyFill="1" applyBorder="1" applyAlignment="1">
      <alignment horizontal="left"/>
    </xf>
    <xf numFmtId="1" fontId="49" fillId="0" borderId="5" xfId="6" applyNumberFormat="1" applyFont="1" applyBorder="1" applyAlignment="1">
      <alignment horizontal="right"/>
    </xf>
    <xf numFmtId="0" fontId="49" fillId="0" borderId="76" xfId="6" applyFont="1" applyBorder="1" applyAlignment="1">
      <alignment horizontal="right"/>
    </xf>
    <xf numFmtId="0" fontId="34" fillId="14" borderId="27" xfId="6" applyFont="1" applyFill="1" applyBorder="1" applyAlignment="1">
      <alignment horizontal="left"/>
    </xf>
    <xf numFmtId="1" fontId="58" fillId="14" borderId="76" xfId="6" applyNumberFormat="1" applyFont="1" applyFill="1" applyBorder="1" applyAlignment="1">
      <alignment horizontal="right"/>
    </xf>
    <xf numFmtId="9" fontId="55" fillId="14" borderId="27" xfId="7" applyFont="1" applyFill="1" applyBorder="1" applyAlignment="1">
      <alignment horizontal="left"/>
    </xf>
    <xf numFmtId="0" fontId="58" fillId="3" borderId="27" xfId="6" applyFont="1" applyFill="1" applyBorder="1" applyAlignment="1">
      <alignment horizontal="right"/>
    </xf>
    <xf numFmtId="0" fontId="70" fillId="14" borderId="27" xfId="6" applyFont="1" applyFill="1" applyBorder="1" applyAlignment="1">
      <alignment horizontal="right"/>
    </xf>
    <xf numFmtId="9" fontId="58" fillId="14" borderId="76" xfId="7" applyFont="1" applyFill="1" applyBorder="1" applyAlignment="1">
      <alignment horizontal="right"/>
    </xf>
    <xf numFmtId="9" fontId="36" fillId="14" borderId="27" xfId="7" applyFont="1" applyFill="1" applyBorder="1" applyAlignment="1">
      <alignment horizontal="left"/>
    </xf>
    <xf numFmtId="0" fontId="37" fillId="14" borderId="76" xfId="6" applyFont="1" applyFill="1" applyBorder="1" applyAlignment="1">
      <alignment horizontal="right"/>
    </xf>
    <xf numFmtId="0" fontId="58" fillId="14" borderId="6" xfId="6" applyFont="1" applyFill="1" applyBorder="1" applyAlignment="1">
      <alignment horizontal="right"/>
    </xf>
    <xf numFmtId="9" fontId="49" fillId="14" borderId="77" xfId="7" applyFont="1" applyFill="1" applyBorder="1" applyAlignment="1">
      <alignment horizontal="left"/>
    </xf>
    <xf numFmtId="9" fontId="49" fillId="14" borderId="27" xfId="3" applyNumberFormat="1" applyFont="1" applyFill="1" applyBorder="1" applyAlignment="1">
      <alignment horizontal="left"/>
    </xf>
    <xf numFmtId="0" fontId="40" fillId="0" borderId="6" xfId="6" applyFont="1" applyBorder="1" applyAlignment="1">
      <alignment horizontal="left" vertical="top"/>
    </xf>
    <xf numFmtId="0" fontId="40" fillId="0" borderId="8" xfId="6" applyFont="1" applyBorder="1" applyAlignment="1">
      <alignment horizontal="left" vertical="top"/>
    </xf>
    <xf numFmtId="0" fontId="129" fillId="0" borderId="0" xfId="6" applyFont="1" applyAlignment="1">
      <alignment horizontal="left" vertical="top"/>
    </xf>
    <xf numFmtId="0" fontId="40" fillId="0" borderId="0" xfId="6" applyFont="1" applyAlignment="1">
      <alignment horizontal="left" vertical="top"/>
    </xf>
    <xf numFmtId="0" fontId="61" fillId="0" borderId="0" xfId="6" applyFont="1" applyAlignment="1">
      <alignment horizontal="left" vertical="top"/>
    </xf>
    <xf numFmtId="0" fontId="40" fillId="0" borderId="7" xfId="6" applyFont="1" applyBorder="1" applyAlignment="1">
      <alignment horizontal="left" vertical="top"/>
    </xf>
    <xf numFmtId="0" fontId="131" fillId="0" borderId="6" xfId="6" applyFont="1" applyBorder="1" applyAlignment="1">
      <alignment horizontal="left" vertical="top"/>
    </xf>
    <xf numFmtId="0" fontId="131" fillId="0" borderId="7" xfId="6" applyFont="1" applyBorder="1" applyAlignment="1">
      <alignment horizontal="left" vertical="top"/>
    </xf>
    <xf numFmtId="168" fontId="61" fillId="0" borderId="7" xfId="3" applyNumberFormat="1" applyFont="1" applyBorder="1" applyAlignment="1">
      <alignment horizontal="left" vertical="top"/>
    </xf>
    <xf numFmtId="168" fontId="61" fillId="0" borderId="8" xfId="3" applyNumberFormat="1" applyFont="1" applyBorder="1" applyAlignment="1">
      <alignment horizontal="left" vertical="top"/>
    </xf>
    <xf numFmtId="0" fontId="61" fillId="0" borderId="7" xfId="6" applyFont="1" applyBorder="1" applyAlignment="1">
      <alignment horizontal="left" vertical="top"/>
    </xf>
    <xf numFmtId="0" fontId="61" fillId="0" borderId="8" xfId="6" applyFont="1" applyBorder="1" applyAlignment="1">
      <alignment horizontal="left" vertical="top"/>
    </xf>
    <xf numFmtId="0" fontId="61" fillId="0" borderId="0" xfId="6" applyFont="1" applyBorder="1" applyAlignment="1">
      <alignment horizontal="left" vertical="top"/>
    </xf>
    <xf numFmtId="9" fontId="21" fillId="14" borderId="6" xfId="6" applyNumberFormat="1" applyFont="1" applyFill="1" applyBorder="1" applyAlignment="1">
      <alignment horizontal="left" vertical="top"/>
    </xf>
    <xf numFmtId="9" fontId="21" fillId="14" borderId="7" xfId="6" applyNumberFormat="1" applyFont="1" applyFill="1" applyBorder="1" applyAlignment="1">
      <alignment horizontal="left" vertical="top"/>
    </xf>
    <xf numFmtId="9" fontId="21" fillId="14" borderId="8" xfId="6" applyNumberFormat="1" applyFont="1" applyFill="1" applyBorder="1" applyAlignment="1">
      <alignment horizontal="left" vertical="top"/>
    </xf>
    <xf numFmtId="0" fontId="21" fillId="14" borderId="8" xfId="6" applyFont="1" applyFill="1" applyBorder="1" applyAlignment="1">
      <alignment horizontal="left" vertical="top"/>
    </xf>
    <xf numFmtId="0" fontId="61" fillId="0" borderId="6" xfId="6" applyFont="1" applyBorder="1" applyAlignment="1">
      <alignment horizontal="left" vertical="top"/>
    </xf>
    <xf numFmtId="9" fontId="40" fillId="0" borderId="7" xfId="7" applyFont="1" applyBorder="1" applyAlignment="1">
      <alignment horizontal="left" vertical="top"/>
    </xf>
    <xf numFmtId="9" fontId="40" fillId="0" borderId="8" xfId="7" applyFont="1" applyBorder="1" applyAlignment="1">
      <alignment horizontal="left" vertical="top"/>
    </xf>
    <xf numFmtId="0" fontId="61" fillId="0" borderId="7" xfId="6" applyFont="1" applyBorder="1" applyAlignment="1">
      <alignment horizontal="left" vertical="top" wrapText="1"/>
    </xf>
    <xf numFmtId="9" fontId="40" fillId="0" borderId="7" xfId="7" applyNumberFormat="1" applyFont="1" applyBorder="1" applyAlignment="1">
      <alignment horizontal="left" vertical="top"/>
    </xf>
    <xf numFmtId="9" fontId="40" fillId="0" borderId="8" xfId="7" applyNumberFormat="1" applyFont="1" applyBorder="1" applyAlignment="1">
      <alignment horizontal="left" vertical="top"/>
    </xf>
    <xf numFmtId="0" fontId="61" fillId="0" borderId="0" xfId="6" applyFont="1" applyAlignment="1">
      <alignment horizontal="left" vertical="top" wrapText="1"/>
    </xf>
    <xf numFmtId="0" fontId="61" fillId="0" borderId="0" xfId="6" applyFont="1" applyAlignment="1">
      <alignment horizontal="center" vertical="top"/>
    </xf>
    <xf numFmtId="0" fontId="44" fillId="0" borderId="0" xfId="6" applyFont="1" applyAlignment="1">
      <alignment horizontal="center" vertical="top"/>
    </xf>
    <xf numFmtId="0" fontId="129" fillId="0" borderId="1" xfId="0" applyFont="1" applyFill="1" applyBorder="1" applyAlignment="1">
      <alignment horizontal="left"/>
    </xf>
    <xf numFmtId="9" fontId="130" fillId="0" borderId="3" xfId="6" applyNumberFormat="1" applyFont="1" applyBorder="1" applyAlignment="1">
      <alignment horizontal="center" vertical="top"/>
    </xf>
    <xf numFmtId="9" fontId="36" fillId="14" borderId="3" xfId="6" applyNumberFormat="1" applyFont="1" applyFill="1" applyBorder="1" applyAlignment="1">
      <alignment horizontal="center" vertical="top"/>
    </xf>
    <xf numFmtId="9" fontId="36" fillId="0" borderId="3" xfId="6" applyNumberFormat="1" applyFont="1" applyFill="1" applyBorder="1" applyAlignment="1">
      <alignment horizontal="center" vertical="top"/>
    </xf>
    <xf numFmtId="9" fontId="40" fillId="0" borderId="3" xfId="6" applyNumberFormat="1" applyFont="1" applyFill="1" applyBorder="1" applyAlignment="1">
      <alignment horizontal="center" vertical="top"/>
    </xf>
    <xf numFmtId="9" fontId="130" fillId="0" borderId="3" xfId="6" applyNumberFormat="1" applyFont="1" applyBorder="1" applyAlignment="1">
      <alignment horizontal="left" vertical="top"/>
    </xf>
    <xf numFmtId="9" fontId="21" fillId="0" borderId="3" xfId="6" applyNumberFormat="1" applyFont="1" applyFill="1" applyBorder="1" applyAlignment="1">
      <alignment horizontal="center" vertical="top"/>
    </xf>
    <xf numFmtId="9" fontId="130" fillId="0" borderId="3" xfId="6" applyNumberFormat="1" applyFont="1" applyFill="1" applyBorder="1" applyAlignment="1">
      <alignment horizontal="center" vertical="top"/>
    </xf>
    <xf numFmtId="9" fontId="130" fillId="0" borderId="3" xfId="6" applyNumberFormat="1" applyFont="1" applyFill="1" applyBorder="1" applyAlignment="1">
      <alignment horizontal="left" vertical="top"/>
    </xf>
    <xf numFmtId="0" fontId="31" fillId="14" borderId="27" xfId="6" applyFont="1" applyFill="1" applyBorder="1" applyAlignment="1">
      <alignment horizontal="left" vertical="top"/>
    </xf>
    <xf numFmtId="9" fontId="49" fillId="3" borderId="27" xfId="7" applyFont="1" applyFill="1" applyBorder="1" applyAlignment="1">
      <alignment horizontal="left"/>
    </xf>
    <xf numFmtId="168" fontId="49" fillId="3" borderId="27" xfId="7" applyNumberFormat="1" applyFont="1" applyFill="1" applyBorder="1" applyAlignment="1">
      <alignment horizontal="left"/>
    </xf>
    <xf numFmtId="9" fontId="49" fillId="3" borderId="75" xfId="3" applyFont="1" applyFill="1" applyBorder="1" applyAlignment="1">
      <alignment horizontal="left"/>
    </xf>
    <xf numFmtId="9" fontId="49" fillId="3" borderId="27" xfId="3" applyFont="1" applyFill="1" applyBorder="1" applyAlignment="1">
      <alignment horizontal="left"/>
    </xf>
    <xf numFmtId="9" fontId="49" fillId="0" borderId="39" xfId="7" applyFont="1" applyBorder="1" applyAlignment="1">
      <alignment horizontal="left"/>
    </xf>
    <xf numFmtId="9" fontId="36" fillId="0" borderId="39" xfId="7" applyFont="1" applyBorder="1" applyAlignment="1">
      <alignment horizontal="left"/>
    </xf>
    <xf numFmtId="0" fontId="49" fillId="14" borderId="27" xfId="6" applyFont="1" applyFill="1" applyBorder="1" applyAlignment="1">
      <alignment horizontal="left"/>
    </xf>
    <xf numFmtId="167" fontId="49" fillId="14" borderId="27" xfId="6" applyNumberFormat="1" applyFont="1" applyFill="1" applyBorder="1" applyAlignment="1">
      <alignment horizontal="left"/>
    </xf>
    <xf numFmtId="2" fontId="49" fillId="14" borderId="27" xfId="6" applyNumberFormat="1" applyFont="1" applyFill="1" applyBorder="1" applyAlignment="1">
      <alignment horizontal="left"/>
    </xf>
    <xf numFmtId="167" fontId="49" fillId="14" borderId="27" xfId="7" applyNumberFormat="1" applyFont="1" applyFill="1" applyBorder="1" applyAlignment="1">
      <alignment horizontal="left" indent="1"/>
    </xf>
    <xf numFmtId="0" fontId="20" fillId="0" borderId="0" xfId="6" applyFont="1" applyBorder="1" applyAlignment="1">
      <alignment horizontal="left"/>
    </xf>
    <xf numFmtId="0" fontId="60" fillId="0" borderId="5" xfId="6" applyFont="1" applyBorder="1" applyAlignment="1">
      <alignment horizontal="left"/>
    </xf>
    <xf numFmtId="0" fontId="60" fillId="0" borderId="0" xfId="6" applyFont="1" applyBorder="1" applyAlignment="1">
      <alignment horizontal="left"/>
    </xf>
    <xf numFmtId="0" fontId="34" fillId="0" borderId="0" xfId="6" applyFont="1" applyBorder="1" applyAlignment="1">
      <alignment horizontal="right"/>
    </xf>
    <xf numFmtId="1" fontId="49" fillId="0" borderId="0" xfId="3" applyNumberFormat="1" applyFont="1" applyBorder="1" applyAlignment="1">
      <alignment horizontal="left"/>
    </xf>
    <xf numFmtId="1" fontId="36" fillId="0" borderId="22" xfId="6" applyNumberFormat="1" applyFont="1" applyFill="1" applyBorder="1" applyAlignment="1">
      <alignment horizontal="right"/>
    </xf>
    <xf numFmtId="9" fontId="36" fillId="0" borderId="31" xfId="7" applyFont="1" applyFill="1" applyBorder="1" applyAlignment="1">
      <alignment horizontal="left"/>
    </xf>
    <xf numFmtId="0" fontId="20" fillId="0" borderId="7" xfId="6" applyFont="1" applyBorder="1" applyAlignment="1">
      <alignment horizontal="left" vertical="top" wrapText="1"/>
    </xf>
    <xf numFmtId="9" fontId="36" fillId="0" borderId="6" xfId="3" applyFont="1" applyBorder="1" applyAlignment="1">
      <alignment horizontal="left" vertical="top"/>
    </xf>
    <xf numFmtId="9" fontId="36" fillId="0" borderId="7" xfId="3" applyFont="1" applyBorder="1" applyAlignment="1">
      <alignment horizontal="left" vertical="top"/>
    </xf>
    <xf numFmtId="9" fontId="36" fillId="0" borderId="8" xfId="3" applyFont="1" applyBorder="1" applyAlignment="1">
      <alignment horizontal="left" vertical="top"/>
    </xf>
    <xf numFmtId="0" fontId="20" fillId="0" borderId="1" xfId="6" applyFont="1" applyBorder="1" applyAlignment="1">
      <alignment horizontal="left" vertical="top"/>
    </xf>
    <xf numFmtId="0" fontId="34" fillId="0" borderId="57" xfId="6" applyFont="1" applyBorder="1" applyAlignment="1">
      <alignment horizontal="left" vertical="top"/>
    </xf>
    <xf numFmtId="0" fontId="20" fillId="0" borderId="57" xfId="6" applyFont="1" applyBorder="1" applyAlignment="1">
      <alignment horizontal="left" vertical="top"/>
    </xf>
    <xf numFmtId="0" fontId="20" fillId="0" borderId="57" xfId="6" applyFont="1" applyBorder="1" applyAlignment="1">
      <alignment horizontal="left" vertical="top" wrapText="1"/>
    </xf>
    <xf numFmtId="2" fontId="49" fillId="0" borderId="31" xfId="7" applyNumberFormat="1" applyFont="1" applyBorder="1" applyAlignment="1">
      <alignment horizontal="left"/>
    </xf>
    <xf numFmtId="2" fontId="64" fillId="0" borderId="0" xfId="6" applyNumberFormat="1" applyFont="1" applyFill="1" applyBorder="1" applyAlignment="1">
      <alignment horizontal="left"/>
    </xf>
    <xf numFmtId="0" fontId="20" fillId="0" borderId="0" xfId="6" applyFont="1" applyAlignment="1">
      <alignment horizontal="left" vertical="top"/>
    </xf>
    <xf numFmtId="0" fontId="34" fillId="0" borderId="0" xfId="6" applyFont="1" applyFill="1" applyAlignment="1">
      <alignment horizontal="center" vertical="top"/>
    </xf>
    <xf numFmtId="0" fontId="37" fillId="0" borderId="0" xfId="6" applyFont="1" applyAlignment="1">
      <alignment vertical="top"/>
    </xf>
    <xf numFmtId="0" fontId="36" fillId="0" borderId="0" xfId="6" applyFont="1" applyAlignment="1">
      <alignment vertical="top"/>
    </xf>
    <xf numFmtId="0" fontId="34" fillId="0" borderId="0" xfId="6" applyFont="1" applyAlignment="1">
      <alignment vertical="top"/>
    </xf>
    <xf numFmtId="0" fontId="72" fillId="14" borderId="0" xfId="0" applyFont="1" applyFill="1" applyAlignment="1">
      <alignment horizontal="left"/>
    </xf>
    <xf numFmtId="167" fontId="74" fillId="14" borderId="0" xfId="0" applyNumberFormat="1" applyFont="1" applyFill="1" applyAlignment="1">
      <alignment horizontal="left"/>
    </xf>
    <xf numFmtId="167" fontId="36" fillId="0" borderId="0" xfId="0" applyNumberFormat="1" applyFont="1" applyFill="1" applyAlignment="1">
      <alignment horizontal="left"/>
    </xf>
    <xf numFmtId="0" fontId="46" fillId="0" borderId="0" xfId="6" applyFont="1" applyAlignment="1">
      <alignment horizontal="left" vertical="top" wrapText="1"/>
    </xf>
    <xf numFmtId="0" fontId="36" fillId="0" borderId="0" xfId="6" applyFont="1" applyAlignment="1">
      <alignment horizontal="left" vertical="top" wrapText="1"/>
    </xf>
    <xf numFmtId="0" fontId="33" fillId="0" borderId="0" xfId="6" applyFont="1" applyAlignment="1">
      <alignment horizontal="left" vertical="top" wrapText="1"/>
    </xf>
    <xf numFmtId="0" fontId="34" fillId="0" borderId="0" xfId="6" applyFont="1" applyAlignment="1">
      <alignment horizontal="left" vertical="top"/>
    </xf>
    <xf numFmtId="0" fontId="36" fillId="0" borderId="0" xfId="6" applyFont="1" applyAlignment="1">
      <alignment horizontal="left" vertical="top" wrapText="1"/>
    </xf>
    <xf numFmtId="0" fontId="34" fillId="0" borderId="0" xfId="6" applyFont="1" applyAlignment="1">
      <alignment horizontal="left" vertical="top"/>
    </xf>
    <xf numFmtId="0" fontId="37" fillId="6" borderId="2" xfId="6" applyFont="1" applyFill="1" applyBorder="1" applyAlignment="1">
      <alignment horizontal="left" vertical="top"/>
    </xf>
    <xf numFmtId="0" fontId="36" fillId="13" borderId="2" xfId="6" applyFont="1" applyFill="1" applyBorder="1" applyAlignment="1">
      <alignment horizontal="left" vertical="top"/>
    </xf>
    <xf numFmtId="0" fontId="36" fillId="13" borderId="8" xfId="6" applyFont="1" applyFill="1" applyBorder="1" applyAlignment="1">
      <alignment horizontal="left" vertical="top"/>
    </xf>
    <xf numFmtId="0" fontId="36" fillId="6" borderId="4" xfId="6" applyFont="1" applyFill="1" applyBorder="1" applyAlignment="1">
      <alignment horizontal="left" vertical="top"/>
    </xf>
    <xf numFmtId="0" fontId="36" fillId="13" borderId="6" xfId="6" applyFont="1" applyFill="1" applyBorder="1" applyAlignment="1">
      <alignment horizontal="left" vertical="top"/>
    </xf>
    <xf numFmtId="0" fontId="36" fillId="13" borderId="3" xfId="6" applyFont="1" applyFill="1" applyBorder="1" applyAlignment="1">
      <alignment horizontal="left" vertical="top"/>
    </xf>
    <xf numFmtId="9" fontId="36" fillId="0" borderId="2" xfId="3" applyFont="1" applyBorder="1" applyAlignment="1">
      <alignment horizontal="left" vertical="top"/>
    </xf>
    <xf numFmtId="167" fontId="36" fillId="0" borderId="2" xfId="6" applyNumberFormat="1" applyFont="1" applyBorder="1" applyAlignment="1">
      <alignment horizontal="left" vertical="top"/>
    </xf>
    <xf numFmtId="0" fontId="40" fillId="0" borderId="1" xfId="0" applyFont="1" applyBorder="1"/>
    <xf numFmtId="9" fontId="40" fillId="0" borderId="1" xfId="3" applyFont="1" applyBorder="1" applyAlignment="1">
      <alignment horizontal="left" vertical="top"/>
    </xf>
    <xf numFmtId="167" fontId="40" fillId="0" borderId="1" xfId="6" applyNumberFormat="1" applyFont="1" applyBorder="1" applyAlignment="1">
      <alignment horizontal="left" vertical="top"/>
    </xf>
    <xf numFmtId="0" fontId="36" fillId="14" borderId="1" xfId="0" applyFont="1" applyFill="1" applyBorder="1"/>
    <xf numFmtId="9" fontId="36" fillId="14" borderId="1" xfId="3" applyFont="1" applyFill="1" applyBorder="1" applyAlignment="1">
      <alignment horizontal="left" vertical="top"/>
    </xf>
    <xf numFmtId="167" fontId="36" fillId="14" borderId="1" xfId="6" applyNumberFormat="1" applyFont="1" applyFill="1" applyBorder="1" applyAlignment="1">
      <alignment horizontal="left" vertical="top"/>
    </xf>
    <xf numFmtId="9" fontId="36" fillId="0" borderId="1" xfId="3" applyFont="1" applyBorder="1" applyAlignment="1">
      <alignment horizontal="left" vertical="top"/>
    </xf>
    <xf numFmtId="167" fontId="36" fillId="0" borderId="1" xfId="6" applyNumberFormat="1" applyFont="1" applyBorder="1" applyAlignment="1">
      <alignment horizontal="left" vertical="top"/>
    </xf>
    <xf numFmtId="0" fontId="40" fillId="0" borderId="1" xfId="6" applyFont="1" applyBorder="1" applyAlignment="1">
      <alignment horizontal="left" vertical="top"/>
    </xf>
    <xf numFmtId="0" fontId="36" fillId="0" borderId="1" xfId="0" applyFont="1" applyFill="1" applyBorder="1"/>
    <xf numFmtId="0" fontId="40" fillId="0" borderId="1" xfId="0" applyFont="1" applyFill="1" applyBorder="1"/>
    <xf numFmtId="9" fontId="36" fillId="0" borderId="4" xfId="3" applyFont="1" applyBorder="1" applyAlignment="1">
      <alignment horizontal="left" vertical="top"/>
    </xf>
    <xf numFmtId="167" fontId="36" fillId="0" borderId="4" xfId="6" applyNumberFormat="1" applyFont="1" applyBorder="1" applyAlignment="1">
      <alignment horizontal="left" vertical="top"/>
    </xf>
    <xf numFmtId="0" fontId="47" fillId="0" borderId="0" xfId="6" applyFont="1" applyAlignment="1">
      <alignment horizontal="left" vertical="top" wrapText="1"/>
    </xf>
    <xf numFmtId="0" fontId="47" fillId="0" borderId="0" xfId="6" applyFont="1" applyFill="1" applyAlignment="1">
      <alignment horizontal="left" vertical="top"/>
    </xf>
    <xf numFmtId="0" fontId="47" fillId="0" borderId="11" xfId="6" applyFont="1" applyBorder="1" applyAlignment="1">
      <alignment horizontal="left" vertical="top"/>
    </xf>
    <xf numFmtId="0" fontId="130" fillId="0" borderId="6" xfId="6" applyFont="1" applyBorder="1" applyAlignment="1">
      <alignment horizontal="left" vertical="top"/>
    </xf>
    <xf numFmtId="167" fontId="47" fillId="0" borderId="3" xfId="6" applyNumberFormat="1" applyFont="1" applyBorder="1" applyAlignment="1">
      <alignment horizontal="left" vertical="top"/>
    </xf>
    <xf numFmtId="167" fontId="130" fillId="0" borderId="3" xfId="6" applyNumberFormat="1" applyFont="1" applyBorder="1" applyAlignment="1">
      <alignment horizontal="left" vertical="top"/>
    </xf>
    <xf numFmtId="0" fontId="47" fillId="14" borderId="6" xfId="6" applyFont="1" applyFill="1" applyBorder="1" applyAlignment="1">
      <alignment horizontal="left" vertical="top"/>
    </xf>
    <xf numFmtId="167" fontId="47" fillId="14" borderId="3" xfId="6" applyNumberFormat="1" applyFont="1" applyFill="1" applyBorder="1" applyAlignment="1">
      <alignment horizontal="left" vertical="top"/>
    </xf>
    <xf numFmtId="0" fontId="47" fillId="0" borderId="0" xfId="6" applyFont="1" applyFill="1" applyAlignment="1">
      <alignment horizontal="left" vertical="top" wrapText="1"/>
    </xf>
    <xf numFmtId="9" fontId="47" fillId="0" borderId="3" xfId="6" applyNumberFormat="1" applyFont="1" applyFill="1" applyBorder="1" applyAlignment="1">
      <alignment horizontal="left" vertical="top"/>
    </xf>
    <xf numFmtId="11" fontId="47" fillId="0" borderId="6" xfId="6" applyNumberFormat="1" applyFont="1" applyBorder="1" applyAlignment="1">
      <alignment horizontal="left" vertical="top"/>
    </xf>
    <xf numFmtId="9" fontId="36" fillId="0" borderId="0" xfId="3" applyFont="1" applyAlignment="1">
      <alignment horizontal="left"/>
    </xf>
    <xf numFmtId="0" fontId="48" fillId="0" borderId="11" xfId="6" applyFont="1" applyFill="1" applyBorder="1" applyAlignment="1">
      <alignment horizontal="left" vertical="top"/>
    </xf>
    <xf numFmtId="0" fontId="36" fillId="0" borderId="0" xfId="0" applyFont="1" applyAlignment="1">
      <alignment horizontal="left" vertical="top"/>
    </xf>
    <xf numFmtId="14" fontId="36" fillId="0" borderId="11" xfId="0" applyNumberFormat="1" applyFont="1" applyFill="1" applyBorder="1" applyAlignment="1">
      <alignment horizontal="left"/>
    </xf>
    <xf numFmtId="173" fontId="40" fillId="0" borderId="11" xfId="0" applyNumberFormat="1" applyFont="1" applyFill="1" applyBorder="1" applyAlignment="1">
      <alignment horizontal="left"/>
    </xf>
    <xf numFmtId="173" fontId="36" fillId="0" borderId="11" xfId="0" applyNumberFormat="1" applyFont="1" applyFill="1" applyBorder="1" applyAlignment="1">
      <alignment horizontal="left"/>
    </xf>
    <xf numFmtId="173" fontId="49" fillId="0" borderId="11" xfId="0" applyNumberFormat="1" applyFont="1" applyFill="1" applyBorder="1" applyAlignment="1">
      <alignment horizontal="left"/>
    </xf>
    <xf numFmtId="14" fontId="49" fillId="0" borderId="11" xfId="0" applyNumberFormat="1" applyFont="1" applyFill="1" applyBorder="1" applyAlignment="1">
      <alignment horizontal="left"/>
    </xf>
    <xf numFmtId="14" fontId="49" fillId="0" borderId="13" xfId="0" applyNumberFormat="1" applyFont="1" applyFill="1" applyBorder="1" applyAlignment="1">
      <alignment horizontal="left"/>
    </xf>
    <xf numFmtId="1" fontId="36" fillId="0" borderId="7" xfId="0" applyNumberFormat="1" applyFont="1" applyFill="1" applyBorder="1" applyAlignment="1">
      <alignment horizontal="left"/>
    </xf>
    <xf numFmtId="1" fontId="40" fillId="0" borderId="7" xfId="0" applyNumberFormat="1" applyFont="1" applyFill="1" applyBorder="1" applyAlignment="1">
      <alignment horizontal="left"/>
    </xf>
    <xf numFmtId="173" fontId="36" fillId="15" borderId="6" xfId="0" applyNumberFormat="1" applyFont="1" applyFill="1" applyBorder="1" applyAlignment="1">
      <alignment horizontal="left"/>
    </xf>
    <xf numFmtId="173" fontId="36" fillId="15" borderId="81" xfId="0" applyNumberFormat="1" applyFont="1" applyFill="1" applyBorder="1" applyAlignment="1">
      <alignment horizontal="left"/>
    </xf>
    <xf numFmtId="173" fontId="37" fillId="7" borderId="15" xfId="0" applyNumberFormat="1" applyFont="1" applyFill="1" applyBorder="1"/>
    <xf numFmtId="173" fontId="37" fillId="7" borderId="11" xfId="0" applyNumberFormat="1" applyFont="1" applyFill="1" applyBorder="1"/>
    <xf numFmtId="0" fontId="25" fillId="0" borderId="0" xfId="0" applyFont="1" applyFill="1"/>
    <xf numFmtId="0" fontId="0" fillId="6" borderId="0" xfId="0" applyFill="1"/>
    <xf numFmtId="0" fontId="37" fillId="6" borderId="0" xfId="0" applyFont="1" applyFill="1"/>
    <xf numFmtId="9" fontId="36" fillId="14" borderId="7" xfId="6" applyNumberFormat="1" applyFont="1" applyFill="1" applyBorder="1" applyAlignment="1">
      <alignment horizontal="center" vertical="top"/>
    </xf>
    <xf numFmtId="9" fontId="36" fillId="0" borderId="7" xfId="6" applyNumberFormat="1" applyFont="1" applyFill="1" applyBorder="1" applyAlignment="1">
      <alignment horizontal="center" vertical="top"/>
    </xf>
    <xf numFmtId="0" fontId="24" fillId="0" borderId="7" xfId="6" applyFont="1" applyBorder="1" applyAlignment="1">
      <alignment horizontal="left" vertical="top"/>
    </xf>
    <xf numFmtId="9" fontId="40" fillId="0" borderId="7" xfId="6" applyNumberFormat="1" applyFont="1" applyFill="1" applyBorder="1" applyAlignment="1">
      <alignment horizontal="center" vertical="top"/>
    </xf>
    <xf numFmtId="11" fontId="36" fillId="0" borderId="7" xfId="6" applyNumberFormat="1" applyFont="1" applyBorder="1" applyAlignment="1">
      <alignment horizontal="left" vertical="top"/>
    </xf>
    <xf numFmtId="9" fontId="130" fillId="0" borderId="7" xfId="6" applyNumberFormat="1" applyFont="1" applyBorder="1" applyAlignment="1">
      <alignment horizontal="center" vertical="top"/>
    </xf>
    <xf numFmtId="9" fontId="21" fillId="0" borderId="7" xfId="6" applyNumberFormat="1" applyFont="1" applyFill="1" applyBorder="1" applyAlignment="1">
      <alignment horizontal="center" vertical="top"/>
    </xf>
    <xf numFmtId="9" fontId="130" fillId="0" borderId="7" xfId="6" applyNumberFormat="1" applyFont="1" applyFill="1" applyBorder="1" applyAlignment="1">
      <alignment horizontal="center" vertical="top"/>
    </xf>
    <xf numFmtId="0" fontId="34" fillId="14" borderId="7" xfId="6" applyFont="1" applyFill="1" applyBorder="1" applyAlignment="1">
      <alignment horizontal="left" vertical="top"/>
    </xf>
    <xf numFmtId="0" fontId="19" fillId="0" borderId="2" xfId="6" applyFont="1" applyBorder="1" applyAlignment="1">
      <alignment horizontal="left" vertical="top" wrapText="1"/>
    </xf>
    <xf numFmtId="0" fontId="37" fillId="13" borderId="0" xfId="0" applyFont="1" applyFill="1"/>
    <xf numFmtId="0" fontId="24" fillId="14" borderId="6" xfId="6" applyFont="1" applyFill="1" applyBorder="1" applyAlignment="1">
      <alignment horizontal="left" vertical="top"/>
    </xf>
    <xf numFmtId="0" fontId="24" fillId="0" borderId="6" xfId="6" applyFont="1" applyBorder="1" applyAlignment="1">
      <alignment horizontal="left" vertical="top"/>
    </xf>
    <xf numFmtId="0" fontId="129" fillId="0" borderId="76" xfId="0" applyFont="1" applyFill="1" applyBorder="1" applyAlignment="1">
      <alignment horizontal="left"/>
    </xf>
    <xf numFmtId="0" fontId="78" fillId="0" borderId="76" xfId="0" applyFont="1" applyFill="1" applyBorder="1" applyAlignment="1">
      <alignment horizontal="left"/>
    </xf>
    <xf numFmtId="0" fontId="47" fillId="0" borderId="76" xfId="0" applyFont="1" applyFill="1" applyBorder="1" applyAlignment="1">
      <alignment horizontal="left"/>
    </xf>
    <xf numFmtId="0" fontId="20" fillId="0" borderId="6" xfId="6" applyFont="1" applyBorder="1" applyAlignment="1">
      <alignment horizontal="left" vertical="top"/>
    </xf>
    <xf numFmtId="0" fontId="34" fillId="14" borderId="6" xfId="6" applyFont="1" applyFill="1" applyBorder="1" applyAlignment="1">
      <alignment horizontal="left" vertical="top"/>
    </xf>
    <xf numFmtId="0" fontId="80" fillId="0" borderId="0" xfId="0" applyFont="1"/>
    <xf numFmtId="0" fontId="19" fillId="0" borderId="0" xfId="6" applyFont="1" applyAlignment="1">
      <alignment horizontal="left" vertical="top" wrapText="1"/>
    </xf>
    <xf numFmtId="0" fontId="19" fillId="0" borderId="74" xfId="6" applyFont="1" applyBorder="1" applyAlignment="1">
      <alignment horizontal="left" vertical="top" wrapText="1"/>
    </xf>
    <xf numFmtId="9" fontId="36" fillId="0" borderId="5" xfId="6" applyNumberFormat="1" applyFont="1" applyFill="1" applyBorder="1" applyAlignment="1">
      <alignment horizontal="left" vertical="top"/>
    </xf>
    <xf numFmtId="9" fontId="36" fillId="0" borderId="5" xfId="6" applyNumberFormat="1" applyFont="1" applyFill="1" applyBorder="1" applyAlignment="1">
      <alignment horizontal="center" vertical="top"/>
    </xf>
    <xf numFmtId="0" fontId="24" fillId="0" borderId="5" xfId="6" applyFont="1" applyBorder="1" applyAlignment="1">
      <alignment horizontal="left" vertical="top"/>
    </xf>
    <xf numFmtId="9" fontId="34" fillId="0" borderId="3" xfId="3" applyFont="1" applyBorder="1" applyAlignment="1">
      <alignment horizontal="left" vertical="top"/>
    </xf>
    <xf numFmtId="9" fontId="72" fillId="0" borderId="2" xfId="6" applyNumberFormat="1" applyFont="1" applyBorder="1" applyAlignment="1">
      <alignment horizontal="left" vertical="top"/>
    </xf>
    <xf numFmtId="9" fontId="72" fillId="0" borderId="1" xfId="6" applyNumberFormat="1" applyFont="1" applyBorder="1" applyAlignment="1">
      <alignment horizontal="left" vertical="top"/>
    </xf>
    <xf numFmtId="9" fontId="72" fillId="0" borderId="4" xfId="6" applyNumberFormat="1" applyFont="1" applyBorder="1" applyAlignment="1">
      <alignment horizontal="left" vertical="top"/>
    </xf>
    <xf numFmtId="9" fontId="34" fillId="14" borderId="3" xfId="3" applyFont="1" applyFill="1" applyBorder="1" applyAlignment="1">
      <alignment horizontal="left" vertical="top"/>
    </xf>
    <xf numFmtId="9" fontId="36" fillId="14" borderId="1" xfId="6" applyNumberFormat="1" applyFont="1" applyFill="1" applyBorder="1" applyAlignment="1">
      <alignment horizontal="left" vertical="top"/>
    </xf>
    <xf numFmtId="9" fontId="36" fillId="14" borderId="3" xfId="3" applyFont="1" applyFill="1" applyBorder="1" applyAlignment="1">
      <alignment horizontal="left" vertical="top"/>
    </xf>
    <xf numFmtId="0" fontId="46" fillId="0" borderId="0" xfId="6" applyFont="1" applyAlignment="1">
      <alignment horizontal="left" vertical="top"/>
    </xf>
    <xf numFmtId="9" fontId="34" fillId="0" borderId="3" xfId="6" applyNumberFormat="1" applyFont="1" applyBorder="1" applyAlignment="1">
      <alignment horizontal="left" vertical="top"/>
    </xf>
    <xf numFmtId="9" fontId="34" fillId="14" borderId="3" xfId="6" applyNumberFormat="1" applyFont="1" applyFill="1" applyBorder="1" applyAlignment="1">
      <alignment horizontal="left" vertical="top"/>
    </xf>
    <xf numFmtId="0" fontId="34" fillId="7" borderId="0" xfId="6" applyFont="1" applyFill="1" applyAlignment="1">
      <alignment horizontal="left" vertical="top" wrapText="1"/>
    </xf>
    <xf numFmtId="0" fontId="46" fillId="7" borderId="0" xfId="6" applyFont="1" applyFill="1" applyAlignment="1">
      <alignment horizontal="left" vertical="top"/>
    </xf>
    <xf numFmtId="0" fontId="36" fillId="7" borderId="0" xfId="6" applyFont="1" applyFill="1" applyAlignment="1">
      <alignment horizontal="left" vertical="top"/>
    </xf>
    <xf numFmtId="0" fontId="48" fillId="6" borderId="3" xfId="6" applyFont="1" applyFill="1" applyBorder="1" applyAlignment="1">
      <alignment horizontal="left" vertical="top"/>
    </xf>
    <xf numFmtId="9" fontId="19" fillId="0" borderId="3" xfId="6" applyNumberFormat="1" applyFont="1" applyBorder="1" applyAlignment="1">
      <alignment horizontal="left" vertical="top"/>
    </xf>
    <xf numFmtId="9" fontId="19" fillId="14" borderId="3" xfId="6" applyNumberFormat="1" applyFont="1" applyFill="1" applyBorder="1" applyAlignment="1">
      <alignment horizontal="left" vertical="top"/>
    </xf>
    <xf numFmtId="0" fontId="36" fillId="0" borderId="0" xfId="0" applyFont="1" applyAlignment="1">
      <alignment horizontal="left" vertical="top"/>
    </xf>
    <xf numFmtId="1" fontId="36" fillId="14" borderId="11" xfId="0" applyNumberFormat="1" applyFont="1" applyFill="1" applyBorder="1" applyAlignment="1">
      <alignment horizontal="left" vertical="top"/>
    </xf>
    <xf numFmtId="168" fontId="36" fillId="14" borderId="0" xfId="3" applyNumberFormat="1" applyFont="1" applyFill="1" applyBorder="1" applyAlignment="1">
      <alignment horizontal="left" vertical="top"/>
    </xf>
    <xf numFmtId="9" fontId="36" fillId="14" borderId="0" xfId="0" applyNumberFormat="1" applyFont="1" applyFill="1" applyBorder="1" applyAlignment="1">
      <alignment horizontal="left" vertical="top"/>
    </xf>
    <xf numFmtId="1" fontId="36" fillId="14" borderId="18" xfId="0" applyNumberFormat="1" applyFont="1" applyFill="1" applyBorder="1" applyAlignment="1">
      <alignment horizontal="left" vertical="top"/>
    </xf>
    <xf numFmtId="168" fontId="36" fillId="14" borderId="15" xfId="3" applyNumberFormat="1" applyFont="1" applyFill="1" applyBorder="1" applyAlignment="1">
      <alignment horizontal="left" vertical="top"/>
    </xf>
    <xf numFmtId="167" fontId="36" fillId="14" borderId="11" xfId="0" applyNumberFormat="1" applyFont="1" applyFill="1" applyBorder="1" applyAlignment="1">
      <alignment horizontal="left" vertical="top"/>
    </xf>
    <xf numFmtId="167" fontId="36" fillId="14" borderId="16" xfId="0" applyNumberFormat="1" applyFont="1" applyFill="1" applyBorder="1" applyAlignment="1">
      <alignment horizontal="left" vertical="top"/>
    </xf>
    <xf numFmtId="9" fontId="36" fillId="14" borderId="11" xfId="0" applyNumberFormat="1" applyFont="1" applyFill="1" applyBorder="1" applyAlignment="1">
      <alignment horizontal="left" vertical="top"/>
    </xf>
    <xf numFmtId="9" fontId="36" fillId="14" borderId="16" xfId="0" applyNumberFormat="1" applyFont="1" applyFill="1" applyBorder="1" applyAlignment="1">
      <alignment horizontal="left" vertical="top"/>
    </xf>
    <xf numFmtId="9" fontId="36" fillId="14" borderId="0" xfId="3" applyFont="1" applyFill="1" applyBorder="1" applyAlignment="1">
      <alignment horizontal="left" vertical="top"/>
    </xf>
    <xf numFmtId="0" fontId="36" fillId="14" borderId="11" xfId="0" applyFont="1" applyFill="1" applyBorder="1" applyAlignment="1">
      <alignment horizontal="left" vertical="top"/>
    </xf>
    <xf numFmtId="0" fontId="36" fillId="14" borderId="15" xfId="0" quotePrefix="1" applyFont="1" applyFill="1" applyBorder="1"/>
    <xf numFmtId="0" fontId="36" fillId="14" borderId="15" xfId="0" applyFont="1" applyFill="1" applyBorder="1"/>
    <xf numFmtId="0" fontId="36" fillId="13" borderId="6" xfId="0" applyFont="1" applyFill="1" applyBorder="1" applyAlignment="1">
      <alignment horizontal="center" vertical="top"/>
    </xf>
    <xf numFmtId="0" fontId="36" fillId="0" borderId="83" xfId="0" applyFont="1" applyBorder="1" applyAlignment="1">
      <alignment horizontal="left" vertical="top"/>
    </xf>
    <xf numFmtId="168" fontId="36" fillId="0" borderId="0" xfId="3" applyNumberFormat="1" applyFont="1" applyBorder="1" applyAlignment="1">
      <alignment horizontal="left" vertical="top" wrapText="1"/>
    </xf>
    <xf numFmtId="0" fontId="36" fillId="0" borderId="0" xfId="0" applyFont="1" applyBorder="1" applyAlignment="1">
      <alignment horizontal="left" vertical="top" wrapText="1"/>
    </xf>
    <xf numFmtId="169" fontId="47" fillId="4" borderId="0" xfId="0" applyNumberFormat="1" applyFont="1" applyFill="1" applyAlignment="1">
      <alignment horizontal="left" vertical="top" wrapText="1"/>
    </xf>
    <xf numFmtId="169" fontId="47" fillId="0" borderId="0" xfId="0" applyNumberFormat="1" applyFont="1" applyAlignment="1">
      <alignment horizontal="left"/>
    </xf>
    <xf numFmtId="9" fontId="47" fillId="0" borderId="0" xfId="0" applyNumberFormat="1" applyFont="1" applyFill="1" applyAlignment="1">
      <alignment horizontal="left"/>
    </xf>
    <xf numFmtId="0" fontId="47" fillId="0" borderId="0" xfId="6" applyFont="1" applyFill="1" applyBorder="1" applyAlignment="1">
      <alignment horizontal="left" vertical="top"/>
    </xf>
    <xf numFmtId="0" fontId="47" fillId="0" borderId="0" xfId="0" applyFont="1" applyFill="1" applyAlignment="1">
      <alignment horizontal="left"/>
    </xf>
    <xf numFmtId="0" fontId="137" fillId="0" borderId="0" xfId="1" applyFont="1" applyAlignment="1" applyProtection="1"/>
    <xf numFmtId="0" fontId="36" fillId="14" borderId="0" xfId="0" quotePrefix="1" applyFont="1" applyFill="1" applyAlignment="1">
      <alignment horizontal="left"/>
    </xf>
    <xf numFmtId="167" fontId="36" fillId="0" borderId="0" xfId="3" applyNumberFormat="1" applyFont="1" applyAlignment="1">
      <alignment horizontal="left"/>
    </xf>
    <xf numFmtId="0" fontId="78" fillId="0" borderId="0" xfId="6" applyFont="1" applyBorder="1" applyAlignment="1">
      <alignment horizontal="left" vertical="top"/>
    </xf>
    <xf numFmtId="0" fontId="78" fillId="0" borderId="0" xfId="0" applyFont="1" applyAlignment="1">
      <alignment horizontal="left"/>
    </xf>
    <xf numFmtId="169" fontId="54" fillId="0" borderId="0" xfId="0" applyNumberFormat="1" applyFont="1" applyFill="1" applyAlignment="1">
      <alignment horizontal="left" vertical="top" wrapText="1"/>
    </xf>
    <xf numFmtId="169" fontId="36" fillId="0" borderId="0" xfId="0" applyNumberFormat="1" applyFont="1" applyFill="1" applyAlignment="1">
      <alignment horizontal="left" vertical="top" wrapText="1"/>
    </xf>
    <xf numFmtId="0" fontId="36" fillId="13" borderId="77" xfId="3" applyNumberFormat="1" applyFont="1" applyFill="1" applyBorder="1" applyAlignment="1">
      <alignment horizontal="left" vertical="top"/>
    </xf>
    <xf numFmtId="167" fontId="36" fillId="0" borderId="0" xfId="3" applyNumberFormat="1" applyFont="1" applyBorder="1" applyAlignment="1">
      <alignment horizontal="left" vertical="top"/>
    </xf>
    <xf numFmtId="9" fontId="47" fillId="0" borderId="0" xfId="0" applyNumberFormat="1" applyFont="1" applyBorder="1" applyAlignment="1">
      <alignment horizontal="left" vertical="top" wrapText="1"/>
    </xf>
    <xf numFmtId="167" fontId="36" fillId="14" borderId="0" xfId="3" applyNumberFormat="1" applyFont="1" applyFill="1" applyBorder="1" applyAlignment="1">
      <alignment horizontal="left" vertical="top"/>
    </xf>
    <xf numFmtId="0" fontId="36" fillId="13" borderId="83" xfId="0" applyFont="1" applyFill="1" applyBorder="1" applyAlignment="1">
      <alignment horizontal="left" vertical="top"/>
    </xf>
    <xf numFmtId="168" fontId="36" fillId="0" borderId="7" xfId="3" applyNumberFormat="1" applyFont="1" applyBorder="1" applyAlignment="1">
      <alignment horizontal="left" vertical="top"/>
    </xf>
    <xf numFmtId="0" fontId="36" fillId="0" borderId="7" xfId="0" applyFont="1" applyBorder="1" applyAlignment="1">
      <alignment horizontal="left" vertical="top"/>
    </xf>
    <xf numFmtId="169" fontId="54" fillId="4" borderId="7" xfId="0" applyNumberFormat="1" applyFont="1" applyFill="1" applyBorder="1" applyAlignment="1">
      <alignment horizontal="left" vertical="top"/>
    </xf>
    <xf numFmtId="0" fontId="36" fillId="0" borderId="82" xfId="0" applyFont="1" applyBorder="1" applyAlignment="1">
      <alignment horizontal="left" vertical="top"/>
    </xf>
    <xf numFmtId="168" fontId="36" fillId="0" borderId="8" xfId="3" applyNumberFormat="1" applyFont="1" applyBorder="1" applyAlignment="1">
      <alignment horizontal="left" vertical="top"/>
    </xf>
    <xf numFmtId="0" fontId="36" fillId="0" borderId="7" xfId="3" applyNumberFormat="1" applyFont="1" applyBorder="1" applyAlignment="1">
      <alignment horizontal="left" vertical="top"/>
    </xf>
    <xf numFmtId="169" fontId="54" fillId="4" borderId="6" xfId="0" applyNumberFormat="1" applyFont="1" applyFill="1" applyBorder="1" applyAlignment="1">
      <alignment horizontal="left" vertical="top"/>
    </xf>
    <xf numFmtId="169" fontId="54" fillId="0" borderId="7" xfId="0" applyNumberFormat="1" applyFont="1" applyBorder="1" applyAlignment="1">
      <alignment horizontal="left" vertical="top"/>
    </xf>
    <xf numFmtId="1" fontId="36" fillId="0" borderId="13" xfId="0" applyNumberFormat="1" applyFont="1" applyBorder="1" applyAlignment="1">
      <alignment horizontal="left" vertical="top" wrapText="1"/>
    </xf>
    <xf numFmtId="1" fontId="36" fillId="0" borderId="14" xfId="0" applyNumberFormat="1" applyFont="1" applyBorder="1" applyAlignment="1">
      <alignment horizontal="left" vertical="top" wrapText="1"/>
    </xf>
    <xf numFmtId="9" fontId="36" fillId="0" borderId="14" xfId="0" applyNumberFormat="1" applyFont="1" applyBorder="1" applyAlignment="1">
      <alignment horizontal="left" vertical="top" wrapText="1"/>
    </xf>
    <xf numFmtId="168" fontId="36" fillId="0" borderId="9" xfId="3" applyNumberFormat="1" applyFont="1" applyBorder="1" applyAlignment="1">
      <alignment horizontal="left" vertical="top"/>
    </xf>
    <xf numFmtId="167" fontId="36" fillId="0" borderId="14" xfId="3" applyNumberFormat="1" applyFont="1" applyBorder="1" applyAlignment="1">
      <alignment horizontal="left" vertical="top"/>
    </xf>
    <xf numFmtId="9" fontId="36" fillId="0" borderId="17" xfId="0" applyNumberFormat="1" applyFont="1" applyBorder="1" applyAlignment="1">
      <alignment horizontal="left" vertical="top"/>
    </xf>
    <xf numFmtId="0" fontId="36" fillId="0" borderId="9" xfId="0" quotePrefix="1" applyFont="1" applyBorder="1"/>
    <xf numFmtId="1" fontId="68" fillId="0" borderId="0" xfId="3" applyNumberFormat="1" applyFont="1" applyBorder="1" applyAlignment="1">
      <alignment horizontal="left" vertical="top"/>
    </xf>
    <xf numFmtId="1" fontId="68" fillId="0" borderId="0" xfId="0" applyNumberFormat="1" applyFont="1" applyBorder="1" applyAlignment="1">
      <alignment horizontal="left" vertical="top"/>
    </xf>
    <xf numFmtId="0" fontId="71" fillId="14" borderId="15" xfId="0" applyFont="1" applyFill="1" applyBorder="1"/>
    <xf numFmtId="9" fontId="71" fillId="0" borderId="0" xfId="0" applyNumberFormat="1" applyFont="1" applyBorder="1" applyAlignment="1">
      <alignment horizontal="left" vertical="top"/>
    </xf>
    <xf numFmtId="0" fontId="37" fillId="13" borderId="0" xfId="0" applyFont="1" applyFill="1" applyAlignment="1">
      <alignment horizontal="left" vertical="top"/>
    </xf>
    <xf numFmtId="9" fontId="46" fillId="0" borderId="0" xfId="0" applyNumberFormat="1" applyFont="1" applyBorder="1" applyAlignment="1">
      <alignment horizontal="left" vertical="top"/>
    </xf>
    <xf numFmtId="1" fontId="46" fillId="0" borderId="18" xfId="0" applyNumberFormat="1" applyFont="1" applyBorder="1" applyAlignment="1">
      <alignment horizontal="left" vertical="top"/>
    </xf>
    <xf numFmtId="168" fontId="46" fillId="0" borderId="15" xfId="3" applyNumberFormat="1" applyFont="1" applyBorder="1" applyAlignment="1">
      <alignment horizontal="left" vertical="top"/>
    </xf>
    <xf numFmtId="167" fontId="46" fillId="0" borderId="0" xfId="3" applyNumberFormat="1" applyFont="1" applyBorder="1" applyAlignment="1">
      <alignment horizontal="left" vertical="top"/>
    </xf>
    <xf numFmtId="167" fontId="46" fillId="0" borderId="11" xfId="0" applyNumberFormat="1" applyFont="1" applyBorder="1" applyAlignment="1">
      <alignment horizontal="left" vertical="top"/>
    </xf>
    <xf numFmtId="167" fontId="46" fillId="0" borderId="16" xfId="0" applyNumberFormat="1" applyFont="1" applyBorder="1" applyAlignment="1">
      <alignment horizontal="left" vertical="top"/>
    </xf>
    <xf numFmtId="9" fontId="46" fillId="0" borderId="11" xfId="0" applyNumberFormat="1" applyFont="1" applyBorder="1" applyAlignment="1">
      <alignment horizontal="left" vertical="top"/>
    </xf>
    <xf numFmtId="9" fontId="46" fillId="0" borderId="0" xfId="0" applyNumberFormat="1" applyFont="1" applyAlignment="1">
      <alignment horizontal="left" vertical="top"/>
    </xf>
    <xf numFmtId="9" fontId="46" fillId="0" borderId="16" xfId="0" applyNumberFormat="1" applyFont="1" applyBorder="1" applyAlignment="1">
      <alignment horizontal="left" vertical="top"/>
    </xf>
    <xf numFmtId="0" fontId="46" fillId="0" borderId="11" xfId="0" applyFont="1" applyBorder="1" applyAlignment="1">
      <alignment horizontal="left" vertical="top"/>
    </xf>
    <xf numFmtId="0" fontId="138" fillId="0" borderId="15" xfId="0" applyFont="1" applyBorder="1"/>
    <xf numFmtId="9" fontId="46" fillId="0" borderId="0" xfId="3" applyFont="1" applyBorder="1" applyAlignment="1">
      <alignment horizontal="left" vertical="top"/>
    </xf>
    <xf numFmtId="9" fontId="46" fillId="14" borderId="0" xfId="0" applyNumberFormat="1" applyFont="1" applyFill="1" applyBorder="1" applyAlignment="1">
      <alignment horizontal="left" vertical="top"/>
    </xf>
    <xf numFmtId="1" fontId="46" fillId="14" borderId="18" xfId="0" applyNumberFormat="1" applyFont="1" applyFill="1" applyBorder="1" applyAlignment="1">
      <alignment horizontal="left" vertical="top"/>
    </xf>
    <xf numFmtId="168" fontId="46" fillId="14" borderId="15" xfId="3" applyNumberFormat="1" applyFont="1" applyFill="1" applyBorder="1" applyAlignment="1">
      <alignment horizontal="left" vertical="top"/>
    </xf>
    <xf numFmtId="167" fontId="46" fillId="14" borderId="0" xfId="3" applyNumberFormat="1" applyFont="1" applyFill="1" applyBorder="1" applyAlignment="1">
      <alignment horizontal="left" vertical="top"/>
    </xf>
    <xf numFmtId="167" fontId="46" fillId="14" borderId="11" xfId="0" applyNumberFormat="1" applyFont="1" applyFill="1" applyBorder="1" applyAlignment="1">
      <alignment horizontal="left" vertical="top"/>
    </xf>
    <xf numFmtId="167" fontId="46" fillId="14" borderId="16" xfId="0" applyNumberFormat="1" applyFont="1" applyFill="1" applyBorder="1" applyAlignment="1">
      <alignment horizontal="left" vertical="top"/>
    </xf>
    <xf numFmtId="9" fontId="46" fillId="14" borderId="11" xfId="0" applyNumberFormat="1" applyFont="1" applyFill="1" applyBorder="1" applyAlignment="1">
      <alignment horizontal="left" vertical="top"/>
    </xf>
    <xf numFmtId="9" fontId="46" fillId="14" borderId="0" xfId="0" applyNumberFormat="1" applyFont="1" applyFill="1" applyAlignment="1">
      <alignment horizontal="left" vertical="top"/>
    </xf>
    <xf numFmtId="9" fontId="46" fillId="14" borderId="16" xfId="0" applyNumberFormat="1" applyFont="1" applyFill="1" applyBorder="1" applyAlignment="1">
      <alignment horizontal="left" vertical="top"/>
    </xf>
    <xf numFmtId="0" fontId="46" fillId="14" borderId="11" xfId="0" applyFont="1" applyFill="1" applyBorder="1" applyAlignment="1">
      <alignment horizontal="left" vertical="top"/>
    </xf>
    <xf numFmtId="0" fontId="138" fillId="14" borderId="15" xfId="0" applyFont="1" applyFill="1" applyBorder="1"/>
    <xf numFmtId="9" fontId="46" fillId="14" borderId="0" xfId="3" applyFont="1" applyFill="1" applyBorder="1" applyAlignment="1">
      <alignment horizontal="left" vertical="top"/>
    </xf>
    <xf numFmtId="9" fontId="138" fillId="0" borderId="0" xfId="0" applyNumberFormat="1" applyFont="1" applyAlignment="1">
      <alignment horizontal="left" vertical="top"/>
    </xf>
    <xf numFmtId="1" fontId="46" fillId="0" borderId="11" xfId="0" applyNumberFormat="1" applyFont="1" applyBorder="1" applyAlignment="1">
      <alignment horizontal="left" vertical="top"/>
    </xf>
    <xf numFmtId="168" fontId="46" fillId="0" borderId="0" xfId="3" applyNumberFormat="1" applyFont="1" applyBorder="1" applyAlignment="1">
      <alignment horizontal="left" vertical="top"/>
    </xf>
    <xf numFmtId="1" fontId="46" fillId="14" borderId="11" xfId="0" applyNumberFormat="1" applyFont="1" applyFill="1" applyBorder="1" applyAlignment="1">
      <alignment horizontal="left" vertical="top"/>
    </xf>
    <xf numFmtId="168" fontId="46" fillId="14" borderId="0" xfId="3" applyNumberFormat="1" applyFont="1" applyFill="1" applyBorder="1" applyAlignment="1">
      <alignment horizontal="left" vertical="top"/>
    </xf>
    <xf numFmtId="0" fontId="46" fillId="0" borderId="0" xfId="0" applyFont="1" applyAlignment="1">
      <alignment horizontal="left" vertical="top"/>
    </xf>
    <xf numFmtId="0" fontId="36" fillId="0" borderId="0" xfId="0" applyNumberFormat="1" applyFont="1" applyBorder="1" applyAlignment="1">
      <alignment horizontal="left" vertical="top"/>
    </xf>
    <xf numFmtId="0" fontId="36" fillId="14" borderId="0" xfId="0" applyNumberFormat="1" applyFont="1" applyFill="1" applyBorder="1" applyAlignment="1">
      <alignment horizontal="left" vertical="top"/>
    </xf>
    <xf numFmtId="0" fontId="36" fillId="0" borderId="0" xfId="0" applyFont="1" applyAlignment="1">
      <alignment horizontal="left" vertical="top"/>
    </xf>
    <xf numFmtId="0" fontId="34" fillId="0" borderId="0" xfId="6" applyFont="1" applyAlignment="1">
      <alignment horizontal="left" vertical="top"/>
    </xf>
    <xf numFmtId="0" fontId="0" fillId="6" borderId="10" xfId="0" applyFill="1" applyBorder="1"/>
    <xf numFmtId="9" fontId="72" fillId="14" borderId="0" xfId="3" applyFont="1" applyFill="1" applyAlignment="1">
      <alignment horizontal="left"/>
    </xf>
    <xf numFmtId="0" fontId="78" fillId="0" borderId="0" xfId="0" applyFont="1" applyAlignment="1">
      <alignment vertical="top"/>
    </xf>
    <xf numFmtId="0" fontId="47" fillId="0" borderId="0" xfId="0" applyFont="1" applyAlignment="1">
      <alignment horizontal="left" vertical="top"/>
    </xf>
    <xf numFmtId="0" fontId="78" fillId="0" borderId="0" xfId="0" applyFont="1" applyAlignment="1">
      <alignment horizontal="center" vertical="top"/>
    </xf>
    <xf numFmtId="1" fontId="0" fillId="0" borderId="0" xfId="3" applyNumberFormat="1" applyFont="1" applyAlignment="1">
      <alignment horizontal="left"/>
    </xf>
    <xf numFmtId="1" fontId="0" fillId="14" borderId="0" xfId="3" applyNumberFormat="1" applyFont="1" applyFill="1" applyAlignment="1">
      <alignment horizontal="left"/>
    </xf>
    <xf numFmtId="168" fontId="0" fillId="0" borderId="0" xfId="3" applyNumberFormat="1" applyFont="1" applyAlignment="1">
      <alignment horizontal="left"/>
    </xf>
    <xf numFmtId="1" fontId="0" fillId="0" borderId="7" xfId="0" applyNumberFormat="1" applyBorder="1" applyAlignment="1">
      <alignment horizontal="left"/>
    </xf>
    <xf numFmtId="9" fontId="0" fillId="0" borderId="7" xfId="3" applyFont="1" applyBorder="1" applyAlignment="1">
      <alignment horizontal="left"/>
    </xf>
    <xf numFmtId="168" fontId="0" fillId="0" borderId="7" xfId="3" applyNumberFormat="1" applyFont="1" applyBorder="1" applyAlignment="1">
      <alignment horizontal="left"/>
    </xf>
    <xf numFmtId="1" fontId="0" fillId="14" borderId="7" xfId="0" applyNumberFormat="1" applyFill="1" applyBorder="1" applyAlignment="1">
      <alignment horizontal="left"/>
    </xf>
    <xf numFmtId="168" fontId="0" fillId="14" borderId="7" xfId="3" applyNumberFormat="1" applyFont="1" applyFill="1" applyBorder="1" applyAlignment="1">
      <alignment horizontal="left"/>
    </xf>
    <xf numFmtId="0" fontId="37" fillId="0" borderId="7" xfId="0" applyFont="1" applyBorder="1" applyAlignment="1">
      <alignment horizontal="left"/>
    </xf>
    <xf numFmtId="0" fontId="78" fillId="0" borderId="0" xfId="0" applyFont="1" applyAlignment="1">
      <alignment horizontal="right" vertical="top"/>
    </xf>
    <xf numFmtId="0" fontId="92" fillId="0" borderId="0" xfId="0" applyFont="1" applyAlignment="1">
      <alignment horizontal="left" vertical="top"/>
    </xf>
    <xf numFmtId="9" fontId="78" fillId="0" borderId="0" xfId="0" applyNumberFormat="1" applyFont="1" applyAlignment="1">
      <alignment horizontal="left" vertical="top"/>
    </xf>
    <xf numFmtId="9" fontId="78" fillId="0" borderId="0" xfId="3" applyFont="1" applyAlignment="1">
      <alignment horizontal="left" vertical="top"/>
    </xf>
    <xf numFmtId="0" fontId="78" fillId="0" borderId="0" xfId="6" applyFont="1" applyFill="1" applyBorder="1" applyAlignment="1">
      <alignment horizontal="left" vertical="top"/>
    </xf>
    <xf numFmtId="9" fontId="78" fillId="0" borderId="0" xfId="0" applyNumberFormat="1" applyFont="1" applyFill="1" applyAlignment="1">
      <alignment horizontal="left" vertical="top"/>
    </xf>
    <xf numFmtId="0" fontId="36" fillId="13" borderId="0" xfId="0" applyFont="1" applyFill="1" applyAlignment="1">
      <alignment horizontal="left" vertical="top"/>
    </xf>
    <xf numFmtId="0" fontId="36" fillId="0" borderId="11" xfId="0" applyNumberFormat="1" applyFont="1" applyBorder="1" applyAlignment="1">
      <alignment horizontal="left" vertical="top"/>
    </xf>
    <xf numFmtId="0" fontId="36" fillId="0" borderId="13" xfId="0" applyNumberFormat="1" applyFont="1" applyBorder="1" applyAlignment="1">
      <alignment horizontal="left" vertical="top"/>
    </xf>
    <xf numFmtId="0" fontId="36" fillId="14" borderId="11" xfId="0" applyNumberFormat="1" applyFont="1" applyFill="1" applyBorder="1" applyAlignment="1">
      <alignment horizontal="left" vertical="top"/>
    </xf>
    <xf numFmtId="0" fontId="37" fillId="0" borderId="0" xfId="0" applyNumberFormat="1" applyFont="1" applyBorder="1" applyAlignment="1">
      <alignment horizontal="left" vertical="top"/>
    </xf>
    <xf numFmtId="0" fontId="37" fillId="13" borderId="0" xfId="0" quotePrefix="1" applyNumberFormat="1" applyFont="1" applyFill="1" applyBorder="1" applyAlignment="1">
      <alignment horizontal="left" vertical="top"/>
    </xf>
    <xf numFmtId="0" fontId="37" fillId="7" borderId="0" xfId="0" applyNumberFormat="1" applyFont="1" applyFill="1" applyBorder="1" applyAlignment="1">
      <alignment horizontal="left" vertical="top"/>
    </xf>
    <xf numFmtId="0" fontId="37" fillId="0" borderId="0" xfId="0" applyNumberFormat="1" applyFont="1" applyFill="1" applyBorder="1" applyAlignment="1">
      <alignment horizontal="left" vertical="top"/>
    </xf>
    <xf numFmtId="0" fontId="36" fillId="0" borderId="12" xfId="0" applyNumberFormat="1" applyFont="1" applyBorder="1" applyAlignment="1">
      <alignment horizontal="left" vertical="top"/>
    </xf>
    <xf numFmtId="0" fontId="76" fillId="8" borderId="12" xfId="0" applyNumberFormat="1" applyFont="1" applyFill="1" applyBorder="1" applyAlignment="1">
      <alignment horizontal="left" vertical="top"/>
    </xf>
    <xf numFmtId="0" fontId="76" fillId="8" borderId="10" xfId="0" applyFont="1" applyFill="1" applyBorder="1" applyAlignment="1">
      <alignment horizontal="left" vertical="top"/>
    </xf>
    <xf numFmtId="0" fontId="72" fillId="0" borderId="15" xfId="0" applyFont="1" applyBorder="1" applyAlignment="1">
      <alignment horizontal="center" vertical="top"/>
    </xf>
    <xf numFmtId="1" fontId="36" fillId="0" borderId="15" xfId="0" applyNumberFormat="1" applyFont="1" applyBorder="1" applyAlignment="1">
      <alignment horizontal="left" vertical="top"/>
    </xf>
    <xf numFmtId="9" fontId="36" fillId="0" borderId="0" xfId="3" applyNumberFormat="1" applyFont="1" applyBorder="1" applyAlignment="1">
      <alignment horizontal="left" vertical="top"/>
    </xf>
    <xf numFmtId="0" fontId="36" fillId="0" borderId="0" xfId="6" applyFont="1" applyAlignment="1">
      <alignment horizontal="center" vertical="top"/>
    </xf>
    <xf numFmtId="9" fontId="34" fillId="0" borderId="11" xfId="6" applyNumberFormat="1" applyFont="1" applyBorder="1" applyAlignment="1">
      <alignment horizontal="left" vertical="top"/>
    </xf>
    <xf numFmtId="168" fontId="36" fillId="0" borderId="0" xfId="0" applyNumberFormat="1" applyFont="1" applyBorder="1" applyAlignment="1">
      <alignment horizontal="left" vertical="top"/>
    </xf>
    <xf numFmtId="0" fontId="50" fillId="0" borderId="0" xfId="0" applyFont="1" applyFill="1" applyAlignment="1">
      <alignment horizontal="left"/>
    </xf>
    <xf numFmtId="0" fontId="78" fillId="0" borderId="0" xfId="0" applyFont="1" applyFill="1" applyAlignment="1">
      <alignment horizontal="left"/>
    </xf>
    <xf numFmtId="0" fontId="47" fillId="0" borderId="0" xfId="0" applyFont="1" applyBorder="1" applyAlignment="1">
      <alignment horizontal="left" vertical="top"/>
    </xf>
    <xf numFmtId="0" fontId="47" fillId="14" borderId="0" xfId="0" applyFont="1" applyFill="1" applyBorder="1" applyAlignment="1">
      <alignment horizontal="left" vertical="top"/>
    </xf>
    <xf numFmtId="0" fontId="46" fillId="0" borderId="0" xfId="0" applyFont="1" applyBorder="1" applyAlignment="1">
      <alignment horizontal="left" vertical="top"/>
    </xf>
    <xf numFmtId="1" fontId="47" fillId="0" borderId="0" xfId="0" applyNumberFormat="1" applyFont="1" applyAlignment="1">
      <alignment horizontal="left"/>
    </xf>
    <xf numFmtId="14" fontId="47" fillId="0" borderId="0" xfId="0" applyNumberFormat="1" applyFont="1" applyFill="1" applyAlignment="1">
      <alignment horizontal="left"/>
    </xf>
    <xf numFmtId="169" fontId="47" fillId="0" borderId="0" xfId="0" applyNumberFormat="1" applyFont="1" applyFill="1" applyAlignment="1">
      <alignment horizontal="left" vertical="top"/>
    </xf>
    <xf numFmtId="1" fontId="47" fillId="0" borderId="0" xfId="3" applyNumberFormat="1" applyFont="1" applyBorder="1" applyAlignment="1">
      <alignment horizontal="left" vertical="top"/>
    </xf>
    <xf numFmtId="0" fontId="36" fillId="14" borderId="11" xfId="0" applyFont="1" applyFill="1" applyBorder="1" applyAlignment="1">
      <alignment horizontal="left"/>
    </xf>
    <xf numFmtId="9" fontId="0" fillId="14" borderId="15" xfId="0" applyNumberFormat="1" applyFill="1" applyBorder="1" applyAlignment="1">
      <alignment horizontal="center"/>
    </xf>
    <xf numFmtId="1" fontId="36" fillId="14" borderId="0" xfId="0" applyNumberFormat="1" applyFont="1" applyFill="1" applyBorder="1" applyAlignment="1">
      <alignment horizontal="left"/>
    </xf>
    <xf numFmtId="10" fontId="36" fillId="14" borderId="0" xfId="3" applyNumberFormat="1" applyFont="1" applyFill="1" applyBorder="1" applyAlignment="1">
      <alignment horizontal="left"/>
    </xf>
    <xf numFmtId="1" fontId="0" fillId="14" borderId="0" xfId="0" applyNumberFormat="1" applyFill="1" applyBorder="1" applyAlignment="1">
      <alignment horizontal="left"/>
    </xf>
    <xf numFmtId="1" fontId="36" fillId="14" borderId="11" xfId="0" applyNumberFormat="1" applyFont="1" applyFill="1" applyBorder="1" applyAlignment="1">
      <alignment horizontal="left"/>
    </xf>
    <xf numFmtId="9" fontId="0" fillId="14" borderId="15" xfId="3" applyFont="1" applyFill="1" applyBorder="1" applyAlignment="1">
      <alignment horizontal="left"/>
    </xf>
    <xf numFmtId="0" fontId="0" fillId="14" borderId="0" xfId="0" applyFill="1"/>
    <xf numFmtId="0" fontId="36" fillId="0" borderId="7" xfId="6" applyFont="1" applyFill="1" applyBorder="1" applyAlignment="1">
      <alignment horizontal="left" vertical="top"/>
    </xf>
    <xf numFmtId="168" fontId="0" fillId="0" borderId="7" xfId="3" applyNumberFormat="1" applyFont="1" applyFill="1" applyBorder="1" applyAlignment="1">
      <alignment horizontal="left"/>
    </xf>
    <xf numFmtId="168" fontId="0" fillId="0" borderId="0" xfId="3" applyNumberFormat="1" applyFont="1" applyFill="1" applyBorder="1" applyAlignment="1">
      <alignment horizontal="left"/>
    </xf>
    <xf numFmtId="1" fontId="36" fillId="0" borderId="11" xfId="0" applyNumberFormat="1" applyFont="1" applyBorder="1" applyAlignment="1">
      <alignment horizontal="left" vertical="top" wrapText="1"/>
    </xf>
    <xf numFmtId="1" fontId="0" fillId="0" borderId="7" xfId="0" applyNumberFormat="1" applyFill="1" applyBorder="1" applyAlignment="1">
      <alignment horizontal="left" indent="1"/>
    </xf>
    <xf numFmtId="167" fontId="0" fillId="14" borderId="7" xfId="0" applyNumberFormat="1" applyFill="1" applyBorder="1" applyAlignment="1">
      <alignment horizontal="left"/>
    </xf>
    <xf numFmtId="167" fontId="0" fillId="0" borderId="7" xfId="0" applyNumberFormat="1" applyBorder="1" applyAlignment="1">
      <alignment horizontal="left"/>
    </xf>
    <xf numFmtId="1" fontId="78" fillId="0" borderId="0" xfId="0" applyNumberFormat="1" applyFont="1" applyAlignment="1">
      <alignment horizontal="left" vertical="top"/>
    </xf>
    <xf numFmtId="0" fontId="47" fillId="0" borderId="0" xfId="0" applyFont="1" applyAlignment="1">
      <alignment horizontal="right" vertical="top"/>
    </xf>
    <xf numFmtId="0" fontId="36" fillId="8" borderId="0" xfId="0" applyFont="1" applyFill="1" applyAlignment="1">
      <alignment horizontal="left" vertical="top"/>
    </xf>
    <xf numFmtId="0" fontId="36" fillId="19" borderId="0" xfId="0" applyFont="1" applyFill="1" applyAlignment="1">
      <alignment horizontal="left" vertical="top"/>
    </xf>
    <xf numFmtId="0" fontId="36" fillId="20" borderId="0" xfId="0" applyFont="1" applyFill="1" applyAlignment="1">
      <alignment horizontal="left" vertical="top"/>
    </xf>
    <xf numFmtId="0" fontId="36" fillId="18" borderId="0" xfId="0" applyFont="1" applyFill="1" applyAlignment="1">
      <alignment horizontal="left" vertical="top"/>
    </xf>
    <xf numFmtId="0" fontId="36" fillId="7" borderId="0" xfId="0" applyFont="1" applyFill="1" applyAlignment="1">
      <alignment horizontal="left" vertical="top"/>
    </xf>
    <xf numFmtId="0" fontId="36" fillId="21" borderId="0" xfId="0" applyFont="1" applyFill="1" applyAlignment="1">
      <alignment horizontal="left" vertical="top"/>
    </xf>
    <xf numFmtId="0" fontId="36" fillId="22" borderId="0" xfId="0" applyFont="1" applyFill="1" applyAlignment="1">
      <alignment horizontal="left" vertical="top"/>
    </xf>
    <xf numFmtId="9" fontId="47" fillId="14" borderId="16" xfId="0" applyNumberFormat="1" applyFont="1" applyFill="1" applyBorder="1" applyAlignment="1">
      <alignment horizontal="left" vertical="top"/>
    </xf>
    <xf numFmtId="9" fontId="47" fillId="0" borderId="16" xfId="0" applyNumberFormat="1" applyFont="1" applyBorder="1" applyAlignment="1">
      <alignment horizontal="left" vertical="top"/>
    </xf>
    <xf numFmtId="167" fontId="47" fillId="14" borderId="16" xfId="0" applyNumberFormat="1" applyFont="1" applyFill="1" applyBorder="1" applyAlignment="1">
      <alignment horizontal="left" vertical="top"/>
    </xf>
    <xf numFmtId="167" fontId="47" fillId="0" borderId="16" xfId="0" applyNumberFormat="1" applyFont="1" applyBorder="1" applyAlignment="1">
      <alignment horizontal="left" vertical="top"/>
    </xf>
    <xf numFmtId="9" fontId="47" fillId="0" borderId="11" xfId="0" applyNumberFormat="1" applyFont="1" applyBorder="1" applyAlignment="1">
      <alignment horizontal="left" vertical="top"/>
    </xf>
    <xf numFmtId="9" fontId="47" fillId="14" borderId="11" xfId="0" applyNumberFormat="1" applyFont="1" applyFill="1" applyBorder="1" applyAlignment="1">
      <alignment horizontal="left" vertical="top"/>
    </xf>
    <xf numFmtId="9" fontId="47" fillId="0" borderId="0" xfId="0" applyNumberFormat="1" applyFont="1" applyBorder="1" applyAlignment="1">
      <alignment horizontal="left" vertical="top"/>
    </xf>
    <xf numFmtId="167" fontId="47" fillId="14" borderId="11" xfId="0" applyNumberFormat="1" applyFont="1" applyFill="1" applyBorder="1" applyAlignment="1">
      <alignment horizontal="left" vertical="top"/>
    </xf>
    <xf numFmtId="167" fontId="47" fillId="0" borderId="11" xfId="0" applyNumberFormat="1" applyFont="1" applyBorder="1" applyAlignment="1">
      <alignment horizontal="left" vertical="top"/>
    </xf>
    <xf numFmtId="167" fontId="46" fillId="0" borderId="0" xfId="0" applyNumberFormat="1" applyFont="1" applyBorder="1" applyAlignment="1">
      <alignment horizontal="left" vertical="top"/>
    </xf>
    <xf numFmtId="9" fontId="37" fillId="14" borderId="16" xfId="0" applyNumberFormat="1" applyFont="1" applyFill="1" applyBorder="1" applyAlignment="1">
      <alignment horizontal="left" vertical="top"/>
    </xf>
    <xf numFmtId="0" fontId="37" fillId="6" borderId="0" xfId="0" applyNumberFormat="1" applyFont="1" applyFill="1" applyBorder="1" applyAlignment="1">
      <alignment horizontal="left" vertical="top"/>
    </xf>
    <xf numFmtId="1" fontId="36" fillId="7" borderId="0" xfId="0" applyNumberFormat="1" applyFont="1" applyFill="1" applyAlignment="1">
      <alignment horizontal="left" vertical="top"/>
    </xf>
    <xf numFmtId="0" fontId="109" fillId="0" borderId="0" xfId="0" applyNumberFormat="1" applyFont="1" applyBorder="1" applyAlignment="1">
      <alignment horizontal="left" vertical="top"/>
    </xf>
    <xf numFmtId="2" fontId="36" fillId="0" borderId="0" xfId="0" applyNumberFormat="1" applyFont="1" applyBorder="1" applyAlignment="1">
      <alignment horizontal="left"/>
    </xf>
    <xf numFmtId="0" fontId="36" fillId="0" borderId="20" xfId="0" applyFont="1" applyBorder="1"/>
    <xf numFmtId="0" fontId="36" fillId="0" borderId="0" xfId="0" applyFont="1" applyAlignment="1">
      <alignment horizontal="center"/>
    </xf>
    <xf numFmtId="0" fontId="0" fillId="6" borderId="12" xfId="0" applyFill="1" applyBorder="1"/>
    <xf numFmtId="0" fontId="0" fillId="6" borderId="5" xfId="0" applyFill="1" applyBorder="1"/>
    <xf numFmtId="0" fontId="37" fillId="6" borderId="5" xfId="0" applyFont="1" applyFill="1" applyBorder="1"/>
    <xf numFmtId="9" fontId="36" fillId="0" borderId="1" xfId="0" applyNumberFormat="1" applyFont="1" applyBorder="1" applyAlignment="1">
      <alignment horizontal="center"/>
    </xf>
    <xf numFmtId="9" fontId="36" fillId="14" borderId="1" xfId="0" applyNumberFormat="1" applyFont="1" applyFill="1" applyBorder="1" applyAlignment="1">
      <alignment horizontal="center"/>
    </xf>
    <xf numFmtId="9" fontId="36" fillId="0" borderId="4" xfId="0" applyNumberFormat="1" applyFont="1" applyBorder="1" applyAlignment="1">
      <alignment horizontal="center"/>
    </xf>
    <xf numFmtId="0" fontId="37" fillId="6" borderId="2" xfId="6" applyFont="1" applyFill="1" applyBorder="1" applyAlignment="1">
      <alignment horizontal="center" vertical="top"/>
    </xf>
    <xf numFmtId="0" fontId="37" fillId="6" borderId="4" xfId="6" applyFont="1" applyFill="1" applyBorder="1" applyAlignment="1">
      <alignment horizontal="center" vertical="top"/>
    </xf>
    <xf numFmtId="0" fontId="37" fillId="6" borderId="6" xfId="6" applyFont="1" applyFill="1" applyBorder="1" applyAlignment="1">
      <alignment horizontal="left" vertical="top"/>
    </xf>
    <xf numFmtId="0" fontId="0" fillId="0" borderId="2" xfId="0" applyBorder="1" applyAlignment="1">
      <alignment horizontal="center"/>
    </xf>
    <xf numFmtId="0" fontId="18" fillId="0" borderId="0" xfId="6" applyFont="1" applyAlignment="1">
      <alignment vertical="top"/>
    </xf>
    <xf numFmtId="0" fontId="36" fillId="8" borderId="3" xfId="0" applyFont="1" applyFill="1" applyBorder="1" applyAlignment="1">
      <alignment horizontal="left" vertical="top"/>
    </xf>
    <xf numFmtId="0" fontId="36" fillId="22" borderId="3" xfId="0" applyFont="1" applyFill="1" applyBorder="1" applyAlignment="1">
      <alignment horizontal="left" vertical="top"/>
    </xf>
    <xf numFmtId="0" fontId="36" fillId="19" borderId="3" xfId="0" applyFont="1" applyFill="1" applyBorder="1" applyAlignment="1">
      <alignment horizontal="left" vertical="top"/>
    </xf>
    <xf numFmtId="0" fontId="36" fillId="14" borderId="8" xfId="0" applyFont="1" applyFill="1" applyBorder="1" applyAlignment="1">
      <alignment horizontal="center" vertical="top"/>
    </xf>
    <xf numFmtId="0" fontId="37" fillId="9" borderId="3" xfId="0" applyFont="1" applyFill="1" applyBorder="1" applyAlignment="1">
      <alignment horizontal="left"/>
    </xf>
    <xf numFmtId="0" fontId="36" fillId="0" borderId="3" xfId="0" applyFont="1" applyBorder="1" applyAlignment="1">
      <alignment horizontal="left"/>
    </xf>
    <xf numFmtId="1" fontId="68" fillId="0" borderId="0" xfId="3" applyNumberFormat="1" applyFont="1" applyFill="1" applyBorder="1" applyAlignment="1">
      <alignment horizontal="left" vertical="top"/>
    </xf>
    <xf numFmtId="1" fontId="68" fillId="0" borderId="0" xfId="0" applyNumberFormat="1" applyFont="1" applyFill="1" applyBorder="1" applyAlignment="1">
      <alignment horizontal="left" vertical="top"/>
    </xf>
    <xf numFmtId="1" fontId="36" fillId="0" borderId="0" xfId="0" applyNumberFormat="1" applyFont="1" applyFill="1" applyBorder="1" applyAlignment="1">
      <alignment horizontal="right" vertical="top"/>
    </xf>
    <xf numFmtId="167" fontId="37" fillId="14" borderId="11" xfId="0" applyNumberFormat="1" applyFont="1" applyFill="1" applyBorder="1" applyAlignment="1">
      <alignment horizontal="left" vertical="top"/>
    </xf>
    <xf numFmtId="0" fontId="36" fillId="0" borderId="0" xfId="0" applyFont="1" applyFill="1" applyAlignment="1">
      <alignment horizontal="left" vertical="top" wrapText="1"/>
    </xf>
    <xf numFmtId="0" fontId="18" fillId="0" borderId="0" xfId="6" quotePrefix="1" applyFont="1" applyAlignment="1">
      <alignment horizontal="left" vertical="top" indent="1"/>
    </xf>
    <xf numFmtId="167" fontId="34" fillId="0" borderId="0" xfId="6" applyNumberFormat="1" applyFont="1" applyBorder="1" applyAlignment="1">
      <alignment horizontal="left" vertical="top"/>
    </xf>
    <xf numFmtId="9" fontId="34" fillId="0" borderId="9" xfId="6" applyNumberFormat="1" applyFont="1" applyBorder="1" applyAlignment="1">
      <alignment horizontal="left" vertical="top"/>
    </xf>
    <xf numFmtId="0" fontId="48" fillId="0" borderId="3" xfId="6" applyFont="1" applyBorder="1" applyAlignment="1">
      <alignment horizontal="left" vertical="top"/>
    </xf>
    <xf numFmtId="1" fontId="18" fillId="0" borderId="1" xfId="6" quotePrefix="1" applyNumberFormat="1" applyFont="1" applyBorder="1" applyAlignment="1">
      <alignment horizontal="left" vertical="top"/>
    </xf>
    <xf numFmtId="1" fontId="18" fillId="14" borderId="1" xfId="6" quotePrefix="1" applyNumberFormat="1" applyFont="1" applyFill="1" applyBorder="1" applyAlignment="1">
      <alignment horizontal="left" vertical="top"/>
    </xf>
    <xf numFmtId="1" fontId="18" fillId="0" borderId="4" xfId="6" quotePrefix="1" applyNumberFormat="1" applyFont="1" applyBorder="1" applyAlignment="1">
      <alignment horizontal="left" vertical="top"/>
    </xf>
    <xf numFmtId="167" fontId="34" fillId="0" borderId="2" xfId="6" applyNumberFormat="1" applyFont="1" applyBorder="1" applyAlignment="1">
      <alignment horizontal="left" vertical="top"/>
    </xf>
    <xf numFmtId="167" fontId="34" fillId="0" borderId="1" xfId="6" applyNumberFormat="1" applyFont="1" applyBorder="1" applyAlignment="1">
      <alignment horizontal="left" vertical="top"/>
    </xf>
    <xf numFmtId="167" fontId="34" fillId="0" borderId="4" xfId="6" applyNumberFormat="1" applyFont="1" applyBorder="1" applyAlignment="1">
      <alignment horizontal="left" vertical="top"/>
    </xf>
    <xf numFmtId="9" fontId="34" fillId="0" borderId="2" xfId="3" applyFont="1" applyBorder="1" applyAlignment="1">
      <alignment horizontal="left" vertical="top"/>
    </xf>
    <xf numFmtId="9" fontId="34" fillId="0" borderId="4" xfId="3" applyFont="1" applyBorder="1" applyAlignment="1">
      <alignment horizontal="left" vertical="top"/>
    </xf>
    <xf numFmtId="0" fontId="18" fillId="0" borderId="3" xfId="6" applyFont="1" applyBorder="1" applyAlignment="1">
      <alignment horizontal="left" vertical="top"/>
    </xf>
    <xf numFmtId="9" fontId="34" fillId="0" borderId="1" xfId="6" applyNumberFormat="1" applyFont="1" applyBorder="1" applyAlignment="1">
      <alignment horizontal="left" vertical="top"/>
    </xf>
    <xf numFmtId="0" fontId="80" fillId="0" borderId="0" xfId="0" applyFont="1" applyAlignment="1">
      <alignment horizontal="left" vertical="top"/>
    </xf>
    <xf numFmtId="0" fontId="47" fillId="0" borderId="0" xfId="0" applyFont="1" applyAlignment="1">
      <alignment horizontal="left" vertical="top" indent="1"/>
    </xf>
    <xf numFmtId="0" fontId="36" fillId="23" borderId="0" xfId="0" applyFont="1" applyFill="1" applyAlignment="1">
      <alignment horizontal="left" vertical="top"/>
    </xf>
    <xf numFmtId="9" fontId="36" fillId="14" borderId="0" xfId="3" applyFont="1" applyFill="1" applyAlignment="1">
      <alignment horizontal="left"/>
    </xf>
    <xf numFmtId="0" fontId="34" fillId="0" borderId="0" xfId="6" applyFont="1" applyAlignment="1">
      <alignment horizontal="left" vertical="top"/>
    </xf>
    <xf numFmtId="0" fontId="36" fillId="0" borderId="0" xfId="0" applyFont="1" applyAlignment="1">
      <alignment horizontal="left" vertical="top"/>
    </xf>
    <xf numFmtId="0" fontId="36" fillId="11" borderId="0" xfId="15" applyNumberFormat="1" applyFill="1" applyAlignment="1">
      <alignment horizontal="left" vertical="top" wrapText="1"/>
    </xf>
    <xf numFmtId="173" fontId="76" fillId="8" borderId="0" xfId="15" applyFont="1" applyFill="1" applyAlignment="1">
      <alignment horizontal="left"/>
    </xf>
    <xf numFmtId="0" fontId="36" fillId="8" borderId="0" xfId="15" applyNumberFormat="1" applyFill="1" applyAlignment="1">
      <alignment horizontal="left" vertical="top" wrapText="1"/>
    </xf>
    <xf numFmtId="0" fontId="37" fillId="7" borderId="0" xfId="15" applyNumberFormat="1" applyFont="1" applyFill="1" applyAlignment="1">
      <alignment horizontal="left" vertical="top"/>
    </xf>
    <xf numFmtId="0" fontId="36" fillId="0" borderId="0" xfId="15" applyNumberFormat="1" applyFill="1" applyAlignment="1">
      <alignment horizontal="left" vertical="top" wrapText="1"/>
    </xf>
    <xf numFmtId="0" fontId="137" fillId="0" borderId="0" xfId="16" applyNumberFormat="1" applyFont="1" applyFill="1" applyAlignment="1" applyProtection="1">
      <alignment horizontal="left" vertical="top"/>
    </xf>
    <xf numFmtId="0" fontId="36" fillId="0" borderId="0" xfId="15" applyNumberFormat="1" applyFont="1" applyFill="1" applyAlignment="1">
      <alignment horizontal="left" vertical="top"/>
    </xf>
    <xf numFmtId="0" fontId="36" fillId="0" borderId="0" xfId="16" applyNumberFormat="1" applyFont="1" applyFill="1" applyAlignment="1" applyProtection="1">
      <alignment horizontal="left" vertical="top"/>
    </xf>
    <xf numFmtId="0" fontId="36" fillId="0" borderId="0" xfId="15" applyNumberFormat="1" applyFill="1" applyAlignment="1">
      <alignment horizontal="left" vertical="top"/>
    </xf>
    <xf numFmtId="0" fontId="36" fillId="0" borderId="0" xfId="15" applyNumberFormat="1" applyFont="1" applyFill="1" applyAlignment="1">
      <alignment vertical="top"/>
    </xf>
    <xf numFmtId="0" fontId="36" fillId="0" borderId="0" xfId="15" applyNumberFormat="1" applyFont="1" applyFill="1" applyBorder="1" applyAlignment="1">
      <alignment horizontal="left" vertical="top"/>
    </xf>
    <xf numFmtId="0" fontId="109" fillId="0" borderId="0" xfId="15" applyNumberFormat="1" applyFont="1" applyFill="1" applyAlignment="1">
      <alignment vertical="top"/>
    </xf>
    <xf numFmtId="0" fontId="137" fillId="0" borderId="0" xfId="1" applyFont="1" applyAlignment="1" applyProtection="1">
      <alignment vertical="top"/>
    </xf>
    <xf numFmtId="1" fontId="36" fillId="0" borderId="15" xfId="0" applyNumberFormat="1" applyFont="1" applyBorder="1" applyAlignment="1">
      <alignment horizontal="left" vertical="top"/>
    </xf>
    <xf numFmtId="0" fontId="144" fillId="0" borderId="0" xfId="6" applyFont="1" applyFill="1" applyBorder="1" applyAlignment="1">
      <alignment horizontal="left" vertical="top"/>
    </xf>
    <xf numFmtId="2" fontId="0" fillId="0" borderId="0" xfId="0" applyNumberFormat="1" applyAlignment="1">
      <alignment horizontal="left"/>
    </xf>
    <xf numFmtId="2" fontId="0" fillId="14" borderId="0" xfId="0" applyNumberFormat="1" applyFill="1" applyAlignment="1">
      <alignment horizontal="left"/>
    </xf>
    <xf numFmtId="1" fontId="17" fillId="0" borderId="11" xfId="6" applyNumberFormat="1" applyFont="1" applyFill="1" applyBorder="1" applyAlignment="1">
      <alignment horizontal="left" vertical="top"/>
    </xf>
    <xf numFmtId="1" fontId="17" fillId="0" borderId="13" xfId="6" applyNumberFormat="1" applyFont="1" applyFill="1" applyBorder="1" applyAlignment="1">
      <alignment horizontal="left" vertical="top"/>
    </xf>
    <xf numFmtId="0" fontId="36" fillId="0" borderId="7" xfId="0" applyNumberFormat="1" applyFont="1" applyBorder="1" applyAlignment="1">
      <alignment horizontal="left" vertical="top"/>
    </xf>
    <xf numFmtId="1" fontId="17" fillId="0" borderId="6" xfId="6" applyNumberFormat="1" applyFont="1" applyFill="1" applyBorder="1" applyAlignment="1">
      <alignment horizontal="left" vertical="top"/>
    </xf>
    <xf numFmtId="9" fontId="17" fillId="0" borderId="7" xfId="3" applyFont="1" applyFill="1" applyBorder="1" applyAlignment="1">
      <alignment horizontal="left" vertical="top"/>
    </xf>
    <xf numFmtId="9" fontId="17" fillId="0" borderId="8" xfId="3" applyFont="1" applyFill="1" applyBorder="1" applyAlignment="1">
      <alignment horizontal="left" vertical="top"/>
    </xf>
    <xf numFmtId="168" fontId="17" fillId="0" borderId="7" xfId="3" applyNumberFormat="1" applyFont="1" applyFill="1" applyBorder="1" applyAlignment="1">
      <alignment horizontal="left" vertical="top"/>
    </xf>
    <xf numFmtId="0" fontId="36" fillId="14" borderId="7" xfId="0" applyNumberFormat="1" applyFont="1" applyFill="1" applyBorder="1" applyAlignment="1">
      <alignment horizontal="left" vertical="top"/>
    </xf>
    <xf numFmtId="1" fontId="17" fillId="14" borderId="6" xfId="6" applyNumberFormat="1" applyFont="1" applyFill="1" applyBorder="1" applyAlignment="1">
      <alignment horizontal="left" vertical="top"/>
    </xf>
    <xf numFmtId="168" fontId="17" fillId="14" borderId="7" xfId="3" applyNumberFormat="1" applyFont="1" applyFill="1" applyBorder="1" applyAlignment="1">
      <alignment horizontal="left" vertical="top"/>
    </xf>
    <xf numFmtId="1" fontId="47" fillId="0" borderId="11" xfId="0" applyNumberFormat="1" applyFont="1" applyBorder="1" applyAlignment="1">
      <alignment horizontal="left" vertical="top"/>
    </xf>
    <xf numFmtId="168" fontId="47" fillId="0" borderId="0" xfId="3" applyNumberFormat="1" applyFont="1" applyBorder="1" applyAlignment="1">
      <alignment horizontal="left" vertical="top"/>
    </xf>
    <xf numFmtId="1" fontId="47" fillId="14" borderId="11" xfId="0" applyNumberFormat="1" applyFont="1" applyFill="1" applyBorder="1" applyAlignment="1">
      <alignment horizontal="left" vertical="top"/>
    </xf>
    <xf numFmtId="168" fontId="47" fillId="14" borderId="0" xfId="3" applyNumberFormat="1" applyFont="1" applyFill="1" applyBorder="1" applyAlignment="1">
      <alignment horizontal="left" vertical="top"/>
    </xf>
    <xf numFmtId="9" fontId="47" fillId="0" borderId="0" xfId="3" applyFont="1" applyBorder="1" applyAlignment="1">
      <alignment horizontal="left" vertical="top" wrapText="1"/>
    </xf>
    <xf numFmtId="1" fontId="17" fillId="0" borderId="7" xfId="6" applyNumberFormat="1" applyFont="1" applyFill="1" applyBorder="1" applyAlignment="1">
      <alignment horizontal="left" vertical="top"/>
    </xf>
    <xf numFmtId="168" fontId="17" fillId="0" borderId="9" xfId="3" applyNumberFormat="1" applyFont="1" applyFill="1" applyBorder="1" applyAlignment="1">
      <alignment horizontal="left" vertical="top"/>
    </xf>
    <xf numFmtId="1" fontId="36" fillId="0" borderId="7" xfId="6" applyNumberFormat="1" applyFont="1" applyFill="1" applyBorder="1" applyAlignment="1">
      <alignment horizontal="left" vertical="top"/>
    </xf>
    <xf numFmtId="168" fontId="36" fillId="14" borderId="8" xfId="3" applyNumberFormat="1" applyFont="1" applyFill="1" applyBorder="1" applyAlignment="1">
      <alignment horizontal="left" vertical="top"/>
    </xf>
    <xf numFmtId="0" fontId="36" fillId="0" borderId="5" xfId="0" applyNumberFormat="1" applyFont="1" applyBorder="1" applyAlignment="1">
      <alignment horizontal="left" vertical="top"/>
    </xf>
    <xf numFmtId="0" fontId="17" fillId="0" borderId="0" xfId="6" applyFont="1" applyFill="1" applyBorder="1" applyAlignment="1">
      <alignment horizontal="left" vertical="top"/>
    </xf>
    <xf numFmtId="0" fontId="47" fillId="0" borderId="0" xfId="0" applyFont="1" applyBorder="1" applyAlignment="1">
      <alignment horizontal="left"/>
    </xf>
    <xf numFmtId="173" fontId="47" fillId="0" borderId="0" xfId="0" applyNumberFormat="1" applyFont="1" applyBorder="1"/>
    <xf numFmtId="9" fontId="47" fillId="0" borderId="8" xfId="3" applyNumberFormat="1" applyFont="1" applyFill="1" applyBorder="1" applyAlignment="1">
      <alignment horizontal="left" vertical="top"/>
    </xf>
    <xf numFmtId="9" fontId="47" fillId="0" borderId="15" xfId="3" applyNumberFormat="1" applyFont="1" applyFill="1" applyBorder="1" applyAlignment="1">
      <alignment horizontal="left" vertical="top"/>
    </xf>
    <xf numFmtId="167" fontId="34" fillId="14" borderId="0" xfId="6" applyNumberFormat="1" applyFont="1" applyFill="1" applyBorder="1" applyAlignment="1">
      <alignment horizontal="left" vertical="top"/>
    </xf>
    <xf numFmtId="9" fontId="34" fillId="0" borderId="11" xfId="6" applyNumberFormat="1" applyFont="1" applyFill="1" applyBorder="1" applyAlignment="1">
      <alignment horizontal="left" vertical="top"/>
    </xf>
    <xf numFmtId="0" fontId="18" fillId="0" borderId="6" xfId="6" applyFont="1" applyBorder="1" applyAlignment="1">
      <alignment horizontal="left" vertical="top"/>
    </xf>
    <xf numFmtId="0" fontId="48" fillId="0" borderId="6" xfId="6" applyFont="1" applyBorder="1" applyAlignment="1">
      <alignment horizontal="left" vertical="top"/>
    </xf>
    <xf numFmtId="9" fontId="34" fillId="0" borderId="13" xfId="3" applyFont="1" applyBorder="1" applyAlignment="1">
      <alignment horizontal="left" vertical="top"/>
    </xf>
    <xf numFmtId="1" fontId="18" fillId="0" borderId="2" xfId="6" quotePrefix="1" applyNumberFormat="1" applyFont="1" applyBorder="1" applyAlignment="1">
      <alignment horizontal="left" vertical="top"/>
    </xf>
    <xf numFmtId="9" fontId="34" fillId="14" borderId="11" xfId="6" applyNumberFormat="1" applyFont="1" applyFill="1" applyBorder="1" applyAlignment="1">
      <alignment horizontal="left" vertical="top"/>
    </xf>
    <xf numFmtId="1" fontId="34" fillId="0" borderId="1" xfId="6" applyNumberFormat="1" applyFont="1" applyBorder="1" applyAlignment="1">
      <alignment horizontal="left" vertical="top"/>
    </xf>
    <xf numFmtId="9" fontId="34" fillId="0" borderId="3" xfId="6" applyNumberFormat="1" applyFont="1" applyFill="1" applyBorder="1" applyAlignment="1">
      <alignment horizontal="left" vertical="top"/>
    </xf>
    <xf numFmtId="9" fontId="34" fillId="12" borderId="3" xfId="6" applyNumberFormat="1" applyFont="1" applyFill="1" applyBorder="1" applyAlignment="1">
      <alignment horizontal="left" vertical="top"/>
    </xf>
    <xf numFmtId="0" fontId="17" fillId="0" borderId="3" xfId="6" applyFont="1" applyBorder="1" applyAlignment="1">
      <alignment horizontal="left" vertical="top"/>
    </xf>
    <xf numFmtId="0" fontId="37" fillId="0" borderId="15" xfId="6" applyFont="1" applyBorder="1" applyAlignment="1">
      <alignment horizontal="left" vertical="top"/>
    </xf>
    <xf numFmtId="0" fontId="68" fillId="0" borderId="0" xfId="6" applyFont="1" applyBorder="1" applyAlignment="1">
      <alignment horizontal="left" vertical="top"/>
    </xf>
    <xf numFmtId="0" fontId="68" fillId="14" borderId="0" xfId="6" applyFont="1" applyFill="1" applyBorder="1" applyAlignment="1">
      <alignment horizontal="left" vertical="top"/>
    </xf>
    <xf numFmtId="0" fontId="80" fillId="0" borderId="0" xfId="6" applyFont="1" applyAlignment="1">
      <alignment horizontal="center" vertical="top"/>
    </xf>
    <xf numFmtId="0" fontId="36" fillId="0" borderId="14" xfId="0" applyNumberFormat="1" applyFont="1" applyBorder="1" applyAlignment="1">
      <alignment horizontal="left" vertical="top"/>
    </xf>
    <xf numFmtId="0" fontId="37" fillId="6" borderId="12" xfId="0" applyNumberFormat="1" applyFont="1" applyFill="1" applyBorder="1" applyAlignment="1">
      <alignment horizontal="left" vertical="top"/>
    </xf>
    <xf numFmtId="0" fontId="36" fillId="6" borderId="10" xfId="0" applyFont="1" applyFill="1" applyBorder="1" applyAlignment="1">
      <alignment horizontal="left" vertical="top"/>
    </xf>
    <xf numFmtId="0" fontId="34" fillId="6" borderId="13" xfId="6" applyFont="1" applyFill="1" applyBorder="1" applyAlignment="1">
      <alignment horizontal="left" vertical="top"/>
    </xf>
    <xf numFmtId="0" fontId="37" fillId="6" borderId="9" xfId="0" applyFont="1" applyFill="1" applyBorder="1" applyAlignment="1">
      <alignment horizontal="left" vertical="top"/>
    </xf>
    <xf numFmtId="168" fontId="37" fillId="13" borderId="3" xfId="3" applyNumberFormat="1" applyFont="1" applyFill="1" applyBorder="1" applyAlignment="1">
      <alignment horizontal="left" vertical="top"/>
    </xf>
    <xf numFmtId="0" fontId="37" fillId="13" borderId="3" xfId="0" applyFont="1" applyFill="1" applyBorder="1" applyAlignment="1">
      <alignment horizontal="left" vertical="top"/>
    </xf>
    <xf numFmtId="9" fontId="17" fillId="0" borderId="5" xfId="3" applyFont="1" applyFill="1" applyBorder="1" applyAlignment="1">
      <alignment horizontal="left" vertical="top"/>
    </xf>
    <xf numFmtId="168" fontId="17" fillId="0" borderId="15" xfId="3" applyNumberFormat="1" applyFont="1" applyFill="1" applyBorder="1" applyAlignment="1">
      <alignment horizontal="left" vertical="top"/>
    </xf>
    <xf numFmtId="1" fontId="36" fillId="14" borderId="7" xfId="6" applyNumberFormat="1" applyFont="1" applyFill="1" applyBorder="1" applyAlignment="1">
      <alignment horizontal="left" vertical="top"/>
    </xf>
    <xf numFmtId="9" fontId="34" fillId="0" borderId="8" xfId="6" applyNumberFormat="1" applyFont="1" applyFill="1" applyBorder="1" applyAlignment="1">
      <alignment horizontal="left" vertical="top"/>
    </xf>
    <xf numFmtId="0" fontId="36" fillId="0" borderId="1" xfId="0" applyFont="1" applyBorder="1" applyAlignment="1">
      <alignment horizontal="left" vertical="top"/>
    </xf>
    <xf numFmtId="0" fontId="47" fillId="0" borderId="88" xfId="0" applyFont="1" applyBorder="1" applyAlignment="1">
      <alignment horizontal="left"/>
    </xf>
    <xf numFmtId="9" fontId="47" fillId="0" borderId="89" xfId="6" applyNumberFormat="1" applyFont="1" applyFill="1" applyBorder="1" applyAlignment="1">
      <alignment horizontal="left" vertical="top"/>
    </xf>
    <xf numFmtId="0" fontId="47" fillId="0" borderId="88" xfId="6" applyFont="1" applyFill="1" applyBorder="1" applyAlignment="1">
      <alignment horizontal="left" vertical="top"/>
    </xf>
    <xf numFmtId="1" fontId="17" fillId="0" borderId="5" xfId="6" applyNumberFormat="1" applyFont="1" applyFill="1" applyBorder="1" applyAlignment="1">
      <alignment horizontal="left" vertical="top"/>
    </xf>
    <xf numFmtId="0" fontId="36" fillId="0" borderId="0" xfId="6" applyFont="1" applyFill="1" applyBorder="1" applyAlignment="1">
      <alignment horizontal="left" vertical="top" indent="2"/>
    </xf>
    <xf numFmtId="0" fontId="34" fillId="0" borderId="0" xfId="6" applyFont="1" applyFill="1" applyAlignment="1">
      <alignment horizontal="left" vertical="top" indent="2"/>
    </xf>
    <xf numFmtId="0" fontId="55" fillId="0" borderId="0" xfId="6" applyFont="1" applyBorder="1" applyAlignment="1">
      <alignment horizontal="left" indent="2"/>
    </xf>
    <xf numFmtId="0" fontId="20" fillId="0" borderId="3" xfId="6" applyFont="1" applyBorder="1" applyAlignment="1">
      <alignment horizontal="right" vertical="top" wrapText="1"/>
    </xf>
    <xf numFmtId="0" fontId="145" fillId="0" borderId="0" xfId="6" applyFont="1" applyFill="1" applyBorder="1" applyAlignment="1">
      <alignment horizontal="left" vertical="top"/>
    </xf>
    <xf numFmtId="0" fontId="34" fillId="0" borderId="0" xfId="6" applyFont="1" applyAlignment="1">
      <alignment horizontal="left" vertical="top"/>
    </xf>
    <xf numFmtId="0" fontId="18" fillId="0" borderId="0" xfId="6" applyFont="1" applyAlignment="1">
      <alignment horizontal="left" vertical="top"/>
    </xf>
    <xf numFmtId="0" fontId="16" fillId="0" borderId="0" xfId="6" applyFont="1" applyFill="1" applyBorder="1" applyAlignment="1">
      <alignment horizontal="left" vertical="top"/>
    </xf>
    <xf numFmtId="0" fontId="34" fillId="0" borderId="0" xfId="6" applyFont="1" applyFill="1" applyAlignment="1">
      <alignment horizontal="left" vertical="top" indent="2"/>
    </xf>
    <xf numFmtId="0" fontId="145" fillId="0" borderId="0" xfId="6" applyFont="1" applyFill="1" applyBorder="1" applyAlignment="1">
      <alignment horizontal="right" vertical="top"/>
    </xf>
    <xf numFmtId="0" fontId="78" fillId="0" borderId="0" xfId="6" applyFont="1" applyAlignment="1">
      <alignment horizontal="left" vertical="top"/>
    </xf>
    <xf numFmtId="0" fontId="34" fillId="0" borderId="2" xfId="6" applyFont="1" applyBorder="1" applyAlignment="1">
      <alignment horizontal="left" vertical="top"/>
    </xf>
    <xf numFmtId="1" fontId="18" fillId="14" borderId="3" xfId="6" quotePrefix="1" applyNumberFormat="1" applyFont="1" applyFill="1" applyBorder="1" applyAlignment="1">
      <alignment horizontal="left" vertical="top"/>
    </xf>
    <xf numFmtId="167" fontId="34" fillId="14" borderId="7" xfId="6" applyNumberFormat="1" applyFont="1" applyFill="1" applyBorder="1" applyAlignment="1">
      <alignment horizontal="left" vertical="top"/>
    </xf>
    <xf numFmtId="1" fontId="34" fillId="14" borderId="3" xfId="6" applyNumberFormat="1" applyFont="1" applyFill="1" applyBorder="1" applyAlignment="1">
      <alignment horizontal="left" vertical="top"/>
    </xf>
    <xf numFmtId="167" fontId="34" fillId="0" borderId="5" xfId="6" applyNumberFormat="1" applyFont="1" applyBorder="1" applyAlignment="1">
      <alignment horizontal="left" vertical="top"/>
    </xf>
    <xf numFmtId="9" fontId="34" fillId="0" borderId="12" xfId="6" applyNumberFormat="1" applyFont="1" applyBorder="1" applyAlignment="1">
      <alignment horizontal="left" vertical="top"/>
    </xf>
    <xf numFmtId="0" fontId="48" fillId="0" borderId="2" xfId="6" applyFont="1" applyBorder="1" applyAlignment="1">
      <alignment horizontal="center" vertical="top"/>
    </xf>
    <xf numFmtId="9" fontId="48" fillId="0" borderId="4" xfId="6" applyNumberFormat="1" applyFont="1" applyFill="1" applyBorder="1" applyAlignment="1">
      <alignment horizontal="center" vertical="top"/>
    </xf>
    <xf numFmtId="0" fontId="36" fillId="0" borderId="3" xfId="6" applyFont="1" applyBorder="1" applyAlignment="1">
      <alignment horizontal="left" vertical="top"/>
    </xf>
    <xf numFmtId="0" fontId="36" fillId="14" borderId="11" xfId="6" applyFont="1" applyFill="1" applyBorder="1" applyAlignment="1">
      <alignment horizontal="left" vertical="top"/>
    </xf>
    <xf numFmtId="0" fontId="36" fillId="14" borderId="1" xfId="6" applyFont="1" applyFill="1" applyBorder="1" applyAlignment="1">
      <alignment horizontal="left" vertical="top"/>
    </xf>
    <xf numFmtId="0" fontId="36" fillId="0" borderId="4" xfId="6" applyFont="1" applyBorder="1" applyAlignment="1">
      <alignment horizontal="left" vertical="top"/>
    </xf>
    <xf numFmtId="167" fontId="34" fillId="0" borderId="14" xfId="6" applyNumberFormat="1" applyFont="1" applyBorder="1" applyAlignment="1">
      <alignment horizontal="left" vertical="top"/>
    </xf>
    <xf numFmtId="0" fontId="15" fillId="0" borderId="9" xfId="6" applyFont="1" applyBorder="1" applyAlignment="1">
      <alignment horizontal="left" vertical="top"/>
    </xf>
    <xf numFmtId="0" fontId="36" fillId="0" borderId="2" xfId="6" applyFont="1" applyBorder="1" applyAlignment="1">
      <alignment horizontal="left" vertical="top"/>
    </xf>
    <xf numFmtId="167" fontId="78" fillId="0" borderId="0" xfId="6" applyNumberFormat="1" applyFont="1" applyAlignment="1">
      <alignment horizontal="left" vertical="top" wrapText="1" indent="1"/>
    </xf>
    <xf numFmtId="167" fontId="47" fillId="0" borderId="0" xfId="6" applyNumberFormat="1" applyFont="1" applyAlignment="1">
      <alignment horizontal="left" vertical="top"/>
    </xf>
    <xf numFmtId="0" fontId="49" fillId="0" borderId="38" xfId="6" applyFont="1" applyBorder="1" applyAlignment="1">
      <alignment horizontal="left"/>
    </xf>
    <xf numFmtId="0" fontId="55" fillId="0" borderId="38" xfId="6" applyFont="1" applyBorder="1" applyAlignment="1">
      <alignment horizontal="left"/>
    </xf>
    <xf numFmtId="0" fontId="34" fillId="0" borderId="0" xfId="6" applyFont="1" applyAlignment="1">
      <alignment horizontal="right" vertical="top"/>
    </xf>
    <xf numFmtId="0" fontId="137" fillId="0" borderId="0" xfId="1" applyFont="1" applyAlignment="1" applyProtection="1">
      <alignment horizontal="left" vertical="top"/>
    </xf>
    <xf numFmtId="0" fontId="16" fillId="0" borderId="0" xfId="6" applyFont="1" applyFill="1" applyBorder="1" applyAlignment="1">
      <alignment horizontal="left" vertical="top"/>
    </xf>
    <xf numFmtId="0" fontId="36" fillId="0" borderId="0" xfId="6" applyFont="1" applyAlignment="1">
      <alignment horizontal="left" vertical="top" wrapText="1"/>
    </xf>
    <xf numFmtId="0" fontId="34" fillId="0" borderId="0" xfId="6" applyFont="1" applyAlignment="1">
      <alignment horizontal="left" vertical="top"/>
    </xf>
    <xf numFmtId="0" fontId="34" fillId="0" borderId="15" xfId="6" applyFont="1" applyBorder="1" applyAlignment="1">
      <alignment horizontal="left" vertical="top"/>
    </xf>
    <xf numFmtId="0" fontId="34" fillId="0" borderId="0" xfId="6" applyFont="1" applyAlignment="1">
      <alignment horizontal="left" vertical="top" wrapText="1"/>
    </xf>
    <xf numFmtId="0" fontId="47" fillId="0" borderId="0" xfId="6" applyFont="1" applyBorder="1" applyAlignment="1">
      <alignment horizontal="left" vertical="top"/>
    </xf>
    <xf numFmtId="0" fontId="47" fillId="0" borderId="0" xfId="6" applyFont="1" applyBorder="1" applyAlignment="1">
      <alignment horizontal="left" vertical="top" wrapText="1"/>
    </xf>
    <xf numFmtId="167" fontId="47" fillId="0" borderId="0" xfId="6" applyNumberFormat="1" applyFont="1" applyBorder="1" applyAlignment="1">
      <alignment horizontal="left" vertical="top" wrapText="1"/>
    </xf>
    <xf numFmtId="0" fontId="36" fillId="0" borderId="0" xfId="6" applyFont="1" applyFill="1" applyBorder="1" applyAlignment="1">
      <alignment horizontal="left" vertical="top" indent="1"/>
    </xf>
    <xf numFmtId="0" fontId="48" fillId="13" borderId="3" xfId="6" applyFont="1" applyFill="1" applyBorder="1" applyAlignment="1">
      <alignment vertical="top"/>
    </xf>
    <xf numFmtId="167" fontId="18" fillId="0" borderId="3" xfId="6" quotePrefix="1" applyNumberFormat="1" applyFont="1" applyBorder="1" applyAlignment="1">
      <alignment horizontal="left" vertical="top" indent="1"/>
    </xf>
    <xf numFmtId="0" fontId="48" fillId="6" borderId="12" xfId="6" applyFont="1" applyFill="1" applyBorder="1" applyAlignment="1">
      <alignment horizontal="left" vertical="top"/>
    </xf>
    <xf numFmtId="0" fontId="48" fillId="6" borderId="10" xfId="6" applyFont="1" applyFill="1" applyBorder="1" applyAlignment="1">
      <alignment horizontal="left" vertical="top"/>
    </xf>
    <xf numFmtId="0" fontId="34" fillId="6" borderId="9" xfId="6" applyFont="1" applyFill="1" applyBorder="1" applyAlignment="1">
      <alignment horizontal="left" vertical="top"/>
    </xf>
    <xf numFmtId="0" fontId="47" fillId="0" borderId="0" xfId="6" applyFont="1" applyAlignment="1">
      <alignment vertical="top"/>
    </xf>
    <xf numFmtId="0" fontId="47" fillId="0" borderId="0" xfId="0" applyFont="1"/>
    <xf numFmtId="0" fontId="124" fillId="0" borderId="0" xfId="0" applyFont="1"/>
    <xf numFmtId="0" fontId="122" fillId="0" borderId="7" xfId="0" applyFont="1" applyBorder="1"/>
    <xf numFmtId="0" fontId="47" fillId="0" borderId="7" xfId="0" applyFont="1" applyBorder="1"/>
    <xf numFmtId="9" fontId="47" fillId="0" borderId="7" xfId="0" applyNumberFormat="1" applyFont="1" applyBorder="1" applyAlignment="1">
      <alignment horizontal="left"/>
    </xf>
    <xf numFmtId="0" fontId="47" fillId="0" borderId="5" xfId="0" applyFont="1" applyBorder="1"/>
    <xf numFmtId="9" fontId="47" fillId="0" borderId="5" xfId="0" applyNumberFormat="1" applyFont="1" applyBorder="1" applyAlignment="1">
      <alignment horizontal="left"/>
    </xf>
    <xf numFmtId="0" fontId="47" fillId="0" borderId="84" xfId="0" applyFont="1" applyBorder="1" applyAlignment="1">
      <alignment horizontal="left" indent="1"/>
    </xf>
    <xf numFmtId="9" fontId="47" fillId="0" borderId="84" xfId="0" applyNumberFormat="1" applyFont="1" applyBorder="1" applyAlignment="1">
      <alignment horizontal="left" indent="1"/>
    </xf>
    <xf numFmtId="0" fontId="47" fillId="0" borderId="14" xfId="0" applyFont="1" applyBorder="1" applyAlignment="1">
      <alignment horizontal="left" indent="1"/>
    </xf>
    <xf numFmtId="9" fontId="47" fillId="0" borderId="14" xfId="0" applyNumberFormat="1" applyFont="1" applyBorder="1" applyAlignment="1">
      <alignment horizontal="left" indent="1"/>
    </xf>
    <xf numFmtId="168" fontId="47" fillId="0" borderId="7" xfId="0" applyNumberFormat="1" applyFont="1" applyBorder="1" applyAlignment="1">
      <alignment horizontal="left"/>
    </xf>
    <xf numFmtId="168" fontId="47" fillId="0" borderId="7" xfId="3" applyNumberFormat="1" applyFont="1" applyBorder="1" applyAlignment="1">
      <alignment horizontal="left"/>
    </xf>
    <xf numFmtId="0" fontId="34" fillId="0" borderId="12" xfId="6" applyFont="1" applyBorder="1" applyAlignment="1">
      <alignment horizontal="left" vertical="top"/>
    </xf>
    <xf numFmtId="0" fontId="34" fillId="0" borderId="13" xfId="6" applyFont="1" applyBorder="1" applyAlignment="1">
      <alignment horizontal="left" vertical="top"/>
    </xf>
    <xf numFmtId="0" fontId="36" fillId="0" borderId="0" xfId="0" applyFont="1" applyAlignment="1">
      <alignment horizontal="right"/>
    </xf>
    <xf numFmtId="0" fontId="34" fillId="0" borderId="8" xfId="6" applyFont="1" applyBorder="1" applyAlignment="1">
      <alignment horizontal="right" vertical="top"/>
    </xf>
    <xf numFmtId="0" fontId="34" fillId="0" borderId="6" xfId="6" applyFont="1" applyBorder="1" applyAlignment="1">
      <alignment horizontal="left" vertical="top" wrapText="1"/>
    </xf>
    <xf numFmtId="0" fontId="36" fillId="18" borderId="3" xfId="0" applyFont="1" applyFill="1" applyBorder="1" applyAlignment="1">
      <alignment horizontal="left" vertical="top"/>
    </xf>
    <xf numFmtId="0" fontId="36" fillId="0" borderId="0" xfId="0" applyFont="1" applyBorder="1" applyAlignment="1">
      <alignment horizontal="center" vertical="top"/>
    </xf>
    <xf numFmtId="9" fontId="36" fillId="0" borderId="12" xfId="3" applyFont="1" applyBorder="1" applyAlignment="1">
      <alignment horizontal="left" vertical="top"/>
    </xf>
    <xf numFmtId="9" fontId="36" fillId="0" borderId="11" xfId="3" applyFont="1" applyBorder="1" applyAlignment="1">
      <alignment horizontal="left" vertical="top"/>
    </xf>
    <xf numFmtId="9" fontId="36" fillId="0" borderId="13" xfId="3" applyFont="1" applyBorder="1" applyAlignment="1">
      <alignment horizontal="left" vertical="top"/>
    </xf>
    <xf numFmtId="0" fontId="36" fillId="0" borderId="77" xfId="0" applyFont="1" applyBorder="1" applyAlignment="1">
      <alignment horizontal="left" vertical="top"/>
    </xf>
    <xf numFmtId="9" fontId="36" fillId="0" borderId="90" xfId="3" applyFont="1" applyBorder="1" applyAlignment="1">
      <alignment horizontal="left" vertical="top"/>
    </xf>
    <xf numFmtId="9" fontId="36" fillId="0" borderId="91" xfId="3" applyFont="1" applyBorder="1" applyAlignment="1">
      <alignment horizontal="left" vertical="top"/>
    </xf>
    <xf numFmtId="9" fontId="36" fillId="0" borderId="92" xfId="3" applyFont="1" applyBorder="1" applyAlignment="1">
      <alignment horizontal="left" vertical="top"/>
    </xf>
    <xf numFmtId="0" fontId="36" fillId="14" borderId="15" xfId="6" applyFont="1" applyFill="1" applyBorder="1" applyAlignment="1">
      <alignment horizontal="left" vertical="top"/>
    </xf>
    <xf numFmtId="0" fontId="36" fillId="0" borderId="0" xfId="0" applyFont="1" applyBorder="1" applyAlignment="1">
      <alignment horizontal="right" vertical="top"/>
    </xf>
    <xf numFmtId="0" fontId="37" fillId="0" borderId="0" xfId="0" applyFont="1" applyBorder="1" applyAlignment="1">
      <alignment horizontal="left" vertical="top"/>
    </xf>
    <xf numFmtId="0" fontId="145" fillId="0" borderId="0" xfId="0" applyFont="1" applyAlignment="1">
      <alignment horizontal="left" vertical="top"/>
    </xf>
    <xf numFmtId="0" fontId="34" fillId="0" borderId="0" xfId="6" applyFont="1" applyAlignment="1">
      <alignment horizontal="left" vertical="top"/>
    </xf>
    <xf numFmtId="0" fontId="34" fillId="0" borderId="0" xfId="6" applyFont="1" applyFill="1" applyAlignment="1">
      <alignment horizontal="left" vertical="top" wrapText="1"/>
    </xf>
    <xf numFmtId="0" fontId="36" fillId="0" borderId="0" xfId="0" applyFont="1" applyFill="1" applyAlignment="1">
      <alignment vertical="top"/>
    </xf>
    <xf numFmtId="0" fontId="13" fillId="0" borderId="7" xfId="6" applyFont="1" applyBorder="1" applyAlignment="1">
      <alignment horizontal="left" vertical="top" wrapText="1"/>
    </xf>
    <xf numFmtId="0" fontId="18" fillId="0" borderId="0" xfId="6" quotePrefix="1" applyFont="1" applyAlignment="1">
      <alignment horizontal="left" vertical="top"/>
    </xf>
    <xf numFmtId="0" fontId="34" fillId="0" borderId="0" xfId="6" quotePrefix="1" applyFont="1" applyAlignment="1">
      <alignment horizontal="left" vertical="top"/>
    </xf>
    <xf numFmtId="0" fontId="34" fillId="0" borderId="0" xfId="6" quotePrefix="1" applyFont="1" applyAlignment="1">
      <alignment horizontal="left" vertical="top" wrapText="1"/>
    </xf>
    <xf numFmtId="9" fontId="68" fillId="0" borderId="0" xfId="6" applyNumberFormat="1" applyFont="1" applyAlignment="1">
      <alignment horizontal="left" vertical="top"/>
    </xf>
    <xf numFmtId="9" fontId="36" fillId="0" borderId="1" xfId="6" applyNumberFormat="1" applyFont="1" applyBorder="1" applyAlignment="1">
      <alignment horizontal="left" vertical="top"/>
    </xf>
    <xf numFmtId="0" fontId="36" fillId="0" borderId="38" xfId="0" applyFont="1" applyBorder="1" applyAlignment="1">
      <alignment horizontal="left" vertical="top"/>
    </xf>
    <xf numFmtId="0" fontId="76" fillId="18" borderId="0" xfId="0" applyNumberFormat="1" applyFont="1" applyFill="1" applyBorder="1" applyAlignment="1">
      <alignment horizontal="left" vertical="top"/>
    </xf>
    <xf numFmtId="0" fontId="37" fillId="0" borderId="6" xfId="0" applyFont="1" applyBorder="1" applyAlignment="1">
      <alignment horizontal="left" vertical="top"/>
    </xf>
    <xf numFmtId="0" fontId="37" fillId="0" borderId="3" xfId="0" applyFont="1" applyBorder="1" applyAlignment="1">
      <alignment horizontal="left" vertical="top"/>
    </xf>
    <xf numFmtId="0" fontId="47" fillId="0" borderId="8" xfId="6" applyFont="1" applyBorder="1" applyAlignment="1">
      <alignment horizontal="left" vertical="top"/>
    </xf>
    <xf numFmtId="167" fontId="47" fillId="0" borderId="7" xfId="0" applyNumberFormat="1" applyFont="1" applyBorder="1" applyAlignment="1">
      <alignment horizontal="left"/>
    </xf>
    <xf numFmtId="0" fontId="0" fillId="13" borderId="0" xfId="0" applyFill="1"/>
    <xf numFmtId="0" fontId="0" fillId="11" borderId="0" xfId="0" applyFill="1" applyAlignment="1">
      <alignment vertical="top"/>
    </xf>
    <xf numFmtId="0" fontId="37" fillId="11" borderId="0" xfId="0" applyFont="1" applyFill="1" applyAlignment="1">
      <alignment vertical="top"/>
    </xf>
    <xf numFmtId="0" fontId="0" fillId="0" borderId="0" xfId="0" applyFill="1" applyAlignment="1">
      <alignment vertical="top"/>
    </xf>
    <xf numFmtId="0" fontId="37" fillId="0" borderId="0" xfId="0" applyFont="1" applyFill="1" applyAlignment="1">
      <alignment vertical="top"/>
    </xf>
    <xf numFmtId="0" fontId="76" fillId="8" borderId="0" xfId="0" applyFont="1" applyFill="1" applyAlignment="1">
      <alignment vertical="top"/>
    </xf>
    <xf numFmtId="0" fontId="77" fillId="8" borderId="0" xfId="0" applyFont="1" applyFill="1" applyAlignment="1">
      <alignment vertical="top"/>
    </xf>
    <xf numFmtId="0" fontId="80" fillId="6" borderId="0" xfId="1" applyFont="1" applyFill="1" applyAlignment="1" applyProtection="1">
      <alignment vertical="top"/>
    </xf>
    <xf numFmtId="0" fontId="37" fillId="6" borderId="0" xfId="0" applyFont="1" applyFill="1" applyAlignment="1">
      <alignment vertical="top"/>
    </xf>
    <xf numFmtId="0" fontId="109" fillId="0" borderId="0" xfId="0" applyFont="1" applyFill="1" applyAlignment="1">
      <alignment vertical="top"/>
    </xf>
    <xf numFmtId="0" fontId="80" fillId="7" borderId="0" xfId="1" applyFont="1" applyFill="1" applyAlignment="1" applyProtection="1">
      <alignment vertical="top"/>
    </xf>
    <xf numFmtId="0" fontId="80" fillId="0" borderId="0" xfId="1" applyFont="1" applyFill="1" applyAlignment="1" applyProtection="1">
      <alignment vertical="top"/>
    </xf>
    <xf numFmtId="0" fontId="80" fillId="3" borderId="0" xfId="1" quotePrefix="1" applyFont="1" applyFill="1" applyAlignment="1" applyProtection="1">
      <alignment vertical="top"/>
    </xf>
    <xf numFmtId="173" fontId="36" fillId="0" borderId="0" xfId="0" applyNumberFormat="1" applyFont="1" applyFill="1" applyAlignment="1">
      <alignment vertical="top"/>
    </xf>
    <xf numFmtId="0" fontId="80" fillId="3" borderId="0" xfId="1" applyFont="1" applyFill="1" applyAlignment="1" applyProtection="1">
      <alignment vertical="top"/>
    </xf>
    <xf numFmtId="0" fontId="36" fillId="11" borderId="0" xfId="0" applyFont="1" applyFill="1" applyAlignment="1">
      <alignment vertical="top"/>
    </xf>
    <xf numFmtId="0" fontId="37" fillId="0" borderId="0" xfId="1" quotePrefix="1" applyFont="1" applyFill="1" applyAlignment="1" applyProtection="1">
      <alignment vertical="top"/>
    </xf>
    <xf numFmtId="0" fontId="38" fillId="0" borderId="5" xfId="4" applyFont="1" applyFill="1" applyBorder="1" applyAlignment="1">
      <alignment vertical="top"/>
    </xf>
    <xf numFmtId="0" fontId="0" fillId="0" borderId="5" xfId="0" applyFill="1" applyBorder="1" applyAlignment="1">
      <alignment vertical="top"/>
    </xf>
    <xf numFmtId="0" fontId="37" fillId="0" borderId="5" xfId="4" applyFont="1" applyFill="1" applyBorder="1" applyAlignment="1">
      <alignment vertical="top"/>
    </xf>
    <xf numFmtId="0" fontId="38" fillId="0" borderId="0" xfId="4" applyFont="1" applyFill="1" applyAlignment="1">
      <alignment vertical="top"/>
    </xf>
    <xf numFmtId="0" fontId="45" fillId="0" borderId="0" xfId="4" applyFont="1" applyFill="1" applyAlignment="1">
      <alignment vertical="top"/>
    </xf>
    <xf numFmtId="14" fontId="83" fillId="0" borderId="0" xfId="13" applyNumberFormat="1" applyFont="1" applyFill="1" applyAlignment="1">
      <alignment horizontal="left" vertical="top"/>
    </xf>
    <xf numFmtId="0" fontId="47" fillId="0" borderId="0" xfId="0" applyFont="1" applyBorder="1"/>
    <xf numFmtId="9" fontId="47" fillId="0" borderId="0" xfId="0" applyNumberFormat="1" applyFont="1" applyBorder="1" applyAlignment="1">
      <alignment horizontal="left"/>
    </xf>
    <xf numFmtId="0" fontId="110" fillId="0" borderId="0" xfId="0" applyFont="1" applyFill="1" applyAlignment="1">
      <alignment vertical="top"/>
    </xf>
    <xf numFmtId="0" fontId="36" fillId="0" borderId="12" xfId="0" applyFont="1" applyBorder="1" applyAlignment="1">
      <alignment horizontal="left" vertical="top"/>
    </xf>
    <xf numFmtId="167" fontId="36" fillId="0" borderId="0" xfId="0" applyNumberFormat="1" applyFont="1" applyFill="1" applyBorder="1" applyAlignment="1">
      <alignment horizontal="left" vertical="top"/>
    </xf>
    <xf numFmtId="0" fontId="37" fillId="13" borderId="0" xfId="0" applyNumberFormat="1" applyFont="1" applyFill="1" applyBorder="1" applyAlignment="1">
      <alignment horizontal="left" vertical="top"/>
    </xf>
    <xf numFmtId="0" fontId="37" fillId="0" borderId="14" xfId="0" applyFont="1" applyBorder="1" applyAlignment="1">
      <alignment horizontal="left" vertical="top"/>
    </xf>
    <xf numFmtId="0" fontId="34" fillId="0" borderId="0" xfId="6" applyFont="1" applyFill="1" applyAlignment="1">
      <alignment horizontal="left" vertical="top"/>
    </xf>
    <xf numFmtId="0" fontId="34" fillId="0" borderId="0" xfId="6" applyFont="1" applyFill="1" applyAlignment="1">
      <alignment horizontal="left" vertical="top" indent="2"/>
    </xf>
    <xf numFmtId="0" fontId="36" fillId="0" borderId="0" xfId="0" applyFont="1" applyAlignment="1">
      <alignment horizontal="left" vertical="top" wrapText="1"/>
    </xf>
    <xf numFmtId="0" fontId="36" fillId="0" borderId="0" xfId="0" applyFont="1" applyAlignment="1">
      <alignment horizontal="left" vertical="top"/>
    </xf>
    <xf numFmtId="0" fontId="36" fillId="0" borderId="0" xfId="0" applyFont="1" applyBorder="1" applyAlignment="1">
      <alignment horizontal="left" vertical="top"/>
    </xf>
    <xf numFmtId="0" fontId="36" fillId="0" borderId="15" xfId="0" applyFont="1" applyBorder="1" applyAlignment="1">
      <alignment horizontal="left" vertical="top"/>
    </xf>
    <xf numFmtId="0" fontId="36" fillId="14" borderId="0" xfId="0" applyFont="1" applyFill="1" applyAlignment="1">
      <alignment horizontal="left" vertical="top"/>
    </xf>
    <xf numFmtId="0" fontId="36" fillId="14" borderId="15" xfId="0" applyFont="1" applyFill="1" applyBorder="1" applyAlignment="1">
      <alignment horizontal="left" vertical="top"/>
    </xf>
    <xf numFmtId="0" fontId="36" fillId="0" borderId="3" xfId="0" applyFont="1" applyBorder="1" applyAlignment="1">
      <alignment horizontal="left" vertical="top"/>
    </xf>
    <xf numFmtId="0" fontId="36" fillId="0" borderId="4" xfId="0" applyFont="1" applyBorder="1" applyAlignment="1">
      <alignment horizontal="left" vertical="top"/>
    </xf>
    <xf numFmtId="0" fontId="36" fillId="0" borderId="9" xfId="6" applyFont="1" applyFill="1" applyBorder="1" applyAlignment="1">
      <alignment horizontal="left" vertical="top"/>
    </xf>
    <xf numFmtId="0" fontId="72" fillId="0" borderId="0" xfId="0" applyFont="1" applyBorder="1" applyAlignment="1">
      <alignment horizontal="left" vertical="top"/>
    </xf>
    <xf numFmtId="0" fontId="36" fillId="0" borderId="1" xfId="0" quotePrefix="1" applyFont="1" applyBorder="1" applyAlignment="1">
      <alignment horizontal="left" vertical="top"/>
    </xf>
    <xf numFmtId="0" fontId="36" fillId="14" borderId="1" xfId="0" applyFont="1" applyFill="1" applyBorder="1" applyAlignment="1">
      <alignment horizontal="left" vertical="top"/>
    </xf>
    <xf numFmtId="0" fontId="36" fillId="0" borderId="10" xfId="0" applyFont="1" applyBorder="1" applyAlignment="1">
      <alignment horizontal="left" vertical="top"/>
    </xf>
    <xf numFmtId="0" fontId="36" fillId="14" borderId="96" xfId="0" applyFont="1" applyFill="1" applyBorder="1" applyAlignment="1">
      <alignment horizontal="left" vertical="top"/>
    </xf>
    <xf numFmtId="0" fontId="36" fillId="0" borderId="96" xfId="0" applyFont="1" applyBorder="1" applyAlignment="1">
      <alignment horizontal="left" vertical="top"/>
    </xf>
    <xf numFmtId="0" fontId="36" fillId="0" borderId="15" xfId="6" applyFont="1" applyFill="1" applyBorder="1" applyAlignment="1">
      <alignment horizontal="left" vertical="top"/>
    </xf>
    <xf numFmtId="173" fontId="48" fillId="7" borderId="0" xfId="0" applyNumberFormat="1" applyFont="1" applyFill="1"/>
    <xf numFmtId="0" fontId="36" fillId="0" borderId="13" xfId="0" applyNumberFormat="1" applyFont="1" applyFill="1" applyBorder="1" applyAlignment="1">
      <alignment horizontal="left" vertical="top"/>
    </xf>
    <xf numFmtId="0" fontId="36" fillId="0" borderId="14" xfId="0" applyFont="1" applyFill="1" applyBorder="1" applyAlignment="1">
      <alignment horizontal="left" vertical="top"/>
    </xf>
    <xf numFmtId="0" fontId="47" fillId="0" borderId="14" xfId="0" applyFont="1" applyBorder="1" applyAlignment="1">
      <alignment horizontal="left" vertical="top"/>
    </xf>
    <xf numFmtId="0" fontId="36" fillId="0" borderId="4" xfId="0" quotePrefix="1" applyFont="1" applyBorder="1" applyAlignment="1">
      <alignment horizontal="left" vertical="top"/>
    </xf>
    <xf numFmtId="0" fontId="36" fillId="0" borderId="94" xfId="0" applyFont="1" applyBorder="1" applyAlignment="1">
      <alignment horizontal="left" vertical="top"/>
    </xf>
    <xf numFmtId="0" fontId="40" fillId="0" borderId="0" xfId="0" applyFont="1" applyAlignment="1">
      <alignment horizontal="left" vertical="top" wrapText="1"/>
    </xf>
    <xf numFmtId="0" fontId="36" fillId="0" borderId="0" xfId="0" applyNumberFormat="1" applyFont="1" applyAlignment="1">
      <alignment horizontal="left" vertical="top"/>
    </xf>
    <xf numFmtId="173" fontId="36" fillId="5" borderId="6" xfId="0" applyNumberFormat="1" applyFont="1" applyFill="1" applyBorder="1" applyAlignment="1">
      <alignment horizontal="left"/>
    </xf>
    <xf numFmtId="173" fontId="36" fillId="5" borderId="8" xfId="0" applyNumberFormat="1" applyFont="1" applyFill="1" applyBorder="1" applyAlignment="1">
      <alignment horizontal="left"/>
    </xf>
    <xf numFmtId="0" fontId="37" fillId="6" borderId="3" xfId="0" applyFont="1" applyFill="1" applyBorder="1" applyAlignment="1">
      <alignment horizontal="center"/>
    </xf>
    <xf numFmtId="14" fontId="37" fillId="3" borderId="3" xfId="0" applyNumberFormat="1" applyFont="1" applyFill="1" applyBorder="1" applyAlignment="1">
      <alignment horizontal="left"/>
    </xf>
    <xf numFmtId="14" fontId="36" fillId="0" borderId="3" xfId="0" applyNumberFormat="1" applyFont="1" applyFill="1" applyBorder="1" applyAlignment="1">
      <alignment horizontal="left"/>
    </xf>
    <xf numFmtId="14" fontId="37" fillId="24" borderId="3" xfId="0" applyNumberFormat="1" applyFont="1" applyFill="1" applyBorder="1" applyAlignment="1">
      <alignment horizontal="left"/>
    </xf>
    <xf numFmtId="0" fontId="37" fillId="24" borderId="3" xfId="0" applyFont="1" applyFill="1" applyBorder="1" applyAlignment="1">
      <alignment horizontal="left"/>
    </xf>
    <xf numFmtId="0" fontId="37" fillId="0" borderId="3" xfId="0" applyFont="1" applyFill="1" applyBorder="1" applyAlignment="1">
      <alignment horizontal="left"/>
    </xf>
    <xf numFmtId="0" fontId="36" fillId="0" borderId="3" xfId="0" applyFont="1" applyFill="1" applyBorder="1" applyAlignment="1">
      <alignment horizontal="left"/>
    </xf>
    <xf numFmtId="0" fontId="0" fillId="0" borderId="0" xfId="0" applyAlignment="1">
      <alignment vertical="top"/>
    </xf>
    <xf numFmtId="0" fontId="36" fillId="0" borderId="0" xfId="0" applyFont="1" applyAlignment="1">
      <alignment vertical="top"/>
    </xf>
    <xf numFmtId="0" fontId="52" fillId="0" borderId="0" xfId="0" applyFont="1" applyAlignment="1">
      <alignment horizontal="right" vertical="top"/>
    </xf>
    <xf numFmtId="0" fontId="36" fillId="0" borderId="0" xfId="0" quotePrefix="1" applyFont="1" applyFill="1" applyAlignment="1">
      <alignment horizontal="left" vertical="top"/>
    </xf>
    <xf numFmtId="0" fontId="0" fillId="0" borderId="0" xfId="0" applyFont="1" applyBorder="1" applyAlignment="1">
      <alignment vertical="top"/>
    </xf>
    <xf numFmtId="0" fontId="49" fillId="0" borderId="0" xfId="0" applyFont="1" applyBorder="1" applyAlignment="1">
      <alignment vertical="top"/>
    </xf>
    <xf numFmtId="0" fontId="0" fillId="0" borderId="8" xfId="0" applyFont="1" applyBorder="1" applyAlignment="1">
      <alignment vertical="top"/>
    </xf>
    <xf numFmtId="0" fontId="0" fillId="0" borderId="6" xfId="0" applyFont="1" applyBorder="1" applyAlignment="1">
      <alignment vertical="top"/>
    </xf>
    <xf numFmtId="0" fontId="36" fillId="0" borderId="76" xfId="0" applyFont="1" applyBorder="1" applyAlignment="1">
      <alignment vertical="top"/>
    </xf>
    <xf numFmtId="0" fontId="37" fillId="0" borderId="3" xfId="0" applyFont="1" applyBorder="1" applyAlignment="1">
      <alignment vertical="top"/>
    </xf>
    <xf numFmtId="0" fontId="0" fillId="0" borderId="11" xfId="0" applyBorder="1" applyAlignment="1">
      <alignment vertical="top"/>
    </xf>
    <xf numFmtId="0" fontId="0" fillId="0" borderId="15" xfId="0" applyBorder="1" applyAlignment="1">
      <alignment vertical="top"/>
    </xf>
    <xf numFmtId="0" fontId="36" fillId="0" borderId="30" xfId="0" applyFont="1" applyBorder="1" applyAlignment="1">
      <alignment vertical="top"/>
    </xf>
    <xf numFmtId="0" fontId="0" fillId="0" borderId="11" xfId="0" applyFill="1" applyBorder="1" applyAlignment="1">
      <alignment vertical="top"/>
    </xf>
    <xf numFmtId="0" fontId="36" fillId="0" borderId="12" xfId="0" applyFont="1" applyBorder="1" applyAlignment="1">
      <alignment vertical="top"/>
    </xf>
    <xf numFmtId="0" fontId="36" fillId="0" borderId="10" xfId="0" applyFont="1" applyBorder="1" applyAlignment="1">
      <alignment vertical="top"/>
    </xf>
    <xf numFmtId="0" fontId="36" fillId="0" borderId="2" xfId="0" applyFont="1" applyFill="1" applyBorder="1" applyAlignment="1">
      <alignment vertical="top"/>
    </xf>
    <xf numFmtId="0" fontId="36" fillId="0" borderId="2" xfId="0" quotePrefix="1" applyFont="1" applyBorder="1" applyAlignment="1">
      <alignment vertical="top"/>
    </xf>
    <xf numFmtId="0" fontId="47" fillId="0" borderId="95" xfId="0" applyFont="1" applyBorder="1" applyAlignment="1">
      <alignment vertical="top"/>
    </xf>
    <xf numFmtId="0" fontId="36" fillId="0" borderId="5" xfId="0" applyFont="1" applyBorder="1" applyAlignment="1">
      <alignment vertical="top"/>
    </xf>
    <xf numFmtId="0" fontId="36" fillId="0" borderId="2" xfId="0" applyFont="1" applyBorder="1" applyAlignment="1">
      <alignment vertical="top"/>
    </xf>
    <xf numFmtId="0" fontId="36" fillId="0" borderId="36" xfId="0" applyFont="1" applyBorder="1" applyAlignment="1">
      <alignment vertical="top"/>
    </xf>
    <xf numFmtId="0" fontId="36" fillId="0" borderId="11" xfId="0" applyFont="1" applyBorder="1" applyAlignment="1">
      <alignment vertical="top"/>
    </xf>
    <xf numFmtId="0" fontId="36" fillId="0" borderId="15" xfId="0" applyFont="1" applyBorder="1" applyAlignment="1">
      <alignment vertical="top"/>
    </xf>
    <xf numFmtId="0" fontId="36" fillId="0" borderId="1" xfId="0" applyFont="1" applyFill="1" applyBorder="1" applyAlignment="1">
      <alignment vertical="top"/>
    </xf>
    <xf numFmtId="0" fontId="36" fillId="0" borderId="1" xfId="0" quotePrefix="1" applyFont="1" applyBorder="1" applyAlignment="1">
      <alignment vertical="top"/>
    </xf>
    <xf numFmtId="0" fontId="47" fillId="0" borderId="11" xfId="0" applyFont="1" applyBorder="1" applyAlignment="1">
      <alignment vertical="top"/>
    </xf>
    <xf numFmtId="0" fontId="47" fillId="0" borderId="96" xfId="0" applyFont="1" applyBorder="1" applyAlignment="1">
      <alignment vertical="top"/>
    </xf>
    <xf numFmtId="0" fontId="36" fillId="0" borderId="0" xfId="0" applyFont="1" applyBorder="1" applyAlignment="1">
      <alignment vertical="top"/>
    </xf>
    <xf numFmtId="0" fontId="36" fillId="0" borderId="1" xfId="0" applyFont="1" applyBorder="1" applyAlignment="1">
      <alignment vertical="top"/>
    </xf>
    <xf numFmtId="0" fontId="0" fillId="14" borderId="11" xfId="0" applyFill="1" applyBorder="1" applyAlignment="1">
      <alignment vertical="top"/>
    </xf>
    <xf numFmtId="0" fontId="0" fillId="14" borderId="15" xfId="0" applyFill="1" applyBorder="1" applyAlignment="1">
      <alignment vertical="top"/>
    </xf>
    <xf numFmtId="0" fontId="36" fillId="14" borderId="36" xfId="0" applyFont="1" applyFill="1" applyBorder="1" applyAlignment="1">
      <alignment vertical="top"/>
    </xf>
    <xf numFmtId="0" fontId="36" fillId="14" borderId="11" xfId="0" applyFont="1" applyFill="1" applyBorder="1" applyAlignment="1">
      <alignment vertical="top"/>
    </xf>
    <xf numFmtId="0" fontId="36" fillId="14" borderId="15" xfId="0" applyFont="1" applyFill="1" applyBorder="1" applyAlignment="1">
      <alignment vertical="top"/>
    </xf>
    <xf numFmtId="0" fontId="36" fillId="14" borderId="1" xfId="0" applyFont="1" applyFill="1" applyBorder="1" applyAlignment="1">
      <alignment vertical="top"/>
    </xf>
    <xf numFmtId="0" fontId="36" fillId="14" borderId="1" xfId="0" quotePrefix="1" applyFont="1" applyFill="1" applyBorder="1" applyAlignment="1">
      <alignment vertical="top"/>
    </xf>
    <xf numFmtId="0" fontId="47" fillId="14" borderId="96" xfId="0" applyFont="1" applyFill="1" applyBorder="1" applyAlignment="1">
      <alignment vertical="top"/>
    </xf>
    <xf numFmtId="0" fontId="36" fillId="14" borderId="0" xfId="0" applyFont="1" applyFill="1" applyBorder="1" applyAlignment="1">
      <alignment vertical="top"/>
    </xf>
    <xf numFmtId="0" fontId="0" fillId="14" borderId="15" xfId="0" applyFont="1" applyFill="1" applyBorder="1" applyAlignment="1">
      <alignment vertical="top"/>
    </xf>
    <xf numFmtId="0" fontId="49" fillId="14" borderId="36" xfId="0" applyFont="1" applyFill="1" applyBorder="1" applyAlignment="1">
      <alignment vertical="top"/>
    </xf>
    <xf numFmtId="0" fontId="71" fillId="0" borderId="1" xfId="0" quotePrefix="1" applyFont="1" applyBorder="1" applyAlignment="1">
      <alignment vertical="top"/>
    </xf>
    <xf numFmtId="0" fontId="47" fillId="0" borderId="15" xfId="0" applyFont="1" applyBorder="1" applyAlignment="1">
      <alignment vertical="top"/>
    </xf>
    <xf numFmtId="0" fontId="55" fillId="0" borderId="11" xfId="0" applyFont="1" applyBorder="1" applyAlignment="1">
      <alignment vertical="top"/>
    </xf>
    <xf numFmtId="0" fontId="55" fillId="0" borderId="15" xfId="0" applyFont="1" applyBorder="1" applyAlignment="1">
      <alignment vertical="top"/>
    </xf>
    <xf numFmtId="0" fontId="0" fillId="0" borderId="15" xfId="0" applyFont="1" applyBorder="1" applyAlignment="1">
      <alignment vertical="top"/>
    </xf>
    <xf numFmtId="0" fontId="49" fillId="0" borderId="36" xfId="0" applyFont="1" applyBorder="1" applyAlignment="1">
      <alignment vertical="top"/>
    </xf>
    <xf numFmtId="0" fontId="36" fillId="0" borderId="1" xfId="0" quotePrefix="1" applyFont="1" applyFill="1" applyBorder="1" applyAlignment="1">
      <alignment vertical="top"/>
    </xf>
    <xf numFmtId="0" fontId="71" fillId="0" borderId="1" xfId="0" applyFont="1" applyBorder="1" applyAlignment="1">
      <alignment vertical="top"/>
    </xf>
    <xf numFmtId="0" fontId="0" fillId="0" borderId="9" xfId="0" applyFont="1" applyBorder="1" applyAlignment="1">
      <alignment vertical="top"/>
    </xf>
    <xf numFmtId="0" fontId="36" fillId="0" borderId="92" xfId="0" applyFont="1" applyBorder="1" applyAlignment="1">
      <alignment vertical="top"/>
    </xf>
    <xf numFmtId="0" fontId="47" fillId="0" borderId="0" xfId="0" applyFont="1" applyFill="1" applyBorder="1" applyAlignment="1">
      <alignment vertical="top"/>
    </xf>
    <xf numFmtId="0" fontId="36" fillId="0" borderId="0" xfId="0" applyFont="1" applyFill="1" applyBorder="1" applyAlignment="1">
      <alignment vertical="top"/>
    </xf>
    <xf numFmtId="0" fontId="36" fillId="0" borderId="0" xfId="0" quotePrefix="1" applyFont="1" applyFill="1" applyBorder="1" applyAlignment="1">
      <alignment vertical="top"/>
    </xf>
    <xf numFmtId="0" fontId="71" fillId="0" borderId="15" xfId="0" quotePrefix="1" applyFont="1" applyBorder="1" applyAlignment="1">
      <alignment vertical="top"/>
    </xf>
    <xf numFmtId="0" fontId="36" fillId="0" borderId="33" xfId="0" applyFont="1" applyFill="1" applyBorder="1" applyAlignment="1">
      <alignment horizontal="left" vertical="top"/>
    </xf>
    <xf numFmtId="0" fontId="36" fillId="0" borderId="33" xfId="0" applyFont="1" applyFill="1" applyBorder="1" applyAlignment="1">
      <alignment vertical="top"/>
    </xf>
    <xf numFmtId="0" fontId="36" fillId="0" borderId="33" xfId="6" applyFont="1" applyFill="1" applyBorder="1" applyAlignment="1">
      <alignment horizontal="left" vertical="top"/>
    </xf>
    <xf numFmtId="0" fontId="36" fillId="0" borderId="7" xfId="0" applyFont="1" applyFill="1" applyBorder="1" applyAlignment="1">
      <alignment vertical="top"/>
    </xf>
    <xf numFmtId="0" fontId="37" fillId="3" borderId="0" xfId="0" applyNumberFormat="1" applyFont="1" applyFill="1" applyBorder="1" applyAlignment="1">
      <alignment horizontal="left" vertical="top"/>
    </xf>
    <xf numFmtId="0" fontId="36" fillId="0" borderId="0" xfId="1" applyFont="1" applyAlignment="1" applyProtection="1">
      <alignment horizontal="left" vertical="top" indent="1"/>
    </xf>
    <xf numFmtId="1" fontId="78" fillId="0" borderId="0" xfId="0" applyNumberFormat="1" applyFont="1" applyAlignment="1">
      <alignment horizontal="left"/>
    </xf>
    <xf numFmtId="167" fontId="78" fillId="0" borderId="0" xfId="0" applyNumberFormat="1" applyFont="1" applyAlignment="1">
      <alignment horizontal="left"/>
    </xf>
    <xf numFmtId="9" fontId="78" fillId="0" borderId="0" xfId="0" applyNumberFormat="1" applyFont="1" applyAlignment="1">
      <alignment horizontal="left"/>
    </xf>
    <xf numFmtId="9" fontId="78" fillId="0" borderId="0" xfId="3" applyFont="1" applyAlignment="1">
      <alignment horizontal="left"/>
    </xf>
    <xf numFmtId="2" fontId="78" fillId="0" borderId="0" xfId="0" applyNumberFormat="1" applyFont="1" applyAlignment="1">
      <alignment horizontal="left"/>
    </xf>
    <xf numFmtId="1" fontId="78" fillId="0" borderId="0" xfId="3" applyNumberFormat="1" applyFont="1" applyAlignment="1">
      <alignment horizontal="left"/>
    </xf>
    <xf numFmtId="167" fontId="78" fillId="0" borderId="0" xfId="3" applyNumberFormat="1" applyFont="1" applyAlignment="1">
      <alignment horizontal="left"/>
    </xf>
    <xf numFmtId="9" fontId="78" fillId="0" borderId="37" xfId="3" applyFont="1" applyFill="1" applyBorder="1" applyAlignment="1">
      <alignment horizontal="left"/>
    </xf>
    <xf numFmtId="9" fontId="78" fillId="0" borderId="38" xfId="3" applyFont="1" applyFill="1" applyBorder="1" applyAlignment="1">
      <alignment horizontal="left"/>
    </xf>
    <xf numFmtId="9" fontId="78" fillId="0" borderId="43" xfId="3" applyFont="1" applyFill="1" applyBorder="1" applyAlignment="1">
      <alignment horizontal="left"/>
    </xf>
    <xf numFmtId="9" fontId="78" fillId="0" borderId="37" xfId="3" applyFont="1" applyBorder="1" applyAlignment="1">
      <alignment horizontal="left"/>
    </xf>
    <xf numFmtId="9" fontId="78" fillId="0" borderId="38" xfId="3" applyFont="1" applyBorder="1" applyAlignment="1">
      <alignment horizontal="left"/>
    </xf>
    <xf numFmtId="9" fontId="78" fillId="0" borderId="43" xfId="3" applyFont="1" applyBorder="1" applyAlignment="1">
      <alignment horizontal="left"/>
    </xf>
    <xf numFmtId="9" fontId="78" fillId="0" borderId="0" xfId="3" applyNumberFormat="1" applyFont="1" applyAlignment="1">
      <alignment horizontal="left"/>
    </xf>
    <xf numFmtId="0" fontId="36" fillId="0" borderId="27" xfId="0" applyFont="1" applyBorder="1" applyAlignment="1">
      <alignment horizontal="left" vertical="top"/>
    </xf>
    <xf numFmtId="167" fontId="36" fillId="0" borderId="6" xfId="0" applyNumberFormat="1" applyFont="1" applyBorder="1" applyAlignment="1">
      <alignment horizontal="left" vertical="top"/>
    </xf>
    <xf numFmtId="167" fontId="36" fillId="0" borderId="27" xfId="0" applyNumberFormat="1" applyFont="1" applyBorder="1" applyAlignment="1">
      <alignment horizontal="left" vertical="top"/>
    </xf>
    <xf numFmtId="0" fontId="40" fillId="0" borderId="0" xfId="0" applyFont="1" applyFill="1" applyBorder="1" applyAlignment="1">
      <alignment horizontal="left" vertical="top"/>
    </xf>
    <xf numFmtId="0" fontId="137" fillId="0" borderId="0" xfId="0" applyNumberFormat="1" applyFont="1" applyBorder="1" applyAlignment="1">
      <alignment horizontal="left" vertical="top"/>
    </xf>
    <xf numFmtId="0" fontId="137" fillId="0" borderId="0" xfId="0" applyFont="1" applyAlignment="1">
      <alignment horizontal="left" vertical="top"/>
    </xf>
    <xf numFmtId="0" fontId="80" fillId="0" borderId="0" xfId="0" applyFont="1" applyFill="1" applyAlignment="1">
      <alignment horizontal="left" vertical="top"/>
    </xf>
    <xf numFmtId="0" fontId="110" fillId="0" borderId="0" xfId="0" applyNumberFormat="1" applyFont="1" applyBorder="1" applyAlignment="1">
      <alignment horizontal="left" vertical="top"/>
    </xf>
    <xf numFmtId="0" fontId="36" fillId="0" borderId="0" xfId="0" applyFont="1" applyAlignment="1">
      <alignment horizontal="left" vertical="top" wrapText="1"/>
    </xf>
    <xf numFmtId="0" fontId="36" fillId="0" borderId="0" xfId="0" applyFont="1" applyAlignment="1">
      <alignment horizontal="left" vertical="top"/>
    </xf>
    <xf numFmtId="0" fontId="36" fillId="0" borderId="0" xfId="0" applyFont="1" applyAlignment="1">
      <alignment vertical="top" wrapText="1"/>
    </xf>
    <xf numFmtId="0" fontId="36" fillId="0" borderId="0" xfId="0" applyNumberFormat="1" applyFont="1" applyAlignment="1">
      <alignment horizontal="left" vertical="top" wrapText="1"/>
    </xf>
    <xf numFmtId="0" fontId="36" fillId="0" borderId="0" xfId="0" quotePrefix="1" applyFont="1" applyAlignment="1">
      <alignment horizontal="left" vertical="top" wrapText="1"/>
    </xf>
    <xf numFmtId="0" fontId="36" fillId="0" borderId="0" xfId="0" applyFont="1" applyAlignment="1">
      <alignment horizontal="left" vertical="top"/>
    </xf>
    <xf numFmtId="0" fontId="36" fillId="0" borderId="0" xfId="0" applyFont="1" applyBorder="1" applyAlignment="1">
      <alignment horizontal="left" vertical="top"/>
    </xf>
    <xf numFmtId="0" fontId="37" fillId="0" borderId="0" xfId="0" applyNumberFormat="1" applyFont="1" applyAlignment="1">
      <alignment horizontal="left" vertical="top" wrapText="1"/>
    </xf>
    <xf numFmtId="0" fontId="36" fillId="0" borderId="0" xfId="0" applyFont="1" applyAlignment="1">
      <alignment horizontal="left" vertical="top" indent="1"/>
    </xf>
    <xf numFmtId="0" fontId="36" fillId="0" borderId="0" xfId="0" quotePrefix="1" applyFont="1" applyBorder="1" applyAlignment="1">
      <alignment horizontal="left" vertical="top" indent="1"/>
    </xf>
    <xf numFmtId="0" fontId="36" fillId="0" borderId="0" xfId="0" applyFont="1" applyAlignment="1">
      <alignment horizontal="left" vertical="top" indent="2"/>
    </xf>
    <xf numFmtId="0" fontId="36" fillId="0" borderId="0" xfId="0" quotePrefix="1" applyFont="1" applyAlignment="1">
      <alignment horizontal="left" vertical="top" indent="1"/>
    </xf>
    <xf numFmtId="0" fontId="46" fillId="0" borderId="33" xfId="0" applyFont="1" applyBorder="1" applyAlignment="1">
      <alignment horizontal="left" vertical="top"/>
    </xf>
    <xf numFmtId="0" fontId="153" fillId="0" borderId="33" xfId="0" applyFont="1" applyFill="1" applyBorder="1" applyAlignment="1">
      <alignment horizontal="left" vertical="top"/>
    </xf>
    <xf numFmtId="0" fontId="153" fillId="0" borderId="33" xfId="0" applyFont="1" applyBorder="1" applyAlignment="1">
      <alignment horizontal="left" vertical="top"/>
    </xf>
    <xf numFmtId="0" fontId="153" fillId="0" borderId="33" xfId="0" applyFont="1" applyFill="1" applyBorder="1" applyAlignment="1">
      <alignment vertical="top"/>
    </xf>
    <xf numFmtId="0" fontId="153" fillId="0" borderId="33" xfId="6" applyFont="1" applyFill="1" applyBorder="1" applyAlignment="1">
      <alignment horizontal="left" vertical="top"/>
    </xf>
    <xf numFmtId="0" fontId="130" fillId="0" borderId="0" xfId="0" applyFont="1" applyAlignment="1">
      <alignment horizontal="left" vertical="top" wrapText="1" indent="2"/>
    </xf>
    <xf numFmtId="0" fontId="46" fillId="0" borderId="0" xfId="0" applyFont="1" applyFill="1" applyBorder="1" applyAlignment="1">
      <alignment horizontal="left" vertical="top"/>
    </xf>
    <xf numFmtId="0" fontId="46" fillId="0" borderId="0" xfId="0" applyFont="1" applyFill="1" applyBorder="1" applyAlignment="1">
      <alignment vertical="top"/>
    </xf>
    <xf numFmtId="0" fontId="46" fillId="0" borderId="0" xfId="6" applyFont="1" applyFill="1" applyBorder="1" applyAlignment="1">
      <alignment horizontal="left" vertical="top"/>
    </xf>
    <xf numFmtId="0" fontId="131" fillId="0" borderId="38" xfId="0" applyFont="1" applyBorder="1" applyAlignment="1">
      <alignment horizontal="left" vertical="top"/>
    </xf>
    <xf numFmtId="0" fontId="153" fillId="0" borderId="0" xfId="0" applyFont="1" applyFill="1" applyBorder="1" applyAlignment="1">
      <alignment horizontal="left" vertical="top"/>
    </xf>
    <xf numFmtId="167" fontId="46" fillId="0" borderId="0" xfId="0" applyNumberFormat="1" applyFont="1" applyAlignment="1">
      <alignment horizontal="left" vertical="top"/>
    </xf>
    <xf numFmtId="0" fontId="36" fillId="0" borderId="0" xfId="0" applyFont="1" applyFill="1" applyBorder="1" applyAlignment="1">
      <alignment horizontal="right" vertical="top"/>
    </xf>
    <xf numFmtId="0" fontId="153" fillId="0" borderId="0" xfId="0" applyFont="1" applyBorder="1" applyAlignment="1">
      <alignment horizontal="left" vertical="top" wrapText="1"/>
    </xf>
    <xf numFmtId="0" fontId="37" fillId="0" borderId="0" xfId="0" applyFont="1" applyFill="1" applyAlignment="1">
      <alignment horizontal="left" vertical="top" wrapText="1"/>
    </xf>
    <xf numFmtId="0" fontId="131" fillId="0" borderId="0" xfId="0" applyFont="1" applyBorder="1" applyAlignment="1">
      <alignment horizontal="left" vertical="top"/>
    </xf>
    <xf numFmtId="0" fontId="155" fillId="0" borderId="0" xfId="0" applyFont="1" applyFill="1" applyBorder="1" applyAlignment="1">
      <alignment horizontal="left" vertical="top" wrapText="1"/>
    </xf>
    <xf numFmtId="0" fontId="151" fillId="0" borderId="0" xfId="0" applyFont="1" applyFill="1" applyBorder="1" applyAlignment="1">
      <alignment horizontal="left" vertical="top" wrapText="1"/>
    </xf>
    <xf numFmtId="0" fontId="0" fillId="0" borderId="0" xfId="0" applyAlignment="1">
      <alignment horizontal="left" vertical="top"/>
    </xf>
    <xf numFmtId="9" fontId="36" fillId="14" borderId="0" xfId="0" applyNumberFormat="1" applyFont="1" applyFill="1" applyBorder="1"/>
    <xf numFmtId="0" fontId="131" fillId="0" borderId="0" xfId="0" applyFont="1" applyAlignment="1">
      <alignment horizontal="left" vertical="top"/>
    </xf>
    <xf numFmtId="0" fontId="46" fillId="0" borderId="38" xfId="0" applyFont="1" applyFill="1" applyBorder="1" applyAlignment="1">
      <alignment vertical="top"/>
    </xf>
    <xf numFmtId="0" fontId="46" fillId="0" borderId="7" xfId="0" applyFont="1" applyBorder="1" applyAlignment="1">
      <alignment horizontal="left" vertical="top"/>
    </xf>
    <xf numFmtId="9" fontId="46" fillId="0" borderId="7" xfId="3" applyFont="1" applyBorder="1" applyAlignment="1">
      <alignment horizontal="left" vertical="top"/>
    </xf>
    <xf numFmtId="174" fontId="159" fillId="0" borderId="0" xfId="17" applyNumberFormat="1" applyFont="1" applyFill="1" applyBorder="1" applyAlignment="1">
      <alignment horizontal="right"/>
    </xf>
    <xf numFmtId="1" fontId="36" fillId="0" borderId="0" xfId="0" applyNumberFormat="1" applyFont="1" applyFill="1" applyAlignment="1">
      <alignment horizontal="left"/>
    </xf>
    <xf numFmtId="0" fontId="34" fillId="0" borderId="0" xfId="6" applyFont="1" applyAlignment="1">
      <alignment horizontal="left" vertical="top" wrapText="1"/>
    </xf>
    <xf numFmtId="0" fontId="34" fillId="0" borderId="0" xfId="6" applyFont="1" applyAlignment="1">
      <alignment horizontal="left" vertical="top"/>
    </xf>
    <xf numFmtId="0" fontId="153" fillId="0" borderId="0" xfId="0" applyFont="1" applyFill="1" applyBorder="1" applyAlignment="1">
      <alignment horizontal="left" vertical="top" wrapText="1"/>
    </xf>
    <xf numFmtId="0" fontId="36" fillId="0" borderId="33" xfId="0" applyFont="1" applyBorder="1" applyAlignment="1">
      <alignment horizontal="left" vertical="top"/>
    </xf>
    <xf numFmtId="0" fontId="36" fillId="0" borderId="0" xfId="0" applyFont="1" applyAlignment="1">
      <alignment horizontal="left" vertical="top"/>
    </xf>
    <xf numFmtId="9" fontId="37" fillId="0" borderId="7" xfId="0" applyNumberFormat="1" applyFont="1" applyFill="1" applyBorder="1" applyAlignment="1">
      <alignment horizontal="left"/>
    </xf>
    <xf numFmtId="0" fontId="36" fillId="0" borderId="0" xfId="0" quotePrefix="1" applyFont="1" applyAlignment="1">
      <alignment vertical="top"/>
    </xf>
    <xf numFmtId="0" fontId="80" fillId="0" borderId="0" xfId="0" applyNumberFormat="1" applyFont="1" applyFill="1" applyBorder="1" applyAlignment="1">
      <alignment horizontal="left" vertical="top"/>
    </xf>
    <xf numFmtId="0" fontId="137" fillId="0" borderId="0" xfId="0" applyFont="1" applyFill="1" applyAlignment="1">
      <alignment horizontal="left" vertical="top"/>
    </xf>
    <xf numFmtId="0" fontId="137" fillId="0" borderId="0" xfId="0" quotePrefix="1" applyFont="1" applyBorder="1" applyAlignment="1">
      <alignment horizontal="left" vertical="top" wrapText="1" indent="1"/>
    </xf>
    <xf numFmtId="0" fontId="36" fillId="0" borderId="0" xfId="0" applyFont="1" applyAlignment="1">
      <alignment horizontal="left" vertical="top" wrapText="1"/>
    </xf>
    <xf numFmtId="0" fontId="36" fillId="0" borderId="33" xfId="0" applyFont="1" applyBorder="1" applyAlignment="1">
      <alignment horizontal="left" vertical="top"/>
    </xf>
    <xf numFmtId="0" fontId="36" fillId="0" borderId="0" xfId="0" applyFont="1" applyAlignment="1">
      <alignment horizontal="left" vertical="top"/>
    </xf>
    <xf numFmtId="0" fontId="36" fillId="0" borderId="0" xfId="0" applyFont="1" applyBorder="1" applyAlignment="1">
      <alignment horizontal="left" vertical="top"/>
    </xf>
    <xf numFmtId="0" fontId="36" fillId="0" borderId="0" xfId="0" applyNumberFormat="1" applyFont="1" applyAlignment="1">
      <alignment horizontal="left" vertical="top" wrapText="1"/>
    </xf>
    <xf numFmtId="0" fontId="130" fillId="0" borderId="0" xfId="0" applyFont="1" applyAlignment="1">
      <alignment horizontal="left" vertical="top" wrapText="1" indent="2"/>
    </xf>
    <xf numFmtId="0" fontId="36" fillId="0" borderId="33" xfId="0" applyFont="1" applyBorder="1" applyAlignment="1">
      <alignment horizontal="left" vertical="top"/>
    </xf>
    <xf numFmtId="0" fontId="36" fillId="0" borderId="0" xfId="0" applyFont="1" applyAlignment="1">
      <alignment horizontal="left" vertical="top"/>
    </xf>
    <xf numFmtId="0" fontId="36" fillId="0" borderId="0" xfId="0" applyFont="1" applyBorder="1" applyAlignment="1">
      <alignment horizontal="left" vertical="top"/>
    </xf>
    <xf numFmtId="0" fontId="36" fillId="0" borderId="0" xfId="0" applyNumberFormat="1" applyFont="1" applyBorder="1" applyAlignment="1">
      <alignment horizontal="left" vertical="top" wrapText="1"/>
    </xf>
    <xf numFmtId="0" fontId="130" fillId="0" borderId="0" xfId="0" applyFont="1" applyAlignment="1">
      <alignment horizontal="left" vertical="top" wrapText="1" indent="2"/>
    </xf>
    <xf numFmtId="0" fontId="36" fillId="0" borderId="0" xfId="1" applyFont="1" applyAlignment="1" applyProtection="1">
      <alignment horizontal="left" vertical="top"/>
    </xf>
    <xf numFmtId="0" fontId="40" fillId="0" borderId="0" xfId="1" applyFont="1" applyAlignment="1" applyProtection="1">
      <alignment horizontal="left" vertical="top"/>
    </xf>
    <xf numFmtId="0" fontId="40" fillId="0" borderId="0" xfId="0" applyFont="1" applyAlignment="1">
      <alignment horizontal="left" vertical="top"/>
    </xf>
    <xf numFmtId="0" fontId="44" fillId="0" borderId="0" xfId="0" applyFont="1" applyAlignment="1">
      <alignment horizontal="left" vertical="top"/>
    </xf>
    <xf numFmtId="0" fontId="40" fillId="0" borderId="33" xfId="0" applyFont="1" applyFill="1" applyBorder="1" applyAlignment="1">
      <alignment horizontal="left" vertical="top"/>
    </xf>
    <xf numFmtId="0" fontId="40" fillId="0" borderId="33" xfId="0" applyFont="1" applyBorder="1" applyAlignment="1">
      <alignment horizontal="left" vertical="top"/>
    </xf>
    <xf numFmtId="0" fontId="40" fillId="0" borderId="33" xfId="0" applyFont="1" applyFill="1" applyBorder="1" applyAlignment="1">
      <alignment vertical="top"/>
    </xf>
    <xf numFmtId="0" fontId="40" fillId="0" borderId="33" xfId="6" applyFont="1" applyFill="1" applyBorder="1" applyAlignment="1">
      <alignment horizontal="left" vertical="top"/>
    </xf>
    <xf numFmtId="0" fontId="40" fillId="0" borderId="33" xfId="6" quotePrefix="1" applyNumberFormat="1" applyFont="1" applyFill="1" applyBorder="1" applyAlignment="1">
      <alignment horizontal="left" vertical="top"/>
    </xf>
    <xf numFmtId="0" fontId="40" fillId="0" borderId="33" xfId="0" quotePrefix="1" applyNumberFormat="1" applyFont="1" applyFill="1" applyBorder="1" applyAlignment="1">
      <alignment horizontal="left" vertical="top"/>
    </xf>
    <xf numFmtId="0" fontId="36" fillId="0" borderId="0" xfId="1" applyFont="1" applyAlignment="1" applyProtection="1"/>
    <xf numFmtId="0" fontId="131" fillId="0" borderId="42" xfId="0" applyFont="1" applyBorder="1" applyAlignment="1">
      <alignment horizontal="left" vertical="top"/>
    </xf>
    <xf numFmtId="0" fontId="40" fillId="0" borderId="0" xfId="0" applyFont="1" applyBorder="1" applyAlignment="1">
      <alignment horizontal="left" vertical="top"/>
    </xf>
    <xf numFmtId="0" fontId="40" fillId="0" borderId="38" xfId="0" applyFont="1" applyBorder="1" applyAlignment="1">
      <alignment horizontal="left" vertical="top"/>
    </xf>
    <xf numFmtId="0" fontId="131" fillId="0" borderId="0" xfId="0" applyFont="1" applyBorder="1" applyAlignment="1">
      <alignment horizontal="left" vertical="top" indent="1"/>
    </xf>
    <xf numFmtId="0" fontId="44" fillId="0" borderId="33" xfId="0" applyFont="1" applyBorder="1" applyAlignment="1">
      <alignment horizontal="left" vertical="top"/>
    </xf>
    <xf numFmtId="0" fontId="46" fillId="0" borderId="0" xfId="0" applyFont="1" applyAlignment="1">
      <alignment horizontal="right" vertical="top"/>
    </xf>
    <xf numFmtId="0" fontId="152" fillId="0" borderId="0" xfId="1" applyFont="1" applyAlignment="1" applyProtection="1">
      <alignment horizontal="left" vertical="top"/>
    </xf>
    <xf numFmtId="0" fontId="36" fillId="0" borderId="0" xfId="0" applyFont="1" applyBorder="1" applyAlignment="1">
      <alignment horizontal="left" vertical="top" indent="1"/>
    </xf>
    <xf numFmtId="0" fontId="36" fillId="0" borderId="0" xfId="0" applyFont="1" applyBorder="1" applyAlignment="1">
      <alignment horizontal="left" vertical="top" indent="2"/>
    </xf>
    <xf numFmtId="0" fontId="37" fillId="0" borderId="0" xfId="0" applyFont="1" applyBorder="1" applyAlignment="1">
      <alignment horizontal="left" vertical="top" indent="1"/>
    </xf>
    <xf numFmtId="0" fontId="162" fillId="0" borderId="0" xfId="1" applyFont="1" applyAlignment="1" applyProtection="1"/>
    <xf numFmtId="0" fontId="37" fillId="3" borderId="0" xfId="0" applyFont="1" applyFill="1" applyAlignment="1">
      <alignment horizontal="left" vertical="top"/>
    </xf>
    <xf numFmtId="0" fontId="40" fillId="0" borderId="0" xfId="0" applyNumberFormat="1" applyFont="1" applyBorder="1" applyAlignment="1">
      <alignment horizontal="left" vertical="top" wrapText="1" indent="2"/>
    </xf>
    <xf numFmtId="0" fontId="36" fillId="0" borderId="0" xfId="0" applyFont="1" applyAlignment="1">
      <alignment horizontal="left" vertical="top" wrapText="1"/>
    </xf>
    <xf numFmtId="0" fontId="36" fillId="0" borderId="0" xfId="0" applyFont="1" applyAlignment="1">
      <alignment horizontal="left" vertical="top"/>
    </xf>
    <xf numFmtId="0" fontId="36" fillId="0" borderId="35" xfId="0" applyFont="1" applyBorder="1" applyAlignment="1">
      <alignment horizontal="left" vertical="top"/>
    </xf>
    <xf numFmtId="0" fontId="109" fillId="0" borderId="0" xfId="0" applyFont="1" applyBorder="1" applyAlignment="1">
      <alignment horizontal="left" vertical="top"/>
    </xf>
    <xf numFmtId="0" fontId="36" fillId="0" borderId="0" xfId="0" applyFont="1" applyBorder="1" applyAlignment="1">
      <alignment horizontal="left" vertical="top"/>
    </xf>
    <xf numFmtId="0" fontId="131" fillId="0" borderId="0" xfId="0" applyFont="1" applyBorder="1" applyAlignment="1">
      <alignment horizontal="left" vertical="top" wrapText="1"/>
    </xf>
    <xf numFmtId="0" fontId="46" fillId="0" borderId="0" xfId="0" applyFont="1" applyAlignment="1">
      <alignment horizontal="left" vertical="top" wrapText="1"/>
    </xf>
    <xf numFmtId="0" fontId="131" fillId="0" borderId="0" xfId="1" quotePrefix="1" applyFont="1" applyAlignment="1" applyProtection="1">
      <alignment horizontal="left" vertical="top" wrapText="1" indent="1"/>
    </xf>
    <xf numFmtId="0" fontId="36" fillId="0" borderId="0" xfId="0" applyFont="1" applyAlignment="1">
      <alignment horizontal="left" vertical="top"/>
    </xf>
    <xf numFmtId="0" fontId="36" fillId="0" borderId="0" xfId="0" applyFont="1" applyAlignment="1">
      <alignment horizontal="left" vertical="top" wrapText="1" indent="1"/>
    </xf>
    <xf numFmtId="0" fontId="47" fillId="0" borderId="0" xfId="0" applyFont="1" applyAlignment="1">
      <alignment horizontal="left" vertical="top" wrapText="1" indent="1"/>
    </xf>
    <xf numFmtId="0" fontId="40" fillId="0" borderId="0" xfId="0" applyNumberFormat="1" applyFont="1" applyBorder="1" applyAlignment="1">
      <alignment horizontal="left" vertical="top" wrapText="1" indent="1"/>
    </xf>
    <xf numFmtId="0" fontId="131" fillId="0" borderId="0" xfId="0" applyNumberFormat="1" applyFont="1" applyBorder="1" applyAlignment="1">
      <alignment horizontal="left" vertical="top" wrapText="1" indent="1"/>
    </xf>
    <xf numFmtId="0" fontId="36" fillId="0" borderId="0" xfId="0" quotePrefix="1" applyFont="1" applyBorder="1" applyAlignment="1">
      <alignment horizontal="left" vertical="top"/>
    </xf>
    <xf numFmtId="0" fontId="37" fillId="0" borderId="0" xfId="0" applyFont="1" applyAlignment="1">
      <alignment horizontal="left" vertical="top" wrapText="1"/>
    </xf>
    <xf numFmtId="0" fontId="131" fillId="0" borderId="36" xfId="0" applyFont="1" applyBorder="1" applyAlignment="1">
      <alignment horizontal="left" vertical="top"/>
    </xf>
    <xf numFmtId="0" fontId="131" fillId="0" borderId="0" xfId="1" applyFont="1" applyBorder="1" applyAlignment="1" applyProtection="1">
      <alignment horizontal="left" vertical="top"/>
    </xf>
    <xf numFmtId="0" fontId="131" fillId="0" borderId="37" xfId="0" applyFont="1" applyBorder="1" applyAlignment="1">
      <alignment horizontal="left" vertical="top"/>
    </xf>
    <xf numFmtId="0" fontId="131" fillId="0" borderId="38" xfId="1" applyFont="1" applyBorder="1" applyAlignment="1" applyProtection="1">
      <alignment horizontal="left" vertical="top"/>
    </xf>
    <xf numFmtId="0" fontId="131" fillId="0" borderId="0" xfId="1" applyFont="1" applyAlignment="1" applyProtection="1">
      <alignment horizontal="left" vertical="top"/>
    </xf>
    <xf numFmtId="0" fontId="36" fillId="0" borderId="42" xfId="0" applyFont="1" applyBorder="1" applyAlignment="1">
      <alignment horizontal="left" vertical="top"/>
    </xf>
    <xf numFmtId="0" fontId="71" fillId="0" borderId="0" xfId="0" applyFont="1" applyBorder="1" applyAlignment="1">
      <alignment horizontal="left" vertical="top" indent="1"/>
    </xf>
    <xf numFmtId="0" fontId="40" fillId="0" borderId="0" xfId="0" quotePrefix="1" applyFont="1" applyAlignment="1">
      <alignment horizontal="left" vertical="top" wrapText="1"/>
    </xf>
    <xf numFmtId="0" fontId="46" fillId="0" borderId="0" xfId="0" quotePrefix="1" applyFont="1" applyAlignment="1">
      <alignment horizontal="left" vertical="top" indent="1"/>
    </xf>
    <xf numFmtId="0" fontId="36" fillId="0" borderId="33" xfId="6" quotePrefix="1" applyNumberFormat="1" applyFont="1" applyFill="1" applyBorder="1" applyAlignment="1">
      <alignment horizontal="left" vertical="top"/>
    </xf>
    <xf numFmtId="0" fontId="36" fillId="0" borderId="33" xfId="0" quotePrefix="1" applyNumberFormat="1" applyFont="1" applyFill="1" applyBorder="1" applyAlignment="1">
      <alignment horizontal="left" vertical="top"/>
    </xf>
    <xf numFmtId="0" fontId="36" fillId="0" borderId="33" xfId="6" applyNumberFormat="1" applyFont="1" applyFill="1" applyBorder="1" applyAlignment="1">
      <alignment horizontal="left" vertical="top"/>
    </xf>
    <xf numFmtId="0" fontId="36" fillId="0" borderId="38" xfId="0" applyFont="1" applyFill="1" applyBorder="1" applyAlignment="1">
      <alignment horizontal="left" vertical="top"/>
    </xf>
    <xf numFmtId="0" fontId="36" fillId="0" borderId="35" xfId="0" applyFont="1" applyFill="1" applyBorder="1" applyAlignment="1">
      <alignment horizontal="left" vertical="top"/>
    </xf>
    <xf numFmtId="0" fontId="40" fillId="0" borderId="35" xfId="0" applyFont="1" applyFill="1" applyBorder="1" applyAlignment="1">
      <alignment vertical="top"/>
    </xf>
    <xf numFmtId="0" fontId="36" fillId="0" borderId="35" xfId="0" applyNumberFormat="1" applyFont="1" applyFill="1" applyBorder="1" applyAlignment="1">
      <alignment horizontal="left" vertical="top"/>
    </xf>
    <xf numFmtId="0" fontId="36" fillId="0" borderId="38" xfId="6" applyFont="1" applyFill="1" applyBorder="1" applyAlignment="1">
      <alignment horizontal="left" vertical="top"/>
    </xf>
    <xf numFmtId="0" fontId="40" fillId="0" borderId="38" xfId="0" applyFont="1" applyFill="1" applyBorder="1" applyAlignment="1">
      <alignment horizontal="left" vertical="top"/>
    </xf>
    <xf numFmtId="0" fontId="71" fillId="0" borderId="0" xfId="0" applyFont="1" applyAlignment="1">
      <alignment horizontal="center" vertical="top"/>
    </xf>
    <xf numFmtId="0" fontId="47" fillId="0" borderId="0" xfId="0" applyFont="1" applyFill="1" applyBorder="1"/>
    <xf numFmtId="9" fontId="122" fillId="0" borderId="0" xfId="0" applyNumberFormat="1" applyFont="1" applyFill="1" applyBorder="1" applyAlignment="1">
      <alignment horizontal="left"/>
    </xf>
    <xf numFmtId="0" fontId="37" fillId="7" borderId="0" xfId="0" applyFont="1" applyFill="1" applyBorder="1" applyAlignment="1">
      <alignment horizontal="left" vertical="top"/>
    </xf>
    <xf numFmtId="0" fontId="37" fillId="14" borderId="6" xfId="0" applyNumberFormat="1" applyFont="1" applyFill="1" applyBorder="1" applyAlignment="1">
      <alignment horizontal="left" vertical="top"/>
    </xf>
    <xf numFmtId="0" fontId="34" fillId="0" borderId="0" xfId="6" applyFont="1" applyFill="1" applyAlignment="1">
      <alignment horizontal="left" vertical="top" indent="2"/>
    </xf>
    <xf numFmtId="0" fontId="34" fillId="0" borderId="0" xfId="6" applyFont="1" applyFill="1" applyAlignment="1">
      <alignment horizontal="left" vertical="top"/>
    </xf>
    <xf numFmtId="0" fontId="36" fillId="14" borderId="0" xfId="0" applyFont="1" applyFill="1" applyAlignment="1">
      <alignment horizontal="left" vertical="top"/>
    </xf>
    <xf numFmtId="0" fontId="36" fillId="14" borderId="15" xfId="0" applyFont="1" applyFill="1" applyBorder="1" applyAlignment="1">
      <alignment horizontal="left" vertical="top"/>
    </xf>
    <xf numFmtId="0" fontId="37" fillId="0" borderId="0" xfId="0" applyFont="1" applyAlignment="1">
      <alignment horizontal="left" vertical="top" wrapText="1" indent="1"/>
    </xf>
    <xf numFmtId="0" fontId="40" fillId="0" borderId="0" xfId="0" quotePrefix="1" applyFont="1" applyAlignment="1">
      <alignment vertical="top"/>
    </xf>
    <xf numFmtId="0" fontId="131" fillId="0" borderId="0" xfId="0" applyNumberFormat="1" applyFont="1" applyAlignment="1">
      <alignment vertical="top"/>
    </xf>
    <xf numFmtId="0" fontId="36" fillId="0" borderId="0" xfId="0" applyFont="1" applyAlignment="1">
      <alignment horizontal="left" vertical="top" wrapText="1"/>
    </xf>
    <xf numFmtId="0" fontId="36" fillId="0" borderId="33" xfId="0" applyFont="1" applyBorder="1" applyAlignment="1">
      <alignment horizontal="left" vertical="top"/>
    </xf>
    <xf numFmtId="0" fontId="36" fillId="0" borderId="0" xfId="0" applyFont="1" applyAlignment="1">
      <alignment horizontal="left" vertical="top"/>
    </xf>
    <xf numFmtId="0" fontId="36" fillId="0" borderId="0" xfId="0" applyFont="1" applyBorder="1" applyAlignment="1">
      <alignment horizontal="left" vertical="top"/>
    </xf>
    <xf numFmtId="0" fontId="37" fillId="0" borderId="0" xfId="6" applyFont="1" applyFill="1" applyBorder="1" applyAlignment="1">
      <alignment horizontal="left" vertical="top"/>
    </xf>
    <xf numFmtId="0" fontId="36" fillId="0" borderId="12" xfId="6" applyFont="1" applyFill="1" applyBorder="1" applyAlignment="1">
      <alignment horizontal="left" vertical="top"/>
    </xf>
    <xf numFmtId="0" fontId="145" fillId="7" borderId="0" xfId="6" applyFont="1" applyFill="1" applyBorder="1" applyAlignment="1">
      <alignment horizontal="left" vertical="top"/>
    </xf>
    <xf numFmtId="0" fontId="110" fillId="14" borderId="0" xfId="0" applyNumberFormat="1" applyFont="1" applyFill="1" applyBorder="1" applyAlignment="1">
      <alignment horizontal="left"/>
    </xf>
    <xf numFmtId="0" fontId="110" fillId="14" borderId="0" xfId="0" applyNumberFormat="1" applyFont="1" applyFill="1" applyAlignment="1">
      <alignment horizontal="left"/>
    </xf>
    <xf numFmtId="0" fontId="34" fillId="0" borderId="0" xfId="6" applyNumberFormat="1" applyFont="1" applyAlignment="1">
      <alignment horizontal="left" vertical="top"/>
    </xf>
    <xf numFmtId="0" fontId="34" fillId="0" borderId="0" xfId="6" applyNumberFormat="1" applyFont="1" applyAlignment="1">
      <alignment horizontal="left" vertical="top" wrapText="1"/>
    </xf>
    <xf numFmtId="0" fontId="34" fillId="0" borderId="0" xfId="6" applyNumberFormat="1" applyFont="1" applyAlignment="1">
      <alignment horizontal="center" vertical="top"/>
    </xf>
    <xf numFmtId="0" fontId="37" fillId="0" borderId="0" xfId="6" applyNumberFormat="1" applyFont="1" applyAlignment="1">
      <alignment horizontal="center" vertical="top"/>
    </xf>
    <xf numFmtId="0" fontId="34" fillId="0" borderId="0" xfId="6" applyNumberFormat="1" applyFont="1" applyBorder="1" applyAlignment="1">
      <alignment horizontal="left" vertical="top"/>
    </xf>
    <xf numFmtId="0" fontId="18" fillId="0" borderId="0" xfId="6" quotePrefix="1" applyNumberFormat="1" applyFont="1" applyAlignment="1">
      <alignment horizontal="left" vertical="top"/>
    </xf>
    <xf numFmtId="0" fontId="36" fillId="0" borderId="0" xfId="6" applyNumberFormat="1" applyFont="1" applyAlignment="1">
      <alignment horizontal="center" vertical="top"/>
    </xf>
    <xf numFmtId="0" fontId="18" fillId="0" borderId="0" xfId="6" applyNumberFormat="1" applyFont="1" applyAlignment="1">
      <alignment horizontal="left" vertical="top"/>
    </xf>
    <xf numFmtId="0" fontId="76" fillId="0" borderId="0" xfId="0" applyNumberFormat="1" applyFont="1" applyFill="1" applyBorder="1" applyAlignment="1">
      <alignment horizontal="left" vertical="top"/>
    </xf>
    <xf numFmtId="0" fontId="36" fillId="0" borderId="0" xfId="0" applyNumberFormat="1" applyFont="1" applyFill="1" applyBorder="1" applyAlignment="1">
      <alignment horizontal="left" vertical="top"/>
    </xf>
    <xf numFmtId="0" fontId="36" fillId="7" borderId="0" xfId="0" applyFont="1" applyFill="1" applyBorder="1" applyAlignment="1">
      <alignment horizontal="left" vertical="top"/>
    </xf>
    <xf numFmtId="0" fontId="36" fillId="0" borderId="15" xfId="0" applyFont="1" applyBorder="1" applyAlignment="1">
      <alignment horizontal="left" vertical="top"/>
    </xf>
    <xf numFmtId="0" fontId="36" fillId="0" borderId="0" xfId="0" applyFont="1" applyBorder="1" applyAlignment="1">
      <alignment horizontal="left" vertical="top"/>
    </xf>
    <xf numFmtId="0" fontId="46" fillId="0" borderId="0" xfId="0" applyFont="1" applyAlignment="1">
      <alignment vertical="top" wrapText="1"/>
    </xf>
    <xf numFmtId="0" fontId="154" fillId="0" borderId="38" xfId="0" applyFont="1" applyBorder="1" applyAlignment="1">
      <alignment horizontal="left" vertical="top"/>
    </xf>
    <xf numFmtId="167" fontId="36" fillId="0" borderId="77" xfId="0" applyNumberFormat="1" applyFont="1" applyBorder="1" applyAlignment="1">
      <alignment horizontal="left" vertical="top"/>
    </xf>
    <xf numFmtId="0" fontId="36" fillId="0" borderId="0" xfId="0" applyNumberFormat="1" applyFont="1" applyBorder="1" applyAlignment="1">
      <alignment vertical="top"/>
    </xf>
    <xf numFmtId="0" fontId="36" fillId="0" borderId="75" xfId="0" applyFont="1" applyBorder="1" applyAlignment="1">
      <alignment horizontal="left" vertical="top"/>
    </xf>
    <xf numFmtId="167" fontId="36" fillId="0" borderId="75" xfId="0" applyNumberFormat="1" applyFont="1" applyBorder="1" applyAlignment="1">
      <alignment horizontal="left" vertical="top"/>
    </xf>
    <xf numFmtId="0" fontId="36" fillId="0" borderId="38" xfId="0" applyFont="1" applyBorder="1" applyAlignment="1">
      <alignment horizontal="left" vertical="top" indent="1"/>
    </xf>
    <xf numFmtId="0" fontId="46" fillId="0" borderId="0" xfId="6" applyFont="1" applyBorder="1" applyAlignment="1">
      <alignment horizontal="left" vertical="top"/>
    </xf>
    <xf numFmtId="0" fontId="46" fillId="14" borderId="0" xfId="6" applyFont="1" applyFill="1" applyBorder="1" applyAlignment="1">
      <alignment horizontal="left" vertical="top"/>
    </xf>
    <xf numFmtId="0" fontId="36" fillId="14" borderId="12" xfId="0" applyNumberFormat="1" applyFont="1" applyFill="1" applyBorder="1" applyAlignment="1">
      <alignment horizontal="left" vertical="top"/>
    </xf>
    <xf numFmtId="0" fontId="36" fillId="14" borderId="5" xfId="6" applyFont="1" applyFill="1" applyBorder="1" applyAlignment="1">
      <alignment horizontal="left" vertical="top"/>
    </xf>
    <xf numFmtId="167" fontId="36" fillId="14" borderId="90" xfId="3" applyNumberFormat="1" applyFont="1" applyFill="1" applyBorder="1" applyAlignment="1">
      <alignment horizontal="center" vertical="top"/>
    </xf>
    <xf numFmtId="167" fontId="36" fillId="0" borderId="91" xfId="3" applyNumberFormat="1" applyFont="1" applyBorder="1" applyAlignment="1">
      <alignment horizontal="center" vertical="top"/>
    </xf>
    <xf numFmtId="167" fontId="36" fillId="0" borderId="92" xfId="3" applyNumberFormat="1" applyFont="1" applyBorder="1" applyAlignment="1">
      <alignment horizontal="center" vertical="top"/>
    </xf>
    <xf numFmtId="0" fontId="71" fillId="14" borderId="90" xfId="0" applyFont="1" applyFill="1" applyBorder="1" applyAlignment="1">
      <alignment vertical="top"/>
    </xf>
    <xf numFmtId="0" fontId="71" fillId="0" borderId="91" xfId="0" applyFont="1" applyBorder="1" applyAlignment="1">
      <alignment vertical="top"/>
    </xf>
    <xf numFmtId="0" fontId="36" fillId="0" borderId="91" xfId="0" applyFont="1" applyBorder="1" applyAlignment="1">
      <alignment horizontal="left" vertical="top"/>
    </xf>
    <xf numFmtId="0" fontId="36" fillId="0" borderId="92" xfId="0" applyFont="1" applyBorder="1" applyAlignment="1">
      <alignment horizontal="left" vertical="top"/>
    </xf>
    <xf numFmtId="0" fontId="37" fillId="13" borderId="3" xfId="0" applyFont="1" applyFill="1" applyBorder="1" applyAlignment="1">
      <alignment vertical="top"/>
    </xf>
    <xf numFmtId="0" fontId="37" fillId="13" borderId="8" xfId="0" applyFont="1" applyFill="1" applyBorder="1" applyAlignment="1">
      <alignment vertical="top"/>
    </xf>
    <xf numFmtId="0" fontId="37" fillId="3" borderId="3" xfId="0" applyFont="1" applyFill="1" applyBorder="1" applyAlignment="1">
      <alignment horizontal="left" vertical="top"/>
    </xf>
    <xf numFmtId="0" fontId="36" fillId="0" borderId="5" xfId="0" quotePrefix="1" applyFont="1" applyBorder="1" applyAlignment="1">
      <alignment vertical="top"/>
    </xf>
    <xf numFmtId="0" fontId="71" fillId="14" borderId="15" xfId="0" quotePrefix="1" applyFont="1" applyFill="1" applyBorder="1" applyAlignment="1">
      <alignment vertical="top"/>
    </xf>
    <xf numFmtId="9" fontId="36" fillId="14" borderId="90" xfId="3" applyFont="1" applyFill="1" applyBorder="1" applyAlignment="1">
      <alignment horizontal="center" vertical="top"/>
    </xf>
    <xf numFmtId="9" fontId="36" fillId="0" borderId="91" xfId="3" applyFont="1" applyBorder="1" applyAlignment="1">
      <alignment horizontal="center" vertical="top"/>
    </xf>
    <xf numFmtId="9" fontId="36" fillId="0" borderId="92" xfId="3" applyFont="1" applyBorder="1" applyAlignment="1">
      <alignment horizontal="center" vertical="top"/>
    </xf>
    <xf numFmtId="0" fontId="36" fillId="0" borderId="79" xfId="0" applyNumberFormat="1" applyFont="1" applyBorder="1" applyAlignment="1">
      <alignment horizontal="left" vertical="top"/>
    </xf>
    <xf numFmtId="0" fontId="36" fillId="0" borderId="35" xfId="6" applyFont="1" applyBorder="1" applyAlignment="1">
      <alignment horizontal="left" vertical="top"/>
    </xf>
    <xf numFmtId="167" fontId="36" fillId="0" borderId="99" xfId="3" applyNumberFormat="1" applyFont="1" applyBorder="1" applyAlignment="1">
      <alignment horizontal="center" vertical="top"/>
    </xf>
    <xf numFmtId="0" fontId="71" fillId="0" borderId="99" xfId="0" applyFont="1" applyBorder="1" applyAlignment="1">
      <alignment vertical="top"/>
    </xf>
    <xf numFmtId="9" fontId="36" fillId="0" borderId="99" xfId="3" applyFont="1" applyBorder="1" applyAlignment="1">
      <alignment horizontal="center" vertical="top"/>
    </xf>
    <xf numFmtId="167" fontId="36" fillId="0" borderId="90" xfId="3" applyNumberFormat="1" applyFont="1" applyBorder="1" applyAlignment="1">
      <alignment horizontal="center" vertical="top"/>
    </xf>
    <xf numFmtId="0" fontId="71" fillId="0" borderId="90" xfId="0" applyFont="1" applyBorder="1" applyAlignment="1">
      <alignment vertical="top"/>
    </xf>
    <xf numFmtId="9" fontId="36" fillId="0" borderId="90" xfId="3" applyFont="1" applyBorder="1" applyAlignment="1">
      <alignment horizontal="center" vertical="top"/>
    </xf>
    <xf numFmtId="0" fontId="36" fillId="14" borderId="101" xfId="0" applyNumberFormat="1" applyFont="1" applyFill="1" applyBorder="1" applyAlignment="1">
      <alignment horizontal="left" vertical="top"/>
    </xf>
    <xf numFmtId="0" fontId="36" fillId="14" borderId="102" xfId="6" applyFont="1" applyFill="1" applyBorder="1" applyAlignment="1">
      <alignment horizontal="left" vertical="top"/>
    </xf>
    <xf numFmtId="167" fontId="36" fillId="14" borderId="105" xfId="3" applyNumberFormat="1" applyFont="1" applyFill="1" applyBorder="1" applyAlignment="1">
      <alignment horizontal="center" vertical="top"/>
    </xf>
    <xf numFmtId="0" fontId="71" fillId="14" borderId="105" xfId="0" applyFont="1" applyFill="1" applyBorder="1" applyAlignment="1">
      <alignment vertical="top"/>
    </xf>
    <xf numFmtId="9" fontId="36" fillId="14" borderId="105" xfId="3" applyFont="1" applyFill="1" applyBorder="1" applyAlignment="1">
      <alignment horizontal="center" vertical="top"/>
    </xf>
    <xf numFmtId="0" fontId="36" fillId="0" borderId="101" xfId="0" applyNumberFormat="1" applyFont="1" applyBorder="1" applyAlignment="1">
      <alignment horizontal="left" vertical="top"/>
    </xf>
    <xf numFmtId="0" fontId="36" fillId="0" borderId="102" xfId="6" applyFont="1" applyBorder="1" applyAlignment="1">
      <alignment horizontal="left" vertical="top"/>
    </xf>
    <xf numFmtId="167" fontId="36" fillId="0" borderId="105" xfId="3" applyNumberFormat="1" applyFont="1" applyBorder="1" applyAlignment="1">
      <alignment horizontal="center" vertical="top"/>
    </xf>
    <xf numFmtId="0" fontId="36" fillId="0" borderId="105" xfId="0" applyFont="1" applyBorder="1" applyAlignment="1">
      <alignment horizontal="left" vertical="top"/>
    </xf>
    <xf numFmtId="9" fontId="36" fillId="0" borderId="105" xfId="3" applyFont="1" applyBorder="1" applyAlignment="1">
      <alignment horizontal="center" vertical="top"/>
    </xf>
    <xf numFmtId="167" fontId="36" fillId="0" borderId="34" xfId="3" applyNumberFormat="1" applyFont="1" applyBorder="1" applyAlignment="1">
      <alignment horizontal="center" vertical="top"/>
    </xf>
    <xf numFmtId="0" fontId="36" fillId="0" borderId="41" xfId="6" applyFont="1" applyBorder="1" applyAlignment="1">
      <alignment horizontal="left" vertical="top"/>
    </xf>
    <xf numFmtId="0" fontId="131" fillId="0" borderId="33" xfId="0" applyFont="1" applyFill="1" applyBorder="1" applyAlignment="1">
      <alignment horizontal="left" vertical="top"/>
    </xf>
    <xf numFmtId="0" fontId="131" fillId="0" borderId="33" xfId="0" applyFont="1" applyBorder="1" applyAlignment="1">
      <alignment horizontal="left" vertical="top"/>
    </xf>
    <xf numFmtId="0" fontId="131" fillId="0" borderId="33" xfId="0" applyFont="1" applyFill="1" applyBorder="1" applyAlignment="1">
      <alignment vertical="top"/>
    </xf>
    <xf numFmtId="0" fontId="131" fillId="0" borderId="33" xfId="0" quotePrefix="1" applyFont="1" applyFill="1" applyBorder="1" applyAlignment="1">
      <alignment vertical="top"/>
    </xf>
    <xf numFmtId="17" fontId="131" fillId="0" borderId="33" xfId="6" quotePrefix="1" applyNumberFormat="1" applyFont="1" applyFill="1" applyBorder="1" applyAlignment="1">
      <alignment horizontal="left" vertical="top"/>
    </xf>
    <xf numFmtId="0" fontId="131" fillId="0" borderId="33" xfId="6" applyFont="1" applyFill="1" applyBorder="1" applyAlignment="1">
      <alignment horizontal="left" vertical="top"/>
    </xf>
    <xf numFmtId="0" fontId="49" fillId="0" borderId="0" xfId="0" applyFont="1" applyAlignment="1">
      <alignment horizontal="left" vertical="top"/>
    </xf>
    <xf numFmtId="0" fontId="49" fillId="0" borderId="0" xfId="0" applyFont="1" applyAlignment="1">
      <alignment horizontal="left" vertical="top" wrapText="1"/>
    </xf>
    <xf numFmtId="0" fontId="49" fillId="0" borderId="0" xfId="0" applyFont="1" applyBorder="1" applyAlignment="1">
      <alignment horizontal="left" vertical="top"/>
    </xf>
    <xf numFmtId="0" fontId="49" fillId="0" borderId="0" xfId="0" quotePrefix="1" applyFont="1" applyAlignment="1">
      <alignment horizontal="left" vertical="top"/>
    </xf>
    <xf numFmtId="14" fontId="0" fillId="0" borderId="0" xfId="3" applyNumberFormat="1" applyFont="1" applyFill="1" applyBorder="1" applyAlignment="1">
      <alignment horizontal="left"/>
    </xf>
    <xf numFmtId="0" fontId="78" fillId="0" borderId="12" xfId="0" applyFont="1" applyBorder="1" applyAlignment="1">
      <alignment horizontal="left" vertical="top"/>
    </xf>
    <xf numFmtId="0" fontId="78" fillId="0" borderId="5" xfId="0" applyFont="1" applyBorder="1" applyAlignment="1">
      <alignment horizontal="left" vertical="top"/>
    </xf>
    <xf numFmtId="0" fontId="78" fillId="0" borderId="11" xfId="0" applyFont="1" applyBorder="1" applyAlignment="1">
      <alignment horizontal="left" vertical="top"/>
    </xf>
    <xf numFmtId="0" fontId="78" fillId="0" borderId="0" xfId="0" applyFont="1" applyBorder="1" applyAlignment="1">
      <alignment horizontal="left" vertical="top"/>
    </xf>
    <xf numFmtId="0" fontId="78" fillId="0" borderId="13" xfId="0" applyFont="1" applyBorder="1" applyAlignment="1">
      <alignment horizontal="left" vertical="top"/>
    </xf>
    <xf numFmtId="0" fontId="78" fillId="0" borderId="14" xfId="0" applyFont="1" applyBorder="1" applyAlignment="1">
      <alignment horizontal="left" vertical="top"/>
    </xf>
    <xf numFmtId="9" fontId="0" fillId="0" borderId="50" xfId="7" applyFont="1" applyFill="1" applyBorder="1" applyAlignment="1">
      <alignment horizontal="left"/>
    </xf>
    <xf numFmtId="0" fontId="37" fillId="13" borderId="7" xfId="0" applyFont="1" applyFill="1" applyBorder="1" applyAlignment="1">
      <alignment horizontal="left"/>
    </xf>
    <xf numFmtId="1" fontId="78" fillId="0" borderId="5" xfId="0" applyNumberFormat="1" applyFont="1" applyFill="1" applyBorder="1" applyAlignment="1">
      <alignment horizontal="left"/>
    </xf>
    <xf numFmtId="1" fontId="78" fillId="0" borderId="0" xfId="3" applyNumberFormat="1" applyFont="1" applyFill="1" applyBorder="1" applyAlignment="1">
      <alignment horizontal="left"/>
    </xf>
    <xf numFmtId="0" fontId="0" fillId="0" borderId="45" xfId="0" applyBorder="1"/>
    <xf numFmtId="0" fontId="0" fillId="0" borderId="46" xfId="0" applyBorder="1"/>
    <xf numFmtId="0" fontId="36" fillId="14" borderId="0" xfId="0" applyFont="1" applyFill="1" applyBorder="1" applyAlignment="1">
      <alignment horizontal="left" vertical="top"/>
    </xf>
    <xf numFmtId="0" fontId="40" fillId="14" borderId="11" xfId="0" applyFont="1" applyFill="1" applyBorder="1" applyAlignment="1">
      <alignment horizontal="left" vertical="top"/>
    </xf>
    <xf numFmtId="0" fontId="40" fillId="14" borderId="0" xfId="0" applyFont="1" applyFill="1" applyBorder="1" applyAlignment="1">
      <alignment horizontal="left" vertical="top"/>
    </xf>
    <xf numFmtId="0" fontId="40" fillId="0" borderId="0" xfId="6" applyFont="1" applyFill="1" applyBorder="1" applyAlignment="1">
      <alignment horizontal="left" vertical="top"/>
    </xf>
    <xf numFmtId="0" fontId="40" fillId="0" borderId="11" xfId="0" applyNumberFormat="1" applyFont="1" applyBorder="1" applyAlignment="1">
      <alignment horizontal="left" vertical="top"/>
    </xf>
    <xf numFmtId="0" fontId="40" fillId="0" borderId="15" xfId="6" applyFont="1" applyBorder="1" applyAlignment="1">
      <alignment horizontal="left" vertical="top"/>
    </xf>
    <xf numFmtId="0" fontId="40" fillId="0" borderId="11" xfId="0" applyFont="1" applyBorder="1" applyAlignment="1">
      <alignment horizontal="left" vertical="top"/>
    </xf>
    <xf numFmtId="0" fontId="40" fillId="14" borderId="11" xfId="0" applyNumberFormat="1" applyFont="1" applyFill="1" applyBorder="1" applyAlignment="1">
      <alignment horizontal="left" vertical="top"/>
    </xf>
    <xf numFmtId="0" fontId="40" fillId="14" borderId="15" xfId="6" applyFont="1" applyFill="1" applyBorder="1" applyAlignment="1">
      <alignment horizontal="left" vertical="top"/>
    </xf>
    <xf numFmtId="0" fontId="40" fillId="0" borderId="0" xfId="0" applyNumberFormat="1" applyFont="1" applyBorder="1" applyAlignment="1">
      <alignment horizontal="left" vertical="top"/>
    </xf>
    <xf numFmtId="9" fontId="40" fillId="0" borderId="0" xfId="0" applyNumberFormat="1" applyFont="1" applyFill="1" applyBorder="1" applyAlignment="1">
      <alignment horizontal="left"/>
    </xf>
    <xf numFmtId="9" fontId="40" fillId="0" borderId="0" xfId="7" applyFont="1" applyFill="1" applyBorder="1" applyAlignment="1">
      <alignment horizontal="left"/>
    </xf>
    <xf numFmtId="9" fontId="47" fillId="0" borderId="49" xfId="0" applyNumberFormat="1" applyFont="1" applyFill="1" applyBorder="1" applyAlignment="1">
      <alignment horizontal="left"/>
    </xf>
    <xf numFmtId="9" fontId="47" fillId="0" borderId="0" xfId="0" applyNumberFormat="1" applyFont="1" applyFill="1" applyBorder="1" applyAlignment="1">
      <alignment horizontal="left"/>
    </xf>
    <xf numFmtId="9" fontId="47" fillId="0" borderId="49" xfId="7" applyFont="1" applyFill="1" applyBorder="1" applyAlignment="1">
      <alignment horizontal="left"/>
    </xf>
    <xf numFmtId="9" fontId="47" fillId="0" borderId="0" xfId="7" applyFont="1" applyFill="1" applyBorder="1" applyAlignment="1">
      <alignment horizontal="left"/>
    </xf>
    <xf numFmtId="9" fontId="81" fillId="0" borderId="0" xfId="0" applyNumberFormat="1" applyFont="1" applyFill="1" applyBorder="1" applyAlignment="1">
      <alignment horizontal="left"/>
    </xf>
    <xf numFmtId="9" fontId="81" fillId="0" borderId="0" xfId="7" applyFont="1" applyFill="1" applyBorder="1" applyAlignment="1">
      <alignment horizontal="left"/>
    </xf>
    <xf numFmtId="9" fontId="47" fillId="0" borderId="50" xfId="7" applyFont="1" applyFill="1" applyBorder="1" applyAlignment="1">
      <alignment horizontal="left"/>
    </xf>
    <xf numFmtId="0" fontId="36" fillId="14" borderId="0" xfId="0" applyFont="1" applyFill="1" applyBorder="1"/>
    <xf numFmtId="9" fontId="36" fillId="0" borderId="0" xfId="0" applyNumberFormat="1" applyFont="1" applyBorder="1"/>
    <xf numFmtId="0" fontId="36" fillId="0" borderId="14" xfId="0" applyFont="1" applyBorder="1"/>
    <xf numFmtId="0" fontId="78" fillId="0" borderId="10" xfId="0" applyFont="1" applyBorder="1" applyAlignment="1">
      <alignment horizontal="left" vertical="top"/>
    </xf>
    <xf numFmtId="0" fontId="78" fillId="0" borderId="15" xfId="0" applyFont="1" applyBorder="1" applyAlignment="1">
      <alignment horizontal="left" vertical="top"/>
    </xf>
    <xf numFmtId="0" fontId="40" fillId="14" borderId="15" xfId="0" applyFont="1" applyFill="1" applyBorder="1" applyAlignment="1">
      <alignment horizontal="left" vertical="top"/>
    </xf>
    <xf numFmtId="0" fontId="40" fillId="0" borderId="15" xfId="0" applyFont="1" applyBorder="1" applyAlignment="1">
      <alignment horizontal="left" vertical="top"/>
    </xf>
    <xf numFmtId="0" fontId="78" fillId="0" borderId="9" xfId="0" applyFont="1" applyBorder="1" applyAlignment="1">
      <alignment horizontal="left" vertical="top"/>
    </xf>
    <xf numFmtId="0" fontId="68" fillId="0" borderId="0" xfId="0" applyFont="1" applyAlignment="1">
      <alignment horizontal="left" vertical="top"/>
    </xf>
    <xf numFmtId="0" fontId="37" fillId="0" borderId="0" xfId="15" applyNumberFormat="1" applyFont="1" applyFill="1" applyAlignment="1">
      <alignment vertical="top"/>
    </xf>
    <xf numFmtId="0" fontId="37" fillId="13" borderId="0" xfId="0" applyNumberFormat="1" applyFont="1" applyFill="1" applyBorder="1" applyAlignment="1">
      <alignment vertical="top"/>
    </xf>
    <xf numFmtId="0" fontId="37" fillId="0" borderId="0" xfId="0" applyNumberFormat="1" applyFont="1" applyFill="1" applyBorder="1" applyAlignment="1">
      <alignment vertical="top"/>
    </xf>
    <xf numFmtId="0" fontId="36" fillId="0" borderId="15" xfId="0" applyFont="1" applyBorder="1" applyAlignment="1">
      <alignment horizontal="left" vertical="top"/>
    </xf>
    <xf numFmtId="0" fontId="36" fillId="0" borderId="109" xfId="0" applyFont="1" applyFill="1" applyBorder="1" applyAlignment="1">
      <alignment horizontal="left"/>
    </xf>
    <xf numFmtId="0" fontId="36" fillId="0" borderId="2" xfId="0" applyFont="1" applyFill="1" applyBorder="1" applyAlignment="1">
      <alignment horizontal="left"/>
    </xf>
    <xf numFmtId="0" fontId="36" fillId="3" borderId="2" xfId="0" applyFont="1" applyFill="1" applyBorder="1"/>
    <xf numFmtId="0" fontId="40" fillId="3" borderId="2" xfId="0" applyFont="1" applyFill="1" applyBorder="1"/>
    <xf numFmtId="0" fontId="40" fillId="0" borderId="2" xfId="0" applyFont="1" applyFill="1" applyBorder="1" applyAlignment="1">
      <alignment horizontal="left"/>
    </xf>
    <xf numFmtId="0" fontId="0" fillId="0" borderId="2" xfId="0" applyFill="1" applyBorder="1" applyAlignment="1">
      <alignment horizontal="left"/>
    </xf>
    <xf numFmtId="0" fontId="0" fillId="0" borderId="110" xfId="0" applyFill="1" applyBorder="1" applyAlignment="1">
      <alignment horizontal="left"/>
    </xf>
    <xf numFmtId="9" fontId="47" fillId="0" borderId="50" xfId="0" applyNumberFormat="1" applyFont="1" applyFill="1" applyBorder="1" applyAlignment="1">
      <alignment horizontal="left"/>
    </xf>
    <xf numFmtId="0" fontId="78" fillId="0" borderId="47" xfId="0" applyFont="1" applyBorder="1" applyAlignment="1">
      <alignment horizontal="left"/>
    </xf>
    <xf numFmtId="0" fontId="78" fillId="0" borderId="5" xfId="0" applyFont="1" applyBorder="1" applyAlignment="1">
      <alignment horizontal="left"/>
    </xf>
    <xf numFmtId="0" fontId="78" fillId="0" borderId="48" xfId="0" applyFont="1" applyBorder="1" applyAlignment="1">
      <alignment horizontal="left"/>
    </xf>
    <xf numFmtId="0" fontId="36" fillId="0" borderId="0" xfId="0" applyFont="1" applyAlignment="1">
      <alignment horizontal="left" vertical="top"/>
    </xf>
    <xf numFmtId="0" fontId="36" fillId="0" borderId="0" xfId="0" quotePrefix="1" applyFont="1" applyAlignment="1">
      <alignment horizontal="left"/>
    </xf>
    <xf numFmtId="0" fontId="37" fillId="0" borderId="0" xfId="0" quotePrefix="1" applyFont="1" applyAlignment="1">
      <alignment horizontal="left" indent="1"/>
    </xf>
    <xf numFmtId="0" fontId="36" fillId="0" borderId="0" xfId="0" quotePrefix="1" applyFont="1" applyAlignment="1">
      <alignment horizontal="left" indent="1"/>
    </xf>
    <xf numFmtId="0" fontId="75" fillId="0" borderId="0" xfId="0" applyFont="1" applyAlignment="1">
      <alignment horizontal="right" vertical="top"/>
    </xf>
    <xf numFmtId="0" fontId="36" fillId="26" borderId="0" xfId="0" applyFont="1" applyFill="1" applyAlignment="1">
      <alignment horizontal="left" vertical="top"/>
    </xf>
    <xf numFmtId="0" fontId="36" fillId="27" borderId="0" xfId="0" applyFont="1" applyFill="1" applyAlignment="1">
      <alignment horizontal="left" vertical="top"/>
    </xf>
    <xf numFmtId="0" fontId="36" fillId="8" borderId="11" xfId="0" applyFont="1" applyFill="1" applyBorder="1" applyAlignment="1">
      <alignment horizontal="left" vertical="top"/>
    </xf>
    <xf numFmtId="0" fontId="36" fillId="26" borderId="11" xfId="0" applyFont="1" applyFill="1" applyBorder="1" applyAlignment="1">
      <alignment horizontal="left" vertical="top"/>
    </xf>
    <xf numFmtId="0" fontId="36" fillId="14" borderId="14" xfId="6" applyFont="1" applyFill="1" applyBorder="1" applyAlignment="1">
      <alignment horizontal="left" vertical="top"/>
    </xf>
    <xf numFmtId="0" fontId="36" fillId="0" borderId="15" xfId="0" applyFont="1" applyFill="1" applyBorder="1" applyAlignment="1">
      <alignment horizontal="left" vertical="top"/>
    </xf>
    <xf numFmtId="0" fontId="36" fillId="0" borderId="114" xfId="0" applyNumberFormat="1" applyFont="1" applyBorder="1" applyAlignment="1">
      <alignment horizontal="left"/>
    </xf>
    <xf numFmtId="2" fontId="36" fillId="0" borderId="67" xfId="0" applyNumberFormat="1" applyFont="1" applyBorder="1" applyAlignment="1">
      <alignment horizontal="left"/>
    </xf>
    <xf numFmtId="0" fontId="36" fillId="0" borderId="115" xfId="0" applyNumberFormat="1" applyFont="1" applyBorder="1" applyAlignment="1">
      <alignment horizontal="left"/>
    </xf>
    <xf numFmtId="2" fontId="36" fillId="0" borderId="68" xfId="0" applyNumberFormat="1" applyFont="1" applyBorder="1" applyAlignment="1">
      <alignment horizontal="left"/>
    </xf>
    <xf numFmtId="0" fontId="36" fillId="0" borderId="116" xfId="0" applyNumberFormat="1" applyFont="1" applyBorder="1" applyAlignment="1">
      <alignment horizontal="left"/>
    </xf>
    <xf numFmtId="2" fontId="36" fillId="0" borderId="117" xfId="0" applyNumberFormat="1" applyFont="1" applyBorder="1" applyAlignment="1">
      <alignment horizontal="left"/>
    </xf>
    <xf numFmtId="0" fontId="36" fillId="0" borderId="118" xfId="0" applyNumberFormat="1" applyFont="1" applyBorder="1"/>
    <xf numFmtId="2" fontId="36" fillId="0" borderId="119" xfId="0" applyNumberFormat="1" applyFont="1" applyBorder="1" applyAlignment="1">
      <alignment horizontal="left"/>
    </xf>
    <xf numFmtId="173" fontId="37" fillId="15" borderId="12" xfId="0" applyNumberFormat="1" applyFont="1" applyFill="1" applyBorder="1" applyAlignment="1"/>
    <xf numFmtId="173" fontId="37" fillId="15" borderId="10" xfId="0" applyNumberFormat="1" applyFont="1" applyFill="1" applyBorder="1" applyAlignment="1"/>
    <xf numFmtId="167" fontId="47" fillId="0" borderId="0" xfId="0" applyNumberFormat="1" applyFont="1" applyBorder="1" applyAlignment="1">
      <alignment horizontal="left" vertical="top"/>
    </xf>
    <xf numFmtId="2" fontId="37" fillId="13" borderId="3" xfId="0" applyNumberFormat="1" applyFont="1" applyFill="1" applyBorder="1" applyAlignment="1">
      <alignment horizontal="left" vertical="top"/>
    </xf>
    <xf numFmtId="2" fontId="76" fillId="18" borderId="3" xfId="0" applyNumberFormat="1" applyFont="1" applyFill="1" applyBorder="1" applyAlignment="1">
      <alignment horizontal="left" vertical="top"/>
    </xf>
    <xf numFmtId="9" fontId="36" fillId="0" borderId="7" xfId="0" applyNumberFormat="1" applyFont="1" applyBorder="1" applyAlignment="1">
      <alignment horizontal="left"/>
    </xf>
    <xf numFmtId="167" fontId="0" fillId="0" borderId="5" xfId="0" applyNumberFormat="1" applyBorder="1" applyAlignment="1">
      <alignment horizontal="left"/>
    </xf>
    <xf numFmtId="0" fontId="58" fillId="0" borderId="0" xfId="0" applyFont="1" applyAlignment="1">
      <alignment horizontal="left" vertical="top"/>
    </xf>
    <xf numFmtId="0" fontId="49" fillId="0" borderId="0" xfId="0" applyNumberFormat="1" applyFont="1" applyBorder="1" applyAlignment="1">
      <alignment horizontal="left" vertical="top"/>
    </xf>
    <xf numFmtId="0" fontId="34" fillId="0" borderId="0" xfId="6" applyFont="1" applyAlignment="1">
      <alignment horizontal="left" vertical="top"/>
    </xf>
    <xf numFmtId="0" fontId="34" fillId="0" borderId="9" xfId="6" applyFont="1" applyBorder="1" applyAlignment="1">
      <alignment horizontal="left" vertical="top"/>
    </xf>
    <xf numFmtId="1" fontId="36" fillId="0" borderId="0" xfId="0" applyNumberFormat="1" applyFont="1" applyBorder="1" applyAlignment="1">
      <alignment horizontal="left" vertical="top" wrapText="1" indent="1"/>
    </xf>
    <xf numFmtId="1" fontId="36" fillId="0" borderId="0" xfId="0" applyNumberFormat="1" applyFont="1" applyBorder="1" applyAlignment="1">
      <alignment horizontal="left" vertical="top" indent="1"/>
    </xf>
    <xf numFmtId="0" fontId="36" fillId="0" borderId="0" xfId="0" applyFont="1" applyAlignment="1">
      <alignment horizontal="left" vertical="top"/>
    </xf>
    <xf numFmtId="0" fontId="36" fillId="0" borderId="0" xfId="0" applyFont="1" applyAlignment="1">
      <alignment horizontal="left" vertical="top" wrapText="1"/>
    </xf>
    <xf numFmtId="0" fontId="36" fillId="0" borderId="0" xfId="0" applyFont="1" applyBorder="1" applyAlignment="1">
      <alignment horizontal="left" vertical="top" wrapText="1"/>
    </xf>
    <xf numFmtId="0" fontId="36" fillId="0" borderId="0" xfId="0" applyFont="1" applyBorder="1" applyAlignment="1">
      <alignment horizontal="left" vertical="top"/>
    </xf>
    <xf numFmtId="0" fontId="36" fillId="0" borderId="0" xfId="0" applyNumberFormat="1" applyFont="1" applyBorder="1" applyAlignment="1">
      <alignment horizontal="left" vertical="top" wrapText="1"/>
    </xf>
    <xf numFmtId="0" fontId="131" fillId="0" borderId="0" xfId="0" applyFont="1" applyBorder="1" applyAlignment="1">
      <alignment horizontal="left" vertical="top" wrapText="1"/>
    </xf>
    <xf numFmtId="0" fontId="131" fillId="0" borderId="0" xfId="1" quotePrefix="1" applyFont="1" applyAlignment="1" applyProtection="1">
      <alignment horizontal="left" vertical="top" wrapText="1"/>
    </xf>
    <xf numFmtId="1" fontId="36" fillId="0" borderId="27" xfId="0" applyNumberFormat="1" applyFont="1" applyFill="1" applyBorder="1" applyAlignment="1">
      <alignment horizontal="left"/>
    </xf>
    <xf numFmtId="1" fontId="36" fillId="0" borderId="22" xfId="0" applyNumberFormat="1" applyFont="1" applyFill="1" applyBorder="1" applyAlignment="1">
      <alignment horizontal="left"/>
    </xf>
    <xf numFmtId="1" fontId="36" fillId="0" borderId="8" xfId="0" applyNumberFormat="1" applyFont="1" applyFill="1" applyBorder="1" applyAlignment="1">
      <alignment horizontal="left"/>
    </xf>
    <xf numFmtId="2" fontId="36" fillId="0" borderId="10" xfId="0" applyNumberFormat="1" applyFont="1" applyFill="1" applyBorder="1" applyAlignment="1">
      <alignment horizontal="left" vertical="top"/>
    </xf>
    <xf numFmtId="2" fontId="40" fillId="0" borderId="15" xfId="0" applyNumberFormat="1" applyFont="1" applyFill="1" applyBorder="1" applyAlignment="1">
      <alignment horizontal="left" vertical="top"/>
    </xf>
    <xf numFmtId="2" fontId="36" fillId="0" borderId="15" xfId="0" applyNumberFormat="1" applyFont="1" applyFill="1" applyBorder="1" applyAlignment="1">
      <alignment horizontal="left" vertical="top"/>
    </xf>
    <xf numFmtId="2" fontId="49" fillId="0" borderId="15" xfId="0" applyNumberFormat="1" applyFont="1" applyFill="1" applyBorder="1" applyAlignment="1">
      <alignment horizontal="left" vertical="top"/>
    </xf>
    <xf numFmtId="2" fontId="49" fillId="0" borderId="9" xfId="0" applyNumberFormat="1" applyFont="1" applyFill="1" applyBorder="1" applyAlignment="1">
      <alignment horizontal="left" vertical="top"/>
    </xf>
    <xf numFmtId="1" fontId="36" fillId="0" borderId="15" xfId="0" applyNumberFormat="1" applyFont="1" applyFill="1" applyBorder="1" applyAlignment="1">
      <alignment horizontal="left"/>
    </xf>
    <xf numFmtId="1" fontId="36" fillId="0" borderId="6" xfId="0" applyNumberFormat="1" applyFont="1" applyFill="1" applyBorder="1" applyAlignment="1">
      <alignment horizontal="left"/>
    </xf>
    <xf numFmtId="2" fontId="36" fillId="0" borderId="12" xfId="0" applyNumberFormat="1" applyFont="1" applyFill="1" applyBorder="1" applyAlignment="1">
      <alignment horizontal="left" vertical="top"/>
    </xf>
    <xf numFmtId="2" fontId="40" fillId="0" borderId="11" xfId="0" applyNumberFormat="1" applyFont="1" applyFill="1" applyBorder="1" applyAlignment="1">
      <alignment horizontal="left" vertical="top"/>
    </xf>
    <xf numFmtId="2" fontId="36" fillId="0" borderId="11" xfId="0" applyNumberFormat="1" applyFont="1" applyFill="1" applyBorder="1" applyAlignment="1">
      <alignment horizontal="left" vertical="top"/>
    </xf>
    <xf numFmtId="2" fontId="49" fillId="0" borderId="11" xfId="0" applyNumberFormat="1" applyFont="1" applyFill="1" applyBorder="1" applyAlignment="1">
      <alignment horizontal="left" vertical="top"/>
    </xf>
    <xf numFmtId="2" fontId="49" fillId="0" borderId="13" xfId="0" applyNumberFormat="1" applyFont="1" applyFill="1" applyBorder="1" applyAlignment="1">
      <alignment horizontal="left" vertical="top"/>
    </xf>
    <xf numFmtId="1" fontId="36" fillId="0" borderId="11" xfId="0" applyNumberFormat="1" applyFont="1" applyFill="1" applyBorder="1" applyAlignment="1">
      <alignment horizontal="left"/>
    </xf>
    <xf numFmtId="0" fontId="36" fillId="0" borderId="0" xfId="0" applyFont="1" applyBorder="1" applyAlignment="1">
      <alignment horizontal="right"/>
    </xf>
    <xf numFmtId="0" fontId="0" fillId="0" borderId="20" xfId="0" applyFill="1" applyBorder="1"/>
    <xf numFmtId="1" fontId="36" fillId="0" borderId="20" xfId="0" applyNumberFormat="1" applyFont="1" applyBorder="1" applyAlignment="1">
      <alignment horizontal="left"/>
    </xf>
    <xf numFmtId="0" fontId="36" fillId="0" borderId="5" xfId="0" applyFont="1" applyBorder="1"/>
    <xf numFmtId="0" fontId="88" fillId="0" borderId="5" xfId="0" applyFont="1" applyBorder="1"/>
    <xf numFmtId="0" fontId="0" fillId="0" borderId="15" xfId="0" applyFill="1" applyBorder="1"/>
    <xf numFmtId="0" fontId="0" fillId="0" borderId="0" xfId="0" applyFill="1" applyBorder="1" applyAlignment="1">
      <alignment horizontal="left"/>
    </xf>
    <xf numFmtId="0" fontId="40" fillId="0" borderId="120" xfId="0" applyFont="1" applyBorder="1"/>
    <xf numFmtId="0" fontId="36" fillId="0" borderId="120" xfId="0" applyFont="1" applyBorder="1"/>
    <xf numFmtId="0" fontId="88" fillId="0" borderId="120" xfId="0" applyFont="1" applyBorder="1"/>
    <xf numFmtId="0" fontId="36" fillId="0" borderId="11" xfId="0" applyFont="1" applyFill="1" applyBorder="1"/>
    <xf numFmtId="10" fontId="36" fillId="0" borderId="120" xfId="0" applyNumberFormat="1" applyFont="1" applyBorder="1" applyAlignment="1">
      <alignment horizontal="left"/>
    </xf>
    <xf numFmtId="0" fontId="0" fillId="0" borderId="120" xfId="0" applyFill="1" applyBorder="1"/>
    <xf numFmtId="0" fontId="34" fillId="0" borderId="0" xfId="6" applyFont="1" applyFill="1" applyBorder="1" applyAlignment="1">
      <alignment horizontal="left"/>
    </xf>
    <xf numFmtId="0" fontId="34" fillId="0" borderId="42" xfId="6" applyFont="1" applyFill="1" applyBorder="1" applyAlignment="1">
      <alignment horizontal="left"/>
    </xf>
    <xf numFmtId="0" fontId="34" fillId="0" borderId="98" xfId="6" applyFont="1" applyBorder="1" applyAlignment="1">
      <alignment horizontal="left"/>
    </xf>
    <xf numFmtId="0" fontId="48" fillId="0" borderId="36" xfId="6" applyFont="1" applyBorder="1" applyAlignment="1">
      <alignment horizontal="left"/>
    </xf>
    <xf numFmtId="0" fontId="48" fillId="0" borderId="94" xfId="6" applyFont="1" applyBorder="1" applyAlignment="1">
      <alignment horizontal="left"/>
    </xf>
    <xf numFmtId="0" fontId="34" fillId="14" borderId="30" xfId="6" applyFont="1" applyFill="1" applyBorder="1" applyAlignment="1">
      <alignment horizontal="left"/>
    </xf>
    <xf numFmtId="0" fontId="48" fillId="14" borderId="36" xfId="6" applyFont="1" applyFill="1" applyBorder="1" applyAlignment="1">
      <alignment horizontal="left"/>
    </xf>
    <xf numFmtId="0" fontId="34" fillId="0" borderId="30" xfId="6" applyFont="1" applyBorder="1" applyAlignment="1">
      <alignment horizontal="left"/>
    </xf>
    <xf numFmtId="0" fontId="32" fillId="0" borderId="36" xfId="6" applyFont="1" applyBorder="1" applyAlignment="1">
      <alignment horizontal="left"/>
    </xf>
    <xf numFmtId="0" fontId="36" fillId="0" borderId="36" xfId="6" applyFont="1" applyBorder="1" applyAlignment="1">
      <alignment horizontal="left"/>
    </xf>
    <xf numFmtId="0" fontId="29" fillId="0" borderId="30" xfId="6" applyFont="1" applyBorder="1" applyAlignment="1">
      <alignment horizontal="left"/>
    </xf>
    <xf numFmtId="0" fontId="29" fillId="0" borderId="36" xfId="6" applyFont="1" applyBorder="1" applyAlignment="1">
      <alignment horizontal="left"/>
    </xf>
    <xf numFmtId="0" fontId="48" fillId="0" borderId="30" xfId="6" applyFont="1" applyBorder="1" applyAlignment="1">
      <alignment horizontal="left"/>
    </xf>
    <xf numFmtId="0" fontId="96" fillId="0" borderId="36" xfId="6" applyFont="1" applyBorder="1" applyAlignment="1">
      <alignment horizontal="left"/>
    </xf>
    <xf numFmtId="0" fontId="28" fillId="0" borderId="36" xfId="6" applyFont="1" applyBorder="1" applyAlignment="1">
      <alignment horizontal="left"/>
    </xf>
    <xf numFmtId="0" fontId="20" fillId="0" borderId="36" xfId="6" applyFont="1" applyBorder="1" applyAlignment="1">
      <alignment horizontal="left"/>
    </xf>
    <xf numFmtId="0" fontId="22" fillId="0" borderId="36" xfId="6" applyFont="1" applyBorder="1" applyAlignment="1">
      <alignment horizontal="left"/>
    </xf>
    <xf numFmtId="0" fontId="31" fillId="0" borderId="30" xfId="6" applyFont="1" applyBorder="1" applyAlignment="1">
      <alignment horizontal="left"/>
    </xf>
    <xf numFmtId="0" fontId="31" fillId="0" borderId="36" xfId="6" applyFont="1" applyBorder="1" applyAlignment="1">
      <alignment horizontal="left"/>
    </xf>
    <xf numFmtId="0" fontId="28" fillId="0" borderId="30" xfId="6" applyFont="1" applyBorder="1" applyAlignment="1">
      <alignment horizontal="left"/>
    </xf>
    <xf numFmtId="0" fontId="34" fillId="0" borderId="94" xfId="6" applyFont="1" applyBorder="1" applyAlignment="1">
      <alignment horizontal="left"/>
    </xf>
    <xf numFmtId="0" fontId="72" fillId="0" borderId="30" xfId="6" applyFont="1" applyBorder="1" applyAlignment="1">
      <alignment horizontal="left"/>
    </xf>
    <xf numFmtId="0" fontId="72" fillId="0" borderId="36" xfId="6" applyFont="1" applyBorder="1" applyAlignment="1">
      <alignment horizontal="left"/>
    </xf>
    <xf numFmtId="0" fontId="72" fillId="0" borderId="0" xfId="6" applyFont="1" applyBorder="1" applyAlignment="1">
      <alignment horizontal="left"/>
    </xf>
    <xf numFmtId="0" fontId="48" fillId="6" borderId="3" xfId="6" applyFont="1" applyFill="1" applyBorder="1" applyAlignment="1">
      <alignment horizontal="left"/>
    </xf>
    <xf numFmtId="0" fontId="48" fillId="3" borderId="3" xfId="6" applyFont="1" applyFill="1" applyBorder="1" applyAlignment="1">
      <alignment horizontal="left"/>
    </xf>
    <xf numFmtId="0" fontId="48" fillId="3" borderId="6" xfId="6" applyFont="1" applyFill="1" applyBorder="1" applyAlignment="1">
      <alignment horizontal="left"/>
    </xf>
    <xf numFmtId="0" fontId="48" fillId="13" borderId="121" xfId="6" applyFont="1" applyFill="1" applyBorder="1" applyAlignment="1">
      <alignment horizontal="left"/>
    </xf>
    <xf numFmtId="0" fontId="48" fillId="13" borderId="27" xfId="6" applyFont="1" applyFill="1" applyBorder="1" applyAlignment="1">
      <alignment horizontal="left"/>
    </xf>
    <xf numFmtId="0" fontId="48" fillId="13" borderId="77" xfId="6" applyFont="1" applyFill="1" applyBorder="1" applyAlignment="1">
      <alignment horizontal="left"/>
    </xf>
    <xf numFmtId="0" fontId="93" fillId="3" borderId="6" xfId="6" applyFont="1" applyFill="1" applyBorder="1" applyAlignment="1">
      <alignment horizontal="left"/>
    </xf>
    <xf numFmtId="0" fontId="55" fillId="3" borderId="7" xfId="6" applyFont="1" applyFill="1" applyBorder="1" applyAlignment="1">
      <alignment horizontal="left"/>
    </xf>
    <xf numFmtId="0" fontId="34" fillId="3" borderId="7" xfId="6" applyFont="1" applyFill="1" applyBorder="1" applyAlignment="1">
      <alignment horizontal="left"/>
    </xf>
    <xf numFmtId="0" fontId="34" fillId="3" borderId="8" xfId="6" applyFont="1" applyFill="1" applyBorder="1" applyAlignment="1">
      <alignment horizontal="left"/>
    </xf>
    <xf numFmtId="0" fontId="58" fillId="3" borderId="6" xfId="6" applyFont="1" applyFill="1" applyBorder="1" applyAlignment="1">
      <alignment horizontal="left"/>
    </xf>
    <xf numFmtId="0" fontId="93" fillId="3" borderId="8" xfId="6" applyFont="1" applyFill="1" applyBorder="1" applyAlignment="1">
      <alignment horizontal="right"/>
    </xf>
    <xf numFmtId="0" fontId="58" fillId="13" borderId="7" xfId="6" applyFont="1" applyFill="1" applyBorder="1" applyAlignment="1">
      <alignment horizontal="right"/>
    </xf>
    <xf numFmtId="0" fontId="48" fillId="3" borderId="121" xfId="6" applyFont="1" applyFill="1" applyBorder="1" applyAlignment="1">
      <alignment horizontal="left"/>
    </xf>
    <xf numFmtId="0" fontId="48" fillId="3" borderId="27" xfId="6" applyFont="1" applyFill="1" applyBorder="1" applyAlignment="1">
      <alignment horizontal="left"/>
    </xf>
    <xf numFmtId="0" fontId="48" fillId="3" borderId="77" xfId="6" applyFont="1" applyFill="1" applyBorder="1" applyAlignment="1">
      <alignment horizontal="left"/>
    </xf>
    <xf numFmtId="0" fontId="34" fillId="0" borderId="5" xfId="6" applyFont="1" applyFill="1" applyBorder="1" applyAlignment="1">
      <alignment horizontal="left"/>
    </xf>
    <xf numFmtId="0" fontId="48" fillId="0" borderId="36" xfId="6" applyFont="1" applyFill="1" applyBorder="1" applyAlignment="1">
      <alignment horizontal="left"/>
    </xf>
    <xf numFmtId="167" fontId="46" fillId="14" borderId="0" xfId="0" applyNumberFormat="1" applyFont="1" applyFill="1" applyAlignment="1">
      <alignment horizontal="left" vertical="top"/>
    </xf>
    <xf numFmtId="0" fontId="13" fillId="0" borderId="6" xfId="6" applyFont="1" applyBorder="1" applyAlignment="1">
      <alignment horizontal="left" vertical="top"/>
    </xf>
    <xf numFmtId="0" fontId="28" fillId="14" borderId="6" xfId="6" applyFont="1" applyFill="1" applyBorder="1" applyAlignment="1">
      <alignment horizontal="left" vertical="top"/>
    </xf>
    <xf numFmtId="0" fontId="21" fillId="14" borderId="6" xfId="6" applyFont="1" applyFill="1" applyBorder="1" applyAlignment="1">
      <alignment horizontal="left" vertical="top"/>
    </xf>
    <xf numFmtId="0" fontId="28" fillId="0" borderId="6" xfId="6" applyFont="1" applyBorder="1" applyAlignment="1">
      <alignment horizontal="left" vertical="top"/>
    </xf>
    <xf numFmtId="0" fontId="24" fillId="0" borderId="0" xfId="6" applyFont="1" applyBorder="1" applyAlignment="1">
      <alignment horizontal="left" vertical="top"/>
    </xf>
    <xf numFmtId="0" fontId="34" fillId="0" borderId="0" xfId="6" applyFont="1" applyFill="1" applyAlignment="1">
      <alignment horizontal="left" vertical="top" indent="1"/>
    </xf>
    <xf numFmtId="0" fontId="145" fillId="0" borderId="0" xfId="6" applyFont="1" applyFill="1" applyBorder="1" applyAlignment="1">
      <alignment vertical="top"/>
    </xf>
    <xf numFmtId="0" fontId="19" fillId="0" borderId="0" xfId="6" applyFont="1" applyBorder="1" applyAlignment="1">
      <alignment vertical="top" wrapText="1"/>
    </xf>
    <xf numFmtId="0" fontId="19" fillId="0" borderId="0" xfId="6" applyFont="1" applyBorder="1" applyAlignment="1">
      <alignment vertical="top"/>
    </xf>
    <xf numFmtId="0" fontId="47" fillId="0" borderId="3" xfId="6" applyFont="1" applyBorder="1" applyAlignment="1">
      <alignment horizontal="left" vertical="top"/>
    </xf>
    <xf numFmtId="0" fontId="72" fillId="0" borderId="3" xfId="6" applyFont="1" applyBorder="1" applyAlignment="1">
      <alignment horizontal="left" vertical="top"/>
    </xf>
    <xf numFmtId="0" fontId="121" fillId="0" borderId="3" xfId="6" applyFont="1" applyBorder="1" applyAlignment="1">
      <alignment horizontal="left" vertical="top" wrapText="1"/>
    </xf>
    <xf numFmtId="0" fontId="72" fillId="0" borderId="3" xfId="6" applyFont="1" applyBorder="1" applyAlignment="1">
      <alignment horizontal="left" vertical="top" wrapText="1"/>
    </xf>
    <xf numFmtId="0" fontId="0" fillId="0" borderId="0" xfId="0" applyBorder="1" applyAlignment="1"/>
    <xf numFmtId="0" fontId="36" fillId="0" borderId="3" xfId="6" applyFont="1" applyBorder="1" applyAlignment="1">
      <alignment horizontal="left" vertical="top" wrapText="1"/>
    </xf>
    <xf numFmtId="0" fontId="47" fillId="0" borderId="3" xfId="6" applyFont="1" applyBorder="1" applyAlignment="1">
      <alignment horizontal="left" vertical="top" wrapText="1"/>
    </xf>
    <xf numFmtId="1" fontId="36" fillId="0" borderId="0" xfId="0" applyNumberFormat="1" applyFont="1" applyFill="1" applyBorder="1" applyAlignment="1">
      <alignment horizontal="left" vertical="top"/>
    </xf>
    <xf numFmtId="0" fontId="145" fillId="0" borderId="0" xfId="0" applyFont="1" applyBorder="1" applyAlignment="1">
      <alignment horizontal="left" vertical="top"/>
    </xf>
    <xf numFmtId="0" fontId="36" fillId="0" borderId="0" xfId="0" quotePrefix="1" applyFont="1" applyBorder="1" applyAlignment="1">
      <alignment horizontal="left"/>
    </xf>
    <xf numFmtId="0" fontId="36" fillId="0" borderId="0" xfId="0" quotePrefix="1" applyFont="1" applyBorder="1" applyAlignment="1">
      <alignment horizontal="left" indent="1"/>
    </xf>
    <xf numFmtId="0" fontId="46" fillId="0" borderId="0" xfId="0" applyFont="1" applyBorder="1" applyAlignment="1">
      <alignment vertical="top"/>
    </xf>
    <xf numFmtId="0" fontId="46" fillId="0" borderId="0" xfId="0" applyFont="1" applyBorder="1" applyAlignment="1">
      <alignment horizontal="left"/>
    </xf>
    <xf numFmtId="0" fontId="46" fillId="0" borderId="0" xfId="0" quotePrefix="1" applyFont="1" applyBorder="1" applyAlignment="1">
      <alignment horizontal="left" vertical="top" indent="1"/>
    </xf>
    <xf numFmtId="0" fontId="36" fillId="0" borderId="0" xfId="0" applyFont="1" applyAlignment="1">
      <alignment horizontal="left" vertical="top"/>
    </xf>
    <xf numFmtId="0" fontId="36" fillId="0" borderId="36" xfId="0" applyFont="1" applyFill="1" applyBorder="1" applyAlignment="1">
      <alignment horizontal="left" vertical="top"/>
    </xf>
    <xf numFmtId="0" fontId="36" fillId="0" borderId="0" xfId="0" applyNumberFormat="1" applyFont="1" applyBorder="1" applyAlignment="1">
      <alignment vertical="top" wrapText="1"/>
    </xf>
    <xf numFmtId="0" fontId="131" fillId="0" borderId="0" xfId="1" applyFont="1" applyBorder="1" applyAlignment="1" applyProtection="1">
      <alignment horizontal="left"/>
    </xf>
    <xf numFmtId="0" fontId="109" fillId="0" borderId="0" xfId="0" applyFont="1" applyAlignment="1">
      <alignment horizontal="right" vertical="top"/>
    </xf>
    <xf numFmtId="0" fontId="36" fillId="14" borderId="65" xfId="0" applyFont="1" applyFill="1" applyBorder="1"/>
    <xf numFmtId="0" fontId="0" fillId="14" borderId="123" xfId="0" applyFill="1" applyBorder="1"/>
    <xf numFmtId="0" fontId="0" fillId="14" borderId="66" xfId="0" applyFill="1" applyBorder="1"/>
    <xf numFmtId="0" fontId="81" fillId="0" borderId="0" xfId="0" applyFont="1" applyFill="1" applyAlignment="1">
      <alignment vertical="top"/>
    </xf>
    <xf numFmtId="0" fontId="0" fillId="0" borderId="0" xfId="0" applyFont="1" applyBorder="1" applyAlignment="1">
      <alignment horizontal="left" vertical="top" indent="1"/>
    </xf>
    <xf numFmtId="0" fontId="36" fillId="0" borderId="0" xfId="0" applyNumberFormat="1" applyFont="1" applyBorder="1" applyAlignment="1">
      <alignment horizontal="left" vertical="top" indent="1"/>
    </xf>
    <xf numFmtId="0" fontId="47" fillId="0" borderId="0" xfId="0" applyFont="1" applyAlignment="1">
      <alignment vertical="top"/>
    </xf>
    <xf numFmtId="0" fontId="36" fillId="0" borderId="14" xfId="0" applyFont="1" applyBorder="1" applyAlignment="1">
      <alignment horizontal="left" vertical="top" wrapText="1"/>
    </xf>
    <xf numFmtId="167" fontId="36" fillId="14" borderId="91" xfId="3" applyNumberFormat="1" applyFont="1" applyFill="1" applyBorder="1" applyAlignment="1">
      <alignment horizontal="center" vertical="top"/>
    </xf>
    <xf numFmtId="0" fontId="71" fillId="14" borderId="91" xfId="0" applyFont="1" applyFill="1" applyBorder="1" applyAlignment="1">
      <alignment vertical="top"/>
    </xf>
    <xf numFmtId="9" fontId="36" fillId="14" borderId="91" xfId="3" applyFont="1" applyFill="1" applyBorder="1" applyAlignment="1">
      <alignment horizontal="center" vertical="top"/>
    </xf>
    <xf numFmtId="167" fontId="46" fillId="14" borderId="1" xfId="0" applyNumberFormat="1" applyFont="1" applyFill="1" applyBorder="1" applyAlignment="1">
      <alignment horizontal="center" vertical="top"/>
    </xf>
    <xf numFmtId="167" fontId="46" fillId="0" borderId="1" xfId="0" applyNumberFormat="1" applyFont="1" applyBorder="1" applyAlignment="1">
      <alignment horizontal="center" vertical="top"/>
    </xf>
    <xf numFmtId="167" fontId="46" fillId="0" borderId="57" xfId="0" applyNumberFormat="1" applyFont="1" applyBorder="1" applyAlignment="1">
      <alignment horizontal="center" vertical="top"/>
    </xf>
    <xf numFmtId="167" fontId="46" fillId="0" borderId="2" xfId="0" applyNumberFormat="1" applyFont="1" applyBorder="1" applyAlignment="1">
      <alignment horizontal="center" vertical="top"/>
    </xf>
    <xf numFmtId="167" fontId="46" fillId="14" borderId="100" xfId="0" applyNumberFormat="1" applyFont="1" applyFill="1" applyBorder="1" applyAlignment="1">
      <alignment horizontal="center" vertical="top"/>
    </xf>
    <xf numFmtId="167" fontId="46" fillId="0" borderId="100" xfId="0" applyNumberFormat="1" applyFont="1" applyBorder="1" applyAlignment="1">
      <alignment horizontal="center" vertical="top"/>
    </xf>
    <xf numFmtId="167" fontId="46" fillId="0" borderId="4" xfId="0" applyNumberFormat="1" applyFont="1" applyBorder="1" applyAlignment="1">
      <alignment horizontal="center" vertical="top"/>
    </xf>
    <xf numFmtId="0" fontId="36" fillId="14" borderId="12" xfId="0" applyFont="1" applyFill="1" applyBorder="1" applyAlignment="1">
      <alignment horizontal="left" vertical="top" indent="3"/>
    </xf>
    <xf numFmtId="0" fontId="36" fillId="14" borderId="97" xfId="0" applyFont="1" applyFill="1" applyBorder="1" applyAlignment="1">
      <alignment horizontal="left" vertical="top" indent="3"/>
    </xf>
    <xf numFmtId="0" fontId="36" fillId="0" borderId="11" xfId="0" applyFont="1" applyBorder="1" applyAlignment="1">
      <alignment horizontal="left" vertical="top" indent="3"/>
    </xf>
    <xf numFmtId="0" fontId="36" fillId="0" borderId="42" xfId="0" applyFont="1" applyBorder="1" applyAlignment="1">
      <alignment horizontal="left" vertical="top" indent="3"/>
    </xf>
    <xf numFmtId="0" fontId="36" fillId="0" borderId="79" xfId="0" applyFont="1" applyBorder="1" applyAlignment="1">
      <alignment horizontal="left" vertical="top" indent="3"/>
    </xf>
    <xf numFmtId="0" fontId="36" fillId="0" borderId="41" xfId="0" applyFont="1" applyBorder="1" applyAlignment="1">
      <alignment horizontal="left" vertical="top" indent="3"/>
    </xf>
    <xf numFmtId="0" fontId="36" fillId="0" borderId="12" xfId="0" applyFont="1" applyBorder="1" applyAlignment="1">
      <alignment horizontal="left" vertical="top" indent="3"/>
    </xf>
    <xf numFmtId="0" fontId="36" fillId="0" borderId="97" xfId="0" applyFont="1" applyBorder="1" applyAlignment="1">
      <alignment horizontal="left" vertical="top" indent="3"/>
    </xf>
    <xf numFmtId="0" fontId="36" fillId="14" borderId="101" xfId="0" applyFont="1" applyFill="1" applyBorder="1" applyAlignment="1">
      <alignment horizontal="left" vertical="top" indent="3"/>
    </xf>
    <xf numFmtId="0" fontId="36" fillId="14" borderId="104" xfId="0" applyFont="1" applyFill="1" applyBorder="1" applyAlignment="1">
      <alignment horizontal="left" vertical="top" indent="3"/>
    </xf>
    <xf numFmtId="0" fontId="36" fillId="0" borderId="101" xfId="0" applyFont="1" applyBorder="1" applyAlignment="1">
      <alignment horizontal="left" vertical="top" indent="3"/>
    </xf>
    <xf numFmtId="0" fontId="36" fillId="0" borderId="104" xfId="0" applyFont="1" applyBorder="1" applyAlignment="1">
      <alignment horizontal="left" vertical="top" indent="3"/>
    </xf>
    <xf numFmtId="0" fontId="36" fillId="14" borderId="11" xfId="0" applyFont="1" applyFill="1" applyBorder="1" applyAlignment="1">
      <alignment horizontal="left" vertical="top" indent="3"/>
    </xf>
    <xf numFmtId="0" fontId="40" fillId="14" borderId="0" xfId="0" applyFont="1" applyFill="1" applyBorder="1" applyAlignment="1">
      <alignment horizontal="left" vertical="top" indent="3"/>
    </xf>
    <xf numFmtId="0" fontId="36" fillId="0" borderId="13" xfId="0" applyFont="1" applyBorder="1" applyAlignment="1">
      <alignment horizontal="left" vertical="top" indent="3"/>
    </xf>
    <xf numFmtId="0" fontId="36" fillId="0" borderId="98" xfId="0" applyFont="1" applyBorder="1" applyAlignment="1">
      <alignment horizontal="left" vertical="top" indent="3"/>
    </xf>
    <xf numFmtId="0" fontId="37" fillId="3" borderId="77" xfId="0" applyFont="1" applyFill="1" applyBorder="1" applyAlignment="1">
      <alignment horizontal="left" vertical="top"/>
    </xf>
    <xf numFmtId="0" fontId="46" fillId="3" borderId="3" xfId="0" applyFont="1" applyFill="1" applyBorder="1" applyAlignment="1">
      <alignment horizontal="left" vertical="top"/>
    </xf>
    <xf numFmtId="0" fontId="149" fillId="13" borderId="3" xfId="0" applyFont="1" applyFill="1" applyBorder="1" applyAlignment="1">
      <alignment horizontal="center" vertical="top"/>
    </xf>
    <xf numFmtId="9" fontId="46" fillId="14" borderId="90" xfId="3" applyFont="1" applyFill="1" applyBorder="1" applyAlignment="1">
      <alignment horizontal="center" vertical="top"/>
    </xf>
    <xf numFmtId="9" fontId="46" fillId="0" borderId="91" xfId="3" applyFont="1" applyBorder="1" applyAlignment="1">
      <alignment horizontal="center" vertical="top"/>
    </xf>
    <xf numFmtId="9" fontId="46" fillId="0" borderId="99" xfId="3" applyFont="1" applyBorder="1" applyAlignment="1">
      <alignment horizontal="center" vertical="top"/>
    </xf>
    <xf numFmtId="9" fontId="46" fillId="0" borderId="90" xfId="3" applyFont="1" applyBorder="1" applyAlignment="1">
      <alignment horizontal="center" vertical="top"/>
    </xf>
    <xf numFmtId="9" fontId="46" fillId="14" borderId="105" xfId="3" applyFont="1" applyFill="1" applyBorder="1" applyAlignment="1">
      <alignment horizontal="center" vertical="top"/>
    </xf>
    <xf numFmtId="9" fontId="46" fillId="0" borderId="105" xfId="3" applyFont="1" applyBorder="1" applyAlignment="1">
      <alignment horizontal="center" vertical="top"/>
    </xf>
    <xf numFmtId="9" fontId="46" fillId="14" borderId="91" xfId="3" applyFont="1" applyFill="1" applyBorder="1" applyAlignment="1">
      <alignment horizontal="center" vertical="top"/>
    </xf>
    <xf numFmtId="9" fontId="46" fillId="0" borderId="92" xfId="3" applyFont="1" applyBorder="1" applyAlignment="1">
      <alignment horizontal="center" vertical="top"/>
    </xf>
    <xf numFmtId="0" fontId="36" fillId="0" borderId="0" xfId="0" applyFont="1" applyAlignment="1">
      <alignment horizontal="left" vertical="top"/>
    </xf>
    <xf numFmtId="0" fontId="36" fillId="0" borderId="0" xfId="0" applyFont="1" applyAlignment="1">
      <alignment horizontal="left" vertical="top" wrapText="1"/>
    </xf>
    <xf numFmtId="0" fontId="36" fillId="0" borderId="0" xfId="0" applyFont="1" applyBorder="1" applyAlignment="1">
      <alignment horizontal="left" vertical="top"/>
    </xf>
    <xf numFmtId="0" fontId="36" fillId="0" borderId="0" xfId="0" quotePrefix="1" applyFont="1" applyAlignment="1">
      <alignment horizontal="left" vertical="top" wrapText="1"/>
    </xf>
    <xf numFmtId="0" fontId="36" fillId="0" borderId="0" xfId="0" applyNumberFormat="1" applyFont="1" applyBorder="1" applyAlignment="1">
      <alignment horizontal="left" vertical="top" wrapText="1"/>
    </xf>
    <xf numFmtId="0" fontId="36" fillId="0" borderId="0" xfId="0" applyFont="1" applyAlignment="1">
      <alignment horizontal="left" vertical="top" wrapText="1" indent="1"/>
    </xf>
    <xf numFmtId="0" fontId="47" fillId="0" borderId="0" xfId="0" applyFont="1" applyAlignment="1">
      <alignment vertical="top" wrapText="1"/>
    </xf>
    <xf numFmtId="0" fontId="131" fillId="0" borderId="0" xfId="0" applyFont="1" applyBorder="1" applyAlignment="1">
      <alignment horizontal="left" vertical="top" wrapText="1"/>
    </xf>
    <xf numFmtId="0" fontId="36" fillId="0" borderId="0" xfId="0" quotePrefix="1" applyFont="1" applyBorder="1" applyAlignment="1">
      <alignment horizontal="left" vertical="top" wrapText="1"/>
    </xf>
    <xf numFmtId="0" fontId="36" fillId="0" borderId="0" xfId="0" applyFont="1" applyAlignment="1">
      <alignment horizontal="left" vertical="top"/>
    </xf>
    <xf numFmtId="0" fontId="138" fillId="0" borderId="0" xfId="0" applyFont="1" applyAlignment="1">
      <alignment horizontal="center" vertical="top"/>
    </xf>
    <xf numFmtId="0" fontId="46" fillId="0" borderId="0" xfId="0" applyFont="1" applyAlignment="1">
      <alignment vertical="top"/>
    </xf>
    <xf numFmtId="0" fontId="71" fillId="0" borderId="36" xfId="0" applyFont="1" applyBorder="1" applyAlignment="1">
      <alignment horizontal="center" vertical="top"/>
    </xf>
    <xf numFmtId="0" fontId="138" fillId="0" borderId="36" xfId="0" applyFont="1" applyBorder="1" applyAlignment="1">
      <alignment horizontal="center" vertical="top"/>
    </xf>
    <xf numFmtId="0" fontId="37" fillId="7" borderId="6" xfId="0" applyFont="1" applyFill="1" applyBorder="1" applyAlignment="1">
      <alignment vertical="top"/>
    </xf>
    <xf numFmtId="0" fontId="37" fillId="7" borderId="7" xfId="0" applyFont="1" applyFill="1" applyBorder="1" applyAlignment="1">
      <alignment vertical="top"/>
    </xf>
    <xf numFmtId="0" fontId="37" fillId="7" borderId="8" xfId="0" applyFont="1" applyFill="1" applyBorder="1" applyAlignment="1">
      <alignment vertical="top"/>
    </xf>
    <xf numFmtId="0" fontId="46" fillId="0" borderId="0" xfId="0" applyFont="1" applyAlignment="1">
      <alignment horizontal="left" vertical="top" indent="1"/>
    </xf>
    <xf numFmtId="0" fontId="137" fillId="0" borderId="0" xfId="1" applyFont="1" applyAlignment="1" applyProtection="1">
      <alignment horizontal="left"/>
    </xf>
    <xf numFmtId="0" fontId="36" fillId="0" borderId="0" xfId="0" applyNumberFormat="1" applyFont="1" applyAlignment="1">
      <alignment horizontal="left" vertical="top" indent="1"/>
    </xf>
    <xf numFmtId="0" fontId="37" fillId="3" borderId="77" xfId="0" applyFont="1" applyFill="1" applyBorder="1" applyAlignment="1">
      <alignment horizontal="center" vertical="top"/>
    </xf>
    <xf numFmtId="0" fontId="36" fillId="7" borderId="0" xfId="0" applyFont="1" applyFill="1" applyAlignment="1">
      <alignment vertical="top"/>
    </xf>
    <xf numFmtId="0" fontId="36" fillId="7" borderId="0" xfId="0" applyNumberFormat="1" applyFont="1" applyFill="1" applyBorder="1" applyAlignment="1">
      <alignment horizontal="left" vertical="top" wrapText="1"/>
    </xf>
    <xf numFmtId="0" fontId="46" fillId="0" borderId="0" xfId="0" applyFont="1" applyFill="1" applyAlignment="1">
      <alignment horizontal="left" vertical="top" wrapText="1" indent="1"/>
    </xf>
    <xf numFmtId="0" fontId="46" fillId="0" borderId="0" xfId="0" quotePrefix="1" applyFont="1" applyFill="1" applyAlignment="1">
      <alignment horizontal="left" vertical="top" indent="1"/>
    </xf>
    <xf numFmtId="0" fontId="46" fillId="3" borderId="3" xfId="0" applyFont="1" applyFill="1" applyBorder="1" applyAlignment="1">
      <alignment horizontal="center" vertical="top"/>
    </xf>
    <xf numFmtId="0" fontId="36" fillId="0" borderId="0" xfId="1" applyFont="1" applyBorder="1" applyAlignment="1" applyProtection="1">
      <alignment horizontal="left" vertical="top"/>
    </xf>
    <xf numFmtId="0" fontId="36" fillId="0" borderId="37" xfId="0" applyFont="1" applyBorder="1" applyAlignment="1">
      <alignment horizontal="left" vertical="top"/>
    </xf>
    <xf numFmtId="0" fontId="138" fillId="0" borderId="0" xfId="0" applyFont="1" applyAlignment="1">
      <alignment horizontal="left" vertical="top"/>
    </xf>
    <xf numFmtId="0" fontId="71" fillId="0" borderId="0" xfId="0" applyFont="1" applyAlignment="1">
      <alignment horizontal="right" vertical="top"/>
    </xf>
    <xf numFmtId="0" fontId="36" fillId="0" borderId="0" xfId="1" quotePrefix="1" applyFont="1" applyAlignment="1" applyProtection="1">
      <alignment horizontal="left" vertical="top" indent="1"/>
    </xf>
    <xf numFmtId="0" fontId="37" fillId="0" borderId="0" xfId="0" applyNumberFormat="1" applyFont="1" applyFill="1" applyBorder="1" applyAlignment="1">
      <alignment vertical="top" wrapText="1"/>
    </xf>
    <xf numFmtId="0" fontId="46" fillId="0" borderId="0" xfId="0" applyFont="1" applyAlignment="1">
      <alignment horizontal="left" vertical="top" indent="3"/>
    </xf>
    <xf numFmtId="0" fontId="40" fillId="0" borderId="0" xfId="1" quotePrefix="1" applyFont="1" applyAlignment="1" applyProtection="1">
      <alignment horizontal="left" indent="1"/>
    </xf>
    <xf numFmtId="0" fontId="40" fillId="0" borderId="36" xfId="0" applyFont="1" applyBorder="1" applyAlignment="1">
      <alignment horizontal="left" vertical="top"/>
    </xf>
    <xf numFmtId="0" fontId="40" fillId="0" borderId="0" xfId="0" applyFont="1" applyBorder="1" applyAlignment="1">
      <alignment vertical="top"/>
    </xf>
    <xf numFmtId="0" fontId="36" fillId="0" borderId="0" xfId="0" quotePrefix="1" applyNumberFormat="1" applyFont="1" applyAlignment="1">
      <alignment horizontal="left" vertical="top" indent="2"/>
    </xf>
    <xf numFmtId="0" fontId="52" fillId="0" borderId="34" xfId="0" applyFont="1" applyBorder="1" applyAlignment="1">
      <alignment horizontal="left" vertical="top"/>
    </xf>
    <xf numFmtId="0" fontId="37" fillId="14" borderId="0" xfId="0" applyFont="1" applyFill="1" applyAlignment="1">
      <alignment horizontal="left" vertical="top"/>
    </xf>
    <xf numFmtId="0" fontId="52" fillId="14" borderId="12" xfId="0" applyFont="1" applyFill="1" applyBorder="1" applyAlignment="1">
      <alignment horizontal="left" vertical="top"/>
    </xf>
    <xf numFmtId="0" fontId="0" fillId="14" borderId="11" xfId="0" applyFont="1" applyFill="1" applyBorder="1" applyAlignment="1">
      <alignment vertical="top"/>
    </xf>
    <xf numFmtId="0" fontId="0" fillId="14" borderId="13" xfId="0" applyFont="1" applyFill="1" applyBorder="1" applyAlignment="1">
      <alignment vertical="top"/>
    </xf>
    <xf numFmtId="0" fontId="52" fillId="14" borderId="11" xfId="0" applyFont="1" applyFill="1" applyBorder="1" applyAlignment="1">
      <alignment horizontal="right" vertical="top"/>
    </xf>
    <xf numFmtId="0" fontId="76" fillId="18" borderId="0" xfId="0" applyFont="1" applyFill="1" applyAlignment="1">
      <alignment horizontal="left" vertical="top"/>
    </xf>
    <xf numFmtId="0" fontId="109" fillId="0" borderId="0" xfId="0" quotePrefix="1" applyFont="1" applyFill="1" applyBorder="1" applyAlignment="1">
      <alignment vertical="top"/>
    </xf>
    <xf numFmtId="0" fontId="36" fillId="0" borderId="0" xfId="0" applyFont="1" applyAlignment="1">
      <alignment horizontal="left" vertical="top"/>
    </xf>
    <xf numFmtId="0" fontId="36" fillId="0" borderId="0" xfId="0" applyFont="1" applyAlignment="1">
      <alignment horizontal="left" vertical="top"/>
    </xf>
    <xf numFmtId="0" fontId="36" fillId="0" borderId="0" xfId="0" quotePrefix="1" applyFont="1" applyBorder="1" applyAlignment="1">
      <alignment horizontal="left" vertical="top" wrapText="1"/>
    </xf>
    <xf numFmtId="0" fontId="37" fillId="0" borderId="6" xfId="0" applyFont="1" applyBorder="1" applyAlignment="1">
      <alignment horizontal="left" vertical="top" wrapText="1"/>
    </xf>
    <xf numFmtId="0" fontId="36" fillId="0" borderId="13" xfId="6" applyFont="1" applyFill="1" applyBorder="1" applyAlignment="1">
      <alignment horizontal="left" vertical="top"/>
    </xf>
    <xf numFmtId="0" fontId="0" fillId="0" borderId="14" xfId="0" applyFill="1" applyBorder="1"/>
    <xf numFmtId="0" fontId="36" fillId="13" borderId="6" xfId="0" applyFont="1" applyFill="1" applyBorder="1"/>
    <xf numFmtId="0" fontId="0" fillId="13" borderId="7" xfId="0" applyFill="1" applyBorder="1"/>
    <xf numFmtId="0" fontId="37" fillId="0" borderId="124" xfId="0" applyFont="1" applyBorder="1" applyAlignment="1">
      <alignment horizontal="left"/>
    </xf>
    <xf numFmtId="0" fontId="37" fillId="0" borderId="125" xfId="0" applyFont="1" applyBorder="1" applyAlignment="1">
      <alignment horizontal="left"/>
    </xf>
    <xf numFmtId="167" fontId="0" fillId="0" borderId="47" xfId="3" applyNumberFormat="1" applyFont="1" applyFill="1" applyBorder="1" applyAlignment="1">
      <alignment horizontal="left"/>
    </xf>
    <xf numFmtId="167" fontId="0" fillId="0" borderId="110" xfId="3" applyNumberFormat="1" applyFont="1" applyFill="1" applyBorder="1" applyAlignment="1">
      <alignment horizontal="left"/>
    </xf>
    <xf numFmtId="167" fontId="0" fillId="0" borderId="49" xfId="3" applyNumberFormat="1" applyFont="1" applyFill="1" applyBorder="1" applyAlignment="1">
      <alignment horizontal="left"/>
    </xf>
    <xf numFmtId="167" fontId="0" fillId="0" borderId="68" xfId="3" applyNumberFormat="1" applyFont="1" applyFill="1" applyBorder="1" applyAlignment="1">
      <alignment horizontal="left"/>
    </xf>
    <xf numFmtId="167" fontId="0" fillId="0" borderId="53" xfId="3" applyNumberFormat="1" applyFont="1" applyFill="1" applyBorder="1" applyAlignment="1">
      <alignment horizontal="left"/>
    </xf>
    <xf numFmtId="167" fontId="0" fillId="0" borderId="69" xfId="3" applyNumberFormat="1" applyFont="1" applyFill="1" applyBorder="1" applyAlignment="1">
      <alignment horizontal="left"/>
    </xf>
    <xf numFmtId="0" fontId="10" fillId="0" borderId="76" xfId="6" applyFont="1" applyBorder="1" applyAlignment="1">
      <alignment horizontal="left" vertical="top"/>
    </xf>
    <xf numFmtId="0" fontId="10" fillId="0" borderId="6" xfId="6" applyFont="1" applyBorder="1" applyAlignment="1">
      <alignment horizontal="left" vertical="top"/>
    </xf>
    <xf numFmtId="0" fontId="10" fillId="14" borderId="6" xfId="6" applyFont="1" applyFill="1" applyBorder="1" applyAlignment="1">
      <alignment horizontal="left" vertical="top"/>
    </xf>
    <xf numFmtId="0" fontId="72" fillId="0" borderId="76" xfId="6" applyFont="1" applyBorder="1" applyAlignment="1">
      <alignment horizontal="left" vertical="top"/>
    </xf>
    <xf numFmtId="0" fontId="34" fillId="0" borderId="0" xfId="6" applyFont="1" applyAlignment="1">
      <alignment horizontal="left" vertical="top"/>
    </xf>
    <xf numFmtId="168" fontId="0" fillId="0" borderId="0" xfId="0" applyNumberFormat="1" applyAlignment="1">
      <alignment horizontal="left"/>
    </xf>
    <xf numFmtId="10" fontId="36" fillId="0" borderId="7" xfId="6" applyNumberFormat="1" applyFont="1" applyBorder="1" applyAlignment="1">
      <alignment horizontal="left" vertical="top"/>
    </xf>
    <xf numFmtId="9" fontId="0" fillId="0" borderId="7" xfId="0" applyNumberFormat="1" applyBorder="1"/>
    <xf numFmtId="10" fontId="36" fillId="14" borderId="7" xfId="6" applyNumberFormat="1" applyFont="1" applyFill="1" applyBorder="1" applyAlignment="1">
      <alignment horizontal="left" vertical="top"/>
    </xf>
    <xf numFmtId="10" fontId="34" fillId="0" borderId="7" xfId="6" applyNumberFormat="1" applyFont="1" applyBorder="1" applyAlignment="1">
      <alignment horizontal="left" vertical="top"/>
    </xf>
    <xf numFmtId="9" fontId="0" fillId="14" borderId="7" xfId="0" applyNumberFormat="1" applyFill="1" applyBorder="1"/>
    <xf numFmtId="168" fontId="36" fillId="14" borderId="91" xfId="3" applyNumberFormat="1" applyFont="1" applyFill="1" applyBorder="1" applyAlignment="1">
      <alignment horizontal="left" vertical="top"/>
    </xf>
    <xf numFmtId="168" fontId="36" fillId="14" borderId="11" xfId="3" applyNumberFormat="1" applyFont="1" applyFill="1" applyBorder="1" applyAlignment="1">
      <alignment horizontal="left" vertical="top"/>
    </xf>
    <xf numFmtId="0" fontId="169" fillId="0" borderId="0" xfId="6" applyFont="1" applyAlignment="1">
      <alignment horizontal="left" vertical="top"/>
    </xf>
    <xf numFmtId="0" fontId="169" fillId="0" borderId="0" xfId="6" applyFont="1" applyAlignment="1">
      <alignment horizontal="center" vertical="top"/>
    </xf>
    <xf numFmtId="167" fontId="169" fillId="0" borderId="0" xfId="6" applyNumberFormat="1" applyFont="1" applyAlignment="1">
      <alignment horizontal="center" vertical="top"/>
    </xf>
    <xf numFmtId="0" fontId="36" fillId="0" borderId="35" xfId="0" applyFont="1" applyBorder="1" applyAlignment="1">
      <alignment horizontal="left" vertical="top"/>
    </xf>
    <xf numFmtId="10" fontId="0" fillId="0" borderId="0" xfId="3" applyNumberFormat="1" applyFont="1" applyAlignment="1">
      <alignment horizontal="left"/>
    </xf>
    <xf numFmtId="167" fontId="0" fillId="0" borderId="35" xfId="0" applyNumberFormat="1" applyBorder="1" applyAlignment="1">
      <alignment horizontal="left"/>
    </xf>
    <xf numFmtId="0" fontId="36" fillId="9" borderId="12" xfId="0" applyFont="1" applyFill="1" applyBorder="1" applyAlignment="1">
      <alignment horizontal="left" vertical="top"/>
    </xf>
    <xf numFmtId="0" fontId="36" fillId="0" borderId="81" xfId="0" applyFont="1" applyFill="1" applyBorder="1" applyAlignment="1">
      <alignment horizontal="left" vertical="top"/>
    </xf>
    <xf numFmtId="0" fontId="36" fillId="0" borderId="126" xfId="0" applyFont="1" applyFill="1" applyBorder="1" applyAlignment="1">
      <alignment horizontal="left" vertical="top"/>
    </xf>
    <xf numFmtId="0" fontId="170" fillId="0" borderId="6" xfId="0" applyFont="1" applyFill="1" applyBorder="1" applyAlignment="1">
      <alignment horizontal="left" vertical="top"/>
    </xf>
    <xf numFmtId="0" fontId="47" fillId="0" borderId="126" xfId="0" applyFont="1" applyFill="1" applyBorder="1" applyAlignment="1">
      <alignment horizontal="left" vertical="top"/>
    </xf>
    <xf numFmtId="0" fontId="47" fillId="0" borderId="7" xfId="0" applyFont="1" applyFill="1" applyBorder="1" applyAlignment="1">
      <alignment horizontal="left" vertical="top"/>
    </xf>
    <xf numFmtId="0" fontId="47" fillId="0" borderId="8" xfId="0" applyFont="1" applyFill="1" applyBorder="1" applyAlignment="1">
      <alignment horizontal="left" vertical="top"/>
    </xf>
    <xf numFmtId="0" fontId="47" fillId="0" borderId="6" xfId="0" applyFont="1" applyFill="1" applyBorder="1" applyAlignment="1">
      <alignment horizontal="left" vertical="top"/>
    </xf>
    <xf numFmtId="0" fontId="47" fillId="0" borderId="81" xfId="0" applyFont="1" applyFill="1" applyBorder="1" applyAlignment="1">
      <alignment horizontal="left" vertical="top"/>
    </xf>
    <xf numFmtId="0" fontId="37" fillId="0" borderId="2" xfId="0" applyFont="1" applyFill="1" applyBorder="1" applyAlignment="1">
      <alignment horizontal="left" vertical="top"/>
    </xf>
    <xf numFmtId="0" fontId="36" fillId="0" borderId="4" xfId="0" applyFont="1" applyFill="1" applyBorder="1" applyAlignment="1">
      <alignment horizontal="left" vertical="top"/>
    </xf>
    <xf numFmtId="0" fontId="37" fillId="0" borderId="6" xfId="0" applyFont="1" applyFill="1" applyBorder="1" applyAlignment="1">
      <alignment horizontal="left" vertical="top"/>
    </xf>
    <xf numFmtId="167" fontId="47" fillId="0" borderId="0" xfId="0" applyNumberFormat="1" applyFont="1" applyAlignment="1">
      <alignment horizontal="left"/>
    </xf>
    <xf numFmtId="0" fontId="34" fillId="0" borderId="0" xfId="6" applyFont="1" applyAlignment="1">
      <alignment horizontal="left" vertical="top"/>
    </xf>
    <xf numFmtId="0" fontId="34" fillId="0" borderId="0" xfId="6" applyFont="1" applyAlignment="1">
      <alignment horizontal="left" vertical="top" wrapText="1"/>
    </xf>
    <xf numFmtId="0" fontId="34" fillId="0" borderId="9" xfId="6" applyFont="1" applyBorder="1" applyAlignment="1">
      <alignment horizontal="left" vertical="top"/>
    </xf>
    <xf numFmtId="0" fontId="36" fillId="0" borderId="127" xfId="0" applyFont="1" applyBorder="1" applyAlignment="1">
      <alignment horizontal="left" vertical="top"/>
    </xf>
    <xf numFmtId="1" fontId="17" fillId="0" borderId="128" xfId="6" applyNumberFormat="1" applyFont="1" applyFill="1" applyBorder="1" applyAlignment="1">
      <alignment horizontal="left" vertical="top"/>
    </xf>
    <xf numFmtId="168" fontId="17" fillId="0" borderId="127" xfId="3" applyNumberFormat="1" applyFont="1" applyFill="1" applyBorder="1" applyAlignment="1">
      <alignment horizontal="left" vertical="top"/>
    </xf>
    <xf numFmtId="0" fontId="16" fillId="0" borderId="0" xfId="6" applyFont="1" applyFill="1" applyBorder="1" applyAlignment="1">
      <alignment vertical="top" wrapText="1"/>
    </xf>
    <xf numFmtId="0" fontId="16" fillId="0" borderId="0" xfId="6" applyFont="1" applyFill="1" applyBorder="1" applyAlignment="1">
      <alignment vertical="top"/>
    </xf>
    <xf numFmtId="0" fontId="34" fillId="0" borderId="129" xfId="6" applyFont="1" applyFill="1" applyBorder="1" applyAlignment="1">
      <alignment horizontal="left" vertical="top"/>
    </xf>
    <xf numFmtId="0" fontId="171" fillId="0" borderId="0" xfId="6" applyFont="1" applyAlignment="1">
      <alignment horizontal="left" vertical="top"/>
    </xf>
    <xf numFmtId="0" fontId="50" fillId="0" borderId="0" xfId="6" applyFont="1" applyFill="1" applyBorder="1" applyAlignment="1">
      <alignment horizontal="left" vertical="top" wrapText="1" indent="4"/>
    </xf>
    <xf numFmtId="0" fontId="76" fillId="8" borderId="15" xfId="0" applyFont="1" applyFill="1" applyBorder="1" applyAlignment="1">
      <alignment horizontal="left" vertical="top"/>
    </xf>
    <xf numFmtId="0" fontId="36" fillId="7" borderId="15" xfId="6" applyFont="1" applyFill="1" applyBorder="1" applyAlignment="1">
      <alignment horizontal="left" vertical="top"/>
    </xf>
    <xf numFmtId="0" fontId="36" fillId="0" borderId="9" xfId="6" applyFont="1" applyBorder="1" applyAlignment="1">
      <alignment horizontal="left" vertical="top"/>
    </xf>
    <xf numFmtId="0" fontId="37" fillId="0" borderId="15" xfId="6" applyFont="1" applyFill="1" applyBorder="1" applyAlignment="1">
      <alignment horizontal="center" vertical="top"/>
    </xf>
    <xf numFmtId="0" fontId="34" fillId="0" borderId="15" xfId="6" applyFont="1" applyFill="1" applyBorder="1" applyAlignment="1">
      <alignment horizontal="left" vertical="top"/>
    </xf>
    <xf numFmtId="0" fontId="37" fillId="0" borderId="15" xfId="6" applyFont="1" applyFill="1" applyBorder="1" applyAlignment="1">
      <alignment horizontal="left" vertical="top"/>
    </xf>
    <xf numFmtId="0" fontId="34" fillId="0" borderId="15" xfId="6" applyNumberFormat="1" applyFont="1" applyBorder="1" applyAlignment="1">
      <alignment horizontal="left" vertical="top"/>
    </xf>
    <xf numFmtId="0" fontId="48" fillId="0" borderId="15" xfId="6" applyFont="1" applyFill="1" applyBorder="1" applyAlignment="1">
      <alignment horizontal="left" vertical="top"/>
    </xf>
    <xf numFmtId="0" fontId="130" fillId="0" borderId="8" xfId="6" applyFont="1" applyBorder="1" applyAlignment="1">
      <alignment horizontal="left" vertical="top"/>
    </xf>
    <xf numFmtId="0" fontId="47" fillId="14" borderId="8" xfId="6" applyFont="1" applyFill="1" applyBorder="1" applyAlignment="1">
      <alignment horizontal="left" vertical="top"/>
    </xf>
    <xf numFmtId="0" fontId="34" fillId="7" borderId="15" xfId="6" applyFont="1" applyFill="1" applyBorder="1" applyAlignment="1">
      <alignment horizontal="left" vertical="top"/>
    </xf>
    <xf numFmtId="0" fontId="109" fillId="0" borderId="15" xfId="6" applyFont="1" applyBorder="1" applyAlignment="1">
      <alignment horizontal="right" vertical="top"/>
    </xf>
    <xf numFmtId="0" fontId="169" fillId="14" borderId="0" xfId="6" applyFont="1" applyFill="1" applyAlignment="1">
      <alignment horizontal="left" vertical="top"/>
    </xf>
    <xf numFmtId="0" fontId="37" fillId="7" borderId="0" xfId="6" applyFont="1" applyFill="1" applyBorder="1" applyAlignment="1">
      <alignment horizontal="left" vertical="top"/>
    </xf>
    <xf numFmtId="0" fontId="46" fillId="13" borderId="2" xfId="6" applyFont="1" applyFill="1" applyBorder="1" applyAlignment="1">
      <alignment horizontal="center" vertical="top"/>
    </xf>
    <xf numFmtId="0" fontId="46" fillId="13" borderId="4" xfId="6" applyFont="1" applyFill="1" applyBorder="1" applyAlignment="1">
      <alignment horizontal="center" vertical="top"/>
    </xf>
    <xf numFmtId="9" fontId="131" fillId="0" borderId="3" xfId="6" applyNumberFormat="1" applyFont="1" applyBorder="1" applyAlignment="1">
      <alignment horizontal="center" vertical="top"/>
    </xf>
    <xf numFmtId="9" fontId="46" fillId="14" borderId="3" xfId="6" applyNumberFormat="1" applyFont="1" applyFill="1" applyBorder="1" applyAlignment="1">
      <alignment horizontal="center" vertical="top"/>
    </xf>
    <xf numFmtId="9" fontId="46" fillId="0" borderId="3" xfId="6" applyNumberFormat="1" applyFont="1" applyBorder="1" applyAlignment="1">
      <alignment horizontal="center" vertical="top"/>
    </xf>
    <xf numFmtId="9" fontId="138" fillId="0" borderId="3" xfId="6" applyNumberFormat="1" applyFont="1" applyBorder="1" applyAlignment="1">
      <alignment horizontal="center" vertical="top"/>
    </xf>
    <xf numFmtId="0" fontId="22" fillId="0" borderId="1" xfId="6" applyFont="1" applyBorder="1" applyAlignment="1">
      <alignment vertical="top"/>
    </xf>
    <xf numFmtId="0" fontId="46" fillId="0" borderId="5" xfId="6" applyFont="1" applyBorder="1" applyAlignment="1">
      <alignment horizontal="left" vertical="top" wrapText="1"/>
    </xf>
    <xf numFmtId="0" fontId="145" fillId="0" borderId="7" xfId="6" applyFont="1" applyBorder="1" applyAlignment="1">
      <alignment horizontal="left" vertical="top" wrapText="1"/>
    </xf>
    <xf numFmtId="0" fontId="19" fillId="0" borderId="11" xfId="6" applyFont="1" applyBorder="1" applyAlignment="1">
      <alignment vertical="top"/>
    </xf>
    <xf numFmtId="0" fontId="19" fillId="0" borderId="15" xfId="6" applyFont="1" applyBorder="1" applyAlignment="1">
      <alignment vertical="top"/>
    </xf>
    <xf numFmtId="9" fontId="47" fillId="0" borderId="0" xfId="6" applyNumberFormat="1" applyFont="1" applyBorder="1" applyAlignment="1">
      <alignment horizontal="left" vertical="top"/>
    </xf>
    <xf numFmtId="9" fontId="130" fillId="0" borderId="0" xfId="6" applyNumberFormat="1" applyFont="1" applyFill="1" applyBorder="1" applyAlignment="1">
      <alignment horizontal="center" vertical="top"/>
    </xf>
    <xf numFmtId="0" fontId="172" fillId="14" borderId="35" xfId="0" applyNumberFormat="1" applyFont="1" applyFill="1" applyBorder="1" applyAlignment="1">
      <alignment horizontal="left" vertical="top"/>
    </xf>
    <xf numFmtId="0" fontId="172" fillId="14" borderId="38" xfId="0" applyNumberFormat="1" applyFont="1" applyFill="1" applyBorder="1" applyAlignment="1">
      <alignment horizontal="left" vertical="top"/>
    </xf>
    <xf numFmtId="0" fontId="153" fillId="0" borderId="0" xfId="0" applyFont="1" applyFill="1" applyAlignment="1">
      <alignment horizontal="left" vertical="top" wrapText="1"/>
    </xf>
    <xf numFmtId="0" fontId="172" fillId="0" borderId="35" xfId="0" applyNumberFormat="1" applyFont="1" applyBorder="1" applyAlignment="1">
      <alignment horizontal="left" vertical="top"/>
    </xf>
    <xf numFmtId="0" fontId="172" fillId="0" borderId="38" xfId="0" applyNumberFormat="1" applyFont="1" applyBorder="1" applyAlignment="1">
      <alignment horizontal="left" vertical="top"/>
    </xf>
    <xf numFmtId="0" fontId="172" fillId="0" borderId="33" xfId="0" applyFont="1" applyBorder="1" applyAlignment="1">
      <alignment horizontal="left" vertical="top"/>
    </xf>
    <xf numFmtId="0" fontId="172" fillId="0" borderId="35" xfId="0" applyFont="1" applyBorder="1" applyAlignment="1">
      <alignment horizontal="left" vertical="top"/>
    </xf>
    <xf numFmtId="0" fontId="172" fillId="0" borderId="0" xfId="0" applyFont="1" applyBorder="1" applyAlignment="1">
      <alignment horizontal="left" vertical="top"/>
    </xf>
    <xf numFmtId="0" fontId="172" fillId="0" borderId="38" xfId="0" applyFont="1" applyBorder="1" applyAlignment="1">
      <alignment horizontal="left" vertical="top"/>
    </xf>
    <xf numFmtId="9" fontId="46" fillId="0" borderId="0" xfId="0" applyNumberFormat="1" applyFont="1" applyAlignment="1">
      <alignment horizontal="left"/>
    </xf>
    <xf numFmtId="9" fontId="46" fillId="0" borderId="0" xfId="3" applyFont="1" applyAlignment="1">
      <alignment horizontal="left"/>
    </xf>
    <xf numFmtId="0" fontId="149" fillId="0" borderId="0" xfId="0" applyFont="1" applyAlignment="1">
      <alignment horizontal="left"/>
    </xf>
    <xf numFmtId="0" fontId="46" fillId="0" borderId="3" xfId="0" applyFont="1" applyFill="1" applyBorder="1" applyAlignment="1">
      <alignment horizontal="left" vertical="top"/>
    </xf>
    <xf numFmtId="0" fontId="153" fillId="0" borderId="0" xfId="0" applyFont="1" applyAlignment="1">
      <alignment horizontal="left" vertical="top"/>
    </xf>
    <xf numFmtId="0" fontId="36" fillId="0" borderId="0" xfId="0" applyFont="1" applyBorder="1" applyAlignment="1">
      <alignment horizontal="left" vertical="top"/>
    </xf>
    <xf numFmtId="0" fontId="36" fillId="0" borderId="0" xfId="0" applyFont="1" applyAlignment="1">
      <alignment horizontal="left" vertical="top"/>
    </xf>
    <xf numFmtId="0" fontId="0" fillId="0" borderId="0" xfId="0"/>
    <xf numFmtId="0" fontId="46" fillId="0" borderId="0" xfId="0" applyNumberFormat="1" applyFont="1" applyBorder="1" applyAlignment="1">
      <alignment horizontal="left" vertical="top"/>
    </xf>
    <xf numFmtId="0" fontId="36" fillId="0" borderId="0" xfId="1" quotePrefix="1" applyFont="1" applyFill="1" applyBorder="1" applyAlignment="1" applyProtection="1">
      <alignment horizontal="left" indent="1"/>
    </xf>
    <xf numFmtId="0" fontId="46" fillId="0" borderId="35" xfId="0" applyFont="1" applyBorder="1" applyAlignment="1">
      <alignment horizontal="left" vertical="top"/>
    </xf>
    <xf numFmtId="0" fontId="153" fillId="0" borderId="0" xfId="0" applyFont="1" applyBorder="1" applyAlignment="1">
      <alignment horizontal="left"/>
    </xf>
    <xf numFmtId="0" fontId="153" fillId="0" borderId="0" xfId="0" applyFont="1" applyBorder="1" applyAlignment="1">
      <alignment horizontal="left" vertical="top" indent="1"/>
    </xf>
    <xf numFmtId="0" fontId="46" fillId="0" borderId="0" xfId="0" quotePrefix="1" applyFont="1" applyFill="1" applyBorder="1" applyAlignment="1">
      <alignment horizontal="left" vertical="top" indent="1"/>
    </xf>
    <xf numFmtId="0" fontId="72" fillId="0" borderId="0" xfId="0" applyFont="1" applyBorder="1" applyAlignment="1">
      <alignment horizontal="left" vertical="top" indent="2"/>
    </xf>
    <xf numFmtId="0" fontId="36" fillId="0" borderId="130" xfId="0" applyFont="1" applyBorder="1"/>
    <xf numFmtId="0" fontId="37" fillId="0" borderId="7" xfId="6" applyFont="1" applyBorder="1" applyAlignment="1">
      <alignment horizontal="left" vertical="top"/>
    </xf>
    <xf numFmtId="0" fontId="14" fillId="0" borderId="7" xfId="6" applyFont="1" applyBorder="1" applyAlignment="1">
      <alignment horizontal="left" vertical="top"/>
    </xf>
    <xf numFmtId="0" fontId="47" fillId="0" borderId="7" xfId="0" applyNumberFormat="1" applyFont="1" applyBorder="1" applyAlignment="1">
      <alignment horizontal="left" vertical="top"/>
    </xf>
    <xf numFmtId="0" fontId="37" fillId="0" borderId="14" xfId="0" applyFont="1" applyBorder="1" applyAlignment="1">
      <alignment horizontal="left"/>
    </xf>
    <xf numFmtId="0" fontId="36" fillId="0" borderId="7" xfId="0" applyFont="1" applyBorder="1" applyAlignment="1">
      <alignment horizontal="left"/>
    </xf>
    <xf numFmtId="0" fontId="47" fillId="14" borderId="7" xfId="6" applyFont="1" applyFill="1" applyBorder="1" applyAlignment="1">
      <alignment horizontal="left" vertical="top"/>
    </xf>
    <xf numFmtId="167" fontId="47" fillId="14" borderId="7" xfId="0" applyNumberFormat="1" applyFont="1" applyFill="1" applyBorder="1" applyAlignment="1">
      <alignment horizontal="left"/>
    </xf>
    <xf numFmtId="167" fontId="47" fillId="0" borderId="0" xfId="0" applyNumberFormat="1" applyFont="1" applyAlignment="1">
      <alignment horizontal="left" indent="1"/>
    </xf>
    <xf numFmtId="0" fontId="47" fillId="0" borderId="7" xfId="0" applyFont="1" applyBorder="1" applyAlignment="1">
      <alignment horizontal="left"/>
    </xf>
    <xf numFmtId="167" fontId="47" fillId="0" borderId="7" xfId="0" applyNumberFormat="1" applyFont="1" applyBorder="1" applyAlignment="1">
      <alignment horizontal="left" indent="1"/>
    </xf>
    <xf numFmtId="0" fontId="145" fillId="0" borderId="0" xfId="0" applyFont="1" applyBorder="1" applyAlignment="1">
      <alignment vertical="top"/>
    </xf>
    <xf numFmtId="9" fontId="72" fillId="0" borderId="0" xfId="3" applyFont="1" applyBorder="1" applyAlignment="1">
      <alignment horizontal="left" vertical="top"/>
    </xf>
    <xf numFmtId="10" fontId="0" fillId="0" borderId="14" xfId="0" applyNumberFormat="1" applyBorder="1" applyAlignment="1">
      <alignment horizontal="left"/>
    </xf>
    <xf numFmtId="0" fontId="36" fillId="0" borderId="14" xfId="0" applyFont="1" applyBorder="1" applyAlignment="1">
      <alignment horizontal="left"/>
    </xf>
    <xf numFmtId="2" fontId="46" fillId="0" borderId="0" xfId="0" applyNumberFormat="1" applyFont="1" applyFill="1" applyBorder="1" applyAlignment="1">
      <alignment horizontal="left" vertical="top"/>
    </xf>
    <xf numFmtId="0" fontId="36" fillId="14" borderId="5" xfId="0" applyNumberFormat="1" applyFont="1" applyFill="1" applyBorder="1" applyAlignment="1">
      <alignment horizontal="left" vertical="top"/>
    </xf>
    <xf numFmtId="0" fontId="36" fillId="0" borderId="35" xfId="0" applyNumberFormat="1" applyFont="1" applyBorder="1" applyAlignment="1">
      <alignment horizontal="left" vertical="top"/>
    </xf>
    <xf numFmtId="0" fontId="36" fillId="14" borderId="102" xfId="0" applyNumberFormat="1" applyFont="1" applyFill="1" applyBorder="1" applyAlignment="1">
      <alignment horizontal="left" vertical="top"/>
    </xf>
    <xf numFmtId="0" fontId="36" fillId="0" borderId="102" xfId="0" applyNumberFormat="1" applyFont="1" applyBorder="1" applyAlignment="1">
      <alignment horizontal="left" vertical="top"/>
    </xf>
    <xf numFmtId="0" fontId="36" fillId="14" borderId="5" xfId="0" applyFont="1" applyFill="1" applyBorder="1" applyAlignment="1">
      <alignment horizontal="left" vertical="top"/>
    </xf>
    <xf numFmtId="0" fontId="36" fillId="14" borderId="102" xfId="0" applyFont="1" applyFill="1" applyBorder="1" applyAlignment="1">
      <alignment horizontal="left" vertical="top"/>
    </xf>
    <xf numFmtId="0" fontId="36" fillId="0" borderId="102" xfId="0" applyFont="1" applyBorder="1" applyAlignment="1">
      <alignment horizontal="left" vertical="top"/>
    </xf>
    <xf numFmtId="167" fontId="36" fillId="14" borderId="5" xfId="3" applyNumberFormat="1" applyFont="1" applyFill="1" applyBorder="1" applyAlignment="1">
      <alignment horizontal="left" vertical="top"/>
    </xf>
    <xf numFmtId="167" fontId="36" fillId="0" borderId="35" xfId="3" applyNumberFormat="1" applyFont="1" applyBorder="1" applyAlignment="1">
      <alignment horizontal="left" vertical="top"/>
    </xf>
    <xf numFmtId="167" fontId="36" fillId="0" borderId="5" xfId="3" applyNumberFormat="1" applyFont="1" applyBorder="1" applyAlignment="1">
      <alignment horizontal="left" vertical="top"/>
    </xf>
    <xf numFmtId="167" fontId="36" fillId="14" borderId="102" xfId="3" applyNumberFormat="1" applyFont="1" applyFill="1" applyBorder="1" applyAlignment="1">
      <alignment horizontal="left" vertical="top"/>
    </xf>
    <xf numFmtId="167" fontId="36" fillId="0" borderId="102" xfId="3" applyNumberFormat="1" applyFont="1" applyBorder="1" applyAlignment="1">
      <alignment horizontal="left" vertical="top"/>
    </xf>
    <xf numFmtId="0" fontId="80" fillId="0" borderId="0" xfId="0" applyFont="1" applyAlignment="1"/>
    <xf numFmtId="0" fontId="36" fillId="0" borderId="14" xfId="0" applyFont="1" applyBorder="1" applyAlignment="1">
      <alignment horizontal="right" vertical="top"/>
    </xf>
    <xf numFmtId="173" fontId="47" fillId="7" borderId="0" xfId="0" applyNumberFormat="1" applyFont="1" applyFill="1"/>
    <xf numFmtId="0" fontId="40" fillId="0" borderId="34" xfId="0" applyFont="1" applyBorder="1" applyAlignment="1">
      <alignment horizontal="left" vertical="top"/>
    </xf>
    <xf numFmtId="0" fontId="40" fillId="0" borderId="35" xfId="0" applyFont="1" applyBorder="1" applyAlignment="1">
      <alignment horizontal="left" vertical="top"/>
    </xf>
    <xf numFmtId="0" fontId="40" fillId="0" borderId="41" xfId="0" applyFont="1" applyBorder="1" applyAlignment="1">
      <alignment horizontal="left" vertical="top"/>
    </xf>
    <xf numFmtId="0" fontId="40" fillId="0" borderId="35" xfId="1" applyFont="1" applyBorder="1" applyAlignment="1" applyProtection="1">
      <alignment horizontal="left" vertical="top"/>
    </xf>
    <xf numFmtId="0" fontId="36" fillId="3" borderId="11" xfId="0" applyFont="1" applyFill="1" applyBorder="1" applyAlignment="1">
      <alignment horizontal="left" vertical="top"/>
    </xf>
    <xf numFmtId="0" fontId="36" fillId="3" borderId="13" xfId="0" applyFont="1" applyFill="1" applyBorder="1" applyAlignment="1">
      <alignment horizontal="left" vertical="top"/>
    </xf>
    <xf numFmtId="167" fontId="37" fillId="13" borderId="6" xfId="0" applyNumberFormat="1" applyFont="1" applyFill="1" applyBorder="1" applyAlignment="1">
      <alignment horizontal="left" vertical="top"/>
    </xf>
    <xf numFmtId="0" fontId="37" fillId="13" borderId="8" xfId="0" applyFont="1" applyFill="1" applyBorder="1" applyAlignment="1">
      <alignment horizontal="left" vertical="top"/>
    </xf>
    <xf numFmtId="167" fontId="76" fillId="18" borderId="6" xfId="0" applyNumberFormat="1" applyFont="1" applyFill="1" applyBorder="1" applyAlignment="1">
      <alignment horizontal="left" vertical="top"/>
    </xf>
    <xf numFmtId="0" fontId="76" fillId="18" borderId="8" xfId="0" applyFont="1" applyFill="1" applyBorder="1" applyAlignment="1">
      <alignment horizontal="left" vertical="top"/>
    </xf>
    <xf numFmtId="14" fontId="74" fillId="0" borderId="0" xfId="0" applyNumberFormat="1" applyFont="1" applyAlignment="1">
      <alignment horizontal="left"/>
    </xf>
    <xf numFmtId="14" fontId="47" fillId="0" borderId="0" xfId="0" applyNumberFormat="1" applyFont="1" applyAlignment="1">
      <alignment horizontal="left"/>
    </xf>
    <xf numFmtId="0" fontId="176" fillId="8" borderId="0" xfId="0" applyFont="1" applyFill="1" applyAlignment="1">
      <alignment horizontal="left"/>
    </xf>
    <xf numFmtId="0" fontId="134" fillId="8" borderId="0" xfId="0" applyFont="1" applyFill="1" applyAlignment="1">
      <alignment horizontal="left"/>
    </xf>
    <xf numFmtId="0" fontId="177" fillId="8" borderId="0" xfId="0" applyFont="1" applyFill="1" applyAlignment="1">
      <alignment horizontal="left"/>
    </xf>
    <xf numFmtId="0" fontId="68" fillId="8" borderId="0" xfId="0" applyFont="1" applyFill="1" applyAlignment="1">
      <alignment horizontal="left"/>
    </xf>
    <xf numFmtId="0" fontId="181" fillId="0" borderId="0" xfId="1" applyFont="1" applyAlignment="1" applyProtection="1">
      <alignment horizontal="left"/>
    </xf>
    <xf numFmtId="9" fontId="47" fillId="14" borderId="0" xfId="3" applyFont="1" applyFill="1" applyAlignment="1">
      <alignment horizontal="left"/>
    </xf>
    <xf numFmtId="0" fontId="130" fillId="14" borderId="0" xfId="0" applyFont="1" applyFill="1" applyAlignment="1">
      <alignment horizontal="left"/>
    </xf>
    <xf numFmtId="11" fontId="47" fillId="0" borderId="0" xfId="0" applyNumberFormat="1" applyFont="1" applyAlignment="1">
      <alignment horizontal="left"/>
    </xf>
    <xf numFmtId="0" fontId="130" fillId="0" borderId="0" xfId="0" applyFont="1" applyAlignment="1">
      <alignment horizontal="left"/>
    </xf>
    <xf numFmtId="0" fontId="36" fillId="0" borderId="0" xfId="1" applyFont="1" applyAlignment="1" applyProtection="1">
      <alignment horizontal="left"/>
    </xf>
    <xf numFmtId="0" fontId="36" fillId="0" borderId="0" xfId="0" quotePrefix="1" applyFont="1" applyFill="1"/>
    <xf numFmtId="0" fontId="37" fillId="6" borderId="10" xfId="0" applyFont="1" applyFill="1" applyBorder="1" applyAlignment="1">
      <alignment horizontal="center"/>
    </xf>
    <xf numFmtId="0" fontId="37" fillId="6" borderId="15" xfId="0" applyFont="1" applyFill="1" applyBorder="1" applyAlignment="1">
      <alignment horizontal="center"/>
    </xf>
    <xf numFmtId="0" fontId="36" fillId="0" borderId="5" xfId="0" applyFont="1" applyFill="1" applyBorder="1" applyAlignment="1">
      <alignment horizontal="left"/>
    </xf>
    <xf numFmtId="9" fontId="36" fillId="0" borderId="0" xfId="6" applyNumberFormat="1" applyFont="1" applyFill="1" applyBorder="1" applyAlignment="1">
      <alignment horizontal="center" vertical="top"/>
    </xf>
    <xf numFmtId="9" fontId="36" fillId="14" borderId="0" xfId="6" applyNumberFormat="1" applyFont="1" applyFill="1" applyBorder="1" applyAlignment="1">
      <alignment horizontal="center" vertical="top"/>
    </xf>
    <xf numFmtId="9" fontId="36" fillId="0" borderId="14" xfId="6" applyNumberFormat="1" applyFont="1" applyFill="1" applyBorder="1" applyAlignment="1">
      <alignment horizontal="center" vertical="top"/>
    </xf>
    <xf numFmtId="0" fontId="0" fillId="3" borderId="15" xfId="0" applyFill="1" applyBorder="1"/>
    <xf numFmtId="0" fontId="36" fillId="0" borderId="10" xfId="0" applyFont="1" applyBorder="1" applyAlignment="1">
      <alignment horizontal="left"/>
    </xf>
    <xf numFmtId="0" fontId="35" fillId="0" borderId="15" xfId="6" applyBorder="1" applyAlignment="1">
      <alignment horizontal="left" vertical="top"/>
    </xf>
    <xf numFmtId="0" fontId="0" fillId="0" borderId="15" xfId="0" applyBorder="1" applyAlignment="1">
      <alignment horizontal="left"/>
    </xf>
    <xf numFmtId="0" fontId="0" fillId="0" borderId="9" xfId="0" applyBorder="1" applyAlignment="1">
      <alignment horizontal="left"/>
    </xf>
    <xf numFmtId="1" fontId="46" fillId="0" borderId="0" xfId="0" applyNumberFormat="1" applyFont="1" applyAlignment="1">
      <alignment horizontal="left"/>
    </xf>
    <xf numFmtId="1" fontId="46" fillId="14" borderId="0" xfId="0" applyNumberFormat="1" applyFont="1" applyFill="1" applyAlignment="1">
      <alignment horizontal="left"/>
    </xf>
    <xf numFmtId="9" fontId="46" fillId="14" borderId="0" xfId="3" applyFont="1" applyFill="1" applyAlignment="1">
      <alignment horizontal="left"/>
    </xf>
    <xf numFmtId="9" fontId="36" fillId="0" borderId="0" xfId="3" applyFont="1" applyFill="1" applyAlignment="1">
      <alignment horizontal="left"/>
    </xf>
    <xf numFmtId="167" fontId="36" fillId="0" borderId="0" xfId="3" applyNumberFormat="1" applyFont="1" applyFill="1" applyBorder="1" applyAlignment="1">
      <alignment horizontal="left" vertical="top"/>
    </xf>
    <xf numFmtId="167" fontId="46" fillId="0" borderId="0" xfId="3" applyNumberFormat="1" applyFont="1" applyFill="1" applyBorder="1" applyAlignment="1">
      <alignment horizontal="left" vertical="top"/>
    </xf>
    <xf numFmtId="0" fontId="145" fillId="0" borderId="0" xfId="0" applyFont="1" applyAlignment="1">
      <alignment vertical="top"/>
    </xf>
    <xf numFmtId="0" fontId="78" fillId="0" borderId="15" xfId="0" applyFont="1" applyBorder="1" applyAlignment="1">
      <alignment horizontal="left"/>
    </xf>
    <xf numFmtId="0" fontId="36" fillId="0" borderId="15" xfId="0" applyFont="1" applyBorder="1" applyAlignment="1">
      <alignment horizontal="left"/>
    </xf>
    <xf numFmtId="0" fontId="50" fillId="0" borderId="15" xfId="0" applyFont="1" applyBorder="1" applyAlignment="1">
      <alignment horizontal="left"/>
    </xf>
    <xf numFmtId="0" fontId="36" fillId="14" borderId="15" xfId="0" applyFont="1" applyFill="1" applyBorder="1" applyAlignment="1">
      <alignment horizontal="left"/>
    </xf>
    <xf numFmtId="0" fontId="78" fillId="0" borderId="15" xfId="6" applyFont="1" applyBorder="1" applyAlignment="1">
      <alignment horizontal="left" vertical="top"/>
    </xf>
    <xf numFmtId="0" fontId="0" fillId="0" borderId="14" xfId="0" applyFill="1" applyBorder="1" applyAlignment="1">
      <alignment horizontal="left"/>
    </xf>
    <xf numFmtId="0" fontId="47" fillId="0" borderId="14" xfId="0" applyFont="1" applyBorder="1" applyAlignment="1">
      <alignment horizontal="left"/>
    </xf>
    <xf numFmtId="0" fontId="149" fillId="0" borderId="14" xfId="0" applyFont="1" applyBorder="1" applyAlignment="1">
      <alignment horizontal="left"/>
    </xf>
    <xf numFmtId="0" fontId="37" fillId="0" borderId="14" xfId="0" applyFont="1" applyFill="1" applyBorder="1" applyAlignment="1">
      <alignment horizontal="left"/>
    </xf>
    <xf numFmtId="0" fontId="36" fillId="0" borderId="14" xfId="0" applyFont="1" applyFill="1" applyBorder="1" applyAlignment="1">
      <alignment horizontal="left"/>
    </xf>
    <xf numFmtId="0" fontId="8" fillId="0" borderId="94" xfId="6" applyFont="1" applyBorder="1" applyAlignment="1">
      <alignment horizontal="left"/>
    </xf>
    <xf numFmtId="1" fontId="49" fillId="0" borderId="0" xfId="0" applyNumberFormat="1" applyFont="1" applyAlignment="1">
      <alignment horizontal="left" vertical="top"/>
    </xf>
    <xf numFmtId="0" fontId="47" fillId="0" borderId="0" xfId="0" applyNumberFormat="1" applyFont="1" applyBorder="1" applyAlignment="1">
      <alignment horizontal="left" vertical="top"/>
    </xf>
    <xf numFmtId="167" fontId="36" fillId="14" borderId="0" xfId="0" applyNumberFormat="1" applyFont="1" applyFill="1" applyAlignment="1">
      <alignment horizontal="left" vertical="top"/>
    </xf>
    <xf numFmtId="0" fontId="36" fillId="0" borderId="0" xfId="15" applyNumberFormat="1" applyFont="1" applyFill="1" applyAlignment="1">
      <alignment horizontal="left" vertical="top" wrapText="1"/>
    </xf>
    <xf numFmtId="0" fontId="36" fillId="11" borderId="0" xfId="15" applyNumberFormat="1" applyFont="1" applyFill="1" applyAlignment="1">
      <alignment horizontal="left" vertical="top" wrapText="1"/>
    </xf>
    <xf numFmtId="0" fontId="36" fillId="0" borderId="0" xfId="15" applyNumberFormat="1" applyFont="1" applyFill="1" applyBorder="1" applyAlignment="1">
      <alignment horizontal="left" vertical="top" wrapText="1"/>
    </xf>
    <xf numFmtId="0" fontId="36" fillId="0" borderId="0" xfId="15" applyNumberFormat="1" applyFont="1" applyFill="1" applyAlignment="1">
      <alignment horizontal="left" vertical="top" indent="1"/>
    </xf>
    <xf numFmtId="0" fontId="36" fillId="0" borderId="0" xfId="15" quotePrefix="1" applyNumberFormat="1" applyFont="1" applyFill="1" applyAlignment="1">
      <alignment horizontal="left" vertical="top" indent="1"/>
    </xf>
    <xf numFmtId="0" fontId="36" fillId="0" borderId="0" xfId="15" applyNumberFormat="1" applyFont="1" applyFill="1" applyAlignment="1">
      <alignment horizontal="left" vertical="top" indent="2"/>
    </xf>
    <xf numFmtId="0" fontId="46" fillId="0" borderId="0" xfId="15" applyNumberFormat="1" applyFont="1" applyFill="1" applyAlignment="1">
      <alignment horizontal="left" vertical="top"/>
    </xf>
    <xf numFmtId="0" fontId="46" fillId="0" borderId="0" xfId="15" quotePrefix="1" applyNumberFormat="1" applyFont="1" applyFill="1" applyAlignment="1">
      <alignment horizontal="left" vertical="top" indent="1"/>
    </xf>
    <xf numFmtId="0" fontId="46" fillId="0" borderId="0" xfId="15" applyNumberFormat="1" applyFont="1" applyFill="1" applyAlignment="1">
      <alignment horizontal="left" vertical="top" indent="2"/>
    </xf>
    <xf numFmtId="0" fontId="46" fillId="0" borderId="0" xfId="15" applyNumberFormat="1" applyFont="1" applyFill="1" applyAlignment="1">
      <alignment horizontal="left" vertical="top" wrapText="1"/>
    </xf>
    <xf numFmtId="0" fontId="40" fillId="0" borderId="0" xfId="15" applyNumberFormat="1" applyFont="1" applyFill="1" applyAlignment="1">
      <alignment horizontal="left" vertical="top" wrapText="1" indent="2"/>
    </xf>
    <xf numFmtId="0" fontId="131" fillId="0" borderId="0" xfId="15" applyNumberFormat="1" applyFont="1" applyFill="1" applyAlignment="1">
      <alignment horizontal="left" vertical="top" wrapText="1" indent="1"/>
    </xf>
    <xf numFmtId="0" fontId="40" fillId="0" borderId="0" xfId="15" quotePrefix="1" applyNumberFormat="1" applyFont="1" applyFill="1" applyAlignment="1">
      <alignment horizontal="left" vertical="top" indent="1"/>
    </xf>
    <xf numFmtId="0" fontId="36" fillId="0" borderId="0" xfId="1" applyNumberFormat="1" applyFont="1" applyFill="1" applyBorder="1" applyAlignment="1" applyProtection="1">
      <alignment horizontal="left" vertical="top"/>
    </xf>
    <xf numFmtId="0" fontId="131" fillId="0" borderId="0" xfId="15" applyNumberFormat="1" applyFont="1" applyFill="1" applyAlignment="1">
      <alignment vertical="top"/>
    </xf>
    <xf numFmtId="0" fontId="36" fillId="0" borderId="0" xfId="15" applyNumberFormat="1" applyFont="1" applyFill="1" applyAlignment="1">
      <alignment horizontal="left" vertical="top" wrapText="1" indent="1"/>
    </xf>
    <xf numFmtId="0" fontId="36" fillId="0" borderId="0" xfId="15" quotePrefix="1" applyNumberFormat="1" applyFont="1" applyFill="1" applyBorder="1" applyAlignment="1">
      <alignment horizontal="left" vertical="top" indent="1"/>
    </xf>
    <xf numFmtId="0" fontId="46" fillId="0" borderId="0" xfId="15" applyNumberFormat="1" applyFont="1" applyFill="1" applyBorder="1" applyAlignment="1">
      <alignment horizontal="left" vertical="top" indent="2"/>
    </xf>
    <xf numFmtId="0" fontId="185" fillId="7" borderId="0" xfId="1" applyFont="1" applyFill="1" applyAlignment="1" applyProtection="1">
      <alignment vertical="top"/>
    </xf>
    <xf numFmtId="0" fontId="37" fillId="0" borderId="0" xfId="0" applyFont="1" applyBorder="1"/>
    <xf numFmtId="0" fontId="37" fillId="0" borderId="7" xfId="0" applyFont="1" applyFill="1" applyBorder="1" applyAlignment="1">
      <alignment horizontal="left" vertical="top"/>
    </xf>
    <xf numFmtId="0" fontId="43" fillId="0" borderId="5" xfId="1" applyFont="1" applyFill="1" applyBorder="1" applyAlignment="1" applyProtection="1">
      <alignment horizontal="right" wrapText="1"/>
    </xf>
    <xf numFmtId="0" fontId="137" fillId="0" borderId="0" xfId="1" applyFont="1" applyFill="1" applyAlignment="1" applyProtection="1"/>
    <xf numFmtId="0" fontId="36" fillId="0" borderId="0" xfId="0" applyFont="1" applyFill="1" applyAlignment="1"/>
    <xf numFmtId="0" fontId="78" fillId="11" borderId="0" xfId="0" applyFont="1" applyFill="1" applyAlignment="1"/>
    <xf numFmtId="0" fontId="78" fillId="0" borderId="0" xfId="0" applyFont="1" applyFill="1" applyAlignment="1"/>
    <xf numFmtId="0" fontId="150" fillId="0" borderId="0" xfId="1" applyFont="1" applyFill="1" applyAlignment="1" applyProtection="1"/>
    <xf numFmtId="0" fontId="47" fillId="0" borderId="0" xfId="0" applyFont="1" applyFill="1" applyAlignment="1"/>
    <xf numFmtId="0" fontId="42" fillId="11" borderId="0" xfId="0" applyFont="1" applyFill="1" applyAlignment="1"/>
    <xf numFmtId="0" fontId="42" fillId="0" borderId="0" xfId="0" applyFont="1" applyFill="1" applyAlignment="1"/>
    <xf numFmtId="0" fontId="178" fillId="0" borderId="0" xfId="1" quotePrefix="1" applyFont="1" applyFill="1" applyAlignment="1" applyProtection="1"/>
    <xf numFmtId="0" fontId="179" fillId="0" borderId="0" xfId="0" applyFont="1" applyFill="1" applyAlignment="1"/>
    <xf numFmtId="0" fontId="109" fillId="14" borderId="0" xfId="0" applyNumberFormat="1" applyFont="1" applyFill="1" applyAlignment="1"/>
    <xf numFmtId="0" fontId="180" fillId="14" borderId="0" xfId="0" applyNumberFormat="1" applyFont="1" applyFill="1" applyAlignment="1"/>
    <xf numFmtId="0" fontId="36" fillId="0" borderId="0" xfId="0" applyFont="1" applyFill="1" applyAlignment="1">
      <alignment vertical="top" wrapText="1"/>
    </xf>
    <xf numFmtId="0" fontId="109" fillId="11" borderId="0" xfId="0" applyNumberFormat="1" applyFont="1" applyFill="1" applyAlignment="1"/>
    <xf numFmtId="0" fontId="109" fillId="25" borderId="0" xfId="0" applyNumberFormat="1" applyFont="1" applyFill="1" applyAlignment="1"/>
    <xf numFmtId="0" fontId="109" fillId="0" borderId="0" xfId="0" applyNumberFormat="1" applyFont="1" applyFill="1" applyAlignment="1"/>
    <xf numFmtId="9" fontId="36" fillId="0" borderId="7" xfId="0" applyNumberFormat="1" applyFont="1" applyFill="1" applyBorder="1" applyAlignment="1">
      <alignment horizontal="left" vertical="top"/>
    </xf>
    <xf numFmtId="0" fontId="36" fillId="3" borderId="0" xfId="0" applyFont="1" applyFill="1" applyAlignment="1">
      <alignment vertical="top"/>
    </xf>
    <xf numFmtId="0" fontId="36" fillId="11" borderId="0" xfId="0" applyFont="1" applyFill="1" applyAlignment="1"/>
    <xf numFmtId="0" fontId="137" fillId="3" borderId="0" xfId="1" applyFont="1" applyFill="1" applyAlignment="1" applyProtection="1">
      <alignment vertical="top"/>
    </xf>
    <xf numFmtId="0" fontId="36" fillId="0" borderId="0" xfId="15" applyNumberFormat="1" applyFont="1" applyFill="1" applyAlignment="1">
      <alignment horizontal="left" vertical="top" wrapText="1"/>
    </xf>
    <xf numFmtId="0" fontId="36" fillId="0" borderId="0" xfId="0" applyFont="1" applyBorder="1" applyAlignment="1">
      <alignment horizontal="left" vertical="top"/>
    </xf>
    <xf numFmtId="1" fontId="36" fillId="0" borderId="0" xfId="0" applyNumberFormat="1" applyFont="1" applyBorder="1" applyAlignment="1">
      <alignment horizontal="left" vertical="top"/>
    </xf>
    <xf numFmtId="0" fontId="36" fillId="0" borderId="0" xfId="0" applyFont="1" applyBorder="1" applyAlignment="1">
      <alignment horizontal="left" vertical="top"/>
    </xf>
    <xf numFmtId="0" fontId="46" fillId="0" borderId="0" xfId="0" applyFont="1" applyAlignment="1">
      <alignment horizontal="left" vertical="top" wrapText="1"/>
    </xf>
    <xf numFmtId="0" fontId="36" fillId="0" borderId="0" xfId="0" applyFont="1" applyAlignment="1">
      <alignment horizontal="left" vertical="top"/>
    </xf>
    <xf numFmtId="0" fontId="36" fillId="0" borderId="0" xfId="0" applyFont="1" applyAlignment="1">
      <alignment horizontal="left" vertical="top" wrapText="1"/>
    </xf>
    <xf numFmtId="0" fontId="131" fillId="0" borderId="0" xfId="0" applyFont="1" applyBorder="1" applyAlignment="1">
      <alignment horizontal="left" vertical="top" wrapText="1"/>
    </xf>
    <xf numFmtId="0" fontId="36" fillId="0" borderId="0" xfId="0" applyNumberFormat="1" applyFont="1" applyBorder="1" applyAlignment="1">
      <alignment horizontal="left" vertical="top" wrapText="1"/>
    </xf>
    <xf numFmtId="0" fontId="131" fillId="0" borderId="0" xfId="0" applyNumberFormat="1" applyFont="1" applyBorder="1" applyAlignment="1">
      <alignment horizontal="left" vertical="top" wrapText="1" indent="1"/>
    </xf>
    <xf numFmtId="0" fontId="40" fillId="0" borderId="0" xfId="0" applyNumberFormat="1" applyFont="1" applyBorder="1" applyAlignment="1">
      <alignment horizontal="left" vertical="top" wrapText="1" indent="1"/>
    </xf>
    <xf numFmtId="0" fontId="109" fillId="14" borderId="0" xfId="13" applyNumberFormat="1" applyFont="1" applyFill="1"/>
    <xf numFmtId="0" fontId="109" fillId="14" borderId="0" xfId="13" applyNumberFormat="1" applyFont="1" applyFill="1" applyAlignment="1">
      <alignment horizontal="left"/>
    </xf>
    <xf numFmtId="0" fontId="109" fillId="14" borderId="20" xfId="0" applyFont="1" applyFill="1" applyBorder="1"/>
    <xf numFmtId="9" fontId="109" fillId="14" borderId="0" xfId="13" applyNumberFormat="1" applyFont="1" applyFill="1" applyAlignment="1">
      <alignment horizontal="left" indent="1"/>
    </xf>
    <xf numFmtId="168" fontId="109" fillId="14" borderId="84" xfId="3" applyNumberFormat="1" applyFont="1" applyFill="1" applyBorder="1" applyAlignment="1">
      <alignment horizontal="left" indent="1"/>
    </xf>
    <xf numFmtId="9" fontId="110" fillId="14" borderId="0" xfId="13" applyNumberFormat="1" applyFont="1" applyFill="1" applyAlignment="1">
      <alignment horizontal="left" indent="1"/>
    </xf>
    <xf numFmtId="0" fontId="110" fillId="14" borderId="20" xfId="0" applyFont="1" applyFill="1" applyBorder="1"/>
    <xf numFmtId="168" fontId="110" fillId="14" borderId="84" xfId="3" applyNumberFormat="1" applyFont="1" applyFill="1" applyBorder="1" applyAlignment="1">
      <alignment horizontal="left" indent="1"/>
    </xf>
    <xf numFmtId="0" fontId="36" fillId="16" borderId="0" xfId="0" applyFont="1" applyFill="1" applyBorder="1" applyAlignment="1">
      <alignment horizontal="left"/>
    </xf>
    <xf numFmtId="0" fontId="0" fillId="16" borderId="0" xfId="0" applyFill="1" applyBorder="1" applyAlignment="1">
      <alignment horizontal="left"/>
    </xf>
    <xf numFmtId="0" fontId="36" fillId="16" borderId="0" xfId="0" applyFont="1" applyFill="1" applyAlignment="1">
      <alignment horizontal="left"/>
    </xf>
    <xf numFmtId="0" fontId="0" fillId="16" borderId="0" xfId="0" applyFill="1" applyAlignment="1">
      <alignment horizontal="left"/>
    </xf>
    <xf numFmtId="14" fontId="0" fillId="16" borderId="0" xfId="0" applyNumberFormat="1" applyFill="1" applyAlignment="1">
      <alignment horizontal="left"/>
    </xf>
    <xf numFmtId="11" fontId="36" fillId="16" borderId="0" xfId="0" applyNumberFormat="1" applyFont="1" applyFill="1" applyBorder="1" applyAlignment="1">
      <alignment horizontal="left"/>
    </xf>
    <xf numFmtId="0" fontId="0" fillId="16" borderId="0" xfId="0" applyFill="1" applyBorder="1"/>
    <xf numFmtId="0" fontId="0" fillId="16" borderId="0" xfId="0" applyFill="1"/>
    <xf numFmtId="0" fontId="40" fillId="16" borderId="0" xfId="0" applyFont="1" applyFill="1" applyBorder="1" applyAlignment="1">
      <alignment horizontal="left"/>
    </xf>
    <xf numFmtId="0" fontId="40" fillId="16" borderId="0" xfId="0" applyFont="1" applyFill="1" applyAlignment="1">
      <alignment horizontal="left"/>
    </xf>
    <xf numFmtId="0" fontId="78" fillId="16" borderId="0" xfId="0" applyFont="1" applyFill="1" applyBorder="1" applyAlignment="1">
      <alignment horizontal="left"/>
    </xf>
    <xf numFmtId="0" fontId="78" fillId="16" borderId="0" xfId="0" applyFont="1" applyFill="1" applyAlignment="1">
      <alignment horizontal="left"/>
    </xf>
    <xf numFmtId="0" fontId="40" fillId="0" borderId="0" xfId="0" applyFont="1" applyAlignment="1">
      <alignment horizontal="right"/>
    </xf>
    <xf numFmtId="0" fontId="36" fillId="16" borderId="0" xfId="0" applyFont="1" applyFill="1" applyBorder="1"/>
    <xf numFmtId="0" fontId="40" fillId="16" borderId="0" xfId="0" applyFont="1" applyFill="1" applyBorder="1"/>
    <xf numFmtId="0" fontId="40" fillId="16" borderId="0" xfId="0" applyFont="1" applyFill="1"/>
    <xf numFmtId="0" fontId="0" fillId="16" borderId="15" xfId="0" applyFill="1" applyBorder="1"/>
    <xf numFmtId="175" fontId="88" fillId="10" borderId="3" xfId="14" applyNumberFormat="1" applyFont="1" applyFill="1" applyBorder="1"/>
    <xf numFmtId="175" fontId="88" fillId="2" borderId="3" xfId="0" applyNumberFormat="1" applyFont="1" applyFill="1" applyBorder="1"/>
    <xf numFmtId="175" fontId="88" fillId="2" borderId="3" xfId="14" applyNumberFormat="1" applyFont="1" applyFill="1" applyBorder="1"/>
    <xf numFmtId="175" fontId="88" fillId="2" borderId="2" xfId="0" applyNumberFormat="1" applyFont="1" applyFill="1" applyBorder="1"/>
    <xf numFmtId="175" fontId="88" fillId="2" borderId="2" xfId="14" applyNumberFormat="1" applyFont="1" applyFill="1" applyBorder="1"/>
    <xf numFmtId="175" fontId="88" fillId="0" borderId="24" xfId="0" applyNumberFormat="1" applyFont="1" applyBorder="1"/>
    <xf numFmtId="175" fontId="88" fillId="2" borderId="24" xfId="0" applyNumberFormat="1" applyFont="1" applyFill="1" applyBorder="1"/>
    <xf numFmtId="175" fontId="88" fillId="2" borderId="25" xfId="0" applyNumberFormat="1" applyFont="1" applyFill="1" applyBorder="1"/>
    <xf numFmtId="175" fontId="88" fillId="0" borderId="3" xfId="14" applyNumberFormat="1" applyFont="1" applyFill="1" applyBorder="1"/>
    <xf numFmtId="175" fontId="88" fillId="0" borderId="0" xfId="14" applyNumberFormat="1" applyFont="1" applyFill="1" applyBorder="1"/>
    <xf numFmtId="175" fontId="88" fillId="0" borderId="14" xfId="14" applyNumberFormat="1" applyFont="1" applyFill="1" applyBorder="1"/>
    <xf numFmtId="0" fontId="0" fillId="16" borderId="15" xfId="0" applyFill="1" applyBorder="1" applyAlignment="1">
      <alignment horizontal="left"/>
    </xf>
    <xf numFmtId="0" fontId="47" fillId="16" borderId="0" xfId="0" applyFont="1" applyFill="1" applyBorder="1" applyAlignment="1">
      <alignment horizontal="left"/>
    </xf>
    <xf numFmtId="167" fontId="0" fillId="16" borderId="0" xfId="0" applyNumberFormat="1" applyFill="1" applyBorder="1" applyAlignment="1">
      <alignment horizontal="left"/>
    </xf>
    <xf numFmtId="0" fontId="47" fillId="16" borderId="0" xfId="0" applyFont="1" applyFill="1" applyAlignment="1">
      <alignment horizontal="left"/>
    </xf>
    <xf numFmtId="0" fontId="37" fillId="16" borderId="0" xfId="0" applyFont="1" applyFill="1" applyAlignment="1">
      <alignment horizontal="left"/>
    </xf>
    <xf numFmtId="9" fontId="0" fillId="16" borderId="0" xfId="0" applyNumberFormat="1" applyFill="1" applyAlignment="1">
      <alignment horizontal="left"/>
    </xf>
    <xf numFmtId="9" fontId="36" fillId="16" borderId="0" xfId="0" applyNumberFormat="1" applyFont="1" applyFill="1" applyAlignment="1">
      <alignment horizontal="left"/>
    </xf>
    <xf numFmtId="14" fontId="0" fillId="16" borderId="0" xfId="3" applyNumberFormat="1" applyFont="1" applyFill="1" applyAlignment="1">
      <alignment horizontal="left"/>
    </xf>
    <xf numFmtId="9" fontId="0" fillId="16" borderId="0" xfId="3" applyFont="1" applyFill="1" applyAlignment="1">
      <alignment horizontal="left"/>
    </xf>
    <xf numFmtId="0" fontId="34" fillId="16" borderId="0" xfId="6" applyFont="1" applyFill="1" applyBorder="1" applyAlignment="1">
      <alignment horizontal="left"/>
    </xf>
    <xf numFmtId="0" fontId="49" fillId="16" borderId="0" xfId="6" applyFont="1" applyFill="1" applyBorder="1" applyAlignment="1">
      <alignment horizontal="left"/>
    </xf>
    <xf numFmtId="0" fontId="55" fillId="16" borderId="0" xfId="6" applyFont="1" applyFill="1" applyBorder="1" applyAlignment="1">
      <alignment horizontal="left"/>
    </xf>
    <xf numFmtId="0" fontId="12" fillId="16" borderId="0" xfId="6" applyFont="1" applyFill="1" applyBorder="1" applyAlignment="1">
      <alignment horizontal="left"/>
    </xf>
    <xf numFmtId="0" fontId="72" fillId="16" borderId="0" xfId="6" applyFont="1" applyFill="1" applyBorder="1" applyAlignment="1">
      <alignment horizontal="left"/>
    </xf>
    <xf numFmtId="0" fontId="145" fillId="0" borderId="0" xfId="6" applyFont="1" applyBorder="1" applyAlignment="1">
      <alignment horizontal="left"/>
    </xf>
    <xf numFmtId="0" fontId="36" fillId="16" borderId="0" xfId="0" applyNumberFormat="1" applyFont="1" applyFill="1" applyBorder="1" applyAlignment="1">
      <alignment horizontal="left" vertical="top"/>
    </xf>
    <xf numFmtId="0" fontId="36" fillId="16" borderId="0" xfId="0" applyFont="1" applyFill="1" applyBorder="1" applyAlignment="1">
      <alignment horizontal="left" vertical="top"/>
    </xf>
    <xf numFmtId="168" fontId="36" fillId="16" borderId="0" xfId="3" applyNumberFormat="1" applyFont="1" applyFill="1" applyBorder="1" applyAlignment="1">
      <alignment horizontal="left" vertical="top"/>
    </xf>
    <xf numFmtId="0" fontId="78" fillId="16" borderId="0" xfId="0" applyFont="1" applyFill="1" applyBorder="1" applyAlignment="1">
      <alignment horizontal="left" vertical="top"/>
    </xf>
    <xf numFmtId="0" fontId="36" fillId="16" borderId="0" xfId="0" applyFont="1" applyFill="1" applyAlignment="1">
      <alignment horizontal="left" vertical="top"/>
    </xf>
    <xf numFmtId="168" fontId="36" fillId="16" borderId="0" xfId="3" applyNumberFormat="1" applyFont="1" applyFill="1" applyAlignment="1">
      <alignment horizontal="left" vertical="top"/>
    </xf>
    <xf numFmtId="0" fontId="78" fillId="16" borderId="0" xfId="0" applyFont="1" applyFill="1" applyAlignment="1">
      <alignment horizontal="left" vertical="top"/>
    </xf>
    <xf numFmtId="0" fontId="92" fillId="0" borderId="0" xfId="0" applyFont="1" applyBorder="1" applyAlignment="1">
      <alignment horizontal="left" vertical="top"/>
    </xf>
    <xf numFmtId="167" fontId="78" fillId="0" borderId="0" xfId="3" applyNumberFormat="1" applyFont="1" applyBorder="1" applyAlignment="1">
      <alignment horizontal="left" vertical="top"/>
    </xf>
    <xf numFmtId="0" fontId="36" fillId="16" borderId="0" xfId="0" applyFont="1" applyFill="1" applyBorder="1" applyAlignment="1">
      <alignment horizontal="center" vertical="top"/>
    </xf>
    <xf numFmtId="1" fontId="36" fillId="16" borderId="0" xfId="0" applyNumberFormat="1" applyFont="1" applyFill="1" applyBorder="1" applyAlignment="1">
      <alignment horizontal="left" vertical="top"/>
    </xf>
    <xf numFmtId="173" fontId="25" fillId="16" borderId="0" xfId="0" applyNumberFormat="1" applyFont="1" applyFill="1" applyBorder="1"/>
    <xf numFmtId="0" fontId="25" fillId="16" borderId="0" xfId="0" applyFont="1" applyFill="1" applyBorder="1"/>
    <xf numFmtId="0" fontId="7" fillId="0" borderId="44" xfId="0" applyFont="1" applyBorder="1"/>
    <xf numFmtId="0" fontId="36" fillId="16" borderId="0" xfId="0" applyFont="1" applyFill="1"/>
    <xf numFmtId="0" fontId="36" fillId="0" borderId="0" xfId="15" applyNumberFormat="1" applyFont="1" applyFill="1" applyAlignment="1">
      <alignment horizontal="left" vertical="top" wrapText="1"/>
    </xf>
    <xf numFmtId="0" fontId="36" fillId="0" borderId="42" xfId="0" applyFont="1" applyBorder="1" applyAlignment="1">
      <alignment horizontal="left" vertical="top"/>
    </xf>
    <xf numFmtId="0" fontId="76" fillId="16" borderId="0" xfId="0" applyFont="1" applyFill="1" applyBorder="1" applyAlignment="1">
      <alignment horizontal="left" vertical="top"/>
    </xf>
    <xf numFmtId="0" fontId="0" fillId="16" borderId="0" xfId="0" applyFont="1" applyFill="1" applyBorder="1" applyAlignment="1">
      <alignment vertical="top"/>
    </xf>
    <xf numFmtId="0" fontId="36" fillId="16" borderId="0" xfId="6" applyFont="1" applyFill="1" applyBorder="1" applyAlignment="1">
      <alignment horizontal="left" vertical="top"/>
    </xf>
    <xf numFmtId="0" fontId="34" fillId="16" borderId="0" xfId="6" applyFont="1" applyFill="1" applyBorder="1" applyAlignment="1">
      <alignment horizontal="left" vertical="top"/>
    </xf>
    <xf numFmtId="0" fontId="145" fillId="16" borderId="0" xfId="0" applyFont="1" applyFill="1" applyBorder="1" applyAlignment="1">
      <alignment vertical="top"/>
    </xf>
    <xf numFmtId="0" fontId="49" fillId="16" borderId="0" xfId="0" applyFont="1" applyFill="1" applyBorder="1" applyAlignment="1">
      <alignment vertical="top"/>
    </xf>
    <xf numFmtId="0" fontId="36" fillId="16" borderId="0" xfId="0" applyFont="1" applyFill="1" applyBorder="1" applyAlignment="1">
      <alignment vertical="top"/>
    </xf>
    <xf numFmtId="0" fontId="37" fillId="16" borderId="0" xfId="0" applyNumberFormat="1" applyFont="1" applyFill="1" applyBorder="1" applyAlignment="1">
      <alignment horizontal="left" vertical="top" wrapText="1"/>
    </xf>
    <xf numFmtId="0" fontId="137" fillId="16" borderId="0" xfId="0" applyFont="1" applyFill="1" applyAlignment="1">
      <alignment horizontal="left" vertical="top"/>
    </xf>
    <xf numFmtId="0" fontId="40" fillId="16" borderId="0" xfId="0" applyFont="1" applyFill="1" applyAlignment="1">
      <alignment horizontal="left" vertical="top"/>
    </xf>
    <xf numFmtId="0" fontId="34" fillId="16" borderId="11" xfId="6" applyFont="1" applyFill="1" applyBorder="1" applyAlignment="1">
      <alignment horizontal="left" vertical="top"/>
    </xf>
    <xf numFmtId="0" fontId="145" fillId="16" borderId="0" xfId="0" applyFont="1" applyFill="1" applyBorder="1" applyAlignment="1">
      <alignment horizontal="left" vertical="top"/>
    </xf>
    <xf numFmtId="0" fontId="145" fillId="16" borderId="0" xfId="0" applyFont="1" applyFill="1" applyAlignment="1">
      <alignment horizontal="left" vertical="top"/>
    </xf>
    <xf numFmtId="0" fontId="137" fillId="16" borderId="0" xfId="0" applyFont="1" applyFill="1" applyBorder="1" applyAlignment="1">
      <alignment horizontal="left" vertical="top"/>
    </xf>
    <xf numFmtId="0" fontId="49" fillId="16" borderId="0" xfId="0" applyFont="1" applyFill="1" applyBorder="1" applyAlignment="1">
      <alignment horizontal="left" vertical="top"/>
    </xf>
    <xf numFmtId="0" fontId="49" fillId="16" borderId="0" xfId="0" applyFont="1" applyFill="1" applyAlignment="1">
      <alignment horizontal="left" vertical="top"/>
    </xf>
    <xf numFmtId="0" fontId="40" fillId="16" borderId="0" xfId="0" applyFont="1" applyFill="1" applyBorder="1" applyAlignment="1">
      <alignment horizontal="left" vertical="top"/>
    </xf>
    <xf numFmtId="0" fontId="37" fillId="16" borderId="0" xfId="0" applyFont="1" applyFill="1" applyBorder="1" applyAlignment="1">
      <alignment horizontal="left" vertical="top"/>
    </xf>
    <xf numFmtId="0" fontId="36" fillId="16" borderId="0" xfId="0" applyFont="1" applyFill="1" applyBorder="1" applyAlignment="1">
      <alignment horizontal="left" vertical="top" wrapText="1"/>
    </xf>
    <xf numFmtId="0" fontId="78" fillId="16" borderId="11" xfId="0" applyFont="1" applyFill="1" applyBorder="1" applyAlignment="1">
      <alignment horizontal="left" vertical="top"/>
    </xf>
    <xf numFmtId="0" fontId="46" fillId="16" borderId="11" xfId="0" applyFont="1" applyFill="1" applyBorder="1" applyAlignment="1">
      <alignment horizontal="left" vertical="top"/>
    </xf>
    <xf numFmtId="0" fontId="151" fillId="16" borderId="0" xfId="1" applyFont="1" applyFill="1" applyBorder="1" applyAlignment="1" applyProtection="1">
      <alignment horizontal="left" vertical="top"/>
    </xf>
    <xf numFmtId="0" fontId="46" fillId="16" borderId="0" xfId="0" applyFont="1" applyFill="1" applyAlignment="1">
      <alignment horizontal="left" vertical="top"/>
    </xf>
    <xf numFmtId="0" fontId="131" fillId="16" borderId="0" xfId="0" applyFont="1" applyFill="1" applyBorder="1" applyAlignment="1">
      <alignment horizontal="left" vertical="top" indent="1"/>
    </xf>
    <xf numFmtId="0" fontId="40" fillId="16" borderId="0" xfId="0" applyFont="1" applyFill="1" applyBorder="1" applyAlignment="1">
      <alignment vertical="top"/>
    </xf>
    <xf numFmtId="0" fontId="40" fillId="16" borderId="0" xfId="0" quotePrefix="1" applyFont="1" applyFill="1" applyBorder="1" applyAlignment="1">
      <alignment vertical="top"/>
    </xf>
    <xf numFmtId="0" fontId="49" fillId="16" borderId="0" xfId="0" applyFont="1" applyFill="1" applyBorder="1" applyAlignment="1">
      <alignment horizontal="left" vertical="top" wrapText="1"/>
    </xf>
    <xf numFmtId="0" fontId="131" fillId="16" borderId="0" xfId="0" applyFont="1" applyFill="1" applyBorder="1" applyAlignment="1">
      <alignment horizontal="left" vertical="top"/>
    </xf>
    <xf numFmtId="0" fontId="131" fillId="16" borderId="0" xfId="0" applyFont="1" applyFill="1" applyBorder="1" applyAlignment="1">
      <alignment vertical="top"/>
    </xf>
    <xf numFmtId="0" fontId="46" fillId="16" borderId="0" xfId="0" applyFont="1" applyFill="1" applyBorder="1" applyAlignment="1">
      <alignment horizontal="left" vertical="top"/>
    </xf>
    <xf numFmtId="0" fontId="40" fillId="16" borderId="0" xfId="0" applyFont="1" applyFill="1" applyBorder="1" applyAlignment="1">
      <alignment horizontal="left" vertical="top" wrapText="1"/>
    </xf>
    <xf numFmtId="0" fontId="36" fillId="0" borderId="0" xfId="0" quotePrefix="1" applyFont="1" applyFill="1" applyAlignment="1">
      <alignment vertical="top"/>
    </xf>
    <xf numFmtId="0" fontId="36" fillId="16" borderId="1" xfId="0" applyFont="1" applyFill="1" applyBorder="1" applyAlignment="1">
      <alignment horizontal="left" vertical="top"/>
    </xf>
    <xf numFmtId="0" fontId="36" fillId="16" borderId="22" xfId="0" applyFont="1" applyFill="1" applyBorder="1" applyAlignment="1">
      <alignment horizontal="left" vertical="top"/>
    </xf>
    <xf numFmtId="0" fontId="11" fillId="16" borderId="0" xfId="1" quotePrefix="1" applyFont="1" applyFill="1" applyBorder="1" applyAlignment="1" applyProtection="1">
      <alignment horizontal="left" vertical="top" indent="1"/>
    </xf>
    <xf numFmtId="0" fontId="11" fillId="16" borderId="0" xfId="1" applyFont="1" applyFill="1" applyBorder="1" applyAlignment="1" applyProtection="1">
      <alignment vertical="top"/>
    </xf>
    <xf numFmtId="0" fontId="11" fillId="16" borderId="0" xfId="1" applyFont="1" applyFill="1" applyBorder="1" applyAlignment="1" applyProtection="1">
      <alignment vertical="top" wrapText="1"/>
    </xf>
    <xf numFmtId="0" fontId="36" fillId="16" borderId="0" xfId="1" quotePrefix="1" applyFont="1" applyFill="1" applyBorder="1" applyAlignment="1" applyProtection="1">
      <alignment horizontal="left" vertical="top" wrapText="1" indent="1"/>
    </xf>
    <xf numFmtId="0" fontId="36" fillId="16" borderId="0" xfId="1" quotePrefix="1" applyFont="1" applyFill="1" applyBorder="1" applyAlignment="1" applyProtection="1">
      <alignment vertical="top"/>
    </xf>
    <xf numFmtId="0" fontId="0" fillId="16" borderId="0" xfId="0" applyFill="1" applyBorder="1" applyAlignment="1"/>
    <xf numFmtId="0" fontId="78" fillId="0" borderId="0" xfId="0" applyFont="1" applyFill="1" applyBorder="1" applyAlignment="1">
      <alignment horizontal="left" vertical="top"/>
    </xf>
    <xf numFmtId="0" fontId="137" fillId="0" borderId="0" xfId="1" applyFont="1" applyBorder="1" applyAlignment="1" applyProtection="1">
      <alignment horizontal="left"/>
    </xf>
    <xf numFmtId="0" fontId="150" fillId="0" borderId="0" xfId="1" applyFont="1" applyBorder="1" applyAlignment="1" applyProtection="1"/>
    <xf numFmtId="0" fontId="46" fillId="0" borderId="0" xfId="0" applyFont="1" applyBorder="1" applyAlignment="1">
      <alignment vertical="top" wrapText="1"/>
    </xf>
    <xf numFmtId="0" fontId="46" fillId="0" borderId="0" xfId="0" applyFont="1" applyBorder="1" applyAlignment="1">
      <alignment horizontal="right" vertical="top"/>
    </xf>
    <xf numFmtId="0" fontId="47" fillId="0" borderId="0" xfId="0" applyFont="1" applyBorder="1" applyAlignment="1">
      <alignment vertical="top"/>
    </xf>
    <xf numFmtId="0" fontId="36" fillId="0" borderId="15" xfId="0" applyNumberFormat="1" applyFont="1" applyBorder="1" applyAlignment="1">
      <alignment horizontal="left" vertical="top" wrapText="1"/>
    </xf>
    <xf numFmtId="0" fontId="72" fillId="0" borderId="0" xfId="0" applyNumberFormat="1" applyFont="1" applyBorder="1" applyAlignment="1">
      <alignment vertical="top"/>
    </xf>
    <xf numFmtId="0" fontId="188" fillId="16" borderId="0" xfId="0" applyFont="1" applyFill="1" applyAlignment="1">
      <alignment horizontal="left" vertical="top"/>
    </xf>
    <xf numFmtId="0" fontId="109" fillId="16" borderId="0" xfId="0" applyFont="1" applyFill="1" applyBorder="1" applyAlignment="1">
      <alignment vertical="top"/>
    </xf>
    <xf numFmtId="0" fontId="76" fillId="18" borderId="0" xfId="0" applyFont="1" applyFill="1" applyBorder="1" applyAlignment="1">
      <alignment vertical="top"/>
    </xf>
    <xf numFmtId="0" fontId="77" fillId="18" borderId="0" xfId="0" applyFont="1" applyFill="1" applyBorder="1" applyAlignment="1">
      <alignment vertical="top"/>
    </xf>
    <xf numFmtId="0" fontId="80" fillId="16" borderId="0" xfId="0" applyFont="1" applyFill="1" applyAlignment="1">
      <alignment horizontal="left" vertical="top"/>
    </xf>
    <xf numFmtId="0" fontId="36" fillId="11" borderId="0" xfId="0" applyFont="1" applyFill="1" applyAlignment="1">
      <alignment horizontal="left" vertical="top"/>
    </xf>
    <xf numFmtId="0" fontId="36" fillId="11" borderId="0" xfId="0" applyFont="1" applyFill="1" applyBorder="1" applyAlignment="1">
      <alignment horizontal="left" vertical="top"/>
    </xf>
    <xf numFmtId="0" fontId="49" fillId="11" borderId="0" xfId="0" applyFont="1" applyFill="1" applyAlignment="1">
      <alignment horizontal="left" vertical="top"/>
    </xf>
    <xf numFmtId="0" fontId="49" fillId="11" borderId="0" xfId="0" applyFont="1" applyFill="1" applyBorder="1" applyAlignment="1">
      <alignment horizontal="left" vertical="top"/>
    </xf>
    <xf numFmtId="0" fontId="137" fillId="11" borderId="0" xfId="0" applyFont="1" applyFill="1" applyAlignment="1">
      <alignment horizontal="left" vertical="top"/>
    </xf>
    <xf numFmtId="0" fontId="137" fillId="11" borderId="0" xfId="0" applyFont="1" applyFill="1" applyBorder="1" applyAlignment="1">
      <alignment horizontal="left" vertical="top"/>
    </xf>
    <xf numFmtId="0" fontId="40" fillId="11" borderId="0" xfId="0" applyFont="1" applyFill="1" applyAlignment="1">
      <alignment horizontal="left" vertical="top"/>
    </xf>
    <xf numFmtId="0" fontId="40" fillId="11" borderId="0" xfId="0" applyFont="1" applyFill="1" applyBorder="1" applyAlignment="1">
      <alignment horizontal="left" vertical="top"/>
    </xf>
    <xf numFmtId="0" fontId="189" fillId="16" borderId="0" xfId="0" applyFont="1" applyFill="1" applyBorder="1" applyAlignment="1">
      <alignment horizontal="left" vertical="top"/>
    </xf>
    <xf numFmtId="9" fontId="46" fillId="16" borderId="0" xfId="3" applyFont="1" applyFill="1" applyBorder="1" applyAlignment="1">
      <alignment horizontal="left" vertical="top"/>
    </xf>
    <xf numFmtId="0" fontId="77" fillId="16" borderId="0" xfId="0" applyFont="1" applyFill="1" applyBorder="1" applyAlignment="1">
      <alignment horizontal="right" vertical="top"/>
    </xf>
    <xf numFmtId="0" fontId="36" fillId="29" borderId="0" xfId="0" applyFont="1" applyFill="1" applyBorder="1" applyAlignment="1">
      <alignment horizontal="left" vertical="top"/>
    </xf>
    <xf numFmtId="0" fontId="36" fillId="29" borderId="0" xfId="0" applyFont="1" applyFill="1" applyAlignment="1">
      <alignment horizontal="left" vertical="top"/>
    </xf>
    <xf numFmtId="1" fontId="68" fillId="29" borderId="0" xfId="3" applyNumberFormat="1" applyFont="1" applyFill="1" applyBorder="1" applyAlignment="1">
      <alignment horizontal="left" vertical="top"/>
    </xf>
    <xf numFmtId="1" fontId="68" fillId="29" borderId="0" xfId="0" applyNumberFormat="1" applyFont="1" applyFill="1" applyBorder="1" applyAlignment="1">
      <alignment horizontal="left" vertical="top"/>
    </xf>
    <xf numFmtId="1" fontId="36" fillId="29" borderId="0" xfId="0" applyNumberFormat="1" applyFont="1" applyFill="1" applyAlignment="1">
      <alignment horizontal="left" vertical="top"/>
    </xf>
    <xf numFmtId="0" fontId="25" fillId="16" borderId="0" xfId="0" applyFont="1" applyFill="1"/>
    <xf numFmtId="0" fontId="37" fillId="16" borderId="0" xfId="0" applyFont="1" applyFill="1" applyBorder="1" applyAlignment="1">
      <alignment horizontal="left"/>
    </xf>
    <xf numFmtId="0" fontId="76" fillId="30" borderId="0" xfId="0" applyFont="1" applyFill="1"/>
    <xf numFmtId="0" fontId="77" fillId="30" borderId="0" xfId="0" applyFont="1" applyFill="1"/>
    <xf numFmtId="0" fontId="47" fillId="16" borderId="0" xfId="6" applyFont="1" applyFill="1" applyBorder="1" applyAlignment="1">
      <alignment horizontal="left" vertical="top"/>
    </xf>
    <xf numFmtId="0" fontId="47" fillId="16" borderId="0" xfId="0" applyFont="1" applyFill="1" applyAlignment="1">
      <alignment horizontal="left" vertical="top"/>
    </xf>
    <xf numFmtId="0" fontId="47" fillId="16" borderId="0" xfId="0" applyFont="1" applyFill="1" applyBorder="1" applyAlignment="1">
      <alignment vertical="top"/>
    </xf>
    <xf numFmtId="0" fontId="36" fillId="16" borderId="0" xfId="0" applyFont="1" applyFill="1" applyAlignment="1">
      <alignment vertical="top"/>
    </xf>
    <xf numFmtId="0" fontId="36" fillId="16" borderId="0" xfId="0" applyNumberFormat="1" applyFont="1" applyFill="1" applyBorder="1" applyAlignment="1">
      <alignment horizontal="left" vertical="top" wrapText="1"/>
    </xf>
    <xf numFmtId="0" fontId="110" fillId="16" borderId="0" xfId="0" applyNumberFormat="1" applyFont="1" applyFill="1" applyBorder="1" applyAlignment="1">
      <alignment horizontal="left" vertical="top"/>
    </xf>
    <xf numFmtId="0" fontId="36" fillId="16" borderId="0" xfId="0" applyFont="1" applyFill="1" applyAlignment="1">
      <alignment horizontal="left" vertical="top" wrapText="1"/>
    </xf>
    <xf numFmtId="0" fontId="46" fillId="0" borderId="0" xfId="15" applyNumberFormat="1" applyFont="1" applyFill="1" applyAlignment="1">
      <alignment vertical="top"/>
    </xf>
    <xf numFmtId="0" fontId="36" fillId="11" borderId="0" xfId="15" applyNumberFormat="1" applyFill="1" applyBorder="1" applyAlignment="1">
      <alignment horizontal="left" vertical="top" wrapText="1"/>
    </xf>
    <xf numFmtId="0" fontId="36" fillId="0" borderId="0" xfId="15" applyNumberFormat="1" applyFill="1" applyBorder="1" applyAlignment="1">
      <alignment horizontal="left" vertical="top" wrapText="1"/>
    </xf>
    <xf numFmtId="0" fontId="131" fillId="0" borderId="0" xfId="15" applyNumberFormat="1" applyFont="1" applyFill="1" applyBorder="1" applyAlignment="1">
      <alignment horizontal="left" vertical="top" wrapText="1" indent="1"/>
    </xf>
    <xf numFmtId="0" fontId="36" fillId="0" borderId="0" xfId="15" applyNumberFormat="1" applyFont="1" applyFill="1" applyBorder="1" applyAlignment="1">
      <alignment vertical="top"/>
    </xf>
    <xf numFmtId="0" fontId="40" fillId="0" borderId="0" xfId="15" applyNumberFormat="1" applyFont="1" applyFill="1" applyBorder="1" applyAlignment="1">
      <alignment vertical="top"/>
    </xf>
    <xf numFmtId="0" fontId="36" fillId="0" borderId="0" xfId="15" applyNumberFormat="1" applyFont="1" applyFill="1" applyBorder="1" applyAlignment="1">
      <alignment horizontal="left" vertical="top" wrapText="1" indent="1"/>
    </xf>
    <xf numFmtId="0" fontId="36" fillId="0" borderId="0" xfId="15" applyNumberFormat="1" applyFont="1" applyFill="1" applyBorder="1" applyAlignment="1">
      <alignment horizontal="left" vertical="top" indent="1"/>
    </xf>
    <xf numFmtId="0" fontId="46" fillId="0" borderId="0" xfId="15" applyNumberFormat="1" applyFont="1" applyFill="1" applyBorder="1" applyAlignment="1">
      <alignment vertical="top"/>
    </xf>
    <xf numFmtId="0" fontId="36" fillId="16" borderId="15" xfId="6" applyFont="1" applyFill="1" applyBorder="1" applyAlignment="1">
      <alignment horizontal="left" vertical="top"/>
    </xf>
    <xf numFmtId="0" fontId="36" fillId="16" borderId="0" xfId="6" applyNumberFormat="1" applyFont="1" applyFill="1" applyBorder="1" applyAlignment="1">
      <alignment horizontal="left" vertical="top"/>
    </xf>
    <xf numFmtId="0" fontId="48" fillId="16" borderId="0" xfId="6" applyFont="1" applyFill="1" applyBorder="1" applyAlignment="1">
      <alignment horizontal="left" vertical="top"/>
    </xf>
    <xf numFmtId="0" fontId="36" fillId="16" borderId="0" xfId="6" applyFont="1" applyFill="1" applyAlignment="1">
      <alignment horizontal="left" vertical="top"/>
    </xf>
    <xf numFmtId="0" fontId="37" fillId="16" borderId="0" xfId="6" applyFont="1" applyFill="1" applyBorder="1" applyAlignment="1">
      <alignment horizontal="center" vertical="top" wrapText="1"/>
    </xf>
    <xf numFmtId="0" fontId="36" fillId="16" borderId="0" xfId="6" applyFont="1" applyFill="1" applyBorder="1" applyAlignment="1">
      <alignment horizontal="center" vertical="top" wrapText="1"/>
    </xf>
    <xf numFmtId="0" fontId="34" fillId="16" borderId="0" xfId="6" applyFont="1" applyFill="1" applyAlignment="1">
      <alignment horizontal="left" vertical="top"/>
    </xf>
    <xf numFmtId="0" fontId="76" fillId="16" borderId="0" xfId="0" applyNumberFormat="1" applyFont="1" applyFill="1" applyBorder="1" applyAlignment="1">
      <alignment horizontal="left" vertical="top"/>
    </xf>
    <xf numFmtId="0" fontId="37" fillId="16" borderId="15" xfId="0" applyNumberFormat="1" applyFont="1" applyFill="1" applyBorder="1" applyAlignment="1">
      <alignment horizontal="left" vertical="top"/>
    </xf>
    <xf numFmtId="0" fontId="34" fillId="16" borderId="0" xfId="6" applyNumberFormat="1" applyFont="1" applyFill="1" applyBorder="1" applyAlignment="1">
      <alignment horizontal="left" vertical="top"/>
    </xf>
    <xf numFmtId="0" fontId="37" fillId="16" borderId="0" xfId="6" applyNumberFormat="1" applyFont="1" applyFill="1" applyBorder="1" applyAlignment="1">
      <alignment horizontal="center" vertical="top"/>
    </xf>
    <xf numFmtId="0" fontId="37" fillId="16" borderId="0" xfId="6" applyNumberFormat="1" applyFont="1" applyFill="1" applyBorder="1" applyAlignment="1">
      <alignment horizontal="left" vertical="top"/>
    </xf>
    <xf numFmtId="0" fontId="37" fillId="16" borderId="15" xfId="6" applyNumberFormat="1" applyFont="1" applyFill="1" applyBorder="1" applyAlignment="1">
      <alignment horizontal="left" vertical="top"/>
    </xf>
    <xf numFmtId="0" fontId="40" fillId="16" borderId="0" xfId="6" applyNumberFormat="1" applyFont="1" applyFill="1" applyBorder="1" applyAlignment="1">
      <alignment horizontal="left" vertical="top"/>
    </xf>
    <xf numFmtId="0" fontId="49" fillId="16" borderId="0" xfId="6" applyNumberFormat="1" applyFont="1" applyFill="1" applyBorder="1" applyAlignment="1">
      <alignment horizontal="left" vertical="top"/>
    </xf>
    <xf numFmtId="0" fontId="36" fillId="16" borderId="15" xfId="6" applyNumberFormat="1" applyFont="1" applyFill="1" applyBorder="1" applyAlignment="1">
      <alignment horizontal="left" vertical="top"/>
    </xf>
    <xf numFmtId="0" fontId="40" fillId="16" borderId="15" xfId="6" applyNumberFormat="1" applyFont="1" applyFill="1" applyBorder="1" applyAlignment="1">
      <alignment horizontal="left" vertical="top"/>
    </xf>
    <xf numFmtId="0" fontId="47" fillId="16" borderId="0" xfId="6" applyNumberFormat="1" applyFont="1" applyFill="1" applyBorder="1" applyAlignment="1">
      <alignment horizontal="left" vertical="top"/>
    </xf>
    <xf numFmtId="0" fontId="48" fillId="16" borderId="0" xfId="6" applyNumberFormat="1" applyFont="1" applyFill="1" applyBorder="1" applyAlignment="1">
      <alignment horizontal="left" vertical="top"/>
    </xf>
    <xf numFmtId="0" fontId="136" fillId="16" borderId="0" xfId="6" applyNumberFormat="1" applyFont="1" applyFill="1" applyBorder="1" applyAlignment="1">
      <alignment horizontal="right" vertical="top"/>
    </xf>
    <xf numFmtId="0" fontId="0" fillId="16" borderId="0" xfId="0" applyNumberFormat="1" applyFill="1" applyBorder="1"/>
    <xf numFmtId="0" fontId="37" fillId="16" borderId="15" xfId="6" applyNumberFormat="1" applyFont="1" applyFill="1" applyBorder="1" applyAlignment="1">
      <alignment horizontal="left" vertical="top" wrapText="1"/>
    </xf>
    <xf numFmtId="0" fontId="34" fillId="16" borderId="15" xfId="6" applyNumberFormat="1" applyFont="1" applyFill="1" applyBorder="1" applyAlignment="1">
      <alignment horizontal="left" vertical="top"/>
    </xf>
    <xf numFmtId="0" fontId="47" fillId="16" borderId="0" xfId="0" applyNumberFormat="1" applyFont="1" applyFill="1" applyBorder="1"/>
    <xf numFmtId="0" fontId="122" fillId="16" borderId="15" xfId="6" applyNumberFormat="1" applyFont="1" applyFill="1" applyBorder="1" applyAlignment="1">
      <alignment horizontal="left" vertical="top" wrapText="1"/>
    </xf>
    <xf numFmtId="0" fontId="130" fillId="16" borderId="0" xfId="6" applyNumberFormat="1" applyFont="1" applyFill="1" applyBorder="1" applyAlignment="1">
      <alignment horizontal="left" vertical="top"/>
    </xf>
    <xf numFmtId="0" fontId="76" fillId="16" borderId="0" xfId="6" applyNumberFormat="1" applyFont="1" applyFill="1" applyBorder="1" applyAlignment="1">
      <alignment horizontal="left" vertical="top"/>
    </xf>
    <xf numFmtId="0" fontId="77" fillId="16" borderId="15" xfId="6" applyNumberFormat="1" applyFont="1" applyFill="1" applyBorder="1" applyAlignment="1">
      <alignment horizontal="left" vertical="top"/>
    </xf>
    <xf numFmtId="0" fontId="34" fillId="16" borderId="15" xfId="6" applyFont="1" applyFill="1" applyBorder="1" applyAlignment="1">
      <alignment horizontal="left" vertical="top"/>
    </xf>
    <xf numFmtId="0" fontId="34" fillId="16" borderId="0" xfId="6" applyFont="1" applyFill="1" applyBorder="1" applyAlignment="1">
      <alignment horizontal="left" vertical="top" wrapText="1"/>
    </xf>
    <xf numFmtId="0" fontId="34" fillId="16" borderId="0" xfId="6" applyFont="1" applyFill="1" applyBorder="1" applyAlignment="1">
      <alignment horizontal="center" vertical="top"/>
    </xf>
    <xf numFmtId="0" fontId="37" fillId="16" borderId="0" xfId="6" applyFont="1" applyFill="1" applyBorder="1" applyAlignment="1">
      <alignment horizontal="center" vertical="top"/>
    </xf>
    <xf numFmtId="0" fontId="34" fillId="16" borderId="0" xfId="6" applyFont="1" applyFill="1" applyAlignment="1">
      <alignment horizontal="left" vertical="top" wrapText="1"/>
    </xf>
    <xf numFmtId="0" fontId="34" fillId="16" borderId="0" xfId="6" applyFont="1" applyFill="1" applyAlignment="1">
      <alignment horizontal="center" vertical="top"/>
    </xf>
    <xf numFmtId="0" fontId="37" fillId="16" borderId="0" xfId="6" applyFont="1" applyFill="1" applyAlignment="1">
      <alignment horizontal="center" vertical="top"/>
    </xf>
    <xf numFmtId="0" fontId="37" fillId="16" borderId="15" xfId="6" applyFont="1" applyFill="1" applyBorder="1" applyAlignment="1">
      <alignment horizontal="center" vertical="top"/>
    </xf>
    <xf numFmtId="0" fontId="145" fillId="16" borderId="0" xfId="6" applyFont="1" applyFill="1" applyBorder="1" applyAlignment="1">
      <alignment horizontal="left" vertical="top"/>
    </xf>
    <xf numFmtId="0" fontId="145" fillId="16" borderId="0" xfId="6" applyFont="1" applyFill="1" applyBorder="1" applyAlignment="1">
      <alignment horizontal="right" vertical="top"/>
    </xf>
    <xf numFmtId="0" fontId="36" fillId="16" borderId="0" xfId="6" applyFont="1" applyFill="1" applyBorder="1" applyAlignment="1">
      <alignment horizontal="left" vertical="top" indent="2"/>
    </xf>
    <xf numFmtId="0" fontId="34" fillId="16" borderId="0" xfId="6" applyFont="1" applyFill="1" applyAlignment="1">
      <alignment vertical="top" wrapText="1"/>
    </xf>
    <xf numFmtId="0" fontId="61" fillId="16" borderId="0" xfId="6" applyFont="1" applyFill="1" applyBorder="1" applyAlignment="1">
      <alignment horizontal="left" vertical="top"/>
    </xf>
    <xf numFmtId="0" fontId="40" fillId="16" borderId="0" xfId="6" applyFont="1" applyFill="1" applyBorder="1" applyAlignment="1">
      <alignment horizontal="left" vertical="top"/>
    </xf>
    <xf numFmtId="0" fontId="21" fillId="16" borderId="0" xfId="6" applyFont="1" applyFill="1" applyBorder="1" applyAlignment="1">
      <alignment horizontal="left" vertical="top"/>
    </xf>
    <xf numFmtId="0" fontId="61" fillId="16" borderId="0" xfId="6" applyFont="1" applyFill="1" applyAlignment="1">
      <alignment horizontal="left" vertical="top"/>
    </xf>
    <xf numFmtId="0" fontId="34" fillId="16" borderId="0" xfId="6" applyNumberFormat="1" applyFont="1" applyFill="1" applyAlignment="1">
      <alignment horizontal="left" vertical="top"/>
    </xf>
    <xf numFmtId="0" fontId="47" fillId="16" borderId="0" xfId="6" applyFont="1" applyFill="1" applyAlignment="1">
      <alignment horizontal="left" vertical="top"/>
    </xf>
    <xf numFmtId="0" fontId="34" fillId="16" borderId="0" xfId="6" applyNumberFormat="1" applyFont="1" applyFill="1" applyAlignment="1">
      <alignment horizontal="center" vertical="top"/>
    </xf>
    <xf numFmtId="0" fontId="46" fillId="16" borderId="0" xfId="6" applyFont="1" applyFill="1" applyAlignment="1">
      <alignment horizontal="left" vertical="top"/>
    </xf>
    <xf numFmtId="0" fontId="19" fillId="16" borderId="0" xfId="6" applyFont="1" applyFill="1" applyBorder="1" applyAlignment="1">
      <alignment vertical="top"/>
    </xf>
    <xf numFmtId="0" fontId="34" fillId="16" borderId="0" xfId="6" applyFont="1" applyFill="1" applyAlignment="1">
      <alignment vertical="top"/>
    </xf>
    <xf numFmtId="0" fontId="36" fillId="16" borderId="0" xfId="6" applyFont="1" applyFill="1" applyAlignment="1">
      <alignment horizontal="left" vertical="top" wrapText="1"/>
    </xf>
    <xf numFmtId="0" fontId="34" fillId="0" borderId="0" xfId="6" applyFont="1" applyAlignment="1">
      <alignment horizontal="left" vertical="top" wrapText="1"/>
    </xf>
    <xf numFmtId="0" fontId="34" fillId="0" borderId="0" xfId="6" applyFont="1" applyAlignment="1">
      <alignment horizontal="left" vertical="top"/>
    </xf>
    <xf numFmtId="0" fontId="109" fillId="14" borderId="0" xfId="6" applyFont="1" applyFill="1" applyAlignment="1">
      <alignment horizontal="left" vertical="top"/>
    </xf>
    <xf numFmtId="0" fontId="34" fillId="0" borderId="0" xfId="6" applyFont="1" applyAlignment="1">
      <alignment vertical="top" wrapText="1"/>
    </xf>
    <xf numFmtId="0" fontId="34" fillId="0" borderId="0" xfId="6" applyFont="1" applyAlignment="1">
      <alignment horizontal="left" vertical="top"/>
    </xf>
    <xf numFmtId="0" fontId="36" fillId="0" borderId="0" xfId="6" applyFont="1" applyAlignment="1">
      <alignment vertical="top" wrapText="1"/>
    </xf>
    <xf numFmtId="0" fontId="34" fillId="0" borderId="0" xfId="6" applyFont="1" applyAlignment="1">
      <alignment horizontal="left" vertical="top" wrapText="1"/>
    </xf>
    <xf numFmtId="0" fontId="46" fillId="0" borderId="0" xfId="6" applyFont="1" applyAlignment="1">
      <alignment vertical="top" wrapText="1"/>
    </xf>
    <xf numFmtId="0" fontId="0" fillId="0" borderId="0" xfId="0" applyAlignment="1"/>
    <xf numFmtId="0" fontId="0" fillId="0" borderId="0" xfId="0"/>
    <xf numFmtId="0" fontId="34" fillId="11" borderId="0" xfId="6" applyFont="1" applyFill="1" applyAlignment="1">
      <alignment horizontal="left" vertical="top"/>
    </xf>
    <xf numFmtId="0" fontId="34" fillId="11" borderId="0" xfId="6" applyFont="1" applyFill="1" applyBorder="1" applyAlignment="1">
      <alignment horizontal="left" vertical="top"/>
    </xf>
    <xf numFmtId="0" fontId="36" fillId="11" borderId="0" xfId="6" applyFont="1" applyFill="1" applyBorder="1" applyAlignment="1">
      <alignment horizontal="left" vertical="top"/>
    </xf>
    <xf numFmtId="0" fontId="137" fillId="0" borderId="0" xfId="1" applyFont="1" applyAlignment="1" applyProtection="1">
      <alignment wrapText="1"/>
    </xf>
    <xf numFmtId="0" fontId="145" fillId="0" borderId="0" xfId="6" applyFont="1" applyFill="1" applyBorder="1" applyAlignment="1">
      <alignment horizontal="left" vertical="top" indent="1"/>
    </xf>
    <xf numFmtId="0" fontId="37" fillId="0" borderId="13" xfId="6" applyFont="1" applyBorder="1" applyAlignment="1">
      <alignment horizontal="left" vertical="top"/>
    </xf>
    <xf numFmtId="0" fontId="61" fillId="11" borderId="0" xfId="6" applyFont="1" applyFill="1" applyAlignment="1">
      <alignment horizontal="left" vertical="top"/>
    </xf>
    <xf numFmtId="0" fontId="34" fillId="11" borderId="0" xfId="6" applyNumberFormat="1" applyFont="1" applyFill="1" applyAlignment="1">
      <alignment horizontal="left" vertical="top"/>
    </xf>
    <xf numFmtId="0" fontId="9" fillId="11" borderId="0" xfId="6" applyFont="1" applyFill="1" applyBorder="1" applyAlignment="1">
      <alignment horizontal="left" vertical="top"/>
    </xf>
    <xf numFmtId="0" fontId="36" fillId="11" borderId="0" xfId="6" applyNumberFormat="1" applyFont="1" applyFill="1" applyBorder="1" applyAlignment="1">
      <alignment horizontal="left" vertical="top"/>
    </xf>
    <xf numFmtId="0" fontId="36" fillId="11" borderId="0" xfId="6" applyNumberFormat="1" applyFont="1" applyFill="1" applyAlignment="1">
      <alignment horizontal="center" vertical="top"/>
    </xf>
    <xf numFmtId="0" fontId="72" fillId="0" borderId="0" xfId="0" applyFont="1" applyAlignment="1">
      <alignment horizontal="left" indent="1"/>
    </xf>
    <xf numFmtId="0" fontId="36" fillId="11" borderId="0" xfId="6" applyFont="1" applyFill="1" applyAlignment="1">
      <alignment horizontal="left" vertical="top"/>
    </xf>
    <xf numFmtId="0" fontId="37" fillId="11" borderId="0" xfId="6" applyFont="1" applyFill="1" applyAlignment="1">
      <alignment horizontal="center" vertical="top"/>
    </xf>
    <xf numFmtId="0" fontId="122" fillId="13" borderId="6" xfId="6" applyFont="1" applyFill="1" applyBorder="1" applyAlignment="1">
      <alignment vertical="top"/>
    </xf>
    <xf numFmtId="0" fontId="122" fillId="13" borderId="8" xfId="6" applyFont="1" applyFill="1" applyBorder="1" applyAlignment="1">
      <alignment vertical="top"/>
    </xf>
    <xf numFmtId="0" fontId="34" fillId="0" borderId="0" xfId="6" applyFont="1" applyAlignment="1">
      <alignment horizontal="right" vertical="top" wrapText="1"/>
    </xf>
    <xf numFmtId="0" fontId="0" fillId="0" borderId="0" xfId="0"/>
    <xf numFmtId="0" fontId="34" fillId="0" borderId="0" xfId="6" quotePrefix="1" applyFont="1" applyAlignment="1">
      <alignment vertical="top" wrapText="1"/>
    </xf>
    <xf numFmtId="0" fontId="34" fillId="31" borderId="0" xfId="6" applyFont="1" applyFill="1" applyBorder="1" applyAlignment="1">
      <alignment horizontal="left" vertical="top"/>
    </xf>
    <xf numFmtId="0" fontId="72" fillId="11" borderId="0" xfId="0" applyFont="1" applyFill="1" applyAlignment="1">
      <alignment horizontal="left"/>
    </xf>
    <xf numFmtId="0" fontId="34" fillId="11" borderId="15" xfId="6" applyNumberFormat="1" applyFont="1" applyFill="1" applyBorder="1" applyAlignment="1">
      <alignment horizontal="left" vertical="top"/>
    </xf>
    <xf numFmtId="0" fontId="34" fillId="11" borderId="0" xfId="6" applyNumberFormat="1" applyFont="1" applyFill="1" applyBorder="1" applyAlignment="1">
      <alignment horizontal="left" vertical="top"/>
    </xf>
    <xf numFmtId="0" fontId="18" fillId="11" borderId="0" xfId="6" applyNumberFormat="1" applyFont="1" applyFill="1" applyAlignment="1">
      <alignment horizontal="left" vertical="top"/>
    </xf>
    <xf numFmtId="0" fontId="34" fillId="11" borderId="0" xfId="6" applyNumberFormat="1" applyFont="1" applyFill="1" applyAlignment="1">
      <alignment horizontal="left" vertical="top" wrapText="1"/>
    </xf>
    <xf numFmtId="0" fontId="34" fillId="11" borderId="0" xfId="6" applyNumberFormat="1" applyFont="1" applyFill="1" applyAlignment="1">
      <alignment horizontal="center" vertical="top"/>
    </xf>
    <xf numFmtId="0" fontId="68" fillId="11" borderId="0" xfId="6" applyNumberFormat="1" applyFont="1" applyFill="1" applyAlignment="1">
      <alignment horizontal="center" vertical="top"/>
    </xf>
    <xf numFmtId="0" fontId="68" fillId="0" borderId="0" xfId="6" applyFont="1" applyFill="1" applyAlignment="1">
      <alignment horizontal="center" vertical="top"/>
    </xf>
    <xf numFmtId="0" fontId="177" fillId="0" borderId="0" xfId="6" applyFont="1" applyFill="1" applyAlignment="1">
      <alignment horizontal="center" vertical="top"/>
    </xf>
    <xf numFmtId="0" fontId="68" fillId="0" borderId="0" xfId="6" applyFont="1" applyFill="1" applyAlignment="1">
      <alignment horizontal="left" vertical="top" wrapText="1"/>
    </xf>
    <xf numFmtId="0" fontId="190" fillId="0" borderId="0" xfId="6" applyFont="1" applyFill="1" applyAlignment="1">
      <alignment horizontal="left" vertical="top"/>
    </xf>
    <xf numFmtId="0" fontId="34" fillId="0" borderId="0" xfId="6" applyFont="1" applyFill="1" applyBorder="1" applyAlignment="1">
      <alignment horizontal="left" vertical="top" indent="1"/>
    </xf>
    <xf numFmtId="0" fontId="19" fillId="11" borderId="0" xfId="6" applyFont="1" applyFill="1" applyBorder="1" applyAlignment="1">
      <alignment vertical="top"/>
    </xf>
    <xf numFmtId="0" fontId="37" fillId="11" borderId="0" xfId="6" applyNumberFormat="1" applyFont="1" applyFill="1" applyAlignment="1">
      <alignment horizontal="center" vertical="top"/>
    </xf>
    <xf numFmtId="0" fontId="36" fillId="11" borderId="0" xfId="6" applyNumberFormat="1" applyFont="1" applyFill="1" applyAlignment="1">
      <alignment horizontal="left" vertical="top"/>
    </xf>
    <xf numFmtId="0" fontId="34" fillId="11" borderId="0" xfId="6" applyFont="1" applyFill="1" applyAlignment="1">
      <alignment horizontal="left" vertical="top" indent="2"/>
    </xf>
    <xf numFmtId="0" fontId="34" fillId="11" borderId="0" xfId="6" applyFont="1" applyFill="1" applyAlignment="1">
      <alignment vertical="top" wrapText="1"/>
    </xf>
    <xf numFmtId="0" fontId="36" fillId="11" borderId="0" xfId="6" applyFont="1" applyFill="1" applyAlignment="1">
      <alignment vertical="top" wrapText="1"/>
    </xf>
    <xf numFmtId="0" fontId="36" fillId="11" borderId="0" xfId="6" applyFont="1" applyFill="1" applyAlignment="1">
      <alignment horizontal="left" vertical="top" wrapText="1"/>
    </xf>
    <xf numFmtId="0" fontId="121" fillId="11" borderId="11" xfId="6" applyFont="1" applyFill="1" applyBorder="1" applyAlignment="1">
      <alignment horizontal="left" vertical="top"/>
    </xf>
    <xf numFmtId="0" fontId="34" fillId="11" borderId="15" xfId="6" applyFont="1" applyFill="1" applyBorder="1" applyAlignment="1">
      <alignment horizontal="left" vertical="top"/>
    </xf>
    <xf numFmtId="0" fontId="33" fillId="11" borderId="0" xfId="6" applyFont="1" applyFill="1" applyAlignment="1">
      <alignment horizontal="left" vertical="top" wrapText="1"/>
    </xf>
    <xf numFmtId="0" fontId="46" fillId="11" borderId="0" xfId="6" applyFont="1" applyFill="1" applyAlignment="1">
      <alignment horizontal="left" vertical="top" wrapText="1"/>
    </xf>
    <xf numFmtId="0" fontId="177" fillId="11" borderId="0" xfId="6" applyFont="1" applyFill="1" applyAlignment="1">
      <alignment horizontal="center" vertical="top"/>
    </xf>
    <xf numFmtId="0" fontId="171" fillId="0" borderId="0" xfId="6" applyFont="1" applyAlignment="1">
      <alignment vertical="top" wrapText="1"/>
    </xf>
    <xf numFmtId="0" fontId="36" fillId="0" borderId="0" xfId="6" applyFont="1" applyFill="1" applyAlignment="1">
      <alignment vertical="top" wrapText="1"/>
    </xf>
    <xf numFmtId="0" fontId="36" fillId="0" borderId="0" xfId="6" applyFont="1" applyFill="1" applyAlignment="1">
      <alignment horizontal="left" vertical="top" wrapText="1"/>
    </xf>
    <xf numFmtId="0" fontId="49" fillId="0" borderId="11" xfId="6" applyFont="1" applyBorder="1" applyAlignment="1">
      <alignment horizontal="left" vertical="top"/>
    </xf>
    <xf numFmtId="0" fontId="49" fillId="0" borderId="15" xfId="6" applyFont="1" applyBorder="1" applyAlignment="1">
      <alignment horizontal="left" vertical="top"/>
    </xf>
    <xf numFmtId="9" fontId="49" fillId="0" borderId="0" xfId="3" applyFont="1" applyBorder="1" applyAlignment="1">
      <alignment horizontal="left" vertical="top"/>
    </xf>
    <xf numFmtId="0" fontId="47" fillId="0" borderId="0" xfId="6" quotePrefix="1" applyFont="1" applyBorder="1" applyAlignment="1">
      <alignment horizontal="left" vertical="top" wrapText="1"/>
    </xf>
    <xf numFmtId="9" fontId="58" fillId="0" borderId="0" xfId="6" applyNumberFormat="1" applyFont="1" applyFill="1" applyBorder="1" applyAlignment="1">
      <alignment horizontal="center" vertical="top"/>
    </xf>
    <xf numFmtId="9" fontId="46" fillId="0" borderId="0" xfId="6" applyNumberFormat="1" applyFont="1" applyBorder="1" applyAlignment="1">
      <alignment horizontal="center" vertical="top"/>
    </xf>
    <xf numFmtId="0" fontId="34" fillId="11" borderId="11" xfId="6" applyFont="1" applyFill="1" applyBorder="1" applyAlignment="1">
      <alignment horizontal="left" vertical="top"/>
    </xf>
    <xf numFmtId="0" fontId="34" fillId="11" borderId="0" xfId="6" applyFont="1" applyFill="1" applyAlignment="1">
      <alignment horizontal="left" vertical="top" wrapText="1"/>
    </xf>
    <xf numFmtId="0" fontId="34" fillId="11" borderId="0" xfId="6" applyFont="1" applyFill="1" applyAlignment="1">
      <alignment horizontal="center" vertical="top"/>
    </xf>
    <xf numFmtId="0" fontId="47" fillId="11" borderId="0" xfId="6" applyFont="1" applyFill="1" applyAlignment="1">
      <alignment horizontal="left" vertical="top"/>
    </xf>
    <xf numFmtId="9" fontId="177" fillId="0" borderId="0" xfId="6" applyNumberFormat="1" applyFont="1" applyFill="1" applyBorder="1" applyAlignment="1">
      <alignment horizontal="left" vertical="top"/>
    </xf>
    <xf numFmtId="0" fontId="68" fillId="11" borderId="0" xfId="6" applyFont="1" applyFill="1" applyAlignment="1">
      <alignment horizontal="left" vertical="top"/>
    </xf>
    <xf numFmtId="0" fontId="169" fillId="0" borderId="0" xfId="6" applyFont="1" applyFill="1" applyAlignment="1">
      <alignment horizontal="center" vertical="top"/>
    </xf>
    <xf numFmtId="167" fontId="169" fillId="0" borderId="0" xfId="6" applyNumberFormat="1" applyFont="1" applyFill="1" applyAlignment="1">
      <alignment horizontal="center" vertical="top"/>
    </xf>
    <xf numFmtId="167" fontId="169" fillId="0" borderId="0" xfId="6" applyNumberFormat="1" applyFont="1" applyFill="1" applyAlignment="1">
      <alignment horizontal="left" vertical="top"/>
    </xf>
    <xf numFmtId="0" fontId="36" fillId="0" borderId="0" xfId="6" applyFont="1" applyFill="1" applyAlignment="1">
      <alignment horizontal="center" vertical="top"/>
    </xf>
    <xf numFmtId="0" fontId="49" fillId="0" borderId="1" xfId="6" applyFont="1" applyBorder="1" applyAlignment="1">
      <alignment horizontal="left" vertical="top"/>
    </xf>
    <xf numFmtId="0" fontId="37" fillId="0" borderId="0" xfId="0" applyFont="1"/>
    <xf numFmtId="0" fontId="76" fillId="8" borderId="0" xfId="0" applyFont="1" applyFill="1" applyBorder="1" applyAlignment="1">
      <alignment horizontal="left" vertical="top"/>
    </xf>
    <xf numFmtId="0" fontId="0" fillId="11" borderId="0" xfId="0" applyFill="1"/>
    <xf numFmtId="0" fontId="0" fillId="11" borderId="0" xfId="0" applyFill="1" applyAlignment="1">
      <alignment horizontal="left"/>
    </xf>
    <xf numFmtId="0" fontId="36" fillId="11" borderId="0" xfId="0" applyFont="1" applyFill="1" applyBorder="1" applyAlignment="1">
      <alignment horizontal="left"/>
    </xf>
    <xf numFmtId="0" fontId="37" fillId="7" borderId="0" xfId="0" applyFont="1" applyFill="1" applyBorder="1"/>
    <xf numFmtId="0" fontId="0" fillId="0" borderId="0" xfId="0"/>
    <xf numFmtId="167" fontId="0" fillId="0" borderId="0" xfId="0" applyNumberFormat="1"/>
    <xf numFmtId="167" fontId="37" fillId="0" borderId="0" xfId="0" applyNumberFormat="1" applyFont="1"/>
    <xf numFmtId="176" fontId="0" fillId="0" borderId="0" xfId="0" applyNumberFormat="1"/>
    <xf numFmtId="176" fontId="0" fillId="0" borderId="0" xfId="0" applyNumberFormat="1" applyAlignment="1">
      <alignment horizontal="left"/>
    </xf>
    <xf numFmtId="176" fontId="0" fillId="0" borderId="0" xfId="0" applyNumberFormat="1" applyBorder="1" applyAlignment="1">
      <alignment horizontal="left"/>
    </xf>
    <xf numFmtId="0" fontId="34" fillId="0" borderId="0" xfId="6" applyFont="1" applyAlignment="1">
      <alignment horizontal="left" vertical="top"/>
    </xf>
    <xf numFmtId="0" fontId="34" fillId="0" borderId="0" xfId="6" applyFont="1" applyAlignment="1">
      <alignment horizontal="left" vertical="top" wrapText="1"/>
    </xf>
    <xf numFmtId="176" fontId="0" fillId="0" borderId="3" xfId="0" applyNumberFormat="1" applyBorder="1" applyAlignment="1">
      <alignment horizontal="left"/>
    </xf>
    <xf numFmtId="176" fontId="37" fillId="0" borderId="0" xfId="0" applyNumberFormat="1" applyFont="1"/>
    <xf numFmtId="1" fontId="46" fillId="0" borderId="0" xfId="0" applyNumberFormat="1" applyFont="1" applyBorder="1" applyAlignment="1">
      <alignment horizontal="left"/>
    </xf>
    <xf numFmtId="0" fontId="0" fillId="0" borderId="0" xfId="0" applyBorder="1" applyAlignment="1">
      <alignment horizontal="left"/>
    </xf>
    <xf numFmtId="0" fontId="37" fillId="31" borderId="0" xfId="0" applyFont="1" applyFill="1" applyBorder="1"/>
    <xf numFmtId="0" fontId="37" fillId="24" borderId="0" xfId="0" applyFont="1" applyFill="1" applyBorder="1"/>
    <xf numFmtId="0" fontId="149" fillId="0" borderId="0" xfId="0" applyFont="1" applyBorder="1" applyAlignment="1">
      <alignment horizontal="left"/>
    </xf>
    <xf numFmtId="0" fontId="36" fillId="11" borderId="0" xfId="0" applyFont="1" applyFill="1" applyAlignment="1">
      <alignment horizontal="left"/>
    </xf>
    <xf numFmtId="0" fontId="36" fillId="11" borderId="0" xfId="0" applyFont="1" applyFill="1"/>
    <xf numFmtId="0" fontId="37" fillId="0" borderId="0" xfId="0" applyFont="1" applyFill="1" applyBorder="1"/>
    <xf numFmtId="0" fontId="6" fillId="0" borderId="0" xfId="0" applyFont="1"/>
    <xf numFmtId="0" fontId="6" fillId="0" borderId="0" xfId="0" applyFont="1" applyAlignment="1">
      <alignment horizontal="left"/>
    </xf>
    <xf numFmtId="0" fontId="48" fillId="0" borderId="0" xfId="0" applyFont="1" applyFill="1" applyBorder="1"/>
    <xf numFmtId="1" fontId="6" fillId="0" borderId="0" xfId="0" applyNumberFormat="1" applyFont="1" applyAlignment="1">
      <alignment horizontal="left"/>
    </xf>
    <xf numFmtId="0" fontId="6" fillId="0" borderId="0" xfId="0" applyFont="1" applyBorder="1" applyAlignment="1">
      <alignment horizontal="left"/>
    </xf>
    <xf numFmtId="2" fontId="36" fillId="0" borderId="0" xfId="0" applyNumberFormat="1" applyFont="1"/>
    <xf numFmtId="167" fontId="6" fillId="0" borderId="0" xfId="0" applyNumberFormat="1" applyFont="1"/>
    <xf numFmtId="167" fontId="6" fillId="0" borderId="3" xfId="0" applyNumberFormat="1" applyFont="1" applyBorder="1" applyAlignment="1">
      <alignment horizontal="left"/>
    </xf>
    <xf numFmtId="1" fontId="6" fillId="0" borderId="11" xfId="0" applyNumberFormat="1" applyFont="1" applyBorder="1" applyAlignment="1">
      <alignment horizontal="left"/>
    </xf>
    <xf numFmtId="0" fontId="0" fillId="11" borderId="0" xfId="0" applyFill="1" applyBorder="1" applyAlignment="1">
      <alignment horizontal="left"/>
    </xf>
    <xf numFmtId="0" fontId="46" fillId="0" borderId="0" xfId="0" applyFont="1" applyBorder="1"/>
    <xf numFmtId="0" fontId="0" fillId="31" borderId="0" xfId="0" applyFill="1" applyBorder="1" applyAlignment="1">
      <alignment horizontal="left"/>
    </xf>
    <xf numFmtId="0" fontId="0" fillId="31" borderId="0" xfId="0" applyFill="1" applyBorder="1"/>
    <xf numFmtId="0" fontId="37" fillId="31" borderId="0" xfId="0" applyFont="1" applyFill="1" applyBorder="1" applyAlignment="1">
      <alignment horizontal="left"/>
    </xf>
    <xf numFmtId="0" fontId="6" fillId="0" borderId="0" xfId="0" applyFont="1" applyBorder="1"/>
    <xf numFmtId="0" fontId="0" fillId="7" borderId="0" xfId="0" applyFill="1" applyBorder="1" applyAlignment="1">
      <alignment horizontal="left"/>
    </xf>
    <xf numFmtId="0" fontId="37" fillId="7" borderId="0" xfId="0" applyFont="1" applyFill="1" applyBorder="1" applyAlignment="1">
      <alignment horizontal="left"/>
    </xf>
    <xf numFmtId="0" fontId="48" fillId="0" borderId="0" xfId="0" applyFont="1" applyBorder="1"/>
    <xf numFmtId="0" fontId="0" fillId="24" borderId="0" xfId="0" applyFill="1" applyBorder="1"/>
    <xf numFmtId="0" fontId="37" fillId="24" borderId="0" xfId="0" applyFont="1" applyFill="1" applyBorder="1" applyAlignment="1">
      <alignment horizontal="left"/>
    </xf>
    <xf numFmtId="2" fontId="36" fillId="0" borderId="3" xfId="0" applyNumberFormat="1" applyFont="1" applyBorder="1" applyAlignment="1">
      <alignment horizontal="left"/>
    </xf>
    <xf numFmtId="1" fontId="36" fillId="0" borderId="3" xfId="0" applyNumberFormat="1" applyFont="1" applyBorder="1" applyAlignment="1">
      <alignment horizontal="left"/>
    </xf>
    <xf numFmtId="1" fontId="6" fillId="0" borderId="3" xfId="0" applyNumberFormat="1" applyFont="1" applyBorder="1" applyAlignment="1">
      <alignment horizontal="left"/>
    </xf>
    <xf numFmtId="0" fontId="36" fillId="11" borderId="0" xfId="0" applyFont="1" applyFill="1" applyBorder="1"/>
    <xf numFmtId="0" fontId="46" fillId="7" borderId="0" xfId="0" applyFont="1" applyFill="1" applyBorder="1" applyAlignment="1">
      <alignment horizontal="left"/>
    </xf>
    <xf numFmtId="0" fontId="46" fillId="31" borderId="0" xfId="0" applyFont="1" applyFill="1" applyBorder="1" applyAlignment="1">
      <alignment horizontal="left"/>
    </xf>
    <xf numFmtId="1" fontId="46" fillId="0" borderId="3" xfId="0" applyNumberFormat="1" applyFont="1" applyBorder="1" applyAlignment="1">
      <alignment horizontal="left"/>
    </xf>
    <xf numFmtId="0" fontId="177" fillId="8" borderId="0" xfId="0" applyFont="1" applyFill="1" applyBorder="1" applyAlignment="1">
      <alignment horizontal="left" vertical="top"/>
    </xf>
    <xf numFmtId="0" fontId="68" fillId="0" borderId="0" xfId="0" applyFont="1" applyBorder="1"/>
    <xf numFmtId="0" fontId="177" fillId="0" borderId="0" xfId="0" applyFont="1" applyBorder="1"/>
    <xf numFmtId="0" fontId="177" fillId="0" borderId="0" xfId="0" applyFont="1"/>
    <xf numFmtId="0" fontId="68" fillId="0" borderId="0" xfId="0" applyFont="1"/>
    <xf numFmtId="0" fontId="68" fillId="11" borderId="0" xfId="0" applyFont="1" applyFill="1"/>
    <xf numFmtId="2" fontId="36" fillId="11" borderId="0" xfId="0" applyNumberFormat="1" applyFont="1" applyFill="1"/>
    <xf numFmtId="0" fontId="46" fillId="11" borderId="0" xfId="0" applyFont="1" applyFill="1" applyAlignment="1">
      <alignment horizontal="left"/>
    </xf>
    <xf numFmtId="1" fontId="36" fillId="11" borderId="0" xfId="0" applyNumberFormat="1" applyFont="1" applyFill="1" applyAlignment="1">
      <alignment horizontal="left"/>
    </xf>
    <xf numFmtId="0" fontId="6" fillId="11" borderId="0" xfId="0" applyFont="1" applyFill="1"/>
    <xf numFmtId="1" fontId="6" fillId="11" borderId="0" xfId="0" applyNumberFormat="1" applyFont="1" applyFill="1" applyAlignment="1">
      <alignment horizontal="left"/>
    </xf>
    <xf numFmtId="1" fontId="46" fillId="11" borderId="0" xfId="0" applyNumberFormat="1" applyFont="1" applyFill="1" applyAlignment="1">
      <alignment horizontal="left"/>
    </xf>
    <xf numFmtId="176" fontId="0" fillId="11" borderId="0" xfId="0" applyNumberFormat="1" applyFill="1" applyAlignment="1">
      <alignment horizontal="left"/>
    </xf>
    <xf numFmtId="167" fontId="6" fillId="11" borderId="0" xfId="0" applyNumberFormat="1" applyFont="1" applyFill="1"/>
    <xf numFmtId="0" fontId="46" fillId="11" borderId="0" xfId="0" applyFont="1" applyFill="1"/>
    <xf numFmtId="167" fontId="0" fillId="11" borderId="0" xfId="0" applyNumberFormat="1" applyFill="1" applyAlignment="1">
      <alignment horizontal="left"/>
    </xf>
    <xf numFmtId="167" fontId="0" fillId="11" borderId="0" xfId="0" applyNumberFormat="1" applyFill="1"/>
    <xf numFmtId="0" fontId="6" fillId="11" borderId="0" xfId="0" applyFont="1" applyFill="1" applyAlignment="1">
      <alignment horizontal="left"/>
    </xf>
    <xf numFmtId="167" fontId="37" fillId="0" borderId="0" xfId="0" applyNumberFormat="1" applyFont="1" applyAlignment="1">
      <alignment horizontal="left"/>
    </xf>
    <xf numFmtId="167" fontId="37" fillId="11" borderId="0" xfId="0" applyNumberFormat="1" applyFont="1" applyFill="1" applyAlignment="1">
      <alignment horizontal="left"/>
    </xf>
    <xf numFmtId="176" fontId="46" fillId="0" borderId="0" xfId="0" applyNumberFormat="1" applyFont="1" applyAlignment="1">
      <alignment horizontal="left"/>
    </xf>
    <xf numFmtId="167" fontId="46" fillId="0" borderId="0" xfId="0" applyNumberFormat="1" applyFont="1"/>
    <xf numFmtId="167" fontId="149" fillId="0" borderId="0" xfId="0" applyNumberFormat="1" applyFont="1" applyAlignment="1">
      <alignment horizontal="left"/>
    </xf>
    <xf numFmtId="14" fontId="46" fillId="0" borderId="0" xfId="0" applyNumberFormat="1" applyFont="1" applyAlignment="1">
      <alignment horizontal="left"/>
    </xf>
    <xf numFmtId="0" fontId="46" fillId="0" borderId="0" xfId="0" applyFont="1" applyFill="1"/>
    <xf numFmtId="2" fontId="46" fillId="0" borderId="3" xfId="0" applyNumberFormat="1" applyFont="1" applyBorder="1" applyAlignment="1">
      <alignment horizontal="left"/>
    </xf>
    <xf numFmtId="176" fontId="46" fillId="0" borderId="0" xfId="0" applyNumberFormat="1" applyFont="1" applyBorder="1" applyAlignment="1">
      <alignment horizontal="left"/>
    </xf>
    <xf numFmtId="176" fontId="149" fillId="0" borderId="0" xfId="0" applyNumberFormat="1" applyFont="1"/>
    <xf numFmtId="2" fontId="46" fillId="0" borderId="0" xfId="0" applyNumberFormat="1" applyFont="1" applyAlignment="1">
      <alignment horizontal="left"/>
    </xf>
    <xf numFmtId="167" fontId="149" fillId="0" borderId="0" xfId="0" applyNumberFormat="1" applyFont="1"/>
    <xf numFmtId="167" fontId="46" fillId="0" borderId="3" xfId="0" applyNumberFormat="1" applyFont="1" applyBorder="1" applyAlignment="1">
      <alignment horizontal="left"/>
    </xf>
    <xf numFmtId="1" fontId="78" fillId="0" borderId="3" xfId="0" applyNumberFormat="1" applyFont="1" applyBorder="1" applyAlignment="1">
      <alignment horizontal="left"/>
    </xf>
    <xf numFmtId="0" fontId="0" fillId="0" borderId="0" xfId="0" applyFont="1"/>
    <xf numFmtId="1" fontId="61" fillId="0" borderId="3" xfId="0" applyNumberFormat="1" applyFont="1" applyBorder="1" applyAlignment="1">
      <alignment horizontal="left"/>
    </xf>
    <xf numFmtId="1" fontId="40" fillId="0" borderId="3" xfId="0" applyNumberFormat="1" applyFont="1" applyBorder="1" applyAlignment="1">
      <alignment horizontal="left"/>
    </xf>
    <xf numFmtId="167" fontId="68" fillId="0" borderId="0" xfId="0" applyNumberFormat="1" applyFont="1"/>
    <xf numFmtId="176" fontId="37" fillId="31" borderId="0" xfId="0" applyNumberFormat="1" applyFont="1" applyFill="1"/>
    <xf numFmtId="176" fontId="37" fillId="7" borderId="0" xfId="0" applyNumberFormat="1" applyFont="1" applyFill="1"/>
    <xf numFmtId="14" fontId="0" fillId="11" borderId="0" xfId="0" applyNumberFormat="1" applyFill="1" applyAlignment="1">
      <alignment horizontal="left"/>
    </xf>
    <xf numFmtId="167" fontId="37" fillId="31" borderId="0" xfId="0" applyNumberFormat="1" applyFont="1" applyFill="1"/>
    <xf numFmtId="167" fontId="37" fillId="24" borderId="0" xfId="0" applyNumberFormat="1" applyFont="1" applyFill="1" applyAlignment="1">
      <alignment horizontal="left"/>
    </xf>
    <xf numFmtId="176" fontId="46" fillId="0" borderId="3" xfId="0" applyNumberFormat="1" applyFont="1" applyBorder="1" applyAlignment="1">
      <alignment horizontal="left"/>
    </xf>
    <xf numFmtId="0" fontId="171" fillId="0" borderId="0" xfId="0" applyFont="1" applyAlignment="1">
      <alignment horizontal="left" vertical="top"/>
    </xf>
    <xf numFmtId="0" fontId="34" fillId="0" borderId="0" xfId="6" applyFont="1" applyAlignment="1">
      <alignment horizontal="left" vertical="top"/>
    </xf>
    <xf numFmtId="0" fontId="36" fillId="0" borderId="0" xfId="0" applyFont="1" applyBorder="1" applyAlignment="1">
      <alignment horizontal="left" vertical="top"/>
    </xf>
    <xf numFmtId="0" fontId="36" fillId="0" borderId="0" xfId="0" applyFont="1" applyAlignment="1">
      <alignment horizontal="left" vertical="top"/>
    </xf>
    <xf numFmtId="0" fontId="153" fillId="0" borderId="0" xfId="0" applyFont="1" applyBorder="1" applyAlignment="1">
      <alignment horizontal="left" vertical="top"/>
    </xf>
    <xf numFmtId="0" fontId="0" fillId="0" borderId="0" xfId="0"/>
    <xf numFmtId="0" fontId="109" fillId="0" borderId="0" xfId="6" applyFont="1" applyAlignment="1">
      <alignment horizontal="left" vertical="top"/>
    </xf>
    <xf numFmtId="0" fontId="109" fillId="0" borderId="0" xfId="6" applyFont="1" applyAlignment="1">
      <alignment horizontal="left" vertical="top" wrapText="1"/>
    </xf>
    <xf numFmtId="0" fontId="110" fillId="0" borderId="0" xfId="6" applyFont="1" applyAlignment="1">
      <alignment horizontal="left" vertical="top"/>
    </xf>
    <xf numFmtId="0" fontId="5" fillId="0" borderId="0" xfId="6" applyFont="1" applyAlignment="1">
      <alignment horizontal="left" vertical="top"/>
    </xf>
    <xf numFmtId="0" fontId="68" fillId="0" borderId="0" xfId="6" applyFont="1" applyFill="1" applyAlignment="1">
      <alignment horizontal="left" vertical="top"/>
    </xf>
    <xf numFmtId="0" fontId="33" fillId="0" borderId="0" xfId="6" applyFont="1" applyAlignment="1">
      <alignment vertical="top" wrapText="1"/>
    </xf>
    <xf numFmtId="176" fontId="36" fillId="0" borderId="0" xfId="0" applyNumberFormat="1" applyFont="1" applyFill="1" applyAlignment="1">
      <alignment horizontal="left"/>
    </xf>
    <xf numFmtId="0" fontId="46" fillId="0" borderId="35" xfId="0" applyFont="1" applyBorder="1" applyAlignment="1">
      <alignment horizontal="left" vertical="top" indent="1"/>
    </xf>
    <xf numFmtId="2" fontId="37" fillId="24" borderId="0" xfId="0" applyNumberFormat="1" applyFont="1" applyFill="1" applyAlignment="1">
      <alignment horizontal="left"/>
    </xf>
    <xf numFmtId="0" fontId="145" fillId="0" borderId="0" xfId="0" applyFont="1" applyAlignment="1">
      <alignment vertical="top" wrapText="1"/>
    </xf>
    <xf numFmtId="9" fontId="36" fillId="0" borderId="0" xfId="0" applyNumberFormat="1" applyFont="1" applyAlignment="1">
      <alignment horizontal="left"/>
    </xf>
    <xf numFmtId="2" fontId="36" fillId="0" borderId="0" xfId="0" applyNumberFormat="1" applyFont="1" applyAlignment="1">
      <alignment horizontal="left"/>
    </xf>
    <xf numFmtId="1" fontId="36" fillId="0" borderId="0" xfId="3" applyNumberFormat="1" applyFont="1" applyAlignment="1">
      <alignment horizontal="left"/>
    </xf>
    <xf numFmtId="9" fontId="36" fillId="0" borderId="0" xfId="3" applyFont="1" applyFill="1" applyBorder="1" applyAlignment="1">
      <alignment horizontal="left"/>
    </xf>
    <xf numFmtId="9" fontId="36" fillId="0" borderId="0" xfId="3" applyNumberFormat="1" applyFont="1" applyAlignment="1">
      <alignment horizontal="left"/>
    </xf>
    <xf numFmtId="0" fontId="36" fillId="14" borderId="0" xfId="6" applyFont="1" applyFill="1" applyAlignment="1">
      <alignment horizontal="left" vertical="top"/>
    </xf>
    <xf numFmtId="0" fontId="109" fillId="14" borderId="0" xfId="0" applyFont="1" applyFill="1" applyAlignment="1">
      <alignment horizontal="left"/>
    </xf>
    <xf numFmtId="9" fontId="36" fillId="14" borderId="0" xfId="0" applyNumberFormat="1" applyFont="1" applyFill="1" applyAlignment="1">
      <alignment horizontal="left"/>
    </xf>
    <xf numFmtId="14" fontId="36" fillId="14" borderId="0" xfId="0" applyNumberFormat="1" applyFont="1" applyFill="1" applyAlignment="1">
      <alignment horizontal="left"/>
    </xf>
    <xf numFmtId="0" fontId="46" fillId="0" borderId="0" xfId="0" applyFont="1" applyFill="1" applyAlignment="1">
      <alignment horizontal="left"/>
    </xf>
    <xf numFmtId="0" fontId="109" fillId="0" borderId="0" xfId="0" applyFont="1" applyAlignment="1">
      <alignment horizontal="left"/>
    </xf>
    <xf numFmtId="0" fontId="0" fillId="11" borderId="14" xfId="0" applyFill="1" applyBorder="1" applyAlignment="1">
      <alignment horizontal="left"/>
    </xf>
    <xf numFmtId="0" fontId="78" fillId="11" borderId="0" xfId="0" applyFont="1" applyFill="1" applyBorder="1" applyAlignment="1">
      <alignment horizontal="left"/>
    </xf>
    <xf numFmtId="0" fontId="78" fillId="11" borderId="0" xfId="0" applyFont="1" applyFill="1" applyAlignment="1">
      <alignment horizontal="left"/>
    </xf>
    <xf numFmtId="0" fontId="0" fillId="11" borderId="0" xfId="0" applyFill="1" applyBorder="1"/>
    <xf numFmtId="0" fontId="40" fillId="11" borderId="0" xfId="6" applyFont="1" applyFill="1" applyBorder="1" applyAlignment="1">
      <alignment horizontal="left" vertical="top"/>
    </xf>
    <xf numFmtId="9" fontId="36" fillId="11" borderId="0" xfId="0" applyNumberFormat="1" applyFont="1" applyFill="1" applyBorder="1" applyAlignment="1">
      <alignment horizontal="left" vertical="top"/>
    </xf>
    <xf numFmtId="0" fontId="0" fillId="11" borderId="0" xfId="0" applyFill="1" applyAlignment="1">
      <alignment horizontal="left" vertical="top"/>
    </xf>
    <xf numFmtId="0" fontId="36" fillId="0" borderId="132" xfId="0" applyFont="1" applyBorder="1"/>
    <xf numFmtId="0" fontId="0" fillId="0" borderId="133" xfId="0" applyBorder="1"/>
    <xf numFmtId="0" fontId="36" fillId="0" borderId="134" xfId="0" quotePrefix="1" applyFont="1" applyBorder="1" applyAlignment="1">
      <alignment horizontal="left" indent="1"/>
    </xf>
    <xf numFmtId="0" fontId="0" fillId="0" borderId="135" xfId="0" applyBorder="1"/>
    <xf numFmtId="0" fontId="36" fillId="0" borderId="134" xfId="0" applyFont="1" applyBorder="1"/>
    <xf numFmtId="0" fontId="0" fillId="0" borderId="135" xfId="0" applyFill="1" applyBorder="1"/>
    <xf numFmtId="0" fontId="36" fillId="0" borderId="138" xfId="0" applyFont="1" applyBorder="1"/>
    <xf numFmtId="0" fontId="0" fillId="0" borderId="139" xfId="0" applyFill="1" applyBorder="1"/>
    <xf numFmtId="0" fontId="40" fillId="0" borderId="140" xfId="0" applyFont="1" applyBorder="1"/>
    <xf numFmtId="0" fontId="0" fillId="0" borderId="141" xfId="0" applyFill="1" applyBorder="1"/>
    <xf numFmtId="0" fontId="36" fillId="0" borderId="134" xfId="0" applyFont="1" applyBorder="1" applyAlignment="1">
      <alignment horizontal="left"/>
    </xf>
    <xf numFmtId="0" fontId="36" fillId="0" borderId="134" xfId="0" applyFont="1" applyBorder="1" applyAlignment="1">
      <alignment horizontal="right"/>
    </xf>
    <xf numFmtId="0" fontId="36" fillId="0" borderId="134" xfId="0" applyFont="1" applyFill="1" applyBorder="1"/>
    <xf numFmtId="0" fontId="36" fillId="0" borderId="134" xfId="0" quotePrefix="1" applyFont="1" applyFill="1" applyBorder="1" applyAlignment="1">
      <alignment horizontal="right"/>
    </xf>
    <xf numFmtId="0" fontId="0" fillId="0" borderId="138" xfId="0" applyFill="1" applyBorder="1"/>
    <xf numFmtId="0" fontId="0" fillId="0" borderId="139" xfId="0" applyBorder="1"/>
    <xf numFmtId="0" fontId="36" fillId="0" borderId="140" xfId="0" applyFont="1" applyBorder="1" applyAlignment="1">
      <alignment horizontal="right"/>
    </xf>
    <xf numFmtId="0" fontId="0" fillId="0" borderId="141" xfId="0" applyBorder="1"/>
    <xf numFmtId="0" fontId="0" fillId="0" borderId="134" xfId="0" applyFill="1" applyBorder="1"/>
    <xf numFmtId="0" fontId="36" fillId="0" borderId="142" xfId="0" applyFont="1" applyBorder="1"/>
    <xf numFmtId="0" fontId="36" fillId="0" borderId="143" xfId="0" applyFont="1" applyBorder="1"/>
    <xf numFmtId="0" fontId="36" fillId="3" borderId="0" xfId="1" applyFont="1" applyFill="1" applyAlignment="1" applyProtection="1"/>
    <xf numFmtId="0" fontId="37" fillId="13" borderId="3" xfId="6" applyFont="1" applyFill="1" applyBorder="1" applyAlignment="1">
      <alignment horizontal="center" vertical="top"/>
    </xf>
    <xf numFmtId="0" fontId="75" fillId="13" borderId="3" xfId="6" applyFont="1" applyFill="1" applyBorder="1" applyAlignment="1">
      <alignment horizontal="center" vertical="top"/>
    </xf>
    <xf numFmtId="1" fontId="36" fillId="0" borderId="0" xfId="0" applyNumberFormat="1" applyFont="1" applyFill="1" applyBorder="1" applyAlignment="1">
      <alignment horizontal="left" vertical="top" indent="2"/>
    </xf>
    <xf numFmtId="164" fontId="36" fillId="0" borderId="0" xfId="0" applyNumberFormat="1" applyFont="1" applyAlignment="1">
      <alignment horizontal="left" vertical="top"/>
    </xf>
    <xf numFmtId="0" fontId="153" fillId="0" borderId="0" xfId="0" applyFont="1" applyAlignment="1">
      <alignment vertical="top"/>
    </xf>
    <xf numFmtId="0" fontId="194" fillId="0" borderId="0" xfId="0" applyFont="1" applyAlignment="1">
      <alignment horizontal="left" vertical="top"/>
    </xf>
    <xf numFmtId="0" fontId="46" fillId="0" borderId="38" xfId="0" applyFont="1" applyBorder="1" applyAlignment="1">
      <alignment horizontal="left" vertical="top"/>
    </xf>
    <xf numFmtId="167" fontId="76" fillId="18" borderId="3" xfId="0" applyNumberFormat="1" applyFont="1" applyFill="1" applyBorder="1" applyAlignment="1">
      <alignment horizontal="left" vertical="top"/>
    </xf>
    <xf numFmtId="9" fontId="36" fillId="0" borderId="44" xfId="3" applyNumberFormat="1" applyFont="1" applyFill="1" applyBorder="1" applyAlignment="1">
      <alignment horizontal="left" vertical="top"/>
    </xf>
    <xf numFmtId="9" fontId="36" fillId="0" borderId="45" xfId="3" applyNumberFormat="1" applyFont="1" applyFill="1" applyBorder="1" applyAlignment="1">
      <alignment horizontal="left" vertical="top"/>
    </xf>
    <xf numFmtId="9" fontId="36" fillId="0" borderId="58" xfId="3" applyNumberFormat="1" applyFont="1" applyFill="1" applyBorder="1" applyAlignment="1">
      <alignment horizontal="left" vertical="top"/>
    </xf>
    <xf numFmtId="9" fontId="36" fillId="0" borderId="59" xfId="3" applyNumberFormat="1" applyFont="1" applyFill="1" applyBorder="1" applyAlignment="1">
      <alignment horizontal="left" vertical="top"/>
    </xf>
    <xf numFmtId="9" fontId="36" fillId="9" borderId="59" xfId="3" applyNumberFormat="1" applyFont="1" applyFill="1" applyBorder="1" applyAlignment="1">
      <alignment horizontal="left" vertical="top"/>
    </xf>
    <xf numFmtId="9" fontId="36" fillId="0" borderId="46" xfId="3" applyNumberFormat="1" applyFont="1" applyFill="1" applyBorder="1" applyAlignment="1">
      <alignment horizontal="left" vertical="top"/>
    </xf>
    <xf numFmtId="9" fontId="47" fillId="0" borderId="51" xfId="3" applyNumberFormat="1" applyFont="1" applyFill="1" applyBorder="1" applyAlignment="1">
      <alignment horizontal="left" vertical="top"/>
    </xf>
    <xf numFmtId="9" fontId="47" fillId="0" borderId="14" xfId="3" applyNumberFormat="1" applyFont="1" applyFill="1" applyBorder="1" applyAlignment="1">
      <alignment horizontal="left" vertical="top"/>
    </xf>
    <xf numFmtId="9" fontId="47" fillId="0" borderId="9" xfId="3" applyNumberFormat="1" applyFont="1" applyFill="1" applyBorder="1" applyAlignment="1">
      <alignment horizontal="left" vertical="top"/>
    </xf>
    <xf numFmtId="9" fontId="47" fillId="0" borderId="13" xfId="3" applyNumberFormat="1" applyFont="1" applyFill="1" applyBorder="1" applyAlignment="1">
      <alignment horizontal="left" vertical="top"/>
    </xf>
    <xf numFmtId="9" fontId="47" fillId="0" borderId="52" xfId="3" applyNumberFormat="1" applyFont="1" applyFill="1" applyBorder="1" applyAlignment="1">
      <alignment horizontal="left" vertical="top"/>
    </xf>
    <xf numFmtId="2" fontId="37" fillId="31" borderId="0" xfId="0" applyNumberFormat="1" applyFont="1" applyFill="1"/>
    <xf numFmtId="0" fontId="36" fillId="0" borderId="0" xfId="0" applyFont="1" applyFill="1" applyAlignment="1">
      <alignment horizontal="right"/>
    </xf>
    <xf numFmtId="0" fontId="36" fillId="0" borderId="0" xfId="6" applyFont="1" applyFill="1" applyAlignment="1">
      <alignment horizontal="left" vertical="top"/>
    </xf>
    <xf numFmtId="0" fontId="78" fillId="0" borderId="0" xfId="6" applyFont="1" applyFill="1" applyAlignment="1">
      <alignment horizontal="left" vertical="top"/>
    </xf>
    <xf numFmtId="0" fontId="37" fillId="14" borderId="0" xfId="6" applyFont="1" applyFill="1" applyBorder="1" applyAlignment="1">
      <alignment horizontal="left" vertical="top"/>
    </xf>
    <xf numFmtId="0" fontId="37" fillId="14" borderId="0" xfId="6" applyFont="1" applyFill="1" applyBorder="1" applyAlignment="1">
      <alignment horizontal="center" vertical="top"/>
    </xf>
    <xf numFmtId="173" fontId="37" fillId="14" borderId="0" xfId="0" applyNumberFormat="1" applyFont="1" applyFill="1" applyAlignment="1">
      <alignment horizontal="left"/>
    </xf>
    <xf numFmtId="0" fontId="36" fillId="14" borderId="0" xfId="15" applyNumberFormat="1" applyFont="1" applyFill="1" applyAlignment="1">
      <alignment vertical="top"/>
    </xf>
    <xf numFmtId="0" fontId="36" fillId="14" borderId="0" xfId="15" applyNumberFormat="1" applyFont="1" applyFill="1" applyAlignment="1">
      <alignment horizontal="left" vertical="top"/>
    </xf>
    <xf numFmtId="0" fontId="36" fillId="14" borderId="0" xfId="15" applyNumberFormat="1" applyFont="1" applyFill="1" applyAlignment="1">
      <alignment horizontal="left" vertical="top" wrapText="1"/>
    </xf>
    <xf numFmtId="0" fontId="36" fillId="14" borderId="0" xfId="15" applyNumberFormat="1" applyFont="1" applyFill="1" applyBorder="1" applyAlignment="1">
      <alignment horizontal="left" vertical="top" wrapText="1"/>
    </xf>
    <xf numFmtId="0" fontId="36" fillId="14" borderId="0" xfId="16" applyNumberFormat="1" applyFont="1" applyFill="1" applyAlignment="1" applyProtection="1">
      <alignment vertical="top"/>
    </xf>
    <xf numFmtId="0" fontId="37" fillId="14" borderId="15" xfId="6" applyFont="1" applyFill="1" applyBorder="1" applyAlignment="1">
      <alignment horizontal="center" vertical="top"/>
    </xf>
    <xf numFmtId="0" fontId="36" fillId="14" borderId="0" xfId="6" applyFont="1" applyFill="1" applyAlignment="1">
      <alignment vertical="top"/>
    </xf>
    <xf numFmtId="9" fontId="37" fillId="0" borderId="0" xfId="6" applyNumberFormat="1" applyFont="1" applyFill="1" applyBorder="1" applyAlignment="1">
      <alignment horizontal="left" vertical="top"/>
    </xf>
    <xf numFmtId="0" fontId="46" fillId="0" borderId="0" xfId="0" quotePrefix="1" applyFont="1" applyBorder="1" applyAlignment="1">
      <alignment horizontal="left" vertical="top" indent="2"/>
    </xf>
    <xf numFmtId="0" fontId="0" fillId="7" borderId="0" xfId="0" applyFill="1" applyBorder="1"/>
    <xf numFmtId="0" fontId="36" fillId="11" borderId="0" xfId="0" applyFont="1" applyFill="1" applyAlignment="1">
      <alignment horizontal="center" vertical="top"/>
    </xf>
    <xf numFmtId="1" fontId="36" fillId="11" borderId="0" xfId="0" applyNumberFormat="1" applyFont="1" applyFill="1" applyBorder="1" applyAlignment="1">
      <alignment horizontal="left" vertical="top"/>
    </xf>
    <xf numFmtId="0" fontId="36" fillId="11" borderId="0" xfId="0" applyFont="1" applyFill="1" applyBorder="1" applyAlignment="1">
      <alignment vertical="top"/>
    </xf>
    <xf numFmtId="0" fontId="36" fillId="11" borderId="0" xfId="0" applyFont="1" applyFill="1" applyBorder="1" applyAlignment="1">
      <alignment horizontal="left" vertical="top" wrapText="1"/>
    </xf>
    <xf numFmtId="1" fontId="36" fillId="11" borderId="0" xfId="0" applyNumberFormat="1" applyFont="1" applyFill="1" applyAlignment="1">
      <alignment horizontal="left" vertical="top"/>
    </xf>
    <xf numFmtId="0" fontId="109" fillId="0" borderId="0" xfId="0" applyFont="1" applyFill="1" applyBorder="1" applyAlignment="1">
      <alignment horizontal="left" vertical="top"/>
    </xf>
    <xf numFmtId="2" fontId="37" fillId="7" borderId="0" xfId="0" applyNumberFormat="1" applyFont="1" applyFill="1" applyAlignment="1">
      <alignment horizontal="left"/>
    </xf>
    <xf numFmtId="0" fontId="109" fillId="11" borderId="0" xfId="0" applyFont="1" applyFill="1" applyBorder="1" applyAlignment="1">
      <alignment horizontal="left" vertical="top"/>
    </xf>
    <xf numFmtId="0" fontId="36" fillId="0" borderId="11" xfId="0" applyFont="1" applyBorder="1" applyAlignment="1">
      <alignment horizontal="left" vertical="top" indent="1"/>
    </xf>
    <xf numFmtId="0" fontId="36" fillId="0" borderId="0" xfId="0" applyFont="1" applyFill="1" applyBorder="1" applyAlignment="1">
      <alignment horizontal="left" vertical="top" indent="1"/>
    </xf>
    <xf numFmtId="173" fontId="36" fillId="0" borderId="0" xfId="0" applyNumberFormat="1" applyFont="1" applyFill="1" applyBorder="1" applyAlignment="1">
      <alignment horizontal="right"/>
    </xf>
    <xf numFmtId="14" fontId="42" fillId="0" borderId="0" xfId="13" applyNumberFormat="1" applyFont="1" applyFill="1" applyBorder="1" applyAlignment="1">
      <alignment horizontal="right"/>
    </xf>
    <xf numFmtId="173" fontId="36" fillId="0" borderId="0" xfId="0" applyNumberFormat="1" applyFont="1" applyFill="1" applyBorder="1" applyAlignment="1"/>
    <xf numFmtId="2" fontId="36" fillId="0" borderId="60" xfId="3" applyNumberFormat="1" applyFont="1" applyFill="1" applyBorder="1" applyAlignment="1">
      <alignment horizontal="left" vertical="top"/>
    </xf>
    <xf numFmtId="2" fontId="36" fillId="0" borderId="61" xfId="3" applyNumberFormat="1" applyFont="1" applyFill="1" applyBorder="1" applyAlignment="1">
      <alignment horizontal="left" vertical="top"/>
    </xf>
    <xf numFmtId="2" fontId="36" fillId="0" borderId="62" xfId="3" applyNumberFormat="1" applyFont="1" applyFill="1" applyBorder="1" applyAlignment="1">
      <alignment horizontal="left" vertical="top"/>
    </xf>
    <xf numFmtId="2" fontId="36" fillId="0" borderId="63" xfId="3" applyNumberFormat="1" applyFont="1" applyFill="1" applyBorder="1" applyAlignment="1">
      <alignment horizontal="left" vertical="top"/>
    </xf>
    <xf numFmtId="2" fontId="36" fillId="9" borderId="63" xfId="3" applyNumberFormat="1" applyFont="1" applyFill="1" applyBorder="1" applyAlignment="1">
      <alignment horizontal="left" vertical="top"/>
    </xf>
    <xf numFmtId="2" fontId="36" fillId="0" borderId="64" xfId="3" applyNumberFormat="1" applyFont="1" applyFill="1" applyBorder="1" applyAlignment="1">
      <alignment horizontal="left" vertical="top"/>
    </xf>
    <xf numFmtId="0" fontId="137" fillId="14" borderId="0" xfId="0" quotePrefix="1" applyFont="1" applyFill="1" applyBorder="1" applyAlignment="1">
      <alignment vertical="top"/>
    </xf>
    <xf numFmtId="0" fontId="36" fillId="14" borderId="0" xfId="0" quotePrefix="1" applyFont="1" applyFill="1" applyBorder="1" applyAlignment="1">
      <alignment vertical="top"/>
    </xf>
    <xf numFmtId="0" fontId="36" fillId="25" borderId="0" xfId="0" applyFont="1" applyFill="1" applyAlignment="1">
      <alignment horizontal="left" vertical="top"/>
    </xf>
    <xf numFmtId="0" fontId="36" fillId="11" borderId="0" xfId="0" applyNumberFormat="1" applyFont="1" applyFill="1" applyBorder="1" applyAlignment="1">
      <alignment horizontal="left" vertical="top"/>
    </xf>
    <xf numFmtId="0" fontId="37" fillId="11" borderId="0" xfId="0" applyFont="1" applyFill="1" applyAlignment="1">
      <alignment horizontal="left" vertical="top"/>
    </xf>
    <xf numFmtId="0" fontId="36" fillId="11" borderId="0" xfId="0" quotePrefix="1" applyFont="1" applyFill="1" applyAlignment="1">
      <alignment horizontal="left" vertical="top" wrapText="1" indent="1"/>
    </xf>
    <xf numFmtId="0" fontId="37" fillId="11" borderId="0" xfId="0" applyNumberFormat="1" applyFont="1" applyFill="1" applyBorder="1" applyAlignment="1">
      <alignment horizontal="left" vertical="top"/>
    </xf>
    <xf numFmtId="167" fontId="36" fillId="11" borderId="0" xfId="0" applyNumberFormat="1" applyFont="1" applyFill="1" applyBorder="1" applyAlignment="1">
      <alignment horizontal="left" vertical="top"/>
    </xf>
    <xf numFmtId="0" fontId="36" fillId="11" borderId="0" xfId="0" applyFont="1" applyFill="1" applyAlignment="1">
      <alignment horizontal="left" vertical="top" wrapText="1"/>
    </xf>
    <xf numFmtId="0" fontId="80" fillId="14" borderId="0" xfId="0" applyFont="1" applyFill="1" applyAlignment="1">
      <alignment horizontal="left" vertical="top"/>
    </xf>
    <xf numFmtId="0" fontId="137" fillId="14" borderId="0" xfId="0" quotePrefix="1" applyFont="1" applyFill="1" applyBorder="1" applyAlignment="1">
      <alignment vertical="top" wrapText="1"/>
    </xf>
    <xf numFmtId="0" fontId="137" fillId="14" borderId="0" xfId="0" quotePrefix="1" applyFont="1" applyFill="1" applyBorder="1" applyAlignment="1">
      <alignment horizontal="left" vertical="top" wrapText="1" indent="1"/>
    </xf>
    <xf numFmtId="0" fontId="0" fillId="11" borderId="0" xfId="0" applyFont="1" applyFill="1" applyBorder="1" applyAlignment="1">
      <alignment vertical="top"/>
    </xf>
    <xf numFmtId="0" fontId="46" fillId="11" borderId="0" xfId="0" applyFont="1" applyFill="1" applyBorder="1" applyAlignment="1">
      <alignment horizontal="left" vertical="top"/>
    </xf>
    <xf numFmtId="0" fontId="46" fillId="11" borderId="0" xfId="0" applyFont="1" applyFill="1" applyAlignment="1">
      <alignment horizontal="left" vertical="top"/>
    </xf>
    <xf numFmtId="0" fontId="145" fillId="11" borderId="0" xfId="0" applyFont="1" applyFill="1" applyBorder="1" applyAlignment="1">
      <alignment vertical="top"/>
    </xf>
    <xf numFmtId="2" fontId="49" fillId="0" borderId="0" xfId="0" applyNumberFormat="1" applyFont="1" applyBorder="1" applyAlignment="1">
      <alignment horizontal="left" vertical="top"/>
    </xf>
    <xf numFmtId="1" fontId="68" fillId="11" borderId="0" xfId="3" applyNumberFormat="1" applyFont="1" applyFill="1" applyBorder="1" applyAlignment="1">
      <alignment horizontal="left" vertical="top"/>
    </xf>
    <xf numFmtId="1" fontId="68" fillId="11" borderId="0" xfId="0" applyNumberFormat="1" applyFont="1" applyFill="1" applyBorder="1" applyAlignment="1">
      <alignment horizontal="left" vertical="top"/>
    </xf>
    <xf numFmtId="0" fontId="36" fillId="11" borderId="0" xfId="0" applyFont="1" applyFill="1" applyBorder="1" applyAlignment="1">
      <alignment horizontal="center" vertical="top"/>
    </xf>
    <xf numFmtId="0" fontId="153" fillId="11" borderId="0" xfId="0" applyFont="1" applyFill="1" applyAlignment="1">
      <alignment horizontal="left" vertical="top"/>
    </xf>
    <xf numFmtId="1" fontId="36" fillId="7" borderId="0" xfId="0" applyNumberFormat="1" applyFont="1" applyFill="1" applyBorder="1" applyAlignment="1">
      <alignment horizontal="left" vertical="top"/>
    </xf>
    <xf numFmtId="0" fontId="145" fillId="11" borderId="0" xfId="0" applyFont="1" applyFill="1" applyBorder="1" applyAlignment="1">
      <alignment horizontal="left" vertical="top"/>
    </xf>
    <xf numFmtId="9" fontId="46" fillId="11" borderId="0" xfId="3" applyNumberFormat="1" applyFont="1" applyFill="1" applyBorder="1" applyAlignment="1">
      <alignment horizontal="left" vertical="top"/>
    </xf>
    <xf numFmtId="0" fontId="36" fillId="11" borderId="0" xfId="0" applyFont="1" applyFill="1" applyBorder="1" applyAlignment="1">
      <alignment horizontal="right"/>
    </xf>
    <xf numFmtId="0" fontId="47" fillId="11" borderId="0" xfId="0" applyFont="1" applyFill="1" applyAlignment="1">
      <alignment vertical="top"/>
    </xf>
    <xf numFmtId="0" fontId="145" fillId="11" borderId="0" xfId="0" applyFont="1" applyFill="1" applyBorder="1" applyAlignment="1">
      <alignment vertical="top" wrapText="1"/>
    </xf>
    <xf numFmtId="0" fontId="36" fillId="14" borderId="0" xfId="6" applyFont="1" applyFill="1" applyBorder="1" applyAlignment="1">
      <alignment vertical="top"/>
    </xf>
    <xf numFmtId="0" fontId="36" fillId="0" borderId="0" xfId="6" applyFont="1" applyFill="1" applyBorder="1" applyAlignment="1">
      <alignment vertical="top"/>
    </xf>
    <xf numFmtId="0" fontId="36" fillId="11" borderId="0" xfId="6" applyFont="1" applyFill="1" applyAlignment="1">
      <alignment horizontal="left" vertical="top" indent="2"/>
    </xf>
    <xf numFmtId="0" fontId="36" fillId="16" borderId="0" xfId="6" applyFont="1" applyFill="1" applyAlignment="1">
      <alignment vertical="top" wrapText="1"/>
    </xf>
    <xf numFmtId="0" fontId="0" fillId="0" borderId="0" xfId="0"/>
    <xf numFmtId="0" fontId="0" fillId="0" borderId="3" xfId="0" applyBorder="1" applyAlignment="1">
      <alignment horizontal="left"/>
    </xf>
    <xf numFmtId="0" fontId="6" fillId="0" borderId="3" xfId="0" applyFont="1" applyBorder="1" applyAlignment="1">
      <alignment horizontal="left"/>
    </xf>
    <xf numFmtId="0" fontId="36" fillId="0" borderId="3" xfId="0" applyFont="1" applyBorder="1"/>
    <xf numFmtId="0" fontId="6" fillId="0" borderId="3" xfId="0" applyFont="1" applyBorder="1"/>
    <xf numFmtId="167" fontId="36" fillId="0" borderId="0" xfId="0" applyNumberFormat="1" applyFont="1"/>
    <xf numFmtId="167" fontId="36" fillId="0" borderId="3" xfId="0" applyNumberFormat="1" applyFont="1" applyBorder="1" applyAlignment="1">
      <alignment horizontal="left"/>
    </xf>
    <xf numFmtId="167" fontId="36" fillId="0" borderId="0" xfId="0" applyNumberFormat="1" applyFont="1" applyBorder="1" applyAlignment="1">
      <alignment horizontal="left"/>
    </xf>
    <xf numFmtId="167" fontId="36" fillId="0" borderId="0" xfId="0" applyNumberFormat="1" applyFont="1" applyBorder="1"/>
    <xf numFmtId="167" fontId="36" fillId="11" borderId="0" xfId="0" applyNumberFormat="1" applyFont="1" applyFill="1" applyBorder="1"/>
    <xf numFmtId="167" fontId="46" fillId="0" borderId="0" xfId="0" applyNumberFormat="1" applyFont="1" applyFill="1" applyBorder="1"/>
    <xf numFmtId="167" fontId="46" fillId="0" borderId="0" xfId="0" applyNumberFormat="1" applyFont="1" applyBorder="1" applyAlignment="1">
      <alignment horizontal="left"/>
    </xf>
    <xf numFmtId="1" fontId="36" fillId="0" borderId="15" xfId="0" applyNumberFormat="1" applyFont="1" applyBorder="1" applyAlignment="1">
      <alignment horizontal="left"/>
    </xf>
    <xf numFmtId="0" fontId="0" fillId="0" borderId="0" xfId="0"/>
    <xf numFmtId="0" fontId="44" fillId="0" borderId="0" xfId="0" applyFont="1" applyAlignment="1">
      <alignment horizontal="left"/>
    </xf>
    <xf numFmtId="167" fontId="0" fillId="0" borderId="0" xfId="0" applyNumberFormat="1" applyFill="1" applyAlignment="1">
      <alignment horizontal="left"/>
    </xf>
    <xf numFmtId="0" fontId="46" fillId="0" borderId="15" xfId="0" applyFont="1" applyBorder="1" applyAlignment="1">
      <alignment horizontal="left"/>
    </xf>
    <xf numFmtId="1" fontId="0" fillId="0" borderId="0" xfId="0" applyNumberFormat="1" applyFill="1" applyAlignment="1">
      <alignment horizontal="left"/>
    </xf>
    <xf numFmtId="9" fontId="0" fillId="0" borderId="3" xfId="0" applyNumberFormat="1" applyBorder="1" applyAlignment="1">
      <alignment horizontal="left"/>
    </xf>
    <xf numFmtId="167" fontId="47" fillId="0" borderId="0" xfId="0" applyNumberFormat="1" applyFont="1" applyFill="1" applyAlignment="1">
      <alignment horizontal="left"/>
    </xf>
    <xf numFmtId="9" fontId="47" fillId="0" borderId="0" xfId="3" applyFont="1" applyFill="1" applyAlignment="1">
      <alignment horizontal="left"/>
    </xf>
    <xf numFmtId="0" fontId="0" fillId="0" borderId="0" xfId="0" applyAlignment="1">
      <alignment horizontal="right"/>
    </xf>
    <xf numFmtId="0" fontId="37" fillId="0" borderId="0" xfId="0" applyFont="1" applyAlignment="1">
      <alignment horizontal="right"/>
    </xf>
    <xf numFmtId="0" fontId="37" fillId="0" borderId="14" xfId="0" applyFont="1" applyBorder="1" applyAlignment="1">
      <alignment horizontal="right"/>
    </xf>
    <xf numFmtId="9" fontId="0" fillId="0" borderId="0" xfId="3" applyFont="1" applyAlignment="1">
      <alignment horizontal="right"/>
    </xf>
    <xf numFmtId="9" fontId="0" fillId="14" borderId="0" xfId="3" applyFont="1" applyFill="1" applyAlignment="1">
      <alignment horizontal="right"/>
    </xf>
    <xf numFmtId="9" fontId="78" fillId="0" borderId="0" xfId="3" applyFont="1" applyAlignment="1">
      <alignment horizontal="right"/>
    </xf>
    <xf numFmtId="9" fontId="36" fillId="0" borderId="0" xfId="3" applyFont="1" applyAlignment="1">
      <alignment horizontal="right"/>
    </xf>
    <xf numFmtId="0" fontId="36" fillId="14" borderId="0" xfId="0" applyFont="1" applyFill="1" applyAlignment="1">
      <alignment horizontal="right"/>
    </xf>
    <xf numFmtId="0" fontId="0" fillId="0" borderId="0" xfId="0" applyFill="1" applyAlignment="1">
      <alignment horizontal="right"/>
    </xf>
    <xf numFmtId="0" fontId="0" fillId="16" borderId="0" xfId="0" applyFill="1" applyBorder="1" applyAlignment="1">
      <alignment horizontal="right"/>
    </xf>
    <xf numFmtId="0" fontId="0" fillId="16" borderId="0" xfId="0" applyFill="1" applyAlignment="1">
      <alignment horizontal="right"/>
    </xf>
    <xf numFmtId="0" fontId="68" fillId="0" borderId="0" xfId="0" applyFont="1" applyAlignment="1">
      <alignment horizontal="right"/>
    </xf>
    <xf numFmtId="0" fontId="36" fillId="0" borderId="3" xfId="0" applyFont="1" applyBorder="1" applyAlignment="1">
      <alignment horizontal="right"/>
    </xf>
    <xf numFmtId="0" fontId="36" fillId="0" borderId="0" xfId="0" applyFont="1" applyFill="1" applyAlignment="1">
      <alignment wrapText="1"/>
    </xf>
    <xf numFmtId="167" fontId="36" fillId="0" borderId="1" xfId="0" applyNumberFormat="1" applyFont="1" applyBorder="1" applyAlignment="1">
      <alignment horizontal="left"/>
    </xf>
    <xf numFmtId="167" fontId="0" fillId="0" borderId="0" xfId="0" applyNumberFormat="1" applyBorder="1" applyAlignment="1">
      <alignment horizontal="left"/>
    </xf>
    <xf numFmtId="0" fontId="40" fillId="0" borderId="0" xfId="0" applyFont="1" applyBorder="1" applyAlignment="1">
      <alignment horizontal="left"/>
    </xf>
    <xf numFmtId="2" fontId="37" fillId="7" borderId="0" xfId="0" applyNumberFormat="1" applyFont="1" applyFill="1"/>
    <xf numFmtId="176" fontId="36" fillId="11" borderId="0" xfId="0" applyNumberFormat="1" applyFont="1" applyFill="1" applyAlignment="1">
      <alignment horizontal="left"/>
    </xf>
    <xf numFmtId="167" fontId="36" fillId="11" borderId="0" xfId="0" applyNumberFormat="1" applyFont="1" applyFill="1"/>
    <xf numFmtId="167" fontId="36" fillId="11" borderId="0" xfId="0" applyNumberFormat="1" applyFont="1" applyFill="1" applyAlignment="1">
      <alignment horizontal="left"/>
    </xf>
    <xf numFmtId="0" fontId="47" fillId="11" borderId="0" xfId="0" applyFont="1" applyFill="1" applyBorder="1" applyAlignment="1">
      <alignment horizontal="left" vertical="top"/>
    </xf>
    <xf numFmtId="0" fontId="78" fillId="0" borderId="0" xfId="0" applyFont="1" applyFill="1" applyAlignment="1">
      <alignment horizontal="left" vertical="top"/>
    </xf>
    <xf numFmtId="167" fontId="78" fillId="0" borderId="0" xfId="0" applyNumberFormat="1" applyFont="1" applyFill="1" applyAlignment="1">
      <alignment horizontal="left" vertical="top"/>
    </xf>
    <xf numFmtId="0" fontId="78" fillId="11" borderId="0" xfId="0" applyFont="1" applyFill="1" applyAlignment="1">
      <alignment horizontal="left" vertical="top"/>
    </xf>
    <xf numFmtId="0" fontId="78" fillId="11" borderId="0" xfId="0" applyFont="1" applyFill="1" applyBorder="1" applyAlignment="1">
      <alignment horizontal="left" vertical="top"/>
    </xf>
    <xf numFmtId="0" fontId="0" fillId="0" borderId="0" xfId="0"/>
    <xf numFmtId="0" fontId="46" fillId="11" borderId="0" xfId="0" applyFont="1" applyFill="1" applyBorder="1" applyAlignment="1">
      <alignment horizontal="left"/>
    </xf>
    <xf numFmtId="9" fontId="37" fillId="0" borderId="0" xfId="0" applyNumberFormat="1" applyFont="1" applyAlignment="1">
      <alignment horizontal="left"/>
    </xf>
    <xf numFmtId="1" fontId="36" fillId="11" borderId="0" xfId="0" applyNumberFormat="1" applyFont="1" applyFill="1" applyBorder="1" applyAlignment="1">
      <alignment horizontal="left"/>
    </xf>
    <xf numFmtId="167" fontId="0" fillId="11" borderId="0" xfId="0" applyNumberFormat="1" applyFill="1" applyBorder="1" applyAlignment="1">
      <alignment horizontal="left"/>
    </xf>
    <xf numFmtId="167" fontId="37" fillId="11" borderId="0" xfId="0" applyNumberFormat="1" applyFont="1" applyFill="1" applyBorder="1"/>
    <xf numFmtId="2" fontId="0" fillId="11" borderId="0" xfId="0" applyNumberFormat="1" applyFill="1" applyBorder="1" applyAlignment="1">
      <alignment horizontal="left"/>
    </xf>
    <xf numFmtId="176" fontId="36" fillId="11" borderId="0" xfId="0" applyNumberFormat="1" applyFont="1" applyFill="1" applyBorder="1" applyAlignment="1">
      <alignment horizontal="left"/>
    </xf>
    <xf numFmtId="2" fontId="37" fillId="11" borderId="0" xfId="0" applyNumberFormat="1" applyFont="1" applyFill="1" applyBorder="1"/>
    <xf numFmtId="0" fontId="46" fillId="11" borderId="0" xfId="0" applyFont="1" applyFill="1" applyBorder="1"/>
    <xf numFmtId="1" fontId="46" fillId="11" borderId="0" xfId="0" applyNumberFormat="1" applyFont="1" applyFill="1" applyBorder="1" applyAlignment="1">
      <alignment horizontal="left"/>
    </xf>
    <xf numFmtId="2" fontId="46" fillId="11" borderId="0" xfId="0" applyNumberFormat="1" applyFont="1" applyFill="1" applyBorder="1" applyAlignment="1">
      <alignment horizontal="left"/>
    </xf>
    <xf numFmtId="167" fontId="149" fillId="11" borderId="0" xfId="0" applyNumberFormat="1" applyFont="1" applyFill="1" applyBorder="1"/>
    <xf numFmtId="0" fontId="0" fillId="0" borderId="0" xfId="0"/>
    <xf numFmtId="0" fontId="46" fillId="0" borderId="0" xfId="0" applyFont="1" applyFill="1" applyBorder="1"/>
    <xf numFmtId="1" fontId="36" fillId="0" borderId="5" xfId="0" applyNumberFormat="1" applyFont="1" applyBorder="1" applyAlignment="1">
      <alignment horizontal="left"/>
    </xf>
    <xf numFmtId="0" fontId="0" fillId="0" borderId="0" xfId="0"/>
    <xf numFmtId="0" fontId="50" fillId="0" borderId="0" xfId="0" applyNumberFormat="1" applyFont="1" applyBorder="1" applyAlignment="1">
      <alignment horizontal="left" vertical="top"/>
    </xf>
    <xf numFmtId="167" fontId="44" fillId="13" borderId="6" xfId="0" applyNumberFormat="1" applyFont="1" applyFill="1" applyBorder="1" applyAlignment="1">
      <alignment horizontal="left" vertical="top"/>
    </xf>
    <xf numFmtId="0" fontId="0" fillId="0" borderId="0" xfId="0"/>
    <xf numFmtId="2" fontId="36" fillId="14" borderId="0" xfId="0" applyNumberFormat="1" applyFont="1" applyFill="1" applyAlignment="1">
      <alignment horizontal="left"/>
    </xf>
    <xf numFmtId="3" fontId="36" fillId="0" borderId="0" xfId="0" applyNumberFormat="1" applyFont="1" applyFill="1" applyAlignment="1">
      <alignment horizontal="left"/>
    </xf>
    <xf numFmtId="0" fontId="0" fillId="0" borderId="0" xfId="0"/>
    <xf numFmtId="0" fontId="109" fillId="0" borderId="0" xfId="0" applyFont="1" applyAlignment="1">
      <alignment horizontal="left" vertical="top"/>
    </xf>
    <xf numFmtId="0" fontId="36" fillId="0" borderId="0" xfId="0" applyFont="1" applyAlignment="1">
      <alignment horizontal="left" vertical="top"/>
    </xf>
    <xf numFmtId="0" fontId="153" fillId="0" borderId="0" xfId="0" applyFont="1" applyAlignment="1">
      <alignment horizontal="left" vertical="top"/>
    </xf>
    <xf numFmtId="0" fontId="36" fillId="0" borderId="0" xfId="0" applyFont="1" applyBorder="1" applyAlignment="1">
      <alignment vertical="top" wrapText="1"/>
    </xf>
    <xf numFmtId="0" fontId="36" fillId="0" borderId="0" xfId="0" applyFont="1" applyBorder="1" applyAlignment="1">
      <alignment horizontal="left" vertical="top"/>
    </xf>
    <xf numFmtId="2" fontId="78" fillId="0" borderId="0" xfId="0" applyNumberFormat="1" applyFont="1" applyFill="1" applyAlignment="1">
      <alignment horizontal="left" vertical="top"/>
    </xf>
    <xf numFmtId="9" fontId="36" fillId="0" borderId="3" xfId="0" applyNumberFormat="1" applyFont="1" applyBorder="1" applyAlignment="1">
      <alignment horizontal="left" vertical="top"/>
    </xf>
    <xf numFmtId="0" fontId="37" fillId="0" borderId="5" xfId="0" applyFont="1" applyFill="1" applyBorder="1"/>
    <xf numFmtId="0" fontId="36" fillId="0" borderId="154" xfId="0" applyFont="1" applyFill="1" applyBorder="1" applyAlignment="1">
      <alignment horizontal="left"/>
    </xf>
    <xf numFmtId="0" fontId="0" fillId="0" borderId="0" xfId="0"/>
    <xf numFmtId="0" fontId="34" fillId="0" borderId="0" xfId="6" applyFont="1" applyAlignment="1">
      <alignment horizontal="left" vertical="top"/>
    </xf>
    <xf numFmtId="0" fontId="0" fillId="0" borderId="0" xfId="0"/>
    <xf numFmtId="0" fontId="77" fillId="11" borderId="0" xfId="6" applyFont="1" applyFill="1" applyBorder="1" applyAlignment="1">
      <alignment horizontal="center" vertical="top"/>
    </xf>
    <xf numFmtId="173" fontId="36" fillId="11" borderId="0" xfId="0" applyNumberFormat="1" applyFont="1" applyFill="1"/>
    <xf numFmtId="173" fontId="36" fillId="29" borderId="0" xfId="0" applyNumberFormat="1" applyFont="1" applyFill="1"/>
    <xf numFmtId="173" fontId="0" fillId="29" borderId="0" xfId="0" applyNumberFormat="1" applyFill="1"/>
    <xf numFmtId="0" fontId="0" fillId="29" borderId="0" xfId="0" applyFill="1"/>
    <xf numFmtId="0" fontId="0" fillId="0" borderId="0" xfId="0"/>
    <xf numFmtId="10" fontId="0" fillId="11" borderId="0" xfId="0" applyNumberFormat="1" applyFill="1"/>
    <xf numFmtId="10" fontId="0" fillId="11" borderId="0" xfId="3" applyNumberFormat="1" applyFont="1" applyFill="1"/>
    <xf numFmtId="10" fontId="0" fillId="0" borderId="0" xfId="0" applyNumberFormat="1" applyFill="1"/>
    <xf numFmtId="10" fontId="0" fillId="0" borderId="0" xfId="3" applyNumberFormat="1" applyFont="1" applyFill="1"/>
    <xf numFmtId="0" fontId="77" fillId="11" borderId="0" xfId="0" applyFont="1" applyFill="1" applyAlignment="1">
      <alignment horizontal="right"/>
    </xf>
    <xf numFmtId="9" fontId="36" fillId="11" borderId="0" xfId="3" applyNumberFormat="1" applyFont="1" applyFill="1" applyBorder="1" applyAlignment="1">
      <alignment horizontal="left" vertical="top"/>
    </xf>
    <xf numFmtId="0" fontId="64" fillId="11" borderId="0" xfId="0" applyFont="1" applyFill="1" applyBorder="1" applyAlignment="1">
      <alignment horizontal="left" vertical="top"/>
    </xf>
    <xf numFmtId="2" fontId="36" fillId="11" borderId="0" xfId="3" applyNumberFormat="1" applyFont="1" applyFill="1" applyBorder="1" applyAlignment="1">
      <alignment horizontal="left" vertical="top"/>
    </xf>
    <xf numFmtId="2" fontId="36" fillId="16" borderId="0" xfId="3" applyNumberFormat="1" applyFont="1" applyFill="1" applyBorder="1" applyAlignment="1">
      <alignment horizontal="left" vertical="top"/>
    </xf>
    <xf numFmtId="0" fontId="25" fillId="0" borderId="0" xfId="0" applyFont="1" applyFill="1" applyBorder="1"/>
    <xf numFmtId="0" fontId="47" fillId="11" borderId="0" xfId="0" applyFont="1" applyFill="1"/>
    <xf numFmtId="167" fontId="0" fillId="0" borderId="154" xfId="0" applyNumberFormat="1" applyBorder="1" applyAlignment="1">
      <alignment horizontal="left"/>
    </xf>
    <xf numFmtId="0" fontId="0" fillId="0" borderId="0" xfId="0"/>
    <xf numFmtId="0" fontId="36" fillId="0" borderId="0" xfId="0" applyFont="1"/>
    <xf numFmtId="0" fontId="194" fillId="0" borderId="0" xfId="0" applyFont="1"/>
    <xf numFmtId="0" fontId="46" fillId="0" borderId="14" xfId="0" applyFont="1" applyBorder="1" applyAlignment="1">
      <alignment horizontal="left" vertical="top"/>
    </xf>
    <xf numFmtId="0" fontId="46" fillId="0" borderId="130" xfId="0" applyFont="1" applyBorder="1" applyAlignment="1">
      <alignment horizontal="left" vertical="top"/>
    </xf>
    <xf numFmtId="9" fontId="46" fillId="0" borderId="130" xfId="0" applyNumberFormat="1" applyFont="1" applyBorder="1" applyAlignment="1">
      <alignment horizontal="left" vertical="top"/>
    </xf>
    <xf numFmtId="9" fontId="46" fillId="0" borderId="130" xfId="3" applyFont="1" applyBorder="1" applyAlignment="1">
      <alignment horizontal="left" vertical="top"/>
    </xf>
    <xf numFmtId="9" fontId="46" fillId="0" borderId="33" xfId="0" applyNumberFormat="1" applyFont="1" applyBorder="1" applyAlignment="1">
      <alignment horizontal="left" vertical="top"/>
    </xf>
    <xf numFmtId="9" fontId="46" fillId="0" borderId="33" xfId="3" applyFont="1" applyBorder="1" applyAlignment="1">
      <alignment horizontal="left" vertical="top"/>
    </xf>
    <xf numFmtId="0" fontId="46" fillId="0" borderId="93" xfId="0" applyFont="1" applyBorder="1" applyAlignment="1">
      <alignment horizontal="left" vertical="top"/>
    </xf>
    <xf numFmtId="9" fontId="46" fillId="0" borderId="93" xfId="0" applyNumberFormat="1" applyFont="1" applyBorder="1" applyAlignment="1">
      <alignment horizontal="left" vertical="top"/>
    </xf>
    <xf numFmtId="9" fontId="46" fillId="0" borderId="93" xfId="3" applyFont="1" applyBorder="1" applyAlignment="1">
      <alignment horizontal="left" vertical="top"/>
    </xf>
    <xf numFmtId="0" fontId="46" fillId="0" borderId="5" xfId="0" applyFont="1" applyBorder="1" applyAlignment="1">
      <alignment horizontal="right" vertical="top"/>
    </xf>
    <xf numFmtId="9" fontId="46" fillId="14" borderId="5" xfId="0" applyNumberFormat="1" applyFont="1" applyFill="1" applyBorder="1" applyAlignment="1">
      <alignment horizontal="left" vertical="top"/>
    </xf>
    <xf numFmtId="0" fontId="46" fillId="0" borderId="5" xfId="0" applyFont="1" applyBorder="1" applyAlignment="1">
      <alignment horizontal="left" vertical="top"/>
    </xf>
    <xf numFmtId="0" fontId="46" fillId="0" borderId="93" xfId="0" applyFont="1" applyBorder="1" applyAlignment="1">
      <alignment horizontal="right" vertical="top"/>
    </xf>
    <xf numFmtId="0" fontId="80" fillId="0" borderId="0" xfId="0" applyFont="1" applyFill="1"/>
    <xf numFmtId="9" fontId="37" fillId="0" borderId="14" xfId="0" applyNumberFormat="1" applyFont="1" applyFill="1" applyBorder="1" applyAlignment="1">
      <alignment horizontal="left"/>
    </xf>
    <xf numFmtId="9" fontId="36" fillId="0" borderId="14" xfId="0" applyNumberFormat="1" applyFont="1" applyFill="1" applyBorder="1" applyAlignment="1">
      <alignment horizontal="left"/>
    </xf>
    <xf numFmtId="0" fontId="0" fillId="6" borderId="0" xfId="0" applyFill="1" applyBorder="1"/>
    <xf numFmtId="0" fontId="37" fillId="3" borderId="0" xfId="0" applyFont="1" applyFill="1"/>
    <xf numFmtId="0" fontId="171" fillId="0" borderId="0" xfId="0" applyFont="1"/>
    <xf numFmtId="0" fontId="0" fillId="3" borderId="0" xfId="0" applyFill="1"/>
    <xf numFmtId="0" fontId="37" fillId="0" borderId="155" xfId="0" applyFont="1" applyFill="1" applyBorder="1"/>
    <xf numFmtId="10" fontId="37" fillId="14" borderId="155" xfId="3" applyNumberFormat="1" applyFont="1" applyFill="1" applyBorder="1" applyAlignment="1">
      <alignment horizontal="left"/>
    </xf>
    <xf numFmtId="10" fontId="36" fillId="0" borderId="155" xfId="3" applyNumberFormat="1" applyFont="1" applyFill="1" applyBorder="1" applyAlignment="1">
      <alignment horizontal="left"/>
    </xf>
    <xf numFmtId="0" fontId="37" fillId="0" borderId="143" xfId="0" applyFont="1" applyFill="1" applyBorder="1"/>
    <xf numFmtId="0" fontId="36" fillId="0" borderId="143" xfId="0" applyFont="1" applyFill="1" applyBorder="1"/>
    <xf numFmtId="9" fontId="37" fillId="14" borderId="143" xfId="0" applyNumberFormat="1" applyFont="1" applyFill="1" applyBorder="1" applyAlignment="1">
      <alignment horizontal="left"/>
    </xf>
    <xf numFmtId="9" fontId="0" fillId="0" borderId="143" xfId="0" applyNumberFormat="1" applyFill="1" applyBorder="1" applyAlignment="1">
      <alignment horizontal="left"/>
    </xf>
    <xf numFmtId="0" fontId="37" fillId="14" borderId="156" xfId="0" applyFont="1" applyFill="1" applyBorder="1"/>
    <xf numFmtId="0" fontId="0" fillId="0" borderId="156" xfId="0" applyFill="1" applyBorder="1"/>
    <xf numFmtId="0" fontId="37" fillId="0" borderId="143" xfId="0" applyFont="1" applyBorder="1"/>
    <xf numFmtId="167" fontId="37" fillId="14" borderId="143" xfId="0" applyNumberFormat="1" applyFont="1" applyFill="1" applyBorder="1" applyAlignment="1">
      <alignment horizontal="left"/>
    </xf>
    <xf numFmtId="167" fontId="0" fillId="0" borderId="143" xfId="0" applyNumberFormat="1" applyBorder="1" applyAlignment="1">
      <alignment horizontal="left"/>
    </xf>
    <xf numFmtId="167" fontId="37" fillId="14" borderId="143" xfId="0" applyNumberFormat="1" applyFont="1" applyFill="1" applyBorder="1" applyAlignment="1"/>
    <xf numFmtId="0" fontId="0" fillId="0" borderId="143" xfId="0" applyFill="1" applyBorder="1"/>
    <xf numFmtId="0" fontId="36" fillId="0" borderId="143" xfId="0" applyFont="1" applyBorder="1" applyAlignment="1"/>
    <xf numFmtId="0" fontId="37" fillId="0" borderId="143" xfId="0" applyFont="1" applyBorder="1" applyAlignment="1"/>
    <xf numFmtId="9" fontId="36" fillId="14" borderId="14" xfId="6" applyNumberFormat="1" applyFont="1" applyFill="1" applyBorder="1" applyAlignment="1">
      <alignment horizontal="center" vertical="top"/>
    </xf>
    <xf numFmtId="0" fontId="24" fillId="14" borderId="13" xfId="6" applyFont="1" applyFill="1" applyBorder="1" applyAlignment="1">
      <alignment horizontal="left" vertical="top"/>
    </xf>
    <xf numFmtId="0" fontId="37" fillId="0" borderId="143" xfId="6" applyFont="1" applyFill="1" applyBorder="1" applyAlignment="1">
      <alignment horizontal="center" vertical="top"/>
    </xf>
    <xf numFmtId="0" fontId="37" fillId="0" borderId="143" xfId="6" applyFont="1" applyFill="1" applyBorder="1" applyAlignment="1">
      <alignment horizontal="left" vertical="top"/>
    </xf>
    <xf numFmtId="0" fontId="14" fillId="0" borderId="14" xfId="6" applyFont="1" applyFill="1" applyBorder="1" applyAlignment="1">
      <alignment horizontal="left" vertical="top"/>
    </xf>
    <xf numFmtId="0" fontId="36" fillId="0" borderId="14" xfId="6" applyFont="1" applyFill="1" applyBorder="1" applyAlignment="1">
      <alignment horizontal="left" vertical="top"/>
    </xf>
    <xf numFmtId="167" fontId="0" fillId="0" borderId="14" xfId="0" applyNumberFormat="1" applyBorder="1" applyAlignment="1">
      <alignment horizontal="left"/>
    </xf>
    <xf numFmtId="167" fontId="0" fillId="14" borderId="14" xfId="0" applyNumberFormat="1" applyFill="1" applyBorder="1" applyAlignment="1">
      <alignment horizontal="left"/>
    </xf>
    <xf numFmtId="0" fontId="0" fillId="0" borderId="143" xfId="0" applyBorder="1"/>
    <xf numFmtId="9" fontId="0" fillId="0" borderId="143" xfId="0" applyNumberFormat="1" applyBorder="1" applyAlignment="1">
      <alignment horizontal="left"/>
    </xf>
    <xf numFmtId="0" fontId="37" fillId="0" borderId="143" xfId="0" applyFont="1" applyFill="1" applyBorder="1" applyAlignment="1">
      <alignment horizontal="left"/>
    </xf>
    <xf numFmtId="0" fontId="37" fillId="14" borderId="156" xfId="0" applyFont="1" applyFill="1" applyBorder="1" applyAlignment="1">
      <alignment horizontal="left"/>
    </xf>
    <xf numFmtId="9" fontId="37" fillId="14" borderId="155" xfId="0" applyNumberFormat="1" applyFont="1" applyFill="1" applyBorder="1" applyAlignment="1">
      <alignment horizontal="left"/>
    </xf>
    <xf numFmtId="9" fontId="37" fillId="0" borderId="156" xfId="0" applyNumberFormat="1" applyFont="1" applyFill="1" applyBorder="1" applyAlignment="1">
      <alignment horizontal="left"/>
    </xf>
    <xf numFmtId="9" fontId="36" fillId="0" borderId="156" xfId="0" applyNumberFormat="1" applyFont="1" applyFill="1" applyBorder="1" applyAlignment="1">
      <alignment horizontal="left"/>
    </xf>
    <xf numFmtId="0" fontId="36" fillId="0" borderId="143" xfId="0" applyFont="1" applyFill="1" applyBorder="1" applyAlignment="1">
      <alignment horizontal="left"/>
    </xf>
    <xf numFmtId="0" fontId="36" fillId="0" borderId="156" xfId="0" applyFont="1" applyFill="1" applyBorder="1" applyAlignment="1">
      <alignment horizontal="left"/>
    </xf>
    <xf numFmtId="9" fontId="36" fillId="0" borderId="155" xfId="0" applyNumberFormat="1" applyFont="1" applyFill="1" applyBorder="1" applyAlignment="1">
      <alignment horizontal="left"/>
    </xf>
    <xf numFmtId="0" fontId="0" fillId="0" borderId="154" xfId="0" applyBorder="1" applyAlignment="1">
      <alignment horizontal="left"/>
    </xf>
    <xf numFmtId="9" fontId="0" fillId="0" borderId="154" xfId="0" applyNumberFormat="1" applyBorder="1" applyAlignment="1">
      <alignment horizontal="left"/>
    </xf>
    <xf numFmtId="10" fontId="37" fillId="0" borderId="14" xfId="0" applyNumberFormat="1" applyFont="1" applyBorder="1" applyAlignment="1">
      <alignment horizontal="left"/>
    </xf>
    <xf numFmtId="0" fontId="78" fillId="11" borderId="0" xfId="0" applyFont="1" applyFill="1" applyAlignment="1">
      <alignment horizontal="right"/>
    </xf>
    <xf numFmtId="0" fontId="36" fillId="0" borderId="0" xfId="15" quotePrefix="1" applyNumberFormat="1" applyFont="1" applyFill="1" applyBorder="1" applyAlignment="1">
      <alignment horizontal="left" vertical="top" wrapText="1" indent="1"/>
    </xf>
    <xf numFmtId="0" fontId="34" fillId="0" borderId="0" xfId="6" applyFont="1" applyBorder="1" applyAlignment="1">
      <alignment horizontal="left" vertical="top" wrapText="1"/>
    </xf>
    <xf numFmtId="0" fontId="37" fillId="6" borderId="10" xfId="6" applyFont="1" applyFill="1" applyBorder="1" applyAlignment="1">
      <alignment horizontal="left" vertical="top"/>
    </xf>
    <xf numFmtId="0" fontId="34" fillId="0" borderId="0" xfId="6" applyFont="1" applyAlignment="1">
      <alignment horizontal="left" vertical="top"/>
    </xf>
    <xf numFmtId="0" fontId="36" fillId="0" borderId="0" xfId="0" applyFont="1" applyBorder="1" applyAlignment="1">
      <alignment horizontal="left" vertical="top"/>
    </xf>
    <xf numFmtId="0" fontId="0" fillId="0" borderId="5" xfId="0" applyFill="1" applyBorder="1"/>
    <xf numFmtId="9" fontId="0" fillId="0" borderId="153" xfId="0" applyNumberFormat="1" applyBorder="1" applyAlignment="1">
      <alignment horizontal="left"/>
    </xf>
    <xf numFmtId="0" fontId="0" fillId="0" borderId="130" xfId="0" applyBorder="1"/>
    <xf numFmtId="167" fontId="37" fillId="14" borderId="7" xfId="0" applyNumberFormat="1" applyFont="1" applyFill="1" applyBorder="1" applyAlignment="1">
      <alignment horizontal="left"/>
    </xf>
    <xf numFmtId="2" fontId="37" fillId="0" borderId="5" xfId="0" applyNumberFormat="1" applyFont="1" applyFill="1" applyBorder="1" applyAlignment="1">
      <alignment horizontal="left"/>
    </xf>
    <xf numFmtId="2" fontId="36" fillId="0" borderId="5" xfId="0" applyNumberFormat="1" applyFont="1" applyFill="1" applyBorder="1" applyAlignment="1">
      <alignment horizontal="left"/>
    </xf>
    <xf numFmtId="2" fontId="36" fillId="0" borderId="154" xfId="0" applyNumberFormat="1" applyFont="1" applyFill="1" applyBorder="1" applyAlignment="1">
      <alignment horizontal="left"/>
    </xf>
    <xf numFmtId="0" fontId="36" fillId="0" borderId="130" xfId="0" applyFont="1" applyBorder="1" applyAlignment="1">
      <alignment horizontal="left"/>
    </xf>
    <xf numFmtId="0" fontId="37" fillId="14" borderId="130" xfId="0" applyFont="1" applyFill="1" applyBorder="1" applyAlignment="1">
      <alignment horizontal="left"/>
    </xf>
    <xf numFmtId="0" fontId="36" fillId="0" borderId="33" xfId="0" applyFont="1" applyBorder="1" applyAlignment="1">
      <alignment horizontal="left"/>
    </xf>
    <xf numFmtId="0" fontId="36" fillId="0" borderId="93" xfId="0" applyFont="1" applyBorder="1" applyAlignment="1">
      <alignment horizontal="left"/>
    </xf>
    <xf numFmtId="0" fontId="0" fillId="13" borderId="0" xfId="0" applyFill="1" applyBorder="1"/>
    <xf numFmtId="0" fontId="37" fillId="13" borderId="0" xfId="0" applyFont="1" applyFill="1" applyBorder="1"/>
    <xf numFmtId="0" fontId="36" fillId="0" borderId="154" xfId="0" applyFont="1" applyBorder="1" applyAlignment="1"/>
    <xf numFmtId="0" fontId="36" fillId="0" borderId="153" xfId="0" applyFont="1" applyBorder="1" applyAlignment="1"/>
    <xf numFmtId="0" fontId="72" fillId="0" borderId="0" xfId="0" applyFont="1" applyFill="1" applyBorder="1" applyAlignment="1">
      <alignment horizontal="left" indent="1"/>
    </xf>
    <xf numFmtId="0" fontId="72" fillId="0" borderId="0" xfId="0" applyFont="1"/>
    <xf numFmtId="0" fontId="195" fillId="14" borderId="5" xfId="0" applyFont="1" applyFill="1" applyBorder="1" applyAlignment="1">
      <alignment vertical="top"/>
    </xf>
    <xf numFmtId="0" fontId="195" fillId="0" borderId="0" xfId="0" applyFont="1" applyBorder="1" applyAlignment="1">
      <alignment vertical="top"/>
    </xf>
    <xf numFmtId="0" fontId="195" fillId="0" borderId="35" xfId="0" applyFont="1" applyBorder="1" applyAlignment="1">
      <alignment vertical="top"/>
    </xf>
    <xf numFmtId="0" fontId="195" fillId="0" borderId="5" xfId="0" applyFont="1" applyBorder="1" applyAlignment="1">
      <alignment vertical="top"/>
    </xf>
    <xf numFmtId="0" fontId="195" fillId="14" borderId="102" xfId="0" applyFont="1" applyFill="1" applyBorder="1" applyAlignment="1">
      <alignment vertical="top"/>
    </xf>
    <xf numFmtId="0" fontId="72" fillId="0" borderId="102" xfId="0" applyFont="1" applyBorder="1" applyAlignment="1">
      <alignment horizontal="left" vertical="top"/>
    </xf>
    <xf numFmtId="0" fontId="195" fillId="14" borderId="0" xfId="0" applyFont="1" applyFill="1" applyBorder="1" applyAlignment="1">
      <alignment vertical="top"/>
    </xf>
    <xf numFmtId="0" fontId="72" fillId="0" borderId="14" xfId="0" applyFont="1" applyBorder="1" applyAlignment="1">
      <alignment horizontal="left" vertical="top"/>
    </xf>
    <xf numFmtId="9" fontId="72" fillId="14" borderId="5" xfId="3" applyFont="1" applyFill="1" applyBorder="1" applyAlignment="1">
      <alignment horizontal="left" vertical="top"/>
    </xf>
    <xf numFmtId="9" fontId="72" fillId="0" borderId="35" xfId="3" applyFont="1" applyBorder="1" applyAlignment="1">
      <alignment horizontal="left" vertical="top"/>
    </xf>
    <xf numFmtId="9" fontId="72" fillId="0" borderId="5" xfId="3" applyFont="1" applyBorder="1" applyAlignment="1">
      <alignment horizontal="left" vertical="top"/>
    </xf>
    <xf numFmtId="9" fontId="72" fillId="14" borderId="102" xfId="3" applyFont="1" applyFill="1" applyBorder="1" applyAlignment="1">
      <alignment horizontal="left" vertical="top"/>
    </xf>
    <xf numFmtId="9" fontId="72" fillId="0" borderId="102" xfId="3" applyFont="1" applyBorder="1" applyAlignment="1">
      <alignment horizontal="left" vertical="top"/>
    </xf>
    <xf numFmtId="9" fontId="72" fillId="14" borderId="0" xfId="3" applyFont="1" applyFill="1" applyBorder="1" applyAlignment="1">
      <alignment horizontal="left" vertical="top"/>
    </xf>
    <xf numFmtId="9" fontId="72" fillId="0" borderId="14" xfId="3" applyFont="1" applyBorder="1" applyAlignment="1">
      <alignment horizontal="left" vertical="top"/>
    </xf>
    <xf numFmtId="0" fontId="49" fillId="0" borderId="0" xfId="0" applyFont="1" applyFill="1"/>
    <xf numFmtId="9" fontId="36" fillId="0" borderId="7" xfId="0" applyNumberFormat="1" applyFont="1" applyBorder="1" applyAlignment="1">
      <alignment horizontal="left" vertical="top" wrapText="1"/>
    </xf>
    <xf numFmtId="9" fontId="36" fillId="0" borderId="7" xfId="0" applyNumberFormat="1" applyFont="1" applyBorder="1" applyAlignment="1">
      <alignment horizontal="left" vertical="top"/>
    </xf>
    <xf numFmtId="9" fontId="36" fillId="28" borderId="7" xfId="0" applyNumberFormat="1" applyFont="1" applyFill="1" applyBorder="1" applyAlignment="1">
      <alignment horizontal="left" vertical="top" wrapText="1"/>
    </xf>
    <xf numFmtId="9" fontId="36" fillId="28" borderId="7" xfId="0" applyNumberFormat="1" applyFont="1" applyFill="1" applyBorder="1" applyAlignment="1">
      <alignment horizontal="left" vertical="top"/>
    </xf>
    <xf numFmtId="0" fontId="0" fillId="0" borderId="7" xfId="0" applyBorder="1" applyAlignment="1">
      <alignment horizontal="left"/>
    </xf>
    <xf numFmtId="0" fontId="72" fillId="0" borderId="0" xfId="0" quotePrefix="1" applyFont="1" applyFill="1" applyBorder="1" applyAlignment="1">
      <alignment horizontal="left" indent="1"/>
    </xf>
    <xf numFmtId="0" fontId="36" fillId="0" borderId="0" xfId="6" quotePrefix="1" applyFont="1" applyFill="1" applyBorder="1" applyAlignment="1">
      <alignment horizontal="left" vertical="top" wrapText="1" indent="1"/>
    </xf>
    <xf numFmtId="0" fontId="19" fillId="0" borderId="0" xfId="6" applyFont="1" applyBorder="1" applyAlignment="1">
      <alignment horizontal="left" vertical="top" wrapText="1"/>
    </xf>
    <xf numFmtId="0" fontId="19" fillId="0" borderId="11" xfId="6" applyFont="1" applyBorder="1" applyAlignment="1">
      <alignment horizontal="left" vertical="top"/>
    </xf>
    <xf numFmtId="0" fontId="152" fillId="0" borderId="0" xfId="1" applyNumberFormat="1" applyFont="1" applyFill="1" applyAlignment="1" applyProtection="1">
      <alignment horizontal="right" vertical="top"/>
    </xf>
    <xf numFmtId="0" fontId="36" fillId="11" borderId="0" xfId="15" applyNumberFormat="1" applyFont="1" applyFill="1" applyAlignment="1">
      <alignment horizontal="left" vertical="top"/>
    </xf>
    <xf numFmtId="0" fontId="36" fillId="11" borderId="0" xfId="15" applyNumberFormat="1" applyFont="1" applyFill="1" applyBorder="1" applyAlignment="1">
      <alignment horizontal="left" vertical="top"/>
    </xf>
    <xf numFmtId="0" fontId="37" fillId="13" borderId="0" xfId="0" quotePrefix="1" applyNumberFormat="1" applyFont="1" applyFill="1" applyBorder="1" applyAlignment="1">
      <alignment vertical="top"/>
    </xf>
    <xf numFmtId="0" fontId="36" fillId="13" borderId="0" xfId="15" applyNumberFormat="1" applyFont="1" applyFill="1" applyAlignment="1">
      <alignment horizontal="left" vertical="top"/>
    </xf>
    <xf numFmtId="0" fontId="36" fillId="3" borderId="0" xfId="15" applyNumberFormat="1" applyFont="1" applyFill="1" applyAlignment="1">
      <alignment horizontal="left" vertical="top" wrapText="1"/>
    </xf>
    <xf numFmtId="0" fontId="36" fillId="0" borderId="0" xfId="15" quotePrefix="1" applyNumberFormat="1" applyFont="1" applyFill="1" applyBorder="1" applyAlignment="1">
      <alignment vertical="top"/>
    </xf>
    <xf numFmtId="0" fontId="46" fillId="0" borderId="0" xfId="15" applyNumberFormat="1" applyFont="1" applyFill="1" applyAlignment="1">
      <alignment horizontal="right" vertical="top"/>
    </xf>
    <xf numFmtId="0" fontId="152" fillId="0" borderId="0" xfId="1" applyNumberFormat="1" applyFont="1" applyFill="1" applyBorder="1" applyAlignment="1" applyProtection="1">
      <alignment horizontal="right" vertical="top"/>
    </xf>
    <xf numFmtId="0" fontId="46" fillId="0" borderId="0" xfId="1" applyNumberFormat="1" applyFont="1" applyFill="1" applyBorder="1" applyAlignment="1" applyProtection="1">
      <alignment horizontal="right" vertical="top"/>
    </xf>
    <xf numFmtId="0" fontId="131" fillId="0" borderId="0" xfId="15" applyNumberFormat="1" applyFont="1" applyFill="1" applyBorder="1" applyAlignment="1">
      <alignment horizontal="left" vertical="top" wrapText="1" indent="2"/>
    </xf>
    <xf numFmtId="0" fontId="46" fillId="0" borderId="0" xfId="1" applyNumberFormat="1" applyFont="1" applyFill="1" applyAlignment="1" applyProtection="1">
      <alignment horizontal="right" vertical="top"/>
    </xf>
    <xf numFmtId="0" fontId="46" fillId="0" borderId="0" xfId="15" applyNumberFormat="1" applyFont="1" applyFill="1" applyBorder="1" applyAlignment="1">
      <alignment horizontal="right" vertical="top"/>
    </xf>
    <xf numFmtId="0" fontId="36" fillId="0" borderId="0" xfId="15" applyNumberFormat="1" applyFont="1" applyFill="1" applyBorder="1" applyAlignment="1">
      <alignment horizontal="right" vertical="top"/>
    </xf>
    <xf numFmtId="0" fontId="36" fillId="3" borderId="0" xfId="15" applyNumberFormat="1" applyFont="1" applyFill="1" applyAlignment="1">
      <alignment horizontal="left" vertical="top"/>
    </xf>
    <xf numFmtId="0" fontId="37" fillId="29" borderId="0" xfId="15" applyNumberFormat="1" applyFont="1" applyFill="1" applyAlignment="1">
      <alignment horizontal="left" vertical="top"/>
    </xf>
    <xf numFmtId="0" fontId="81" fillId="29" borderId="0" xfId="15" applyNumberFormat="1" applyFont="1" applyFill="1" applyAlignment="1">
      <alignment vertical="top"/>
    </xf>
    <xf numFmtId="0" fontId="37" fillId="3" borderId="0" xfId="15" applyNumberFormat="1" applyFont="1" applyFill="1" applyAlignment="1">
      <alignment horizontal="left" vertical="top"/>
    </xf>
    <xf numFmtId="0" fontId="37" fillId="3" borderId="0" xfId="0" applyFont="1" applyFill="1" applyBorder="1" applyAlignment="1">
      <alignment horizontal="left" vertical="top"/>
    </xf>
    <xf numFmtId="0" fontId="34" fillId="0" borderId="0" xfId="6" applyFont="1" applyFill="1" applyAlignment="1">
      <alignment vertical="top"/>
    </xf>
    <xf numFmtId="0" fontId="34" fillId="16" borderId="0" xfId="6" applyFont="1" applyFill="1" applyAlignment="1">
      <alignment horizontal="left" vertical="top" indent="2"/>
    </xf>
    <xf numFmtId="0" fontId="149" fillId="0" borderId="0" xfId="6" applyFont="1" applyAlignment="1">
      <alignment horizontal="center" vertical="top"/>
    </xf>
    <xf numFmtId="0" fontId="19" fillId="0" borderId="0" xfId="6" applyFont="1" applyFill="1" applyAlignment="1">
      <alignment vertical="top"/>
    </xf>
    <xf numFmtId="0" fontId="4" fillId="0" borderId="15" xfId="6" applyFont="1" applyFill="1" applyBorder="1" applyAlignment="1">
      <alignment horizontal="left" vertical="top"/>
    </xf>
    <xf numFmtId="0" fontId="18" fillId="0" borderId="0" xfId="6" quotePrefix="1" applyFont="1" applyFill="1" applyAlignment="1">
      <alignment vertical="top"/>
    </xf>
    <xf numFmtId="0" fontId="14" fillId="0" borderId="0" xfId="6" applyFont="1" applyAlignment="1">
      <alignment horizontal="left" vertical="top" indent="1"/>
    </xf>
    <xf numFmtId="0" fontId="19" fillId="0" borderId="0" xfId="6" applyFont="1" applyAlignment="1">
      <alignment vertical="top" wrapText="1"/>
    </xf>
    <xf numFmtId="0" fontId="18" fillId="0" borderId="0" xfId="6" applyFont="1" applyAlignment="1">
      <alignment horizontal="left" vertical="top" wrapText="1"/>
    </xf>
    <xf numFmtId="0" fontId="18" fillId="0" borderId="0" xfId="6" applyFont="1" applyAlignment="1">
      <alignment vertical="top" wrapText="1"/>
    </xf>
    <xf numFmtId="0" fontId="46" fillId="0" borderId="0" xfId="6" applyFont="1" applyAlignment="1">
      <alignment horizontal="right" vertical="top"/>
    </xf>
    <xf numFmtId="0" fontId="152" fillId="0" borderId="0" xfId="1" applyFont="1" applyFill="1" applyAlignment="1" applyProtection="1">
      <alignment horizontal="left" vertical="top"/>
    </xf>
    <xf numFmtId="9" fontId="149" fillId="17" borderId="3" xfId="6" applyNumberFormat="1" applyFont="1" applyFill="1" applyBorder="1" applyAlignment="1">
      <alignment horizontal="left" vertical="top"/>
    </xf>
    <xf numFmtId="0" fontId="46" fillId="0" borderId="0" xfId="6" applyFont="1" applyFill="1" applyAlignment="1">
      <alignment horizontal="left" vertical="top"/>
    </xf>
    <xf numFmtId="0" fontId="46" fillId="0" borderId="0" xfId="6" applyFont="1" applyFill="1" applyAlignment="1">
      <alignment horizontal="left" vertical="top" wrapText="1"/>
    </xf>
    <xf numFmtId="0" fontId="14" fillId="0" borderId="0" xfId="6" applyFont="1" applyAlignment="1">
      <alignment vertical="top"/>
    </xf>
    <xf numFmtId="0" fontId="37" fillId="6" borderId="12" xfId="6" applyFont="1" applyFill="1" applyBorder="1" applyAlignment="1">
      <alignment vertical="top"/>
    </xf>
    <xf numFmtId="0" fontId="48" fillId="6" borderId="2" xfId="6" applyFont="1" applyFill="1" applyBorder="1" applyAlignment="1">
      <alignment horizontal="center" vertical="top"/>
    </xf>
    <xf numFmtId="0" fontId="48" fillId="6" borderId="4" xfId="6" applyFont="1" applyFill="1" applyBorder="1" applyAlignment="1">
      <alignment horizontal="center" vertical="top"/>
    </xf>
    <xf numFmtId="0" fontId="19" fillId="0" borderId="0" xfId="6" applyFont="1" applyAlignment="1">
      <alignment vertical="top"/>
    </xf>
    <xf numFmtId="0" fontId="20" fillId="0" borderId="0" xfId="6" applyFont="1" applyFill="1" applyAlignment="1">
      <alignment horizontal="left" vertical="top"/>
    </xf>
    <xf numFmtId="0" fontId="36" fillId="0" borderId="0" xfId="6" quotePrefix="1" applyFont="1" applyFill="1" applyBorder="1" applyAlignment="1">
      <alignment vertical="top"/>
    </xf>
    <xf numFmtId="0" fontId="153" fillId="0" borderId="0" xfId="6" applyFont="1" applyFill="1" applyAlignment="1">
      <alignment horizontal="left" vertical="top"/>
    </xf>
    <xf numFmtId="0" fontId="153" fillId="0" borderId="0" xfId="6" applyFont="1" applyFill="1" applyAlignment="1">
      <alignment horizontal="left" vertical="top" wrapText="1"/>
    </xf>
    <xf numFmtId="0" fontId="153" fillId="0" borderId="0" xfId="6" applyFont="1" applyAlignment="1">
      <alignment horizontal="left" vertical="top" indent="1"/>
    </xf>
    <xf numFmtId="0" fontId="153" fillId="0" borderId="0" xfId="6" applyFont="1" applyAlignment="1">
      <alignment horizontal="left" vertical="top" indent="2"/>
    </xf>
    <xf numFmtId="0" fontId="72" fillId="0" borderId="0" xfId="0" quotePrefix="1" applyFont="1" applyAlignment="1">
      <alignment horizontal="left" indent="1"/>
    </xf>
    <xf numFmtId="0" fontId="23" fillId="0" borderId="0" xfId="6" applyFont="1" applyAlignment="1">
      <alignment horizontal="left" vertical="top" indent="1"/>
    </xf>
    <xf numFmtId="0" fontId="61" fillId="0" borderId="0" xfId="6" applyFont="1" applyFill="1" applyAlignment="1">
      <alignment horizontal="left" vertical="top"/>
    </xf>
    <xf numFmtId="9" fontId="36" fillId="0" borderId="0" xfId="6" applyNumberFormat="1" applyFont="1" applyAlignment="1">
      <alignment horizontal="left" vertical="top"/>
    </xf>
    <xf numFmtId="0" fontId="75" fillId="0" borderId="15" xfId="6" applyFont="1" applyBorder="1" applyAlignment="1">
      <alignment horizontal="right" vertical="top"/>
    </xf>
    <xf numFmtId="0" fontId="23" fillId="0" borderId="0" xfId="6" applyNumberFormat="1" applyFont="1" applyBorder="1" applyAlignment="1">
      <alignment horizontal="left" vertical="top"/>
    </xf>
    <xf numFmtId="0" fontId="48" fillId="6" borderId="0" xfId="6" applyNumberFormat="1" applyFont="1" applyFill="1" applyBorder="1" applyAlignment="1">
      <alignment horizontal="left" vertical="top"/>
    </xf>
    <xf numFmtId="0" fontId="48" fillId="6" borderId="15" xfId="6" applyNumberFormat="1" applyFont="1" applyFill="1" applyBorder="1" applyAlignment="1">
      <alignment horizontal="left" vertical="top"/>
    </xf>
    <xf numFmtId="0" fontId="46" fillId="0" borderId="0" xfId="6" applyFont="1" applyFill="1" applyAlignment="1">
      <alignment horizontal="right" vertical="top"/>
    </xf>
    <xf numFmtId="0" fontId="36" fillId="0" borderId="0" xfId="6" applyFont="1" applyFill="1" applyAlignment="1">
      <alignment vertical="top"/>
    </xf>
    <xf numFmtId="0" fontId="36" fillId="11" borderId="0" xfId="6" applyFont="1" applyFill="1" applyAlignment="1">
      <alignment vertical="top"/>
    </xf>
    <xf numFmtId="0" fontId="36" fillId="11" borderId="0" xfId="6" applyFont="1" applyFill="1" applyAlignment="1">
      <alignment horizontal="left" vertical="top" indent="1"/>
    </xf>
    <xf numFmtId="0" fontId="37" fillId="11" borderId="0" xfId="6" applyFont="1" applyFill="1" applyAlignment="1">
      <alignment vertical="top"/>
    </xf>
    <xf numFmtId="0" fontId="36" fillId="11" borderId="0" xfId="6" applyFont="1" applyFill="1" applyBorder="1" applyAlignment="1">
      <alignment horizontal="left" vertical="top" wrapText="1" indent="1"/>
    </xf>
    <xf numFmtId="0" fontId="36" fillId="11" borderId="0" xfId="6" applyFont="1" applyFill="1" applyBorder="1" applyAlignment="1">
      <alignment vertical="top" wrapText="1"/>
    </xf>
    <xf numFmtId="0" fontId="4" fillId="0" borderId="0" xfId="6" applyFont="1" applyFill="1" applyBorder="1" applyAlignment="1">
      <alignment horizontal="left" vertical="top"/>
    </xf>
    <xf numFmtId="0" fontId="72" fillId="0" borderId="0" xfId="0" quotePrefix="1" applyFont="1" applyAlignment="1"/>
    <xf numFmtId="0" fontId="36" fillId="0" borderId="0" xfId="6" quotePrefix="1" applyFont="1" applyFill="1" applyAlignment="1">
      <alignment vertical="top"/>
    </xf>
    <xf numFmtId="0" fontId="153" fillId="0" borderId="0" xfId="6" applyFont="1" applyAlignment="1">
      <alignment vertical="top" wrapText="1"/>
    </xf>
    <xf numFmtId="0" fontId="153" fillId="0" borderId="0" xfId="6" applyFont="1" applyAlignment="1">
      <alignment vertical="top"/>
    </xf>
    <xf numFmtId="0" fontId="34" fillId="0" borderId="0" xfId="6" applyFont="1" applyBorder="1" applyAlignment="1">
      <alignment vertical="top" wrapText="1"/>
    </xf>
    <xf numFmtId="0" fontId="18" fillId="0" borderId="0" xfId="6" quotePrefix="1" applyFont="1" applyBorder="1" applyAlignment="1">
      <alignment horizontal="left" vertical="top"/>
    </xf>
    <xf numFmtId="0" fontId="34" fillId="0" borderId="0" xfId="6" quotePrefix="1" applyFont="1" applyBorder="1" applyAlignment="1">
      <alignment vertical="top" wrapText="1"/>
    </xf>
    <xf numFmtId="0" fontId="34" fillId="0" borderId="0" xfId="6" quotePrefix="1" applyFont="1" applyAlignment="1">
      <alignment horizontal="left" vertical="top" wrapText="1" indent="1"/>
    </xf>
    <xf numFmtId="0" fontId="34" fillId="0" borderId="0" xfId="6" applyFont="1" applyAlignment="1">
      <alignment vertical="top" wrapText="1"/>
    </xf>
    <xf numFmtId="0" fontId="34" fillId="0" borderId="0" xfId="6" applyFont="1" applyAlignment="1">
      <alignment horizontal="left" vertical="top" wrapText="1" indent="1"/>
    </xf>
    <xf numFmtId="0" fontId="72" fillId="11" borderId="0" xfId="0" applyFont="1" applyFill="1" applyAlignment="1">
      <alignment horizontal="left" wrapText="1" indent="1"/>
    </xf>
    <xf numFmtId="0" fontId="72" fillId="11" borderId="0" xfId="0" applyFont="1" applyFill="1" applyAlignment="1">
      <alignment horizontal="left" indent="1"/>
    </xf>
    <xf numFmtId="0" fontId="34" fillId="11" borderId="0" xfId="6" applyFont="1" applyFill="1" applyAlignment="1">
      <alignment vertical="top"/>
    </xf>
    <xf numFmtId="0" fontId="34" fillId="0" borderId="0" xfId="6" applyNumberFormat="1" applyFont="1" applyFill="1" applyBorder="1" applyAlignment="1">
      <alignment horizontal="left" vertical="top"/>
    </xf>
    <xf numFmtId="0" fontId="19" fillId="0" borderId="11" xfId="6" quotePrefix="1" applyFont="1" applyBorder="1" applyAlignment="1">
      <alignment horizontal="left" vertical="top" indent="1"/>
    </xf>
    <xf numFmtId="0" fontId="18" fillId="0" borderId="14" xfId="6" applyFont="1" applyBorder="1" applyAlignment="1">
      <alignment vertical="top" wrapText="1"/>
    </xf>
    <xf numFmtId="0" fontId="145" fillId="11" borderId="0" xfId="6" applyFont="1" applyFill="1" applyAlignment="1">
      <alignment vertical="top" wrapText="1"/>
    </xf>
    <xf numFmtId="0" fontId="18" fillId="11" borderId="0" xfId="6" quotePrefix="1" applyNumberFormat="1" applyFont="1" applyFill="1" applyAlignment="1">
      <alignment horizontal="left" vertical="top"/>
    </xf>
    <xf numFmtId="0" fontId="16" fillId="0" borderId="157" xfId="6" quotePrefix="1" applyFont="1" applyFill="1" applyBorder="1" applyAlignment="1">
      <alignment vertical="top" wrapText="1"/>
    </xf>
    <xf numFmtId="0" fontId="34" fillId="0" borderId="157" xfId="6" applyFont="1" applyFill="1" applyBorder="1" applyAlignment="1">
      <alignment vertical="top" wrapText="1"/>
    </xf>
    <xf numFmtId="0" fontId="36" fillId="0" borderId="0" xfId="1" applyFont="1" applyFill="1" applyAlignment="1" applyProtection="1">
      <alignment horizontal="right" vertical="top"/>
    </xf>
    <xf numFmtId="0" fontId="13" fillId="0" borderId="157" xfId="6" quotePrefix="1" applyFont="1" applyFill="1" applyBorder="1" applyAlignment="1">
      <alignment horizontal="left" vertical="top" indent="1"/>
    </xf>
    <xf numFmtId="0" fontId="34" fillId="0" borderId="0" xfId="6" applyNumberFormat="1" applyFont="1" applyFill="1" applyAlignment="1">
      <alignment vertical="top" wrapText="1"/>
    </xf>
    <xf numFmtId="0" fontId="40" fillId="0" borderId="0" xfId="6" applyFont="1" applyFill="1" applyBorder="1" applyAlignment="1">
      <alignment vertical="top" wrapText="1"/>
    </xf>
    <xf numFmtId="0" fontId="36" fillId="0" borderId="0" xfId="6" applyFont="1" applyFill="1" applyBorder="1" applyAlignment="1">
      <alignment vertical="top" wrapText="1"/>
    </xf>
    <xf numFmtId="0" fontId="36" fillId="0" borderId="0" xfId="6" quotePrefix="1" applyFont="1" applyFill="1" applyBorder="1" applyAlignment="1">
      <alignment vertical="top" wrapText="1"/>
    </xf>
    <xf numFmtId="0" fontId="36" fillId="0" borderId="0" xfId="6" quotePrefix="1" applyFont="1" applyFill="1" applyBorder="1" applyAlignment="1">
      <alignment horizontal="left" vertical="top" indent="2"/>
    </xf>
    <xf numFmtId="0" fontId="145" fillId="11" borderId="0" xfId="6" applyFont="1" applyFill="1" applyBorder="1" applyAlignment="1">
      <alignment horizontal="left" vertical="top" indent="1"/>
    </xf>
    <xf numFmtId="0" fontId="34" fillId="0" borderId="0" xfId="6" applyFont="1" applyAlignment="1">
      <alignment horizontal="left" vertical="top" wrapText="1"/>
    </xf>
    <xf numFmtId="0" fontId="48" fillId="13" borderId="6" xfId="6" applyFont="1" applyFill="1" applyBorder="1" applyAlignment="1">
      <alignment vertical="top"/>
    </xf>
    <xf numFmtId="0" fontId="48" fillId="13" borderId="8" xfId="6" applyFont="1" applyFill="1" applyBorder="1" applyAlignment="1">
      <alignment vertical="top"/>
    </xf>
    <xf numFmtId="0" fontId="18" fillId="0" borderId="13" xfId="6" applyFont="1" applyBorder="1" applyAlignment="1">
      <alignment vertical="top"/>
    </xf>
    <xf numFmtId="9" fontId="48" fillId="17" borderId="3" xfId="6" applyNumberFormat="1" applyFont="1" applyFill="1" applyBorder="1" applyAlignment="1">
      <alignment horizontal="left" vertical="top"/>
    </xf>
    <xf numFmtId="0" fontId="34" fillId="0" borderId="0" xfId="6" quotePrefix="1" applyFont="1" applyAlignment="1">
      <alignment vertical="top"/>
    </xf>
    <xf numFmtId="0" fontId="47" fillId="11" borderId="0" xfId="6" quotePrefix="1" applyFont="1" applyFill="1" applyAlignment="1">
      <alignment horizontal="left" vertical="top"/>
    </xf>
    <xf numFmtId="0" fontId="15" fillId="0" borderId="14" xfId="6" quotePrefix="1" applyFont="1" applyBorder="1" applyAlignment="1">
      <alignment vertical="top" wrapText="1"/>
    </xf>
    <xf numFmtId="0" fontId="15" fillId="0" borderId="13" xfId="6" applyFont="1" applyBorder="1" applyAlignment="1">
      <alignment vertical="top"/>
    </xf>
    <xf numFmtId="0" fontId="15" fillId="0" borderId="12" xfId="6" applyFont="1" applyBorder="1" applyAlignment="1">
      <alignment vertical="top"/>
    </xf>
    <xf numFmtId="0" fontId="15" fillId="0" borderId="10" xfId="6" applyFont="1" applyBorder="1" applyAlignment="1">
      <alignment vertical="top"/>
    </xf>
    <xf numFmtId="0" fontId="76" fillId="18" borderId="6" xfId="6" applyFont="1" applyFill="1" applyBorder="1" applyAlignment="1">
      <alignment vertical="top"/>
    </xf>
    <xf numFmtId="0" fontId="76" fillId="18" borderId="7" xfId="6" applyFont="1" applyFill="1" applyBorder="1" applyAlignment="1">
      <alignment vertical="top"/>
    </xf>
    <xf numFmtId="0" fontId="15" fillId="0" borderId="11" xfId="6" applyFont="1" applyFill="1" applyBorder="1" applyAlignment="1">
      <alignment vertical="top"/>
    </xf>
    <xf numFmtId="0" fontId="15" fillId="0" borderId="11" xfId="6" quotePrefix="1" applyFont="1" applyFill="1" applyBorder="1" applyAlignment="1">
      <alignment vertical="top" wrapText="1"/>
    </xf>
    <xf numFmtId="0" fontId="34" fillId="0" borderId="11" xfId="6" applyFont="1" applyFill="1" applyBorder="1" applyAlignment="1">
      <alignment horizontal="left" vertical="top"/>
    </xf>
    <xf numFmtId="0" fontId="76" fillId="0" borderId="11" xfId="6" applyFont="1" applyFill="1" applyBorder="1" applyAlignment="1">
      <alignment vertical="top"/>
    </xf>
    <xf numFmtId="0" fontId="15" fillId="0" borderId="11" xfId="6" applyFont="1" applyFill="1" applyBorder="1" applyAlignment="1">
      <alignment vertical="top" wrapText="1"/>
    </xf>
    <xf numFmtId="0" fontId="78" fillId="0" borderId="0" xfId="6" applyFont="1" applyAlignment="1">
      <alignment horizontal="right" vertical="top"/>
    </xf>
    <xf numFmtId="0" fontId="37" fillId="0" borderId="0" xfId="6" applyFont="1" applyAlignment="1">
      <alignment horizontal="left" vertical="top"/>
    </xf>
    <xf numFmtId="0" fontId="52" fillId="0" borderId="79" xfId="6" applyFont="1" applyFill="1" applyBorder="1" applyAlignment="1">
      <alignment horizontal="right" vertical="top"/>
    </xf>
    <xf numFmtId="0" fontId="34" fillId="0" borderId="76" xfId="6" applyFont="1" applyBorder="1" applyAlignment="1">
      <alignment horizontal="left" vertical="top" wrapText="1"/>
    </xf>
    <xf numFmtId="0" fontId="72" fillId="0" borderId="97" xfId="6" applyFont="1" applyBorder="1" applyAlignment="1">
      <alignment vertical="top"/>
    </xf>
    <xf numFmtId="0" fontId="34" fillId="0" borderId="76" xfId="6" applyFont="1" applyBorder="1" applyAlignment="1">
      <alignment horizontal="left" vertical="top"/>
    </xf>
    <xf numFmtId="0" fontId="108" fillId="0" borderId="0" xfId="6" applyFont="1" applyAlignment="1">
      <alignment horizontal="right" vertical="top"/>
    </xf>
    <xf numFmtId="0" fontId="34" fillId="0" borderId="5" xfId="6" applyFont="1" applyBorder="1" applyAlignment="1">
      <alignment horizontal="left" vertical="top"/>
    </xf>
    <xf numFmtId="0" fontId="74" fillId="0" borderId="0" xfId="6" applyFont="1" applyAlignment="1">
      <alignment horizontal="left" vertical="top" indent="1"/>
    </xf>
    <xf numFmtId="0" fontId="36" fillId="0" borderId="0" xfId="6" applyFont="1" applyAlignment="1">
      <alignment horizontal="left" vertical="top" indent="1"/>
    </xf>
    <xf numFmtId="0" fontId="18" fillId="7" borderId="0" xfId="6" quotePrefix="1" applyNumberFormat="1" applyFont="1" applyFill="1" applyAlignment="1">
      <alignment horizontal="left" vertical="top"/>
    </xf>
    <xf numFmtId="0" fontId="34" fillId="7" borderId="0" xfId="6" applyNumberFormat="1" applyFont="1" applyFill="1" applyAlignment="1">
      <alignment horizontal="left" vertical="top"/>
    </xf>
    <xf numFmtId="0" fontId="34" fillId="7" borderId="0" xfId="6" applyNumberFormat="1" applyFont="1" applyFill="1" applyAlignment="1">
      <alignment horizontal="left" vertical="top" wrapText="1"/>
    </xf>
    <xf numFmtId="0" fontId="34" fillId="7" borderId="0" xfId="6" applyNumberFormat="1" applyFont="1" applyFill="1" applyAlignment="1">
      <alignment horizontal="center" vertical="top"/>
    </xf>
    <xf numFmtId="0" fontId="36" fillId="7" borderId="0" xfId="6" applyNumberFormat="1" applyFont="1" applyFill="1" applyAlignment="1">
      <alignment horizontal="center" vertical="top"/>
    </xf>
    <xf numFmtId="0" fontId="19" fillId="0" borderId="0" xfId="6" applyFont="1" applyAlignment="1">
      <alignment horizontal="left" vertical="top" indent="1"/>
    </xf>
    <xf numFmtId="0" fontId="16" fillId="0" borderId="0" xfId="6" applyFont="1" applyFill="1" applyBorder="1" applyAlignment="1">
      <alignment horizontal="left" vertical="top" indent="1"/>
    </xf>
    <xf numFmtId="0" fontId="16" fillId="0" borderId="0" xfId="6" applyFont="1" applyFill="1" applyBorder="1" applyAlignment="1">
      <alignment horizontal="left" vertical="top" wrapText="1" indent="1"/>
    </xf>
    <xf numFmtId="0" fontId="13" fillId="0" borderId="0" xfId="6" quotePrefix="1" applyFont="1" applyFill="1" applyBorder="1" applyAlignment="1">
      <alignment horizontal="left" vertical="top" indent="2"/>
    </xf>
    <xf numFmtId="0" fontId="151" fillId="0" borderId="0" xfId="1" applyFont="1" applyFill="1" applyBorder="1" applyAlignment="1" applyProtection="1">
      <alignment horizontal="left" vertical="top" indent="1"/>
    </xf>
    <xf numFmtId="0" fontId="151" fillId="0" borderId="0" xfId="1" applyFont="1" applyFill="1" applyBorder="1" applyAlignment="1" applyProtection="1">
      <alignment horizontal="left" vertical="top"/>
    </xf>
    <xf numFmtId="0" fontId="36" fillId="0" borderId="0" xfId="6" applyFont="1" applyFill="1" applyBorder="1" applyAlignment="1">
      <alignment horizontal="left" vertical="top" indent="3"/>
    </xf>
    <xf numFmtId="0" fontId="18" fillId="0" borderId="0" xfId="6" applyFont="1" applyAlignment="1">
      <alignment horizontal="left" vertical="top" indent="1"/>
    </xf>
    <xf numFmtId="0" fontId="34" fillId="0" borderId="0" xfId="6" applyNumberFormat="1" applyFont="1" applyAlignment="1">
      <alignment horizontal="left" vertical="top" indent="1"/>
    </xf>
    <xf numFmtId="0" fontId="34" fillId="0" borderId="0" xfId="6" applyNumberFormat="1" applyFont="1" applyAlignment="1">
      <alignment horizontal="left" vertical="top" wrapText="1" indent="1"/>
    </xf>
    <xf numFmtId="0" fontId="36" fillId="0" borderId="0" xfId="6" applyFont="1" applyFill="1" applyAlignment="1">
      <alignment horizontal="left" vertical="top" indent="1"/>
    </xf>
    <xf numFmtId="0" fontId="153" fillId="0" borderId="0" xfId="6" applyFont="1" applyFill="1" applyAlignment="1">
      <alignment horizontal="left" vertical="top" indent="1"/>
    </xf>
    <xf numFmtId="0" fontId="153" fillId="0" borderId="0" xfId="6" quotePrefix="1" applyFont="1" applyAlignment="1">
      <alignment horizontal="left" vertical="top" indent="2"/>
    </xf>
    <xf numFmtId="0" fontId="153" fillId="0" borderId="0" xfId="6" applyFont="1" applyAlignment="1">
      <alignment horizontal="left" vertical="top" indent="3"/>
    </xf>
    <xf numFmtId="0" fontId="48" fillId="0" borderId="0" xfId="6" applyFont="1" applyAlignment="1">
      <alignment horizontal="left" vertical="top" indent="1"/>
    </xf>
    <xf numFmtId="0" fontId="34" fillId="0" borderId="0" xfId="6" applyFont="1" applyAlignment="1">
      <alignment horizontal="left" vertical="top" indent="1"/>
    </xf>
    <xf numFmtId="0" fontId="18" fillId="0" borderId="0" xfId="6" applyNumberFormat="1" applyFont="1" applyAlignment="1">
      <alignment horizontal="left" vertical="top" indent="1"/>
    </xf>
    <xf numFmtId="0" fontId="74" fillId="0" borderId="0" xfId="6" quotePrefix="1" applyFont="1" applyAlignment="1">
      <alignment horizontal="left" vertical="top" indent="2"/>
    </xf>
    <xf numFmtId="0" fontId="74" fillId="0" borderId="0" xfId="6" applyFont="1" applyAlignment="1">
      <alignment horizontal="left" vertical="top" indent="2"/>
    </xf>
    <xf numFmtId="0" fontId="199" fillId="0" borderId="0" xfId="6" applyFont="1" applyAlignment="1">
      <alignment horizontal="left" vertical="top" indent="2"/>
    </xf>
    <xf numFmtId="0" fontId="74" fillId="0" borderId="0" xfId="6" quotePrefix="1" applyFont="1" applyAlignment="1">
      <alignment horizontal="left" vertical="top" wrapText="1" indent="1"/>
    </xf>
    <xf numFmtId="0" fontId="36" fillId="0" borderId="0" xfId="6" quotePrefix="1" applyFont="1" applyAlignment="1">
      <alignment horizontal="left" vertical="top" indent="2"/>
    </xf>
    <xf numFmtId="0" fontId="36" fillId="14" borderId="0" xfId="6" applyFont="1" applyFill="1" applyAlignment="1">
      <alignment horizontal="left" vertical="top" indent="1"/>
    </xf>
    <xf numFmtId="0" fontId="36" fillId="14" borderId="0" xfId="6" applyFont="1" applyFill="1" applyBorder="1" applyAlignment="1">
      <alignment horizontal="left" vertical="top" indent="1"/>
    </xf>
    <xf numFmtId="0" fontId="34" fillId="0" borderId="0" xfId="6" applyFont="1" applyAlignment="1">
      <alignment horizontal="left" vertical="top" wrapText="1" indent="1"/>
    </xf>
    <xf numFmtId="0" fontId="109" fillId="0" borderId="0" xfId="6" applyFont="1" applyAlignment="1">
      <alignment horizontal="left" vertical="top" wrapText="1" indent="1"/>
    </xf>
    <xf numFmtId="0" fontId="36" fillId="0" borderId="0" xfId="6" applyFont="1" applyAlignment="1">
      <alignment horizontal="left" vertical="top" wrapText="1" indent="1"/>
    </xf>
    <xf numFmtId="0" fontId="0" fillId="0" borderId="7" xfId="0" applyBorder="1"/>
    <xf numFmtId="0" fontId="0" fillId="0" borderId="0" xfId="0"/>
    <xf numFmtId="0" fontId="36" fillId="0" borderId="0" xfId="0" applyFont="1" applyBorder="1" applyAlignment="1">
      <alignment horizontal="left"/>
    </xf>
    <xf numFmtId="0" fontId="0" fillId="0" borderId="14" xfId="0" applyBorder="1"/>
    <xf numFmtId="0" fontId="37" fillId="13" borderId="0" xfId="0" applyFont="1" applyFill="1" applyAlignment="1">
      <alignment wrapText="1"/>
    </xf>
    <xf numFmtId="0" fontId="0" fillId="0" borderId="153" xfId="0" applyBorder="1"/>
    <xf numFmtId="0" fontId="36" fillId="0" borderId="0" xfId="0" applyFont="1"/>
    <xf numFmtId="0" fontId="37" fillId="3" borderId="0" xfId="0" applyFont="1" applyFill="1" applyAlignment="1">
      <alignment wrapText="1"/>
    </xf>
    <xf numFmtId="0" fontId="36" fillId="0" borderId="0" xfId="0" applyFont="1" applyBorder="1" applyAlignment="1">
      <alignment vertical="top" wrapText="1"/>
    </xf>
    <xf numFmtId="0" fontId="36" fillId="0" borderId="0" xfId="0" applyFont="1" applyAlignment="1">
      <alignment horizontal="left" vertical="top"/>
    </xf>
    <xf numFmtId="0" fontId="36" fillId="0" borderId="0" xfId="0" applyFont="1" applyBorder="1" applyAlignment="1">
      <alignment horizontal="left" vertical="top"/>
    </xf>
    <xf numFmtId="1" fontId="36" fillId="0" borderId="0" xfId="0" applyNumberFormat="1" applyFont="1" applyBorder="1" applyAlignment="1">
      <alignment horizontal="left" vertical="top"/>
    </xf>
    <xf numFmtId="0" fontId="36" fillId="0" borderId="0" xfId="6" quotePrefix="1" applyFont="1" applyFill="1" applyBorder="1" applyAlignment="1">
      <alignment horizontal="left" vertical="top"/>
    </xf>
    <xf numFmtId="0" fontId="48" fillId="0" borderId="3" xfId="6" applyFont="1" applyBorder="1" applyAlignment="1">
      <alignment vertical="top" wrapText="1"/>
    </xf>
    <xf numFmtId="0" fontId="49" fillId="0" borderId="1" xfId="6" quotePrefix="1" applyFont="1" applyBorder="1" applyAlignment="1">
      <alignment horizontal="left" vertical="top" wrapText="1" indent="1"/>
    </xf>
    <xf numFmtId="0" fontId="49" fillId="0" borderId="0" xfId="6" quotePrefix="1" applyFont="1" applyAlignment="1">
      <alignment horizontal="left" vertical="top" wrapText="1" indent="1"/>
    </xf>
    <xf numFmtId="0" fontId="20" fillId="0" borderId="0" xfId="6" quotePrefix="1" applyFont="1" applyAlignment="1">
      <alignment horizontal="left" vertical="top" wrapText="1" indent="1"/>
    </xf>
    <xf numFmtId="0" fontId="47" fillId="0" borderId="0" xfId="6" quotePrefix="1" applyFont="1" applyAlignment="1">
      <alignment horizontal="left" vertical="top" indent="1"/>
    </xf>
    <xf numFmtId="0" fontId="47" fillId="0" borderId="1" xfId="0" quotePrefix="1" applyFont="1" applyBorder="1" applyAlignment="1">
      <alignment horizontal="left" vertical="top" indent="1"/>
    </xf>
    <xf numFmtId="0" fontId="47" fillId="0" borderId="4" xfId="6" quotePrefix="1" applyFont="1" applyBorder="1" applyAlignment="1">
      <alignment horizontal="left" vertical="top" wrapText="1" indent="1"/>
    </xf>
    <xf numFmtId="0" fontId="23" fillId="0" borderId="0" xfId="6" quotePrefix="1" applyFont="1" applyAlignment="1">
      <alignment horizontal="left" vertical="top" wrapText="1" indent="1"/>
    </xf>
    <xf numFmtId="0" fontId="20" fillId="0" borderId="0" xfId="6" quotePrefix="1" applyFont="1" applyAlignment="1">
      <alignment horizontal="left" vertical="top" indent="1"/>
    </xf>
    <xf numFmtId="0" fontId="34" fillId="0" borderId="0" xfId="6" applyFont="1" applyAlignment="1">
      <alignment horizontal="left" vertical="top" indent="2"/>
    </xf>
    <xf numFmtId="0" fontId="34" fillId="0" borderId="0" xfId="6" applyFont="1" applyFill="1" applyBorder="1" applyAlignment="1">
      <alignment horizontal="center" vertical="top"/>
    </xf>
    <xf numFmtId="0" fontId="34" fillId="0" borderId="0" xfId="6" applyFont="1" applyFill="1" applyAlignment="1">
      <alignment vertical="top" wrapText="1"/>
    </xf>
    <xf numFmtId="0" fontId="113" fillId="0" borderId="0" xfId="6" applyFont="1" applyAlignment="1">
      <alignment horizontal="center" vertical="top" wrapText="1"/>
    </xf>
    <xf numFmtId="0" fontId="48" fillId="6" borderId="13" xfId="6" applyFont="1" applyFill="1" applyBorder="1" applyAlignment="1">
      <alignment horizontal="left" vertical="top"/>
    </xf>
    <xf numFmtId="0" fontId="37" fillId="0" borderId="0" xfId="6" applyFont="1" applyBorder="1" applyAlignment="1">
      <alignment horizontal="left" vertical="top"/>
    </xf>
    <xf numFmtId="0" fontId="37" fillId="0" borderId="0" xfId="6" quotePrefix="1" applyFont="1" applyFill="1" applyBorder="1" applyAlignment="1">
      <alignment horizontal="left" vertical="top"/>
    </xf>
    <xf numFmtId="0" fontId="34" fillId="0" borderId="6" xfId="6" applyFont="1" applyBorder="1" applyAlignment="1">
      <alignment horizontal="left" vertical="top" indent="1"/>
    </xf>
    <xf numFmtId="0" fontId="34" fillId="0" borderId="8" xfId="6" applyFont="1" applyBorder="1" applyAlignment="1">
      <alignment horizontal="left" vertical="top" indent="1"/>
    </xf>
    <xf numFmtId="0" fontId="34" fillId="16" borderId="0" xfId="6" applyNumberFormat="1" applyFont="1" applyFill="1" applyBorder="1" applyAlignment="1">
      <alignment horizontal="left" vertical="top" indent="1"/>
    </xf>
    <xf numFmtId="9" fontId="34" fillId="0" borderId="3" xfId="6" applyNumberFormat="1" applyFont="1" applyBorder="1" applyAlignment="1">
      <alignment horizontal="left" vertical="top" indent="1"/>
    </xf>
    <xf numFmtId="167" fontId="18" fillId="0" borderId="3" xfId="6" quotePrefix="1" applyNumberFormat="1" applyFont="1" applyBorder="1" applyAlignment="1">
      <alignment horizontal="left" vertical="top"/>
    </xf>
    <xf numFmtId="167" fontId="18" fillId="14" borderId="3" xfId="6" quotePrefix="1" applyNumberFormat="1" applyFont="1" applyFill="1" applyBorder="1" applyAlignment="1">
      <alignment horizontal="left" vertical="top"/>
    </xf>
    <xf numFmtId="0" fontId="46" fillId="0" borderId="0" xfId="6" applyFont="1" applyFill="1" applyAlignment="1">
      <alignment vertical="top"/>
    </xf>
    <xf numFmtId="0" fontId="74" fillId="0" borderId="0" xfId="6" quotePrefix="1" applyFont="1" applyAlignment="1">
      <alignment horizontal="left" vertical="top" indent="1"/>
    </xf>
    <xf numFmtId="0" fontId="34" fillId="0" borderId="0" xfId="6" applyFont="1" applyBorder="1" applyAlignment="1">
      <alignment vertical="top"/>
    </xf>
    <xf numFmtId="0" fontId="34" fillId="0" borderId="0" xfId="6" applyFont="1" applyFill="1" applyBorder="1" applyAlignment="1">
      <alignment vertical="top" wrapText="1"/>
    </xf>
    <xf numFmtId="0" fontId="34" fillId="11" borderId="0" xfId="6" applyFont="1" applyFill="1" applyBorder="1" applyAlignment="1">
      <alignment horizontal="left" vertical="top" indent="1"/>
    </xf>
    <xf numFmtId="0" fontId="0" fillId="11" borderId="0" xfId="0" applyFill="1" applyBorder="1" applyAlignment="1"/>
    <xf numFmtId="0" fontId="2" fillId="0" borderId="35" xfId="6" applyFont="1" applyFill="1" applyBorder="1" applyAlignment="1">
      <alignment horizontal="left" vertical="top" indent="1"/>
    </xf>
    <xf numFmtId="0" fontId="2" fillId="0" borderId="0" xfId="6" applyFont="1" applyBorder="1" applyAlignment="1">
      <alignment vertical="top" wrapText="1"/>
    </xf>
    <xf numFmtId="0" fontId="2" fillId="0" borderId="0" xfId="6" applyFont="1" applyFill="1" applyBorder="1" applyAlignment="1">
      <alignment horizontal="left" vertical="top" indent="1"/>
    </xf>
    <xf numFmtId="0" fontId="36" fillId="0" borderId="0" xfId="6" applyFont="1" applyFill="1" applyBorder="1" applyAlignment="1">
      <alignment horizontal="center" vertical="top"/>
    </xf>
    <xf numFmtId="0" fontId="2" fillId="0" borderId="0" xfId="6" applyFont="1" applyFill="1" applyBorder="1" applyAlignment="1">
      <alignment vertical="top"/>
    </xf>
    <xf numFmtId="0" fontId="2" fillId="0" borderId="38" xfId="6" applyFont="1" applyFill="1" applyBorder="1" applyAlignment="1">
      <alignment vertical="top"/>
    </xf>
    <xf numFmtId="0" fontId="2" fillId="0" borderId="35" xfId="6" applyFont="1" applyFill="1" applyBorder="1" applyAlignment="1">
      <alignment vertical="top"/>
    </xf>
    <xf numFmtId="0" fontId="2" fillId="0" borderId="0" xfId="6" quotePrefix="1" applyFont="1" applyFill="1" applyBorder="1" applyAlignment="1">
      <alignment horizontal="left" vertical="top" indent="2"/>
    </xf>
    <xf numFmtId="0" fontId="2" fillId="0" borderId="38" xfId="6" quotePrefix="1" applyFont="1" applyFill="1" applyBorder="1" applyAlignment="1">
      <alignment horizontal="left" vertical="top" indent="2"/>
    </xf>
    <xf numFmtId="0" fontId="34" fillId="0" borderId="0" xfId="6" applyFont="1" applyBorder="1" applyAlignment="1">
      <alignment horizontal="left" vertical="top" indent="1"/>
    </xf>
    <xf numFmtId="167" fontId="37" fillId="0" borderId="0" xfId="6" applyNumberFormat="1" applyFont="1" applyFill="1" applyBorder="1" applyAlignment="1">
      <alignment horizontal="left" vertical="top"/>
    </xf>
    <xf numFmtId="0" fontId="37" fillId="0" borderId="0" xfId="6" applyFont="1" applyFill="1" applyBorder="1" applyAlignment="1">
      <alignment vertical="top"/>
    </xf>
    <xf numFmtId="0" fontId="46" fillId="0" borderId="0" xfId="6" applyFont="1" applyFill="1" applyBorder="1" applyAlignment="1">
      <alignment vertical="top"/>
    </xf>
    <xf numFmtId="167" fontId="37" fillId="0" borderId="35" xfId="6" applyNumberFormat="1" applyFont="1" applyFill="1" applyBorder="1" applyAlignment="1">
      <alignment horizontal="left" vertical="top"/>
    </xf>
    <xf numFmtId="0" fontId="34" fillId="0" borderId="0" xfId="6" applyFont="1" applyFill="1" applyBorder="1" applyAlignment="1">
      <alignment vertical="top"/>
    </xf>
    <xf numFmtId="0" fontId="46" fillId="0" borderId="0" xfId="6" applyFont="1" applyAlignment="1">
      <alignment horizontal="left" vertical="top" indent="1"/>
    </xf>
    <xf numFmtId="0" fontId="46" fillId="0" borderId="14" xfId="6" applyFont="1" applyBorder="1" applyAlignment="1">
      <alignment horizontal="left" vertical="top" indent="1"/>
    </xf>
    <xf numFmtId="0" fontId="34" fillId="0" borderId="14" xfId="6" applyFont="1" applyBorder="1" applyAlignment="1">
      <alignment horizontal="left" vertical="top" indent="1"/>
    </xf>
    <xf numFmtId="0" fontId="34" fillId="0" borderId="14" xfId="6" applyFont="1" applyFill="1" applyBorder="1" applyAlignment="1">
      <alignment horizontal="left" vertical="top"/>
    </xf>
    <xf numFmtId="0" fontId="36" fillId="0" borderId="35" xfId="6" applyFont="1" applyFill="1" applyBorder="1" applyAlignment="1">
      <alignment horizontal="left" vertical="top"/>
    </xf>
    <xf numFmtId="0" fontId="46" fillId="0" borderId="0" xfId="6" applyFont="1" applyBorder="1" applyAlignment="1">
      <alignment horizontal="left" vertical="top" indent="1"/>
    </xf>
    <xf numFmtId="0" fontId="34" fillId="0" borderId="0" xfId="6" quotePrefix="1" applyFont="1" applyFill="1" applyAlignment="1">
      <alignment horizontal="left" vertical="top" indent="2"/>
    </xf>
    <xf numFmtId="167" fontId="36" fillId="0" borderId="0" xfId="6" applyNumberFormat="1" applyFont="1" applyBorder="1" applyAlignment="1">
      <alignment horizontal="left" vertical="top" indent="2"/>
    </xf>
    <xf numFmtId="167" fontId="37" fillId="0" borderId="5" xfId="6" applyNumberFormat="1" applyFont="1" applyBorder="1" applyAlignment="1">
      <alignment horizontal="left" vertical="top"/>
    </xf>
    <xf numFmtId="0" fontId="34" fillId="0" borderId="5" xfId="6" applyFont="1" applyFill="1" applyBorder="1" applyAlignment="1">
      <alignment horizontal="left" vertical="top" indent="1"/>
    </xf>
    <xf numFmtId="0" fontId="34" fillId="0" borderId="5" xfId="6" applyFont="1" applyFill="1" applyBorder="1" applyAlignment="1">
      <alignment vertical="top" wrapText="1"/>
    </xf>
    <xf numFmtId="0" fontId="34" fillId="0" borderId="153" xfId="6" applyFont="1" applyBorder="1" applyAlignment="1">
      <alignment horizontal="left" vertical="top" indent="1"/>
    </xf>
    <xf numFmtId="0" fontId="78" fillId="0" borderId="14" xfId="6" applyFont="1" applyFill="1" applyBorder="1" applyAlignment="1">
      <alignment horizontal="left" vertical="top"/>
    </xf>
    <xf numFmtId="0" fontId="192" fillId="0" borderId="0" xfId="6" applyFont="1" applyAlignment="1">
      <alignment vertical="top"/>
    </xf>
    <xf numFmtId="0" fontId="46" fillId="0" borderId="0" xfId="6" applyFont="1" applyAlignment="1">
      <alignment horizontal="left" vertical="top" indent="2"/>
    </xf>
    <xf numFmtId="0" fontId="36" fillId="0" borderId="127" xfId="0" applyFont="1" applyBorder="1" applyAlignment="1">
      <alignment horizontal="left" indent="1"/>
    </xf>
    <xf numFmtId="0" fontId="36" fillId="0" borderId="153" xfId="0" applyFont="1" applyBorder="1" applyAlignment="1">
      <alignment horizontal="left"/>
    </xf>
    <xf numFmtId="0" fontId="36" fillId="0" borderId="158" xfId="0" applyFont="1" applyBorder="1" applyAlignment="1">
      <alignment horizontal="left" indent="1"/>
    </xf>
    <xf numFmtId="0" fontId="40" fillId="0" borderId="154" xfId="0" applyFont="1" applyBorder="1" applyAlignment="1">
      <alignment horizontal="left"/>
    </xf>
    <xf numFmtId="0" fontId="40" fillId="0" borderId="159" xfId="0" applyFont="1" applyBorder="1" applyAlignment="1">
      <alignment horizontal="left" indent="1"/>
    </xf>
    <xf numFmtId="0" fontId="36" fillId="0" borderId="3" xfId="0" applyFont="1" applyBorder="1" applyAlignment="1">
      <alignment horizontal="left" indent="1"/>
    </xf>
    <xf numFmtId="0" fontId="36" fillId="33" borderId="0" xfId="0" applyFont="1" applyFill="1"/>
    <xf numFmtId="0" fontId="37" fillId="31" borderId="5" xfId="0" applyFont="1" applyFill="1" applyBorder="1"/>
    <xf numFmtId="0" fontId="0" fillId="31" borderId="5" xfId="0" applyFill="1" applyBorder="1" applyAlignment="1">
      <alignment horizontal="left"/>
    </xf>
    <xf numFmtId="167" fontId="36" fillId="33" borderId="0" xfId="0" applyNumberFormat="1" applyFont="1" applyFill="1" applyAlignment="1">
      <alignment horizontal="left"/>
    </xf>
    <xf numFmtId="167" fontId="40" fillId="33" borderId="0" xfId="0" applyNumberFormat="1" applyFont="1" applyFill="1" applyAlignment="1">
      <alignment horizontal="left"/>
    </xf>
    <xf numFmtId="0" fontId="37" fillId="33" borderId="0" xfId="0" applyFont="1" applyFill="1"/>
    <xf numFmtId="0" fontId="36" fillId="31" borderId="0" xfId="0" applyFont="1" applyFill="1" applyBorder="1"/>
    <xf numFmtId="0" fontId="36" fillId="7" borderId="0" xfId="0" applyFont="1" applyFill="1" applyBorder="1"/>
    <xf numFmtId="177" fontId="37" fillId="31" borderId="0" xfId="0" applyNumberFormat="1" applyFont="1" applyFill="1"/>
    <xf numFmtId="177" fontId="37" fillId="7" borderId="0" xfId="0" applyNumberFormat="1" applyFont="1" applyFill="1"/>
    <xf numFmtId="0" fontId="46" fillId="0" borderId="3" xfId="0" applyFont="1" applyBorder="1"/>
    <xf numFmtId="0" fontId="48" fillId="0" borderId="3" xfId="6" applyFont="1" applyFill="1" applyBorder="1" applyAlignment="1">
      <alignment horizontal="left" vertical="top"/>
    </xf>
    <xf numFmtId="167" fontId="2" fillId="0" borderId="149" xfId="6" applyNumberFormat="1" applyFont="1" applyFill="1" applyBorder="1" applyAlignment="1">
      <alignment horizontal="left" vertical="top"/>
    </xf>
    <xf numFmtId="167" fontId="2" fillId="0" borderId="150" xfId="6" applyNumberFormat="1" applyFont="1" applyFill="1" applyBorder="1" applyAlignment="1">
      <alignment horizontal="left" vertical="top"/>
    </xf>
    <xf numFmtId="167" fontId="61" fillId="0" borderId="151" xfId="6" applyNumberFormat="1" applyFont="1" applyFill="1" applyBorder="1" applyAlignment="1">
      <alignment horizontal="left" vertical="top"/>
    </xf>
    <xf numFmtId="167" fontId="48" fillId="0" borderId="3" xfId="6" applyNumberFormat="1" applyFont="1" applyFill="1" applyBorder="1" applyAlignment="1">
      <alignment horizontal="left" vertical="top"/>
    </xf>
    <xf numFmtId="0" fontId="37" fillId="13" borderId="8" xfId="6" applyFont="1" applyFill="1" applyBorder="1" applyAlignment="1">
      <alignment horizontal="left" vertical="top"/>
    </xf>
    <xf numFmtId="0" fontId="37" fillId="0" borderId="8" xfId="0" applyFont="1" applyBorder="1" applyAlignment="1">
      <alignment horizontal="left"/>
    </xf>
    <xf numFmtId="0" fontId="2" fillId="0" borderId="0" xfId="6" applyFont="1" applyAlignment="1">
      <alignment horizontal="left" vertical="top" indent="1"/>
    </xf>
    <xf numFmtId="0" fontId="46" fillId="0" borderId="8" xfId="0" applyFont="1" applyBorder="1" applyAlignment="1">
      <alignment horizontal="left" indent="1"/>
    </xf>
    <xf numFmtId="0" fontId="46" fillId="0" borderId="3" xfId="0" applyFont="1" applyBorder="1" applyAlignment="1">
      <alignment horizontal="left" indent="2"/>
    </xf>
    <xf numFmtId="0" fontId="46" fillId="16" borderId="0" xfId="6" applyNumberFormat="1" applyFont="1" applyFill="1" applyBorder="1" applyAlignment="1">
      <alignment horizontal="left" vertical="top" indent="1"/>
    </xf>
    <xf numFmtId="167" fontId="46" fillId="0" borderId="3" xfId="6" applyNumberFormat="1" applyFont="1" applyFill="1" applyBorder="1" applyAlignment="1">
      <alignment horizontal="left" vertical="top" indent="1"/>
    </xf>
    <xf numFmtId="0" fontId="46" fillId="0" borderId="0" xfId="6" quotePrefix="1" applyFont="1" applyFill="1" applyAlignment="1">
      <alignment horizontal="center" vertical="top"/>
    </xf>
    <xf numFmtId="0" fontId="46" fillId="0" borderId="0" xfId="1" applyFont="1" applyAlignment="1" applyProtection="1">
      <alignment vertical="top" wrapText="1"/>
    </xf>
    <xf numFmtId="0" fontId="202" fillId="0" borderId="0" xfId="6" applyFont="1" applyFill="1" applyAlignment="1">
      <alignment horizontal="left" vertical="top"/>
    </xf>
    <xf numFmtId="0" fontId="192" fillId="0" borderId="0" xfId="6" applyFont="1" applyFill="1" applyAlignment="1">
      <alignment vertical="top"/>
    </xf>
    <xf numFmtId="0" fontId="76" fillId="18" borderId="6" xfId="6" applyFont="1" applyFill="1" applyBorder="1" applyAlignment="1">
      <alignment horizontal="left" vertical="top"/>
    </xf>
    <xf numFmtId="0" fontId="76" fillId="18" borderId="8" xfId="6" applyFont="1" applyFill="1" applyBorder="1" applyAlignment="1">
      <alignment horizontal="left" vertical="top"/>
    </xf>
    <xf numFmtId="0" fontId="36" fillId="0" borderId="0" xfId="0" quotePrefix="1" applyFont="1" applyAlignment="1">
      <alignment horizontal="left" wrapText="1" indent="1"/>
    </xf>
    <xf numFmtId="0" fontId="37" fillId="0" borderId="3" xfId="6" applyFont="1" applyBorder="1" applyAlignment="1">
      <alignment horizontal="left" vertical="top"/>
    </xf>
    <xf numFmtId="167" fontId="48" fillId="14" borderId="3" xfId="6" applyNumberFormat="1" applyFont="1" applyFill="1" applyBorder="1" applyAlignment="1">
      <alignment horizontal="left" vertical="top"/>
    </xf>
    <xf numFmtId="167" fontId="46" fillId="0" borderId="3" xfId="6" applyNumberFormat="1" applyFont="1" applyBorder="1" applyAlignment="1">
      <alignment horizontal="left" vertical="top" indent="1"/>
    </xf>
    <xf numFmtId="0" fontId="37" fillId="0" borderId="0" xfId="0" applyFont="1" applyBorder="1" applyAlignment="1">
      <alignment wrapText="1"/>
    </xf>
    <xf numFmtId="0" fontId="36" fillId="0" borderId="0" xfId="0" quotePrefix="1" applyFont="1" applyAlignment="1">
      <alignment horizontal="left" wrapText="1" indent="2"/>
    </xf>
    <xf numFmtId="0" fontId="202" fillId="0" borderId="0" xfId="6" applyFont="1" applyBorder="1" applyAlignment="1">
      <alignment horizontal="left" vertical="top"/>
    </xf>
    <xf numFmtId="167" fontId="2" fillId="0" borderId="148" xfId="6" applyNumberFormat="1" applyFont="1" applyFill="1" applyBorder="1" applyAlignment="1">
      <alignment horizontal="left" vertical="top" indent="1"/>
    </xf>
    <xf numFmtId="0" fontId="2" fillId="0" borderId="148" xfId="6" quotePrefix="1" applyFont="1" applyFill="1" applyBorder="1" applyAlignment="1">
      <alignment horizontal="left" vertical="top" indent="1"/>
    </xf>
    <xf numFmtId="0" fontId="80" fillId="0" borderId="0" xfId="6" applyFont="1" applyAlignment="1">
      <alignment horizontal="left" vertical="top" indent="1"/>
    </xf>
    <xf numFmtId="0" fontId="46" fillId="0" borderId="0" xfId="6" quotePrefix="1" applyFont="1" applyBorder="1" applyAlignment="1">
      <alignment horizontal="left" vertical="top" indent="2"/>
    </xf>
    <xf numFmtId="0" fontId="46" fillId="0" borderId="0" xfId="6" quotePrefix="1" applyFont="1" applyBorder="1" applyAlignment="1">
      <alignment horizontal="left" vertical="top" wrapText="1" indent="2"/>
    </xf>
    <xf numFmtId="0" fontId="109" fillId="0" borderId="0" xfId="6" quotePrefix="1" applyFont="1" applyBorder="1" applyAlignment="1">
      <alignment horizontal="left" vertical="top" wrapText="1" indent="3"/>
    </xf>
    <xf numFmtId="0" fontId="46" fillId="0" borderId="0" xfId="6" quotePrefix="1" applyFont="1" applyFill="1" applyAlignment="1">
      <alignment horizontal="right" vertical="top"/>
    </xf>
    <xf numFmtId="0" fontId="109" fillId="0" borderId="0" xfId="6" applyFont="1" applyAlignment="1">
      <alignment horizontal="right" vertical="top"/>
    </xf>
    <xf numFmtId="0" fontId="36" fillId="0" borderId="0" xfId="6" quotePrefix="1" applyFont="1" applyFill="1" applyAlignment="1">
      <alignment horizontal="right" vertical="top"/>
    </xf>
    <xf numFmtId="0" fontId="2" fillId="0" borderId="8" xfId="0" applyFont="1" applyBorder="1" applyAlignment="1">
      <alignment horizontal="left" indent="1"/>
    </xf>
    <xf numFmtId="0" fontId="2" fillId="0" borderId="3" xfId="0" applyFont="1" applyBorder="1" applyAlignment="1">
      <alignment horizontal="left" indent="2"/>
    </xf>
    <xf numFmtId="0" fontId="36" fillId="0" borderId="0" xfId="0" applyFont="1" applyFill="1" applyBorder="1" applyAlignment="1"/>
    <xf numFmtId="0" fontId="36" fillId="0" borderId="0" xfId="0" applyFont="1" applyFill="1" applyBorder="1" applyAlignment="1">
      <alignment horizontal="left" indent="1"/>
    </xf>
    <xf numFmtId="0" fontId="2" fillId="16" borderId="0" xfId="6" applyNumberFormat="1" applyFont="1" applyFill="1" applyBorder="1" applyAlignment="1">
      <alignment horizontal="left" vertical="top"/>
    </xf>
    <xf numFmtId="0" fontId="46" fillId="0" borderId="0" xfId="6" applyFont="1" applyFill="1" applyAlignment="1">
      <alignment horizontal="left" vertical="top" indent="2"/>
    </xf>
    <xf numFmtId="0" fontId="3" fillId="0" borderId="0" xfId="6" quotePrefix="1" applyFont="1" applyFill="1" applyAlignment="1">
      <alignment horizontal="left" vertical="top" indent="2"/>
    </xf>
    <xf numFmtId="9" fontId="36" fillId="0" borderId="0" xfId="0" applyNumberFormat="1" applyFont="1" applyFill="1" applyAlignment="1">
      <alignment horizontal="left"/>
    </xf>
    <xf numFmtId="0" fontId="71" fillId="0" borderId="0" xfId="0" applyFont="1" applyAlignment="1">
      <alignment horizontal="left"/>
    </xf>
    <xf numFmtId="0" fontId="37" fillId="8" borderId="0" xfId="0" applyFont="1" applyFill="1" applyAlignment="1">
      <alignment horizontal="left" vertical="top"/>
    </xf>
    <xf numFmtId="167" fontId="36" fillId="17" borderId="3" xfId="6" applyNumberFormat="1" applyFont="1" applyFill="1" applyBorder="1" applyAlignment="1">
      <alignment horizontal="left" vertical="top" wrapText="1"/>
    </xf>
    <xf numFmtId="0" fontId="36" fillId="0" borderId="0" xfId="0" applyFont="1" applyAlignment="1">
      <alignment horizontal="left" wrapText="1" indent="2"/>
    </xf>
    <xf numFmtId="0" fontId="36" fillId="0" borderId="0" xfId="6" applyNumberFormat="1" applyFont="1" applyAlignment="1">
      <alignment horizontal="left" vertical="top"/>
    </xf>
    <xf numFmtId="0" fontId="153" fillId="0" borderId="0" xfId="1" applyNumberFormat="1" applyFont="1" applyAlignment="1" applyProtection="1">
      <alignment vertical="top" wrapText="1"/>
    </xf>
    <xf numFmtId="0" fontId="46" fillId="0" borderId="0" xfId="6" applyFont="1" applyFill="1" applyAlignment="1">
      <alignment horizontal="center" vertical="top"/>
    </xf>
    <xf numFmtId="0" fontId="145" fillId="0" borderId="0" xfId="6" applyFont="1" applyAlignment="1">
      <alignment horizontal="left" vertical="top"/>
    </xf>
    <xf numFmtId="1" fontId="36" fillId="0" borderId="0" xfId="0" quotePrefix="1" applyNumberFormat="1" applyFont="1" applyBorder="1" applyAlignment="1">
      <alignment vertical="top"/>
    </xf>
    <xf numFmtId="0" fontId="204" fillId="0" borderId="0" xfId="0" quotePrefix="1" applyFont="1" applyFill="1" applyAlignment="1">
      <alignment horizontal="left" vertical="top"/>
    </xf>
    <xf numFmtId="0" fontId="68" fillId="0" borderId="0" xfId="0" applyNumberFormat="1" applyFont="1" applyFill="1" applyBorder="1" applyAlignment="1">
      <alignment horizontal="left" vertical="top"/>
    </xf>
    <xf numFmtId="1" fontId="36" fillId="0" borderId="6" xfId="0" applyNumberFormat="1" applyFont="1" applyBorder="1" applyAlignment="1">
      <alignment vertical="top"/>
    </xf>
    <xf numFmtId="1" fontId="36" fillId="0" borderId="7" xfId="0" applyNumberFormat="1" applyFont="1" applyBorder="1" applyAlignment="1">
      <alignment vertical="top"/>
    </xf>
    <xf numFmtId="1" fontId="36" fillId="0" borderId="8" xfId="0" applyNumberFormat="1" applyFont="1" applyBorder="1" applyAlignment="1">
      <alignment vertical="top"/>
    </xf>
    <xf numFmtId="0" fontId="46" fillId="0" borderId="0" xfId="0" quotePrefix="1" applyFont="1" applyBorder="1" applyAlignment="1">
      <alignment vertical="top" wrapText="1"/>
    </xf>
    <xf numFmtId="0" fontId="36" fillId="0" borderId="0" xfId="0" quotePrefix="1" applyFont="1" applyBorder="1" applyAlignment="1">
      <alignment vertical="top" wrapText="1"/>
    </xf>
    <xf numFmtId="1" fontId="36" fillId="0" borderId="0" xfId="0" applyNumberFormat="1" applyFont="1" applyBorder="1" applyAlignment="1">
      <alignment vertical="top"/>
    </xf>
    <xf numFmtId="9" fontId="36" fillId="0" borderId="12" xfId="0" applyNumberFormat="1" applyFont="1" applyBorder="1" applyAlignment="1">
      <alignment horizontal="left" vertical="top"/>
    </xf>
    <xf numFmtId="9" fontId="36" fillId="0" borderId="5" xfId="0" applyNumberFormat="1" applyFont="1" applyBorder="1" applyAlignment="1">
      <alignment horizontal="left" vertical="top"/>
    </xf>
    <xf numFmtId="9" fontId="37" fillId="0" borderId="160" xfId="0" applyNumberFormat="1" applyFont="1" applyBorder="1" applyAlignment="1">
      <alignment horizontal="left" vertical="top"/>
    </xf>
    <xf numFmtId="9" fontId="36" fillId="0" borderId="160" xfId="0" applyNumberFormat="1" applyFont="1" applyBorder="1" applyAlignment="1">
      <alignment horizontal="left" vertical="top"/>
    </xf>
    <xf numFmtId="0" fontId="36" fillId="0" borderId="10" xfId="0" quotePrefix="1" applyFont="1" applyBorder="1"/>
    <xf numFmtId="167" fontId="36" fillId="0" borderId="12" xfId="0" applyNumberFormat="1" applyFont="1" applyBorder="1" applyAlignment="1">
      <alignment horizontal="left" vertical="top"/>
    </xf>
    <xf numFmtId="9" fontId="36" fillId="0" borderId="5" xfId="3" applyFont="1" applyBorder="1" applyAlignment="1">
      <alignment horizontal="left" vertical="top"/>
    </xf>
    <xf numFmtId="167" fontId="36" fillId="0" borderId="160" xfId="0" applyNumberFormat="1" applyFont="1" applyBorder="1" applyAlignment="1">
      <alignment horizontal="left" vertical="top"/>
    </xf>
    <xf numFmtId="0" fontId="36" fillId="11" borderId="0" xfId="0" quotePrefix="1" applyFont="1" applyFill="1" applyBorder="1"/>
    <xf numFmtId="9" fontId="36" fillId="11" borderId="0" xfId="3" applyFont="1" applyFill="1" applyBorder="1" applyAlignment="1">
      <alignment horizontal="left" vertical="top"/>
    </xf>
    <xf numFmtId="1" fontId="36" fillId="11" borderId="5" xfId="0" applyNumberFormat="1" applyFont="1" applyFill="1" applyBorder="1" applyAlignment="1">
      <alignment vertical="top"/>
    </xf>
    <xf numFmtId="0" fontId="46" fillId="0" borderId="0" xfId="0" applyFont="1" applyFill="1" applyAlignment="1">
      <alignment horizontal="left" vertical="top"/>
    </xf>
    <xf numFmtId="9" fontId="134" fillId="0" borderId="0" xfId="6" applyNumberFormat="1" applyFont="1" applyFill="1" applyBorder="1" applyAlignment="1">
      <alignment horizontal="left" vertical="top" wrapText="1"/>
    </xf>
    <xf numFmtId="0" fontId="80" fillId="0" borderId="0" xfId="0" applyFont="1" applyAlignment="1">
      <alignment horizontal="right" vertical="top"/>
    </xf>
    <xf numFmtId="0" fontId="36" fillId="0" borderId="0" xfId="0" applyFont="1" applyFill="1" applyAlignment="1">
      <alignment horizontal="left" vertical="top" indent="1"/>
    </xf>
    <xf numFmtId="0" fontId="36" fillId="0" borderId="0" xfId="0" quotePrefix="1" applyFont="1" applyFill="1" applyBorder="1" applyAlignment="1">
      <alignment horizontal="left" indent="2"/>
    </xf>
    <xf numFmtId="0" fontId="36" fillId="0" borderId="0" xfId="0" quotePrefix="1" applyFont="1" applyFill="1" applyBorder="1" applyAlignment="1">
      <alignment horizontal="left" vertical="top" indent="2"/>
    </xf>
    <xf numFmtId="0" fontId="37" fillId="6" borderId="3" xfId="0" applyNumberFormat="1" applyFont="1" applyFill="1" applyBorder="1" applyAlignment="1">
      <alignment horizontal="left" vertical="top"/>
    </xf>
    <xf numFmtId="0" fontId="80" fillId="0" borderId="0" xfId="0" applyFont="1" applyBorder="1" applyAlignment="1">
      <alignment horizontal="right" vertical="top"/>
    </xf>
    <xf numFmtId="0" fontId="149" fillId="0" borderId="33" xfId="0" applyFont="1" applyBorder="1" applyAlignment="1">
      <alignment horizontal="left" vertical="top"/>
    </xf>
    <xf numFmtId="1" fontId="36" fillId="0" borderId="0" xfId="0" applyNumberFormat="1" applyFont="1" applyFill="1" applyBorder="1" applyAlignment="1">
      <alignment vertical="top" wrapText="1"/>
    </xf>
    <xf numFmtId="1" fontId="36" fillId="0" borderId="0" xfId="0" applyNumberFormat="1" applyFont="1" applyFill="1" applyBorder="1" applyAlignment="1">
      <alignment vertical="top"/>
    </xf>
    <xf numFmtId="0" fontId="153" fillId="0" borderId="0" xfId="0" applyFont="1" applyFill="1" applyAlignment="1">
      <alignment vertical="top"/>
    </xf>
    <xf numFmtId="0" fontId="46" fillId="11" borderId="0" xfId="0" applyFont="1" applyFill="1" applyAlignment="1">
      <alignment horizontal="left" vertical="top" indent="1"/>
    </xf>
    <xf numFmtId="1" fontId="36" fillId="0" borderId="0" xfId="0" applyNumberFormat="1" applyFont="1" applyFill="1" applyBorder="1" applyAlignment="1">
      <alignment horizontal="left" vertical="top" indent="1"/>
    </xf>
    <xf numFmtId="9" fontId="36" fillId="14" borderId="12" xfId="0" applyNumberFormat="1" applyFont="1" applyFill="1" applyBorder="1" applyAlignment="1">
      <alignment horizontal="left" vertical="top"/>
    </xf>
    <xf numFmtId="9" fontId="46" fillId="14" borderId="160" xfId="0" applyNumberFormat="1" applyFont="1" applyFill="1" applyBorder="1" applyAlignment="1">
      <alignment horizontal="left" vertical="top"/>
    </xf>
    <xf numFmtId="9" fontId="46" fillId="14" borderId="12" xfId="0" applyNumberFormat="1" applyFont="1" applyFill="1" applyBorder="1" applyAlignment="1">
      <alignment horizontal="left" vertical="top"/>
    </xf>
    <xf numFmtId="9" fontId="47" fillId="14" borderId="12" xfId="0" applyNumberFormat="1" applyFont="1" applyFill="1" applyBorder="1" applyAlignment="1">
      <alignment horizontal="left" vertical="top"/>
    </xf>
    <xf numFmtId="9" fontId="36" fillId="14" borderId="5" xfId="0" applyNumberFormat="1" applyFont="1" applyFill="1" applyBorder="1" applyAlignment="1">
      <alignment horizontal="left" vertical="top"/>
    </xf>
    <xf numFmtId="0" fontId="46" fillId="14" borderId="12" xfId="0" applyFont="1" applyFill="1" applyBorder="1" applyAlignment="1">
      <alignment horizontal="left" vertical="top"/>
    </xf>
    <xf numFmtId="0" fontId="138" fillId="14" borderId="10" xfId="0" applyFont="1" applyFill="1" applyBorder="1"/>
    <xf numFmtId="167" fontId="47" fillId="14" borderId="12" xfId="0" applyNumberFormat="1" applyFont="1" applyFill="1" applyBorder="1" applyAlignment="1">
      <alignment horizontal="left" vertical="top"/>
    </xf>
    <xf numFmtId="9" fontId="46" fillId="14" borderId="5" xfId="3" applyFont="1" applyFill="1" applyBorder="1" applyAlignment="1">
      <alignment horizontal="left" vertical="top"/>
    </xf>
    <xf numFmtId="167" fontId="46" fillId="14" borderId="160" xfId="0" applyNumberFormat="1" applyFont="1" applyFill="1" applyBorder="1" applyAlignment="1">
      <alignment horizontal="left" vertical="top"/>
    </xf>
    <xf numFmtId="0" fontId="36" fillId="14" borderId="14" xfId="0" applyNumberFormat="1" applyFont="1" applyFill="1" applyBorder="1" applyAlignment="1">
      <alignment horizontal="left" vertical="top"/>
    </xf>
    <xf numFmtId="9" fontId="36" fillId="14" borderId="14" xfId="0" applyNumberFormat="1" applyFont="1" applyFill="1" applyBorder="1" applyAlignment="1">
      <alignment horizontal="left" vertical="top"/>
    </xf>
    <xf numFmtId="9" fontId="46" fillId="14" borderId="14" xfId="0" applyNumberFormat="1" applyFont="1" applyFill="1" applyBorder="1" applyAlignment="1">
      <alignment horizontal="left" vertical="top"/>
    </xf>
    <xf numFmtId="9" fontId="46" fillId="14" borderId="17" xfId="0" applyNumberFormat="1" applyFont="1" applyFill="1" applyBorder="1" applyAlignment="1">
      <alignment horizontal="left" vertical="top"/>
    </xf>
    <xf numFmtId="9" fontId="46" fillId="14" borderId="13" xfId="0" applyNumberFormat="1" applyFont="1" applyFill="1" applyBorder="1" applyAlignment="1">
      <alignment horizontal="left" vertical="top"/>
    </xf>
    <xf numFmtId="9" fontId="47" fillId="14" borderId="13" xfId="0" applyNumberFormat="1" applyFont="1" applyFill="1" applyBorder="1" applyAlignment="1">
      <alignment horizontal="left" vertical="top"/>
    </xf>
    <xf numFmtId="0" fontId="46" fillId="14" borderId="13" xfId="0" applyFont="1" applyFill="1" applyBorder="1" applyAlignment="1">
      <alignment horizontal="left" vertical="top"/>
    </xf>
    <xf numFmtId="0" fontId="138" fillId="14" borderId="9" xfId="0" applyFont="1" applyFill="1" applyBorder="1"/>
    <xf numFmtId="167" fontId="47" fillId="14" borderId="13" xfId="0" applyNumberFormat="1" applyFont="1" applyFill="1" applyBorder="1" applyAlignment="1">
      <alignment horizontal="left" vertical="top"/>
    </xf>
    <xf numFmtId="9" fontId="46" fillId="14" borderId="14" xfId="3" applyFont="1" applyFill="1" applyBorder="1" applyAlignment="1">
      <alignment horizontal="left" vertical="top"/>
    </xf>
    <xf numFmtId="167" fontId="46" fillId="14" borderId="17" xfId="0" applyNumberFormat="1" applyFont="1" applyFill="1" applyBorder="1" applyAlignment="1">
      <alignment horizontal="left" vertical="top"/>
    </xf>
    <xf numFmtId="167" fontId="37" fillId="14" borderId="3" xfId="0" applyNumberFormat="1" applyFont="1" applyFill="1" applyBorder="1" applyAlignment="1">
      <alignment horizontal="left" vertical="top"/>
    </xf>
    <xf numFmtId="9" fontId="36" fillId="0" borderId="0" xfId="0" applyNumberFormat="1" applyFont="1" applyFill="1" applyBorder="1" applyAlignment="1">
      <alignment horizontal="left" vertical="top"/>
    </xf>
    <xf numFmtId="167" fontId="76" fillId="18" borderId="3" xfId="6" applyNumberFormat="1" applyFont="1" applyFill="1" applyBorder="1" applyAlignment="1">
      <alignment horizontal="left" vertical="top"/>
    </xf>
    <xf numFmtId="167" fontId="37" fillId="0" borderId="3" xfId="0" applyNumberFormat="1" applyFont="1" applyFill="1" applyBorder="1" applyAlignment="1">
      <alignment horizontal="left" vertical="top"/>
    </xf>
    <xf numFmtId="167" fontId="37" fillId="13" borderId="3" xfId="6" applyNumberFormat="1" applyFont="1" applyFill="1" applyBorder="1" applyAlignment="1">
      <alignment horizontal="left" vertical="top"/>
    </xf>
    <xf numFmtId="0" fontId="36" fillId="0" borderId="0" xfId="0" applyFont="1" applyFill="1" applyBorder="1" applyAlignment="1">
      <alignment horizontal="left" vertical="top" wrapText="1" indent="1"/>
    </xf>
    <xf numFmtId="9" fontId="76" fillId="18" borderId="3" xfId="0" applyNumberFormat="1" applyFont="1" applyFill="1" applyBorder="1" applyAlignment="1">
      <alignment horizontal="left" vertical="top"/>
    </xf>
    <xf numFmtId="167" fontId="36" fillId="0" borderId="3" xfId="0" applyNumberFormat="1" applyFont="1" applyFill="1" applyBorder="1" applyAlignment="1">
      <alignment horizontal="left" vertical="top"/>
    </xf>
    <xf numFmtId="0" fontId="72" fillId="0" borderId="14" xfId="0" applyFont="1" applyFill="1" applyBorder="1" applyAlignment="1">
      <alignment horizontal="left" vertical="top"/>
    </xf>
    <xf numFmtId="167" fontId="72" fillId="0" borderId="121" xfId="0" applyNumberFormat="1" applyFont="1" applyFill="1" applyBorder="1" applyAlignment="1">
      <alignment horizontal="left" vertical="top"/>
    </xf>
    <xf numFmtId="167" fontId="72" fillId="0" borderId="77" xfId="0" applyNumberFormat="1" applyFont="1" applyFill="1" applyBorder="1" applyAlignment="1">
      <alignment horizontal="left" vertical="top"/>
    </xf>
    <xf numFmtId="9" fontId="72" fillId="0" borderId="121" xfId="0" applyNumberFormat="1" applyFont="1" applyFill="1" applyBorder="1" applyAlignment="1">
      <alignment horizontal="left" vertical="top"/>
    </xf>
    <xf numFmtId="9" fontId="72" fillId="0" borderId="77" xfId="0" applyNumberFormat="1" applyFont="1" applyFill="1" applyBorder="1" applyAlignment="1">
      <alignment horizontal="left" vertical="top"/>
    </xf>
    <xf numFmtId="0" fontId="68" fillId="0" borderId="14" xfId="0" applyFont="1" applyFill="1" applyBorder="1" applyAlignment="1">
      <alignment horizontal="left" vertical="top"/>
    </xf>
    <xf numFmtId="167" fontId="68" fillId="0" borderId="121" xfId="0" applyNumberFormat="1" applyFont="1" applyFill="1" applyBorder="1" applyAlignment="1">
      <alignment horizontal="left" vertical="top"/>
    </xf>
    <xf numFmtId="167" fontId="68" fillId="0" borderId="77" xfId="0" applyNumberFormat="1" applyFont="1" applyFill="1" applyBorder="1" applyAlignment="1">
      <alignment horizontal="left" vertical="top"/>
    </xf>
    <xf numFmtId="9" fontId="78" fillId="0" borderId="121" xfId="0" applyNumberFormat="1" applyFont="1" applyFill="1" applyBorder="1" applyAlignment="1">
      <alignment horizontal="left" vertical="top"/>
    </xf>
    <xf numFmtId="9" fontId="78" fillId="0" borderId="77" xfId="0" applyNumberFormat="1" applyFont="1" applyFill="1" applyBorder="1" applyAlignment="1">
      <alignment horizontal="left" vertical="top"/>
    </xf>
    <xf numFmtId="167" fontId="72" fillId="0" borderId="3" xfId="0" applyNumberFormat="1" applyFont="1" applyFill="1" applyBorder="1" applyAlignment="1">
      <alignment horizontal="left" vertical="top"/>
    </xf>
    <xf numFmtId="167" fontId="40" fillId="0" borderId="0" xfId="0" applyNumberFormat="1" applyFont="1" applyFill="1" applyBorder="1" applyAlignment="1">
      <alignment horizontal="left" vertical="top"/>
    </xf>
    <xf numFmtId="9" fontId="36" fillId="0" borderId="3" xfId="0" applyNumberFormat="1" applyFont="1" applyFill="1" applyBorder="1" applyAlignment="1">
      <alignment horizontal="left" vertical="top"/>
    </xf>
    <xf numFmtId="0" fontId="36" fillId="0" borderId="0" xfId="0" applyFont="1" applyFill="1" applyAlignment="1">
      <alignment horizontal="right" vertical="top"/>
    </xf>
    <xf numFmtId="0" fontId="36" fillId="0" borderId="0" xfId="0" applyFont="1" applyFill="1" applyAlignment="1">
      <alignment horizontal="right" vertical="top" indent="1"/>
    </xf>
    <xf numFmtId="0" fontId="78" fillId="0" borderId="0" xfId="0" applyFont="1" applyFill="1" applyAlignment="1">
      <alignment horizontal="left" vertical="top" indent="1"/>
    </xf>
    <xf numFmtId="0" fontId="72" fillId="0" borderId="0" xfId="0" applyFont="1" applyFill="1" applyAlignment="1">
      <alignment horizontal="left" vertical="top" indent="1"/>
    </xf>
    <xf numFmtId="0" fontId="72" fillId="11" borderId="0" xfId="0" applyFont="1" applyFill="1" applyBorder="1" applyAlignment="1">
      <alignment horizontal="left" vertical="top"/>
    </xf>
    <xf numFmtId="0" fontId="72" fillId="0" borderId="0" xfId="0" applyFont="1" applyAlignment="1"/>
    <xf numFmtId="9" fontId="36" fillId="0" borderId="5" xfId="0" applyNumberFormat="1" applyFont="1" applyFill="1" applyBorder="1" applyAlignment="1">
      <alignment horizontal="left" vertical="top"/>
    </xf>
    <xf numFmtId="9" fontId="36" fillId="0" borderId="5" xfId="0" applyNumberFormat="1" applyFont="1" applyFill="1" applyBorder="1" applyAlignment="1">
      <alignment horizontal="left" vertical="top" indent="1"/>
    </xf>
    <xf numFmtId="0" fontId="36" fillId="14" borderId="14" xfId="0" applyFont="1" applyFill="1" applyBorder="1" applyAlignment="1">
      <alignment horizontal="left" vertical="top"/>
    </xf>
    <xf numFmtId="0" fontId="36" fillId="3" borderId="3" xfId="6" applyFont="1" applyFill="1" applyBorder="1" applyAlignment="1">
      <alignment horizontal="left" vertical="top"/>
    </xf>
    <xf numFmtId="0" fontId="36" fillId="0" borderId="0" xfId="0" applyFont="1" applyAlignment="1">
      <alignment horizontal="left" vertical="top"/>
    </xf>
    <xf numFmtId="0" fontId="40" fillId="0" borderId="0" xfId="0" applyFont="1" applyAlignment="1">
      <alignment horizontal="left" vertical="top" indent="1"/>
    </xf>
    <xf numFmtId="0" fontId="192" fillId="0" borderId="0" xfId="0" applyFont="1" applyAlignment="1">
      <alignment horizontal="right" indent="3"/>
    </xf>
    <xf numFmtId="9" fontId="172" fillId="17" borderId="3" xfId="0" applyNumberFormat="1" applyFont="1" applyFill="1" applyBorder="1" applyAlignment="1">
      <alignment horizontal="left" vertical="top"/>
    </xf>
    <xf numFmtId="0" fontId="80" fillId="0" borderId="0" xfId="0" applyFont="1" applyAlignment="1">
      <alignment horizontal="right" vertical="top" indent="2"/>
    </xf>
    <xf numFmtId="0" fontId="76" fillId="18" borderId="3" xfId="6" applyFont="1" applyFill="1" applyBorder="1" applyAlignment="1">
      <alignment horizontal="left" vertical="top"/>
    </xf>
    <xf numFmtId="167" fontId="46" fillId="0" borderId="3" xfId="0" applyNumberFormat="1" applyFont="1" applyFill="1" applyBorder="1" applyAlignment="1">
      <alignment horizontal="left" vertical="top"/>
    </xf>
    <xf numFmtId="0" fontId="46" fillId="0" borderId="0" xfId="0" applyFont="1" applyFill="1" applyAlignment="1">
      <alignment horizontal="left" vertical="top" indent="1"/>
    </xf>
    <xf numFmtId="167" fontId="72" fillId="0" borderId="6" xfId="0" applyNumberFormat="1" applyFont="1" applyFill="1" applyBorder="1" applyAlignment="1">
      <alignment horizontal="left" vertical="top"/>
    </xf>
    <xf numFmtId="9" fontId="72" fillId="0" borderId="3" xfId="0" applyNumberFormat="1" applyFont="1" applyFill="1" applyBorder="1" applyAlignment="1">
      <alignment horizontal="left" vertical="top"/>
    </xf>
    <xf numFmtId="9" fontId="72" fillId="0" borderId="0" xfId="0" quotePrefix="1" applyNumberFormat="1" applyFont="1" applyFill="1" applyBorder="1" applyAlignment="1">
      <alignment horizontal="left" vertical="top"/>
    </xf>
    <xf numFmtId="9" fontId="78" fillId="0" borderId="0" xfId="0" quotePrefix="1" applyNumberFormat="1" applyFont="1" applyFill="1" applyBorder="1" applyAlignment="1">
      <alignment horizontal="left" vertical="top"/>
    </xf>
    <xf numFmtId="9" fontId="46" fillId="0" borderId="3" xfId="0" applyNumberFormat="1" applyFont="1" applyFill="1" applyBorder="1" applyAlignment="1">
      <alignment horizontal="left" vertical="top"/>
    </xf>
    <xf numFmtId="0" fontId="153" fillId="0" borderId="0" xfId="0" applyFont="1" applyAlignment="1">
      <alignment horizontal="left" vertical="top" indent="1"/>
    </xf>
    <xf numFmtId="0" fontId="68" fillId="0" borderId="0" xfId="0" applyFont="1" applyFill="1" applyBorder="1" applyAlignment="1">
      <alignment horizontal="left" vertical="top" indent="1"/>
    </xf>
    <xf numFmtId="0" fontId="177" fillId="0" borderId="0" xfId="0" applyFont="1" applyFill="1" applyBorder="1" applyAlignment="1">
      <alignment horizontal="left" vertical="top" indent="1"/>
    </xf>
    <xf numFmtId="0" fontId="68" fillId="0" borderId="0" xfId="6" applyFont="1" applyFill="1" applyBorder="1" applyAlignment="1">
      <alignment horizontal="left" vertical="top" indent="1"/>
    </xf>
    <xf numFmtId="9" fontId="68" fillId="0" borderId="0" xfId="0" applyNumberFormat="1" applyFont="1" applyFill="1" applyBorder="1" applyAlignment="1">
      <alignment horizontal="left" vertical="top" indent="1"/>
    </xf>
    <xf numFmtId="0" fontId="153" fillId="0" borderId="0" xfId="0" applyFont="1" applyFill="1" applyAlignment="1">
      <alignment horizontal="right" vertical="top" indent="1"/>
    </xf>
    <xf numFmtId="0" fontId="36" fillId="0" borderId="0" xfId="0" applyFont="1" applyFill="1" applyAlignment="1">
      <alignment vertical="top" wrapText="1"/>
    </xf>
    <xf numFmtId="0" fontId="49" fillId="0" borderId="0" xfId="0" applyFont="1" applyFill="1" applyAlignment="1">
      <alignment vertical="top" wrapText="1"/>
    </xf>
    <xf numFmtId="0" fontId="0" fillId="0" borderId="0" xfId="0" applyFill="1"/>
    <xf numFmtId="0" fontId="36" fillId="0" borderId="0" xfId="0" applyFont="1" applyFill="1" applyBorder="1" applyAlignment="1">
      <alignment horizontal="left" vertical="top" wrapText="1" indent="1"/>
    </xf>
    <xf numFmtId="0" fontId="36" fillId="0" borderId="0" xfId="0" applyFont="1" applyBorder="1" applyAlignment="1">
      <alignment horizontal="left" vertical="top"/>
    </xf>
    <xf numFmtId="0" fontId="46" fillId="0" borderId="33" xfId="0" applyFont="1" applyBorder="1" applyAlignment="1">
      <alignment horizontal="left" vertical="top" indent="1"/>
    </xf>
    <xf numFmtId="0" fontId="153" fillId="0" borderId="0" xfId="0" applyFont="1" applyAlignment="1">
      <alignment horizontal="left" vertical="top"/>
    </xf>
    <xf numFmtId="0" fontId="36" fillId="0" borderId="0" xfId="0" applyFont="1" applyBorder="1" applyAlignment="1">
      <alignment vertical="top" wrapText="1"/>
    </xf>
    <xf numFmtId="0" fontId="36" fillId="0" borderId="0" xfId="0" applyFont="1" applyBorder="1" applyAlignment="1">
      <alignment horizontal="left" vertical="top" wrapText="1" indent="1"/>
    </xf>
    <xf numFmtId="0" fontId="137" fillId="0" borderId="0" xfId="1" applyFont="1" applyAlignment="1" applyProtection="1">
      <alignment horizontal="left" indent="1"/>
    </xf>
    <xf numFmtId="0" fontId="36" fillId="0" borderId="0" xfId="0" applyNumberFormat="1" applyFont="1" applyAlignment="1">
      <alignment horizontal="left" vertical="top" wrapText="1" indent="1"/>
    </xf>
    <xf numFmtId="0" fontId="46" fillId="0" borderId="0" xfId="0" applyFont="1" applyBorder="1" applyAlignment="1">
      <alignment horizontal="left" vertical="top" wrapText="1"/>
    </xf>
    <xf numFmtId="0" fontId="36" fillId="0" borderId="0" xfId="0" applyNumberFormat="1" applyFont="1" applyBorder="1" applyAlignment="1">
      <alignment horizontal="left" vertical="top" wrapText="1" indent="1"/>
    </xf>
    <xf numFmtId="0" fontId="36" fillId="0" borderId="0" xfId="0" applyFont="1" applyAlignment="1">
      <alignment horizontal="left" vertical="top"/>
    </xf>
    <xf numFmtId="0" fontId="153" fillId="0" borderId="0" xfId="0" applyFont="1" applyAlignment="1">
      <alignment vertical="top" wrapText="1"/>
    </xf>
    <xf numFmtId="0" fontId="172" fillId="6" borderId="0" xfId="0" applyNumberFormat="1" applyFont="1" applyFill="1" applyBorder="1" applyAlignment="1">
      <alignment horizontal="left" vertical="top"/>
    </xf>
    <xf numFmtId="1" fontId="172" fillId="0" borderId="0" xfId="3" applyNumberFormat="1" applyFont="1" applyFill="1" applyBorder="1" applyAlignment="1">
      <alignment horizontal="left" vertical="top"/>
    </xf>
    <xf numFmtId="1" fontId="172" fillId="0" borderId="0" xfId="0" applyNumberFormat="1" applyFont="1" applyFill="1" applyBorder="1" applyAlignment="1">
      <alignment horizontal="left" vertical="top"/>
    </xf>
    <xf numFmtId="1" fontId="172" fillId="0" borderId="0" xfId="0" applyNumberFormat="1" applyFont="1" applyFill="1" applyAlignment="1">
      <alignment horizontal="left" vertical="top"/>
    </xf>
    <xf numFmtId="1" fontId="172" fillId="11" borderId="0" xfId="0" applyNumberFormat="1" applyFont="1" applyFill="1" applyAlignment="1">
      <alignment horizontal="left" vertical="top"/>
    </xf>
    <xf numFmtId="1" fontId="172" fillId="11" borderId="0" xfId="0" applyNumberFormat="1" applyFont="1" applyFill="1" applyBorder="1" applyAlignment="1">
      <alignment horizontal="left" vertical="top"/>
    </xf>
    <xf numFmtId="0" fontId="153" fillId="0" borderId="0" xfId="0" applyFont="1" applyFill="1" applyAlignment="1">
      <alignment horizontal="left" vertical="top"/>
    </xf>
    <xf numFmtId="1" fontId="72" fillId="0" borderId="0" xfId="0" applyNumberFormat="1" applyFont="1" applyFill="1" applyBorder="1" applyAlignment="1">
      <alignment horizontal="left" vertical="top" indent="1"/>
    </xf>
    <xf numFmtId="0" fontId="72" fillId="0" borderId="0" xfId="0" applyFont="1" applyFill="1" applyAlignment="1">
      <alignment horizontal="left" vertical="top"/>
    </xf>
    <xf numFmtId="0" fontId="72" fillId="0" borderId="0" xfId="0" quotePrefix="1" applyFont="1" applyFill="1" applyAlignment="1">
      <alignment horizontal="left" vertical="top" indent="2"/>
    </xf>
    <xf numFmtId="0" fontId="195" fillId="0" borderId="0" xfId="0" applyFont="1" applyFill="1" applyAlignment="1">
      <alignment horizontal="left" vertical="top" indent="1"/>
    </xf>
    <xf numFmtId="0" fontId="195" fillId="0" borderId="0" xfId="0" applyFont="1" applyFill="1" applyAlignment="1">
      <alignment horizontal="right" vertical="top" indent="1"/>
    </xf>
    <xf numFmtId="1" fontId="46" fillId="11" borderId="0" xfId="0" applyNumberFormat="1" applyFont="1" applyFill="1" applyBorder="1" applyAlignment="1">
      <alignment horizontal="left" vertical="top" indent="1"/>
    </xf>
    <xf numFmtId="1" fontId="46" fillId="11" borderId="0" xfId="0" applyNumberFormat="1" applyFont="1" applyFill="1" applyAlignment="1">
      <alignment horizontal="left" vertical="top"/>
    </xf>
    <xf numFmtId="0" fontId="46" fillId="11" borderId="0" xfId="0" quotePrefix="1" applyFont="1" applyFill="1" applyAlignment="1">
      <alignment horizontal="left" vertical="top" indent="2"/>
    </xf>
    <xf numFmtId="0" fontId="138" fillId="11" borderId="0" xfId="0" applyFont="1" applyFill="1" applyAlignment="1">
      <alignment horizontal="left" vertical="top" indent="1"/>
    </xf>
    <xf numFmtId="0" fontId="138" fillId="11" borderId="0" xfId="0" applyFont="1" applyFill="1" applyAlignment="1">
      <alignment horizontal="right" vertical="top" indent="1"/>
    </xf>
    <xf numFmtId="0" fontId="1" fillId="11" borderId="0" xfId="0" applyNumberFormat="1" applyFont="1" applyFill="1" applyBorder="1" applyAlignment="1">
      <alignment horizontal="left" vertical="top"/>
    </xf>
    <xf numFmtId="0" fontId="1" fillId="11" borderId="0" xfId="6" applyFont="1" applyFill="1" applyBorder="1" applyAlignment="1">
      <alignment horizontal="left" vertical="top"/>
    </xf>
    <xf numFmtId="9" fontId="1" fillId="11" borderId="0" xfId="0" applyNumberFormat="1" applyFont="1" applyFill="1" applyBorder="1" applyAlignment="1">
      <alignment horizontal="left" vertical="top"/>
    </xf>
    <xf numFmtId="9" fontId="1" fillId="11" borderId="0" xfId="0" applyNumberFormat="1" applyFont="1" applyFill="1" applyAlignment="1">
      <alignment horizontal="left" vertical="top"/>
    </xf>
    <xf numFmtId="0" fontId="1" fillId="11" borderId="0" xfId="0" applyFont="1" applyFill="1" applyBorder="1" applyAlignment="1">
      <alignment horizontal="left" vertical="top"/>
    </xf>
    <xf numFmtId="0" fontId="69" fillId="11" borderId="0" xfId="0" applyFont="1" applyFill="1" applyBorder="1"/>
    <xf numFmtId="167" fontId="1" fillId="11" borderId="0" xfId="0" applyNumberFormat="1" applyFont="1" applyFill="1" applyBorder="1" applyAlignment="1">
      <alignment horizontal="left" vertical="top"/>
    </xf>
    <xf numFmtId="9" fontId="1" fillId="11" borderId="0" xfId="3" applyFont="1" applyFill="1" applyBorder="1" applyAlignment="1">
      <alignment horizontal="left" vertical="top"/>
    </xf>
    <xf numFmtId="0" fontId="1" fillId="11" borderId="0" xfId="0" applyFont="1" applyFill="1" applyAlignment="1">
      <alignment horizontal="left" vertical="top"/>
    </xf>
    <xf numFmtId="9" fontId="48" fillId="11" borderId="0" xfId="0" applyNumberFormat="1" applyFont="1" applyFill="1" applyBorder="1" applyAlignment="1">
      <alignment horizontal="left" vertical="top"/>
    </xf>
    <xf numFmtId="9" fontId="1" fillId="11" borderId="0" xfId="3" applyNumberFormat="1" applyFont="1" applyFill="1" applyBorder="1" applyAlignment="1">
      <alignment horizontal="left" vertical="top"/>
    </xf>
    <xf numFmtId="1" fontId="37" fillId="7" borderId="0" xfId="0" applyNumberFormat="1" applyFont="1" applyFill="1" applyAlignment="1">
      <alignment horizontal="left" vertical="top"/>
    </xf>
    <xf numFmtId="1" fontId="36" fillId="0" borderId="0" xfId="3" applyNumberFormat="1" applyFont="1" applyFill="1" applyBorder="1" applyAlignment="1">
      <alignment horizontal="left" vertical="top"/>
    </xf>
    <xf numFmtId="0" fontId="37" fillId="13" borderId="3" xfId="0" applyNumberFormat="1" applyFont="1" applyFill="1" applyBorder="1" applyAlignment="1">
      <alignment horizontal="left" vertical="top"/>
    </xf>
    <xf numFmtId="1" fontId="37" fillId="6" borderId="0" xfId="0" quotePrefix="1" applyNumberFormat="1" applyFont="1" applyFill="1" applyAlignment="1">
      <alignment horizontal="left" vertical="top"/>
    </xf>
    <xf numFmtId="0" fontId="37" fillId="13" borderId="2" xfId="0" applyNumberFormat="1" applyFont="1" applyFill="1" applyBorder="1" applyAlignment="1">
      <alignment horizontal="left" vertical="top"/>
    </xf>
    <xf numFmtId="0" fontId="37" fillId="3" borderId="2" xfId="0" applyFont="1" applyFill="1" applyBorder="1" applyAlignment="1">
      <alignment horizontal="left" vertical="top"/>
    </xf>
    <xf numFmtId="0" fontId="37" fillId="13" borderId="6" xfId="0" applyFont="1" applyFill="1" applyBorder="1" applyAlignment="1">
      <alignment horizontal="left" vertical="top"/>
    </xf>
    <xf numFmtId="9" fontId="37" fillId="3" borderId="3" xfId="0" applyNumberFormat="1" applyFont="1" applyFill="1" applyBorder="1" applyAlignment="1">
      <alignment horizontal="left" vertical="top"/>
    </xf>
    <xf numFmtId="167" fontId="37" fillId="3" borderId="3" xfId="0" applyNumberFormat="1" applyFont="1" applyFill="1" applyBorder="1" applyAlignment="1">
      <alignment horizontal="left" vertical="top"/>
    </xf>
    <xf numFmtId="1" fontId="172" fillId="6" borderId="0" xfId="0" quotePrefix="1" applyNumberFormat="1" applyFont="1" applyFill="1" applyAlignment="1">
      <alignment horizontal="left" vertical="top"/>
    </xf>
    <xf numFmtId="1" fontId="172" fillId="16" borderId="0" xfId="0" applyNumberFormat="1" applyFont="1" applyFill="1" applyBorder="1" applyAlignment="1">
      <alignment horizontal="left" vertical="top"/>
    </xf>
    <xf numFmtId="0" fontId="153" fillId="0" borderId="0" xfId="0" applyNumberFormat="1" applyFont="1" applyFill="1" applyBorder="1" applyAlignment="1">
      <alignment horizontal="left" vertical="top"/>
    </xf>
    <xf numFmtId="1" fontId="153" fillId="0" borderId="0" xfId="0" applyNumberFormat="1" applyFont="1" applyFill="1" applyAlignment="1">
      <alignment horizontal="left" vertical="top"/>
    </xf>
    <xf numFmtId="1" fontId="153" fillId="16" borderId="0" xfId="3" applyNumberFormat="1" applyFont="1" applyFill="1" applyBorder="1" applyAlignment="1">
      <alignment horizontal="left" vertical="top"/>
    </xf>
    <xf numFmtId="1" fontId="153" fillId="16" borderId="0" xfId="0" applyNumberFormat="1" applyFont="1" applyFill="1" applyBorder="1" applyAlignment="1">
      <alignment horizontal="left" vertical="top"/>
    </xf>
    <xf numFmtId="1" fontId="153" fillId="11" borderId="0" xfId="0" applyNumberFormat="1" applyFont="1" applyFill="1" applyAlignment="1">
      <alignment horizontal="left" vertical="top"/>
    </xf>
    <xf numFmtId="1" fontId="153" fillId="0" borderId="0" xfId="0" applyNumberFormat="1" applyFont="1" applyFill="1" applyBorder="1" applyAlignment="1">
      <alignment horizontal="left" vertical="top"/>
    </xf>
    <xf numFmtId="1" fontId="153" fillId="11" borderId="0" xfId="0" applyNumberFormat="1" applyFont="1" applyFill="1" applyBorder="1" applyAlignment="1">
      <alignment horizontal="left" vertical="top"/>
    </xf>
    <xf numFmtId="0" fontId="153" fillId="16" borderId="0" xfId="0" applyFont="1" applyFill="1" applyAlignment="1">
      <alignment horizontal="left" vertical="top"/>
    </xf>
    <xf numFmtId="0" fontId="153" fillId="0" borderId="0" xfId="0" applyFont="1" applyFill="1" applyBorder="1" applyAlignment="1">
      <alignment vertical="top"/>
    </xf>
    <xf numFmtId="0" fontId="153" fillId="11" borderId="0" xfId="0" applyFont="1" applyFill="1" applyBorder="1" applyAlignment="1">
      <alignment vertical="top"/>
    </xf>
    <xf numFmtId="0" fontId="153" fillId="11" borderId="0" xfId="0" applyFont="1" applyFill="1" applyBorder="1" applyAlignment="1">
      <alignment horizontal="left" vertical="top"/>
    </xf>
    <xf numFmtId="0" fontId="185" fillId="0" borderId="0" xfId="0" applyFont="1" applyAlignment="1">
      <alignment horizontal="left" vertical="top"/>
    </xf>
    <xf numFmtId="1" fontId="172" fillId="0" borderId="0" xfId="0" applyNumberFormat="1" applyFont="1" applyFill="1" applyAlignment="1">
      <alignment horizontal="left" vertical="top" indent="1"/>
    </xf>
    <xf numFmtId="0" fontId="172" fillId="0" borderId="0" xfId="0" applyNumberFormat="1" applyFont="1" applyFill="1" applyBorder="1" applyAlignment="1">
      <alignment horizontal="left" vertical="top"/>
    </xf>
    <xf numFmtId="0" fontId="172" fillId="0" borderId="0" xfId="0" applyFont="1" applyFill="1" applyAlignment="1">
      <alignment horizontal="left" vertical="top"/>
    </xf>
    <xf numFmtId="0" fontId="194" fillId="0" borderId="0" xfId="0" applyFont="1" applyAlignment="1">
      <alignment horizontal="right" vertical="top" indent="2"/>
    </xf>
    <xf numFmtId="0" fontId="185" fillId="0" borderId="0" xfId="0" applyFont="1" applyAlignment="1">
      <alignment horizontal="right" vertical="top" indent="2"/>
    </xf>
    <xf numFmtId="0" fontId="46" fillId="0" borderId="0" xfId="0" applyFont="1" applyFill="1" applyBorder="1" applyAlignment="1">
      <alignment horizontal="right" vertical="top"/>
    </xf>
    <xf numFmtId="0" fontId="185" fillId="0" borderId="0" xfId="0" applyFont="1" applyAlignment="1">
      <alignment horizontal="right" vertical="top"/>
    </xf>
    <xf numFmtId="167" fontId="72" fillId="0" borderId="0" xfId="0" applyNumberFormat="1" applyFont="1" applyBorder="1" applyAlignment="1">
      <alignment horizontal="left" vertical="top"/>
    </xf>
    <xf numFmtId="0" fontId="72" fillId="0" borderId="0" xfId="0" applyFont="1" applyAlignment="1">
      <alignment horizontal="left" vertical="top"/>
    </xf>
    <xf numFmtId="2" fontId="72" fillId="0" borderId="5" xfId="0" applyNumberFormat="1" applyFont="1" applyBorder="1" applyAlignment="1">
      <alignment horizontal="left" vertical="top"/>
    </xf>
    <xf numFmtId="2" fontId="72" fillId="0" borderId="0" xfId="0" applyNumberFormat="1" applyFont="1" applyAlignment="1">
      <alignment horizontal="left" vertical="top"/>
    </xf>
    <xf numFmtId="0" fontId="72" fillId="0" borderId="152" xfId="0" applyFont="1" applyBorder="1" applyAlignment="1">
      <alignment horizontal="left" vertical="top"/>
    </xf>
    <xf numFmtId="1" fontId="153" fillId="0" borderId="0" xfId="0" applyNumberFormat="1" applyFont="1" applyFill="1" applyBorder="1" applyAlignment="1">
      <alignment horizontal="right" vertical="top" indent="3"/>
    </xf>
    <xf numFmtId="1" fontId="153" fillId="0" borderId="0" xfId="0" quotePrefix="1" applyNumberFormat="1" applyFont="1" applyFill="1" applyAlignment="1">
      <alignment horizontal="left" vertical="top"/>
    </xf>
    <xf numFmtId="1" fontId="153" fillId="16" borderId="0" xfId="0" applyNumberFormat="1" applyFont="1" applyFill="1" applyAlignment="1">
      <alignment horizontal="left" vertical="top"/>
    </xf>
    <xf numFmtId="1" fontId="153" fillId="0" borderId="0" xfId="0" applyNumberFormat="1" applyFont="1" applyFill="1" applyAlignment="1">
      <alignment horizontal="left" vertical="top" indent="1"/>
    </xf>
    <xf numFmtId="1" fontId="153" fillId="0" borderId="0" xfId="0" quotePrefix="1" applyNumberFormat="1" applyFont="1" applyFill="1" applyBorder="1" applyAlignment="1">
      <alignment horizontal="right" vertical="top" indent="3"/>
    </xf>
    <xf numFmtId="0" fontId="153" fillId="0" borderId="5" xfId="0" applyFont="1" applyBorder="1" applyAlignment="1">
      <alignment horizontal="left" vertical="top"/>
    </xf>
    <xf numFmtId="9" fontId="153" fillId="0" borderId="5" xfId="0" applyNumberFormat="1" applyFont="1" applyBorder="1" applyAlignment="1">
      <alignment horizontal="left" vertical="top"/>
    </xf>
    <xf numFmtId="9" fontId="153" fillId="0" borderId="0" xfId="0" applyNumberFormat="1" applyFont="1" applyAlignment="1">
      <alignment horizontal="left" vertical="top"/>
    </xf>
    <xf numFmtId="9" fontId="172" fillId="0" borderId="152" xfId="0" applyNumberFormat="1" applyFont="1" applyBorder="1" applyAlignment="1">
      <alignment horizontal="left" vertical="top"/>
    </xf>
    <xf numFmtId="9" fontId="172" fillId="0" borderId="14" xfId="3" applyFont="1" applyBorder="1" applyAlignment="1">
      <alignment horizontal="left" vertical="top"/>
    </xf>
    <xf numFmtId="0" fontId="172" fillId="0" borderId="152" xfId="0" applyFont="1" applyBorder="1" applyAlignment="1">
      <alignment horizontal="left" vertical="top"/>
    </xf>
    <xf numFmtId="0" fontId="172" fillId="0" borderId="14" xfId="0" applyFont="1" applyBorder="1" applyAlignment="1">
      <alignment horizontal="left" vertical="top"/>
    </xf>
    <xf numFmtId="0" fontId="172" fillId="0" borderId="0" xfId="0" applyFont="1" applyAlignment="1">
      <alignment horizontal="left" vertical="top"/>
    </xf>
    <xf numFmtId="0" fontId="185" fillId="0" borderId="0" xfId="0" applyFont="1" applyFill="1" applyAlignment="1">
      <alignment horizontal="left" vertical="top" indent="1"/>
    </xf>
    <xf numFmtId="0" fontId="153" fillId="0" borderId="0" xfId="0" applyFont="1" applyFill="1" applyAlignment="1">
      <alignment horizontal="left" vertical="top" indent="1"/>
    </xf>
    <xf numFmtId="0" fontId="172" fillId="0" borderId="0" xfId="6" applyFont="1" applyFill="1" applyBorder="1" applyAlignment="1">
      <alignment horizontal="left" vertical="top" indent="1"/>
    </xf>
    <xf numFmtId="0" fontId="36" fillId="11" borderId="0" xfId="0" applyFont="1" applyFill="1" applyBorder="1" applyAlignment="1">
      <alignment horizontal="left" vertical="top" indent="1"/>
    </xf>
    <xf numFmtId="0" fontId="46" fillId="0" borderId="0" xfId="0" applyFont="1" applyFill="1" applyBorder="1" applyAlignment="1">
      <alignment horizontal="left" vertical="top" indent="1"/>
    </xf>
    <xf numFmtId="9" fontId="47" fillId="11" borderId="0" xfId="0" applyNumberFormat="1" applyFont="1" applyFill="1" applyBorder="1" applyAlignment="1">
      <alignment horizontal="left" vertical="top"/>
    </xf>
    <xf numFmtId="167" fontId="47" fillId="11" borderId="0" xfId="0" applyNumberFormat="1" applyFont="1" applyFill="1" applyBorder="1" applyAlignment="1">
      <alignment horizontal="left" vertical="top"/>
    </xf>
    <xf numFmtId="0" fontId="46" fillId="0" borderId="0" xfId="0" applyFont="1" applyBorder="1" applyAlignment="1">
      <alignment horizontal="left" vertical="top" indent="1"/>
    </xf>
    <xf numFmtId="11" fontId="37" fillId="0" borderId="0" xfId="0" applyNumberFormat="1" applyFont="1" applyBorder="1" applyAlignment="1">
      <alignment horizontal="left" vertical="top" indent="2"/>
    </xf>
    <xf numFmtId="0" fontId="78" fillId="0" borderId="0" xfId="0" applyFont="1" applyBorder="1" applyAlignment="1">
      <alignment horizontal="left" vertical="top" indent="1"/>
    </xf>
    <xf numFmtId="0" fontId="162" fillId="0" borderId="0" xfId="1" applyFont="1" applyFill="1" applyAlignment="1" applyProtection="1">
      <alignment horizontal="left"/>
    </xf>
    <xf numFmtId="0" fontId="78" fillId="0" borderId="0" xfId="0" quotePrefix="1" applyFont="1" applyFill="1" applyAlignment="1">
      <alignment horizontal="left"/>
    </xf>
    <xf numFmtId="0" fontId="72" fillId="0" borderId="0" xfId="0" applyFont="1" applyBorder="1" applyAlignment="1">
      <alignment horizontal="left" vertical="top" indent="1"/>
    </xf>
    <xf numFmtId="9" fontId="109" fillId="0" borderId="0" xfId="6" applyNumberFormat="1" applyFont="1" applyFill="1" applyBorder="1" applyAlignment="1">
      <alignment horizontal="left" vertical="top"/>
    </xf>
    <xf numFmtId="167" fontId="44" fillId="3" borderId="3" xfId="0" applyNumberFormat="1" applyFont="1" applyFill="1" applyBorder="1" applyAlignment="1">
      <alignment horizontal="left" vertical="top"/>
    </xf>
    <xf numFmtId="0" fontId="72" fillId="0" borderId="0" xfId="0" applyFont="1" applyFill="1" applyBorder="1" applyAlignment="1">
      <alignment horizontal="left" vertical="top" indent="2"/>
    </xf>
    <xf numFmtId="0" fontId="36" fillId="0" borderId="0" xfId="0" applyFont="1" applyFill="1" applyBorder="1" applyAlignment="1">
      <alignment horizontal="right"/>
    </xf>
    <xf numFmtId="0" fontId="36" fillId="0" borderId="0" xfId="0" applyFont="1" applyBorder="1" applyAlignment="1">
      <alignment horizontal="left" indent="1"/>
    </xf>
    <xf numFmtId="0" fontId="36" fillId="0" borderId="0" xfId="0" quotePrefix="1" applyFont="1" applyFill="1" applyBorder="1" applyAlignment="1">
      <alignment horizontal="left" indent="1"/>
    </xf>
    <xf numFmtId="167" fontId="36" fillId="0" borderId="0" xfId="0" applyNumberFormat="1" applyFont="1" applyFill="1" applyBorder="1" applyAlignment="1">
      <alignment horizontal="left" vertical="top" indent="1"/>
    </xf>
    <xf numFmtId="167" fontId="36" fillId="0" borderId="0" xfId="0" applyNumberFormat="1" applyFont="1" applyBorder="1" applyAlignment="1">
      <alignment horizontal="left" vertical="top" indent="1"/>
    </xf>
    <xf numFmtId="0" fontId="71" fillId="0" borderId="0" xfId="0" applyFont="1" applyFill="1" applyBorder="1" applyAlignment="1">
      <alignment horizontal="center" vertical="top"/>
    </xf>
    <xf numFmtId="0" fontId="71" fillId="0" borderId="0" xfId="0" applyFont="1" applyBorder="1" applyAlignment="1">
      <alignment horizontal="center"/>
    </xf>
    <xf numFmtId="0" fontId="46" fillId="0" borderId="0" xfId="0" applyFont="1" applyFill="1" applyBorder="1" applyAlignment="1">
      <alignment horizontal="left"/>
    </xf>
    <xf numFmtId="0" fontId="46" fillId="0" borderId="0" xfId="0" applyFont="1" applyFill="1" applyBorder="1" applyAlignment="1">
      <alignment horizontal="right"/>
    </xf>
    <xf numFmtId="0" fontId="36" fillId="0" borderId="3" xfId="0" applyFont="1" applyFill="1" applyBorder="1" applyAlignment="1">
      <alignment horizontal="left" vertical="top"/>
    </xf>
    <xf numFmtId="9" fontId="36" fillId="0" borderId="3" xfId="3" applyFont="1" applyFill="1" applyBorder="1" applyAlignment="1">
      <alignment horizontal="left" vertical="top"/>
    </xf>
    <xf numFmtId="10" fontId="78" fillId="0" borderId="0" xfId="0" applyNumberFormat="1" applyFont="1" applyFill="1" applyBorder="1" applyAlignment="1">
      <alignment horizontal="left" vertical="top"/>
    </xf>
    <xf numFmtId="0" fontId="36" fillId="0" borderId="15" xfId="0" quotePrefix="1" applyFont="1" applyFill="1" applyBorder="1" applyAlignment="1">
      <alignment vertical="top"/>
    </xf>
    <xf numFmtId="0" fontId="36" fillId="0" borderId="0" xfId="0" applyFont="1" applyBorder="1" applyAlignment="1"/>
    <xf numFmtId="167" fontId="37" fillId="0" borderId="0" xfId="0" applyNumberFormat="1" applyFont="1" applyFill="1" applyBorder="1" applyAlignment="1">
      <alignment horizontal="left" vertical="top"/>
    </xf>
    <xf numFmtId="0" fontId="36" fillId="0" borderId="0" xfId="0" quotePrefix="1" applyFont="1" applyFill="1" applyBorder="1" applyAlignment="1">
      <alignment horizontal="left" vertical="top"/>
    </xf>
    <xf numFmtId="167" fontId="46" fillId="0" borderId="3" xfId="0" applyNumberFormat="1" applyFont="1" applyFill="1" applyBorder="1" applyAlignment="1">
      <alignment horizontal="left"/>
    </xf>
    <xf numFmtId="167" fontId="153" fillId="0" borderId="3" xfId="0" applyNumberFormat="1" applyFont="1" applyFill="1" applyBorder="1" applyAlignment="1">
      <alignment horizontal="left" vertical="top"/>
    </xf>
    <xf numFmtId="167" fontId="153" fillId="0" borderId="0" xfId="0" applyNumberFormat="1" applyFont="1" applyFill="1" applyBorder="1" applyAlignment="1">
      <alignment horizontal="left" vertical="top" indent="1"/>
    </xf>
    <xf numFmtId="2" fontId="36" fillId="0" borderId="3" xfId="3" applyNumberFormat="1" applyFont="1" applyBorder="1" applyAlignment="1">
      <alignment horizontal="left" vertical="top"/>
    </xf>
    <xf numFmtId="10" fontId="46" fillId="0" borderId="0" xfId="0" applyNumberFormat="1" applyFont="1" applyFill="1" applyBorder="1" applyAlignment="1">
      <alignment horizontal="left" vertical="top"/>
    </xf>
    <xf numFmtId="168" fontId="36" fillId="0" borderId="3" xfId="0" applyNumberFormat="1" applyFont="1" applyFill="1" applyBorder="1" applyAlignment="1">
      <alignment horizontal="left" vertical="top"/>
    </xf>
    <xf numFmtId="10" fontId="36" fillId="0" borderId="3" xfId="0" applyNumberFormat="1" applyFont="1" applyFill="1" applyBorder="1" applyAlignment="1">
      <alignment horizontal="left"/>
    </xf>
    <xf numFmtId="10" fontId="36" fillId="0" borderId="0" xfId="0" applyNumberFormat="1" applyFont="1" applyFill="1" applyBorder="1" applyAlignment="1">
      <alignment horizontal="left"/>
    </xf>
    <xf numFmtId="10" fontId="37" fillId="3" borderId="3" xfId="3" applyNumberFormat="1" applyFont="1" applyFill="1" applyBorder="1" applyAlignment="1">
      <alignment horizontal="left" vertical="top"/>
    </xf>
    <xf numFmtId="10" fontId="37" fillId="0" borderId="0" xfId="0" applyNumberFormat="1" applyFont="1" applyFill="1" applyBorder="1" applyAlignment="1">
      <alignment horizontal="left" vertical="top"/>
    </xf>
    <xf numFmtId="10" fontId="37" fillId="13" borderId="3" xfId="3" applyNumberFormat="1" applyFont="1" applyFill="1" applyBorder="1" applyAlignment="1">
      <alignment horizontal="left" vertical="top"/>
    </xf>
    <xf numFmtId="2" fontId="36" fillId="0" borderId="3" xfId="0" applyNumberFormat="1" applyFont="1" applyBorder="1" applyAlignment="1">
      <alignment horizontal="left" vertical="top"/>
    </xf>
    <xf numFmtId="9" fontId="36" fillId="0" borderId="12" xfId="0" applyNumberFormat="1" applyFont="1" applyFill="1" applyBorder="1" applyAlignment="1">
      <alignment horizontal="left" vertical="top"/>
    </xf>
    <xf numFmtId="2" fontId="0" fillId="0" borderId="154" xfId="0" applyNumberFormat="1" applyBorder="1" applyAlignment="1">
      <alignment horizontal="left"/>
    </xf>
    <xf numFmtId="10" fontId="36" fillId="0" borderId="3" xfId="0" applyNumberFormat="1" applyFont="1" applyFill="1" applyBorder="1" applyAlignment="1">
      <alignment horizontal="left" vertical="top"/>
    </xf>
    <xf numFmtId="10" fontId="36" fillId="0" borderId="3" xfId="0" applyNumberFormat="1" applyFont="1" applyBorder="1" applyAlignment="1">
      <alignment horizontal="left" vertical="top"/>
    </xf>
    <xf numFmtId="2" fontId="36" fillId="0" borderId="3" xfId="0" quotePrefix="1" applyNumberFormat="1" applyFont="1" applyBorder="1" applyAlignment="1">
      <alignment horizontal="left"/>
    </xf>
    <xf numFmtId="10" fontId="36" fillId="0" borderId="0" xfId="0" applyNumberFormat="1" applyFont="1" applyBorder="1" applyAlignment="1">
      <alignment horizontal="left" vertical="top"/>
    </xf>
    <xf numFmtId="167" fontId="46" fillId="0" borderId="0" xfId="0" applyNumberFormat="1" applyFont="1" applyFill="1" applyBorder="1" applyAlignment="1">
      <alignment horizontal="left" vertical="top" indent="1"/>
    </xf>
    <xf numFmtId="0" fontId="46" fillId="0" borderId="0" xfId="0" applyFont="1" applyFill="1" applyAlignment="1">
      <alignment horizontal="left" vertical="top" indent="2"/>
    </xf>
    <xf numFmtId="0" fontId="46" fillId="0" borderId="0" xfId="0" applyFont="1" applyFill="1" applyAlignment="1">
      <alignment vertical="top"/>
    </xf>
    <xf numFmtId="0" fontId="46" fillId="0" borderId="0" xfId="0" applyFont="1" applyFill="1" applyAlignment="1">
      <alignment vertical="top" wrapText="1"/>
    </xf>
    <xf numFmtId="10" fontId="46" fillId="0" borderId="0" xfId="0" applyNumberFormat="1" applyFont="1" applyFill="1" applyBorder="1" applyAlignment="1">
      <alignment horizontal="left"/>
    </xf>
    <xf numFmtId="10" fontId="149" fillId="0" borderId="0" xfId="0" applyNumberFormat="1" applyFont="1" applyFill="1" applyBorder="1" applyAlignment="1">
      <alignment horizontal="left" vertical="top"/>
    </xf>
    <xf numFmtId="10" fontId="46" fillId="0" borderId="0" xfId="0" applyNumberFormat="1" applyFont="1" applyBorder="1" applyAlignment="1">
      <alignment horizontal="left" vertical="top"/>
    </xf>
    <xf numFmtId="0" fontId="46" fillId="0" borderId="0" xfId="0" quotePrefix="1" applyFont="1" applyBorder="1" applyAlignment="1">
      <alignment horizontal="left" vertical="top" indent="3"/>
    </xf>
    <xf numFmtId="0" fontId="46" fillId="0" borderId="0" xfId="1" applyFont="1" applyFill="1" applyAlignment="1" applyProtection="1">
      <alignment vertical="top"/>
    </xf>
    <xf numFmtId="0" fontId="46" fillId="0" borderId="0" xfId="0" applyFont="1" applyBorder="1" applyAlignment="1">
      <alignment horizontal="left" vertical="top" indent="2"/>
    </xf>
    <xf numFmtId="0" fontId="46" fillId="0" borderId="0" xfId="0" applyFont="1" applyFill="1" applyBorder="1" applyAlignment="1">
      <alignment horizontal="left" indent="1"/>
    </xf>
    <xf numFmtId="10" fontId="46" fillId="0" borderId="0" xfId="0" applyNumberFormat="1" applyFont="1" applyFill="1" applyBorder="1" applyAlignment="1">
      <alignment horizontal="left" indent="1"/>
    </xf>
    <xf numFmtId="10" fontId="149" fillId="0" borderId="0" xfId="0" applyNumberFormat="1" applyFont="1" applyFill="1" applyBorder="1" applyAlignment="1">
      <alignment horizontal="left" vertical="top" indent="1"/>
    </xf>
    <xf numFmtId="10" fontId="46" fillId="0" borderId="0" xfId="0" applyNumberFormat="1" applyFont="1" applyBorder="1" applyAlignment="1">
      <alignment horizontal="left" vertical="top" indent="1"/>
    </xf>
    <xf numFmtId="0" fontId="138" fillId="0" borderId="0" xfId="0" applyFont="1" applyFill="1" applyBorder="1" applyAlignment="1">
      <alignment horizontal="center" vertical="top"/>
    </xf>
    <xf numFmtId="0" fontId="47" fillId="0" borderId="0" xfId="0" applyFont="1" applyBorder="1" applyAlignment="1">
      <alignment horizontal="left" vertical="top" indent="1"/>
    </xf>
    <xf numFmtId="10" fontId="36" fillId="0" borderId="0" xfId="0" applyNumberFormat="1" applyFont="1" applyFill="1" applyBorder="1" applyAlignment="1">
      <alignment horizontal="right"/>
    </xf>
    <xf numFmtId="0" fontId="46" fillId="0" borderId="0" xfId="0" applyFont="1" applyFill="1" applyBorder="1" applyAlignment="1">
      <alignment horizontal="left" wrapText="1" indent="1"/>
    </xf>
    <xf numFmtId="167" fontId="72" fillId="34" borderId="121" xfId="0" applyNumberFormat="1" applyFont="1" applyFill="1" applyBorder="1" applyAlignment="1">
      <alignment horizontal="left" vertical="top"/>
    </xf>
    <xf numFmtId="167" fontId="72" fillId="34" borderId="77" xfId="0" applyNumberFormat="1" applyFont="1" applyFill="1" applyBorder="1" applyAlignment="1">
      <alignment horizontal="left" vertical="top"/>
    </xf>
    <xf numFmtId="167" fontId="82" fillId="34" borderId="121" xfId="0" applyNumberFormat="1" applyFont="1" applyFill="1" applyBorder="1" applyAlignment="1">
      <alignment horizontal="left" vertical="top"/>
    </xf>
    <xf numFmtId="167" fontId="82" fillId="34" borderId="77" xfId="0" applyNumberFormat="1" applyFont="1" applyFill="1" applyBorder="1" applyAlignment="1">
      <alignment horizontal="left" vertical="top"/>
    </xf>
    <xf numFmtId="11" fontId="36" fillId="0" borderId="0" xfId="0" applyNumberFormat="1" applyFont="1" applyFill="1" applyAlignment="1">
      <alignment horizontal="left" vertical="top"/>
    </xf>
    <xf numFmtId="11" fontId="36" fillId="0" borderId="0" xfId="0" quotePrefix="1" applyNumberFormat="1" applyFont="1" applyFill="1" applyAlignment="1">
      <alignment horizontal="left" vertical="top"/>
    </xf>
    <xf numFmtId="167" fontId="46" fillId="0" borderId="121" xfId="0" applyNumberFormat="1" applyFont="1" applyFill="1" applyBorder="1" applyAlignment="1">
      <alignment horizontal="left" vertical="top"/>
    </xf>
    <xf numFmtId="167" fontId="46" fillId="0" borderId="77" xfId="0" applyNumberFormat="1" applyFont="1" applyFill="1" applyBorder="1" applyAlignment="1">
      <alignment horizontal="left" vertical="top"/>
    </xf>
    <xf numFmtId="1" fontId="46" fillId="0" borderId="0" xfId="0" applyNumberFormat="1" applyFont="1" applyFill="1" applyAlignment="1">
      <alignment horizontal="left" vertical="top" indent="1"/>
    </xf>
    <xf numFmtId="0" fontId="36" fillId="11" borderId="11" xfId="6" applyFont="1" applyFill="1" applyBorder="1" applyAlignment="1">
      <alignment horizontal="left" vertical="top"/>
    </xf>
    <xf numFmtId="0" fontId="153" fillId="0" borderId="0" xfId="0" quotePrefix="1" applyFont="1" applyFill="1" applyBorder="1" applyAlignment="1">
      <alignment horizontal="left" vertical="top" indent="1"/>
    </xf>
    <xf numFmtId="0" fontId="153" fillId="0" borderId="0" xfId="0" applyFont="1" applyFill="1" applyBorder="1" applyAlignment="1">
      <alignment horizontal="left" vertical="top" indent="1"/>
    </xf>
    <xf numFmtId="0" fontId="172" fillId="13" borderId="3" xfId="0" applyNumberFormat="1" applyFont="1" applyFill="1" applyBorder="1" applyAlignment="1">
      <alignment horizontal="left" vertical="top"/>
    </xf>
    <xf numFmtId="0" fontId="172" fillId="3" borderId="3" xfId="0" applyFont="1" applyFill="1" applyBorder="1" applyAlignment="1">
      <alignment horizontal="left" vertical="top"/>
    </xf>
    <xf numFmtId="14" fontId="153" fillId="0" borderId="15" xfId="0" applyNumberFormat="1" applyFont="1" applyFill="1" applyBorder="1" applyAlignment="1">
      <alignment vertical="top"/>
    </xf>
    <xf numFmtId="14" fontId="172" fillId="0" borderId="0" xfId="0" applyNumberFormat="1" applyFont="1" applyFill="1" applyBorder="1" applyAlignment="1">
      <alignment vertical="top"/>
    </xf>
    <xf numFmtId="0" fontId="153" fillId="0" borderId="0" xfId="0" applyFont="1" applyFill="1" applyBorder="1" applyAlignment="1">
      <alignment horizontal="left"/>
    </xf>
    <xf numFmtId="14" fontId="172" fillId="0" borderId="0" xfId="0" applyNumberFormat="1" applyFont="1" applyFill="1" applyBorder="1" applyAlignment="1">
      <alignment horizontal="center" vertical="top"/>
    </xf>
    <xf numFmtId="0" fontId="153" fillId="0" borderId="15" xfId="0" applyFont="1" applyFill="1" applyBorder="1" applyAlignment="1">
      <alignment horizontal="left" vertical="top"/>
    </xf>
    <xf numFmtId="0" fontId="153" fillId="0" borderId="6" xfId="0" applyFont="1" applyFill="1" applyBorder="1" applyAlignment="1">
      <alignment vertical="top"/>
    </xf>
    <xf numFmtId="0" fontId="153" fillId="0" borderId="7" xfId="0" applyFont="1" applyFill="1" applyBorder="1" applyAlignment="1">
      <alignment vertical="top"/>
    </xf>
    <xf numFmtId="0" fontId="153" fillId="0" borderId="77" xfId="0" applyFont="1" applyFill="1" applyBorder="1" applyAlignment="1">
      <alignment horizontal="left" vertical="top"/>
    </xf>
    <xf numFmtId="0" fontId="172" fillId="0" borderId="0" xfId="0" applyFont="1" applyFill="1" applyBorder="1" applyAlignment="1">
      <alignment horizontal="left" vertical="top"/>
    </xf>
    <xf numFmtId="0" fontId="153" fillId="0" borderId="3" xfId="0" applyFont="1" applyFill="1" applyBorder="1" applyAlignment="1">
      <alignment vertical="top"/>
    </xf>
    <xf numFmtId="0" fontId="153" fillId="0" borderId="12" xfId="0" applyNumberFormat="1" applyFont="1" applyBorder="1" applyAlignment="1">
      <alignment horizontal="left" vertical="top"/>
    </xf>
    <xf numFmtId="0" fontId="153" fillId="0" borderId="10" xfId="6" applyFont="1" applyBorder="1" applyAlignment="1">
      <alignment horizontal="left" vertical="top"/>
    </xf>
    <xf numFmtId="1" fontId="153" fillId="0" borderId="15" xfId="0" applyNumberFormat="1" applyFont="1" applyFill="1" applyBorder="1" applyAlignment="1">
      <alignment horizontal="left" vertical="top"/>
    </xf>
    <xf numFmtId="167" fontId="153" fillId="0" borderId="90" xfId="0" applyNumberFormat="1" applyFont="1" applyFill="1" applyBorder="1" applyAlignment="1">
      <alignment horizontal="left" vertical="top"/>
    </xf>
    <xf numFmtId="167" fontId="153" fillId="0" borderId="0" xfId="0" applyNumberFormat="1" applyFont="1" applyFill="1" applyAlignment="1">
      <alignment horizontal="left" vertical="top"/>
    </xf>
    <xf numFmtId="0" fontId="153" fillId="0" borderId="11" xfId="0" applyNumberFormat="1" applyFont="1" applyBorder="1" applyAlignment="1">
      <alignment horizontal="left" vertical="top"/>
    </xf>
    <xf numFmtId="0" fontId="153" fillId="0" borderId="0" xfId="6" applyFont="1" applyBorder="1" applyAlignment="1">
      <alignment horizontal="left" vertical="top"/>
    </xf>
    <xf numFmtId="167" fontId="153" fillId="0" borderId="91" xfId="0" applyNumberFormat="1" applyFont="1" applyFill="1" applyBorder="1" applyAlignment="1">
      <alignment horizontal="left" vertical="top"/>
    </xf>
    <xf numFmtId="0" fontId="153" fillId="14" borderId="11" xfId="0" applyNumberFormat="1" applyFont="1" applyFill="1" applyBorder="1" applyAlignment="1">
      <alignment horizontal="left" vertical="top"/>
    </xf>
    <xf numFmtId="0" fontId="153" fillId="14" borderId="0" xfId="6" applyFont="1" applyFill="1" applyBorder="1" applyAlignment="1">
      <alignment horizontal="left" vertical="top"/>
    </xf>
    <xf numFmtId="167" fontId="153" fillId="14" borderId="91" xfId="0" applyNumberFormat="1" applyFont="1" applyFill="1" applyBorder="1" applyAlignment="1">
      <alignment horizontal="left" vertical="top"/>
    </xf>
    <xf numFmtId="0" fontId="153" fillId="14" borderId="13" xfId="0" applyNumberFormat="1" applyFont="1" applyFill="1" applyBorder="1" applyAlignment="1">
      <alignment horizontal="left" vertical="top"/>
    </xf>
    <xf numFmtId="0" fontId="153" fillId="14" borderId="14" xfId="6" applyFont="1" applyFill="1" applyBorder="1" applyAlignment="1">
      <alignment horizontal="left" vertical="top"/>
    </xf>
    <xf numFmtId="167" fontId="153" fillId="14" borderId="92" xfId="0" applyNumberFormat="1" applyFont="1" applyFill="1" applyBorder="1" applyAlignment="1">
      <alignment horizontal="left" vertical="top"/>
    </xf>
    <xf numFmtId="0" fontId="153" fillId="0" borderId="0" xfId="0" applyFont="1" applyFill="1" applyAlignment="1">
      <alignment horizontal="left"/>
    </xf>
    <xf numFmtId="14" fontId="172" fillId="0" borderId="7" xfId="0" applyNumberFormat="1" applyFont="1" applyFill="1" applyBorder="1" applyAlignment="1">
      <alignment horizontal="center" vertical="top"/>
    </xf>
    <xf numFmtId="14" fontId="172" fillId="0" borderId="8" xfId="0" applyNumberFormat="1" applyFont="1" applyFill="1" applyBorder="1" applyAlignment="1">
      <alignment horizontal="center" vertical="top"/>
    </xf>
    <xf numFmtId="0" fontId="153" fillId="0" borderId="113" xfId="0" applyFont="1" applyFill="1" applyBorder="1" applyAlignment="1">
      <alignment vertical="top"/>
    </xf>
    <xf numFmtId="0" fontId="153" fillId="0" borderId="17" xfId="0" applyFont="1" applyFill="1" applyBorder="1" applyAlignment="1">
      <alignment horizontal="left" vertical="top"/>
    </xf>
    <xf numFmtId="0" fontId="153" fillId="0" borderId="3" xfId="0" applyFont="1" applyFill="1" applyBorder="1" applyAlignment="1">
      <alignment horizontal="left" vertical="top"/>
    </xf>
    <xf numFmtId="0" fontId="172" fillId="0" borderId="3" xfId="0" applyFont="1" applyFill="1" applyBorder="1" applyAlignment="1">
      <alignment horizontal="left" vertical="top"/>
    </xf>
    <xf numFmtId="0" fontId="153" fillId="14" borderId="12" xfId="0" applyNumberFormat="1" applyFont="1" applyFill="1" applyBorder="1" applyAlignment="1">
      <alignment horizontal="left" vertical="top"/>
    </xf>
    <xf numFmtId="0" fontId="153" fillId="14" borderId="5" xfId="6" applyFont="1" applyFill="1" applyBorder="1" applyAlignment="1">
      <alignment horizontal="left" vertical="top"/>
    </xf>
    <xf numFmtId="167" fontId="153" fillId="0" borderId="16" xfId="0" applyNumberFormat="1" applyFont="1" applyFill="1" applyBorder="1" applyAlignment="1">
      <alignment horizontal="left" vertical="top"/>
    </xf>
    <xf numFmtId="167" fontId="153" fillId="0" borderId="12" xfId="0" applyNumberFormat="1" applyFont="1" applyFill="1" applyBorder="1" applyAlignment="1">
      <alignment horizontal="left" vertical="top"/>
    </xf>
    <xf numFmtId="167" fontId="153" fillId="0" borderId="5" xfId="0" applyNumberFormat="1" applyFont="1" applyFill="1" applyBorder="1" applyAlignment="1">
      <alignment horizontal="left" vertical="top"/>
    </xf>
    <xf numFmtId="167" fontId="172" fillId="0" borderId="10" xfId="0" applyNumberFormat="1" applyFont="1" applyFill="1" applyBorder="1" applyAlignment="1">
      <alignment horizontal="left" vertical="top"/>
    </xf>
    <xf numFmtId="167" fontId="153" fillId="0" borderId="11" xfId="0" applyNumberFormat="1" applyFont="1" applyFill="1" applyBorder="1" applyAlignment="1">
      <alignment horizontal="left" vertical="top"/>
    </xf>
    <xf numFmtId="167" fontId="153" fillId="0" borderId="0" xfId="0" applyNumberFormat="1" applyFont="1" applyFill="1" applyBorder="1" applyAlignment="1">
      <alignment horizontal="left" vertical="top"/>
    </xf>
    <xf numFmtId="167" fontId="172" fillId="0" borderId="15" xfId="0" applyNumberFormat="1" applyFont="1" applyFill="1" applyBorder="1" applyAlignment="1">
      <alignment horizontal="left" vertical="top"/>
    </xf>
    <xf numFmtId="167" fontId="153" fillId="0" borderId="17" xfId="0" applyNumberFormat="1" applyFont="1" applyFill="1" applyBorder="1" applyAlignment="1">
      <alignment horizontal="left" vertical="top"/>
    </xf>
    <xf numFmtId="167" fontId="153" fillId="0" borderId="13" xfId="0" applyNumberFormat="1" applyFont="1" applyFill="1" applyBorder="1" applyAlignment="1">
      <alignment horizontal="left" vertical="top"/>
    </xf>
    <xf numFmtId="167" fontId="153" fillId="0" borderId="14" xfId="0" applyNumberFormat="1" applyFont="1" applyFill="1" applyBorder="1" applyAlignment="1">
      <alignment horizontal="left" vertical="top"/>
    </xf>
    <xf numFmtId="167" fontId="172" fillId="0" borderId="9" xfId="0" applyNumberFormat="1" applyFont="1" applyFill="1" applyBorder="1" applyAlignment="1">
      <alignment horizontal="left" vertical="top"/>
    </xf>
    <xf numFmtId="0" fontId="153" fillId="0" borderId="0" xfId="0" quotePrefix="1" applyFont="1" applyBorder="1" applyAlignment="1">
      <alignment horizontal="left" indent="1"/>
    </xf>
    <xf numFmtId="0" fontId="153" fillId="0" borderId="0" xfId="0" applyFont="1" applyBorder="1" applyAlignment="1">
      <alignment horizontal="right"/>
    </xf>
    <xf numFmtId="0" fontId="153" fillId="0" borderId="0" xfId="0" applyFont="1" applyFill="1" applyBorder="1" applyAlignment="1">
      <alignment horizontal="left" indent="2"/>
    </xf>
    <xf numFmtId="0" fontId="153" fillId="0" borderId="0" xfId="0" applyFont="1" applyFill="1" applyBorder="1" applyAlignment="1">
      <alignment horizontal="left" vertical="top" indent="2"/>
    </xf>
    <xf numFmtId="0" fontId="152" fillId="11" borderId="0" xfId="1" applyFont="1" applyFill="1" applyAlignment="1" applyProtection="1">
      <alignment horizontal="left" vertical="top"/>
    </xf>
    <xf numFmtId="0" fontId="78" fillId="0" borderId="0" xfId="0" applyFont="1" applyFill="1" applyBorder="1" applyAlignment="1">
      <alignment horizontal="left" vertical="top" indent="1"/>
    </xf>
    <xf numFmtId="0" fontId="46" fillId="0" borderId="0" xfId="0" applyFont="1" applyFill="1" applyBorder="1" applyAlignment="1">
      <alignment horizontal="left" vertical="top" indent="2"/>
    </xf>
    <xf numFmtId="0" fontId="210" fillId="0" borderId="0" xfId="0" applyFont="1" applyFill="1" applyBorder="1" applyAlignment="1">
      <alignment horizontal="left" vertical="top" indent="1"/>
    </xf>
    <xf numFmtId="0" fontId="210" fillId="0" borderId="0" xfId="0" applyFont="1" applyFill="1" applyAlignment="1">
      <alignment horizontal="left" vertical="top" indent="1"/>
    </xf>
    <xf numFmtId="0" fontId="175" fillId="0" borderId="0" xfId="1" applyFont="1" applyBorder="1" applyAlignment="1" applyProtection="1">
      <alignment horizontal="left" vertical="top" indent="1"/>
    </xf>
    <xf numFmtId="0" fontId="46" fillId="0" borderId="0" xfId="0" quotePrefix="1" applyFont="1" applyFill="1" applyBorder="1" applyAlignment="1">
      <alignment vertical="top"/>
    </xf>
    <xf numFmtId="0" fontId="37" fillId="0" borderId="0" xfId="0" applyFont="1" applyAlignment="1">
      <alignment horizontal="left" vertical="top" indent="1"/>
    </xf>
    <xf numFmtId="0" fontId="36" fillId="0" borderId="0" xfId="0" quotePrefix="1" applyFont="1" applyAlignment="1">
      <alignment horizontal="left" vertical="top" indent="2"/>
    </xf>
    <xf numFmtId="0" fontId="46" fillId="0" borderId="0" xfId="0" applyNumberFormat="1" applyFont="1" applyAlignment="1">
      <alignment horizontal="left" vertical="top" indent="1"/>
    </xf>
    <xf numFmtId="0" fontId="46" fillId="0" borderId="0" xfId="0" applyNumberFormat="1" applyFont="1" applyAlignment="1">
      <alignment horizontal="left" vertical="top" wrapText="1" indent="1"/>
    </xf>
    <xf numFmtId="0" fontId="37" fillId="0" borderId="0" xfId="0" applyNumberFormat="1" applyFont="1" applyAlignment="1">
      <alignment horizontal="left" vertical="top" indent="1"/>
    </xf>
    <xf numFmtId="0" fontId="37" fillId="0" borderId="0" xfId="0" applyNumberFormat="1" applyFont="1" applyAlignment="1">
      <alignment horizontal="left" vertical="top" wrapText="1" indent="1"/>
    </xf>
    <xf numFmtId="0" fontId="162" fillId="0" borderId="0" xfId="1" applyFont="1" applyBorder="1" applyAlignment="1" applyProtection="1">
      <alignment horizontal="left" vertical="top" indent="1"/>
    </xf>
    <xf numFmtId="0" fontId="72" fillId="0" borderId="0" xfId="0" applyFont="1" applyFill="1" applyBorder="1" applyAlignment="1">
      <alignment horizontal="left" vertical="top" wrapText="1" indent="1"/>
    </xf>
    <xf numFmtId="0" fontId="162" fillId="0" borderId="0" xfId="1" applyFont="1" applyBorder="1" applyAlignment="1" applyProtection="1">
      <alignment horizontal="left" indent="1"/>
    </xf>
    <xf numFmtId="0" fontId="37" fillId="0" borderId="14" xfId="0" applyFont="1" applyBorder="1" applyAlignment="1">
      <alignment horizontal="left" vertical="top" indent="1"/>
    </xf>
    <xf numFmtId="0" fontId="36" fillId="0" borderId="5" xfId="0" applyFont="1" applyBorder="1" applyAlignment="1">
      <alignment horizontal="left" vertical="top" indent="1"/>
    </xf>
    <xf numFmtId="0" fontId="36" fillId="0" borderId="14" xfId="0" applyFont="1" applyBorder="1" applyAlignment="1">
      <alignment horizontal="left" vertical="top" indent="1"/>
    </xf>
    <xf numFmtId="0" fontId="0" fillId="0" borderId="7" xfId="0" applyBorder="1" applyAlignment="1">
      <alignment horizontal="left" vertical="top" indent="1"/>
    </xf>
    <xf numFmtId="0" fontId="36" fillId="0" borderId="7" xfId="0" applyFont="1" applyBorder="1" applyAlignment="1">
      <alignment horizontal="left" vertical="top" indent="1"/>
    </xf>
    <xf numFmtId="0" fontId="0" fillId="0" borderId="0" xfId="0" applyAlignment="1">
      <alignment horizontal="left" vertical="top" indent="1"/>
    </xf>
    <xf numFmtId="0" fontId="0" fillId="0" borderId="35" xfId="0" applyBorder="1" applyAlignment="1">
      <alignment horizontal="left" vertical="top" indent="1"/>
    </xf>
    <xf numFmtId="0" fontId="36" fillId="0" borderId="35" xfId="0" applyFont="1" applyBorder="1" applyAlignment="1">
      <alignment horizontal="left" vertical="top" indent="1"/>
    </xf>
    <xf numFmtId="0" fontId="0" fillId="0" borderId="33" xfId="0" applyBorder="1" applyAlignment="1">
      <alignment horizontal="left" vertical="top" indent="1"/>
    </xf>
    <xf numFmtId="0" fontId="36" fillId="0" borderId="33" xfId="0" applyFont="1" applyBorder="1" applyAlignment="1">
      <alignment horizontal="left" vertical="top" indent="1"/>
    </xf>
    <xf numFmtId="0" fontId="150" fillId="0" borderId="0" xfId="1" applyFont="1" applyBorder="1" applyAlignment="1" applyProtection="1">
      <alignment horizontal="left" vertical="top" indent="1"/>
    </xf>
    <xf numFmtId="0" fontId="49" fillId="0" borderId="0" xfId="0" applyFont="1" applyBorder="1" applyAlignment="1">
      <alignment horizontal="left" vertical="top" indent="1"/>
    </xf>
    <xf numFmtId="0" fontId="47" fillId="0" borderId="0" xfId="6" applyFont="1" applyBorder="1" applyAlignment="1">
      <alignment horizontal="left" vertical="top" indent="1"/>
    </xf>
    <xf numFmtId="0" fontId="47" fillId="0" borderId="0" xfId="0" applyFont="1" applyFill="1" applyBorder="1" applyAlignment="1">
      <alignment horizontal="left" vertical="top" indent="1"/>
    </xf>
    <xf numFmtId="0" fontId="137" fillId="0" borderId="0" xfId="1" applyFont="1" applyBorder="1" applyAlignment="1" applyProtection="1">
      <alignment horizontal="left" indent="1"/>
    </xf>
    <xf numFmtId="0" fontId="36" fillId="0" borderId="0" xfId="0" applyFont="1" applyAlignment="1">
      <alignment horizontal="left" vertical="top" wrapText="1" indent="2"/>
    </xf>
    <xf numFmtId="0" fontId="37" fillId="0" borderId="0" xfId="0" applyFont="1" applyAlignment="1">
      <alignment horizontal="left" vertical="top" wrapText="1" indent="2"/>
    </xf>
    <xf numFmtId="0" fontId="36" fillId="0" borderId="0" xfId="0" quotePrefix="1" applyNumberFormat="1" applyFont="1" applyBorder="1" applyAlignment="1">
      <alignment horizontal="left" vertical="top" indent="2"/>
    </xf>
    <xf numFmtId="0" fontId="46" fillId="0" borderId="0" xfId="0" applyFont="1" applyAlignment="1">
      <alignment horizontal="left" vertical="top" wrapText="1" indent="1"/>
    </xf>
    <xf numFmtId="0" fontId="150" fillId="0" borderId="0" xfId="1" applyFont="1" applyBorder="1" applyAlignment="1" applyProtection="1">
      <alignment horizontal="left" indent="1"/>
    </xf>
    <xf numFmtId="0" fontId="131" fillId="0" borderId="0" xfId="0" applyNumberFormat="1" applyFont="1" applyBorder="1" applyAlignment="1">
      <alignment horizontal="left" vertical="top" wrapText="1" indent="2"/>
    </xf>
    <xf numFmtId="0" fontId="131" fillId="0" borderId="0" xfId="0" applyNumberFormat="1" applyFont="1" applyBorder="1" applyAlignment="1">
      <alignment horizontal="left" vertical="top" indent="2"/>
    </xf>
    <xf numFmtId="0" fontId="36" fillId="0" borderId="0" xfId="0" applyNumberFormat="1" applyFont="1" applyBorder="1" applyAlignment="1">
      <alignment horizontal="left" vertical="top" indent="2"/>
    </xf>
    <xf numFmtId="0" fontId="40" fillId="0" borderId="0" xfId="0" applyNumberFormat="1" applyFont="1" applyBorder="1" applyAlignment="1">
      <alignment horizontal="left" vertical="top" indent="3"/>
    </xf>
    <xf numFmtId="0" fontId="40" fillId="0" borderId="0" xfId="0" applyNumberFormat="1" applyFont="1" applyBorder="1" applyAlignment="1">
      <alignment horizontal="left" vertical="top" wrapText="1" indent="3"/>
    </xf>
    <xf numFmtId="0" fontId="36" fillId="0" borderId="0" xfId="0" quotePrefix="1" applyFont="1" applyBorder="1" applyAlignment="1">
      <alignment horizontal="left" vertical="top" indent="2"/>
    </xf>
    <xf numFmtId="0" fontId="152" fillId="0" borderId="0" xfId="1" applyFont="1" applyBorder="1" applyAlignment="1" applyProtection="1">
      <alignment horizontal="left" indent="1"/>
    </xf>
    <xf numFmtId="0" fontId="47" fillId="0" borderId="0" xfId="1" applyFont="1" applyBorder="1" applyAlignment="1" applyProtection="1">
      <alignment horizontal="left" indent="1"/>
    </xf>
    <xf numFmtId="0" fontId="46" fillId="0" borderId="0" xfId="1" applyFont="1" applyAlignment="1" applyProtection="1">
      <alignment horizontal="left" wrapText="1" indent="1"/>
    </xf>
    <xf numFmtId="0" fontId="78" fillId="0" borderId="0" xfId="0" applyFont="1" applyAlignment="1">
      <alignment horizontal="left" vertical="top" indent="1"/>
    </xf>
    <xf numFmtId="0" fontId="36" fillId="0" borderId="0" xfId="0" applyFont="1" applyAlignment="1">
      <alignment horizontal="left" vertical="top" indent="3"/>
    </xf>
    <xf numFmtId="0" fontId="40" fillId="0" borderId="0" xfId="0" applyNumberFormat="1" applyFont="1" applyAlignment="1">
      <alignment horizontal="left" vertical="top" wrapText="1" indent="3"/>
    </xf>
    <xf numFmtId="0" fontId="40" fillId="0" borderId="0" xfId="0" applyNumberFormat="1" applyFont="1" applyAlignment="1">
      <alignment horizontal="left" vertical="top" indent="3"/>
    </xf>
    <xf numFmtId="0" fontId="130" fillId="0" borderId="0" xfId="0" applyNumberFormat="1" applyFont="1" applyAlignment="1">
      <alignment horizontal="left" vertical="top" indent="3"/>
    </xf>
    <xf numFmtId="0" fontId="37" fillId="0" borderId="0" xfId="0" applyNumberFormat="1" applyFont="1" applyBorder="1" applyAlignment="1">
      <alignment horizontal="left" vertical="top" indent="1"/>
    </xf>
    <xf numFmtId="0" fontId="37" fillId="0" borderId="0" xfId="0" applyNumberFormat="1" applyFont="1" applyBorder="1" applyAlignment="1">
      <alignment horizontal="left" vertical="top" wrapText="1" indent="1"/>
    </xf>
    <xf numFmtId="0" fontId="36" fillId="0" borderId="15" xfId="0" applyNumberFormat="1" applyFont="1" applyBorder="1" applyAlignment="1">
      <alignment horizontal="left" vertical="top" wrapText="1" indent="1"/>
    </xf>
    <xf numFmtId="0" fontId="36" fillId="0" borderId="14" xfId="0" applyNumberFormat="1" applyFont="1" applyBorder="1" applyAlignment="1">
      <alignment horizontal="left" vertical="top" wrapText="1" indent="1"/>
    </xf>
    <xf numFmtId="0" fontId="36" fillId="0" borderId="9" xfId="0" applyNumberFormat="1" applyFont="1" applyBorder="1" applyAlignment="1">
      <alignment horizontal="left" vertical="top" wrapText="1" indent="1"/>
    </xf>
    <xf numFmtId="0" fontId="47" fillId="0" borderId="0" xfId="0" applyFont="1" applyAlignment="1">
      <alignment horizontal="left" vertical="top" indent="3"/>
    </xf>
    <xf numFmtId="0" fontId="137" fillId="0" borderId="0" xfId="1" applyFont="1" applyAlignment="1" applyProtection="1">
      <alignment horizontal="left" vertical="top" indent="1"/>
    </xf>
    <xf numFmtId="0" fontId="131" fillId="0" borderId="0" xfId="0" applyFont="1" applyBorder="1" applyAlignment="1">
      <alignment horizontal="left" vertical="top" indent="2"/>
    </xf>
    <xf numFmtId="0" fontId="40" fillId="0" borderId="0" xfId="0" applyFont="1" applyBorder="1" applyAlignment="1">
      <alignment horizontal="left" vertical="top" indent="2"/>
    </xf>
    <xf numFmtId="0" fontId="44" fillId="0" borderId="0" xfId="1" applyFont="1" applyAlignment="1" applyProtection="1">
      <alignment horizontal="left" indent="1"/>
    </xf>
    <xf numFmtId="0" fontId="40" fillId="0" borderId="34" xfId="0" applyFont="1" applyBorder="1" applyAlignment="1">
      <alignment horizontal="left" vertical="top" indent="1"/>
    </xf>
    <xf numFmtId="0" fontId="40" fillId="0" borderId="35" xfId="0" applyFont="1" applyBorder="1" applyAlignment="1">
      <alignment horizontal="left" vertical="top" indent="1"/>
    </xf>
    <xf numFmtId="0" fontId="40" fillId="0" borderId="41" xfId="0" applyFont="1" applyBorder="1" applyAlignment="1">
      <alignment horizontal="left" vertical="top" indent="1"/>
    </xf>
    <xf numFmtId="0" fontId="131" fillId="0" borderId="36" xfId="1" applyFont="1" applyBorder="1" applyAlignment="1" applyProtection="1">
      <alignment horizontal="left" indent="1"/>
    </xf>
    <xf numFmtId="0" fontId="131" fillId="0" borderId="42" xfId="0" applyFont="1" applyBorder="1" applyAlignment="1">
      <alignment horizontal="left" vertical="top" indent="1"/>
    </xf>
    <xf numFmtId="0" fontId="131" fillId="0" borderId="37" xfId="1" applyFont="1" applyBorder="1" applyAlignment="1" applyProtection="1">
      <alignment horizontal="left" indent="1"/>
    </xf>
    <xf numFmtId="0" fontId="36" fillId="0" borderId="43" xfId="0" applyFont="1" applyBorder="1" applyAlignment="1">
      <alignment horizontal="left" vertical="top" indent="1"/>
    </xf>
    <xf numFmtId="0" fontId="40" fillId="0" borderId="0" xfId="1" quotePrefix="1" applyFont="1" applyAlignment="1" applyProtection="1">
      <alignment horizontal="left" indent="2"/>
    </xf>
    <xf numFmtId="0" fontId="44" fillId="0" borderId="0" xfId="1" quotePrefix="1" applyFont="1" applyAlignment="1" applyProtection="1">
      <alignment horizontal="left" indent="2"/>
    </xf>
    <xf numFmtId="0" fontId="77" fillId="18" borderId="0" xfId="0" applyFont="1" applyFill="1" applyAlignment="1">
      <alignment horizontal="left" vertical="top" wrapText="1" indent="1"/>
    </xf>
    <xf numFmtId="0" fontId="77" fillId="18" borderId="0" xfId="0" applyFont="1" applyFill="1" applyAlignment="1">
      <alignment horizontal="left" vertical="top" indent="1"/>
    </xf>
    <xf numFmtId="0" fontId="77" fillId="18" borderId="0" xfId="0" applyFont="1" applyFill="1" applyBorder="1" applyAlignment="1">
      <alignment horizontal="left" vertical="top"/>
    </xf>
    <xf numFmtId="0" fontId="77" fillId="11" borderId="0" xfId="0" applyFont="1" applyFill="1" applyBorder="1" applyAlignment="1">
      <alignment vertical="top"/>
    </xf>
    <xf numFmtId="0" fontId="77" fillId="11" borderId="0" xfId="0" applyFont="1" applyFill="1" applyBorder="1" applyAlignment="1">
      <alignment horizontal="left" vertical="top"/>
    </xf>
    <xf numFmtId="0" fontId="36" fillId="18" borderId="0" xfId="0" applyFont="1" applyFill="1" applyBorder="1" applyAlignment="1">
      <alignment horizontal="left" vertical="top"/>
    </xf>
    <xf numFmtId="0" fontId="37" fillId="18" borderId="0" xfId="0" applyFont="1" applyFill="1" applyAlignment="1">
      <alignment horizontal="left" vertical="top"/>
    </xf>
    <xf numFmtId="0" fontId="36" fillId="18" borderId="0" xfId="0" applyFont="1" applyFill="1" applyBorder="1" applyAlignment="1">
      <alignment vertical="top"/>
    </xf>
    <xf numFmtId="0" fontId="36" fillId="18" borderId="0" xfId="6" applyFont="1" applyFill="1" applyBorder="1" applyAlignment="1">
      <alignment horizontal="left" vertical="top"/>
    </xf>
    <xf numFmtId="0" fontId="131" fillId="0" borderId="14" xfId="0" applyFont="1" applyBorder="1" applyAlignment="1">
      <alignment horizontal="left" vertical="top" wrapText="1" indent="1"/>
    </xf>
    <xf numFmtId="0" fontId="46" fillId="16" borderId="0" xfId="0" applyFont="1" applyFill="1" applyBorder="1" applyAlignment="1">
      <alignment vertical="top"/>
    </xf>
    <xf numFmtId="0" fontId="46" fillId="0" borderId="0" xfId="1" applyFont="1" applyBorder="1" applyAlignment="1" applyProtection="1">
      <alignment vertical="top" wrapText="1"/>
    </xf>
    <xf numFmtId="0" fontId="46" fillId="0" borderId="0" xfId="1" applyFont="1" applyBorder="1" applyAlignment="1" applyProtection="1">
      <alignment horizontal="left" vertical="top" indent="1"/>
    </xf>
    <xf numFmtId="0" fontId="46" fillId="0" borderId="0" xfId="1" applyFont="1" applyBorder="1" applyAlignment="1" applyProtection="1">
      <alignment horizontal="left" vertical="top" wrapText="1" indent="1"/>
    </xf>
    <xf numFmtId="0" fontId="46" fillId="14" borderId="11" xfId="0" applyFont="1" applyFill="1" applyBorder="1" applyAlignment="1">
      <alignment vertical="top"/>
    </xf>
    <xf numFmtId="0" fontId="46" fillId="0" borderId="0" xfId="1" quotePrefix="1" applyFont="1" applyBorder="1" applyAlignment="1" applyProtection="1">
      <alignment horizontal="left" vertical="top" indent="2"/>
    </xf>
    <xf numFmtId="0" fontId="46" fillId="0" borderId="0" xfId="1" quotePrefix="1" applyFont="1" applyBorder="1" applyAlignment="1" applyProtection="1">
      <alignment horizontal="left" vertical="top" wrapText="1" indent="2"/>
    </xf>
    <xf numFmtId="0" fontId="46" fillId="0" borderId="0" xfId="1" quotePrefix="1" applyFont="1" applyBorder="1" applyAlignment="1" applyProtection="1">
      <alignment horizontal="left" vertical="top" indent="1"/>
    </xf>
    <xf numFmtId="0" fontId="46" fillId="0" borderId="0" xfId="1" applyFont="1" applyBorder="1" applyAlignment="1" applyProtection="1">
      <alignment vertical="top"/>
    </xf>
    <xf numFmtId="0" fontId="149" fillId="0" borderId="0" xfId="1" quotePrefix="1" applyFont="1" applyBorder="1" applyAlignment="1" applyProtection="1">
      <alignment horizontal="left" vertical="top" indent="2"/>
    </xf>
    <xf numFmtId="0" fontId="46" fillId="0" borderId="37" xfId="0" quotePrefix="1" applyFont="1" applyBorder="1" applyAlignment="1">
      <alignment horizontal="left" vertical="top" indent="2"/>
    </xf>
    <xf numFmtId="0" fontId="46" fillId="0" borderId="38" xfId="0" quotePrefix="1" applyFont="1" applyBorder="1" applyAlignment="1">
      <alignment horizontal="left" vertical="top" indent="2"/>
    </xf>
    <xf numFmtId="0" fontId="46" fillId="0" borderId="43" xfId="0" quotePrefix="1" applyFont="1" applyBorder="1" applyAlignment="1">
      <alignment horizontal="left" vertical="top" indent="2"/>
    </xf>
    <xf numFmtId="0" fontId="46" fillId="0" borderId="0" xfId="0" applyFont="1" applyAlignment="1">
      <alignment horizontal="left" vertical="top" indent="2"/>
    </xf>
    <xf numFmtId="0" fontId="46" fillId="0" borderId="0" xfId="1" applyFont="1" applyBorder="1" applyAlignment="1" applyProtection="1">
      <alignment horizontal="left" vertical="top" indent="2"/>
    </xf>
    <xf numFmtId="0" fontId="149" fillId="0" borderId="0" xfId="1" applyFont="1" applyBorder="1" applyAlignment="1" applyProtection="1">
      <alignment horizontal="left" vertical="top" indent="3"/>
    </xf>
    <xf numFmtId="0" fontId="149" fillId="0" borderId="0" xfId="1" applyFont="1" applyBorder="1" applyAlignment="1" applyProtection="1">
      <alignment horizontal="left" vertical="top" indent="1"/>
    </xf>
    <xf numFmtId="0" fontId="46" fillId="0" borderId="36" xfId="1" applyFont="1" applyBorder="1" applyAlignment="1" applyProtection="1">
      <alignment horizontal="left" vertical="top" wrapText="1"/>
    </xf>
    <xf numFmtId="0" fontId="46" fillId="0" borderId="36" xfId="1" applyFont="1" applyBorder="1" applyAlignment="1" applyProtection="1">
      <alignment horizontal="left" vertical="top"/>
    </xf>
    <xf numFmtId="0" fontId="46" fillId="14" borderId="13" xfId="0" applyFont="1" applyFill="1" applyBorder="1" applyAlignment="1">
      <alignment vertical="top"/>
    </xf>
    <xf numFmtId="0" fontId="46" fillId="0" borderId="14" xfId="1" applyFont="1" applyBorder="1" applyAlignment="1" applyProtection="1">
      <alignment horizontal="left" vertical="top" indent="1"/>
    </xf>
    <xf numFmtId="0" fontId="46" fillId="0" borderId="14" xfId="0" applyFont="1" applyBorder="1" applyAlignment="1">
      <alignment horizontal="left" vertical="top" indent="1"/>
    </xf>
    <xf numFmtId="0" fontId="171" fillId="0" borderId="0" xfId="0" applyFont="1" applyBorder="1" applyAlignment="1">
      <alignment horizontal="left" vertical="top" indent="1"/>
    </xf>
    <xf numFmtId="0" fontId="210" fillId="0" borderId="0" xfId="0" applyFont="1" applyBorder="1" applyAlignment="1">
      <alignment horizontal="left" vertical="top" indent="1"/>
    </xf>
    <xf numFmtId="0" fontId="36" fillId="0" borderId="0" xfId="1" applyFont="1" applyAlignment="1" applyProtection="1">
      <alignment horizontal="left" indent="1"/>
    </xf>
    <xf numFmtId="0" fontId="152" fillId="0" borderId="0" xfId="1" applyFont="1" applyAlignment="1" applyProtection="1">
      <alignment horizontal="left" vertical="top" indent="1"/>
    </xf>
    <xf numFmtId="0" fontId="37" fillId="0" borderId="0" xfId="1" applyFont="1" applyAlignment="1" applyProtection="1">
      <alignment horizontal="left" vertical="top" indent="1"/>
    </xf>
    <xf numFmtId="0" fontId="36" fillId="0" borderId="0" xfId="1" applyFont="1" applyAlignment="1" applyProtection="1">
      <alignment horizontal="left" vertical="top" indent="2"/>
    </xf>
    <xf numFmtId="0" fontId="40" fillId="0" borderId="0" xfId="1" quotePrefix="1" applyFont="1" applyAlignment="1" applyProtection="1">
      <alignment horizontal="left" vertical="top" indent="1"/>
    </xf>
    <xf numFmtId="0" fontId="40" fillId="0" borderId="0" xfId="1" applyFont="1" applyAlignment="1" applyProtection="1">
      <alignment horizontal="left" vertical="top" indent="2"/>
    </xf>
    <xf numFmtId="0" fontId="46" fillId="0" borderId="0" xfId="1" applyFont="1" applyBorder="1" applyAlignment="1" applyProtection="1">
      <alignment horizontal="left" vertical="top"/>
    </xf>
    <xf numFmtId="0" fontId="46" fillId="0" borderId="5" xfId="1" applyFont="1" applyBorder="1" applyAlignment="1" applyProtection="1">
      <alignment horizontal="left" vertical="top" indent="1"/>
    </xf>
    <xf numFmtId="0" fontId="131" fillId="0" borderId="5" xfId="1" quotePrefix="1" applyFont="1" applyBorder="1" applyAlignment="1" applyProtection="1">
      <alignment horizontal="left" vertical="top" wrapText="1" indent="1"/>
    </xf>
    <xf numFmtId="0" fontId="149" fillId="0" borderId="34" xfId="1" applyFont="1" applyBorder="1" applyAlignment="1" applyProtection="1">
      <alignment horizontal="left" vertical="top" indent="3"/>
    </xf>
    <xf numFmtId="0" fontId="46" fillId="0" borderId="35" xfId="1" applyFont="1" applyBorder="1" applyAlignment="1" applyProtection="1">
      <alignment horizontal="left" vertical="top" wrapText="1" indent="1"/>
    </xf>
    <xf numFmtId="0" fontId="46" fillId="0" borderId="41" xfId="0" applyFont="1" applyBorder="1" applyAlignment="1">
      <alignment horizontal="left" vertical="top" indent="1"/>
    </xf>
    <xf numFmtId="0" fontId="46" fillId="0" borderId="36" xfId="1" applyFont="1" applyBorder="1" applyAlignment="1" applyProtection="1">
      <alignment horizontal="left" vertical="top" indent="1"/>
    </xf>
    <xf numFmtId="0" fontId="149" fillId="0" borderId="37" xfId="1" applyFont="1" applyBorder="1" applyAlignment="1" applyProtection="1">
      <alignment horizontal="left" vertical="top" indent="3"/>
    </xf>
    <xf numFmtId="0" fontId="46" fillId="0" borderId="38" xfId="1" applyFont="1" applyBorder="1" applyAlignment="1" applyProtection="1">
      <alignment horizontal="left" vertical="top" indent="1"/>
    </xf>
    <xf numFmtId="0" fontId="46" fillId="0" borderId="38" xfId="0" applyFont="1" applyBorder="1" applyAlignment="1">
      <alignment horizontal="left" vertical="top" indent="1"/>
    </xf>
    <xf numFmtId="0" fontId="46" fillId="0" borderId="43" xfId="0" applyFont="1" applyBorder="1" applyAlignment="1">
      <alignment horizontal="left" vertical="top" indent="1"/>
    </xf>
    <xf numFmtId="0" fontId="131" fillId="0" borderId="14" xfId="1" quotePrefix="1" applyFont="1" applyBorder="1" applyAlignment="1" applyProtection="1">
      <alignment horizontal="left" vertical="top" indent="1"/>
    </xf>
    <xf numFmtId="0" fontId="131" fillId="0" borderId="14" xfId="1" quotePrefix="1" applyFont="1" applyBorder="1" applyAlignment="1" applyProtection="1">
      <alignment horizontal="left" vertical="top" wrapText="1" indent="1"/>
    </xf>
    <xf numFmtId="0" fontId="40" fillId="0" borderId="36" xfId="0" quotePrefix="1" applyFont="1" applyBorder="1" applyAlignment="1">
      <alignment horizontal="left" vertical="top" indent="2"/>
    </xf>
    <xf numFmtId="0" fontId="40" fillId="0" borderId="0" xfId="0" quotePrefix="1" applyFont="1" applyBorder="1" applyAlignment="1">
      <alignment horizontal="left" vertical="top" indent="1"/>
    </xf>
    <xf numFmtId="0" fontId="36" fillId="0" borderId="42" xfId="0" applyFont="1" applyBorder="1" applyAlignment="1">
      <alignment horizontal="left" vertical="top" indent="1"/>
    </xf>
    <xf numFmtId="0" fontId="131" fillId="0" borderId="36" xfId="0" quotePrefix="1" applyFont="1" applyBorder="1" applyAlignment="1">
      <alignment horizontal="left" vertical="top" indent="2"/>
    </xf>
    <xf numFmtId="0" fontId="131" fillId="0" borderId="37" xfId="0" quotePrefix="1" applyFont="1" applyBorder="1" applyAlignment="1">
      <alignment horizontal="left" vertical="top" indent="2"/>
    </xf>
    <xf numFmtId="0" fontId="36" fillId="0" borderId="38" xfId="0" applyFont="1" applyBorder="1" applyAlignment="1">
      <alignment horizontal="left" vertical="top" wrapText="1" indent="1"/>
    </xf>
    <xf numFmtId="0" fontId="71" fillId="0" borderId="0" xfId="0" applyFont="1" applyAlignment="1">
      <alignment horizontal="left" vertical="top" indent="1"/>
    </xf>
    <xf numFmtId="0" fontId="131" fillId="0" borderId="0" xfId="0" applyFont="1" applyAlignment="1">
      <alignment horizontal="left" vertical="top" indent="1"/>
    </xf>
    <xf numFmtId="0" fontId="131" fillId="0" borderId="0" xfId="0" quotePrefix="1" applyFont="1" applyBorder="1" applyAlignment="1">
      <alignment horizontal="left" vertical="top" indent="2"/>
    </xf>
    <xf numFmtId="0" fontId="131" fillId="0" borderId="0" xfId="0" quotePrefix="1" applyFont="1" applyAlignment="1">
      <alignment horizontal="left" vertical="top" indent="1"/>
    </xf>
    <xf numFmtId="0" fontId="49" fillId="0" borderId="0" xfId="0" applyFont="1" applyAlignment="1">
      <alignment horizontal="left" vertical="top" indent="1"/>
    </xf>
    <xf numFmtId="0" fontId="44" fillId="0" borderId="0" xfId="0" quotePrefix="1" applyFont="1" applyAlignment="1">
      <alignment horizontal="left" vertical="top" indent="1"/>
    </xf>
    <xf numFmtId="0" fontId="46" fillId="0" borderId="0" xfId="0" quotePrefix="1" applyFont="1" applyAlignment="1">
      <alignment horizontal="left" vertical="top" indent="2"/>
    </xf>
    <xf numFmtId="0" fontId="36" fillId="0" borderId="0" xfId="6" applyFont="1" applyBorder="1" applyAlignment="1">
      <alignment horizontal="left" vertical="top" indent="1"/>
    </xf>
    <xf numFmtId="0" fontId="46" fillId="0" borderId="0" xfId="0" applyFont="1" applyAlignment="1">
      <alignment horizontal="left" vertical="top" indent="4"/>
    </xf>
    <xf numFmtId="0" fontId="36" fillId="0" borderId="33" xfId="0" applyFont="1" applyFill="1" applyBorder="1" applyAlignment="1">
      <alignment horizontal="left" vertical="top" indent="1"/>
    </xf>
    <xf numFmtId="0" fontId="46" fillId="11" borderId="0" xfId="0" applyFont="1" applyFill="1" applyBorder="1" applyAlignment="1">
      <alignment horizontal="left" vertical="top" wrapText="1"/>
    </xf>
    <xf numFmtId="0" fontId="49" fillId="11" borderId="0" xfId="0" applyFont="1" applyFill="1" applyBorder="1" applyAlignment="1">
      <alignment horizontal="left"/>
    </xf>
    <xf numFmtId="0" fontId="46" fillId="0" borderId="0" xfId="0" applyFont="1" applyFill="1" applyBorder="1" applyAlignment="1">
      <alignment horizontal="left" vertical="top" wrapText="1"/>
    </xf>
    <xf numFmtId="0" fontId="36" fillId="11" borderId="0" xfId="0" applyFont="1" applyFill="1" applyAlignment="1">
      <alignment horizontal="left" vertical="top" indent="1"/>
    </xf>
    <xf numFmtId="0" fontId="150" fillId="11" borderId="0" xfId="1" applyFont="1" applyFill="1" applyBorder="1" applyAlignment="1" applyProtection="1">
      <alignment horizontal="left" indent="1"/>
    </xf>
    <xf numFmtId="0" fontId="78" fillId="11" borderId="0" xfId="0" applyFont="1" applyFill="1" applyAlignment="1">
      <alignment horizontal="left" vertical="top" wrapText="1" indent="1"/>
    </xf>
    <xf numFmtId="0" fontId="78" fillId="11" borderId="0" xfId="0" applyFont="1" applyFill="1" applyAlignment="1">
      <alignment vertical="top" wrapText="1"/>
    </xf>
    <xf numFmtId="0" fontId="78" fillId="11" borderId="0" xfId="0" applyFont="1" applyFill="1" applyBorder="1" applyAlignment="1">
      <alignment vertical="top" wrapText="1"/>
    </xf>
    <xf numFmtId="0" fontId="131" fillId="11" borderId="0" xfId="0" applyFont="1" applyFill="1" applyBorder="1" applyAlignment="1">
      <alignment horizontal="left" vertical="top" wrapText="1"/>
    </xf>
    <xf numFmtId="0" fontId="171" fillId="11" borderId="0" xfId="0" applyFont="1" applyFill="1" applyBorder="1" applyAlignment="1">
      <alignment horizontal="left" vertical="top" indent="1"/>
    </xf>
    <xf numFmtId="0" fontId="145" fillId="11" borderId="0" xfId="0" applyFont="1" applyFill="1" applyAlignment="1">
      <alignment horizontal="left" vertical="top"/>
    </xf>
    <xf numFmtId="0" fontId="46" fillId="11" borderId="0" xfId="0" applyFont="1" applyFill="1" applyBorder="1" applyAlignment="1">
      <alignment horizontal="left" vertical="top" indent="1"/>
    </xf>
    <xf numFmtId="0" fontId="78" fillId="11" borderId="0" xfId="0" applyFont="1" applyFill="1" applyBorder="1" applyAlignment="1">
      <alignment horizontal="left" vertical="top" indent="1"/>
    </xf>
    <xf numFmtId="0" fontId="72" fillId="11" borderId="0" xfId="0" applyFont="1" applyFill="1" applyBorder="1" applyAlignment="1">
      <alignment horizontal="left" vertical="top" indent="1"/>
    </xf>
    <xf numFmtId="0" fontId="137" fillId="11" borderId="0" xfId="0" applyFont="1" applyFill="1" applyBorder="1" applyAlignment="1">
      <alignment horizontal="left" vertical="top" indent="1"/>
    </xf>
    <xf numFmtId="0" fontId="137" fillId="11" borderId="0" xfId="0" applyFont="1" applyFill="1" applyAlignment="1">
      <alignment horizontal="left" vertical="top" indent="1"/>
    </xf>
    <xf numFmtId="0" fontId="49" fillId="11" borderId="0" xfId="0" applyFont="1" applyFill="1" applyBorder="1" applyAlignment="1">
      <alignment horizontal="left" vertical="top" indent="1"/>
    </xf>
    <xf numFmtId="0" fontId="49" fillId="11" borderId="0" xfId="0" applyFont="1" applyFill="1" applyAlignment="1">
      <alignment horizontal="left" vertical="top" indent="1"/>
    </xf>
    <xf numFmtId="0" fontId="36" fillId="0" borderId="33" xfId="6" applyFont="1" applyFill="1" applyBorder="1" applyAlignment="1">
      <alignment horizontal="left" vertical="top" indent="1"/>
    </xf>
    <xf numFmtId="0" fontId="47" fillId="11" borderId="0" xfId="0" applyFont="1" applyFill="1" applyAlignment="1">
      <alignment horizontal="left" vertical="top" wrapText="1"/>
    </xf>
    <xf numFmtId="0" fontId="46" fillId="0" borderId="7" xfId="0" applyFont="1" applyBorder="1" applyAlignment="1">
      <alignment horizontal="left" vertical="top" indent="1"/>
    </xf>
    <xf numFmtId="0" fontId="46" fillId="0" borderId="0" xfId="0" applyFont="1" applyBorder="1" applyAlignment="1">
      <alignment horizontal="left" vertical="top" wrapText="1" indent="1"/>
    </xf>
    <xf numFmtId="0" fontId="216" fillId="0" borderId="38" xfId="0" applyFont="1" applyBorder="1" applyAlignment="1">
      <alignment horizontal="left" vertical="top" indent="1"/>
    </xf>
    <xf numFmtId="0" fontId="46" fillId="3" borderId="11" xfId="0" applyFont="1" applyFill="1" applyBorder="1" applyAlignment="1">
      <alignment horizontal="left" vertical="top"/>
    </xf>
    <xf numFmtId="0" fontId="46" fillId="0" borderId="27" xfId="0" applyFont="1" applyBorder="1" applyAlignment="1">
      <alignment horizontal="left" vertical="top"/>
    </xf>
    <xf numFmtId="0" fontId="46" fillId="0" borderId="77" xfId="0" applyFont="1" applyBorder="1" applyAlignment="1">
      <alignment horizontal="left" vertical="top"/>
    </xf>
    <xf numFmtId="167" fontId="46" fillId="0" borderId="27" xfId="0" applyNumberFormat="1" applyFont="1" applyBorder="1" applyAlignment="1">
      <alignment horizontal="left" vertical="top"/>
    </xf>
    <xf numFmtId="167" fontId="46" fillId="0" borderId="77" xfId="0" applyNumberFormat="1" applyFont="1" applyBorder="1" applyAlignment="1">
      <alignment horizontal="left" vertical="top"/>
    </xf>
    <xf numFmtId="0" fontId="46" fillId="0" borderId="0" xfId="0" applyNumberFormat="1" applyFont="1" applyBorder="1" applyAlignment="1">
      <alignment vertical="top"/>
    </xf>
    <xf numFmtId="0" fontId="46" fillId="0" borderId="0" xfId="0" applyNumberFormat="1" applyFont="1" applyBorder="1" applyAlignment="1">
      <alignment horizontal="left" vertical="top" wrapText="1" indent="1"/>
    </xf>
    <xf numFmtId="0" fontId="149" fillId="0" borderId="0" xfId="0" applyFont="1" applyBorder="1" applyAlignment="1">
      <alignment horizontal="left" vertical="top"/>
    </xf>
    <xf numFmtId="0" fontId="46" fillId="0" borderId="15" xfId="0" applyFont="1" applyBorder="1" applyAlignment="1">
      <alignment vertical="top"/>
    </xf>
    <xf numFmtId="0" fontId="149" fillId="0" borderId="6" xfId="0" applyFont="1" applyBorder="1" applyAlignment="1">
      <alignment horizontal="left" vertical="top"/>
    </xf>
    <xf numFmtId="0" fontId="149" fillId="0" borderId="75" xfId="0" applyFont="1" applyBorder="1" applyAlignment="1">
      <alignment horizontal="left" vertical="top"/>
    </xf>
    <xf numFmtId="0" fontId="138" fillId="0" borderId="15" xfId="0" applyFont="1" applyBorder="1" applyAlignment="1">
      <alignment horizontal="center" vertical="top"/>
    </xf>
    <xf numFmtId="167" fontId="149" fillId="13" borderId="6" xfId="0" applyNumberFormat="1" applyFont="1" applyFill="1" applyBorder="1" applyAlignment="1">
      <alignment horizontal="left" vertical="top"/>
    </xf>
    <xf numFmtId="167" fontId="46" fillId="13" borderId="75" xfId="0" applyNumberFormat="1" applyFont="1" applyFill="1" applyBorder="1" applyAlignment="1">
      <alignment horizontal="left" vertical="top"/>
    </xf>
    <xf numFmtId="0" fontId="46" fillId="3" borderId="13" xfId="0" applyFont="1" applyFill="1" applyBorder="1" applyAlignment="1">
      <alignment horizontal="left" vertical="top"/>
    </xf>
    <xf numFmtId="0" fontId="149" fillId="0" borderId="14" xfId="0" applyFont="1" applyBorder="1" applyAlignment="1">
      <alignment horizontal="left" vertical="top"/>
    </xf>
    <xf numFmtId="0" fontId="46" fillId="0" borderId="14" xfId="0" applyFont="1" applyBorder="1" applyAlignment="1">
      <alignment horizontal="left" vertical="top" wrapText="1"/>
    </xf>
    <xf numFmtId="0" fontId="46" fillId="0" borderId="0" xfId="0" quotePrefix="1" applyNumberFormat="1" applyFont="1" applyBorder="1" applyAlignment="1">
      <alignment horizontal="left" vertical="top" indent="2"/>
    </xf>
    <xf numFmtId="0" fontId="46" fillId="0" borderId="0" xfId="0" applyNumberFormat="1" applyFont="1" applyBorder="1" applyAlignment="1">
      <alignment horizontal="left" vertical="top" indent="1"/>
    </xf>
    <xf numFmtId="0" fontId="46" fillId="0" borderId="0" xfId="0" applyNumberFormat="1" applyFont="1" applyBorder="1" applyAlignment="1">
      <alignment horizontal="left" vertical="top" wrapText="1" indent="2"/>
    </xf>
    <xf numFmtId="0" fontId="47" fillId="0" borderId="0" xfId="0" applyFont="1" applyBorder="1" applyAlignment="1">
      <alignment horizontal="left" vertical="top" wrapText="1" indent="1"/>
    </xf>
    <xf numFmtId="0" fontId="47" fillId="11" borderId="0" xfId="0" applyFont="1" applyFill="1" applyBorder="1" applyAlignment="1">
      <alignment horizontal="left" vertical="top" wrapText="1" indent="1"/>
    </xf>
    <xf numFmtId="0" fontId="47" fillId="11" borderId="0" xfId="0" applyFont="1" applyFill="1" applyAlignment="1">
      <alignment vertical="top" wrapText="1"/>
    </xf>
    <xf numFmtId="0" fontId="47" fillId="11" borderId="0" xfId="0" applyFont="1" applyFill="1" applyBorder="1" applyAlignment="1">
      <alignment horizontal="left" vertical="top" indent="1"/>
    </xf>
    <xf numFmtId="0" fontId="47" fillId="11" borderId="0" xfId="0" applyFont="1" applyFill="1" applyAlignment="1">
      <alignment horizontal="left" vertical="top"/>
    </xf>
    <xf numFmtId="0" fontId="72" fillId="11" borderId="0" xfId="0" applyFont="1" applyFill="1" applyAlignment="1">
      <alignment horizontal="left" vertical="top"/>
    </xf>
    <xf numFmtId="0" fontId="175" fillId="11" borderId="0" xfId="0" applyFont="1" applyFill="1" applyBorder="1" applyAlignment="1">
      <alignment horizontal="left" vertical="top" indent="1"/>
    </xf>
    <xf numFmtId="0" fontId="175" fillId="11" borderId="0" xfId="0" applyFont="1" applyFill="1" applyAlignment="1">
      <alignment horizontal="left" vertical="top"/>
    </xf>
    <xf numFmtId="0" fontId="46" fillId="0" borderId="5" xfId="0" quotePrefix="1" applyFont="1" applyBorder="1" applyAlignment="1">
      <alignment horizontal="left" vertical="top" wrapText="1"/>
    </xf>
    <xf numFmtId="0" fontId="46" fillId="0" borderId="0" xfId="1" applyFont="1" applyBorder="1" applyAlignment="1" applyProtection="1">
      <alignment horizontal="left" vertical="top" wrapText="1"/>
    </xf>
    <xf numFmtId="0" fontId="46" fillId="0" borderId="0" xfId="0" quotePrefix="1" applyFont="1" applyBorder="1" applyAlignment="1">
      <alignment horizontal="left" vertical="top" wrapText="1"/>
    </xf>
    <xf numFmtId="0" fontId="46" fillId="3" borderId="6" xfId="0" applyFont="1" applyFill="1" applyBorder="1" applyAlignment="1">
      <alignment horizontal="left" vertical="top" wrapText="1"/>
    </xf>
    <xf numFmtId="0" fontId="46" fillId="3" borderId="8" xfId="0" applyFont="1" applyFill="1" applyBorder="1" applyAlignment="1">
      <alignment horizontal="left" vertical="top"/>
    </xf>
    <xf numFmtId="0" fontId="46" fillId="0" borderId="14" xfId="0" quotePrefix="1" applyFont="1" applyBorder="1" applyAlignment="1">
      <alignment horizontal="left" vertical="top"/>
    </xf>
    <xf numFmtId="0" fontId="46" fillId="0" borderId="14" xfId="0" quotePrefix="1" applyFont="1" applyBorder="1" applyAlignment="1">
      <alignment horizontal="left" vertical="top" wrapText="1"/>
    </xf>
    <xf numFmtId="0" fontId="36" fillId="14" borderId="0" xfId="0" quotePrefix="1" applyFont="1" applyFill="1" applyBorder="1" applyAlignment="1">
      <alignment vertical="top" wrapText="1"/>
    </xf>
    <xf numFmtId="0" fontId="46" fillId="0" borderId="5" xfId="0" applyFont="1" applyBorder="1" applyAlignment="1">
      <alignment horizontal="left" vertical="top" indent="1"/>
    </xf>
    <xf numFmtId="0" fontId="46" fillId="11" borderId="0" xfId="0" applyFont="1" applyFill="1" applyBorder="1" applyAlignment="1">
      <alignment vertical="top" wrapText="1"/>
    </xf>
    <xf numFmtId="0" fontId="46" fillId="11" borderId="0" xfId="0" applyFont="1" applyFill="1" applyAlignment="1">
      <alignment vertical="top" wrapText="1"/>
    </xf>
    <xf numFmtId="0" fontId="216" fillId="0" borderId="0" xfId="0" applyFont="1" applyBorder="1" applyAlignment="1">
      <alignment horizontal="left" vertical="top" indent="1"/>
    </xf>
    <xf numFmtId="0" fontId="210" fillId="0" borderId="0" xfId="0" applyFont="1" applyAlignment="1">
      <alignment horizontal="left" vertical="top" indent="1"/>
    </xf>
    <xf numFmtId="0" fontId="210" fillId="0" borderId="0" xfId="6" applyFont="1" applyFill="1" applyBorder="1" applyAlignment="1">
      <alignment horizontal="left" vertical="top"/>
    </xf>
    <xf numFmtId="0" fontId="216" fillId="0" borderId="0" xfId="0" applyFont="1" applyFill="1" applyBorder="1" applyAlignment="1">
      <alignment horizontal="left" vertical="top" indent="1"/>
    </xf>
    <xf numFmtId="0" fontId="216" fillId="0" borderId="0" xfId="6" applyFont="1" applyFill="1" applyBorder="1" applyAlignment="1">
      <alignment horizontal="left" vertical="top" indent="1"/>
    </xf>
    <xf numFmtId="0" fontId="211" fillId="0" borderId="0" xfId="1" applyFont="1" applyAlignment="1" applyProtection="1">
      <alignment horizontal="left" indent="1"/>
    </xf>
    <xf numFmtId="0" fontId="210" fillId="0" borderId="0" xfId="6" applyFont="1" applyFill="1" applyBorder="1" applyAlignment="1">
      <alignment horizontal="left" vertical="top" indent="1"/>
    </xf>
    <xf numFmtId="0" fontId="216" fillId="0" borderId="38" xfId="0" applyFont="1" applyFill="1" applyBorder="1" applyAlignment="1">
      <alignment horizontal="left" vertical="top" indent="1"/>
    </xf>
    <xf numFmtId="0" fontId="210" fillId="0" borderId="38" xfId="0" applyFont="1" applyFill="1" applyBorder="1" applyAlignment="1">
      <alignment horizontal="left" vertical="top" indent="1"/>
    </xf>
    <xf numFmtId="0" fontId="218" fillId="0" borderId="38" xfId="0" applyFont="1" applyFill="1" applyBorder="1" applyAlignment="1">
      <alignment horizontal="left" vertical="top" indent="1"/>
    </xf>
    <xf numFmtId="0" fontId="46" fillId="0" borderId="5" xfId="0" applyFont="1" applyFill="1" applyBorder="1" applyAlignment="1">
      <alignment horizontal="left" vertical="top"/>
    </xf>
    <xf numFmtId="0" fontId="46" fillId="0" borderId="5" xfId="6" applyFont="1" applyFill="1" applyBorder="1" applyAlignment="1">
      <alignment horizontal="left" vertical="top"/>
    </xf>
    <xf numFmtId="0" fontId="46" fillId="0" borderId="14" xfId="0" quotePrefix="1" applyFont="1" applyBorder="1" applyAlignment="1">
      <alignment horizontal="left" vertical="top" indent="1"/>
    </xf>
    <xf numFmtId="0" fontId="46" fillId="0" borderId="14" xfId="0" quotePrefix="1" applyFont="1" applyBorder="1" applyAlignment="1">
      <alignment horizontal="left" vertical="top" wrapText="1" indent="1"/>
    </xf>
    <xf numFmtId="167" fontId="46" fillId="0" borderId="14" xfId="0" applyNumberFormat="1" applyFont="1" applyFill="1" applyBorder="1" applyAlignment="1">
      <alignment horizontal="left" vertical="top"/>
    </xf>
    <xf numFmtId="167" fontId="46" fillId="0" borderId="14" xfId="0" applyNumberFormat="1" applyFont="1" applyBorder="1" applyAlignment="1">
      <alignment horizontal="left" vertical="top"/>
    </xf>
    <xf numFmtId="0" fontId="46" fillId="0" borderId="5" xfId="0" applyFont="1" applyFill="1" applyBorder="1" applyAlignment="1">
      <alignment horizontal="left" vertical="top" indent="1"/>
    </xf>
    <xf numFmtId="0" fontId="46" fillId="0" borderId="5" xfId="6" applyFont="1" applyFill="1" applyBorder="1" applyAlignment="1">
      <alignment horizontal="left" vertical="top" indent="1"/>
    </xf>
    <xf numFmtId="0" fontId="46" fillId="0" borderId="0" xfId="6" applyFont="1" applyFill="1" applyBorder="1" applyAlignment="1">
      <alignment horizontal="left" vertical="top" indent="1"/>
    </xf>
    <xf numFmtId="0" fontId="145" fillId="0" borderId="0" xfId="0" applyFont="1" applyAlignment="1">
      <alignment horizontal="left" vertical="top" indent="1"/>
    </xf>
    <xf numFmtId="167" fontId="46" fillId="0" borderId="0" xfId="0" applyNumberFormat="1" applyFont="1" applyBorder="1" applyAlignment="1">
      <alignment horizontal="left" vertical="top" indent="1"/>
    </xf>
    <xf numFmtId="0" fontId="153" fillId="0" borderId="0" xfId="6" applyFont="1" applyFill="1" applyBorder="1" applyAlignment="1">
      <alignment horizontal="left" vertical="top" indent="1"/>
    </xf>
    <xf numFmtId="0" fontId="46" fillId="0" borderId="33" xfId="0" applyFont="1" applyFill="1" applyBorder="1" applyAlignment="1">
      <alignment horizontal="left" vertical="top" indent="1"/>
    </xf>
    <xf numFmtId="0" fontId="46" fillId="0" borderId="38" xfId="0" applyFont="1" applyFill="1" applyBorder="1" applyAlignment="1">
      <alignment horizontal="left" vertical="top" indent="1"/>
    </xf>
    <xf numFmtId="0" fontId="36" fillId="0" borderId="7" xfId="0" applyFont="1" applyFill="1" applyBorder="1" applyAlignment="1">
      <alignment horizontal="left" vertical="top" indent="1"/>
    </xf>
    <xf numFmtId="0" fontId="36" fillId="0" borderId="7" xfId="6" applyFont="1" applyFill="1" applyBorder="1" applyAlignment="1">
      <alignment horizontal="left" vertical="top" indent="1"/>
    </xf>
    <xf numFmtId="0" fontId="210" fillId="0" borderId="33" xfId="0" applyFont="1" applyBorder="1" applyAlignment="1">
      <alignment horizontal="left" vertical="top" indent="1"/>
    </xf>
    <xf numFmtId="0" fontId="210" fillId="0" borderId="33" xfId="0" applyFont="1" applyFill="1" applyBorder="1" applyAlignment="1">
      <alignment horizontal="left" vertical="top" indent="1"/>
    </xf>
    <xf numFmtId="0" fontId="210" fillId="0" borderId="33" xfId="6" applyFont="1" applyFill="1" applyBorder="1" applyAlignment="1">
      <alignment horizontal="left" vertical="top" indent="1"/>
    </xf>
    <xf numFmtId="0" fontId="210" fillId="0" borderId="35" xfId="0" applyFont="1" applyFill="1" applyBorder="1" applyAlignment="1">
      <alignment horizontal="left" vertical="top" indent="1"/>
    </xf>
    <xf numFmtId="0" fontId="210" fillId="0" borderId="35" xfId="6" applyFont="1" applyFill="1" applyBorder="1" applyAlignment="1">
      <alignment horizontal="left" vertical="top" indent="1"/>
    </xf>
    <xf numFmtId="0" fontId="210" fillId="0" borderId="38" xfId="6" applyFont="1" applyFill="1" applyBorder="1" applyAlignment="1">
      <alignment horizontal="left" vertical="top" indent="1"/>
    </xf>
    <xf numFmtId="0" fontId="36" fillId="0" borderId="6" xfId="0" applyFont="1" applyBorder="1" applyAlignment="1">
      <alignment horizontal="left" vertical="top" indent="1"/>
    </xf>
    <xf numFmtId="0" fontId="0" fillId="0" borderId="11" xfId="0" applyBorder="1" applyAlignment="1">
      <alignment horizontal="left" vertical="top" indent="1"/>
    </xf>
    <xf numFmtId="0" fontId="0" fillId="14" borderId="11" xfId="0" applyFill="1" applyBorder="1" applyAlignment="1">
      <alignment horizontal="left" vertical="top" indent="1"/>
    </xf>
    <xf numFmtId="0" fontId="36" fillId="14" borderId="11" xfId="0" applyFont="1" applyFill="1" applyBorder="1" applyAlignment="1">
      <alignment horizontal="left" vertical="top" indent="1"/>
    </xf>
    <xf numFmtId="0" fontId="47" fillId="0" borderId="11" xfId="0" applyFont="1" applyBorder="1" applyAlignment="1">
      <alignment horizontal="left" vertical="top" indent="1"/>
    </xf>
    <xf numFmtId="0" fontId="36" fillId="0" borderId="13" xfId="0" applyFont="1" applyBorder="1" applyAlignment="1">
      <alignment horizontal="left" vertical="top" indent="1"/>
    </xf>
    <xf numFmtId="0" fontId="36" fillId="0" borderId="7" xfId="0" applyFont="1" applyBorder="1" applyAlignment="1">
      <alignment horizontal="right" vertical="top"/>
    </xf>
    <xf numFmtId="0" fontId="171" fillId="0" borderId="5" xfId="0" applyFont="1" applyBorder="1" applyAlignment="1">
      <alignment vertical="top"/>
    </xf>
    <xf numFmtId="0" fontId="171" fillId="11" borderId="0" xfId="0" applyFont="1" applyFill="1" applyBorder="1" applyAlignment="1">
      <alignment vertical="top"/>
    </xf>
    <xf numFmtId="0" fontId="171" fillId="11" borderId="0" xfId="0" applyFont="1" applyFill="1" applyBorder="1" applyAlignment="1">
      <alignment horizontal="left" vertical="top"/>
    </xf>
    <xf numFmtId="0" fontId="149" fillId="14" borderId="12" xfId="0" applyNumberFormat="1" applyFont="1" applyFill="1" applyBorder="1" applyAlignment="1">
      <alignment horizontal="left" vertical="top"/>
    </xf>
    <xf numFmtId="0" fontId="149" fillId="0" borderId="5" xfId="0" applyFont="1" applyBorder="1" applyAlignment="1">
      <alignment horizontal="left" vertical="top"/>
    </xf>
    <xf numFmtId="0" fontId="46" fillId="0" borderId="33" xfId="0" quotePrefix="1" applyFont="1" applyBorder="1" applyAlignment="1">
      <alignment horizontal="left" vertical="top" indent="2"/>
    </xf>
    <xf numFmtId="0" fontId="46" fillId="0" borderId="33" xfId="0" quotePrefix="1" applyFont="1" applyBorder="1" applyAlignment="1">
      <alignment horizontal="left" vertical="top" indent="1"/>
    </xf>
    <xf numFmtId="0" fontId="138" fillId="0" borderId="33" xfId="0" applyFont="1" applyBorder="1" applyAlignment="1">
      <alignment horizontal="left" vertical="top" wrapText="1" indent="1"/>
    </xf>
    <xf numFmtId="0" fontId="46" fillId="0" borderId="33" xfId="0" quotePrefix="1" applyFont="1" applyBorder="1" applyAlignment="1">
      <alignment horizontal="left" vertical="top" wrapText="1"/>
    </xf>
    <xf numFmtId="0" fontId="46" fillId="0" borderId="33" xfId="0" quotePrefix="1" applyFont="1" applyBorder="1" applyAlignment="1">
      <alignment horizontal="left" vertical="top" wrapText="1" indent="1"/>
    </xf>
    <xf numFmtId="0" fontId="138" fillId="0" borderId="0" xfId="0" applyFont="1" applyBorder="1" applyAlignment="1">
      <alignment horizontal="left" vertical="top" wrapText="1" indent="1"/>
    </xf>
    <xf numFmtId="0" fontId="46" fillId="0" borderId="0" xfId="0" applyFont="1" applyBorder="1" applyAlignment="1">
      <alignment horizontal="left" vertical="top" indent="3"/>
    </xf>
    <xf numFmtId="0" fontId="46" fillId="0" borderId="38" xfId="0" applyFont="1" applyBorder="1" applyAlignment="1">
      <alignment horizontal="left" vertical="top" indent="2"/>
    </xf>
    <xf numFmtId="0" fontId="138" fillId="0" borderId="35" xfId="0" applyFont="1" applyBorder="1" applyAlignment="1">
      <alignment horizontal="left" vertical="top" wrapText="1" indent="1"/>
    </xf>
    <xf numFmtId="0" fontId="138" fillId="0" borderId="38" xfId="0" applyFont="1" applyBorder="1" applyAlignment="1">
      <alignment horizontal="left" vertical="top" wrapText="1" indent="1"/>
    </xf>
    <xf numFmtId="0" fontId="46" fillId="0" borderId="33" xfId="0" applyFont="1" applyBorder="1" applyAlignment="1">
      <alignment horizontal="left" vertical="top" wrapText="1"/>
    </xf>
    <xf numFmtId="0" fontId="46" fillId="0" borderId="33" xfId="0" applyFont="1" applyBorder="1" applyAlignment="1">
      <alignment vertical="top"/>
    </xf>
    <xf numFmtId="0" fontId="138" fillId="0" borderId="35" xfId="0" applyFont="1" applyBorder="1" applyAlignment="1">
      <alignment horizontal="left" vertical="top"/>
    </xf>
    <xf numFmtId="0" fontId="46" fillId="0" borderId="35" xfId="0" quotePrefix="1" applyFont="1" applyBorder="1" applyAlignment="1">
      <alignment vertical="top"/>
    </xf>
    <xf numFmtId="0" fontId="138" fillId="0" borderId="35" xfId="0" applyFont="1" applyBorder="1" applyAlignment="1">
      <alignment vertical="top"/>
    </xf>
    <xf numFmtId="0" fontId="46" fillId="0" borderId="38" xfId="0" quotePrefix="1" applyFont="1" applyBorder="1" applyAlignment="1">
      <alignment vertical="top"/>
    </xf>
    <xf numFmtId="0" fontId="46" fillId="0" borderId="35" xfId="0" applyFont="1" applyBorder="1" applyAlignment="1">
      <alignment vertical="top"/>
    </xf>
    <xf numFmtId="0" fontId="149" fillId="0" borderId="35" xfId="0" applyFont="1" applyBorder="1" applyAlignment="1">
      <alignment vertical="top"/>
    </xf>
    <xf numFmtId="0" fontId="46" fillId="0" borderId="38" xfId="0" applyFont="1" applyBorder="1" applyAlignment="1">
      <alignment vertical="top"/>
    </xf>
    <xf numFmtId="0" fontId="46" fillId="14" borderId="11" xfId="0" applyFont="1" applyFill="1" applyBorder="1" applyAlignment="1">
      <alignment horizontal="left" vertical="top" wrapText="1"/>
    </xf>
    <xf numFmtId="0" fontId="149" fillId="0" borderId="38" xfId="0" quotePrefix="1" applyFont="1" applyBorder="1" applyAlignment="1">
      <alignment horizontal="left" vertical="top" indent="1"/>
    </xf>
    <xf numFmtId="0" fontId="46" fillId="0" borderId="38" xfId="0" applyFont="1" applyBorder="1" applyAlignment="1">
      <alignment horizontal="left" vertical="top" wrapText="1" indent="1"/>
    </xf>
    <xf numFmtId="0" fontId="46" fillId="0" borderId="33" xfId="0" applyFont="1" applyBorder="1" applyAlignment="1">
      <alignment horizontal="left" vertical="top" wrapText="1" indent="1"/>
    </xf>
    <xf numFmtId="0" fontId="149" fillId="0" borderId="38" xfId="0" applyFont="1" applyBorder="1" applyAlignment="1">
      <alignment horizontal="left" vertical="top" indent="1"/>
    </xf>
    <xf numFmtId="0" fontId="46" fillId="0" borderId="0" xfId="0" applyFont="1" applyBorder="1" applyAlignment="1">
      <alignment horizontal="left" vertical="top" wrapText="1" indent="2"/>
    </xf>
    <xf numFmtId="0" fontId="36" fillId="0" borderId="0" xfId="0" applyNumberFormat="1" applyFont="1" applyBorder="1" applyAlignment="1">
      <alignment horizontal="right" vertical="top" indent="1"/>
    </xf>
    <xf numFmtId="0" fontId="77" fillId="18" borderId="0" xfId="0" applyFont="1" applyFill="1" applyAlignment="1">
      <alignment horizontal="left" vertical="top"/>
    </xf>
    <xf numFmtId="0" fontId="77" fillId="18" borderId="0" xfId="6" applyFont="1" applyFill="1" applyBorder="1" applyAlignment="1">
      <alignment horizontal="left" vertical="top"/>
    </xf>
    <xf numFmtId="0" fontId="171" fillId="0" borderId="0" xfId="0" applyFont="1" applyFill="1" applyAlignment="1">
      <alignment vertical="top"/>
    </xf>
    <xf numFmtId="10" fontId="37" fillId="0" borderId="7" xfId="0" applyNumberFormat="1" applyFont="1" applyFill="1" applyBorder="1" applyAlignment="1">
      <alignment horizontal="left"/>
    </xf>
    <xf numFmtId="10" fontId="36" fillId="0" borderId="7" xfId="0" applyNumberFormat="1" applyFont="1" applyFill="1" applyBorder="1" applyAlignment="1">
      <alignment horizontal="left"/>
    </xf>
    <xf numFmtId="0" fontId="36" fillId="0" borderId="8" xfId="0" applyFont="1" applyFill="1" applyBorder="1" applyAlignment="1">
      <alignment horizontal="left" vertical="top"/>
    </xf>
    <xf numFmtId="0" fontId="37" fillId="14" borderId="0" xfId="0" applyFont="1" applyFill="1"/>
    <xf numFmtId="0" fontId="36" fillId="14" borderId="0" xfId="0" applyFont="1" applyFill="1"/>
    <xf numFmtId="0" fontId="0" fillId="14" borderId="15" xfId="0" applyFill="1" applyBorder="1"/>
    <xf numFmtId="0" fontId="37" fillId="13" borderId="6" xfId="0" applyFont="1" applyFill="1" applyBorder="1"/>
    <xf numFmtId="0" fontId="36" fillId="13" borderId="8" xfId="0" applyFont="1" applyFill="1" applyBorder="1"/>
    <xf numFmtId="0" fontId="36" fillId="14" borderId="12" xfId="0" applyFont="1" applyFill="1" applyBorder="1" applyAlignment="1">
      <alignment horizontal="left"/>
    </xf>
    <xf numFmtId="0" fontId="0" fillId="14" borderId="10" xfId="0" applyFill="1" applyBorder="1"/>
    <xf numFmtId="0" fontId="36" fillId="14" borderId="11" xfId="0" applyFont="1" applyFill="1" applyBorder="1"/>
    <xf numFmtId="0" fontId="36" fillId="14" borderId="13" xfId="0" applyFont="1" applyFill="1" applyBorder="1"/>
    <xf numFmtId="0" fontId="0" fillId="14" borderId="9" xfId="0" applyFill="1" applyBorder="1"/>
    <xf numFmtId="9" fontId="36" fillId="16" borderId="0" xfId="0" applyNumberFormat="1" applyFont="1" applyFill="1" applyBorder="1" applyAlignment="1">
      <alignment horizontal="left" vertical="top"/>
    </xf>
    <xf numFmtId="0" fontId="78" fillId="0" borderId="0" xfId="0" applyFont="1"/>
    <xf numFmtId="0" fontId="40" fillId="0" borderId="0" xfId="0" applyFont="1" applyFill="1"/>
    <xf numFmtId="9" fontId="0" fillId="0" borderId="5" xfId="0" applyNumberFormat="1" applyFill="1" applyBorder="1" applyAlignment="1">
      <alignment horizontal="left"/>
    </xf>
    <xf numFmtId="0" fontId="172" fillId="0" borderId="0" xfId="0" applyFont="1" applyBorder="1" applyAlignment="1">
      <alignment horizontal="right" vertical="top" indent="1"/>
    </xf>
    <xf numFmtId="9" fontId="0" fillId="0" borderId="3" xfId="0" applyNumberFormat="1" applyFill="1" applyBorder="1" applyAlignment="1">
      <alignment horizontal="left"/>
    </xf>
    <xf numFmtId="0" fontId="46" fillId="0" borderId="0" xfId="0" applyFont="1" applyFill="1" applyAlignment="1">
      <alignment horizontal="right" vertical="top" indent="1"/>
    </xf>
    <xf numFmtId="0" fontId="171" fillId="0" borderId="0" xfId="6" applyFont="1" applyFill="1" applyBorder="1" applyAlignment="1">
      <alignment horizontal="left" vertical="top"/>
    </xf>
    <xf numFmtId="0" fontId="153" fillId="0" borderId="0" xfId="6" applyFont="1" applyFill="1" applyBorder="1" applyAlignment="1">
      <alignment horizontal="left" vertical="top"/>
    </xf>
    <xf numFmtId="0" fontId="210" fillId="0" borderId="35" xfId="6" applyFont="1" applyBorder="1" applyAlignment="1">
      <alignment horizontal="left" vertical="top" indent="1"/>
    </xf>
    <xf numFmtId="0" fontId="210" fillId="0" borderId="38" xfId="6" applyFont="1" applyBorder="1" applyAlignment="1">
      <alignment horizontal="left" vertical="top" indent="1"/>
    </xf>
    <xf numFmtId="0" fontId="210" fillId="0" borderId="35" xfId="6" applyFont="1" applyBorder="1" applyAlignment="1">
      <alignment vertical="top"/>
    </xf>
    <xf numFmtId="0" fontId="210" fillId="0" borderId="35" xfId="6" applyFont="1" applyBorder="1" applyAlignment="1">
      <alignment vertical="top" wrapText="1"/>
    </xf>
    <xf numFmtId="0" fontId="210" fillId="0" borderId="38" xfId="6" applyFont="1" applyBorder="1" applyAlignment="1">
      <alignment vertical="top"/>
    </xf>
    <xf numFmtId="0" fontId="210" fillId="0" borderId="38" xfId="6" applyFont="1" applyBorder="1" applyAlignment="1">
      <alignment vertical="top" wrapText="1"/>
    </xf>
    <xf numFmtId="0" fontId="210" fillId="0" borderId="0" xfId="6" applyFont="1" applyBorder="1" applyAlignment="1">
      <alignment vertical="top"/>
    </xf>
    <xf numFmtId="0" fontId="210" fillId="0" borderId="0" xfId="6" applyFont="1" applyBorder="1" applyAlignment="1">
      <alignment vertical="top" wrapText="1"/>
    </xf>
    <xf numFmtId="0" fontId="208" fillId="3" borderId="3" xfId="6" applyFont="1" applyFill="1" applyBorder="1" applyAlignment="1">
      <alignment horizontal="left" vertical="top"/>
    </xf>
    <xf numFmtId="0" fontId="208" fillId="0" borderId="0" xfId="6" applyFont="1" applyFill="1" applyAlignment="1">
      <alignment horizontal="center" vertical="top"/>
    </xf>
    <xf numFmtId="0" fontId="210" fillId="16" borderId="0" xfId="6" applyFont="1" applyFill="1" applyAlignment="1">
      <alignment horizontal="left" vertical="top"/>
    </xf>
    <xf numFmtId="0" fontId="210" fillId="0" borderId="0" xfId="6" applyFont="1" applyFill="1" applyAlignment="1">
      <alignment horizontal="left" vertical="top"/>
    </xf>
    <xf numFmtId="0" fontId="210" fillId="0" borderId="0" xfId="6" applyFont="1" applyAlignment="1">
      <alignment horizontal="left" vertical="top"/>
    </xf>
    <xf numFmtId="0" fontId="210" fillId="0" borderId="11" xfId="6" applyFont="1" applyBorder="1" applyAlignment="1">
      <alignment horizontal="center" vertical="top"/>
    </xf>
    <xf numFmtId="0" fontId="210" fillId="0" borderId="5" xfId="6" applyFont="1" applyBorder="1" applyAlignment="1">
      <alignment horizontal="center" vertical="top"/>
    </xf>
    <xf numFmtId="0" fontId="210" fillId="0" borderId="11" xfId="6" applyFont="1" applyBorder="1" applyAlignment="1">
      <alignment horizontal="left" vertical="top"/>
    </xf>
    <xf numFmtId="0" fontId="210" fillId="0" borderId="5" xfId="6" applyFont="1" applyBorder="1" applyAlignment="1">
      <alignment horizontal="left" vertical="top"/>
    </xf>
    <xf numFmtId="0" fontId="210" fillId="0" borderId="0" xfId="6" applyFont="1" applyBorder="1" applyAlignment="1">
      <alignment horizontal="center" vertical="top"/>
    </xf>
    <xf numFmtId="0" fontId="210" fillId="16" borderId="0" xfId="6" applyFont="1" applyFill="1" applyBorder="1" applyAlignment="1">
      <alignment horizontal="left" vertical="top"/>
    </xf>
    <xf numFmtId="0" fontId="210" fillId="0" borderId="0" xfId="6" applyFont="1" applyBorder="1" applyAlignment="1">
      <alignment horizontal="left" vertical="top"/>
    </xf>
    <xf numFmtId="9" fontId="210" fillId="0" borderId="79" xfId="6" applyNumberFormat="1" applyFont="1" applyBorder="1" applyAlignment="1">
      <alignment horizontal="center" vertical="top"/>
    </xf>
    <xf numFmtId="9" fontId="210" fillId="0" borderId="35" xfId="6" applyNumberFormat="1" applyFont="1" applyBorder="1" applyAlignment="1">
      <alignment horizontal="center" vertical="top"/>
    </xf>
    <xf numFmtId="0" fontId="210" fillId="0" borderId="79" xfId="6" applyFont="1" applyBorder="1" applyAlignment="1">
      <alignment horizontal="center" vertical="top"/>
    </xf>
    <xf numFmtId="0" fontId="210" fillId="0" borderId="35" xfId="6" applyFont="1" applyBorder="1" applyAlignment="1">
      <alignment horizontal="center" vertical="top"/>
    </xf>
    <xf numFmtId="9" fontId="210" fillId="0" borderId="11" xfId="6" applyNumberFormat="1" applyFont="1" applyBorder="1" applyAlignment="1">
      <alignment horizontal="center" vertical="top"/>
    </xf>
    <xf numFmtId="9" fontId="210" fillId="0" borderId="0" xfId="6" applyNumberFormat="1" applyFont="1" applyBorder="1" applyAlignment="1">
      <alignment horizontal="center" vertical="top"/>
    </xf>
    <xf numFmtId="9" fontId="210" fillId="0" borderId="80" xfId="6" applyNumberFormat="1" applyFont="1" applyBorder="1" applyAlignment="1">
      <alignment horizontal="center" vertical="top"/>
    </xf>
    <xf numFmtId="9" fontId="210" fillId="0" borderId="38" xfId="6" applyNumberFormat="1" applyFont="1" applyBorder="1" applyAlignment="1">
      <alignment horizontal="center" vertical="top"/>
    </xf>
    <xf numFmtId="0" fontId="210" fillId="0" borderId="80" xfId="6" applyFont="1" applyBorder="1" applyAlignment="1">
      <alignment horizontal="left" vertical="top"/>
    </xf>
    <xf numFmtId="0" fontId="210" fillId="0" borderId="38" xfId="6" applyFont="1" applyBorder="1" applyAlignment="1">
      <alignment horizontal="left" vertical="top"/>
    </xf>
    <xf numFmtId="168" fontId="210" fillId="0" borderId="79" xfId="6" applyNumberFormat="1" applyFont="1" applyBorder="1" applyAlignment="1">
      <alignment horizontal="center" vertical="top"/>
    </xf>
    <xf numFmtId="168" fontId="210" fillId="0" borderId="35" xfId="6" applyNumberFormat="1" applyFont="1" applyBorder="1" applyAlignment="1">
      <alignment horizontal="center" vertical="top"/>
    </xf>
    <xf numFmtId="168" fontId="210" fillId="0" borderId="13" xfId="6" applyNumberFormat="1" applyFont="1" applyBorder="1" applyAlignment="1">
      <alignment horizontal="center" vertical="top"/>
    </xf>
    <xf numFmtId="168" fontId="210" fillId="0" borderId="14" xfId="6" applyNumberFormat="1" applyFont="1" applyBorder="1" applyAlignment="1">
      <alignment horizontal="center" vertical="top"/>
    </xf>
    <xf numFmtId="0" fontId="208" fillId="3" borderId="6" xfId="6" applyFont="1" applyFill="1" applyBorder="1" applyAlignment="1">
      <alignment horizontal="left" vertical="top"/>
    </xf>
    <xf numFmtId="0" fontId="208" fillId="3" borderId="8" xfId="6" applyFont="1" applyFill="1" applyBorder="1" applyAlignment="1">
      <alignment horizontal="left" vertical="top"/>
    </xf>
    <xf numFmtId="0" fontId="210" fillId="16" borderId="0" xfId="6" applyNumberFormat="1" applyFont="1" applyFill="1" applyBorder="1" applyAlignment="1">
      <alignment horizontal="left" vertical="top"/>
    </xf>
    <xf numFmtId="0" fontId="210" fillId="0" borderId="0" xfId="6" applyFont="1" applyFill="1" applyAlignment="1">
      <alignment horizontal="left" vertical="top" wrapText="1"/>
    </xf>
    <xf numFmtId="0" fontId="210" fillId="11" borderId="0" xfId="6" applyFont="1" applyFill="1" applyAlignment="1">
      <alignment horizontal="left" vertical="top"/>
    </xf>
    <xf numFmtId="0" fontId="208" fillId="0" borderId="11" xfId="6" applyFont="1" applyBorder="1" applyAlignment="1">
      <alignment horizontal="left" vertical="top"/>
    </xf>
    <xf numFmtId="0" fontId="210" fillId="0" borderId="15" xfId="6" applyFont="1" applyBorder="1" applyAlignment="1">
      <alignment horizontal="left" vertical="top"/>
    </xf>
    <xf numFmtId="0" fontId="210" fillId="0" borderId="0" xfId="0" applyFont="1" applyBorder="1"/>
    <xf numFmtId="0" fontId="210" fillId="11" borderId="0" xfId="6" applyFont="1" applyFill="1" applyBorder="1" applyAlignment="1">
      <alignment horizontal="left" vertical="top"/>
    </xf>
    <xf numFmtId="0" fontId="208" fillId="0" borderId="79" xfId="6" applyFont="1" applyBorder="1" applyAlignment="1">
      <alignment horizontal="left" vertical="top"/>
    </xf>
    <xf numFmtId="9" fontId="210" fillId="0" borderId="86" xfId="6" applyNumberFormat="1" applyFont="1" applyBorder="1" applyAlignment="1">
      <alignment horizontal="left" vertical="top"/>
    </xf>
    <xf numFmtId="0" fontId="210" fillId="0" borderId="87" xfId="6" applyFont="1" applyBorder="1" applyAlignment="1">
      <alignment horizontal="left" vertical="top"/>
    </xf>
    <xf numFmtId="0" fontId="208" fillId="0" borderId="79" xfId="6" quotePrefix="1" applyFont="1" applyBorder="1" applyAlignment="1">
      <alignment horizontal="left" vertical="top"/>
    </xf>
    <xf numFmtId="0" fontId="210" fillId="0" borderId="86" xfId="6" applyFont="1" applyBorder="1" applyAlignment="1">
      <alignment horizontal="left" vertical="top"/>
    </xf>
    <xf numFmtId="9" fontId="210" fillId="0" borderId="15" xfId="6" applyNumberFormat="1" applyFont="1" applyBorder="1" applyAlignment="1">
      <alignment horizontal="left" vertical="top"/>
    </xf>
    <xf numFmtId="9" fontId="210" fillId="0" borderId="87" xfId="6" applyNumberFormat="1" applyFont="1" applyBorder="1" applyAlignment="1">
      <alignment horizontal="left" vertical="top"/>
    </xf>
    <xf numFmtId="0" fontId="210" fillId="0" borderId="79" xfId="6" applyFont="1" applyBorder="1" applyAlignment="1">
      <alignment horizontal="left" vertical="top"/>
    </xf>
    <xf numFmtId="0" fontId="210" fillId="0" borderId="35" xfId="6" applyFont="1" applyBorder="1" applyAlignment="1">
      <alignment horizontal="left" vertical="top"/>
    </xf>
    <xf numFmtId="168" fontId="210" fillId="0" borderId="86" xfId="6" applyNumberFormat="1" applyFont="1" applyBorder="1" applyAlignment="1">
      <alignment horizontal="left" vertical="top"/>
    </xf>
    <xf numFmtId="0" fontId="210" fillId="0" borderId="14" xfId="6" applyFont="1" applyBorder="1" applyAlignment="1">
      <alignment horizontal="left" vertical="top"/>
    </xf>
    <xf numFmtId="168" fontId="210" fillId="0" borderId="9" xfId="6" applyNumberFormat="1" applyFont="1" applyBorder="1" applyAlignment="1">
      <alignment horizontal="left" vertical="top"/>
    </xf>
    <xf numFmtId="167" fontId="210" fillId="0" borderId="3" xfId="6" applyNumberFormat="1" applyFont="1" applyBorder="1" applyAlignment="1">
      <alignment horizontal="left" vertical="top"/>
    </xf>
    <xf numFmtId="167" fontId="210" fillId="14" borderId="3" xfId="6" applyNumberFormat="1" applyFont="1" applyFill="1" applyBorder="1" applyAlignment="1">
      <alignment horizontal="left" vertical="top"/>
    </xf>
    <xf numFmtId="167" fontId="216" fillId="0" borderId="3" xfId="6" applyNumberFormat="1" applyFont="1" applyBorder="1" applyAlignment="1">
      <alignment horizontal="left" vertical="top"/>
    </xf>
    <xf numFmtId="0" fontId="46" fillId="0" borderId="0" xfId="1" applyFont="1" applyAlignment="1" applyProtection="1">
      <alignment horizontal="left" vertical="top" indent="1"/>
    </xf>
    <xf numFmtId="0" fontId="46" fillId="0" borderId="0" xfId="0" applyFont="1" applyFill="1" applyBorder="1" applyAlignment="1">
      <alignment horizontal="left" vertical="top" indent="3"/>
    </xf>
    <xf numFmtId="0" fontId="46" fillId="0" borderId="0" xfId="0" quotePrefix="1" applyFont="1" applyFill="1" applyBorder="1" applyAlignment="1">
      <alignment horizontal="left" vertical="top" indent="2"/>
    </xf>
    <xf numFmtId="0" fontId="72" fillId="0" borderId="0" xfId="0" quotePrefix="1" applyFont="1" applyBorder="1" applyAlignment="1">
      <alignment horizontal="left" vertical="top" indent="2"/>
    </xf>
    <xf numFmtId="0" fontId="72" fillId="0" borderId="0" xfId="0" applyFont="1" applyFill="1" applyBorder="1" applyAlignment="1">
      <alignment horizontal="left" indent="2"/>
    </xf>
    <xf numFmtId="0" fontId="72" fillId="0" borderId="0" xfId="0" applyFont="1" applyFill="1" applyBorder="1" applyAlignment="1">
      <alignment horizontal="left" vertical="top" indent="3"/>
    </xf>
    <xf numFmtId="0" fontId="72" fillId="0" borderId="0" xfId="0" applyFont="1" applyFill="1" applyAlignment="1">
      <alignment horizontal="left" vertical="top" indent="2"/>
    </xf>
    <xf numFmtId="0" fontId="162" fillId="0" borderId="0" xfId="1" applyFont="1" applyFill="1" applyBorder="1" applyAlignment="1" applyProtection="1">
      <alignment horizontal="left" vertical="top" indent="1"/>
    </xf>
    <xf numFmtId="0" fontId="78" fillId="0" borderId="0" xfId="1" applyFont="1" applyFill="1" applyBorder="1" applyAlignment="1" applyProtection="1">
      <alignment horizontal="left" vertical="top" indent="1"/>
    </xf>
    <xf numFmtId="0" fontId="46" fillId="0" borderId="0" xfId="0" applyFont="1" applyFill="1" applyAlignment="1">
      <alignment horizontal="right" vertical="top"/>
    </xf>
    <xf numFmtId="0" fontId="46" fillId="0" borderId="14" xfId="0" applyFont="1" applyBorder="1" applyAlignment="1">
      <alignment horizontal="left"/>
    </xf>
    <xf numFmtId="167" fontId="46" fillId="14" borderId="0" xfId="0" applyNumberFormat="1" applyFont="1" applyFill="1" applyAlignment="1">
      <alignment horizontal="left"/>
    </xf>
    <xf numFmtId="0" fontId="46" fillId="14" borderId="0" xfId="0" applyFont="1" applyFill="1" applyAlignment="1">
      <alignment horizontal="left"/>
    </xf>
    <xf numFmtId="167" fontId="131" fillId="14" borderId="0" xfId="0" applyNumberFormat="1" applyFont="1" applyFill="1" applyAlignment="1">
      <alignment horizontal="left"/>
    </xf>
    <xf numFmtId="167" fontId="131" fillId="0" borderId="0" xfId="0" applyNumberFormat="1" applyFont="1" applyAlignment="1">
      <alignment horizontal="left"/>
    </xf>
    <xf numFmtId="9" fontId="46" fillId="0" borderId="0" xfId="3" applyFont="1" applyFill="1" applyAlignment="1">
      <alignment horizontal="left"/>
    </xf>
    <xf numFmtId="167" fontId="46" fillId="0" borderId="0" xfId="3" applyNumberFormat="1" applyFont="1" applyAlignment="1">
      <alignment horizontal="left"/>
    </xf>
    <xf numFmtId="167" fontId="131" fillId="0" borderId="0" xfId="3" applyNumberFormat="1" applyFont="1" applyAlignment="1">
      <alignment horizontal="left"/>
    </xf>
    <xf numFmtId="0" fontId="46" fillId="16" borderId="0" xfId="0" applyFont="1" applyFill="1" applyBorder="1" applyAlignment="1">
      <alignment horizontal="left"/>
    </xf>
    <xf numFmtId="0" fontId="46" fillId="16" borderId="0" xfId="0" applyFont="1" applyFill="1" applyAlignment="1">
      <alignment horizontal="left"/>
    </xf>
    <xf numFmtId="0" fontId="152" fillId="0" borderId="0" xfId="1" applyFont="1" applyFill="1" applyAlignment="1" applyProtection="1"/>
    <xf numFmtId="0" fontId="46" fillId="0" borderId="0" xfId="0" applyFont="1" applyFill="1" applyAlignment="1"/>
    <xf numFmtId="0" fontId="149" fillId="0" borderId="0" xfId="0" applyFont="1" applyFill="1" applyAlignment="1">
      <alignment vertical="top"/>
    </xf>
    <xf numFmtId="0" fontId="80" fillId="6" borderId="0" xfId="1" applyFont="1" applyFill="1" applyAlignment="1" applyProtection="1">
      <alignment horizontal="right" vertical="top"/>
    </xf>
    <xf numFmtId="0" fontId="109" fillId="14" borderId="0" xfId="0" applyNumberFormat="1" applyFont="1" applyFill="1" applyAlignment="1">
      <alignment vertical="top" wrapText="1"/>
    </xf>
    <xf numFmtId="0" fontId="109" fillId="14" borderId="0" xfId="0" applyNumberFormat="1" applyFont="1" applyFill="1" applyAlignment="1">
      <alignment vertical="top"/>
    </xf>
    <xf numFmtId="0" fontId="36" fillId="0" borderId="7" xfId="0" applyFont="1" applyFill="1" applyBorder="1" applyAlignment="1">
      <alignment horizontal="left"/>
    </xf>
    <xf numFmtId="0" fontId="36" fillId="0" borderId="14" xfId="0" applyFont="1" applyFill="1" applyBorder="1"/>
    <xf numFmtId="10" fontId="37" fillId="0" borderId="14" xfId="0" applyNumberFormat="1" applyFont="1" applyFill="1" applyBorder="1" applyAlignment="1">
      <alignment horizontal="left"/>
    </xf>
    <xf numFmtId="10" fontId="36" fillId="0" borderId="14" xfId="0" applyNumberFormat="1" applyFont="1" applyFill="1" applyBorder="1" applyAlignment="1">
      <alignment horizontal="left"/>
    </xf>
    <xf numFmtId="0" fontId="36" fillId="0" borderId="130" xfId="0" applyFont="1" applyFill="1" applyBorder="1"/>
    <xf numFmtId="2" fontId="36" fillId="0" borderId="130" xfId="0" applyNumberFormat="1" applyFont="1" applyFill="1" applyBorder="1" applyAlignment="1">
      <alignment horizontal="left"/>
    </xf>
    <xf numFmtId="2" fontId="36" fillId="0" borderId="130" xfId="0" applyNumberFormat="1" applyFont="1" applyBorder="1" applyAlignment="1">
      <alignment horizontal="left"/>
    </xf>
    <xf numFmtId="0" fontId="110" fillId="14" borderId="0" xfId="0" applyFont="1" applyFill="1" applyBorder="1"/>
    <xf numFmtId="9" fontId="110" fillId="14" borderId="153" xfId="13" applyNumberFormat="1" applyFont="1" applyFill="1" applyBorder="1" applyAlignment="1">
      <alignment horizontal="left" indent="1"/>
    </xf>
    <xf numFmtId="9" fontId="109" fillId="14" borderId="153" xfId="13" applyNumberFormat="1" applyFont="1" applyFill="1" applyBorder="1" applyAlignment="1">
      <alignment horizontal="left" indent="1"/>
    </xf>
    <xf numFmtId="0" fontId="109" fillId="14" borderId="0" xfId="0" applyFont="1" applyFill="1" applyBorder="1"/>
    <xf numFmtId="0" fontId="46" fillId="0" borderId="0" xfId="0" quotePrefix="1" applyFont="1" applyAlignment="1">
      <alignment horizontal="left"/>
    </xf>
    <xf numFmtId="0" fontId="37" fillId="3" borderId="0" xfId="15" applyNumberFormat="1" applyFont="1" applyFill="1" applyAlignment="1">
      <alignment vertical="top"/>
    </xf>
    <xf numFmtId="0" fontId="36" fillId="0" borderId="0" xfId="0" applyFont="1" applyFill="1" applyAlignment="1">
      <alignment vertical="top" wrapText="1"/>
    </xf>
    <xf numFmtId="0" fontId="109" fillId="14" borderId="0" xfId="0" applyNumberFormat="1" applyFont="1" applyFill="1" applyAlignment="1">
      <alignment wrapText="1"/>
    </xf>
    <xf numFmtId="0" fontId="109" fillId="14" borderId="0" xfId="0" applyNumberFormat="1" applyFont="1" applyFill="1" applyAlignment="1">
      <alignment vertical="top" wrapText="1"/>
    </xf>
    <xf numFmtId="0" fontId="131" fillId="0" borderId="0" xfId="15" applyNumberFormat="1" applyFont="1" applyFill="1" applyAlignment="1">
      <alignment horizontal="right" vertical="top" wrapText="1"/>
    </xf>
    <xf numFmtId="0" fontId="36" fillId="0" borderId="0" xfId="15" quotePrefix="1" applyNumberFormat="1" applyFont="1" applyFill="1" applyAlignment="1">
      <alignment horizontal="left" vertical="top" wrapText="1" indent="1"/>
    </xf>
    <xf numFmtId="0" fontId="36" fillId="0" borderId="0" xfId="15" applyNumberFormat="1" applyFont="1" applyFill="1" applyAlignment="1">
      <alignment horizontal="left" vertical="top" wrapText="1" indent="1"/>
    </xf>
    <xf numFmtId="0" fontId="46" fillId="0" borderId="0" xfId="6" applyFont="1" applyAlignment="1">
      <alignment horizontal="left" vertical="top" wrapText="1" indent="2"/>
    </xf>
    <xf numFmtId="0" fontId="36" fillId="0" borderId="0" xfId="15" quotePrefix="1" applyNumberFormat="1" applyFont="1" applyFill="1" applyBorder="1" applyAlignment="1">
      <alignment vertical="top" wrapText="1"/>
    </xf>
    <xf numFmtId="0" fontId="40" fillId="0" borderId="0" xfId="15" applyNumberFormat="1" applyFont="1" applyFill="1" applyAlignment="1">
      <alignment vertical="top" wrapText="1"/>
    </xf>
    <xf numFmtId="0" fontId="34" fillId="0" borderId="0" xfId="6" applyFont="1" applyFill="1" applyAlignment="1">
      <alignment horizontal="left" vertical="top" wrapText="1" indent="3"/>
    </xf>
    <xf numFmtId="0" fontId="34" fillId="0" borderId="0" xfId="6" applyNumberFormat="1" applyFont="1" applyFill="1" applyAlignment="1">
      <alignment horizontal="left" vertical="top" wrapText="1" indent="2"/>
    </xf>
    <xf numFmtId="0" fontId="40" fillId="0" borderId="0" xfId="6" applyFont="1" applyFill="1" applyBorder="1" applyAlignment="1">
      <alignment horizontal="left" vertical="top" wrapText="1" indent="4"/>
    </xf>
    <xf numFmtId="0" fontId="36" fillId="0" borderId="0" xfId="6" applyFont="1" applyFill="1" applyBorder="1" applyAlignment="1">
      <alignment horizontal="left" vertical="top" wrapText="1" indent="4"/>
    </xf>
    <xf numFmtId="0" fontId="36" fillId="0" borderId="0" xfId="6" quotePrefix="1" applyFont="1" applyFill="1" applyBorder="1" applyAlignment="1">
      <alignment horizontal="left" vertical="top" wrapText="1" indent="2"/>
    </xf>
    <xf numFmtId="0" fontId="46" fillId="0" borderId="0" xfId="6" quotePrefix="1" applyNumberFormat="1" applyFont="1" applyFill="1" applyBorder="1" applyAlignment="1">
      <alignment horizontal="left" vertical="top" wrapText="1" indent="2"/>
    </xf>
    <xf numFmtId="0" fontId="34" fillId="0" borderId="0" xfId="6" applyFont="1" applyAlignment="1">
      <alignment horizontal="left" vertical="top" wrapText="1" indent="1"/>
    </xf>
    <xf numFmtId="0" fontId="137" fillId="0" borderId="0" xfId="1" applyFont="1" applyAlignment="1" applyProtection="1">
      <alignment horizontal="left" indent="1"/>
    </xf>
    <xf numFmtId="0" fontId="26" fillId="14" borderId="1" xfId="6" quotePrefix="1" applyFont="1" applyFill="1" applyBorder="1" applyAlignment="1">
      <alignment horizontal="left" vertical="top" wrapText="1" indent="1"/>
    </xf>
    <xf numFmtId="0" fontId="26" fillId="14" borderId="1" xfId="6" applyFont="1" applyFill="1" applyBorder="1" applyAlignment="1">
      <alignment horizontal="left" vertical="top" wrapText="1" indent="1"/>
    </xf>
    <xf numFmtId="0" fontId="22" fillId="0" borderId="2" xfId="6" applyFont="1" applyBorder="1" applyAlignment="1">
      <alignment horizontal="left" vertical="top" wrapText="1"/>
    </xf>
    <xf numFmtId="0" fontId="22" fillId="0" borderId="1" xfId="6" applyFont="1" applyBorder="1" applyAlignment="1">
      <alignment horizontal="left" vertical="top" wrapText="1"/>
    </xf>
    <xf numFmtId="0" fontId="22" fillId="0" borderId="1" xfId="6" applyFont="1" applyBorder="1" applyAlignment="1">
      <alignment vertical="top" wrapText="1"/>
    </xf>
    <xf numFmtId="0" fontId="36" fillId="0" borderId="0" xfId="6" applyFont="1" applyAlignment="1">
      <alignment horizontal="left" vertical="top" wrapText="1" indent="1"/>
    </xf>
    <xf numFmtId="0" fontId="15" fillId="0" borderId="11" xfId="6" quotePrefix="1" applyFont="1" applyBorder="1" applyAlignment="1">
      <alignment horizontal="left" vertical="top" wrapText="1" indent="1"/>
    </xf>
    <xf numFmtId="0" fontId="15" fillId="0" borderId="0" xfId="6" quotePrefix="1" applyFont="1" applyBorder="1" applyAlignment="1">
      <alignment horizontal="left" vertical="top" wrapText="1" indent="1"/>
    </xf>
    <xf numFmtId="0" fontId="15" fillId="0" borderId="12" xfId="6" applyFont="1" applyBorder="1" applyAlignment="1">
      <alignment vertical="top" wrapText="1"/>
    </xf>
    <xf numFmtId="0" fontId="15" fillId="0" borderId="5" xfId="6" applyFont="1" applyBorder="1" applyAlignment="1">
      <alignment vertical="top" wrapText="1"/>
    </xf>
    <xf numFmtId="0" fontId="15" fillId="0" borderId="11" xfId="6" applyFont="1" applyBorder="1" applyAlignment="1">
      <alignment vertical="top" wrapText="1"/>
    </xf>
    <xf numFmtId="0" fontId="15" fillId="0" borderId="0" xfId="6" applyFont="1" applyBorder="1" applyAlignment="1">
      <alignment vertical="top" wrapText="1"/>
    </xf>
    <xf numFmtId="0" fontId="15" fillId="0" borderId="13" xfId="6" applyFont="1" applyBorder="1" applyAlignment="1">
      <alignment vertical="top" wrapText="1"/>
    </xf>
    <xf numFmtId="0" fontId="15" fillId="0" borderId="14" xfId="6" applyFont="1" applyBorder="1" applyAlignment="1">
      <alignment vertical="top" wrapText="1"/>
    </xf>
    <xf numFmtId="0" fontId="46" fillId="0" borderId="0" xfId="6" applyFont="1" applyAlignment="1">
      <alignment horizontal="left" vertical="top" wrapText="1"/>
    </xf>
    <xf numFmtId="0" fontId="34" fillId="0" borderId="0" xfId="6" applyNumberFormat="1" applyFont="1" applyAlignment="1">
      <alignment horizontal="left" vertical="top" wrapText="1" indent="2"/>
    </xf>
    <xf numFmtId="0" fontId="122" fillId="6" borderId="13" xfId="6" applyFont="1" applyFill="1" applyBorder="1" applyAlignment="1">
      <alignment horizontal="left" vertical="top" wrapText="1"/>
    </xf>
    <xf numFmtId="0" fontId="122" fillId="6" borderId="9" xfId="6" applyFont="1" applyFill="1" applyBorder="1" applyAlignment="1">
      <alignment horizontal="left" vertical="top" wrapText="1"/>
    </xf>
    <xf numFmtId="0" fontId="122" fillId="6" borderId="12" xfId="6" applyFont="1" applyFill="1" applyBorder="1" applyAlignment="1">
      <alignment horizontal="left" vertical="top" wrapText="1"/>
    </xf>
    <xf numFmtId="0" fontId="47" fillId="6" borderId="10" xfId="0" applyFont="1" applyFill="1" applyBorder="1"/>
    <xf numFmtId="0" fontId="47" fillId="0" borderId="0" xfId="6" applyFont="1" applyAlignment="1">
      <alignment vertical="top" wrapText="1"/>
    </xf>
    <xf numFmtId="0" fontId="36" fillId="13" borderId="6" xfId="6" applyFont="1" applyFill="1" applyBorder="1" applyAlignment="1">
      <alignment vertical="top"/>
    </xf>
    <xf numFmtId="0" fontId="36" fillId="13" borderId="7" xfId="6" applyFont="1" applyFill="1" applyBorder="1" applyAlignment="1">
      <alignment vertical="top"/>
    </xf>
    <xf numFmtId="0" fontId="23" fillId="0" borderId="2" xfId="6" applyFont="1" applyBorder="1" applyAlignment="1">
      <alignment horizontal="left" vertical="top" wrapText="1"/>
    </xf>
    <xf numFmtId="0" fontId="23" fillId="0" borderId="1" xfId="6" applyFont="1" applyBorder="1" applyAlignment="1">
      <alignment horizontal="left" vertical="top" wrapText="1"/>
    </xf>
    <xf numFmtId="0" fontId="210" fillId="0" borderId="5" xfId="6" applyFont="1" applyBorder="1" applyAlignment="1">
      <alignment vertical="top" wrapText="1"/>
    </xf>
    <xf numFmtId="0" fontId="210" fillId="0" borderId="38" xfId="6" applyFont="1" applyBorder="1" applyAlignment="1">
      <alignment vertical="top" wrapText="1"/>
    </xf>
    <xf numFmtId="0" fontId="210" fillId="0" borderId="35" xfId="6" applyFont="1" applyBorder="1" applyAlignment="1">
      <alignment vertical="top" wrapText="1"/>
    </xf>
    <xf numFmtId="0" fontId="210" fillId="0" borderId="0" xfId="6" applyFont="1" applyBorder="1" applyAlignment="1">
      <alignment vertical="top" wrapText="1"/>
    </xf>
    <xf numFmtId="0" fontId="210" fillId="0" borderId="14" xfId="6" applyFont="1" applyBorder="1" applyAlignment="1">
      <alignment vertical="top" wrapText="1"/>
    </xf>
    <xf numFmtId="0" fontId="36" fillId="0" borderId="0" xfId="1" applyFont="1" applyAlignment="1" applyProtection="1">
      <alignment vertical="top"/>
    </xf>
    <xf numFmtId="0" fontId="37" fillId="7" borderId="0" xfId="6" applyFont="1" applyFill="1" applyBorder="1" applyAlignment="1">
      <alignment horizontal="left" vertical="top"/>
    </xf>
    <xf numFmtId="0" fontId="19" fillId="0" borderId="11" xfId="6" applyFont="1" applyBorder="1" applyAlignment="1">
      <alignment vertical="top" wrapText="1"/>
    </xf>
    <xf numFmtId="0" fontId="19" fillId="0" borderId="0" xfId="6" applyFont="1" applyBorder="1" applyAlignment="1">
      <alignment vertical="top" wrapText="1"/>
    </xf>
    <xf numFmtId="0" fontId="19" fillId="0" borderId="13" xfId="6" applyFont="1" applyBorder="1" applyAlignment="1">
      <alignment vertical="top" wrapText="1"/>
    </xf>
    <xf numFmtId="0" fontId="19" fillId="0" borderId="14" xfId="6" applyFont="1" applyBorder="1" applyAlignment="1">
      <alignment vertical="top" wrapText="1"/>
    </xf>
    <xf numFmtId="0" fontId="19" fillId="0" borderId="12" xfId="6" applyFont="1" applyBorder="1" applyAlignment="1">
      <alignment vertical="top" wrapText="1"/>
    </xf>
    <xf numFmtId="0" fontId="19" fillId="0" borderId="5" xfId="6" applyFont="1" applyBorder="1" applyAlignment="1">
      <alignment vertical="top" wrapText="1"/>
    </xf>
    <xf numFmtId="0" fontId="77" fillId="18" borderId="13" xfId="6" applyFont="1" applyFill="1" applyBorder="1" applyAlignment="1">
      <alignment horizontal="left" vertical="top"/>
    </xf>
    <xf numFmtId="0" fontId="77" fillId="18" borderId="9" xfId="6" applyFont="1" applyFill="1" applyBorder="1" applyAlignment="1">
      <alignment horizontal="left" vertical="top"/>
    </xf>
    <xf numFmtId="0" fontId="34" fillId="0" borderId="0" xfId="6" applyFont="1" applyFill="1" applyBorder="1" applyAlignment="1">
      <alignment horizontal="left" vertical="top" wrapText="1" indent="1"/>
    </xf>
    <xf numFmtId="0" fontId="46" fillId="0" borderId="0" xfId="1" applyFont="1" applyAlignment="1" applyProtection="1">
      <alignment vertical="top" wrapText="1"/>
    </xf>
    <xf numFmtId="0" fontId="46" fillId="0" borderId="0" xfId="6" applyFont="1" applyBorder="1" applyAlignment="1">
      <alignment horizontal="left" vertical="top" indent="1"/>
    </xf>
    <xf numFmtId="0" fontId="46" fillId="0" borderId="0" xfId="6" quotePrefix="1" applyFont="1" applyAlignment="1">
      <alignment horizontal="left" vertical="top" indent="1"/>
    </xf>
    <xf numFmtId="0" fontId="3" fillId="0" borderId="0" xfId="6" applyFont="1" applyFill="1" applyAlignment="1">
      <alignment horizontal="left" vertical="top" wrapText="1" indent="1"/>
    </xf>
    <xf numFmtId="0" fontId="37" fillId="13" borderId="12" xfId="6" applyFont="1" applyFill="1" applyBorder="1" applyAlignment="1">
      <alignment horizontal="left" vertical="top" wrapText="1"/>
    </xf>
    <xf numFmtId="0" fontId="37" fillId="13" borderId="10" xfId="6" applyFont="1" applyFill="1" applyBorder="1" applyAlignment="1">
      <alignment horizontal="left" vertical="top" wrapText="1"/>
    </xf>
    <xf numFmtId="0" fontId="37" fillId="13" borderId="13" xfId="6" applyFont="1" applyFill="1" applyBorder="1" applyAlignment="1">
      <alignment horizontal="left" vertical="top" wrapText="1"/>
    </xf>
    <xf numFmtId="0" fontId="37" fillId="13" borderId="9" xfId="6" applyFont="1" applyFill="1" applyBorder="1" applyAlignment="1">
      <alignment horizontal="left" vertical="top" wrapText="1"/>
    </xf>
    <xf numFmtId="0" fontId="37" fillId="6" borderId="12" xfId="6" applyFont="1" applyFill="1" applyBorder="1" applyAlignment="1">
      <alignment horizontal="left" vertical="top"/>
    </xf>
    <xf numFmtId="0" fontId="37" fillId="6" borderId="10" xfId="6" applyFont="1" applyFill="1" applyBorder="1" applyAlignment="1">
      <alignment horizontal="left" vertical="top"/>
    </xf>
    <xf numFmtId="0" fontId="37" fillId="6" borderId="13" xfId="6" applyFont="1" applyFill="1" applyBorder="1" applyAlignment="1">
      <alignment horizontal="left" vertical="top" wrapText="1"/>
    </xf>
    <xf numFmtId="0" fontId="37" fillId="6" borderId="9" xfId="6" applyFont="1" applyFill="1" applyBorder="1" applyAlignment="1">
      <alignment horizontal="left" vertical="top" wrapText="1"/>
    </xf>
    <xf numFmtId="0" fontId="37" fillId="6" borderId="12" xfId="6" applyFont="1" applyFill="1" applyBorder="1" applyAlignment="1">
      <alignment horizontal="left" vertical="top" wrapText="1"/>
    </xf>
    <xf numFmtId="0" fontId="0" fillId="6" borderId="10" xfId="0" applyFill="1" applyBorder="1"/>
    <xf numFmtId="0" fontId="48" fillId="6" borderId="6" xfId="6" applyFont="1" applyFill="1" applyBorder="1" applyAlignment="1">
      <alignment horizontal="center" vertical="top"/>
    </xf>
    <xf numFmtId="0" fontId="48" fillId="6" borderId="8" xfId="6" applyFont="1" applyFill="1" applyBorder="1" applyAlignment="1">
      <alignment horizontal="center" vertical="top"/>
    </xf>
    <xf numFmtId="0" fontId="21" fillId="0" borderId="2" xfId="6" applyFont="1" applyFill="1" applyBorder="1" applyAlignment="1">
      <alignment horizontal="left" vertical="top" wrapText="1"/>
    </xf>
    <xf numFmtId="0" fontId="27" fillId="0" borderId="4" xfId="6" applyFont="1" applyFill="1" applyBorder="1" applyAlignment="1">
      <alignment horizontal="left" vertical="top" wrapText="1"/>
    </xf>
    <xf numFmtId="0" fontId="21" fillId="0" borderId="2" xfId="6" applyFont="1" applyBorder="1" applyAlignment="1">
      <alignment horizontal="left" vertical="top" wrapText="1"/>
    </xf>
    <xf numFmtId="0" fontId="26" fillId="0" borderId="4" xfId="6" applyFont="1" applyBorder="1" applyAlignment="1">
      <alignment horizontal="left" vertical="top" wrapText="1"/>
    </xf>
    <xf numFmtId="0" fontId="210" fillId="0" borderId="0" xfId="6" applyFont="1" applyAlignment="1">
      <alignment horizontal="left" vertical="top" indent="1"/>
    </xf>
    <xf numFmtId="0" fontId="76" fillId="18" borderId="12" xfId="6" applyFont="1" applyFill="1" applyBorder="1" applyAlignment="1">
      <alignment horizontal="left" vertical="top"/>
    </xf>
    <xf numFmtId="0" fontId="76" fillId="18" borderId="10" xfId="6" applyFont="1" applyFill="1" applyBorder="1" applyAlignment="1">
      <alignment horizontal="left" vertical="top"/>
    </xf>
    <xf numFmtId="0" fontId="23" fillId="0" borderId="78" xfId="6" applyFont="1" applyBorder="1" applyAlignment="1">
      <alignment horizontal="left" vertical="top" wrapText="1"/>
    </xf>
    <xf numFmtId="0" fontId="20" fillId="0" borderId="12" xfId="6" applyFont="1" applyFill="1" applyBorder="1" applyAlignment="1">
      <alignment horizontal="left" vertical="top"/>
    </xf>
    <xf numFmtId="0" fontId="20" fillId="0" borderId="10" xfId="6" applyFont="1" applyFill="1" applyBorder="1" applyAlignment="1">
      <alignment horizontal="left" vertical="top"/>
    </xf>
    <xf numFmtId="0" fontId="19" fillId="0" borderId="13" xfId="6" applyFont="1" applyFill="1" applyBorder="1" applyAlignment="1">
      <alignment horizontal="left" vertical="top" wrapText="1"/>
    </xf>
    <xf numFmtId="0" fontId="19" fillId="0" borderId="9" xfId="6" applyFont="1" applyFill="1" applyBorder="1" applyAlignment="1">
      <alignment horizontal="left" vertical="top" wrapText="1"/>
    </xf>
    <xf numFmtId="0" fontId="22" fillId="0" borderId="1" xfId="6" quotePrefix="1" applyFont="1" applyBorder="1" applyAlignment="1">
      <alignment horizontal="left" vertical="top" wrapText="1" indent="1"/>
    </xf>
    <xf numFmtId="0" fontId="22" fillId="0" borderId="1" xfId="6" applyFont="1" applyBorder="1" applyAlignment="1">
      <alignment horizontal="left" vertical="top" wrapText="1" indent="1"/>
    </xf>
    <xf numFmtId="0" fontId="23" fillId="0" borderId="4" xfId="6" applyFont="1" applyBorder="1" applyAlignment="1">
      <alignment horizontal="left" vertical="top" wrapText="1"/>
    </xf>
    <xf numFmtId="0" fontId="19" fillId="0" borderId="15" xfId="6" applyFont="1" applyBorder="1" applyAlignment="1">
      <alignment vertical="top" wrapText="1"/>
    </xf>
    <xf numFmtId="0" fontId="19" fillId="0" borderId="9" xfId="6" applyFont="1" applyBorder="1" applyAlignment="1">
      <alignment vertical="top" wrapText="1"/>
    </xf>
    <xf numFmtId="0" fontId="36" fillId="0" borderId="3" xfId="6" applyFont="1" applyBorder="1" applyAlignment="1">
      <alignment vertical="top" wrapText="1"/>
    </xf>
    <xf numFmtId="0" fontId="46" fillId="0" borderId="0" xfId="1" applyFont="1" applyFill="1" applyAlignment="1" applyProtection="1">
      <alignment horizontal="left" vertical="top" wrapText="1"/>
    </xf>
    <xf numFmtId="0" fontId="46" fillId="0" borderId="15" xfId="1" applyFont="1" applyFill="1" applyBorder="1" applyAlignment="1" applyProtection="1">
      <alignment horizontal="left" vertical="top" wrapText="1"/>
    </xf>
    <xf numFmtId="0" fontId="46" fillId="0" borderId="14" xfId="1" applyFont="1" applyFill="1" applyBorder="1" applyAlignment="1" applyProtection="1">
      <alignment horizontal="left" vertical="top" wrapText="1"/>
    </xf>
    <xf numFmtId="0" fontId="46" fillId="0" borderId="9" xfId="1" applyFont="1" applyFill="1" applyBorder="1" applyAlignment="1" applyProtection="1">
      <alignment horizontal="left" vertical="top" wrapText="1"/>
    </xf>
    <xf numFmtId="0" fontId="37" fillId="13" borderId="6" xfId="0" applyFont="1" applyFill="1" applyBorder="1" applyAlignment="1">
      <alignment horizontal="center" vertical="top"/>
    </xf>
    <xf numFmtId="0" fontId="37" fillId="13" borderId="8" xfId="0" applyFont="1" applyFill="1" applyBorder="1" applyAlignment="1">
      <alignment horizontal="center" vertical="top"/>
    </xf>
    <xf numFmtId="0" fontId="36" fillId="14" borderId="1" xfId="0" quotePrefix="1" applyFont="1" applyFill="1" applyBorder="1" applyAlignment="1">
      <alignment horizontal="left" vertical="top" wrapText="1" indent="1"/>
    </xf>
    <xf numFmtId="0" fontId="36" fillId="14" borderId="1" xfId="0" applyFont="1" applyFill="1" applyBorder="1" applyAlignment="1">
      <alignment horizontal="left" vertical="top" wrapText="1" indent="1"/>
    </xf>
    <xf numFmtId="0" fontId="36" fillId="14" borderId="4" xfId="0" applyFont="1" applyFill="1" applyBorder="1" applyAlignment="1">
      <alignment horizontal="left" vertical="top" wrapText="1" indent="1"/>
    </xf>
    <xf numFmtId="0" fontId="122" fillId="13" borderId="6" xfId="6" applyFont="1" applyFill="1" applyBorder="1" applyAlignment="1">
      <alignment horizontal="center" vertical="top"/>
    </xf>
    <xf numFmtId="0" fontId="122" fillId="13" borderId="8" xfId="6" applyFont="1" applyFill="1" applyBorder="1" applyAlignment="1">
      <alignment horizontal="center" vertical="top"/>
    </xf>
    <xf numFmtId="0" fontId="48" fillId="13" borderId="6" xfId="6" applyFont="1" applyFill="1" applyBorder="1" applyAlignment="1">
      <alignment horizontal="center" vertical="top"/>
    </xf>
    <xf numFmtId="0" fontId="48" fillId="13" borderId="7" xfId="6" applyFont="1" applyFill="1" applyBorder="1" applyAlignment="1">
      <alignment horizontal="center" vertical="top"/>
    </xf>
    <xf numFmtId="0" fontId="48" fillId="13" borderId="8" xfId="6" applyFont="1" applyFill="1" applyBorder="1" applyAlignment="1">
      <alignment horizontal="center" vertical="top"/>
    </xf>
    <xf numFmtId="0" fontId="19" fillId="0" borderId="10" xfId="6" applyFont="1" applyBorder="1" applyAlignment="1">
      <alignment vertical="top" wrapText="1"/>
    </xf>
    <xf numFmtId="0" fontId="28" fillId="0" borderId="6" xfId="6" applyFont="1" applyBorder="1" applyAlignment="1">
      <alignment vertical="top" wrapText="1"/>
    </xf>
    <xf numFmtId="0" fontId="28" fillId="0" borderId="8" xfId="6" applyFont="1" applyBorder="1" applyAlignment="1">
      <alignment vertical="top" wrapText="1"/>
    </xf>
    <xf numFmtId="0" fontId="27" fillId="6" borderId="12" xfId="6" applyFont="1" applyFill="1" applyBorder="1" applyAlignment="1">
      <alignment vertical="top"/>
    </xf>
    <xf numFmtId="0" fontId="27" fillId="6" borderId="10" xfId="6" applyFont="1" applyFill="1" applyBorder="1" applyAlignment="1">
      <alignment vertical="top"/>
    </xf>
    <xf numFmtId="0" fontId="27" fillId="6" borderId="13" xfId="6" applyFont="1" applyFill="1" applyBorder="1" applyAlignment="1">
      <alignment vertical="top"/>
    </xf>
    <xf numFmtId="0" fontId="27" fillId="6" borderId="9" xfId="6" applyFont="1" applyFill="1" applyBorder="1" applyAlignment="1">
      <alignment vertical="top"/>
    </xf>
    <xf numFmtId="0" fontId="47" fillId="0" borderId="0" xfId="6" applyFont="1" applyAlignment="1">
      <alignment horizontal="left" vertical="top" wrapText="1"/>
    </xf>
    <xf numFmtId="0" fontId="26" fillId="14" borderId="4" xfId="6" applyFont="1" applyFill="1" applyBorder="1" applyAlignment="1">
      <alignment horizontal="left" vertical="top" wrapText="1" indent="1"/>
    </xf>
    <xf numFmtId="0" fontId="23" fillId="0" borderId="2" xfId="6" quotePrefix="1" applyFont="1" applyBorder="1" applyAlignment="1">
      <alignment horizontal="left" vertical="top" wrapText="1" indent="1"/>
    </xf>
    <xf numFmtId="0" fontId="23" fillId="0" borderId="1" xfId="6" applyFont="1" applyBorder="1" applyAlignment="1">
      <alignment horizontal="left" vertical="top" wrapText="1" indent="1"/>
    </xf>
    <xf numFmtId="0" fontId="18" fillId="0" borderId="11" xfId="6" applyFont="1" applyBorder="1" applyAlignment="1">
      <alignment vertical="top" wrapText="1"/>
    </xf>
    <xf numFmtId="0" fontId="18" fillId="0" borderId="0" xfId="6" applyFont="1" applyBorder="1" applyAlignment="1">
      <alignment vertical="top" wrapText="1"/>
    </xf>
    <xf numFmtId="0" fontId="19" fillId="0" borderId="11" xfId="6" quotePrefix="1" applyFont="1" applyBorder="1" applyAlignment="1">
      <alignment horizontal="left" vertical="top" wrapText="1" indent="1"/>
    </xf>
    <xf numFmtId="0" fontId="19" fillId="0" borderId="0" xfId="6" quotePrefix="1" applyFont="1" applyBorder="1" applyAlignment="1">
      <alignment horizontal="left" vertical="top" wrapText="1" indent="1"/>
    </xf>
    <xf numFmtId="0" fontId="18" fillId="0" borderId="11" xfId="6" quotePrefix="1" applyFont="1" applyBorder="1" applyAlignment="1">
      <alignment horizontal="left" vertical="top" wrapText="1" indent="1"/>
    </xf>
    <xf numFmtId="0" fontId="18" fillId="0" borderId="0" xfId="6" quotePrefix="1" applyFont="1" applyBorder="1" applyAlignment="1">
      <alignment horizontal="left" vertical="top" wrapText="1" indent="1"/>
    </xf>
    <xf numFmtId="0" fontId="16" fillId="0" borderId="0" xfId="6" quotePrefix="1" applyFont="1" applyFill="1" applyBorder="1" applyAlignment="1">
      <alignment horizontal="left" vertical="top" wrapText="1" indent="2"/>
    </xf>
    <xf numFmtId="0" fontId="72" fillId="0" borderId="0" xfId="6" applyFont="1" applyAlignment="1">
      <alignment horizontal="left" vertical="top" wrapText="1"/>
    </xf>
    <xf numFmtId="0" fontId="48" fillId="0" borderId="11" xfId="6" applyFont="1" applyBorder="1" applyAlignment="1">
      <alignment horizontal="left" vertical="top"/>
    </xf>
    <xf numFmtId="0" fontId="48" fillId="0" borderId="0" xfId="6" applyFont="1" applyAlignment="1">
      <alignment horizontal="left" vertical="top"/>
    </xf>
    <xf numFmtId="0" fontId="171" fillId="0" borderId="0" xfId="6" applyFont="1" applyAlignment="1">
      <alignment vertical="top" wrapText="1"/>
    </xf>
    <xf numFmtId="0" fontId="34" fillId="11" borderId="0" xfId="6" applyFont="1" applyFill="1" applyBorder="1" applyAlignment="1">
      <alignment horizontal="left" vertical="top" wrapText="1" indent="1"/>
    </xf>
    <xf numFmtId="0" fontId="36" fillId="0" borderId="0" xfId="6" applyFont="1" applyAlignment="1">
      <alignment vertical="top" wrapText="1"/>
    </xf>
    <xf numFmtId="0" fontId="46" fillId="0" borderId="0" xfId="6" applyFont="1" applyAlignment="1">
      <alignment vertical="top" wrapText="1"/>
    </xf>
    <xf numFmtId="0" fontId="46" fillId="0" borderId="0" xfId="6" applyFont="1" applyFill="1" applyAlignment="1">
      <alignment vertical="top" wrapText="1"/>
    </xf>
    <xf numFmtId="0" fontId="2" fillId="0" borderId="5" xfId="6" applyFont="1" applyBorder="1" applyAlignment="1">
      <alignment horizontal="left" vertical="top" wrapText="1" indent="1"/>
    </xf>
    <xf numFmtId="0" fontId="2" fillId="0" borderId="38" xfId="6" applyFont="1" applyBorder="1" applyAlignment="1">
      <alignment horizontal="left" vertical="top" wrapText="1" indent="1"/>
    </xf>
    <xf numFmtId="0" fontId="153" fillId="0" borderId="0" xfId="1" applyNumberFormat="1" applyFont="1" applyAlignment="1" applyProtection="1">
      <alignment vertical="top" wrapText="1"/>
    </xf>
    <xf numFmtId="0" fontId="145" fillId="0" borderId="0" xfId="6" applyFont="1" applyFill="1" applyAlignment="1">
      <alignment horizontal="left" vertical="top" wrapText="1" indent="2"/>
    </xf>
    <xf numFmtId="0" fontId="36" fillId="0" borderId="0" xfId="0" applyFont="1" applyAlignment="1">
      <alignment horizontal="left" wrapText="1" indent="1"/>
    </xf>
    <xf numFmtId="0" fontId="36" fillId="0" borderId="0" xfId="0" applyFont="1" applyAlignment="1">
      <alignment horizontal="left" wrapText="1" indent="2"/>
    </xf>
    <xf numFmtId="0" fontId="18" fillId="0" borderId="0" xfId="6" applyNumberFormat="1" applyFont="1" applyAlignment="1">
      <alignment horizontal="left" vertical="top" wrapText="1" indent="2"/>
    </xf>
    <xf numFmtId="0" fontId="18" fillId="0" borderId="0" xfId="6" quotePrefix="1" applyNumberFormat="1" applyFont="1" applyAlignment="1">
      <alignment horizontal="left" vertical="top" wrapText="1" indent="2"/>
    </xf>
    <xf numFmtId="0" fontId="18" fillId="0" borderId="0" xfId="6" applyFont="1" applyAlignment="1">
      <alignment horizontal="left" vertical="top" wrapText="1" indent="1"/>
    </xf>
    <xf numFmtId="0" fontId="34" fillId="0" borderId="0" xfId="6" applyFont="1" applyFill="1" applyAlignment="1">
      <alignment horizontal="left" vertical="top" wrapText="1" indent="1"/>
    </xf>
    <xf numFmtId="0" fontId="46" fillId="0" borderId="0" xfId="6" applyFont="1" applyBorder="1" applyAlignment="1">
      <alignment horizontal="left" vertical="top" wrapText="1" indent="1"/>
    </xf>
    <xf numFmtId="0" fontId="46" fillId="0" borderId="0" xfId="6" quotePrefix="1" applyFont="1" applyBorder="1" applyAlignment="1">
      <alignment horizontal="left" vertical="top" wrapText="1" indent="1"/>
    </xf>
    <xf numFmtId="0" fontId="210" fillId="0" borderId="5" xfId="0" applyFont="1" applyBorder="1"/>
    <xf numFmtId="0" fontId="210" fillId="0" borderId="38" xfId="0" applyFont="1" applyBorder="1"/>
    <xf numFmtId="0" fontId="210" fillId="0" borderId="35" xfId="6" applyFont="1" applyBorder="1" applyAlignment="1">
      <alignment horizontal="left" vertical="top" wrapText="1" indent="1"/>
    </xf>
    <xf numFmtId="0" fontId="210" fillId="0" borderId="0" xfId="6" applyFont="1" applyBorder="1" applyAlignment="1">
      <alignment horizontal="left" vertical="top" wrapText="1" indent="1"/>
    </xf>
    <xf numFmtId="0" fontId="210" fillId="0" borderId="38" xfId="6" applyFont="1" applyBorder="1" applyAlignment="1">
      <alignment horizontal="left" vertical="top" wrapText="1" indent="1"/>
    </xf>
    <xf numFmtId="0" fontId="210" fillId="0" borderId="14" xfId="6" applyFont="1" applyBorder="1" applyAlignment="1">
      <alignment horizontal="left" vertical="top" wrapText="1" indent="1"/>
    </xf>
    <xf numFmtId="0" fontId="34" fillId="0" borderId="0" xfId="6" quotePrefix="1" applyFont="1" applyAlignment="1">
      <alignment horizontal="left" vertical="top" wrapText="1" indent="2"/>
    </xf>
    <xf numFmtId="0" fontId="19" fillId="0" borderId="0" xfId="6" applyFont="1" applyAlignment="1">
      <alignment horizontal="left" vertical="top" wrapText="1" indent="1"/>
    </xf>
    <xf numFmtId="0" fontId="36" fillId="0" borderId="0" xfId="6" quotePrefix="1" applyFont="1" applyFill="1" applyAlignment="1">
      <alignment horizontal="left" vertical="top" wrapText="1" indent="2"/>
    </xf>
    <xf numFmtId="0" fontId="153" fillId="0" borderId="0" xfId="6" applyFont="1" applyAlignment="1">
      <alignment horizontal="left" vertical="top" wrapText="1" indent="3"/>
    </xf>
    <xf numFmtId="0" fontId="153" fillId="0" borderId="0" xfId="6" applyFont="1" applyAlignment="1">
      <alignment horizontal="left" vertical="top" wrapText="1" indent="2"/>
    </xf>
    <xf numFmtId="0" fontId="210" fillId="0" borderId="5" xfId="6" applyFont="1" applyBorder="1" applyAlignment="1">
      <alignment horizontal="left" vertical="top" wrapText="1" indent="1"/>
    </xf>
    <xf numFmtId="0" fontId="18" fillId="0" borderId="12" xfId="6" applyFont="1" applyBorder="1" applyAlignment="1">
      <alignment vertical="top" wrapText="1"/>
    </xf>
    <xf numFmtId="0" fontId="18" fillId="0" borderId="5" xfId="6" applyFont="1" applyBorder="1" applyAlignment="1">
      <alignment vertical="top" wrapText="1"/>
    </xf>
    <xf numFmtId="1" fontId="36" fillId="0" borderId="3" xfId="0" applyNumberFormat="1" applyFont="1" applyBorder="1" applyAlignment="1">
      <alignment horizontal="left" vertical="top"/>
    </xf>
    <xf numFmtId="0" fontId="36" fillId="11" borderId="0" xfId="0" applyFont="1" applyFill="1" applyBorder="1" applyAlignment="1">
      <alignment horizontal="center" vertical="top"/>
    </xf>
    <xf numFmtId="0" fontId="36" fillId="13" borderId="6" xfId="0" applyFont="1" applyFill="1" applyBorder="1" applyAlignment="1">
      <alignment horizontal="center" vertical="top"/>
    </xf>
    <xf numFmtId="0" fontId="36" fillId="13" borderId="7" xfId="0" applyFont="1" applyFill="1" applyBorder="1" applyAlignment="1">
      <alignment horizontal="center" vertical="top"/>
    </xf>
    <xf numFmtId="0" fontId="36" fillId="13" borderId="8" xfId="0" applyFont="1" applyFill="1" applyBorder="1" applyAlignment="1">
      <alignment horizontal="center" vertical="top"/>
    </xf>
    <xf numFmtId="14" fontId="37" fillId="7" borderId="6" xfId="0" applyNumberFormat="1" applyFont="1" applyFill="1" applyBorder="1" applyAlignment="1">
      <alignment horizontal="center" vertical="top"/>
    </xf>
    <xf numFmtId="14" fontId="37" fillId="7" borderId="7" xfId="0" applyNumberFormat="1" applyFont="1" applyFill="1" applyBorder="1" applyAlignment="1">
      <alignment horizontal="center" vertical="top"/>
    </xf>
    <xf numFmtId="14" fontId="37" fillId="7" borderId="8" xfId="0" applyNumberFormat="1" applyFont="1" applyFill="1" applyBorder="1" applyAlignment="1">
      <alignment horizontal="center" vertical="top"/>
    </xf>
    <xf numFmtId="14" fontId="36" fillId="6" borderId="6" xfId="0" applyNumberFormat="1" applyFont="1" applyFill="1" applyBorder="1" applyAlignment="1">
      <alignment horizontal="center" vertical="top"/>
    </xf>
    <xf numFmtId="14" fontId="36" fillId="6" borderId="7" xfId="0" applyNumberFormat="1" applyFont="1" applyFill="1" applyBorder="1" applyAlignment="1">
      <alignment horizontal="center" vertical="top"/>
    </xf>
    <xf numFmtId="14" fontId="36" fillId="6" borderId="10" xfId="0" applyNumberFormat="1" applyFont="1" applyFill="1" applyBorder="1" applyAlignment="1">
      <alignment horizontal="center" vertical="top"/>
    </xf>
    <xf numFmtId="14" fontId="37" fillId="7" borderId="10" xfId="0" applyNumberFormat="1" applyFont="1" applyFill="1" applyBorder="1" applyAlignment="1">
      <alignment horizontal="center" vertical="top"/>
    </xf>
    <xf numFmtId="14" fontId="37" fillId="6" borderId="6" xfId="0" applyNumberFormat="1" applyFont="1" applyFill="1" applyBorder="1" applyAlignment="1">
      <alignment horizontal="center" vertical="top"/>
    </xf>
    <xf numFmtId="14" fontId="37" fillId="6" borderId="8" xfId="0" applyNumberFormat="1" applyFont="1" applyFill="1" applyBorder="1" applyAlignment="1">
      <alignment horizontal="center" vertical="top"/>
    </xf>
    <xf numFmtId="0" fontId="37" fillId="7" borderId="13" xfId="0" applyFont="1" applyFill="1" applyBorder="1" applyAlignment="1">
      <alignment horizontal="center" vertical="top"/>
    </xf>
    <xf numFmtId="0" fontId="37" fillId="7" borderId="9" xfId="0" applyFont="1" applyFill="1" applyBorder="1" applyAlignment="1">
      <alignment horizontal="center" vertical="top"/>
    </xf>
    <xf numFmtId="14" fontId="37" fillId="6" borderId="7" xfId="0" applyNumberFormat="1" applyFont="1" applyFill="1" applyBorder="1" applyAlignment="1">
      <alignment horizontal="center" vertical="top"/>
    </xf>
    <xf numFmtId="14" fontId="37" fillId="6" borderId="10" xfId="0" applyNumberFormat="1" applyFont="1" applyFill="1" applyBorder="1" applyAlignment="1">
      <alignment horizontal="center" vertical="top"/>
    </xf>
    <xf numFmtId="1" fontId="153" fillId="0" borderId="12" xfId="0" applyNumberFormat="1" applyFont="1" applyFill="1" applyBorder="1" applyAlignment="1">
      <alignment horizontal="center" vertical="top"/>
    </xf>
    <xf numFmtId="1" fontId="153" fillId="0" borderId="10" xfId="0" applyNumberFormat="1" applyFont="1" applyFill="1" applyBorder="1" applyAlignment="1">
      <alignment horizontal="center" vertical="top"/>
    </xf>
    <xf numFmtId="167" fontId="153" fillId="0" borderId="12" xfId="0" applyNumberFormat="1" applyFont="1" applyFill="1" applyBorder="1" applyAlignment="1">
      <alignment horizontal="center" vertical="top"/>
    </xf>
    <xf numFmtId="167" fontId="153" fillId="0" borderId="111" xfId="0" applyNumberFormat="1" applyFont="1" applyFill="1" applyBorder="1" applyAlignment="1">
      <alignment horizontal="center" vertical="top"/>
    </xf>
    <xf numFmtId="167" fontId="153" fillId="0" borderId="5" xfId="0" applyNumberFormat="1" applyFont="1" applyFill="1" applyBorder="1" applyAlignment="1">
      <alignment horizontal="center" vertical="top"/>
    </xf>
    <xf numFmtId="167" fontId="153" fillId="0" borderId="10" xfId="0" applyNumberFormat="1" applyFont="1" applyFill="1" applyBorder="1" applyAlignment="1">
      <alignment horizontal="center" vertical="top"/>
    </xf>
    <xf numFmtId="1" fontId="153" fillId="0" borderId="11" xfId="0" applyNumberFormat="1" applyFont="1" applyFill="1" applyBorder="1" applyAlignment="1">
      <alignment horizontal="center" vertical="top"/>
    </xf>
    <xf numFmtId="1" fontId="153" fillId="0" borderId="15" xfId="0" applyNumberFormat="1" applyFont="1" applyFill="1" applyBorder="1" applyAlignment="1">
      <alignment horizontal="center" vertical="top"/>
    </xf>
    <xf numFmtId="167" fontId="153" fillId="0" borderId="11" xfId="0" applyNumberFormat="1" applyFont="1" applyFill="1" applyBorder="1" applyAlignment="1">
      <alignment horizontal="center" vertical="top"/>
    </xf>
    <xf numFmtId="167" fontId="153" fillId="0" borderId="85" xfId="0" applyNumberFormat="1" applyFont="1" applyFill="1" applyBorder="1" applyAlignment="1">
      <alignment horizontal="center" vertical="top"/>
    </xf>
    <xf numFmtId="167" fontId="153" fillId="0" borderId="0" xfId="0" applyNumberFormat="1" applyFont="1" applyFill="1" applyBorder="1" applyAlignment="1">
      <alignment horizontal="center" vertical="top"/>
    </xf>
    <xf numFmtId="167" fontId="153" fillId="0" borderId="15" xfId="0" applyNumberFormat="1" applyFont="1" applyFill="1" applyBorder="1" applyAlignment="1">
      <alignment horizontal="center" vertical="top"/>
    </xf>
    <xf numFmtId="0" fontId="36" fillId="0" borderId="0" xfId="0" applyFont="1" applyBorder="1" applyAlignment="1">
      <alignment horizontal="left" vertical="top" wrapText="1" indent="2"/>
    </xf>
    <xf numFmtId="14" fontId="172" fillId="0" borderId="6" xfId="0" applyNumberFormat="1" applyFont="1" applyFill="1" applyBorder="1" applyAlignment="1">
      <alignment horizontal="center" vertical="top"/>
    </xf>
    <xf numFmtId="14" fontId="172" fillId="0" borderId="8" xfId="0" applyNumberFormat="1" applyFont="1" applyFill="1" applyBorder="1" applyAlignment="1">
      <alignment horizontal="center" vertical="top"/>
    </xf>
    <xf numFmtId="14" fontId="172" fillId="0" borderId="7" xfId="0" applyNumberFormat="1" applyFont="1" applyFill="1" applyBorder="1" applyAlignment="1">
      <alignment horizontal="center" vertical="top"/>
    </xf>
    <xf numFmtId="14" fontId="172" fillId="0" borderId="6" xfId="0" applyNumberFormat="1" applyFont="1" applyFill="1" applyBorder="1" applyAlignment="1">
      <alignment horizontal="right" vertical="top"/>
    </xf>
    <xf numFmtId="14" fontId="172" fillId="0" borderId="7" xfId="0" applyNumberFormat="1" applyFont="1" applyFill="1" applyBorder="1" applyAlignment="1">
      <alignment horizontal="right" vertical="top"/>
    </xf>
    <xf numFmtId="0" fontId="153" fillId="0" borderId="6" xfId="0" applyFont="1" applyFill="1" applyBorder="1" applyAlignment="1">
      <alignment horizontal="center" vertical="top"/>
    </xf>
    <xf numFmtId="0" fontId="153" fillId="0" borderId="8" xfId="0" applyFont="1" applyFill="1" applyBorder="1" applyAlignment="1">
      <alignment horizontal="center" vertical="top"/>
    </xf>
    <xf numFmtId="0" fontId="153" fillId="0" borderId="7" xfId="0" applyFont="1" applyFill="1" applyBorder="1" applyAlignment="1">
      <alignment horizontal="center" vertical="top"/>
    </xf>
    <xf numFmtId="0" fontId="36" fillId="0" borderId="0" xfId="0" applyFont="1" applyFill="1" applyAlignment="1">
      <alignment horizontal="left" vertical="top" wrapText="1" indent="1"/>
    </xf>
    <xf numFmtId="0" fontId="46" fillId="0" borderId="0" xfId="0" applyFont="1" applyFill="1" applyBorder="1" applyAlignment="1">
      <alignment horizontal="left" wrapText="1" indent="1"/>
    </xf>
    <xf numFmtId="0" fontId="46" fillId="0" borderId="0" xfId="0" applyFont="1" applyBorder="1" applyAlignment="1">
      <alignment horizontal="left" vertical="top" wrapText="1" indent="2"/>
    </xf>
    <xf numFmtId="0" fontId="46" fillId="0" borderId="42" xfId="0" applyFont="1" applyBorder="1" applyAlignment="1">
      <alignment horizontal="left" vertical="top" wrapText="1" indent="2"/>
    </xf>
    <xf numFmtId="0" fontId="194" fillId="0" borderId="0" xfId="0" applyFont="1" applyFill="1" applyAlignment="1">
      <alignment horizontal="right" vertical="top" wrapText="1" indent="2"/>
    </xf>
    <xf numFmtId="0" fontId="46" fillId="0" borderId="0" xfId="0" quotePrefix="1" applyFont="1" applyFill="1" applyBorder="1" applyAlignment="1">
      <alignment horizontal="left" vertical="top" wrapText="1" indent="2"/>
    </xf>
    <xf numFmtId="0" fontId="46" fillId="0" borderId="0" xfId="0" applyFont="1" applyFill="1" applyBorder="1" applyAlignment="1">
      <alignment horizontal="left" vertical="top" wrapText="1" indent="2"/>
    </xf>
    <xf numFmtId="0" fontId="46" fillId="0" borderId="0" xfId="0" applyFont="1" applyFill="1" applyBorder="1" applyAlignment="1">
      <alignment horizontal="left" vertical="top" wrapText="1" indent="3"/>
    </xf>
    <xf numFmtId="0" fontId="46" fillId="0" borderId="0" xfId="0" quotePrefix="1" applyFont="1" applyFill="1" applyBorder="1" applyAlignment="1">
      <alignment horizontal="left" vertical="top" wrapText="1" indent="3"/>
    </xf>
    <xf numFmtId="0" fontId="78" fillId="0" borderId="0" xfId="0" applyFont="1" applyBorder="1" applyAlignment="1">
      <alignment vertical="top" wrapText="1"/>
    </xf>
    <xf numFmtId="1" fontId="153" fillId="14" borderId="11" xfId="0" applyNumberFormat="1" applyFont="1" applyFill="1" applyBorder="1" applyAlignment="1">
      <alignment vertical="top"/>
    </xf>
    <xf numFmtId="1" fontId="153" fillId="14" borderId="15" xfId="0" applyNumberFormat="1" applyFont="1" applyFill="1" applyBorder="1" applyAlignment="1">
      <alignment vertical="top"/>
    </xf>
    <xf numFmtId="167" fontId="153" fillId="14" borderId="11" xfId="0" applyNumberFormat="1" applyFont="1" applyFill="1" applyBorder="1" applyAlignment="1">
      <alignment horizontal="center" vertical="top"/>
    </xf>
    <xf numFmtId="167" fontId="153" fillId="14" borderId="42" xfId="0" applyNumberFormat="1" applyFont="1" applyFill="1" applyBorder="1" applyAlignment="1">
      <alignment horizontal="center" vertical="top"/>
    </xf>
    <xf numFmtId="167" fontId="153" fillId="14" borderId="15" xfId="0" applyNumberFormat="1" applyFont="1" applyFill="1" applyBorder="1" applyAlignment="1">
      <alignment horizontal="center" vertical="top"/>
    </xf>
    <xf numFmtId="1" fontId="153" fillId="0" borderId="11" xfId="0" applyNumberFormat="1" applyFont="1" applyFill="1" applyBorder="1" applyAlignment="1">
      <alignment vertical="top"/>
    </xf>
    <xf numFmtId="1" fontId="153" fillId="0" borderId="15" xfId="0" applyNumberFormat="1" applyFont="1" applyFill="1" applyBorder="1" applyAlignment="1">
      <alignment vertical="top"/>
    </xf>
    <xf numFmtId="167" fontId="153" fillId="0" borderId="42" xfId="0" applyNumberFormat="1" applyFont="1" applyFill="1" applyBorder="1" applyAlignment="1">
      <alignment horizontal="center" vertical="top"/>
    </xf>
    <xf numFmtId="1" fontId="153" fillId="0" borderId="13" xfId="0" applyNumberFormat="1" applyFont="1" applyFill="1" applyBorder="1" applyAlignment="1">
      <alignment horizontal="center" vertical="top"/>
    </xf>
    <xf numFmtId="1" fontId="153" fillId="0" borderId="9" xfId="0" applyNumberFormat="1" applyFont="1" applyFill="1" applyBorder="1" applyAlignment="1">
      <alignment horizontal="center" vertical="top"/>
    </xf>
    <xf numFmtId="167" fontId="153" fillId="0" borderId="13" xfId="0" applyNumberFormat="1" applyFont="1" applyFill="1" applyBorder="1" applyAlignment="1">
      <alignment horizontal="center" vertical="top"/>
    </xf>
    <xf numFmtId="167" fontId="153" fillId="0" borderId="112" xfId="0" applyNumberFormat="1" applyFont="1" applyFill="1" applyBorder="1" applyAlignment="1">
      <alignment horizontal="center" vertical="top"/>
    </xf>
    <xf numFmtId="167" fontId="153" fillId="0" borderId="14" xfId="0" applyNumberFormat="1" applyFont="1" applyFill="1" applyBorder="1" applyAlignment="1">
      <alignment horizontal="center" vertical="top"/>
    </xf>
    <xf numFmtId="167" fontId="153" fillId="0" borderId="9" xfId="0" applyNumberFormat="1" applyFont="1" applyFill="1" applyBorder="1" applyAlignment="1">
      <alignment horizontal="center" vertical="top"/>
    </xf>
    <xf numFmtId="1" fontId="153" fillId="0" borderId="12" xfId="0" applyNumberFormat="1" applyFont="1" applyFill="1" applyBorder="1" applyAlignment="1">
      <alignment vertical="top"/>
    </xf>
    <xf numFmtId="1" fontId="153" fillId="0" borderId="10" xfId="0" applyNumberFormat="1" applyFont="1" applyFill="1" applyBorder="1" applyAlignment="1">
      <alignment vertical="top"/>
    </xf>
    <xf numFmtId="167" fontId="153" fillId="0" borderId="97" xfId="0" applyNumberFormat="1" applyFont="1" applyFill="1" applyBorder="1" applyAlignment="1">
      <alignment horizontal="center" vertical="top"/>
    </xf>
    <xf numFmtId="0" fontId="36" fillId="0" borderId="0" xfId="0" applyFont="1" applyFill="1" applyBorder="1" applyAlignment="1">
      <alignment horizontal="left" vertical="top" wrapText="1" indent="1"/>
    </xf>
    <xf numFmtId="1" fontId="153" fillId="14" borderId="13" xfId="0" applyNumberFormat="1" applyFont="1" applyFill="1" applyBorder="1" applyAlignment="1">
      <alignment vertical="top"/>
    </xf>
    <xf numFmtId="1" fontId="153" fillId="14" borderId="9" xfId="0" applyNumberFormat="1" applyFont="1" applyFill="1" applyBorder="1" applyAlignment="1">
      <alignment vertical="top"/>
    </xf>
    <xf numFmtId="167" fontId="153" fillId="14" borderId="13" xfId="0" applyNumberFormat="1" applyFont="1" applyFill="1" applyBorder="1" applyAlignment="1">
      <alignment horizontal="center" vertical="top"/>
    </xf>
    <xf numFmtId="167" fontId="153" fillId="14" borderId="98" xfId="0" applyNumberFormat="1" applyFont="1" applyFill="1" applyBorder="1" applyAlignment="1">
      <alignment horizontal="center" vertical="top"/>
    </xf>
    <xf numFmtId="167" fontId="153" fillId="14" borderId="9" xfId="0" applyNumberFormat="1" applyFont="1" applyFill="1" applyBorder="1" applyAlignment="1">
      <alignment horizontal="center" vertical="top"/>
    </xf>
    <xf numFmtId="0" fontId="72" fillId="0" borderId="0" xfId="0" applyFont="1" applyAlignment="1">
      <alignment horizontal="left" vertical="top" wrapText="1" indent="1"/>
    </xf>
    <xf numFmtId="0" fontId="153" fillId="0" borderId="0" xfId="0" applyFont="1" applyFill="1" applyAlignment="1">
      <alignment horizontal="left" vertical="top" wrapText="1" indent="1"/>
    </xf>
    <xf numFmtId="0" fontId="36" fillId="0" borderId="0" xfId="0" applyFont="1" applyFill="1" applyBorder="1" applyAlignment="1">
      <alignment horizontal="left" wrapText="1" indent="1"/>
    </xf>
    <xf numFmtId="0" fontId="109" fillId="0" borderId="0" xfId="0" applyFont="1" applyAlignment="1">
      <alignment horizontal="left" vertical="top"/>
    </xf>
    <xf numFmtId="0" fontId="109" fillId="0" borderId="0" xfId="0" applyFont="1" applyBorder="1" applyAlignment="1">
      <alignment horizontal="left" vertical="top"/>
    </xf>
    <xf numFmtId="0" fontId="153" fillId="0" borderId="33" xfId="0" applyFont="1" applyBorder="1" applyAlignment="1">
      <alignment horizontal="left" vertical="top" indent="1"/>
    </xf>
    <xf numFmtId="0" fontId="153" fillId="0" borderId="122" xfId="0" applyFont="1" applyBorder="1" applyAlignment="1">
      <alignment horizontal="left" vertical="top" indent="1"/>
    </xf>
    <xf numFmtId="0" fontId="36" fillId="0" borderId="0" xfId="0" applyFont="1" applyBorder="1" applyAlignment="1">
      <alignment horizontal="left" vertical="top"/>
    </xf>
    <xf numFmtId="0" fontId="36" fillId="0" borderId="42" xfId="0" applyFont="1" applyBorder="1" applyAlignment="1">
      <alignment horizontal="left" vertical="top"/>
    </xf>
    <xf numFmtId="0" fontId="153" fillId="0" borderId="35" xfId="0" applyFont="1" applyBorder="1" applyAlignment="1">
      <alignment horizontal="left" vertical="top" wrapText="1" indent="1"/>
    </xf>
    <xf numFmtId="0" fontId="153" fillId="0" borderId="41" xfId="0" applyFont="1" applyBorder="1" applyAlignment="1">
      <alignment horizontal="left" vertical="top" wrapText="1" indent="1"/>
    </xf>
    <xf numFmtId="0" fontId="153" fillId="0" borderId="0" xfId="0" applyFont="1" applyBorder="1" applyAlignment="1">
      <alignment horizontal="left" vertical="top" wrapText="1" indent="1"/>
    </xf>
    <xf numFmtId="0" fontId="153" fillId="0" borderId="42" xfId="0" applyFont="1" applyBorder="1" applyAlignment="1">
      <alignment horizontal="left" vertical="top" wrapText="1" indent="1"/>
    </xf>
    <xf numFmtId="0" fontId="153" fillId="0" borderId="38" xfId="0" applyFont="1" applyBorder="1" applyAlignment="1">
      <alignment horizontal="left" vertical="top" wrapText="1" indent="1"/>
    </xf>
    <xf numFmtId="0" fontId="153" fillId="0" borderId="43" xfId="0" applyFont="1" applyBorder="1" applyAlignment="1">
      <alignment horizontal="left" vertical="top" wrapText="1" indent="1"/>
    </xf>
    <xf numFmtId="0" fontId="46" fillId="0" borderId="33" xfId="0" applyFont="1" applyBorder="1" applyAlignment="1">
      <alignment horizontal="left" vertical="top" indent="1"/>
    </xf>
    <xf numFmtId="0" fontId="46" fillId="0" borderId="122" xfId="0" applyFont="1" applyBorder="1" applyAlignment="1">
      <alignment horizontal="left" vertical="top" indent="1"/>
    </xf>
    <xf numFmtId="0" fontId="153" fillId="0" borderId="0" xfId="0" applyFont="1" applyAlignment="1">
      <alignment horizontal="left" vertical="top" wrapText="1"/>
    </xf>
    <xf numFmtId="0" fontId="153" fillId="0" borderId="0" xfId="0" applyFont="1" applyAlignment="1">
      <alignment horizontal="left" vertical="top"/>
    </xf>
    <xf numFmtId="0" fontId="36" fillId="0" borderId="0" xfId="0" quotePrefix="1" applyFont="1" applyFill="1" applyBorder="1" applyAlignment="1">
      <alignment horizontal="left" vertical="top" wrapText="1" indent="1"/>
    </xf>
    <xf numFmtId="0" fontId="36" fillId="0" borderId="15" xfId="0" quotePrefix="1" applyFont="1" applyFill="1" applyBorder="1" applyAlignment="1">
      <alignment horizontal="left" vertical="top" wrapText="1" indent="1"/>
    </xf>
    <xf numFmtId="0" fontId="36" fillId="0" borderId="0" xfId="0" applyFont="1" applyBorder="1" applyAlignment="1">
      <alignment horizontal="left" wrapText="1" indent="1"/>
    </xf>
    <xf numFmtId="0" fontId="36" fillId="0" borderId="15" xfId="0" applyFont="1" applyFill="1" applyBorder="1" applyAlignment="1">
      <alignment horizontal="left" vertical="top" wrapText="1" indent="1"/>
    </xf>
    <xf numFmtId="0" fontId="72" fillId="0" borderId="11" xfId="0" applyFont="1" applyFill="1" applyBorder="1" applyAlignment="1">
      <alignment horizontal="left" vertical="top" wrapText="1" indent="1"/>
    </xf>
    <xf numFmtId="0" fontId="72" fillId="0" borderId="0" xfId="0" applyFont="1" applyFill="1" applyBorder="1" applyAlignment="1">
      <alignment horizontal="left" vertical="top" wrapText="1" indent="1"/>
    </xf>
    <xf numFmtId="0" fontId="46" fillId="0" borderId="1" xfId="0" applyFont="1" applyFill="1" applyBorder="1" applyAlignment="1">
      <alignment vertical="top" wrapText="1"/>
    </xf>
    <xf numFmtId="0" fontId="78" fillId="0" borderId="0" xfId="1" applyFont="1" applyFill="1" applyAlignment="1" applyProtection="1">
      <alignment horizontal="left" vertical="top" indent="1"/>
    </xf>
    <xf numFmtId="0" fontId="153" fillId="0" borderId="11" xfId="0" applyFont="1" applyBorder="1" applyAlignment="1">
      <alignment horizontal="left" vertical="top" wrapText="1" indent="1"/>
    </xf>
    <xf numFmtId="0" fontId="36" fillId="0" borderId="0" xfId="0" applyFont="1" applyBorder="1" applyAlignment="1">
      <alignment vertical="top" wrapText="1"/>
    </xf>
    <xf numFmtId="0" fontId="36" fillId="0" borderId="0" xfId="0" quotePrefix="1" applyFont="1" applyBorder="1" applyAlignment="1">
      <alignment horizontal="left" vertical="top" wrapText="1" indent="1"/>
    </xf>
    <xf numFmtId="0" fontId="40" fillId="0" borderId="0" xfId="0" applyFont="1" applyBorder="1" applyAlignment="1">
      <alignment horizontal="left" vertical="top" wrapText="1" indent="2"/>
    </xf>
    <xf numFmtId="0" fontId="36" fillId="0" borderId="0" xfId="0" applyNumberFormat="1" applyFont="1" applyFill="1" applyAlignment="1">
      <alignment horizontal="left" vertical="top" wrapText="1" indent="1"/>
    </xf>
    <xf numFmtId="0" fontId="72" fillId="0" borderId="0" xfId="0" applyFont="1" applyBorder="1" applyAlignment="1">
      <alignment horizontal="left" wrapText="1" indent="3"/>
    </xf>
    <xf numFmtId="0" fontId="72" fillId="0" borderId="0" xfId="0" quotePrefix="1" applyFont="1" applyBorder="1" applyAlignment="1">
      <alignment horizontal="left" wrapText="1" indent="3"/>
    </xf>
    <xf numFmtId="0" fontId="210" fillId="0" borderId="0" xfId="0" applyFont="1" applyBorder="1" applyAlignment="1">
      <alignment horizontal="left" vertical="top" wrapText="1" indent="1"/>
    </xf>
    <xf numFmtId="0" fontId="46" fillId="3" borderId="6" xfId="0" applyFont="1" applyFill="1" applyBorder="1" applyAlignment="1">
      <alignment horizontal="left" vertical="top" wrapText="1"/>
    </xf>
    <xf numFmtId="0" fontId="46" fillId="3" borderId="8" xfId="0" applyFont="1" applyFill="1" applyBorder="1" applyAlignment="1">
      <alignment horizontal="left" vertical="top" wrapText="1"/>
    </xf>
    <xf numFmtId="0" fontId="36" fillId="0" borderId="0" xfId="0" applyFont="1" applyAlignment="1">
      <alignment horizontal="left" vertical="top" wrapText="1" indent="1"/>
    </xf>
    <xf numFmtId="0" fontId="46" fillId="0" borderId="0" xfId="0" applyFont="1" applyBorder="1" applyAlignment="1">
      <alignment horizontal="left" vertical="top" wrapText="1" indent="1"/>
    </xf>
    <xf numFmtId="0" fontId="46" fillId="0" borderId="0" xfId="0" quotePrefix="1" applyFont="1" applyBorder="1" applyAlignment="1">
      <alignment horizontal="left" vertical="top" wrapText="1" indent="2"/>
    </xf>
    <xf numFmtId="0" fontId="157" fillId="14" borderId="12" xfId="0" applyFont="1" applyFill="1" applyBorder="1" applyAlignment="1">
      <alignment horizontal="left" vertical="top" wrapText="1"/>
    </xf>
    <xf numFmtId="0" fontId="157" fillId="14" borderId="11" xfId="0" applyFont="1" applyFill="1" applyBorder="1" applyAlignment="1">
      <alignment horizontal="left" vertical="top" wrapText="1"/>
    </xf>
    <xf numFmtId="0" fontId="157" fillId="14" borderId="12" xfId="0" applyFont="1" applyFill="1" applyBorder="1" applyAlignment="1">
      <alignment vertical="top" wrapText="1"/>
    </xf>
    <xf numFmtId="0" fontId="157" fillId="14" borderId="11" xfId="0" applyFont="1" applyFill="1" applyBorder="1" applyAlignment="1">
      <alignment vertical="top" wrapText="1"/>
    </xf>
    <xf numFmtId="0" fontId="46" fillId="0" borderId="0" xfId="1" applyFont="1" applyBorder="1" applyAlignment="1" applyProtection="1">
      <alignment horizontal="left" vertical="top" wrapText="1" indent="1"/>
    </xf>
    <xf numFmtId="0" fontId="46" fillId="0" borderId="0" xfId="0" applyFont="1" applyAlignment="1">
      <alignment horizontal="left" indent="1"/>
    </xf>
    <xf numFmtId="0" fontId="46" fillId="0" borderId="0" xfId="1" quotePrefix="1" applyFont="1" applyBorder="1" applyAlignment="1" applyProtection="1">
      <alignment horizontal="left" vertical="top" wrapText="1" indent="2"/>
    </xf>
    <xf numFmtId="0" fontId="46" fillId="0" borderId="36" xfId="1" quotePrefix="1" applyFont="1" applyBorder="1" applyAlignment="1" applyProtection="1">
      <alignment horizontal="left" vertical="top" wrapText="1" indent="2"/>
    </xf>
    <xf numFmtId="0" fontId="46" fillId="0" borderId="42" xfId="1" quotePrefix="1" applyFont="1" applyBorder="1" applyAlignment="1" applyProtection="1">
      <alignment horizontal="left" vertical="top" wrapText="1" indent="2"/>
    </xf>
    <xf numFmtId="0" fontId="46" fillId="0" borderId="36" xfId="1" applyFont="1" applyBorder="1" applyAlignment="1" applyProtection="1">
      <alignment horizontal="left" vertical="top" wrapText="1" indent="2"/>
    </xf>
    <xf numFmtId="0" fontId="46" fillId="0" borderId="0" xfId="1" applyFont="1" applyBorder="1" applyAlignment="1" applyProtection="1">
      <alignment horizontal="left" vertical="top" wrapText="1" indent="2"/>
    </xf>
    <xf numFmtId="0" fontId="46" fillId="0" borderId="42" xfId="1" applyFont="1" applyBorder="1" applyAlignment="1" applyProtection="1">
      <alignment horizontal="left" vertical="top" wrapText="1" indent="2"/>
    </xf>
    <xf numFmtId="0" fontId="149" fillId="14" borderId="11" xfId="0" applyFont="1" applyFill="1" applyBorder="1" applyAlignment="1">
      <alignment vertical="top" wrapText="1"/>
    </xf>
    <xf numFmtId="0" fontId="210" fillId="0" borderId="35" xfId="0" applyFont="1" applyBorder="1" applyAlignment="1">
      <alignment horizontal="left" vertical="top" wrapText="1" indent="1"/>
    </xf>
    <xf numFmtId="0" fontId="210" fillId="0" borderId="38" xfId="0" applyFont="1" applyBorder="1" applyAlignment="1">
      <alignment horizontal="left" vertical="top" wrapText="1" indent="1"/>
    </xf>
    <xf numFmtId="0" fontId="216" fillId="0" borderId="0" xfId="0" applyFont="1" applyFill="1" applyBorder="1" applyAlignment="1">
      <alignment horizontal="left" vertical="top" wrapText="1" indent="1"/>
    </xf>
    <xf numFmtId="0" fontId="216" fillId="0" borderId="38" xfId="0" applyFont="1" applyFill="1" applyBorder="1" applyAlignment="1">
      <alignment horizontal="left" vertical="top" wrapText="1" indent="1"/>
    </xf>
    <xf numFmtId="0" fontId="216" fillId="0" borderId="35" xfId="0" applyFont="1" applyBorder="1" applyAlignment="1">
      <alignment horizontal="left" vertical="top" wrapText="1" indent="1"/>
    </xf>
    <xf numFmtId="0" fontId="216" fillId="0" borderId="0" xfId="0" applyFont="1" applyBorder="1" applyAlignment="1">
      <alignment horizontal="left" vertical="top" wrapText="1" indent="1"/>
    </xf>
    <xf numFmtId="0" fontId="36" fillId="0" borderId="0" xfId="0" quotePrefix="1" applyFont="1" applyAlignment="1">
      <alignment horizontal="left" vertical="top" wrapText="1" indent="1"/>
    </xf>
    <xf numFmtId="0" fontId="46" fillId="0" borderId="34" xfId="1" applyFont="1" applyBorder="1" applyAlignment="1" applyProtection="1">
      <alignment horizontal="left" vertical="top" wrapText="1" indent="1"/>
    </xf>
    <xf numFmtId="0" fontId="46" fillId="0" borderId="35" xfId="1" applyFont="1" applyBorder="1" applyAlignment="1" applyProtection="1">
      <alignment horizontal="left" vertical="top" wrapText="1" indent="1"/>
    </xf>
    <xf numFmtId="0" fontId="46" fillId="0" borderId="41" xfId="1" applyFont="1" applyBorder="1" applyAlignment="1" applyProtection="1">
      <alignment horizontal="left" vertical="top" wrapText="1" indent="1"/>
    </xf>
    <xf numFmtId="0" fontId="46" fillId="0" borderId="36" xfId="1" applyFont="1" applyBorder="1" applyAlignment="1" applyProtection="1">
      <alignment horizontal="left" vertical="top" wrapText="1" indent="1"/>
    </xf>
    <xf numFmtId="0" fontId="46" fillId="0" borderId="42" xfId="1" applyFont="1" applyBorder="1" applyAlignment="1" applyProtection="1">
      <alignment horizontal="left" vertical="top" wrapText="1" indent="1"/>
    </xf>
    <xf numFmtId="0" fontId="46" fillId="0" borderId="35" xfId="0" applyFont="1" applyBorder="1" applyAlignment="1">
      <alignment horizontal="left" vertical="top" wrapText="1"/>
    </xf>
    <xf numFmtId="0" fontId="46" fillId="0" borderId="38" xfId="0" applyFont="1" applyBorder="1" applyAlignment="1">
      <alignment horizontal="left" vertical="top" wrapText="1"/>
    </xf>
    <xf numFmtId="0" fontId="46" fillId="0" borderId="35" xfId="0" quotePrefix="1" applyFont="1" applyBorder="1" applyAlignment="1">
      <alignment horizontal="left" vertical="top" wrapText="1" indent="2"/>
    </xf>
    <xf numFmtId="0" fontId="46" fillId="0" borderId="38" xfId="0" quotePrefix="1" applyFont="1" applyBorder="1" applyAlignment="1">
      <alignment horizontal="left" vertical="top" wrapText="1" indent="2"/>
    </xf>
    <xf numFmtId="0" fontId="216" fillId="0" borderId="0" xfId="0" applyFont="1" applyAlignment="1">
      <alignment horizontal="left" vertical="top" wrapText="1" indent="1"/>
    </xf>
    <xf numFmtId="0" fontId="216" fillId="0" borderId="38" xfId="0" applyFont="1" applyBorder="1" applyAlignment="1">
      <alignment horizontal="left" vertical="top" wrapText="1" indent="1"/>
    </xf>
    <xf numFmtId="0" fontId="46" fillId="0" borderId="0" xfId="0" applyFont="1" applyBorder="1" applyAlignment="1">
      <alignment horizontal="left" vertical="top" wrapText="1"/>
    </xf>
    <xf numFmtId="0" fontId="46" fillId="0" borderId="5"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Alignment="1">
      <alignment horizontal="left" vertical="top" wrapText="1" indent="1"/>
    </xf>
    <xf numFmtId="0" fontId="131" fillId="0" borderId="36" xfId="1" applyFont="1" applyBorder="1" applyAlignment="1" applyProtection="1">
      <alignment horizontal="left" vertical="top" wrapText="1" indent="1"/>
    </xf>
    <xf numFmtId="0" fontId="131" fillId="0" borderId="0" xfId="1" applyFont="1" applyBorder="1" applyAlignment="1" applyProtection="1">
      <alignment horizontal="left" vertical="top" wrapText="1" indent="1"/>
    </xf>
    <xf numFmtId="0" fontId="131" fillId="0" borderId="42" xfId="1" applyFont="1" applyBorder="1" applyAlignment="1" applyProtection="1">
      <alignment horizontal="left" vertical="top" wrapText="1" indent="1"/>
    </xf>
    <xf numFmtId="0" fontId="40" fillId="0" borderId="0" xfId="1" applyFont="1" applyAlignment="1" applyProtection="1">
      <alignment horizontal="left" vertical="top" wrapText="1" indent="2"/>
    </xf>
    <xf numFmtId="0" fontId="40" fillId="0" borderId="0" xfId="1" quotePrefix="1" applyFont="1" applyAlignment="1" applyProtection="1">
      <alignment horizontal="left" vertical="top" wrapText="1" indent="1"/>
    </xf>
    <xf numFmtId="0" fontId="131" fillId="0" borderId="0" xfId="1" quotePrefix="1" applyFont="1" applyAlignment="1" applyProtection="1">
      <alignment horizontal="left" vertical="top" wrapText="1" indent="1"/>
    </xf>
    <xf numFmtId="0" fontId="36" fillId="0" borderId="0" xfId="0" quotePrefix="1" applyFont="1" applyAlignment="1">
      <alignment horizontal="left" vertical="top" wrapText="1" indent="2"/>
    </xf>
    <xf numFmtId="0" fontId="36" fillId="0" borderId="0" xfId="0" applyFont="1" applyAlignment="1">
      <alignment horizontal="left" vertical="top" wrapText="1"/>
    </xf>
    <xf numFmtId="0" fontId="40" fillId="0" borderId="36" xfId="0" quotePrefix="1" applyFont="1" applyBorder="1" applyAlignment="1">
      <alignment horizontal="left" vertical="top" wrapText="1" indent="1"/>
    </xf>
    <xf numFmtId="0" fontId="40" fillId="0" borderId="0" xfId="0" quotePrefix="1" applyFont="1" applyBorder="1" applyAlignment="1">
      <alignment horizontal="left" vertical="top" wrapText="1" indent="1"/>
    </xf>
    <xf numFmtId="0" fontId="40" fillId="0" borderId="42" xfId="0" quotePrefix="1" applyFont="1" applyBorder="1" applyAlignment="1">
      <alignment horizontal="left" vertical="top" wrapText="1" indent="1"/>
    </xf>
    <xf numFmtId="0" fontId="40" fillId="0" borderId="37" xfId="0" quotePrefix="1" applyFont="1" applyBorder="1" applyAlignment="1">
      <alignment horizontal="left" vertical="top" wrapText="1" indent="1"/>
    </xf>
    <xf numFmtId="0" fontId="40" fillId="0" borderId="38" xfId="0" quotePrefix="1" applyFont="1" applyBorder="1" applyAlignment="1">
      <alignment horizontal="left" vertical="top" wrapText="1" indent="1"/>
    </xf>
    <xf numFmtId="0" fontId="40" fillId="0" borderId="43" xfId="0" quotePrefix="1" applyFont="1" applyBorder="1" applyAlignment="1">
      <alignment horizontal="left" vertical="top" wrapText="1" indent="1"/>
    </xf>
    <xf numFmtId="0" fontId="40" fillId="0" borderId="0" xfId="0" applyNumberFormat="1" applyFont="1" applyBorder="1" applyAlignment="1">
      <alignment horizontal="left" vertical="top" wrapText="1" indent="2"/>
    </xf>
    <xf numFmtId="167" fontId="36" fillId="0" borderId="11" xfId="3" applyNumberFormat="1" applyFont="1" applyBorder="1" applyAlignment="1">
      <alignment horizontal="center" vertical="top"/>
    </xf>
    <xf numFmtId="167" fontId="36" fillId="0" borderId="42" xfId="3" applyNumberFormat="1" applyFont="1" applyBorder="1" applyAlignment="1">
      <alignment horizontal="center" vertical="top"/>
    </xf>
    <xf numFmtId="167" fontId="46" fillId="14" borderId="11" xfId="3" applyNumberFormat="1" applyFont="1" applyFill="1" applyBorder="1" applyAlignment="1">
      <alignment horizontal="center" vertical="top"/>
    </xf>
    <xf numFmtId="167" fontId="46" fillId="14" borderId="15" xfId="3" applyNumberFormat="1" applyFont="1" applyFill="1" applyBorder="1" applyAlignment="1">
      <alignment horizontal="center" vertical="top"/>
    </xf>
    <xf numFmtId="167" fontId="46" fillId="0" borderId="11" xfId="3" applyNumberFormat="1" applyFont="1" applyBorder="1" applyAlignment="1">
      <alignment horizontal="center" vertical="top"/>
    </xf>
    <xf numFmtId="167" fontId="46" fillId="0" borderId="15" xfId="3" applyNumberFormat="1" applyFont="1" applyBorder="1" applyAlignment="1">
      <alignment horizontal="center" vertical="top"/>
    </xf>
    <xf numFmtId="167" fontId="46" fillId="0" borderId="13" xfId="3" applyNumberFormat="1" applyFont="1" applyBorder="1" applyAlignment="1">
      <alignment horizontal="center" vertical="top"/>
    </xf>
    <xf numFmtId="167" fontId="46" fillId="0" borderId="9" xfId="3" applyNumberFormat="1" applyFont="1" applyBorder="1" applyAlignment="1">
      <alignment horizontal="center" vertical="top"/>
    </xf>
    <xf numFmtId="0" fontId="61" fillId="0" borderId="36" xfId="0" applyNumberFormat="1" applyFont="1" applyBorder="1" applyAlignment="1">
      <alignment horizontal="left" vertical="top" wrapText="1" indent="1"/>
    </xf>
    <xf numFmtId="0" fontId="61" fillId="0" borderId="0" xfId="0" applyNumberFormat="1" applyFont="1" applyBorder="1" applyAlignment="1">
      <alignment horizontal="left" vertical="top" wrapText="1" indent="1"/>
    </xf>
    <xf numFmtId="0" fontId="61" fillId="0" borderId="42" xfId="0" applyNumberFormat="1" applyFont="1" applyBorder="1" applyAlignment="1">
      <alignment horizontal="left" vertical="top" wrapText="1" indent="1"/>
    </xf>
    <xf numFmtId="0" fontId="77" fillId="18" borderId="0" xfId="0" applyFont="1" applyFill="1" applyAlignment="1">
      <alignment horizontal="left" vertical="top" wrapText="1" indent="1"/>
    </xf>
    <xf numFmtId="167" fontId="36" fillId="0" borderId="79" xfId="3" applyNumberFormat="1" applyFont="1" applyBorder="1" applyAlignment="1">
      <alignment horizontal="center" vertical="top"/>
    </xf>
    <xf numFmtId="167" fontId="36" fillId="0" borderId="41" xfId="3" applyNumberFormat="1" applyFont="1" applyBorder="1" applyAlignment="1">
      <alignment horizontal="center" vertical="top"/>
    </xf>
    <xf numFmtId="0" fontId="46" fillId="0" borderId="0" xfId="1" applyFont="1" applyAlignment="1" applyProtection="1">
      <alignment horizontal="left" wrapText="1" indent="1"/>
    </xf>
    <xf numFmtId="167" fontId="36" fillId="0" borderId="80" xfId="3" applyNumberFormat="1" applyFont="1" applyBorder="1" applyAlignment="1">
      <alignment horizontal="center" vertical="top"/>
    </xf>
    <xf numFmtId="167" fontId="36" fillId="0" borderId="43" xfId="3" applyNumberFormat="1" applyFont="1" applyBorder="1" applyAlignment="1">
      <alignment horizontal="center" vertical="top"/>
    </xf>
    <xf numFmtId="9" fontId="46" fillId="0" borderId="13" xfId="3" applyFont="1" applyBorder="1" applyAlignment="1">
      <alignment horizontal="center" vertical="top"/>
    </xf>
    <xf numFmtId="9" fontId="46" fillId="0" borderId="9" xfId="3" applyFont="1" applyBorder="1" applyAlignment="1">
      <alignment horizontal="center" vertical="top"/>
    </xf>
    <xf numFmtId="9" fontId="46" fillId="0" borderId="12" xfId="3" applyFont="1" applyBorder="1" applyAlignment="1">
      <alignment horizontal="center" vertical="top"/>
    </xf>
    <xf numFmtId="9" fontId="46" fillId="0" borderId="10" xfId="3" applyFont="1" applyBorder="1" applyAlignment="1">
      <alignment horizontal="center" vertical="top"/>
    </xf>
    <xf numFmtId="9" fontId="46" fillId="0" borderId="80" xfId="3" applyFont="1" applyBorder="1" applyAlignment="1">
      <alignment horizontal="center" vertical="top"/>
    </xf>
    <xf numFmtId="9" fontId="46" fillId="0" borderId="87" xfId="3" applyFont="1" applyBorder="1" applyAlignment="1">
      <alignment horizontal="center" vertical="top"/>
    </xf>
    <xf numFmtId="9" fontId="46" fillId="0" borderId="79" xfId="3" applyFont="1" applyBorder="1" applyAlignment="1">
      <alignment horizontal="center" vertical="top"/>
    </xf>
    <xf numFmtId="9" fontId="46" fillId="0" borderId="86" xfId="3" applyFont="1" applyBorder="1" applyAlignment="1">
      <alignment horizontal="center" vertical="top"/>
    </xf>
    <xf numFmtId="9" fontId="46" fillId="0" borderId="11" xfId="3" applyFont="1" applyBorder="1" applyAlignment="1">
      <alignment horizontal="center" vertical="top"/>
    </xf>
    <xf numFmtId="9" fontId="46" fillId="0" borderId="15" xfId="3" applyFont="1" applyBorder="1" applyAlignment="1">
      <alignment horizontal="center" vertical="top"/>
    </xf>
    <xf numFmtId="0" fontId="36" fillId="0" borderId="0" xfId="0" applyNumberFormat="1" applyFont="1" applyBorder="1" applyAlignment="1">
      <alignment horizontal="left" vertical="top" wrapText="1" indent="1"/>
    </xf>
    <xf numFmtId="0" fontId="36" fillId="0" borderId="15" xfId="0" applyNumberFormat="1" applyFont="1" applyBorder="1" applyAlignment="1">
      <alignment horizontal="left" vertical="top" wrapText="1" indent="1"/>
    </xf>
    <xf numFmtId="0" fontId="36" fillId="0" borderId="0" xfId="0" quotePrefix="1" applyNumberFormat="1" applyFont="1" applyBorder="1" applyAlignment="1">
      <alignment horizontal="left" vertical="top" wrapText="1" indent="2"/>
    </xf>
    <xf numFmtId="0" fontId="36" fillId="0" borderId="15" xfId="0" quotePrefix="1" applyNumberFormat="1" applyFont="1" applyBorder="1" applyAlignment="1">
      <alignment horizontal="left" vertical="top" wrapText="1" indent="2"/>
    </xf>
    <xf numFmtId="0" fontId="37" fillId="3" borderId="6" xfId="0" applyFont="1" applyFill="1" applyBorder="1" applyAlignment="1">
      <alignment horizontal="center" vertical="top"/>
    </xf>
    <xf numFmtId="0" fontId="37" fillId="3" borderId="75" xfId="0" applyFont="1" applyFill="1" applyBorder="1" applyAlignment="1">
      <alignment horizontal="center" vertical="top"/>
    </xf>
    <xf numFmtId="0" fontId="40" fillId="0" borderId="0" xfId="0" applyNumberFormat="1" applyFont="1" applyAlignment="1">
      <alignment horizontal="left" vertical="top" wrapText="1" indent="3"/>
    </xf>
    <xf numFmtId="0" fontId="36" fillId="0" borderId="5" xfId="0" applyNumberFormat="1" applyFont="1" applyBorder="1" applyAlignment="1">
      <alignment horizontal="left" vertical="top" wrapText="1" indent="1"/>
    </xf>
    <xf numFmtId="0" fontId="36" fillId="0" borderId="10" xfId="0" applyNumberFormat="1" applyFont="1" applyBorder="1" applyAlignment="1">
      <alignment horizontal="left" vertical="top" wrapText="1" indent="1"/>
    </xf>
    <xf numFmtId="0" fontId="36" fillId="0" borderId="34" xfId="0" applyFont="1" applyBorder="1" applyAlignment="1">
      <alignment horizontal="left" vertical="top" wrapText="1" indent="1"/>
    </xf>
    <xf numFmtId="0" fontId="36" fillId="0" borderId="35" xfId="0" applyFont="1" applyBorder="1" applyAlignment="1">
      <alignment horizontal="left" vertical="top" wrapText="1" indent="1"/>
    </xf>
    <xf numFmtId="0" fontId="36" fillId="0" borderId="41" xfId="0" applyFont="1" applyBorder="1" applyAlignment="1">
      <alignment horizontal="left" vertical="top" wrapText="1" indent="1"/>
    </xf>
    <xf numFmtId="0" fontId="36" fillId="0" borderId="36" xfId="0" applyFont="1" applyBorder="1" applyAlignment="1">
      <alignment horizontal="left" vertical="top" wrapText="1" indent="1"/>
    </xf>
    <xf numFmtId="0" fontId="36" fillId="0" borderId="0" xfId="0" applyFont="1" applyBorder="1" applyAlignment="1">
      <alignment horizontal="left" vertical="top" wrapText="1" indent="1"/>
    </xf>
    <xf numFmtId="0" fontId="36" fillId="0" borderId="42" xfId="0" applyFont="1" applyBorder="1" applyAlignment="1">
      <alignment horizontal="left" vertical="top" wrapText="1" indent="1"/>
    </xf>
    <xf numFmtId="0" fontId="131" fillId="0" borderId="0" xfId="0" applyFont="1" applyAlignment="1">
      <alignment horizontal="left" vertical="top" wrapText="1" indent="1"/>
    </xf>
    <xf numFmtId="0" fontId="40" fillId="0" borderId="0" xfId="0" applyFont="1" applyAlignment="1">
      <alignment vertical="top" wrapText="1"/>
    </xf>
    <xf numFmtId="0" fontId="46" fillId="0" borderId="0" xfId="0" applyNumberFormat="1" applyFont="1" applyAlignment="1">
      <alignment horizontal="left" vertical="top" wrapText="1" indent="1"/>
    </xf>
    <xf numFmtId="0" fontId="36" fillId="0" borderId="0" xfId="0" quotePrefix="1" applyFont="1" applyAlignment="1">
      <alignment horizontal="left" vertical="top" wrapText="1"/>
    </xf>
    <xf numFmtId="0" fontId="36" fillId="0" borderId="35" xfId="0" applyNumberFormat="1" applyFont="1" applyBorder="1" applyAlignment="1">
      <alignment horizontal="left" vertical="top" wrapText="1" indent="1"/>
    </xf>
    <xf numFmtId="0" fontId="36" fillId="0" borderId="38" xfId="0" applyNumberFormat="1" applyFont="1" applyBorder="1" applyAlignment="1">
      <alignment horizontal="left" vertical="top" wrapText="1" indent="1"/>
    </xf>
    <xf numFmtId="0" fontId="36" fillId="0" borderId="0" xfId="0" applyFont="1" applyAlignment="1">
      <alignment vertical="top" wrapText="1"/>
    </xf>
    <xf numFmtId="0" fontId="36" fillId="0" borderId="0" xfId="0" quotePrefix="1" applyFont="1" applyFill="1" applyAlignment="1">
      <alignment horizontal="left" vertical="top" wrapText="1" indent="1"/>
    </xf>
    <xf numFmtId="0" fontId="36" fillId="0" borderId="0" xfId="0" applyNumberFormat="1" applyFont="1" applyBorder="1" applyAlignment="1">
      <alignment horizontal="left" vertical="top" wrapText="1" indent="2"/>
    </xf>
    <xf numFmtId="0" fontId="47" fillId="0" borderId="0" xfId="1" applyFont="1" applyBorder="1" applyAlignment="1" applyProtection="1">
      <alignment horizontal="left" vertical="top" wrapText="1" indent="1"/>
    </xf>
    <xf numFmtId="167" fontId="36" fillId="14" borderId="11" xfId="3" applyNumberFormat="1" applyFont="1" applyFill="1" applyBorder="1" applyAlignment="1">
      <alignment horizontal="center" vertical="top"/>
    </xf>
    <xf numFmtId="167" fontId="36" fillId="14" borderId="42" xfId="3" applyNumberFormat="1" applyFont="1" applyFill="1" applyBorder="1" applyAlignment="1">
      <alignment horizontal="center" vertical="top"/>
    </xf>
    <xf numFmtId="0" fontId="130" fillId="0" borderId="0" xfId="0" applyFont="1" applyAlignment="1">
      <alignment horizontal="left" vertical="top" wrapText="1" indent="1"/>
    </xf>
    <xf numFmtId="0" fontId="131" fillId="0" borderId="36" xfId="0" applyFont="1" applyBorder="1" applyAlignment="1">
      <alignment horizontal="left" vertical="top" wrapText="1"/>
    </xf>
    <xf numFmtId="0" fontId="131" fillId="0" borderId="0" xfId="0" applyFont="1" applyBorder="1" applyAlignment="1">
      <alignment horizontal="left" vertical="top" wrapText="1"/>
    </xf>
    <xf numFmtId="0" fontId="131" fillId="0" borderId="42" xfId="0" applyFont="1" applyBorder="1" applyAlignment="1">
      <alignment horizontal="left" vertical="top" wrapText="1"/>
    </xf>
    <xf numFmtId="0" fontId="131" fillId="0" borderId="37" xfId="0" applyFont="1" applyBorder="1" applyAlignment="1">
      <alignment horizontal="left" vertical="top" wrapText="1"/>
    </xf>
    <xf numFmtId="0" fontId="131" fillId="0" borderId="38" xfId="0" applyFont="1" applyBorder="1" applyAlignment="1">
      <alignment horizontal="left" vertical="top" wrapText="1"/>
    </xf>
    <xf numFmtId="0" fontId="131" fillId="0" borderId="43" xfId="0" applyFont="1" applyBorder="1" applyAlignment="1">
      <alignment horizontal="left" vertical="top" wrapText="1"/>
    </xf>
    <xf numFmtId="9" fontId="36" fillId="0" borderId="79" xfId="3" applyFont="1" applyBorder="1" applyAlignment="1">
      <alignment horizontal="center" vertical="top"/>
    </xf>
    <xf numFmtId="9" fontId="36" fillId="0" borderId="41" xfId="3" applyFont="1" applyBorder="1" applyAlignment="1">
      <alignment horizontal="center" vertical="top"/>
    </xf>
    <xf numFmtId="9" fontId="36" fillId="0" borderId="11" xfId="3" applyFont="1" applyBorder="1" applyAlignment="1">
      <alignment horizontal="center" vertical="top"/>
    </xf>
    <xf numFmtId="9" fontId="36" fillId="0" borderId="42" xfId="3" applyFont="1" applyBorder="1" applyAlignment="1">
      <alignment horizontal="center" vertical="top"/>
    </xf>
    <xf numFmtId="167" fontId="36" fillId="0" borderId="106" xfId="3" applyNumberFormat="1" applyFont="1" applyBorder="1" applyAlignment="1">
      <alignment horizontal="center" vertical="top"/>
    </xf>
    <xf numFmtId="167" fontId="36" fillId="0" borderId="108" xfId="3" applyNumberFormat="1" applyFont="1" applyBorder="1" applyAlignment="1">
      <alignment horizontal="center" vertical="top"/>
    </xf>
    <xf numFmtId="0" fontId="37" fillId="6" borderId="6" xfId="0" applyFont="1" applyFill="1" applyBorder="1" applyAlignment="1">
      <alignment horizontal="center" vertical="top"/>
    </xf>
    <xf numFmtId="0" fontId="37" fillId="6" borderId="7" xfId="0" applyFont="1" applyFill="1" applyBorder="1" applyAlignment="1">
      <alignment horizontal="center" vertical="top"/>
    </xf>
    <xf numFmtId="0" fontId="37" fillId="6" borderId="8" xfId="0" applyFont="1" applyFill="1" applyBorder="1" applyAlignment="1">
      <alignment horizontal="center" vertical="top"/>
    </xf>
    <xf numFmtId="0" fontId="149" fillId="3" borderId="6" xfId="0" applyFont="1" applyFill="1" applyBorder="1" applyAlignment="1">
      <alignment horizontal="center" vertical="top"/>
    </xf>
    <xf numFmtId="0" fontId="149" fillId="3" borderId="8" xfId="0" applyFont="1" applyFill="1" applyBorder="1" applyAlignment="1">
      <alignment horizontal="center" vertical="top"/>
    </xf>
    <xf numFmtId="167" fontId="46" fillId="14" borderId="12" xfId="3" applyNumberFormat="1" applyFont="1" applyFill="1" applyBorder="1" applyAlignment="1">
      <alignment horizontal="center" vertical="top"/>
    </xf>
    <xf numFmtId="167" fontId="46" fillId="14" borderId="10" xfId="3" applyNumberFormat="1" applyFont="1" applyFill="1" applyBorder="1" applyAlignment="1">
      <alignment horizontal="center" vertical="top"/>
    </xf>
    <xf numFmtId="167" fontId="46" fillId="0" borderId="80" xfId="3" applyNumberFormat="1" applyFont="1" applyBorder="1" applyAlignment="1">
      <alignment horizontal="center" vertical="top"/>
    </xf>
    <xf numFmtId="167" fontId="46" fillId="0" borderId="87" xfId="3" applyNumberFormat="1" applyFont="1" applyBorder="1" applyAlignment="1">
      <alignment horizontal="center" vertical="top"/>
    </xf>
    <xf numFmtId="0" fontId="47" fillId="0" borderId="0" xfId="0" applyFont="1" applyAlignment="1">
      <alignment horizontal="left" vertical="top" wrapText="1" indent="1"/>
    </xf>
    <xf numFmtId="0" fontId="216" fillId="0" borderId="35" xfId="0" applyNumberFormat="1" applyFont="1" applyBorder="1" applyAlignment="1">
      <alignment horizontal="left" vertical="top" wrapText="1" indent="1"/>
    </xf>
    <xf numFmtId="0" fontId="216" fillId="0" borderId="0" xfId="0" applyNumberFormat="1" applyFont="1" applyBorder="1" applyAlignment="1">
      <alignment horizontal="left" vertical="top" wrapText="1" indent="1"/>
    </xf>
    <xf numFmtId="0" fontId="46" fillId="0" borderId="5" xfId="1" applyFont="1" applyBorder="1" applyAlignment="1" applyProtection="1">
      <alignment horizontal="left" vertical="top" wrapText="1" indent="1"/>
    </xf>
    <xf numFmtId="0" fontId="78" fillId="0" borderId="0" xfId="0" applyFont="1" applyAlignment="1">
      <alignment horizontal="left" vertical="top" wrapText="1" indent="1"/>
    </xf>
    <xf numFmtId="0" fontId="36" fillId="0" borderId="5" xfId="0" applyFont="1" applyBorder="1" applyAlignment="1">
      <alignment horizontal="left" vertical="top" wrapText="1" indent="1"/>
    </xf>
    <xf numFmtId="0" fontId="164" fillId="0" borderId="0" xfId="1" applyFont="1" applyAlignment="1" applyProtection="1">
      <alignment horizontal="left" vertical="top" wrapText="1" indent="1"/>
    </xf>
    <xf numFmtId="0" fontId="131" fillId="0" borderId="0" xfId="0" quotePrefix="1" applyFont="1" applyAlignment="1">
      <alignment horizontal="left" vertical="top" wrapText="1" indent="2"/>
    </xf>
    <xf numFmtId="0" fontId="162" fillId="0" borderId="0" xfId="1" applyFont="1" applyAlignment="1" applyProtection="1">
      <alignment horizontal="left" wrapText="1" indent="1"/>
    </xf>
    <xf numFmtId="0" fontId="40" fillId="0" borderId="0" xfId="0" quotePrefix="1" applyFont="1" applyAlignment="1">
      <alignment horizontal="left" vertical="top" wrapText="1" indent="1"/>
    </xf>
    <xf numFmtId="0" fontId="36" fillId="0" borderId="0" xfId="0" quotePrefix="1" applyFont="1" applyBorder="1" applyAlignment="1">
      <alignment horizontal="left" vertical="top" wrapText="1" indent="2"/>
    </xf>
    <xf numFmtId="167" fontId="36" fillId="14" borderId="12" xfId="3" applyNumberFormat="1" applyFont="1" applyFill="1" applyBorder="1" applyAlignment="1">
      <alignment horizontal="center" vertical="top"/>
    </xf>
    <xf numFmtId="167" fontId="36" fillId="14" borderId="97" xfId="3" applyNumberFormat="1" applyFont="1" applyFill="1" applyBorder="1" applyAlignment="1">
      <alignment horizontal="center" vertical="top"/>
    </xf>
    <xf numFmtId="167" fontId="36" fillId="0" borderId="13" xfId="3" applyNumberFormat="1" applyFont="1" applyBorder="1" applyAlignment="1">
      <alignment horizontal="center" vertical="top"/>
    </xf>
    <xf numFmtId="167" fontId="36" fillId="0" borderId="98" xfId="3" applyNumberFormat="1" applyFont="1" applyBorder="1" applyAlignment="1">
      <alignment horizontal="center" vertical="top"/>
    </xf>
    <xf numFmtId="167" fontId="36" fillId="0" borderId="12" xfId="3" applyNumberFormat="1" applyFont="1" applyBorder="1" applyAlignment="1">
      <alignment horizontal="center" vertical="top"/>
    </xf>
    <xf numFmtId="167" fontId="36" fillId="0" borderId="97" xfId="3" applyNumberFormat="1" applyFont="1" applyBorder="1" applyAlignment="1">
      <alignment horizontal="center" vertical="top"/>
    </xf>
    <xf numFmtId="167" fontId="46" fillId="0" borderId="79" xfId="3" applyNumberFormat="1" applyFont="1" applyBorder="1" applyAlignment="1">
      <alignment horizontal="center" vertical="top"/>
    </xf>
    <xf numFmtId="167" fontId="46" fillId="0" borderId="86" xfId="3" applyNumberFormat="1" applyFont="1" applyBorder="1" applyAlignment="1">
      <alignment horizontal="center" vertical="top"/>
    </xf>
    <xf numFmtId="167" fontId="46" fillId="14" borderId="101" xfId="3" applyNumberFormat="1" applyFont="1" applyFill="1" applyBorder="1" applyAlignment="1">
      <alignment horizontal="center" vertical="top"/>
    </xf>
    <xf numFmtId="167" fontId="46" fillId="14" borderId="103" xfId="3" applyNumberFormat="1" applyFont="1" applyFill="1" applyBorder="1" applyAlignment="1">
      <alignment horizontal="center" vertical="top"/>
    </xf>
    <xf numFmtId="167" fontId="46" fillId="0" borderId="12" xfId="3" applyNumberFormat="1" applyFont="1" applyBorder="1" applyAlignment="1">
      <alignment horizontal="center" vertical="top"/>
    </xf>
    <xf numFmtId="167" fontId="46" fillId="0" borderId="10" xfId="3" applyNumberFormat="1" applyFont="1" applyBorder="1" applyAlignment="1">
      <alignment horizontal="center" vertical="top"/>
    </xf>
    <xf numFmtId="167" fontId="46" fillId="0" borderId="106" xfId="3" applyNumberFormat="1" applyFont="1" applyBorder="1" applyAlignment="1">
      <alignment horizontal="center" vertical="top"/>
    </xf>
    <xf numFmtId="167" fontId="46" fillId="0" borderId="107" xfId="3" applyNumberFormat="1" applyFont="1" applyBorder="1" applyAlignment="1">
      <alignment horizontal="center" vertical="top"/>
    </xf>
    <xf numFmtId="167" fontId="46" fillId="0" borderId="101" xfId="3" applyNumberFormat="1" applyFont="1" applyBorder="1" applyAlignment="1">
      <alignment horizontal="center" vertical="top"/>
    </xf>
    <xf numFmtId="167" fontId="46" fillId="0" borderId="103" xfId="3" applyNumberFormat="1" applyFont="1" applyBorder="1" applyAlignment="1">
      <alignment horizontal="center" vertical="top"/>
    </xf>
    <xf numFmtId="167" fontId="36" fillId="0" borderId="101" xfId="3" applyNumberFormat="1" applyFont="1" applyBorder="1" applyAlignment="1">
      <alignment horizontal="center" vertical="top"/>
    </xf>
    <xf numFmtId="167" fontId="36" fillId="0" borderId="104" xfId="3" applyNumberFormat="1" applyFont="1" applyBorder="1" applyAlignment="1">
      <alignment horizontal="center" vertical="top"/>
    </xf>
    <xf numFmtId="9" fontId="36" fillId="0" borderId="106" xfId="3" applyFont="1" applyBorder="1" applyAlignment="1">
      <alignment horizontal="center" vertical="top"/>
    </xf>
    <xf numFmtId="9" fontId="36" fillId="0" borderId="108" xfId="3" applyFont="1" applyBorder="1" applyAlignment="1">
      <alignment horizontal="center" vertical="top"/>
    </xf>
    <xf numFmtId="0" fontId="46" fillId="14" borderId="11" xfId="0" applyFont="1" applyFill="1" applyBorder="1" applyAlignment="1">
      <alignment horizontal="left" vertical="top" wrapText="1"/>
    </xf>
    <xf numFmtId="0" fontId="36" fillId="0" borderId="0" xfId="0" quotePrefix="1" applyNumberFormat="1" applyFont="1" applyAlignment="1">
      <alignment horizontal="left" vertical="top" wrapText="1" indent="2"/>
    </xf>
    <xf numFmtId="0" fontId="145" fillId="0" borderId="0" xfId="0" applyFont="1" applyBorder="1" applyAlignment="1">
      <alignment horizontal="left" vertical="top" wrapText="1" indent="1"/>
    </xf>
    <xf numFmtId="0" fontId="46" fillId="0" borderId="36" xfId="0" applyFont="1" applyBorder="1" applyAlignment="1">
      <alignment vertical="top" wrapText="1"/>
    </xf>
    <xf numFmtId="0" fontId="46" fillId="0" borderId="0" xfId="0" applyFont="1" applyBorder="1" applyAlignment="1">
      <alignment vertical="top" wrapText="1"/>
    </xf>
    <xf numFmtId="0" fontId="149" fillId="14" borderId="12" xfId="0" applyFont="1" applyFill="1" applyBorder="1" applyAlignment="1">
      <alignment vertical="top" wrapText="1"/>
    </xf>
    <xf numFmtId="0" fontId="149" fillId="3" borderId="12" xfId="0" applyFont="1" applyFill="1" applyBorder="1" applyAlignment="1">
      <alignment vertical="top" wrapText="1"/>
    </xf>
    <xf numFmtId="0" fontId="149" fillId="3" borderId="11" xfId="0" applyFont="1" applyFill="1" applyBorder="1" applyAlignment="1">
      <alignment vertical="top" wrapText="1"/>
    </xf>
    <xf numFmtId="0" fontId="149" fillId="0" borderId="35" xfId="0" quotePrefix="1" applyFont="1" applyBorder="1" applyAlignment="1">
      <alignment horizontal="left" vertical="top" indent="2"/>
    </xf>
    <xf numFmtId="0" fontId="46" fillId="0" borderId="0" xfId="0" quotePrefix="1" applyFont="1" applyFill="1" applyAlignment="1">
      <alignment horizontal="left" vertical="top" wrapText="1" indent="1"/>
    </xf>
    <xf numFmtId="0" fontId="46" fillId="0" borderId="0" xfId="0" applyFont="1" applyFill="1" applyAlignment="1">
      <alignment horizontal="left" vertical="top" wrapText="1" indent="1"/>
    </xf>
    <xf numFmtId="0" fontId="37" fillId="13" borderId="7" xfId="0" applyFont="1" applyFill="1" applyBorder="1" applyAlignment="1">
      <alignment horizontal="center" vertical="top"/>
    </xf>
    <xf numFmtId="9" fontId="36" fillId="14" borderId="12" xfId="3" applyFont="1" applyFill="1" applyBorder="1" applyAlignment="1">
      <alignment horizontal="center" vertical="top"/>
    </xf>
    <xf numFmtId="9" fontId="36" fillId="14" borderId="97" xfId="3" applyFont="1" applyFill="1" applyBorder="1" applyAlignment="1">
      <alignment horizontal="center" vertical="top"/>
    </xf>
    <xf numFmtId="9" fontId="36" fillId="0" borderId="80" xfId="3" applyFont="1" applyBorder="1" applyAlignment="1">
      <alignment horizontal="center" vertical="top"/>
    </xf>
    <xf numFmtId="9" fontId="36" fillId="0" borderId="43" xfId="3" applyFont="1" applyBorder="1" applyAlignment="1">
      <alignment horizontal="center" vertical="top"/>
    </xf>
    <xf numFmtId="167" fontId="36" fillId="14" borderId="101" xfId="3" applyNumberFormat="1" applyFont="1" applyFill="1" applyBorder="1" applyAlignment="1">
      <alignment horizontal="center" vertical="top"/>
    </xf>
    <xf numFmtId="167" fontId="36" fillId="14" borderId="104" xfId="3" applyNumberFormat="1" applyFont="1" applyFill="1" applyBorder="1" applyAlignment="1">
      <alignment horizontal="center" vertical="top"/>
    </xf>
    <xf numFmtId="9" fontId="36" fillId="0" borderId="13" xfId="3" applyFont="1" applyBorder="1" applyAlignment="1">
      <alignment horizontal="center" vertical="top"/>
    </xf>
    <xf numFmtId="9" fontId="36" fillId="0" borderId="98" xfId="3" applyFont="1" applyBorder="1" applyAlignment="1">
      <alignment horizontal="center" vertical="top"/>
    </xf>
    <xf numFmtId="9" fontId="36" fillId="0" borderId="12" xfId="3" applyFont="1" applyBorder="1" applyAlignment="1">
      <alignment horizontal="center" vertical="top"/>
    </xf>
    <xf numFmtId="9" fontId="36" fillId="0" borderId="97" xfId="3" applyFont="1" applyBorder="1" applyAlignment="1">
      <alignment horizontal="center" vertical="top"/>
    </xf>
    <xf numFmtId="0" fontId="46" fillId="14" borderId="11" xfId="0" applyFont="1" applyFill="1" applyBorder="1" applyAlignment="1">
      <alignment vertical="top" wrapText="1"/>
    </xf>
    <xf numFmtId="0" fontId="78" fillId="0" borderId="0" xfId="1" quotePrefix="1" applyFont="1" applyBorder="1" applyAlignment="1" applyProtection="1">
      <alignment horizontal="left" vertical="top" wrapText="1" indent="2"/>
    </xf>
    <xf numFmtId="0" fontId="37" fillId="3" borderId="12" xfId="0" applyFont="1" applyFill="1" applyBorder="1" applyAlignment="1">
      <alignment vertical="top" wrapText="1"/>
    </xf>
    <xf numFmtId="0" fontId="37" fillId="3" borderId="11" xfId="0" applyFont="1" applyFill="1" applyBorder="1" applyAlignment="1">
      <alignment vertical="top" wrapText="1"/>
    </xf>
    <xf numFmtId="0" fontId="216" fillId="0" borderId="35" xfId="0" applyFont="1" applyFill="1" applyBorder="1" applyAlignment="1">
      <alignment horizontal="left" vertical="top" wrapText="1" indent="1"/>
    </xf>
    <xf numFmtId="0" fontId="36" fillId="0" borderId="34" xfId="0" applyFont="1" applyBorder="1" applyAlignment="1">
      <alignment horizontal="left" vertical="top" wrapText="1"/>
    </xf>
    <xf numFmtId="0" fontId="36" fillId="0" borderId="35" xfId="0" applyFont="1" applyBorder="1" applyAlignment="1">
      <alignment horizontal="left" vertical="top" wrapText="1"/>
    </xf>
    <xf numFmtId="0" fontId="36" fillId="0" borderId="36" xfId="0" applyFont="1" applyBorder="1" applyAlignment="1">
      <alignment horizontal="left" vertical="top" wrapText="1"/>
    </xf>
    <xf numFmtId="0" fontId="36" fillId="0" borderId="0" xfId="0" applyFont="1" applyBorder="1" applyAlignment="1">
      <alignment horizontal="left" vertical="top" wrapText="1"/>
    </xf>
    <xf numFmtId="0" fontId="40" fillId="0" borderId="34" xfId="0" applyFont="1" applyBorder="1" applyAlignment="1">
      <alignment horizontal="left" vertical="top" wrapText="1" indent="1"/>
    </xf>
    <xf numFmtId="0" fontId="40" fillId="0" borderId="35" xfId="0" applyFont="1" applyBorder="1" applyAlignment="1">
      <alignment horizontal="left" vertical="top" wrapText="1" indent="1"/>
    </xf>
    <xf numFmtId="0" fontId="40" fillId="0" borderId="41" xfId="0" applyFont="1" applyBorder="1" applyAlignment="1">
      <alignment horizontal="left" vertical="top" wrapText="1" indent="1"/>
    </xf>
    <xf numFmtId="0" fontId="40" fillId="0" borderId="36" xfId="0" applyFont="1" applyBorder="1" applyAlignment="1">
      <alignment horizontal="left" vertical="top" wrapText="1" indent="1"/>
    </xf>
    <xf numFmtId="0" fontId="40" fillId="0" borderId="0" xfId="0" applyFont="1" applyBorder="1" applyAlignment="1">
      <alignment horizontal="left" vertical="top" wrapText="1" indent="1"/>
    </xf>
    <xf numFmtId="0" fontId="40" fillId="0" borderId="42" xfId="0" applyFont="1" applyBorder="1" applyAlignment="1">
      <alignment horizontal="left" vertical="top" wrapText="1" indent="1"/>
    </xf>
    <xf numFmtId="0" fontId="40" fillId="0" borderId="37" xfId="0" applyFont="1" applyBorder="1" applyAlignment="1">
      <alignment horizontal="left" vertical="top" wrapText="1" indent="1"/>
    </xf>
    <xf numFmtId="0" fontId="40" fillId="0" borderId="38" xfId="0" applyFont="1" applyBorder="1" applyAlignment="1">
      <alignment horizontal="left" vertical="top" wrapText="1" indent="1"/>
    </xf>
    <xf numFmtId="0" fontId="40" fillId="0" borderId="43" xfId="0" applyFont="1" applyBorder="1" applyAlignment="1">
      <alignment horizontal="left" vertical="top" wrapText="1" indent="1"/>
    </xf>
    <xf numFmtId="0" fontId="37" fillId="0" borderId="38" xfId="0" applyFont="1" applyBorder="1" applyAlignment="1">
      <alignment horizontal="center" vertical="top"/>
    </xf>
    <xf numFmtId="0" fontId="40" fillId="0" borderId="34" xfId="0" quotePrefix="1" applyNumberFormat="1" applyFont="1" applyBorder="1" applyAlignment="1">
      <alignment horizontal="left" vertical="top" wrapText="1" indent="1"/>
    </xf>
    <xf numFmtId="0" fontId="40" fillId="0" borderId="35" xfId="0" quotePrefix="1" applyNumberFormat="1" applyFont="1" applyBorder="1" applyAlignment="1">
      <alignment horizontal="left" vertical="top" wrapText="1" indent="1"/>
    </xf>
    <xf numFmtId="0" fontId="40" fillId="0" borderId="41" xfId="0" quotePrefix="1" applyNumberFormat="1" applyFont="1" applyBorder="1" applyAlignment="1">
      <alignment horizontal="left" vertical="top" wrapText="1" indent="1"/>
    </xf>
    <xf numFmtId="0" fontId="40" fillId="0" borderId="36" xfId="0" quotePrefix="1" applyNumberFormat="1" applyFont="1" applyBorder="1" applyAlignment="1">
      <alignment horizontal="left" vertical="top" wrapText="1" indent="1"/>
    </xf>
    <xf numFmtId="0" fontId="40" fillId="0" borderId="0" xfId="0" quotePrefix="1" applyNumberFormat="1" applyFont="1" applyBorder="1" applyAlignment="1">
      <alignment horizontal="left" vertical="top" wrapText="1" indent="1"/>
    </xf>
    <xf numFmtId="0" fontId="40" fillId="0" borderId="42" xfId="0" quotePrefix="1" applyNumberFormat="1" applyFont="1" applyBorder="1" applyAlignment="1">
      <alignment horizontal="left" vertical="top" wrapText="1" indent="1"/>
    </xf>
    <xf numFmtId="0" fontId="131" fillId="0" borderId="36" xfId="0" applyFont="1" applyBorder="1" applyAlignment="1">
      <alignment vertical="top" wrapText="1"/>
    </xf>
    <xf numFmtId="0" fontId="131" fillId="0" borderId="0" xfId="0" applyFont="1" applyBorder="1" applyAlignment="1">
      <alignment vertical="top" wrapText="1"/>
    </xf>
    <xf numFmtId="0" fontId="131" fillId="0" borderId="0" xfId="1" applyFont="1" applyBorder="1" applyAlignment="1" applyProtection="1">
      <alignment horizontal="left" vertical="top" wrapText="1"/>
    </xf>
    <xf numFmtId="0" fontId="40" fillId="0" borderId="0" xfId="1" applyFont="1" applyAlignment="1" applyProtection="1">
      <alignment horizontal="left" vertical="top" wrapText="1" indent="1"/>
    </xf>
    <xf numFmtId="0" fontId="131" fillId="0" borderId="0" xfId="0" applyNumberFormat="1" applyFont="1" applyBorder="1" applyAlignment="1">
      <alignment horizontal="left" vertical="top" wrapText="1" indent="2"/>
    </xf>
    <xf numFmtId="9" fontId="46" fillId="0" borderId="106" xfId="3" applyFont="1" applyBorder="1" applyAlignment="1">
      <alignment horizontal="center" vertical="top"/>
    </xf>
    <xf numFmtId="9" fontId="46" fillId="0" borderId="107" xfId="3" applyFont="1" applyBorder="1" applyAlignment="1">
      <alignment horizontal="center" vertical="top"/>
    </xf>
    <xf numFmtId="9" fontId="46" fillId="14" borderId="101" xfId="3" applyFont="1" applyFill="1" applyBorder="1" applyAlignment="1">
      <alignment horizontal="center" vertical="top"/>
    </xf>
    <xf numFmtId="9" fontId="46" fillId="14" borderId="103" xfId="3" applyFont="1" applyFill="1" applyBorder="1" applyAlignment="1">
      <alignment horizontal="center" vertical="top"/>
    </xf>
    <xf numFmtId="9" fontId="46" fillId="0" borderId="101" xfId="3" applyFont="1" applyBorder="1" applyAlignment="1">
      <alignment horizontal="center" vertical="top"/>
    </xf>
    <xf numFmtId="9" fontId="46" fillId="0" borderId="103" xfId="3" applyFont="1" applyBorder="1" applyAlignment="1">
      <alignment horizontal="center" vertical="top"/>
    </xf>
    <xf numFmtId="9" fontId="46" fillId="14" borderId="11" xfId="3" applyFont="1" applyFill="1" applyBorder="1" applyAlignment="1">
      <alignment horizontal="center" vertical="top"/>
    </xf>
    <xf numFmtId="9" fontId="46" fillId="14" borderId="15" xfId="3" applyFont="1" applyFill="1" applyBorder="1" applyAlignment="1">
      <alignment horizontal="center" vertical="top"/>
    </xf>
    <xf numFmtId="0" fontId="171" fillId="0" borderId="0" xfId="0" applyFont="1" applyFill="1" applyAlignment="1">
      <alignment horizontal="left" vertical="top" wrapText="1" indent="1"/>
    </xf>
    <xf numFmtId="0" fontId="72" fillId="0" borderId="0" xfId="0" applyNumberFormat="1" applyFont="1" applyBorder="1" applyAlignment="1">
      <alignment horizontal="left" vertical="top" wrapText="1" indent="1"/>
    </xf>
    <xf numFmtId="9" fontId="36" fillId="14" borderId="101" xfId="3" applyFont="1" applyFill="1" applyBorder="1" applyAlignment="1">
      <alignment horizontal="center" vertical="top"/>
    </xf>
    <xf numFmtId="9" fontId="36" fillId="14" borderId="104" xfId="3" applyFont="1" applyFill="1" applyBorder="1" applyAlignment="1">
      <alignment horizontal="center" vertical="top"/>
    </xf>
    <xf numFmtId="9" fontId="36" fillId="0" borderId="101" xfId="3" applyFont="1" applyBorder="1" applyAlignment="1">
      <alignment horizontal="center" vertical="top"/>
    </xf>
    <xf numFmtId="9" fontId="36" fillId="0" borderId="104" xfId="3" applyFont="1" applyBorder="1" applyAlignment="1">
      <alignment horizontal="center" vertical="top"/>
    </xf>
    <xf numFmtId="9" fontId="36" fillId="14" borderId="11" xfId="3" applyFont="1" applyFill="1" applyBorder="1" applyAlignment="1">
      <alignment horizontal="center" vertical="top"/>
    </xf>
    <xf numFmtId="9" fontId="36" fillId="14" borderId="42" xfId="3" applyFont="1" applyFill="1" applyBorder="1" applyAlignment="1">
      <alignment horizontal="center" vertical="top"/>
    </xf>
    <xf numFmtId="9" fontId="46" fillId="14" borderId="12" xfId="3" applyFont="1" applyFill="1" applyBorder="1" applyAlignment="1">
      <alignment horizontal="center" vertical="top"/>
    </xf>
    <xf numFmtId="9" fontId="46" fillId="14" borderId="10" xfId="3" applyFont="1" applyFill="1" applyBorder="1" applyAlignment="1">
      <alignment horizontal="center" vertical="top"/>
    </xf>
    <xf numFmtId="0" fontId="36" fillId="0" borderId="0" xfId="0" applyNumberFormat="1" applyFont="1" applyAlignment="1">
      <alignment horizontal="left" vertical="top" wrapText="1" indent="1"/>
    </xf>
    <xf numFmtId="0" fontId="36" fillId="0" borderId="0" xfId="1" quotePrefix="1" applyFont="1" applyAlignment="1" applyProtection="1">
      <alignment horizontal="left" vertical="top" wrapText="1" indent="2"/>
    </xf>
    <xf numFmtId="0" fontId="36" fillId="0" borderId="0" xfId="1" applyFont="1" applyAlignment="1" applyProtection="1">
      <alignment horizontal="left" vertical="top" wrapText="1" indent="2"/>
    </xf>
    <xf numFmtId="0" fontId="80" fillId="0" borderId="0" xfId="0" applyFont="1" applyAlignment="1">
      <alignment wrapText="1"/>
    </xf>
    <xf numFmtId="0" fontId="37" fillId="3" borderId="0" xfId="0" applyFont="1" applyFill="1" applyAlignment="1">
      <alignment wrapText="1"/>
    </xf>
    <xf numFmtId="0" fontId="36" fillId="0" borderId="153" xfId="0" applyFont="1" applyBorder="1"/>
    <xf numFmtId="0" fontId="0" fillId="0" borderId="154" xfId="0" applyBorder="1"/>
    <xf numFmtId="0" fontId="0" fillId="0" borderId="130" xfId="0" applyBorder="1"/>
    <xf numFmtId="0" fontId="40" fillId="0" borderId="153" xfId="0" applyFont="1" applyBorder="1" applyAlignment="1">
      <alignment horizontal="left"/>
    </xf>
    <xf numFmtId="0" fontId="40" fillId="0" borderId="154" xfId="0" applyFont="1" applyBorder="1" applyAlignment="1">
      <alignment horizontal="left"/>
    </xf>
    <xf numFmtId="0" fontId="36" fillId="0" borderId="7" xfId="0" applyFont="1" applyBorder="1" applyAlignment="1">
      <alignment horizontal="left"/>
    </xf>
    <xf numFmtId="0" fontId="36" fillId="0" borderId="130" xfId="0" applyFont="1" applyBorder="1" applyAlignment="1">
      <alignment horizontal="left"/>
    </xf>
    <xf numFmtId="0" fontId="37" fillId="0" borderId="156" xfId="0" applyFont="1" applyFill="1" applyBorder="1"/>
    <xf numFmtId="0" fontId="37" fillId="0" borderId="143" xfId="0" applyFont="1" applyFill="1" applyBorder="1" applyAlignment="1">
      <alignment horizontal="left"/>
    </xf>
    <xf numFmtId="0" fontId="36" fillId="0" borderId="14" xfId="0" applyFont="1" applyFill="1" applyBorder="1" applyAlignment="1">
      <alignment horizontal="left"/>
    </xf>
    <xf numFmtId="0" fontId="0" fillId="0" borderId="14" xfId="0" applyFill="1" applyBorder="1"/>
    <xf numFmtId="173" fontId="36" fillId="0" borderId="65" xfId="0" applyNumberFormat="1" applyFont="1" applyBorder="1" applyAlignment="1">
      <alignment horizontal="center"/>
    </xf>
    <xf numFmtId="173" fontId="36" fillId="0" borderId="66" xfId="0" applyNumberFormat="1" applyFont="1" applyBorder="1" applyAlignment="1">
      <alignment horizontal="center"/>
    </xf>
    <xf numFmtId="0" fontId="0" fillId="0" borderId="7" xfId="0" applyBorder="1"/>
    <xf numFmtId="0" fontId="0" fillId="0" borderId="0" xfId="0"/>
    <xf numFmtId="0" fontId="37" fillId="0" borderId="143" xfId="0" applyFont="1" applyFill="1" applyBorder="1"/>
    <xf numFmtId="0" fontId="36" fillId="0" borderId="154" xfId="0" applyFont="1" applyBorder="1"/>
    <xf numFmtId="0" fontId="0" fillId="0" borderId="14" xfId="0" applyBorder="1"/>
    <xf numFmtId="0" fontId="0" fillId="0" borderId="153" xfId="0" applyBorder="1"/>
    <xf numFmtId="0" fontId="37" fillId="0" borderId="0" xfId="0" applyFont="1" applyBorder="1" applyAlignment="1">
      <alignment horizontal="center"/>
    </xf>
    <xf numFmtId="0" fontId="48" fillId="0" borderId="0" xfId="0" applyFont="1" applyBorder="1" applyAlignment="1">
      <alignment horizontal="center"/>
    </xf>
    <xf numFmtId="0" fontId="36" fillId="33" borderId="0" xfId="0" applyFont="1" applyFill="1" applyAlignment="1">
      <alignment wrapText="1"/>
    </xf>
    <xf numFmtId="167" fontId="74" fillId="0" borderId="0" xfId="0" applyNumberFormat="1" applyFont="1" applyBorder="1" applyAlignment="1">
      <alignment horizontal="left" wrapText="1"/>
    </xf>
    <xf numFmtId="0" fontId="36" fillId="6" borderId="6" xfId="0" applyFont="1" applyFill="1" applyBorder="1" applyAlignment="1">
      <alignment horizontal="center" vertical="top"/>
    </xf>
    <xf numFmtId="0" fontId="36" fillId="6" borderId="8" xfId="0" applyFont="1" applyFill="1" applyBorder="1" applyAlignment="1">
      <alignment horizontal="center" vertical="top"/>
    </xf>
    <xf numFmtId="0" fontId="36" fillId="13" borderId="82" xfId="0" applyFont="1" applyFill="1" applyBorder="1" applyAlignment="1">
      <alignment horizontal="center" vertical="top"/>
    </xf>
    <xf numFmtId="0" fontId="37" fillId="7" borderId="6" xfId="0" applyFont="1" applyFill="1" applyBorder="1" applyAlignment="1">
      <alignment horizontal="center" vertical="top"/>
    </xf>
    <xf numFmtId="0" fontId="37" fillId="7" borderId="7" xfId="0" applyFont="1" applyFill="1" applyBorder="1" applyAlignment="1">
      <alignment horizontal="center" vertical="top"/>
    </xf>
    <xf numFmtId="0" fontId="37" fillId="7" borderId="8" xfId="0" applyFont="1" applyFill="1" applyBorder="1" applyAlignment="1">
      <alignment horizontal="center" vertical="top"/>
    </xf>
    <xf numFmtId="0" fontId="145" fillId="0" borderId="36" xfId="6" applyFont="1" applyBorder="1" applyAlignment="1">
      <alignment horizontal="left" wrapText="1"/>
    </xf>
    <xf numFmtId="0" fontId="145" fillId="0" borderId="0" xfId="6" applyFont="1" applyBorder="1" applyAlignment="1">
      <alignment horizontal="left" wrapText="1"/>
    </xf>
    <xf numFmtId="0" fontId="145" fillId="0" borderId="42" xfId="6" applyFont="1" applyBorder="1" applyAlignment="1">
      <alignment horizontal="left" wrapText="1"/>
    </xf>
    <xf numFmtId="0" fontId="49" fillId="0" borderId="36" xfId="6" applyFont="1" applyBorder="1" applyAlignment="1">
      <alignment horizontal="left" wrapText="1"/>
    </xf>
    <xf numFmtId="0" fontId="49" fillId="0" borderId="0" xfId="6" applyFont="1" applyAlignment="1">
      <alignment horizontal="left" wrapText="1"/>
    </xf>
    <xf numFmtId="0" fontId="49" fillId="0" borderId="42" xfId="6" applyFont="1" applyBorder="1" applyAlignment="1">
      <alignment horizontal="left" wrapText="1"/>
    </xf>
    <xf numFmtId="0" fontId="49" fillId="0" borderId="30" xfId="6" applyFont="1" applyBorder="1" applyAlignment="1">
      <alignment horizontal="left" wrapText="1"/>
    </xf>
    <xf numFmtId="0" fontId="49" fillId="0" borderId="5" xfId="6" applyFont="1" applyBorder="1" applyAlignment="1">
      <alignment horizontal="left" wrapText="1"/>
    </xf>
    <xf numFmtId="0" fontId="49" fillId="0" borderId="97" xfId="6" applyFont="1" applyBorder="1" applyAlignment="1">
      <alignment horizontal="left" wrapText="1"/>
    </xf>
    <xf numFmtId="0" fontId="49" fillId="0" borderId="0" xfId="6" applyFont="1" applyBorder="1" applyAlignment="1">
      <alignment horizontal="left" wrapText="1"/>
    </xf>
    <xf numFmtId="0" fontId="36" fillId="0" borderId="0" xfId="0" applyFont="1" applyAlignment="1">
      <alignment wrapText="1"/>
    </xf>
    <xf numFmtId="0" fontId="36" fillId="0" borderId="0" xfId="0" applyFont="1" applyFill="1" applyAlignment="1">
      <alignment wrapText="1"/>
    </xf>
    <xf numFmtId="0" fontId="36" fillId="0" borderId="134" xfId="0" applyFont="1" applyBorder="1" applyAlignment="1">
      <alignment wrapText="1"/>
    </xf>
    <xf numFmtId="0" fontId="36" fillId="0" borderId="0" xfId="0" applyFont="1" applyBorder="1" applyAlignment="1">
      <alignment wrapText="1"/>
    </xf>
    <xf numFmtId="0" fontId="36" fillId="0" borderId="135" xfId="0" applyFont="1" applyBorder="1" applyAlignment="1">
      <alignment wrapText="1"/>
    </xf>
    <xf numFmtId="0" fontId="36" fillId="0" borderId="134" xfId="0" quotePrefix="1" applyFont="1" applyBorder="1" applyAlignment="1">
      <alignment horizontal="left" wrapText="1" indent="1"/>
    </xf>
    <xf numFmtId="0" fontId="36" fillId="0" borderId="0" xfId="0" quotePrefix="1" applyFont="1" applyBorder="1" applyAlignment="1">
      <alignment horizontal="left" wrapText="1" indent="1"/>
    </xf>
    <xf numFmtId="0" fontId="36" fillId="0" borderId="135" xfId="0" quotePrefix="1" applyFont="1" applyBorder="1" applyAlignment="1">
      <alignment horizontal="left" wrapText="1" indent="1"/>
    </xf>
    <xf numFmtId="0" fontId="36" fillId="0" borderId="136" xfId="0" quotePrefix="1" applyFont="1" applyBorder="1" applyAlignment="1">
      <alignment horizontal="left" wrapText="1" indent="1"/>
    </xf>
    <xf numFmtId="0" fontId="36" fillId="0" borderId="14" xfId="0" quotePrefix="1" applyFont="1" applyBorder="1" applyAlignment="1">
      <alignment horizontal="left" wrapText="1" indent="1"/>
    </xf>
    <xf numFmtId="0" fontId="36" fillId="0" borderId="137" xfId="0" quotePrefix="1" applyFont="1" applyBorder="1" applyAlignment="1">
      <alignment horizontal="left" wrapText="1" indent="1"/>
    </xf>
    <xf numFmtId="0" fontId="36" fillId="0" borderId="143" xfId="0" applyFont="1" applyBorder="1" applyAlignment="1">
      <alignment wrapText="1"/>
    </xf>
    <xf numFmtId="0" fontId="36" fillId="0" borderId="144" xfId="0" applyFont="1" applyBorder="1" applyAlignment="1">
      <alignment wrapText="1"/>
    </xf>
    <xf numFmtId="0" fontId="37" fillId="6" borderId="145" xfId="0" applyFont="1" applyFill="1" applyBorder="1" applyAlignment="1">
      <alignment horizontal="center"/>
    </xf>
    <xf numFmtId="0" fontId="37" fillId="6" borderId="146" xfId="0" applyFont="1" applyFill="1" applyBorder="1" applyAlignment="1">
      <alignment horizontal="center"/>
    </xf>
    <xf numFmtId="0" fontId="37" fillId="6" borderId="147" xfId="0" applyFont="1" applyFill="1" applyBorder="1" applyAlignment="1">
      <alignment horizontal="center"/>
    </xf>
    <xf numFmtId="0" fontId="37" fillId="6" borderId="6" xfId="0" applyFont="1" applyFill="1" applyBorder="1" applyAlignment="1">
      <alignment horizontal="center"/>
    </xf>
    <xf numFmtId="0" fontId="37" fillId="6" borderId="7" xfId="0" applyFont="1" applyFill="1" applyBorder="1" applyAlignment="1">
      <alignment horizontal="center"/>
    </xf>
    <xf numFmtId="0" fontId="37" fillId="6" borderId="8" xfId="0" applyFont="1" applyFill="1" applyBorder="1" applyAlignment="1">
      <alignment horizontal="center"/>
    </xf>
    <xf numFmtId="0" fontId="88" fillId="0" borderId="12" xfId="0" applyFont="1" applyBorder="1" applyAlignment="1">
      <alignment horizontal="left" vertical="center" wrapText="1"/>
    </xf>
    <xf numFmtId="0" fontId="88" fillId="0" borderId="5" xfId="0" applyFont="1" applyBorder="1" applyAlignment="1">
      <alignment horizontal="left" vertical="center" wrapText="1"/>
    </xf>
    <xf numFmtId="0" fontId="88" fillId="0" borderId="10" xfId="0" applyFont="1" applyBorder="1" applyAlignment="1">
      <alignment horizontal="left" vertical="center" wrapText="1"/>
    </xf>
    <xf numFmtId="0" fontId="88" fillId="0" borderId="11" xfId="0" applyFont="1" applyBorder="1" applyAlignment="1">
      <alignment horizontal="left" vertical="center" wrapText="1"/>
    </xf>
    <xf numFmtId="0" fontId="88" fillId="0" borderId="0" xfId="0" applyFont="1" applyBorder="1" applyAlignment="1">
      <alignment horizontal="left" vertical="center" wrapText="1"/>
    </xf>
    <xf numFmtId="0" fontId="88" fillId="0" borderId="15" xfId="0" applyFont="1" applyBorder="1" applyAlignment="1">
      <alignment horizontal="left" vertical="center" wrapText="1"/>
    </xf>
    <xf numFmtId="0" fontId="88" fillId="0" borderId="13" xfId="0" applyFont="1" applyBorder="1" applyAlignment="1">
      <alignment horizontal="left" vertical="center" wrapText="1"/>
    </xf>
    <xf numFmtId="0" fontId="88" fillId="0" borderId="14" xfId="0" applyFont="1" applyBorder="1" applyAlignment="1">
      <alignment horizontal="left" vertical="center" wrapText="1"/>
    </xf>
    <xf numFmtId="0" fontId="88" fillId="0" borderId="9" xfId="0" applyFont="1" applyBorder="1" applyAlignment="1">
      <alignment horizontal="left" vertical="center" wrapText="1"/>
    </xf>
    <xf numFmtId="0" fontId="36" fillId="0" borderId="134" xfId="0" quotePrefix="1" applyFont="1" applyFill="1" applyBorder="1" applyAlignment="1">
      <alignment horizontal="left" wrapText="1" indent="1"/>
    </xf>
    <xf numFmtId="0" fontId="36" fillId="0" borderId="0" xfId="0" quotePrefix="1" applyFont="1" applyFill="1" applyBorder="1" applyAlignment="1">
      <alignment horizontal="left" wrapText="1" indent="1"/>
    </xf>
    <xf numFmtId="0" fontId="36" fillId="0" borderId="135" xfId="0" quotePrefix="1" applyFont="1" applyFill="1" applyBorder="1" applyAlignment="1">
      <alignment horizontal="left" wrapText="1" indent="1"/>
    </xf>
    <xf numFmtId="0" fontId="36" fillId="0" borderId="136" xfId="0" quotePrefix="1" applyFont="1" applyFill="1" applyBorder="1" applyAlignment="1">
      <alignment horizontal="left" wrapText="1" indent="1"/>
    </xf>
    <xf numFmtId="0" fontId="36" fillId="0" borderId="14" xfId="0" quotePrefix="1" applyFont="1" applyFill="1" applyBorder="1" applyAlignment="1">
      <alignment horizontal="left" wrapText="1" indent="1"/>
    </xf>
    <xf numFmtId="0" fontId="36" fillId="0" borderId="137" xfId="0" quotePrefix="1" applyFont="1" applyFill="1" applyBorder="1" applyAlignment="1">
      <alignment horizontal="left" wrapText="1" indent="1"/>
    </xf>
    <xf numFmtId="0" fontId="36" fillId="0" borderId="132" xfId="0" applyFont="1" applyBorder="1" applyAlignment="1">
      <alignment wrapText="1"/>
    </xf>
    <xf numFmtId="0" fontId="36" fillId="0" borderId="5" xfId="0" applyFont="1" applyBorder="1" applyAlignment="1">
      <alignment wrapText="1"/>
    </xf>
    <xf numFmtId="0" fontId="36" fillId="0" borderId="133" xfId="0" applyFont="1" applyBorder="1" applyAlignment="1">
      <alignment wrapText="1"/>
    </xf>
  </cellXfs>
  <cellStyles count="19">
    <cellStyle name="%" xfId="9"/>
    <cellStyle name="Gen_Black" xfId="18"/>
    <cellStyle name="Hyperlink" xfId="1" builtinId="8"/>
    <cellStyle name="Lien hypertexte 2" xfId="16"/>
    <cellStyle name="Milliers 2" xfId="8"/>
    <cellStyle name="Normal 10 2" xfId="13"/>
    <cellStyle name="Normal 2" xfId="2"/>
    <cellStyle name="Normal 3" xfId="6"/>
    <cellStyle name="Normal 4" xfId="15"/>
    <cellStyle name="Normal_KPIs" xfId="17"/>
    <cellStyle name="Pourcentage 2" xfId="7"/>
    <cellStyle name="Procent" xfId="3" builtinId="5"/>
    <cellStyle name="Standaard" xfId="0" builtinId="0"/>
    <cellStyle name="Standard_CO_Datasheet_Umbau" xfId="5"/>
    <cellStyle name="Style 1" xfId="4"/>
    <cellStyle name="Table - Number" xfId="10"/>
    <cellStyle name="Table - Text" xfId="11"/>
    <cellStyle name="Table - Text Bold" xfId="12"/>
    <cellStyle name="Valuta" xfId="14" builtinId="4"/>
  </cellStyles>
  <dxfs count="0"/>
  <tableStyles count="0" defaultTableStyle="TableStyleMedium9" defaultPivotStyle="PivotStyleLight16"/>
  <colors>
    <mruColors>
      <color rgb="FFFFE697"/>
      <color rgb="FFFFFFF3"/>
      <color rgb="FFFFFFD5"/>
      <color rgb="FFFFFF99"/>
      <color rgb="FFFFDA65"/>
      <color rgb="FFFFFF66"/>
      <color rgb="FFFFDC6D"/>
      <color rgb="FFFFFF00"/>
      <color rgb="FFFFD347"/>
      <color rgb="FFE5E2D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ash"/>
            <c:size val="20"/>
            <c:spPr>
              <a:solidFill>
                <a:srgbClr val="FFC000">
                  <a:alpha val="67000"/>
                </a:srgbClr>
              </a:solidFill>
              <a:ln>
                <a:noFill/>
              </a:ln>
            </c:spPr>
          </c:marker>
          <c:dLbls>
            <c:dLbl>
              <c:idx val="0"/>
              <c:layout>
                <c:manualLayout>
                  <c:x val="-4.3073379593154645E-2"/>
                  <c:y val="-1.3650960001074878E-2"/>
                </c:manualLayout>
              </c:layout>
              <c:tx>
                <c:rich>
                  <a:bodyPr/>
                  <a:lstStyle/>
                  <a:p>
                    <a:pPr>
                      <a:defRPr sz="1000" b="0" i="0" strike="noStrike">
                        <a:latin typeface="Arial"/>
                      </a:defRPr>
                    </a:pPr>
                    <a:r>
                      <a:rPr lang="en-US"/>
                      <a:t>DT </a:t>
                    </a:r>
                    <a:r>
                      <a:rPr lang="en-US">
                        <a:sym typeface="Symbol"/>
                      </a:rPr>
                      <a:t></a:t>
                    </a:r>
                    <a:endParaRPr lang="en-US"/>
                  </a:p>
                </c:rich>
              </c:tx>
              <c:spPr/>
              <c:dLblPos val="r"/>
              <c:showLegendKey val="0"/>
              <c:showVal val="1"/>
              <c:showCatName val="0"/>
              <c:showSerName val="0"/>
              <c:showPercent val="0"/>
              <c:showBubbleSize val="0"/>
            </c:dLbl>
            <c:dLbl>
              <c:idx val="1"/>
              <c:tx>
                <c:strRef>
                  <c:f>PROFILES!$O$104</c:f>
                  <c:strCache>
                    <c:ptCount val="1"/>
                    <c:pt idx="0">
                      <c:v>TKA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tx>
                <c:strRef>
                  <c:f>PROFILES!$O$105</c:f>
                  <c:strCache>
                    <c:ptCount val="1"/>
                    <c:pt idx="0">
                      <c:v>BELGACOM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PROFILES!$O$106</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4"/>
              <c:tx>
                <c:strRef>
                  <c:f>PROFILES!$O$107</c:f>
                  <c:strCache>
                    <c:ptCount val="1"/>
                    <c:pt idx="0">
                      <c:v>TELENET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5"/>
              <c:tx>
                <c:strRef>
                  <c:f>PROFILES!$O$108</c:f>
                  <c:strCache>
                    <c:ptCount val="1"/>
                    <c:pt idx="0">
                      <c:v>TDC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tx>
                <c:strRef>
                  <c:f>PROFILES!$O$109</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tx>
                <c:strRef>
                  <c:f>PROFILES!$O$110</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PROFILES!$O$111</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tx>
                <c:strRef>
                  <c:f>PROFILES!$O$112</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PROFILES!$O$113</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tx>
                <c:strRef>
                  <c:f>PROFILES!$O$114</c:f>
                  <c:strCache>
                    <c:ptCount val="1"/>
                    <c:pt idx="0">
                      <c:v>TIT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PROFILES!$O$115</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tx>
                <c:strRef>
                  <c:f>PROFILES!$O$116</c:f>
                  <c:strCache>
                    <c:ptCount val="1"/>
                    <c:pt idx="0">
                      <c:v>KPN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tx>
                <c:strRef>
                  <c:f>PROFILES!$O$117</c:f>
                  <c:strCache>
                    <c:ptCount val="1"/>
                    <c:pt idx="0">
                      <c:v>TPS</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tx>
                <c:strRef>
                  <c:f>PROFILES!$O$118</c:f>
                  <c:strCache>
                    <c:ptCount val="1"/>
                    <c:pt idx="0">
                      <c:v>PT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tx>
                <c:strRef>
                  <c:f>PROFILES!$O$119</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PROFILES!$O$120</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PROFILES!$O$121</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tx>
                <c:strRef>
                  <c:f>PROFILES!$O$122</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PROFILES!$O$123</c:f>
                  <c:strCache>
                    <c:ptCount val="1"/>
                    <c:pt idx="0">
                      <c:v>SCM</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tx>
                <c:strRef>
                  <c:f>PROFILES!$O$124</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xVal>
            <c:numRef>
              <c:f>PROFILES!$D$486:$D$507</c:f>
            </c:numRef>
          </c:xVal>
          <c:yVal>
            <c:numRef>
              <c:f>PROFILES!$E$486:$E$507</c:f>
            </c:numRef>
          </c:yVal>
          <c:smooth val="0"/>
        </c:ser>
        <c:dLbls>
          <c:showLegendKey val="0"/>
          <c:showVal val="0"/>
          <c:showCatName val="0"/>
          <c:showSerName val="0"/>
          <c:showPercent val="0"/>
          <c:showBubbleSize val="0"/>
        </c:dLbls>
        <c:axId val="187012992"/>
        <c:axId val="187014528"/>
      </c:scatterChart>
      <c:valAx>
        <c:axId val="187012992"/>
        <c:scaling>
          <c:orientation val="minMax"/>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87014528"/>
        <c:crosses val="autoZero"/>
        <c:crossBetween val="midCat"/>
        <c:majorUnit val="0.1"/>
      </c:valAx>
      <c:valAx>
        <c:axId val="187014528"/>
        <c:scaling>
          <c:orientation val="minMax"/>
        </c:scaling>
        <c:delete val="0"/>
        <c:axPos val="l"/>
        <c:majorGridlines>
          <c:spPr>
            <a:ln>
              <a:solidFill>
                <a:schemeClr val="bg1">
                  <a:lumMod val="50000"/>
                </a:schemeClr>
              </a:solidFill>
              <a:prstDash val="sysDash"/>
            </a:ln>
          </c:spPr>
        </c:majorGridlines>
        <c:numFmt formatCode="0.0" sourceLinked="1"/>
        <c:majorTickMark val="out"/>
        <c:minorTickMark val="none"/>
        <c:tickLblPos val="nextTo"/>
        <c:txPr>
          <a:bodyPr/>
          <a:lstStyle/>
          <a:p>
            <a:pPr>
              <a:defRPr sz="1200" baseline="0">
                <a:latin typeface="Arial" pitchFamily="34" charset="0"/>
              </a:defRPr>
            </a:pPr>
            <a:endParaRPr lang="fr-FR"/>
          </a:p>
        </c:txPr>
        <c:crossAx val="187012992"/>
        <c:crosses val="autoZero"/>
        <c:crossBetween val="midCat"/>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110289987712014E-2"/>
          <c:y val="6.0510332205409793E-2"/>
          <c:w val="0.89096801212540322"/>
          <c:h val="0.74195337631110059"/>
        </c:manualLayout>
      </c:layout>
      <c:lineChart>
        <c:grouping val="standard"/>
        <c:varyColors val="0"/>
        <c:ser>
          <c:idx val="2"/>
          <c:order val="0"/>
          <c:tx>
            <c:strRef>
              <c:f>CALCULATIONS!$V$7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CALCULATIONS!$W$7:$AK$7</c:f>
              <c:numCache>
                <c:formatCode>0.00</c:formatCode>
                <c:ptCount val="15"/>
                <c:pt idx="0">
                  <c:v>0.9375949600736202</c:v>
                </c:pt>
                <c:pt idx="1">
                  <c:v>1.0596053311851197</c:v>
                </c:pt>
                <c:pt idx="2">
                  <c:v>1</c:v>
                </c:pt>
                <c:pt idx="3">
                  <c:v>1.1059346610413616</c:v>
                </c:pt>
                <c:pt idx="4">
                  <c:v>0.92385177445505473</c:v>
                </c:pt>
                <c:pt idx="5">
                  <c:v>1.0051339717232151</c:v>
                </c:pt>
                <c:pt idx="6">
                  <c:v>0.95089890370332808</c:v>
                </c:pt>
                <c:pt idx="7">
                  <c:v>0.87608737926907276</c:v>
                </c:pt>
                <c:pt idx="8">
                  <c:v>0.88068086248400801</c:v>
                </c:pt>
                <c:pt idx="9">
                  <c:v>0.93188545472966378</c:v>
                </c:pt>
                <c:pt idx="10">
                  <c:v>0.86816195682391817</c:v>
                </c:pt>
                <c:pt idx="11">
                  <c:v>0.91816135863221393</c:v>
                </c:pt>
                <c:pt idx="12">
                  <c:v>0.80845466998198301</c:v>
                </c:pt>
                <c:pt idx="13">
                  <c:v>0.74979956002828585</c:v>
                </c:pt>
                <c:pt idx="14">
                  <c:v>0.66634474879070904</c:v>
                </c:pt>
              </c:numCache>
            </c:numRef>
          </c:val>
          <c:smooth val="0"/>
        </c:ser>
        <c:ser>
          <c:idx val="13"/>
          <c:order val="1"/>
          <c:tx>
            <c:strRef>
              <c:f>CALCULATIONS!$V$18</c:f>
              <c:strCache>
                <c:ptCount val="1"/>
                <c:pt idx="0">
                  <c:v>KPN</c:v>
                </c:pt>
              </c:strCache>
            </c:strRef>
          </c:tx>
          <c:spPr>
            <a:ln w="19050">
              <a:solidFill>
                <a:schemeClr val="accent3">
                  <a:lumMod val="50000"/>
                </a:schemeClr>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CALCULATIONS!$W$18:$AK$18</c:f>
              <c:numCache>
                <c:formatCode>0.00</c:formatCode>
                <c:ptCount val="15"/>
                <c:pt idx="0">
                  <c:v>1.1377925912334799</c:v>
                </c:pt>
                <c:pt idx="1">
                  <c:v>1.1198090684661495</c:v>
                </c:pt>
                <c:pt idx="2">
                  <c:v>1</c:v>
                </c:pt>
                <c:pt idx="3">
                  <c:v>1.0525782423714849</c:v>
                </c:pt>
                <c:pt idx="4">
                  <c:v>1.0131471490800472</c:v>
                </c:pt>
                <c:pt idx="5">
                  <c:v>1.0837476279575495</c:v>
                </c:pt>
                <c:pt idx="6">
                  <c:v>0.90432518360559888</c:v>
                </c:pt>
                <c:pt idx="7">
                  <c:v>0.86306432044025816</c:v>
                </c:pt>
                <c:pt idx="8">
                  <c:v>0.78078951956203091</c:v>
                </c:pt>
                <c:pt idx="9">
                  <c:v>0.69658755679553841</c:v>
                </c:pt>
                <c:pt idx="10">
                  <c:v>0.63814447209758318</c:v>
                </c:pt>
                <c:pt idx="11">
                  <c:v>0.50217139118427645</c:v>
                </c:pt>
                <c:pt idx="12">
                  <c:v>0.31383600230205744</c:v>
                </c:pt>
                <c:pt idx="13">
                  <c:v>0.22161078533373491</c:v>
                </c:pt>
                <c:pt idx="14">
                  <c:v>0.40233478298448</c:v>
                </c:pt>
              </c:numCache>
            </c:numRef>
          </c:val>
          <c:smooth val="0"/>
        </c:ser>
        <c:ser>
          <c:idx val="5"/>
          <c:order val="2"/>
          <c:tx>
            <c:strRef>
              <c:f>CALCULATIONS!$V$10</c:f>
              <c:strCache>
                <c:ptCount val="1"/>
                <c:pt idx="0">
                  <c:v>TDC</c:v>
                </c:pt>
              </c:strCache>
            </c:strRef>
          </c:tx>
          <c:spPr>
            <a:ln w="19050">
              <a:solidFill>
                <a:schemeClr val="bg2">
                  <a:lumMod val="50000"/>
                </a:schemeClr>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CALCULATIONS!$W$10:$AK$10</c:f>
              <c:numCache>
                <c:formatCode>0.00</c:formatCode>
                <c:ptCount val="15"/>
                <c:pt idx="0">
                  <c:v>1.11331594520898</c:v>
                </c:pt>
                <c:pt idx="1">
                  <c:v>1.111087708235821</c:v>
                </c:pt>
                <c:pt idx="2">
                  <c:v>1</c:v>
                </c:pt>
                <c:pt idx="3">
                  <c:v>1.0427831360082092</c:v>
                </c:pt>
                <c:pt idx="4">
                  <c:v>0.90962296214032845</c:v>
                </c:pt>
                <c:pt idx="5">
                  <c:v>0.80900059473824282</c:v>
                </c:pt>
                <c:pt idx="6">
                  <c:v>0.89016614901577873</c:v>
                </c:pt>
                <c:pt idx="7">
                  <c:v>0.86342702949911387</c:v>
                </c:pt>
                <c:pt idx="8">
                  <c:v>0.86461912185568557</c:v>
                </c:pt>
                <c:pt idx="9">
                  <c:v>0.76955565247252455</c:v>
                </c:pt>
                <c:pt idx="10">
                  <c:v>0.7737277136737063</c:v>
                </c:pt>
                <c:pt idx="11">
                  <c:v>0.80141502891791239</c:v>
                </c:pt>
                <c:pt idx="12">
                  <c:v>0.75931513861507838</c:v>
                </c:pt>
                <c:pt idx="13">
                  <c:v>0.84749734127641996</c:v>
                </c:pt>
                <c:pt idx="14">
                  <c:v>0.86680674387051748</c:v>
                </c:pt>
              </c:numCache>
            </c:numRef>
          </c:val>
          <c:smooth val="0"/>
        </c:ser>
        <c:ser>
          <c:idx val="4"/>
          <c:order val="3"/>
          <c:tx>
            <c:strRef>
              <c:f>CALCULATIONS!$V$9</c:f>
              <c:strCache>
                <c:ptCount val="1"/>
                <c:pt idx="0">
                  <c:v>Telenet</c:v>
                </c:pt>
              </c:strCache>
            </c:strRef>
          </c:tx>
          <c:spPr>
            <a:ln w="28575">
              <a:solidFill>
                <a:srgbClr val="FFC000"/>
              </a:solidFill>
            </a:ln>
          </c:spPr>
          <c:marker>
            <c:symbol val="diamond"/>
            <c:size val="7"/>
            <c:spPr>
              <a:solidFill>
                <a:srgbClr val="FFC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CALCULATIONS!$W$9:$AK$9</c:f>
              <c:numCache>
                <c:formatCode>0.00</c:formatCode>
                <c:ptCount val="15"/>
                <c:pt idx="0">
                  <c:v>0.92049255428842269</c:v>
                </c:pt>
                <c:pt idx="1">
                  <c:v>1.0324871994707998</c:v>
                </c:pt>
                <c:pt idx="2">
                  <c:v>1</c:v>
                </c:pt>
                <c:pt idx="3">
                  <c:v>1.1389156874509956</c:v>
                </c:pt>
                <c:pt idx="4">
                  <c:v>1.3696898296195521</c:v>
                </c:pt>
                <c:pt idx="5">
                  <c:v>1.5451635036465585</c:v>
                </c:pt>
                <c:pt idx="6">
                  <c:v>1.5284670156731401</c:v>
                </c:pt>
                <c:pt idx="7">
                  <c:v>1.2906282881043631</c:v>
                </c:pt>
                <c:pt idx="8">
                  <c:v>1.3834238028453811</c:v>
                </c:pt>
                <c:pt idx="9">
                  <c:v>1.4578695953797549</c:v>
                </c:pt>
                <c:pt idx="10">
                  <c:v>1.6195464398062602</c:v>
                </c:pt>
                <c:pt idx="11">
                  <c:v>1.6313402545323641</c:v>
                </c:pt>
                <c:pt idx="12">
                  <c:v>1.6708035611008387</c:v>
                </c:pt>
                <c:pt idx="13">
                  <c:v>1.8130204273299517</c:v>
                </c:pt>
                <c:pt idx="14">
                  <c:v>1.6732729777139232</c:v>
                </c:pt>
              </c:numCache>
            </c:numRef>
          </c:val>
          <c:smooth val="0"/>
        </c:ser>
        <c:ser>
          <c:idx val="16"/>
          <c:order val="4"/>
          <c:tx>
            <c:strRef>
              <c:f>CALCULATIONS!$V$21</c:f>
              <c:strCache>
                <c:ptCount val="1"/>
                <c:pt idx="0">
                  <c:v>BT</c:v>
                </c:pt>
              </c:strCache>
            </c:strRef>
          </c:tx>
          <c:spPr>
            <a:ln w="19050">
              <a:solidFill>
                <a:srgbClr val="0070C0"/>
              </a:solidFill>
            </a:ln>
          </c:spPr>
          <c:marker>
            <c:symbol val="diamond"/>
            <c:size val="5"/>
            <c:spPr>
              <a:solidFill>
                <a:srgbClr val="FFC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CALCULATIONS!$W$21:$AK$21</c:f>
              <c:numCache>
                <c:formatCode>0.00</c:formatCode>
                <c:ptCount val="15"/>
                <c:pt idx="0">
                  <c:v>0.98689333108427757</c:v>
                </c:pt>
                <c:pt idx="1">
                  <c:v>0.95234434837593107</c:v>
                </c:pt>
                <c:pt idx="2">
                  <c:v>1</c:v>
                </c:pt>
                <c:pt idx="3">
                  <c:v>1.024390173064393</c:v>
                </c:pt>
                <c:pt idx="4">
                  <c:v>1.3230699510174049</c:v>
                </c:pt>
                <c:pt idx="5">
                  <c:v>1.4265949254571519</c:v>
                </c:pt>
                <c:pt idx="6">
                  <c:v>1.5488086070591938</c:v>
                </c:pt>
                <c:pt idx="7">
                  <c:v>1.2732817542907013</c:v>
                </c:pt>
                <c:pt idx="8">
                  <c:v>1.3995590785650471</c:v>
                </c:pt>
                <c:pt idx="9">
                  <c:v>1.6618492640238904</c:v>
                </c:pt>
                <c:pt idx="10">
                  <c:v>1.5528689116035814</c:v>
                </c:pt>
                <c:pt idx="11">
                  <c:v>1.7132663728762054</c:v>
                </c:pt>
                <c:pt idx="12">
                  <c:v>1.7157169642453682</c:v>
                </c:pt>
                <c:pt idx="13">
                  <c:v>2.065776047223534</c:v>
                </c:pt>
                <c:pt idx="14">
                  <c:v>2.2980141891936237</c:v>
                </c:pt>
              </c:numCache>
            </c:numRef>
          </c:val>
          <c:smooth val="0"/>
        </c:ser>
        <c:ser>
          <c:idx val="3"/>
          <c:order val="5"/>
          <c:tx>
            <c:strRef>
              <c:f>CALCULATIONS!$V$8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CALCULATIONS!$W$8:$AK$8</c:f>
              <c:numCache>
                <c:formatCode>0.00</c:formatCode>
                <c:ptCount val="15"/>
                <c:pt idx="0">
                  <c:v>1.0976521491909161</c:v>
                </c:pt>
                <c:pt idx="1">
                  <c:v>1.0488260745954583</c:v>
                </c:pt>
                <c:pt idx="2">
                  <c:v>1</c:v>
                </c:pt>
                <c:pt idx="3">
                  <c:v>1.0558733120973747</c:v>
                </c:pt>
                <c:pt idx="4">
                  <c:v>1.1117466241947491</c:v>
                </c:pt>
                <c:pt idx="5">
                  <c:v>1.1560927363359628</c:v>
                </c:pt>
                <c:pt idx="6">
                  <c:v>1.2004388484771762</c:v>
                </c:pt>
                <c:pt idx="7">
                  <c:v>1.0641920149205428</c:v>
                </c:pt>
                <c:pt idx="8">
                  <c:v>0.92794518136390913</c:v>
                </c:pt>
                <c:pt idx="9">
                  <c:v>0.77382241338785718</c:v>
                </c:pt>
                <c:pt idx="10">
                  <c:v>0.61969964541180522</c:v>
                </c:pt>
                <c:pt idx="11">
                  <c:v>0.53203872650693296</c:v>
                </c:pt>
                <c:pt idx="12">
                  <c:v>0.4443778076020608</c:v>
                </c:pt>
                <c:pt idx="13">
                  <c:v>0.40553198444325683</c:v>
                </c:pt>
                <c:pt idx="14">
                  <c:v>0.36668616128445281</c:v>
                </c:pt>
              </c:numCache>
            </c:numRef>
          </c:val>
          <c:smooth val="0"/>
        </c:ser>
        <c:ser>
          <c:idx val="17"/>
          <c:order val="6"/>
          <c:tx>
            <c:strRef>
              <c:f>CALCULATIONS!$V$22</c:f>
              <c:strCache>
                <c:ptCount val="1"/>
                <c:pt idx="0">
                  <c:v>VOD</c:v>
                </c:pt>
              </c:strCache>
            </c:strRef>
          </c:tx>
          <c:spPr>
            <a:ln w="19050">
              <a:solidFill>
                <a:srgbClr val="0070C0"/>
              </a:solidFill>
            </a:ln>
          </c:spPr>
          <c:marker>
            <c:symbol val="triangle"/>
            <c:size val="5"/>
            <c:spPr>
              <a:solidFill>
                <a:srgbClr val="C00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CALCULATIONS!$W$22:$AK$22</c:f>
              <c:numCache>
                <c:formatCode>0.00</c:formatCode>
                <c:ptCount val="15"/>
                <c:pt idx="0">
                  <c:v>0.98520496394155388</c:v>
                </c:pt>
                <c:pt idx="1">
                  <c:v>0.98520496394155388</c:v>
                </c:pt>
                <c:pt idx="2">
                  <c:v>1</c:v>
                </c:pt>
                <c:pt idx="3">
                  <c:v>1.0147950360584461</c:v>
                </c:pt>
                <c:pt idx="4">
                  <c:v>1.0676083697816543</c:v>
                </c:pt>
                <c:pt idx="5">
                  <c:v>1.120421703504862</c:v>
                </c:pt>
                <c:pt idx="6">
                  <c:v>1.0762046228931996</c:v>
                </c:pt>
                <c:pt idx="7">
                  <c:v>1.0319875422815368</c:v>
                </c:pt>
                <c:pt idx="8">
                  <c:v>1.0420875776264942</c:v>
                </c:pt>
                <c:pt idx="9">
                  <c:v>1.0521876129714518</c:v>
                </c:pt>
                <c:pt idx="10">
                  <c:v>1.0579816743820289</c:v>
                </c:pt>
                <c:pt idx="11">
                  <c:v>1.0637757357926059</c:v>
                </c:pt>
                <c:pt idx="12">
                  <c:v>1.0936236969428437</c:v>
                </c:pt>
                <c:pt idx="13">
                  <c:v>1.1234716580930815</c:v>
                </c:pt>
                <c:pt idx="14">
                  <c:v>1.1234716580930815</c:v>
                </c:pt>
              </c:numCache>
            </c:numRef>
          </c:val>
          <c:smooth val="0"/>
        </c:ser>
        <c:ser>
          <c:idx val="0"/>
          <c:order val="7"/>
          <c:tx>
            <c:strRef>
              <c:f>CALCULATIONS!$C$19</c:f>
              <c:strCache>
                <c:ptCount val="1"/>
                <c:pt idx="0">
                  <c:v>TPS</c:v>
                </c:pt>
              </c:strCache>
            </c:strRef>
          </c:tx>
          <c:spPr>
            <a:ln w="22225">
              <a:solidFill>
                <a:schemeClr val="bg1">
                  <a:lumMod val="50000"/>
                </a:schemeClr>
              </a:solidFill>
            </a:ln>
          </c:spPr>
          <c:marker>
            <c:symbol val="none"/>
          </c:marker>
          <c:val>
            <c:numRef>
              <c:f>CALCULATIONS!$W$19:$AK$19</c:f>
              <c:numCache>
                <c:formatCode>0.00</c:formatCode>
                <c:ptCount val="15"/>
                <c:pt idx="0">
                  <c:v>1.1100818381111281</c:v>
                </c:pt>
                <c:pt idx="1">
                  <c:v>1.1335664319920735</c:v>
                </c:pt>
                <c:pt idx="2">
                  <c:v>1</c:v>
                </c:pt>
                <c:pt idx="3">
                  <c:v>1.2573426574891096</c:v>
                </c:pt>
                <c:pt idx="4">
                  <c:v>1.1436570921938842</c:v>
                </c:pt>
                <c:pt idx="5">
                  <c:v>1.2307692323802037</c:v>
                </c:pt>
                <c:pt idx="6">
                  <c:v>1.1650349655841605</c:v>
                </c:pt>
                <c:pt idx="7">
                  <c:v>1.2167832186138681</c:v>
                </c:pt>
                <c:pt idx="8">
                  <c:v>1.1946892270649596</c:v>
                </c:pt>
                <c:pt idx="9">
                  <c:v>1.1951048967524811</c:v>
                </c:pt>
                <c:pt idx="10">
                  <c:v>1.0888111910811962</c:v>
                </c:pt>
                <c:pt idx="11">
                  <c:v>1.1503496506059416</c:v>
                </c:pt>
                <c:pt idx="12">
                  <c:v>0.85524475385346044</c:v>
                </c:pt>
                <c:pt idx="13">
                  <c:v>0.4664335680079264</c:v>
                </c:pt>
                <c:pt idx="14">
                  <c:v>0.52563611593242876</c:v>
                </c:pt>
              </c:numCache>
            </c:numRef>
          </c:val>
          <c:smooth val="0"/>
        </c:ser>
        <c:dLbls>
          <c:showLegendKey val="0"/>
          <c:showVal val="0"/>
          <c:showCatName val="0"/>
          <c:showSerName val="0"/>
          <c:showPercent val="0"/>
          <c:showBubbleSize val="0"/>
        </c:dLbls>
        <c:marker val="1"/>
        <c:smooth val="0"/>
        <c:axId val="180398336"/>
        <c:axId val="180400128"/>
      </c:lineChart>
      <c:dateAx>
        <c:axId val="180398336"/>
        <c:scaling>
          <c:orientation val="minMax"/>
        </c:scaling>
        <c:delete val="0"/>
        <c:axPos val="b"/>
        <c:numFmt formatCode="mm/yyyy;@" sourceLinked="0"/>
        <c:majorTickMark val="out"/>
        <c:minorTickMark val="none"/>
        <c:tickLblPos val="nextTo"/>
        <c:crossAx val="180400128"/>
        <c:crosses val="autoZero"/>
        <c:auto val="1"/>
        <c:lblOffset val="100"/>
        <c:baseTimeUnit val="months"/>
        <c:majorUnit val="6"/>
        <c:majorTimeUnit val="months"/>
      </c:dateAx>
      <c:valAx>
        <c:axId val="180400128"/>
        <c:scaling>
          <c:orientation val="minMax"/>
        </c:scaling>
        <c:delete val="0"/>
        <c:axPos val="l"/>
        <c:majorGridlines>
          <c:spPr>
            <a:ln>
              <a:solidFill>
                <a:schemeClr val="bg1">
                  <a:lumMod val="50000"/>
                </a:schemeClr>
              </a:solidFill>
              <a:prstDash val="dash"/>
            </a:ln>
          </c:spPr>
        </c:majorGridlines>
        <c:numFmt formatCode="0.0" sourceLinked="0"/>
        <c:majorTickMark val="out"/>
        <c:minorTickMark val="none"/>
        <c:tickLblPos val="nextTo"/>
        <c:crossAx val="180398336"/>
        <c:crosses val="autoZero"/>
        <c:crossBetween val="between"/>
        <c:majorUnit val="0.2"/>
      </c:valAx>
    </c:plotArea>
    <c:legend>
      <c:legendPos val="b"/>
      <c:layout>
        <c:manualLayout>
          <c:xMode val="edge"/>
          <c:yMode val="edge"/>
          <c:x val="3.6201204588632678E-2"/>
          <c:y val="0.89362181892982573"/>
          <c:w val="0.91948658333249456"/>
          <c:h val="8.5139225257522363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19154499082226E-2"/>
          <c:y val="4.1812137751414034E-2"/>
          <c:w val="0.7654028642006927"/>
          <c:h val="0.86141379361852155"/>
        </c:manualLayout>
      </c:layout>
      <c:lineChart>
        <c:grouping val="standard"/>
        <c:varyColors val="0"/>
        <c:ser>
          <c:idx val="2"/>
          <c:order val="0"/>
          <c:tx>
            <c:strRef>
              <c:f>CALCULATIONS!$V$7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CALCULATIONS!$W$7:$AK$7</c:f>
              <c:numCache>
                <c:formatCode>0.00</c:formatCode>
                <c:ptCount val="15"/>
                <c:pt idx="0">
                  <c:v>0.9375949600736202</c:v>
                </c:pt>
                <c:pt idx="1">
                  <c:v>1.0596053311851197</c:v>
                </c:pt>
                <c:pt idx="2">
                  <c:v>1</c:v>
                </c:pt>
                <c:pt idx="3">
                  <c:v>1.1059346610413616</c:v>
                </c:pt>
                <c:pt idx="4">
                  <c:v>0.92385177445505473</c:v>
                </c:pt>
                <c:pt idx="5">
                  <c:v>1.0051339717232151</c:v>
                </c:pt>
                <c:pt idx="6">
                  <c:v>0.95089890370332808</c:v>
                </c:pt>
                <c:pt idx="7">
                  <c:v>0.87608737926907276</c:v>
                </c:pt>
                <c:pt idx="8">
                  <c:v>0.88068086248400801</c:v>
                </c:pt>
                <c:pt idx="9">
                  <c:v>0.93188545472966378</c:v>
                </c:pt>
                <c:pt idx="10">
                  <c:v>0.86816195682391817</c:v>
                </c:pt>
                <c:pt idx="11">
                  <c:v>0.91816135863221393</c:v>
                </c:pt>
                <c:pt idx="12">
                  <c:v>0.80845466998198301</c:v>
                </c:pt>
                <c:pt idx="13">
                  <c:v>0.74979956002828585</c:v>
                </c:pt>
                <c:pt idx="14">
                  <c:v>0.66634474879070904</c:v>
                </c:pt>
              </c:numCache>
            </c:numRef>
          </c:val>
          <c:smooth val="0"/>
        </c:ser>
        <c:ser>
          <c:idx val="3"/>
          <c:order val="1"/>
          <c:tx>
            <c:strRef>
              <c:f>CALCULATIONS!$V$8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CALCULATIONS!$W$8:$AK$8</c:f>
              <c:numCache>
                <c:formatCode>0.00</c:formatCode>
                <c:ptCount val="15"/>
                <c:pt idx="0">
                  <c:v>1.0976521491909161</c:v>
                </c:pt>
                <c:pt idx="1">
                  <c:v>1.0488260745954583</c:v>
                </c:pt>
                <c:pt idx="2">
                  <c:v>1</c:v>
                </c:pt>
                <c:pt idx="3">
                  <c:v>1.0558733120973747</c:v>
                </c:pt>
                <c:pt idx="4">
                  <c:v>1.1117466241947491</c:v>
                </c:pt>
                <c:pt idx="5">
                  <c:v>1.1560927363359628</c:v>
                </c:pt>
                <c:pt idx="6">
                  <c:v>1.2004388484771762</c:v>
                </c:pt>
                <c:pt idx="7">
                  <c:v>1.0641920149205428</c:v>
                </c:pt>
                <c:pt idx="8">
                  <c:v>0.92794518136390913</c:v>
                </c:pt>
                <c:pt idx="9">
                  <c:v>0.77382241338785718</c:v>
                </c:pt>
                <c:pt idx="10">
                  <c:v>0.61969964541180522</c:v>
                </c:pt>
                <c:pt idx="11">
                  <c:v>0.53203872650693296</c:v>
                </c:pt>
                <c:pt idx="12">
                  <c:v>0.4443778076020608</c:v>
                </c:pt>
                <c:pt idx="13">
                  <c:v>0.40553198444325683</c:v>
                </c:pt>
                <c:pt idx="14">
                  <c:v>0.36668616128445281</c:v>
                </c:pt>
              </c:numCache>
            </c:numRef>
          </c:val>
          <c:smooth val="0"/>
        </c:ser>
        <c:ser>
          <c:idx val="4"/>
          <c:order val="2"/>
          <c:tx>
            <c:strRef>
              <c:f>CALCULATIONS!$V$9</c:f>
              <c:strCache>
                <c:ptCount val="1"/>
                <c:pt idx="0">
                  <c:v>Telenet</c:v>
                </c:pt>
              </c:strCache>
            </c:strRef>
          </c:tx>
          <c:spPr>
            <a:ln w="28575">
              <a:solidFill>
                <a:srgbClr val="FFC000"/>
              </a:solidFill>
            </a:ln>
          </c:spPr>
          <c:marker>
            <c:symbol val="diamond"/>
            <c:size val="7"/>
            <c:spPr>
              <a:solidFill>
                <a:srgbClr val="FFC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CALCULATIONS!$W$9:$AK$9</c:f>
              <c:numCache>
                <c:formatCode>0.00</c:formatCode>
                <c:ptCount val="15"/>
                <c:pt idx="0">
                  <c:v>0.92049255428842269</c:v>
                </c:pt>
                <c:pt idx="1">
                  <c:v>1.0324871994707998</c:v>
                </c:pt>
                <c:pt idx="2">
                  <c:v>1</c:v>
                </c:pt>
                <c:pt idx="3">
                  <c:v>1.1389156874509956</c:v>
                </c:pt>
                <c:pt idx="4">
                  <c:v>1.3696898296195521</c:v>
                </c:pt>
                <c:pt idx="5">
                  <c:v>1.5451635036465585</c:v>
                </c:pt>
                <c:pt idx="6">
                  <c:v>1.5284670156731401</c:v>
                </c:pt>
                <c:pt idx="7">
                  <c:v>1.2906282881043631</c:v>
                </c:pt>
                <c:pt idx="8">
                  <c:v>1.3834238028453811</c:v>
                </c:pt>
                <c:pt idx="9">
                  <c:v>1.4578695953797549</c:v>
                </c:pt>
                <c:pt idx="10">
                  <c:v>1.6195464398062602</c:v>
                </c:pt>
                <c:pt idx="11">
                  <c:v>1.6313402545323641</c:v>
                </c:pt>
                <c:pt idx="12">
                  <c:v>1.6708035611008387</c:v>
                </c:pt>
                <c:pt idx="13">
                  <c:v>1.8130204273299517</c:v>
                </c:pt>
                <c:pt idx="14">
                  <c:v>1.6732729777139232</c:v>
                </c:pt>
              </c:numCache>
            </c:numRef>
          </c:val>
          <c:smooth val="0"/>
        </c:ser>
        <c:ser>
          <c:idx val="16"/>
          <c:order val="3"/>
          <c:tx>
            <c:strRef>
              <c:f>CALCULATIONS!$V$21</c:f>
              <c:strCache>
                <c:ptCount val="1"/>
                <c:pt idx="0">
                  <c:v>BT</c:v>
                </c:pt>
              </c:strCache>
            </c:strRef>
          </c:tx>
          <c:spPr>
            <a:ln w="19050">
              <a:solidFill>
                <a:srgbClr val="0070C0"/>
              </a:solidFill>
            </a:ln>
          </c:spPr>
          <c:marker>
            <c:symbol val="diamond"/>
            <c:size val="5"/>
            <c:spPr>
              <a:solidFill>
                <a:srgbClr val="FFC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CALCULATIONS!$W$21:$AK$21</c:f>
              <c:numCache>
                <c:formatCode>0.00</c:formatCode>
                <c:ptCount val="15"/>
                <c:pt idx="0">
                  <c:v>0.98689333108427757</c:v>
                </c:pt>
                <c:pt idx="1">
                  <c:v>0.95234434837593107</c:v>
                </c:pt>
                <c:pt idx="2">
                  <c:v>1</c:v>
                </c:pt>
                <c:pt idx="3">
                  <c:v>1.024390173064393</c:v>
                </c:pt>
                <c:pt idx="4">
                  <c:v>1.3230699510174049</c:v>
                </c:pt>
                <c:pt idx="5">
                  <c:v>1.4265949254571519</c:v>
                </c:pt>
                <c:pt idx="6">
                  <c:v>1.5488086070591938</c:v>
                </c:pt>
                <c:pt idx="7">
                  <c:v>1.2732817542907013</c:v>
                </c:pt>
                <c:pt idx="8">
                  <c:v>1.3995590785650471</c:v>
                </c:pt>
                <c:pt idx="9">
                  <c:v>1.6618492640238904</c:v>
                </c:pt>
                <c:pt idx="10">
                  <c:v>1.5528689116035814</c:v>
                </c:pt>
                <c:pt idx="11">
                  <c:v>1.7132663728762054</c:v>
                </c:pt>
                <c:pt idx="12">
                  <c:v>1.7157169642453682</c:v>
                </c:pt>
                <c:pt idx="13">
                  <c:v>2.065776047223534</c:v>
                </c:pt>
                <c:pt idx="14">
                  <c:v>2.2980141891936237</c:v>
                </c:pt>
              </c:numCache>
            </c:numRef>
          </c:val>
          <c:smooth val="0"/>
        </c:ser>
        <c:ser>
          <c:idx val="17"/>
          <c:order val="4"/>
          <c:tx>
            <c:strRef>
              <c:f>CALCULATIONS!$V$22</c:f>
              <c:strCache>
                <c:ptCount val="1"/>
                <c:pt idx="0">
                  <c:v>VOD</c:v>
                </c:pt>
              </c:strCache>
            </c:strRef>
          </c:tx>
          <c:spPr>
            <a:ln w="19050">
              <a:solidFill>
                <a:srgbClr val="0070C0"/>
              </a:solidFill>
            </a:ln>
          </c:spPr>
          <c:marker>
            <c:symbol val="triangle"/>
            <c:size val="5"/>
            <c:spPr>
              <a:solidFill>
                <a:srgbClr val="C00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CALCULATIONS!$W$22:$AK$22</c:f>
              <c:numCache>
                <c:formatCode>0.00</c:formatCode>
                <c:ptCount val="15"/>
                <c:pt idx="0">
                  <c:v>0.98520496394155388</c:v>
                </c:pt>
                <c:pt idx="1">
                  <c:v>0.98520496394155388</c:v>
                </c:pt>
                <c:pt idx="2">
                  <c:v>1</c:v>
                </c:pt>
                <c:pt idx="3">
                  <c:v>1.0147950360584461</c:v>
                </c:pt>
                <c:pt idx="4">
                  <c:v>1.0676083697816543</c:v>
                </c:pt>
                <c:pt idx="5">
                  <c:v>1.120421703504862</c:v>
                </c:pt>
                <c:pt idx="6">
                  <c:v>1.0762046228931996</c:v>
                </c:pt>
                <c:pt idx="7">
                  <c:v>1.0319875422815368</c:v>
                </c:pt>
                <c:pt idx="8">
                  <c:v>1.0420875776264942</c:v>
                </c:pt>
                <c:pt idx="9">
                  <c:v>1.0521876129714518</c:v>
                </c:pt>
                <c:pt idx="10">
                  <c:v>1.0579816743820289</c:v>
                </c:pt>
                <c:pt idx="11">
                  <c:v>1.0637757357926059</c:v>
                </c:pt>
                <c:pt idx="12">
                  <c:v>1.0936236969428437</c:v>
                </c:pt>
                <c:pt idx="13">
                  <c:v>1.1234716580930815</c:v>
                </c:pt>
                <c:pt idx="14">
                  <c:v>1.1234716580930815</c:v>
                </c:pt>
              </c:numCache>
            </c:numRef>
          </c:val>
          <c:smooth val="0"/>
        </c:ser>
        <c:ser>
          <c:idx val="5"/>
          <c:order val="5"/>
          <c:tx>
            <c:strRef>
              <c:f>CALCULATIONS!$V$10</c:f>
              <c:strCache>
                <c:ptCount val="1"/>
                <c:pt idx="0">
                  <c:v>TDC</c:v>
                </c:pt>
              </c:strCache>
            </c:strRef>
          </c:tx>
          <c:spPr>
            <a:ln w="15875">
              <a:solidFill>
                <a:schemeClr val="bg2">
                  <a:lumMod val="50000"/>
                </a:schemeClr>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CALCULATIONS!$W$10:$AK$10</c:f>
              <c:numCache>
                <c:formatCode>0.00</c:formatCode>
                <c:ptCount val="15"/>
                <c:pt idx="0">
                  <c:v>1.11331594520898</c:v>
                </c:pt>
                <c:pt idx="1">
                  <c:v>1.111087708235821</c:v>
                </c:pt>
                <c:pt idx="2">
                  <c:v>1</c:v>
                </c:pt>
                <c:pt idx="3">
                  <c:v>1.0427831360082092</c:v>
                </c:pt>
                <c:pt idx="4">
                  <c:v>0.90962296214032845</c:v>
                </c:pt>
                <c:pt idx="5">
                  <c:v>0.80900059473824282</c:v>
                </c:pt>
                <c:pt idx="6">
                  <c:v>0.89016614901577873</c:v>
                </c:pt>
                <c:pt idx="7">
                  <c:v>0.86342702949911387</c:v>
                </c:pt>
                <c:pt idx="8">
                  <c:v>0.86461912185568557</c:v>
                </c:pt>
                <c:pt idx="9">
                  <c:v>0.76955565247252455</c:v>
                </c:pt>
                <c:pt idx="10">
                  <c:v>0.7737277136737063</c:v>
                </c:pt>
                <c:pt idx="11">
                  <c:v>0.80141502891791239</c:v>
                </c:pt>
                <c:pt idx="12">
                  <c:v>0.75931513861507838</c:v>
                </c:pt>
                <c:pt idx="13">
                  <c:v>0.84749734127641996</c:v>
                </c:pt>
                <c:pt idx="14">
                  <c:v>0.86680674387051748</c:v>
                </c:pt>
              </c:numCache>
            </c:numRef>
          </c:val>
          <c:smooth val="0"/>
        </c:ser>
        <c:ser>
          <c:idx val="13"/>
          <c:order val="6"/>
          <c:tx>
            <c:strRef>
              <c:f>CALCULATIONS!$V$18</c:f>
              <c:strCache>
                <c:ptCount val="1"/>
                <c:pt idx="0">
                  <c:v>KPN</c:v>
                </c:pt>
              </c:strCache>
            </c:strRef>
          </c:tx>
          <c:spPr>
            <a:ln w="22225">
              <a:solidFill>
                <a:schemeClr val="accent3">
                  <a:lumMod val="50000"/>
                </a:schemeClr>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CALCULATIONS!$W$18:$AK$18</c:f>
              <c:numCache>
                <c:formatCode>0.00</c:formatCode>
                <c:ptCount val="15"/>
                <c:pt idx="0">
                  <c:v>1.1377925912334799</c:v>
                </c:pt>
                <c:pt idx="1">
                  <c:v>1.1198090684661495</c:v>
                </c:pt>
                <c:pt idx="2">
                  <c:v>1</c:v>
                </c:pt>
                <c:pt idx="3">
                  <c:v>1.0525782423714849</c:v>
                </c:pt>
                <c:pt idx="4">
                  <c:v>1.0131471490800472</c:v>
                </c:pt>
                <c:pt idx="5">
                  <c:v>1.0837476279575495</c:v>
                </c:pt>
                <c:pt idx="6">
                  <c:v>0.90432518360559888</c:v>
                </c:pt>
                <c:pt idx="7">
                  <c:v>0.86306432044025816</c:v>
                </c:pt>
                <c:pt idx="8">
                  <c:v>0.78078951956203091</c:v>
                </c:pt>
                <c:pt idx="9">
                  <c:v>0.69658755679553841</c:v>
                </c:pt>
                <c:pt idx="10">
                  <c:v>0.63814447209758318</c:v>
                </c:pt>
                <c:pt idx="11">
                  <c:v>0.50217139118427645</c:v>
                </c:pt>
                <c:pt idx="12">
                  <c:v>0.31383600230205744</c:v>
                </c:pt>
                <c:pt idx="13">
                  <c:v>0.22161078533373491</c:v>
                </c:pt>
                <c:pt idx="14">
                  <c:v>0.40233478298448</c:v>
                </c:pt>
              </c:numCache>
            </c:numRef>
          </c:val>
          <c:smooth val="0"/>
        </c:ser>
        <c:ser>
          <c:idx val="14"/>
          <c:order val="7"/>
          <c:tx>
            <c:strRef>
              <c:f>CALCULATIONS!$V$19</c:f>
              <c:strCache>
                <c:ptCount val="1"/>
                <c:pt idx="0">
                  <c:v>TPS</c:v>
                </c:pt>
              </c:strCache>
            </c:strRef>
          </c:tx>
          <c:spPr>
            <a:ln w="25400">
              <a:solidFill>
                <a:srgbClr val="7F7F7F"/>
              </a:solidFill>
              <a:prstDash val="solid"/>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CALCULATIONS!$W$19:$AK$19</c:f>
              <c:numCache>
                <c:formatCode>0.00</c:formatCode>
                <c:ptCount val="15"/>
                <c:pt idx="0">
                  <c:v>1.1100818381111281</c:v>
                </c:pt>
                <c:pt idx="1">
                  <c:v>1.1335664319920735</c:v>
                </c:pt>
                <c:pt idx="2">
                  <c:v>1</c:v>
                </c:pt>
                <c:pt idx="3">
                  <c:v>1.2573426574891096</c:v>
                </c:pt>
                <c:pt idx="4">
                  <c:v>1.1436570921938842</c:v>
                </c:pt>
                <c:pt idx="5">
                  <c:v>1.2307692323802037</c:v>
                </c:pt>
                <c:pt idx="6">
                  <c:v>1.1650349655841605</c:v>
                </c:pt>
                <c:pt idx="7">
                  <c:v>1.2167832186138681</c:v>
                </c:pt>
                <c:pt idx="8">
                  <c:v>1.1946892270649596</c:v>
                </c:pt>
                <c:pt idx="9">
                  <c:v>1.1951048967524811</c:v>
                </c:pt>
                <c:pt idx="10">
                  <c:v>1.0888111910811962</c:v>
                </c:pt>
                <c:pt idx="11">
                  <c:v>1.1503496506059416</c:v>
                </c:pt>
                <c:pt idx="12">
                  <c:v>0.85524475385346044</c:v>
                </c:pt>
                <c:pt idx="13">
                  <c:v>0.4664335680079264</c:v>
                </c:pt>
                <c:pt idx="14">
                  <c:v>0.52563611593242876</c:v>
                </c:pt>
              </c:numCache>
            </c:numRef>
          </c:val>
          <c:smooth val="0"/>
        </c:ser>
        <c:ser>
          <c:idx val="11"/>
          <c:order val="8"/>
          <c:tx>
            <c:strRef>
              <c:f>CALCULATIONS!$V$16</c:f>
              <c:strCache>
                <c:ptCount val="1"/>
                <c:pt idx="0">
                  <c:v>TIT</c:v>
                </c:pt>
              </c:strCache>
            </c:strRef>
          </c:tx>
          <c:spPr>
            <a:ln w="15875"/>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CALCULATIONS!$W$16:$AK$16</c:f>
              <c:numCache>
                <c:formatCode>0.00</c:formatCode>
                <c:ptCount val="15"/>
                <c:pt idx="0">
                  <c:v>1.1956043958804889</c:v>
                </c:pt>
                <c:pt idx="1">
                  <c:v>1.1714285743652026</c:v>
                </c:pt>
                <c:pt idx="2">
                  <c:v>1</c:v>
                </c:pt>
                <c:pt idx="3">
                  <c:v>1.1279571849999219</c:v>
                </c:pt>
                <c:pt idx="4">
                  <c:v>1.0641313152701266</c:v>
                </c:pt>
                <c:pt idx="5">
                  <c:v>1.1939839505304761</c:v>
                </c:pt>
                <c:pt idx="6">
                  <c:v>1.0558779702925718</c:v>
                </c:pt>
                <c:pt idx="7">
                  <c:v>0.90223088647351224</c:v>
                </c:pt>
                <c:pt idx="8">
                  <c:v>0.91489184737119555</c:v>
                </c:pt>
                <c:pt idx="9">
                  <c:v>0.98149949732133301</c:v>
                </c:pt>
                <c:pt idx="10">
                  <c:v>0.85929372416764804</c:v>
                </c:pt>
                <c:pt idx="11">
                  <c:v>0.85874324611728359</c:v>
                </c:pt>
                <c:pt idx="12">
                  <c:v>0.75195081840298761</c:v>
                </c:pt>
                <c:pt idx="13">
                  <c:v>0.60662504136550988</c:v>
                </c:pt>
                <c:pt idx="14">
                  <c:v>0.58790883904416724</c:v>
                </c:pt>
              </c:numCache>
            </c:numRef>
          </c:val>
          <c:smooth val="0"/>
        </c:ser>
        <c:ser>
          <c:idx val="20"/>
          <c:order val="9"/>
          <c:tx>
            <c:strRef>
              <c:f>CALCULATIONS!$V$25</c:f>
              <c:strCache>
                <c:ptCount val="1"/>
                <c:pt idx="0">
                  <c:v>SCM</c:v>
                </c:pt>
              </c:strCache>
            </c:strRef>
          </c:tx>
          <c:spPr>
            <a:ln w="15875"/>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CALCULATIONS!$W$25:$AK$25</c:f>
              <c:numCache>
                <c:formatCode>0.00</c:formatCode>
                <c:ptCount val="15"/>
                <c:pt idx="0">
                  <c:v>1.078143187139347</c:v>
                </c:pt>
                <c:pt idx="1">
                  <c:v>1.0487882887528372</c:v>
                </c:pt>
                <c:pt idx="2">
                  <c:v>1</c:v>
                </c:pt>
                <c:pt idx="3">
                  <c:v>1.0601926602333713</c:v>
                </c:pt>
                <c:pt idx="4">
                  <c:v>1.1203853204667424</c:v>
                </c:pt>
                <c:pt idx="5">
                  <c:v>1.115893701869253</c:v>
                </c:pt>
                <c:pt idx="6">
                  <c:v>1.0506950101353865</c:v>
                </c:pt>
                <c:pt idx="7">
                  <c:v>1.0106296005117381</c:v>
                </c:pt>
                <c:pt idx="8">
                  <c:v>0.97001093262901461</c:v>
                </c:pt>
                <c:pt idx="9">
                  <c:v>0.99455001706317647</c:v>
                </c:pt>
                <c:pt idx="10">
                  <c:v>1.0389763401054615</c:v>
                </c:pt>
                <c:pt idx="11">
                  <c:v>1.0302546079744606</c:v>
                </c:pt>
                <c:pt idx="12">
                  <c:v>1.0733077374198514</c:v>
                </c:pt>
                <c:pt idx="13">
                  <c:v>1.1970564196149549</c:v>
                </c:pt>
                <c:pt idx="14">
                  <c:v>1.1272838779318437</c:v>
                </c:pt>
              </c:numCache>
            </c:numRef>
          </c:val>
          <c:smooth val="0"/>
        </c:ser>
        <c:ser>
          <c:idx val="1"/>
          <c:order val="10"/>
          <c:tx>
            <c:strRef>
              <c:f>CALCULATIONS!$V$6</c:f>
              <c:strCache>
                <c:ptCount val="1"/>
                <c:pt idx="0">
                  <c:v>TKA</c:v>
                </c:pt>
              </c:strCache>
            </c:strRef>
          </c:tx>
          <c:spPr>
            <a:ln w="15875"/>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CALCULATIONS!$W$6:$AK$6</c:f>
              <c:numCache>
                <c:formatCode>0.00</c:formatCode>
                <c:ptCount val="15"/>
                <c:pt idx="0">
                  <c:v>1.089217286569067</c:v>
                </c:pt>
                <c:pt idx="1">
                  <c:v>1.1330049191630231</c:v>
                </c:pt>
                <c:pt idx="2">
                  <c:v>1</c:v>
                </c:pt>
                <c:pt idx="3">
                  <c:v>1.2085385705464791</c:v>
                </c:pt>
                <c:pt idx="4">
                  <c:v>1.1516146679624943</c:v>
                </c:pt>
                <c:pt idx="5">
                  <c:v>1.1297208516655162</c:v>
                </c:pt>
                <c:pt idx="6">
                  <c:v>0.96332784286144291</c:v>
                </c:pt>
                <c:pt idx="7">
                  <c:v>0.82966610525187867</c:v>
                </c:pt>
                <c:pt idx="8">
                  <c:v>1.0112752926365616</c:v>
                </c:pt>
                <c:pt idx="9">
                  <c:v>0.95588395818277339</c:v>
                </c:pt>
                <c:pt idx="10">
                  <c:v>0.84937053497211934</c:v>
                </c:pt>
                <c:pt idx="11">
                  <c:v>0.60207989869650202</c:v>
                </c:pt>
                <c:pt idx="12">
                  <c:v>0.62835248814695499</c:v>
                </c:pt>
                <c:pt idx="13">
                  <c:v>0.56037219942832506</c:v>
                </c:pt>
                <c:pt idx="14">
                  <c:v>0.53245756386151966</c:v>
                </c:pt>
              </c:numCache>
            </c:numRef>
          </c:val>
          <c:smooth val="0"/>
        </c:ser>
        <c:dLbls>
          <c:showLegendKey val="0"/>
          <c:showVal val="0"/>
          <c:showCatName val="0"/>
          <c:showSerName val="0"/>
          <c:showPercent val="0"/>
          <c:showBubbleSize val="0"/>
        </c:dLbls>
        <c:marker val="1"/>
        <c:smooth val="0"/>
        <c:axId val="180641152"/>
        <c:axId val="180651136"/>
      </c:lineChart>
      <c:dateAx>
        <c:axId val="180641152"/>
        <c:scaling>
          <c:orientation val="minMax"/>
        </c:scaling>
        <c:delete val="0"/>
        <c:axPos val="b"/>
        <c:numFmt formatCode="mm/yyyy;@" sourceLinked="0"/>
        <c:majorTickMark val="out"/>
        <c:minorTickMark val="none"/>
        <c:tickLblPos val="nextTo"/>
        <c:crossAx val="180651136"/>
        <c:crosses val="autoZero"/>
        <c:auto val="1"/>
        <c:lblOffset val="100"/>
        <c:baseTimeUnit val="months"/>
        <c:majorUnit val="6"/>
        <c:majorTimeUnit val="months"/>
      </c:dateAx>
      <c:valAx>
        <c:axId val="180651136"/>
        <c:scaling>
          <c:orientation val="minMax"/>
        </c:scaling>
        <c:delete val="0"/>
        <c:axPos val="l"/>
        <c:majorGridlines>
          <c:spPr>
            <a:ln>
              <a:solidFill>
                <a:schemeClr val="bg1">
                  <a:lumMod val="50000"/>
                </a:schemeClr>
              </a:solidFill>
              <a:prstDash val="dash"/>
            </a:ln>
          </c:spPr>
        </c:majorGridlines>
        <c:numFmt formatCode="0.0" sourceLinked="0"/>
        <c:majorTickMark val="out"/>
        <c:minorTickMark val="none"/>
        <c:tickLblPos val="nextTo"/>
        <c:crossAx val="180641152"/>
        <c:crosses val="autoZero"/>
        <c:crossBetween val="between"/>
        <c:majorUnit val="0.2"/>
      </c:valAx>
    </c:plotArea>
    <c:legend>
      <c:legendPos val="r"/>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446154478508086E-2"/>
          <c:y val="2.8297651630447673E-2"/>
          <c:w val="0.91886666957554852"/>
          <c:h val="0.75868614669638212"/>
        </c:manualLayout>
      </c:layout>
      <c:lineChart>
        <c:grouping val="standard"/>
        <c:varyColors val="0"/>
        <c:ser>
          <c:idx val="2"/>
          <c:order val="0"/>
          <c:tx>
            <c:strRef>
              <c:f>CALCULATIONS!$C$7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CALCULATIONS!$GE$7:$GS$7</c:f>
              <c:numCache>
                <c:formatCode>0.0</c:formatCode>
                <c:ptCount val="15"/>
                <c:pt idx="0">
                  <c:v>4.2885463249133933</c:v>
                </c:pt>
                <c:pt idx="1">
                  <c:v>3.9618557811118289</c:v>
                </c:pt>
                <c:pt idx="2">
                  <c:v>3.9006785302867524</c:v>
                </c:pt>
                <c:pt idx="3">
                  <c:v>4.1410125423515485</c:v>
                </c:pt>
                <c:pt idx="4">
                  <c:v>4.1241559139513644</c:v>
                </c:pt>
                <c:pt idx="5">
                  <c:v>5.2671505229384259</c:v>
                </c:pt>
                <c:pt idx="6">
                  <c:v>5.2223693161108651</c:v>
                </c:pt>
                <c:pt idx="7">
                  <c:v>4.8179225884237669</c:v>
                </c:pt>
                <c:pt idx="8">
                  <c:v>5.0287788436693788</c:v>
                </c:pt>
                <c:pt idx="9">
                  <c:v>5.1741131495120847</c:v>
                </c:pt>
                <c:pt idx="10">
                  <c:v>5.3259826222569435</c:v>
                </c:pt>
                <c:pt idx="11">
                  <c:v>5.4654156252831125</c:v>
                </c:pt>
                <c:pt idx="12">
                  <c:v>5.0403995907375387</c:v>
                </c:pt>
                <c:pt idx="13">
                  <c:v>4.7843999563302617</c:v>
                </c:pt>
                <c:pt idx="14">
                  <c:v>4.6619962755533297</c:v>
                </c:pt>
              </c:numCache>
            </c:numRef>
          </c:val>
          <c:smooth val="0"/>
        </c:ser>
        <c:ser>
          <c:idx val="13"/>
          <c:order val="1"/>
          <c:tx>
            <c:strRef>
              <c:f>CALCULATIONS!$V$18</c:f>
              <c:strCache>
                <c:ptCount val="1"/>
                <c:pt idx="0">
                  <c:v>KPN</c:v>
                </c:pt>
              </c:strCache>
            </c:strRef>
          </c:tx>
          <c:spPr>
            <a:ln w="22225">
              <a:solidFill>
                <a:schemeClr val="accent3">
                  <a:lumMod val="50000"/>
                </a:schemeClr>
              </a:solidFill>
              <a:prstDash val="sysDash"/>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CALCULATIONS!$GE$18:$GS$18</c:f>
              <c:numCache>
                <c:formatCode>0.0</c:formatCode>
                <c:ptCount val="15"/>
                <c:pt idx="0">
                  <c:v>5.7602103537566114</c:v>
                </c:pt>
                <c:pt idx="1">
                  <c:v>5.7064707675501944</c:v>
                </c:pt>
                <c:pt idx="2">
                  <c:v>5.499929417146479</c:v>
                </c:pt>
                <c:pt idx="3">
                  <c:v>5.5600726219881471</c:v>
                </c:pt>
                <c:pt idx="4">
                  <c:v>5.3180491966424119</c:v>
                </c:pt>
                <c:pt idx="5">
                  <c:v>5.5712545975151064</c:v>
                </c:pt>
                <c:pt idx="6">
                  <c:v>5.2169361579609115</c:v>
                </c:pt>
                <c:pt idx="7">
                  <c:v>5.3629911480288674</c:v>
                </c:pt>
                <c:pt idx="8">
                  <c:v>5.0051679717344646</c:v>
                </c:pt>
                <c:pt idx="9">
                  <c:v>4.8893010168931506</c:v>
                </c:pt>
                <c:pt idx="10">
                  <c:v>4.976600493860813</c:v>
                </c:pt>
                <c:pt idx="11">
                  <c:v>4.6153204270140611</c:v>
                </c:pt>
                <c:pt idx="12">
                  <c:v>4.0772418397294583</c:v>
                </c:pt>
                <c:pt idx="13">
                  <c:v>3.9264209360953632</c:v>
                </c:pt>
                <c:pt idx="14">
                  <c:v>4.0325018858098245</c:v>
                </c:pt>
              </c:numCache>
            </c:numRef>
          </c:val>
          <c:smooth val="0"/>
        </c:ser>
        <c:ser>
          <c:idx val="5"/>
          <c:order val="2"/>
          <c:tx>
            <c:strRef>
              <c:f>CALCULATIONS!$V$10</c:f>
              <c:strCache>
                <c:ptCount val="1"/>
                <c:pt idx="0">
                  <c:v>TDC</c:v>
                </c:pt>
              </c:strCache>
            </c:strRef>
          </c:tx>
          <c:spPr>
            <a:ln w="19050">
              <a:solidFill>
                <a:schemeClr val="bg2">
                  <a:lumMod val="50000"/>
                </a:schemeClr>
              </a:solidFill>
            </a:ln>
          </c:spPr>
          <c:marker>
            <c:symbol val="square"/>
            <c:size val="3"/>
            <c:spPr>
              <a:solidFill>
                <a:schemeClr val="accent3">
                  <a:lumMod val="50000"/>
                </a:schemeClr>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CALCULATIONS!$GE$10:$GS$10</c:f>
              <c:numCache>
                <c:formatCode>0.0</c:formatCode>
                <c:ptCount val="15"/>
                <c:pt idx="0">
                  <c:v>7.555492968888017</c:v>
                </c:pt>
                <c:pt idx="1">
                  <c:v>7.853083267649974</c:v>
                </c:pt>
                <c:pt idx="2">
                  <c:v>7.293720363888645</c:v>
                </c:pt>
                <c:pt idx="3">
                  <c:v>7.3110728852342062</c:v>
                </c:pt>
                <c:pt idx="4">
                  <c:v>5.8527510131329974</c:v>
                </c:pt>
                <c:pt idx="5">
                  <c:v>5.3796215389482942</c:v>
                </c:pt>
                <c:pt idx="6">
                  <c:v>5.9997468678379153</c:v>
                </c:pt>
                <c:pt idx="7">
                  <c:v>5.9166885084159917</c:v>
                </c:pt>
                <c:pt idx="8">
                  <c:v>5.518183400377219</c:v>
                </c:pt>
                <c:pt idx="9">
                  <c:v>5.2650775370385903</c:v>
                </c:pt>
                <c:pt idx="10">
                  <c:v>5.336279633915094</c:v>
                </c:pt>
                <c:pt idx="11">
                  <c:v>5.5584259633478021</c:v>
                </c:pt>
                <c:pt idx="12">
                  <c:v>5.4160250130186531</c:v>
                </c:pt>
                <c:pt idx="13">
                  <c:v>5.8533828292848087</c:v>
                </c:pt>
                <c:pt idx="14">
                  <c:v>5.9052222685092017</c:v>
                </c:pt>
              </c:numCache>
            </c:numRef>
          </c:val>
          <c:smooth val="0"/>
        </c:ser>
        <c:ser>
          <c:idx val="14"/>
          <c:order val="3"/>
          <c:tx>
            <c:strRef>
              <c:f>CALCULATIONS!$V$19</c:f>
              <c:strCache>
                <c:ptCount val="1"/>
                <c:pt idx="0">
                  <c:v>TPS</c:v>
                </c:pt>
              </c:strCache>
            </c:strRef>
          </c:tx>
          <c:spPr>
            <a:ln w="19050">
              <a:solidFill>
                <a:schemeClr val="accent3">
                  <a:lumMod val="50000"/>
                </a:schemeClr>
              </a:solidFill>
              <a:prstDash val="solid"/>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CALCULATIONS!$GE$19:$GS$19</c:f>
              <c:numCache>
                <c:formatCode>0.0</c:formatCode>
                <c:ptCount val="15"/>
                <c:pt idx="0">
                  <c:v>4.071678259913444</c:v>
                </c:pt>
                <c:pt idx="1">
                  <c:v>4.1922201995502393</c:v>
                </c:pt>
                <c:pt idx="2">
                  <c:v>3.7433846594322855</c:v>
                </c:pt>
                <c:pt idx="3">
                  <c:v>4.8249024670315865</c:v>
                </c:pt>
                <c:pt idx="4">
                  <c:v>4.3462342091630006</c:v>
                </c:pt>
                <c:pt idx="5">
                  <c:v>4.6472162446924328</c:v>
                </c:pt>
                <c:pt idx="6">
                  <c:v>4.4100755112593859</c:v>
                </c:pt>
                <c:pt idx="7">
                  <c:v>4.9803301152225616</c:v>
                </c:pt>
                <c:pt idx="8">
                  <c:v>4.6307945020217582</c:v>
                </c:pt>
                <c:pt idx="9">
                  <c:v>5.1519271893509089</c:v>
                </c:pt>
                <c:pt idx="10">
                  <c:v>4.4265325805023039</c:v>
                </c:pt>
                <c:pt idx="11">
                  <c:v>4.9748537986715755</c:v>
                </c:pt>
                <c:pt idx="12">
                  <c:v>4.4301575383553979</c:v>
                </c:pt>
                <c:pt idx="13">
                  <c:v>3.0270615218983901</c:v>
                </c:pt>
                <c:pt idx="14">
                  <c:v>3.4400754167452243</c:v>
                </c:pt>
              </c:numCache>
            </c:numRef>
          </c:val>
          <c:smooth val="0"/>
        </c:ser>
        <c:ser>
          <c:idx val="11"/>
          <c:order val="4"/>
          <c:tx>
            <c:strRef>
              <c:f>CALCULATIONS!$V$16</c:f>
              <c:strCache>
                <c:ptCount val="1"/>
                <c:pt idx="0">
                  <c:v>TIT</c:v>
                </c:pt>
              </c:strCache>
            </c:strRef>
          </c:tx>
          <c:spPr>
            <a:ln w="19050">
              <a:solidFill>
                <a:schemeClr val="accent3">
                  <a:lumMod val="75000"/>
                </a:schemeClr>
              </a:solidFill>
              <a:prstDash val="solid"/>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CALCULATIONS!$GE$16:$GS$16</c:f>
              <c:numCache>
                <c:formatCode>0.0</c:formatCode>
                <c:ptCount val="15"/>
                <c:pt idx="0">
                  <c:v>5.2646466027831975</c:v>
                </c:pt>
                <c:pt idx="1">
                  <c:v>5.1589987343788648</c:v>
                </c:pt>
                <c:pt idx="2">
                  <c:v>4.9749953890993099</c:v>
                </c:pt>
                <c:pt idx="3">
                  <c:v>5.2294113583286679</c:v>
                </c:pt>
                <c:pt idx="4">
                  <c:v>4.9914703852200519</c:v>
                </c:pt>
                <c:pt idx="5">
                  <c:v>4.9861855090886849</c:v>
                </c:pt>
                <c:pt idx="6">
                  <c:v>4.7871009202460382</c:v>
                </c:pt>
                <c:pt idx="7">
                  <c:v>4.3986600847103956</c:v>
                </c:pt>
                <c:pt idx="8">
                  <c:v>4.4309114750814773</c:v>
                </c:pt>
                <c:pt idx="9">
                  <c:v>4.4836059637129502</c:v>
                </c:pt>
                <c:pt idx="10">
                  <c:v>4.4049206868457107</c:v>
                </c:pt>
                <c:pt idx="11">
                  <c:v>4.3796910880610298</c:v>
                </c:pt>
                <c:pt idx="12">
                  <c:v>4.1170506660938244</c:v>
                </c:pt>
                <c:pt idx="13">
                  <c:v>4.044250954075908</c:v>
                </c:pt>
                <c:pt idx="14">
                  <c:v>4.0606354500113753</c:v>
                </c:pt>
              </c:numCache>
            </c:numRef>
          </c:val>
          <c:smooth val="0"/>
        </c:ser>
        <c:ser>
          <c:idx val="20"/>
          <c:order val="5"/>
          <c:tx>
            <c:strRef>
              <c:f>CALCULATIONS!$V$25</c:f>
              <c:strCache>
                <c:ptCount val="1"/>
                <c:pt idx="0">
                  <c:v>SCM</c:v>
                </c:pt>
              </c:strCache>
            </c:strRef>
          </c:tx>
          <c:spPr>
            <a:ln w="19050">
              <a:solidFill>
                <a:schemeClr val="bg2">
                  <a:lumMod val="75000"/>
                </a:schemeClr>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CALCULATIONS!$GE$25:$GS$25</c:f>
              <c:numCache>
                <c:formatCode>0.0</c:formatCode>
                <c:ptCount val="15"/>
                <c:pt idx="0">
                  <c:v>6.4576449666827171</c:v>
                </c:pt>
                <c:pt idx="1">
                  <c:v>6.3242187369633349</c:v>
                </c:pt>
                <c:pt idx="2">
                  <c:v>6.2405736102097356</c:v>
                </c:pt>
                <c:pt idx="3">
                  <c:v>6.4498472781793303</c:v>
                </c:pt>
                <c:pt idx="4">
                  <c:v>7.0041022101503119</c:v>
                </c:pt>
                <c:pt idx="5">
                  <c:v>6.8165679432746522</c:v>
                </c:pt>
                <c:pt idx="6">
                  <c:v>6.8399496407935167</c:v>
                </c:pt>
                <c:pt idx="7">
                  <c:v>6.5558154786127876</c:v>
                </c:pt>
                <c:pt idx="8">
                  <c:v>6.2648201004227762</c:v>
                </c:pt>
                <c:pt idx="9">
                  <c:v>6.4131956124226788</c:v>
                </c:pt>
                <c:pt idx="10">
                  <c:v>6.7422728917767749</c:v>
                </c:pt>
                <c:pt idx="11">
                  <c:v>6.8606043153356984</c:v>
                </c:pt>
                <c:pt idx="12">
                  <c:v>6.9851530972688787</c:v>
                </c:pt>
                <c:pt idx="13">
                  <c:v>7.6388552783366075</c:v>
                </c:pt>
                <c:pt idx="14">
                  <c:v>7.5822149145373468</c:v>
                </c:pt>
              </c:numCache>
            </c:numRef>
          </c:val>
          <c:smooth val="0"/>
        </c:ser>
        <c:ser>
          <c:idx val="1"/>
          <c:order val="6"/>
          <c:tx>
            <c:strRef>
              <c:f>CALCULATIONS!$V$6</c:f>
              <c:strCache>
                <c:ptCount val="1"/>
                <c:pt idx="0">
                  <c:v>TKA</c:v>
                </c:pt>
              </c:strCache>
            </c:strRef>
          </c:tx>
          <c:spPr>
            <a:ln w="19050">
              <a:solidFill>
                <a:schemeClr val="tx1"/>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CALCULATIONS!$GE$6:$GS$6</c:f>
              <c:numCache>
                <c:formatCode>0.0</c:formatCode>
                <c:ptCount val="15"/>
                <c:pt idx="0">
                  <c:v>4.2234201890683387</c:v>
                </c:pt>
                <c:pt idx="1">
                  <c:v>4.2911149636128494</c:v>
                </c:pt>
                <c:pt idx="2">
                  <c:v>4.1776975507341811</c:v>
                </c:pt>
                <c:pt idx="3">
                  <c:v>4.6098364551204467</c:v>
                </c:pt>
                <c:pt idx="4">
                  <c:v>4.8789475032529337</c:v>
                </c:pt>
                <c:pt idx="5">
                  <c:v>4.8977138224376864</c:v>
                </c:pt>
                <c:pt idx="6">
                  <c:v>4.679369359619157</c:v>
                </c:pt>
                <c:pt idx="7">
                  <c:v>4.380240507705726</c:v>
                </c:pt>
                <c:pt idx="8">
                  <c:v>4.8677189995072032</c:v>
                </c:pt>
                <c:pt idx="9">
                  <c:v>4.8039171732700661</c:v>
                </c:pt>
                <c:pt idx="10">
                  <c:v>4.628054636597926</c:v>
                </c:pt>
                <c:pt idx="11">
                  <c:v>3.8551314706607713</c:v>
                </c:pt>
                <c:pt idx="12">
                  <c:v>3.9645237326378724</c:v>
                </c:pt>
                <c:pt idx="13">
                  <c:v>4.0585476062749128</c:v>
                </c:pt>
                <c:pt idx="14">
                  <c:v>4.0530525032062261</c:v>
                </c:pt>
              </c:numCache>
            </c:numRef>
          </c:val>
          <c:smooth val="0"/>
        </c:ser>
        <c:ser>
          <c:idx val="0"/>
          <c:order val="7"/>
          <c:tx>
            <c:strRef>
              <c:f>CALCULATIONS!$C$13</c:f>
              <c:strCache>
                <c:ptCount val="1"/>
                <c:pt idx="0">
                  <c:v>ILD</c:v>
                </c:pt>
              </c:strCache>
            </c:strRef>
          </c:tx>
          <c:spPr>
            <a:ln w="12700">
              <a:solidFill>
                <a:srgbClr val="FFC000"/>
              </a:solidFill>
              <a:prstDash val="dash"/>
            </a:ln>
          </c:spPr>
          <c:marker>
            <c:symbol val="none"/>
          </c:marker>
          <c:val>
            <c:numRef>
              <c:f>CALCULATIONS!$GE$13:$GS$13</c:f>
              <c:numCache>
                <c:formatCode>0.0</c:formatCode>
                <c:ptCount val="15"/>
                <c:pt idx="0">
                  <c:v>7.9723751868626085</c:v>
                </c:pt>
                <c:pt idx="1">
                  <c:v>6.6065340931206231</c:v>
                </c:pt>
                <c:pt idx="2">
                  <c:v>5.2380859919758995</c:v>
                </c:pt>
                <c:pt idx="3">
                  <c:v>5.8714948997604477</c:v>
                </c:pt>
                <c:pt idx="4">
                  <c:v>6.5057071607273569</c:v>
                </c:pt>
                <c:pt idx="5">
                  <c:v>7.0648339921112235</c:v>
                </c:pt>
                <c:pt idx="6">
                  <c:v>7.6056087861160471</c:v>
                </c:pt>
                <c:pt idx="7">
                  <c:v>7.6611514616413752</c:v>
                </c:pt>
                <c:pt idx="8">
                  <c:v>7.7163927079335384</c:v>
                </c:pt>
                <c:pt idx="9">
                  <c:v>8.4250917260247036</c:v>
                </c:pt>
                <c:pt idx="10">
                  <c:v>9.1314648522894508</c:v>
                </c:pt>
                <c:pt idx="11">
                  <c:v>9.1823846521007333</c:v>
                </c:pt>
                <c:pt idx="12">
                  <c:v>9.2330012887106534</c:v>
                </c:pt>
                <c:pt idx="13">
                  <c:v>9.2491251926001148</c:v>
                </c:pt>
                <c:pt idx="14">
                  <c:v>9.6719476082953495</c:v>
                </c:pt>
              </c:numCache>
            </c:numRef>
          </c:val>
          <c:smooth val="0"/>
        </c:ser>
        <c:ser>
          <c:idx val="3"/>
          <c:order val="8"/>
          <c:tx>
            <c:strRef>
              <c:f>CALCULATIONS!$C$22</c:f>
              <c:strCache>
                <c:ptCount val="1"/>
                <c:pt idx="0">
                  <c:v>VOD</c:v>
                </c:pt>
              </c:strCache>
            </c:strRef>
          </c:tx>
          <c:spPr>
            <a:ln w="12700">
              <a:solidFill>
                <a:srgbClr val="C00000"/>
              </a:solidFill>
              <a:prstDash val="dash"/>
            </a:ln>
          </c:spPr>
          <c:marker>
            <c:symbol val="none"/>
          </c:marker>
          <c:val>
            <c:numRef>
              <c:f>CALCULATIONS!$GE$22:$GS$22</c:f>
              <c:numCache>
                <c:formatCode>0.0</c:formatCode>
                <c:ptCount val="15"/>
                <c:pt idx="0">
                  <c:v>7.5158356243992479</c:v>
                </c:pt>
                <c:pt idx="1">
                  <c:v>7.5287191685069184</c:v>
                </c:pt>
                <c:pt idx="2">
                  <c:v>7.6684304067406543</c:v>
                </c:pt>
                <c:pt idx="3">
                  <c:v>7.8085882000950377</c:v>
                </c:pt>
                <c:pt idx="4">
                  <c:v>8.0407827250682935</c:v>
                </c:pt>
                <c:pt idx="5">
                  <c:v>8.2607418363081084</c:v>
                </c:pt>
                <c:pt idx="6">
                  <c:v>7.2570698931158928</c:v>
                </c:pt>
                <c:pt idx="7">
                  <c:v>6.2419734974350254</c:v>
                </c:pt>
                <c:pt idx="8">
                  <c:v>6.2319520949522929</c:v>
                </c:pt>
                <c:pt idx="9">
                  <c:v>6.2225339057221625</c:v>
                </c:pt>
                <c:pt idx="10">
                  <c:v>6.985562640589424</c:v>
                </c:pt>
                <c:pt idx="11">
                  <c:v>7.7372040770310724</c:v>
                </c:pt>
                <c:pt idx="12">
                  <c:v>8.1973707112800032</c:v>
                </c:pt>
                <c:pt idx="13">
                  <c:v>8.6584668441025876</c:v>
                </c:pt>
                <c:pt idx="14">
                  <c:v>8.6584668441025876</c:v>
                </c:pt>
              </c:numCache>
            </c:numRef>
          </c:val>
          <c:smooth val="0"/>
        </c:ser>
        <c:ser>
          <c:idx val="4"/>
          <c:order val="9"/>
          <c:tx>
            <c:strRef>
              <c:f>CALCULATIONS!$C$21</c:f>
              <c:strCache>
                <c:ptCount val="1"/>
                <c:pt idx="0">
                  <c:v>BT</c:v>
                </c:pt>
              </c:strCache>
            </c:strRef>
          </c:tx>
          <c:spPr>
            <a:ln>
              <a:solidFill>
                <a:srgbClr val="FFC000"/>
              </a:solidFill>
              <a:prstDash val="dash"/>
            </a:ln>
          </c:spPr>
          <c:marker>
            <c:symbol val="none"/>
          </c:marker>
          <c:val>
            <c:numRef>
              <c:f>CALCULATIONS!$GE$21:$GT$21</c:f>
              <c:numCache>
                <c:formatCode>0.0</c:formatCode>
                <c:ptCount val="16"/>
                <c:pt idx="0">
                  <c:v>5.5069568381935765</c:v>
                </c:pt>
                <c:pt idx="1">
                  <c:v>4.0978758803437954</c:v>
                </c:pt>
                <c:pt idx="2">
                  <c:v>4.0379191029722445</c:v>
                </c:pt>
                <c:pt idx="3">
                  <c:v>3.9887872212570707</c:v>
                </c:pt>
                <c:pt idx="4">
                  <c:v>4.327999381041133</c:v>
                </c:pt>
                <c:pt idx="5">
                  <c:v>4.4950636364747822</c:v>
                </c:pt>
                <c:pt idx="6">
                  <c:v>4.6333779498390504</c:v>
                </c:pt>
                <c:pt idx="7">
                  <c:v>4.1463493954872561</c:v>
                </c:pt>
                <c:pt idx="8">
                  <c:v>4.2231442619169002</c:v>
                </c:pt>
                <c:pt idx="9">
                  <c:v>5.0590640879247646</c:v>
                </c:pt>
                <c:pt idx="10">
                  <c:v>4.8723638513633851</c:v>
                </c:pt>
                <c:pt idx="11">
                  <c:v>5.1561130534628496</c:v>
                </c:pt>
                <c:pt idx="12">
                  <c:v>5.118941985501583</c:v>
                </c:pt>
                <c:pt idx="13">
                  <c:v>5.3120383859548967</c:v>
                </c:pt>
                <c:pt idx="14">
                  <c:v>5.7096258695546744</c:v>
                </c:pt>
              </c:numCache>
            </c:numRef>
          </c:val>
          <c:smooth val="0"/>
        </c:ser>
        <c:dLbls>
          <c:showLegendKey val="0"/>
          <c:showVal val="0"/>
          <c:showCatName val="0"/>
          <c:showSerName val="0"/>
          <c:showPercent val="0"/>
          <c:showBubbleSize val="0"/>
        </c:dLbls>
        <c:marker val="1"/>
        <c:smooth val="0"/>
        <c:axId val="180712192"/>
        <c:axId val="180713728"/>
      </c:lineChart>
      <c:dateAx>
        <c:axId val="180712192"/>
        <c:scaling>
          <c:orientation val="minMax"/>
        </c:scaling>
        <c:delete val="0"/>
        <c:axPos val="b"/>
        <c:numFmt formatCode="mm/yyyy;@" sourceLinked="0"/>
        <c:majorTickMark val="out"/>
        <c:minorTickMark val="none"/>
        <c:tickLblPos val="nextTo"/>
        <c:crossAx val="180713728"/>
        <c:crosses val="autoZero"/>
        <c:auto val="1"/>
        <c:lblOffset val="100"/>
        <c:baseTimeUnit val="months"/>
        <c:majorUnit val="6"/>
        <c:majorTimeUnit val="months"/>
      </c:dateAx>
      <c:valAx>
        <c:axId val="18071372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80712192"/>
        <c:crosses val="autoZero"/>
        <c:crossBetween val="between"/>
        <c:majorUnit val="1"/>
      </c:valAx>
    </c:plotArea>
    <c:legend>
      <c:legendPos val="b"/>
      <c:layout>
        <c:manualLayout>
          <c:xMode val="edge"/>
          <c:yMode val="edge"/>
          <c:x val="2.2513296461377456E-2"/>
          <c:y val="0.88675182103611905"/>
          <c:w val="0.97349047950341272"/>
          <c:h val="9.3460941109077378E-2"/>
        </c:manualLayout>
      </c:layout>
      <c:overlay val="0"/>
      <c:txPr>
        <a:bodyPr/>
        <a:lstStyle/>
        <a:p>
          <a:pPr>
            <a:defRPr sz="1100"/>
          </a:pPr>
          <a:endParaRPr lang="fr-FR"/>
        </a:p>
      </c:txPr>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40196598142611E-2"/>
          <c:y val="8.7625928723430391E-2"/>
          <c:w val="0.89492759078114548"/>
          <c:h val="0.73397654917589061"/>
        </c:manualLayout>
      </c:layout>
      <c:lineChart>
        <c:grouping val="standard"/>
        <c:varyColors val="0"/>
        <c:ser>
          <c:idx val="2"/>
          <c:order val="0"/>
          <c:tx>
            <c:v>BELGACOM</c:v>
          </c:tx>
          <c:spPr>
            <a:ln>
              <a:solidFill>
                <a:schemeClr val="tx1"/>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CALCULATIONS!$FH$46:$FV$46</c:f>
              <c:numCache>
                <c:formatCode>0.0</c:formatCode>
                <c:ptCount val="15"/>
                <c:pt idx="0">
                  <c:v>3.1246324913393408E-2</c:v>
                </c:pt>
                <c:pt idx="1">
                  <c:v>3.3955781111828731E-2</c:v>
                </c:pt>
                <c:pt idx="2">
                  <c:v>3.7078530286752454E-2</c:v>
                </c:pt>
                <c:pt idx="3">
                  <c:v>3.5612542351548093E-2</c:v>
                </c:pt>
                <c:pt idx="4">
                  <c:v>4.3855913951364123E-2</c:v>
                </c:pt>
                <c:pt idx="5">
                  <c:v>3.0050522938426028E-2</c:v>
                </c:pt>
                <c:pt idx="6">
                  <c:v>3.0869316110865519E-2</c:v>
                </c:pt>
                <c:pt idx="7">
                  <c:v>3.9722588423766858E-2</c:v>
                </c:pt>
                <c:pt idx="8">
                  <c:v>3.6178843669378402E-2</c:v>
                </c:pt>
                <c:pt idx="9">
                  <c:v>3.2913149512085127E-2</c:v>
                </c:pt>
                <c:pt idx="10">
                  <c:v>3.0582622256943637E-2</c:v>
                </c:pt>
                <c:pt idx="11">
                  <c:v>2.741562528311281E-2</c:v>
                </c:pt>
                <c:pt idx="12">
                  <c:v>3.6899590737538901E-2</c:v>
                </c:pt>
                <c:pt idx="13">
                  <c:v>4.3299956330261402E-2</c:v>
                </c:pt>
                <c:pt idx="14">
                  <c:v>4.629627555332938E-2</c:v>
                </c:pt>
              </c:numCache>
            </c:numRef>
          </c:val>
          <c:smooth val="0"/>
        </c:ser>
        <c:ser>
          <c:idx val="0"/>
          <c:order val="1"/>
          <c:tx>
            <c:v>Comp. Belgacom</c:v>
          </c:tx>
          <c:spPr>
            <a:ln>
              <a:solidFill>
                <a:schemeClr val="bg2">
                  <a:lumMod val="50000"/>
                </a:schemeClr>
              </a:solidFill>
              <a:prstDash val="dash"/>
            </a:ln>
          </c:spPr>
          <c:marker>
            <c:symbol val="none"/>
          </c:marker>
          <c:val>
            <c:numRef>
              <c:f>CALCULATIONS!$FH$67:$FV$67</c:f>
              <c:numCache>
                <c:formatCode>0.0</c:formatCode>
                <c:ptCount val="15"/>
                <c:pt idx="0">
                  <c:v>-3.4984443151278022E-2</c:v>
                </c:pt>
                <c:pt idx="1">
                  <c:v>-3.3515555049091539E-2</c:v>
                </c:pt>
                <c:pt idx="2">
                  <c:v>-1.0799834914894113E-2</c:v>
                </c:pt>
                <c:pt idx="3">
                  <c:v>-8.0094890196029667E-3</c:v>
                </c:pt>
                <c:pt idx="4">
                  <c:v>2.5075752926952077E-2</c:v>
                </c:pt>
                <c:pt idx="5">
                  <c:v>3.2393275992809833E-2</c:v>
                </c:pt>
                <c:pt idx="6">
                  <c:v>2.8396409619487528E-2</c:v>
                </c:pt>
                <c:pt idx="7">
                  <c:v>3.0437640449388681E-2</c:v>
                </c:pt>
                <c:pt idx="8">
                  <c:v>4.1682741524149414E-2</c:v>
                </c:pt>
                <c:pt idx="9">
                  <c:v>4.5104082114725053E-2</c:v>
                </c:pt>
                <c:pt idx="10">
                  <c:v>4.5043487249770919E-2</c:v>
                </c:pt>
                <c:pt idx="11">
                  <c:v>4.4854510515156321E-2</c:v>
                </c:pt>
                <c:pt idx="12">
                  <c:v>5.6975314517347719E-2</c:v>
                </c:pt>
                <c:pt idx="13">
                  <c:v>5.6319854327664842E-2</c:v>
                </c:pt>
                <c:pt idx="14">
                  <c:v>5.4700406469866181E-2</c:v>
                </c:pt>
              </c:numCache>
            </c:numRef>
          </c:val>
          <c:smooth val="0"/>
        </c:ser>
        <c:ser>
          <c:idx val="3"/>
          <c:order val="2"/>
          <c:tx>
            <c:v>MOBISTAR</c:v>
          </c:tx>
          <c:spPr>
            <a:ln>
              <a:solidFill>
                <a:srgbClr val="C00000"/>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CALCULATIONS!$FH$47:$FV$47</c:f>
              <c:numCache>
                <c:formatCode>0.0</c:formatCode>
                <c:ptCount val="15"/>
                <c:pt idx="0">
                  <c:v>-2.0635425966268883E-3</c:v>
                </c:pt>
                <c:pt idx="1">
                  <c:v>3.6583337661431514E-2</c:v>
                </c:pt>
                <c:pt idx="2">
                  <c:v>7.4915394117814671E-2</c:v>
                </c:pt>
                <c:pt idx="3">
                  <c:v>6.2918297534406697E-2</c:v>
                </c:pt>
                <c:pt idx="4">
                  <c:v>5.0579023112196531E-2</c:v>
                </c:pt>
                <c:pt idx="5">
                  <c:v>2.0566852816201298E-2</c:v>
                </c:pt>
                <c:pt idx="6">
                  <c:v>-9.2171727322325481E-3</c:v>
                </c:pt>
                <c:pt idx="7">
                  <c:v>5.2533333683315142E-2</c:v>
                </c:pt>
                <c:pt idx="8">
                  <c:v>0.1134746336887682</c:v>
                </c:pt>
                <c:pt idx="9">
                  <c:v>0.16383797773174003</c:v>
                </c:pt>
                <c:pt idx="10">
                  <c:v>0.21651033520240404</c:v>
                </c:pt>
                <c:pt idx="11">
                  <c:v>0.25223071215697468</c:v>
                </c:pt>
                <c:pt idx="12">
                  <c:v>0.28950659439877091</c:v>
                </c:pt>
                <c:pt idx="13">
                  <c:v>0.29789382482691584</c:v>
                </c:pt>
                <c:pt idx="14">
                  <c:v>0.30605871844363941</c:v>
                </c:pt>
              </c:numCache>
            </c:numRef>
          </c:val>
          <c:smooth val="0"/>
        </c:ser>
        <c:ser>
          <c:idx val="4"/>
          <c:order val="3"/>
          <c:tx>
            <c:v>TELENET</c:v>
          </c:tx>
          <c:spPr>
            <a:ln w="28575">
              <a:solidFill>
                <a:srgbClr val="FFC000"/>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CALCULATIONS!$FH$48:$FV$48</c:f>
              <c:numCache>
                <c:formatCode>0.0</c:formatCode>
                <c:ptCount val="15"/>
                <c:pt idx="0">
                  <c:v>-2.4320497336773883E-2</c:v>
                </c:pt>
                <c:pt idx="1">
                  <c:v>-2.3943283527247061E-2</c:v>
                </c:pt>
                <c:pt idx="2">
                  <c:v>-1.9305577073880364E-2</c:v>
                </c:pt>
                <c:pt idx="3">
                  <c:v>-2.2663331370710971E-2</c:v>
                </c:pt>
                <c:pt idx="4">
                  <c:v>-2.8118290847910288E-2</c:v>
                </c:pt>
                <c:pt idx="5">
                  <c:v>-3.1749437559291493E-2</c:v>
                </c:pt>
                <c:pt idx="6">
                  <c:v>-2.7925580036685105E-2</c:v>
                </c:pt>
                <c:pt idx="7">
                  <c:v>-3.0702686581140171E-2</c:v>
                </c:pt>
                <c:pt idx="8">
                  <c:v>-2.8254562278386075E-2</c:v>
                </c:pt>
                <c:pt idx="9">
                  <c:v>-2.6853084767516577E-2</c:v>
                </c:pt>
                <c:pt idx="10">
                  <c:v>-2.9727504945467942E-2</c:v>
                </c:pt>
                <c:pt idx="11">
                  <c:v>-2.7267462979130741E-2</c:v>
                </c:pt>
                <c:pt idx="12">
                  <c:v>-2.6261662987320022E-2</c:v>
                </c:pt>
                <c:pt idx="13">
                  <c:v>-2.8551459617201402E-2</c:v>
                </c:pt>
                <c:pt idx="14">
                  <c:v>-2.333301040040503E-2</c:v>
                </c:pt>
              </c:numCache>
            </c:numRef>
          </c:val>
          <c:smooth val="0"/>
        </c:ser>
        <c:dLbls>
          <c:showLegendKey val="0"/>
          <c:showVal val="0"/>
          <c:showCatName val="0"/>
          <c:showSerName val="0"/>
          <c:showPercent val="0"/>
          <c:showBubbleSize val="0"/>
        </c:dLbls>
        <c:marker val="1"/>
        <c:smooth val="0"/>
        <c:axId val="186921344"/>
        <c:axId val="186922880"/>
      </c:lineChart>
      <c:dateAx>
        <c:axId val="186921344"/>
        <c:scaling>
          <c:orientation val="minMax"/>
        </c:scaling>
        <c:delete val="0"/>
        <c:axPos val="b"/>
        <c:numFmt formatCode="mm/yyyy;@" sourceLinked="0"/>
        <c:majorTickMark val="out"/>
        <c:minorTickMark val="none"/>
        <c:tickLblPos val="nextTo"/>
        <c:crossAx val="186922880"/>
        <c:crosses val="autoZero"/>
        <c:auto val="1"/>
        <c:lblOffset val="100"/>
        <c:baseTimeUnit val="months"/>
        <c:majorUnit val="6"/>
        <c:majorTimeUnit val="months"/>
      </c:dateAx>
      <c:valAx>
        <c:axId val="186922880"/>
        <c:scaling>
          <c:orientation val="minMax"/>
        </c:scaling>
        <c:delete val="0"/>
        <c:axPos val="l"/>
        <c:majorGridlines>
          <c:spPr>
            <a:ln>
              <a:solidFill>
                <a:schemeClr val="bg1">
                  <a:lumMod val="50000"/>
                </a:schemeClr>
              </a:solidFill>
              <a:prstDash val="dash"/>
            </a:ln>
          </c:spPr>
        </c:majorGridlines>
        <c:numFmt formatCode="0.0" sourceLinked="0"/>
        <c:majorTickMark val="out"/>
        <c:minorTickMark val="none"/>
        <c:tickLblPos val="nextTo"/>
        <c:crossAx val="186921344"/>
        <c:crosses val="autoZero"/>
        <c:crossBetween val="between"/>
      </c:valAx>
      <c:spPr>
        <a:noFill/>
      </c:spPr>
    </c:plotArea>
    <c:legend>
      <c:legendPos val="b"/>
      <c:layout>
        <c:manualLayout>
          <c:xMode val="edge"/>
          <c:yMode val="edge"/>
          <c:x val="4.9999929486415094E-2"/>
          <c:y val="0.85266829723926085"/>
          <c:w val="0.89999987905509671"/>
          <c:h val="0.1473317027607392"/>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74631002734892E-2"/>
          <c:y val="2.5626124369519932E-2"/>
          <c:w val="0.91072320564843734"/>
          <c:h val="0.78259889628350821"/>
        </c:manualLayout>
      </c:layout>
      <c:lineChart>
        <c:grouping val="standard"/>
        <c:varyColors val="0"/>
        <c:ser>
          <c:idx val="2"/>
          <c:order val="0"/>
          <c:tx>
            <c:v>BELGACOM</c:v>
          </c:tx>
          <c:spPr>
            <a:ln>
              <a:solidFill>
                <a:schemeClr val="tx1"/>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CALCULATIONS!$GE$7:$GS$7</c:f>
              <c:numCache>
                <c:formatCode>0.0</c:formatCode>
                <c:ptCount val="15"/>
                <c:pt idx="0">
                  <c:v>4.2885463249133933</c:v>
                </c:pt>
                <c:pt idx="1">
                  <c:v>3.9618557811118289</c:v>
                </c:pt>
                <c:pt idx="2">
                  <c:v>3.9006785302867524</c:v>
                </c:pt>
                <c:pt idx="3">
                  <c:v>4.1410125423515485</c:v>
                </c:pt>
                <c:pt idx="4">
                  <c:v>4.1241559139513644</c:v>
                </c:pt>
                <c:pt idx="5">
                  <c:v>5.2671505229384259</c:v>
                </c:pt>
                <c:pt idx="6">
                  <c:v>5.2223693161108651</c:v>
                </c:pt>
                <c:pt idx="7">
                  <c:v>4.8179225884237669</c:v>
                </c:pt>
                <c:pt idx="8">
                  <c:v>5.0287788436693788</c:v>
                </c:pt>
                <c:pt idx="9">
                  <c:v>5.1741131495120847</c:v>
                </c:pt>
                <c:pt idx="10">
                  <c:v>5.3259826222569435</c:v>
                </c:pt>
                <c:pt idx="11">
                  <c:v>5.4654156252831125</c:v>
                </c:pt>
                <c:pt idx="12">
                  <c:v>5.0403995907375387</c:v>
                </c:pt>
                <c:pt idx="13">
                  <c:v>4.7843999563302617</c:v>
                </c:pt>
                <c:pt idx="14">
                  <c:v>4.6619962755533297</c:v>
                </c:pt>
              </c:numCache>
            </c:numRef>
          </c:val>
          <c:smooth val="0"/>
        </c:ser>
        <c:ser>
          <c:idx val="1"/>
          <c:order val="1"/>
          <c:tx>
            <c:v>Comp. Belgacom</c:v>
          </c:tx>
          <c:spPr>
            <a:ln w="28575">
              <a:solidFill>
                <a:schemeClr val="bg2">
                  <a:lumMod val="50000"/>
                </a:schemeClr>
              </a:solidFill>
              <a:prstDash val="sysDash"/>
            </a:ln>
          </c:spPr>
          <c:marker>
            <c:symbol val="none"/>
          </c:marker>
          <c:val>
            <c:numRef>
              <c:f>CALCULATIONS!$GE$29:$GS$29</c:f>
              <c:numCache>
                <c:formatCode>0.0</c:formatCode>
                <c:ptCount val="15"/>
                <c:pt idx="0">
                  <c:v>5.5555155568487216</c:v>
                </c:pt>
                <c:pt idx="1">
                  <c:v>5.5876844449509093</c:v>
                </c:pt>
                <c:pt idx="2">
                  <c:v>5.3217168317517727</c:v>
                </c:pt>
                <c:pt idx="3">
                  <c:v>5.6641905109803972</c:v>
                </c:pt>
                <c:pt idx="4">
                  <c:v>5.3985924195936184</c:v>
                </c:pt>
                <c:pt idx="5">
                  <c:v>5.3830932759928096</c:v>
                </c:pt>
                <c:pt idx="6">
                  <c:v>5.3221964096194876</c:v>
                </c:pt>
                <c:pt idx="7">
                  <c:v>5.2657876404493882</c:v>
                </c:pt>
                <c:pt idx="8">
                  <c:v>5.1195994081908163</c:v>
                </c:pt>
                <c:pt idx="9">
                  <c:v>5.1678374154480577</c:v>
                </c:pt>
                <c:pt idx="10">
                  <c:v>5.0857768205831038</c:v>
                </c:pt>
                <c:pt idx="11">
                  <c:v>5.0406711771818236</c:v>
                </c:pt>
                <c:pt idx="12">
                  <c:v>4.8316919811840142</c:v>
                </c:pt>
                <c:pt idx="13">
                  <c:v>4.7580865209943317</c:v>
                </c:pt>
                <c:pt idx="14">
                  <c:v>4.8456170731365331</c:v>
                </c:pt>
              </c:numCache>
            </c:numRef>
          </c:val>
          <c:smooth val="0"/>
        </c:ser>
        <c:ser>
          <c:idx val="3"/>
          <c:order val="2"/>
          <c:tx>
            <c:v>MOBISTAR</c:v>
          </c:tx>
          <c:spPr>
            <a:ln>
              <a:solidFill>
                <a:srgbClr val="C00000"/>
              </a:solidFill>
            </a:ln>
          </c:spPr>
          <c:marker>
            <c:symbol val="triangle"/>
            <c:size val="7"/>
            <c:spPr>
              <a:no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CALCULATIONS!$GE$8:$GS$8</c:f>
              <c:numCache>
                <c:formatCode>0.0</c:formatCode>
                <c:ptCount val="15"/>
                <c:pt idx="0">
                  <c:v>5.5752364574033733</c:v>
                </c:pt>
                <c:pt idx="1">
                  <c:v>5.4047333376614315</c:v>
                </c:pt>
                <c:pt idx="2">
                  <c:v>5.2339153941178145</c:v>
                </c:pt>
                <c:pt idx="3">
                  <c:v>5.5576682975344065</c:v>
                </c:pt>
                <c:pt idx="4">
                  <c:v>5.8810790231121963</c:v>
                </c:pt>
                <c:pt idx="5">
                  <c:v>6.1582168528162011</c:v>
                </c:pt>
                <c:pt idx="6">
                  <c:v>6.4355828272677673</c:v>
                </c:pt>
                <c:pt idx="7">
                  <c:v>5.8542333336833154</c:v>
                </c:pt>
                <c:pt idx="8">
                  <c:v>5.2720746336887681</c:v>
                </c:pt>
                <c:pt idx="9">
                  <c:v>4.7383879777317404</c:v>
                </c:pt>
                <c:pt idx="10">
                  <c:v>4.207010335202404</c:v>
                </c:pt>
                <c:pt idx="11">
                  <c:v>3.8238807121569747</c:v>
                </c:pt>
                <c:pt idx="12">
                  <c:v>3.442306594398771</c:v>
                </c:pt>
                <c:pt idx="13">
                  <c:v>3.5594938248269159</c:v>
                </c:pt>
                <c:pt idx="14">
                  <c:v>3.6764587184436395</c:v>
                </c:pt>
              </c:numCache>
            </c:numRef>
          </c:val>
          <c:smooth val="0"/>
        </c:ser>
        <c:ser>
          <c:idx val="5"/>
          <c:order val="3"/>
          <c:tx>
            <c:strRef>
              <c:f>CALCULATIONS!$C$26</c:f>
              <c:strCache>
                <c:ptCount val="1"/>
                <c:pt idx="0">
                  <c:v>SNC</c:v>
                </c:pt>
              </c:strCache>
            </c:strRef>
          </c:tx>
          <c:spPr>
            <a:ln w="28575">
              <a:solidFill>
                <a:srgbClr val="C00000"/>
              </a:solidFill>
              <a:prstDash val="dash"/>
            </a:ln>
          </c:spPr>
          <c:marker>
            <c:symbol val="none"/>
          </c:marker>
          <c:val>
            <c:numRef>
              <c:f>CALCULATIONS!$FH$26:$FV$26</c:f>
              <c:numCache>
                <c:formatCode>0.0</c:formatCode>
                <c:ptCount val="15"/>
                <c:pt idx="0">
                  <c:v>5.5578222900335454</c:v>
                </c:pt>
                <c:pt idx="1">
                  <c:v>4.879068174563792</c:v>
                </c:pt>
                <c:pt idx="2">
                  <c:v>4.3891584537752149</c:v>
                </c:pt>
                <c:pt idx="3">
                  <c:v>4.3737157209987982</c:v>
                </c:pt>
                <c:pt idx="4">
                  <c:v>4.2117067699231718</c:v>
                </c:pt>
                <c:pt idx="5">
                  <c:v>4.3827513520694943</c:v>
                </c:pt>
                <c:pt idx="6">
                  <c:v>4.2597064774426538</c:v>
                </c:pt>
                <c:pt idx="7">
                  <c:v>3.4314177264441255</c:v>
                </c:pt>
                <c:pt idx="8">
                  <c:v>3.2074942914242124</c:v>
                </c:pt>
                <c:pt idx="9">
                  <c:v>3.3858750717016983</c:v>
                </c:pt>
                <c:pt idx="10">
                  <c:v>3.4330951453756771</c:v>
                </c:pt>
                <c:pt idx="11">
                  <c:v>3.3393538943696282</c:v>
                </c:pt>
                <c:pt idx="12">
                  <c:v>3.7525252065804793</c:v>
                </c:pt>
                <c:pt idx="13">
                  <c:v>4.0453157691035688</c:v>
                </c:pt>
                <c:pt idx="14">
                  <c:v>3.9063069179772585</c:v>
                </c:pt>
              </c:numCache>
            </c:numRef>
          </c:val>
          <c:smooth val="0"/>
        </c:ser>
        <c:ser>
          <c:idx val="4"/>
          <c:order val="4"/>
          <c:tx>
            <c:v>TELENET</c:v>
          </c:tx>
          <c:spPr>
            <a:ln w="28575">
              <a:solidFill>
                <a:srgbClr val="FFC000"/>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CALCULATIONS!$GE$9:$GS$9</c:f>
              <c:numCache>
                <c:formatCode>0.0</c:formatCode>
                <c:ptCount val="15"/>
                <c:pt idx="0">
                  <c:v>7.3882795026632264</c:v>
                </c:pt>
                <c:pt idx="1">
                  <c:v>7.511456716472753</c:v>
                </c:pt>
                <c:pt idx="2">
                  <c:v>7.1707944229261198</c:v>
                </c:pt>
                <c:pt idx="3">
                  <c:v>7.7055366686292892</c:v>
                </c:pt>
                <c:pt idx="4">
                  <c:v>8.4062817091520898</c:v>
                </c:pt>
                <c:pt idx="5">
                  <c:v>8.8763505624407077</c:v>
                </c:pt>
                <c:pt idx="6">
                  <c:v>8.5774744199633144</c:v>
                </c:pt>
                <c:pt idx="7">
                  <c:v>8.8417973134188603</c:v>
                </c:pt>
                <c:pt idx="8">
                  <c:v>8.7507454377216138</c:v>
                </c:pt>
                <c:pt idx="9">
                  <c:v>8.7120469152324826</c:v>
                </c:pt>
                <c:pt idx="10">
                  <c:v>9.1838724950545316</c:v>
                </c:pt>
                <c:pt idx="11">
                  <c:v>9.135932537020869</c:v>
                </c:pt>
                <c:pt idx="12">
                  <c:v>9.0664383370126806</c:v>
                </c:pt>
                <c:pt idx="13">
                  <c:v>9.4423485403827989</c:v>
                </c:pt>
                <c:pt idx="14">
                  <c:v>9.0506669895995948</c:v>
                </c:pt>
              </c:numCache>
            </c:numRef>
          </c:val>
          <c:smooth val="0"/>
        </c:ser>
        <c:ser>
          <c:idx val="0"/>
          <c:order val="5"/>
          <c:tx>
            <c:strRef>
              <c:f>CALCULATIONS!$C$21</c:f>
              <c:strCache>
                <c:ptCount val="1"/>
                <c:pt idx="0">
                  <c:v>BT</c:v>
                </c:pt>
              </c:strCache>
            </c:strRef>
          </c:tx>
          <c:spPr>
            <a:ln>
              <a:solidFill>
                <a:srgbClr val="FFC000"/>
              </a:solidFill>
              <a:prstDash val="dash"/>
            </a:ln>
          </c:spPr>
          <c:marker>
            <c:symbol val="none"/>
          </c:marker>
          <c:val>
            <c:numRef>
              <c:f>CALCULATIONS!$FH$21:$FV$21</c:f>
              <c:numCache>
                <c:formatCode>0.0</c:formatCode>
                <c:ptCount val="15"/>
                <c:pt idx="0">
                  <c:v>5.5069568381935765</c:v>
                </c:pt>
                <c:pt idx="1">
                  <c:v>4.0978758803437954</c:v>
                </c:pt>
                <c:pt idx="2">
                  <c:v>4.0379191029722445</c:v>
                </c:pt>
                <c:pt idx="3">
                  <c:v>3.9887872212570707</c:v>
                </c:pt>
                <c:pt idx="4">
                  <c:v>4.327999381041133</c:v>
                </c:pt>
                <c:pt idx="5">
                  <c:v>4.4950636364747822</c:v>
                </c:pt>
                <c:pt idx="6">
                  <c:v>4.6333779498390504</c:v>
                </c:pt>
                <c:pt idx="7">
                  <c:v>4.1463493954872561</c:v>
                </c:pt>
                <c:pt idx="8">
                  <c:v>4.2231442619169002</c:v>
                </c:pt>
                <c:pt idx="9">
                  <c:v>5.0590640879247646</c:v>
                </c:pt>
                <c:pt idx="10">
                  <c:v>4.8723638513633851</c:v>
                </c:pt>
                <c:pt idx="11">
                  <c:v>5.1561130534628496</c:v>
                </c:pt>
                <c:pt idx="12">
                  <c:v>5.118941985501583</c:v>
                </c:pt>
                <c:pt idx="13">
                  <c:v>5.3120383859548967</c:v>
                </c:pt>
                <c:pt idx="14">
                  <c:v>5.7096258695546744</c:v>
                </c:pt>
              </c:numCache>
            </c:numRef>
          </c:val>
          <c:smooth val="0"/>
        </c:ser>
        <c:dLbls>
          <c:showLegendKey val="0"/>
          <c:showVal val="0"/>
          <c:showCatName val="0"/>
          <c:showSerName val="0"/>
          <c:showPercent val="0"/>
          <c:showBubbleSize val="0"/>
        </c:dLbls>
        <c:marker val="1"/>
        <c:smooth val="0"/>
        <c:axId val="186972032"/>
        <c:axId val="186973568"/>
      </c:lineChart>
      <c:dateAx>
        <c:axId val="186972032"/>
        <c:scaling>
          <c:orientation val="minMax"/>
        </c:scaling>
        <c:delete val="0"/>
        <c:axPos val="b"/>
        <c:numFmt formatCode="mm/yyyy;@" sourceLinked="0"/>
        <c:majorTickMark val="out"/>
        <c:minorTickMark val="none"/>
        <c:tickLblPos val="nextTo"/>
        <c:crossAx val="186973568"/>
        <c:crosses val="autoZero"/>
        <c:auto val="1"/>
        <c:lblOffset val="100"/>
        <c:baseTimeUnit val="months"/>
        <c:majorUnit val="6"/>
        <c:majorTimeUnit val="months"/>
      </c:dateAx>
      <c:valAx>
        <c:axId val="186973568"/>
        <c:scaling>
          <c:orientation val="minMax"/>
          <c:min val="0"/>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86972032"/>
        <c:crosses val="autoZero"/>
        <c:crossBetween val="between"/>
        <c:majorUnit val="1"/>
      </c:valAx>
    </c:plotArea>
    <c:legend>
      <c:legendPos val="b"/>
      <c:layout>
        <c:manualLayout>
          <c:xMode val="edge"/>
          <c:yMode val="edge"/>
          <c:x val="0"/>
          <c:y val="0.88404931620390081"/>
          <c:w val="0.99152907838793958"/>
          <c:h val="0.11595068379610443"/>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56977462616094E-2"/>
          <c:y val="3.9763449225746449E-2"/>
          <c:w val="0.89765555553760068"/>
          <c:h val="0.86820429116133369"/>
        </c:manualLayout>
      </c:layout>
      <c:scatterChart>
        <c:scatterStyle val="lineMarker"/>
        <c:varyColors val="0"/>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bubble3D val="0"/>
          </c:dPt>
          <c:dPt>
            <c:idx val="6"/>
            <c:marker>
              <c:spPr>
                <a:solidFill>
                  <a:schemeClr val="bg2">
                    <a:lumMod val="50000"/>
                    <a:alpha val="50000"/>
                  </a:schemeClr>
                </a:solidFill>
                <a:ln>
                  <a:noFill/>
                </a:ln>
              </c:spPr>
            </c:marker>
            <c:bubble3D val="0"/>
          </c:dPt>
          <c:dPt>
            <c:idx val="10"/>
            <c:marker>
              <c:spPr>
                <a:solidFill>
                  <a:schemeClr val="bg2">
                    <a:lumMod val="50000"/>
                    <a:alpha val="50000"/>
                  </a:schemeClr>
                </a:solidFill>
                <a:ln>
                  <a:noFill/>
                </a:ln>
              </c:spPr>
            </c:marker>
            <c:bubble3D val="0"/>
          </c:dPt>
          <c:dPt>
            <c:idx val="11"/>
            <c:marker>
              <c:spPr>
                <a:solidFill>
                  <a:srgbClr val="558ED5">
                    <a:alpha val="50000"/>
                  </a:srgbClr>
                </a:solidFill>
                <a:ln>
                  <a:noFill/>
                </a:ln>
              </c:spPr>
            </c:marker>
            <c:bubble3D val="0"/>
          </c:dPt>
          <c:dPt>
            <c:idx val="12"/>
            <c:marker>
              <c:spPr>
                <a:solidFill>
                  <a:srgbClr val="558ED5">
                    <a:alpha val="50000"/>
                  </a:srgbClr>
                </a:solidFill>
                <a:ln>
                  <a:noFill/>
                </a:ln>
              </c:spPr>
            </c:marker>
            <c:bubble3D val="0"/>
          </c:dPt>
          <c:dPt>
            <c:idx val="13"/>
            <c:marker>
              <c:spPr>
                <a:solidFill>
                  <a:schemeClr val="bg2">
                    <a:lumMod val="50000"/>
                    <a:alpha val="50000"/>
                  </a:schemeClr>
                </a:solidFill>
                <a:ln>
                  <a:noFill/>
                </a:ln>
              </c:spPr>
            </c:marker>
            <c:bubble3D val="0"/>
          </c:dPt>
          <c:dPt>
            <c:idx val="14"/>
            <c:marker>
              <c:spPr>
                <a:solidFill>
                  <a:srgbClr val="C00000">
                    <a:alpha val="50000"/>
                  </a:srgbClr>
                </a:solidFill>
                <a:ln>
                  <a:noFill/>
                </a:ln>
              </c:spPr>
            </c:marker>
            <c:bubble3D val="0"/>
          </c:dPt>
          <c:dPt>
            <c:idx val="15"/>
            <c:marker>
              <c:spPr>
                <a:solidFill>
                  <a:schemeClr val="bg2">
                    <a:lumMod val="50000"/>
                    <a:alpha val="50000"/>
                  </a:schemeClr>
                </a:solidFill>
                <a:ln>
                  <a:noFill/>
                </a:ln>
              </c:spPr>
            </c:marker>
            <c:bubble3D val="0"/>
          </c:dPt>
          <c:dPt>
            <c:idx val="16"/>
            <c:marker>
              <c:spPr>
                <a:solidFill>
                  <a:schemeClr val="bg2">
                    <a:lumMod val="50000"/>
                    <a:alpha val="50000"/>
                  </a:schemeClr>
                </a:solidFill>
                <a:ln>
                  <a:noFill/>
                </a:ln>
              </c:spPr>
            </c:marker>
            <c:bubble3D val="0"/>
          </c:dPt>
          <c:dPt>
            <c:idx val="17"/>
            <c:marker>
              <c:spPr>
                <a:solidFill>
                  <a:srgbClr val="FFC000">
                    <a:alpha val="50000"/>
                  </a:srgbClr>
                </a:solidFill>
                <a:ln>
                  <a:noFill/>
                </a:ln>
              </c:spPr>
            </c:marker>
            <c:bubble3D val="0"/>
          </c:dPt>
          <c:dPt>
            <c:idx val="18"/>
            <c:marker>
              <c:spPr>
                <a:solidFill>
                  <a:srgbClr val="C00000">
                    <a:alpha val="50000"/>
                  </a:srgbClr>
                </a:solidFill>
                <a:ln>
                  <a:noFill/>
                </a:ln>
              </c:spPr>
            </c:marker>
            <c:bubble3D val="0"/>
          </c:dPt>
          <c:dPt>
            <c:idx val="19"/>
            <c:marker>
              <c:spPr>
                <a:solidFill>
                  <a:schemeClr val="bg2">
                    <a:lumMod val="50000"/>
                    <a:alpha val="50000"/>
                  </a:schemeClr>
                </a:solidFill>
                <a:ln>
                  <a:noFill/>
                </a:ln>
              </c:spPr>
            </c:marker>
            <c:bubble3D val="0"/>
          </c:dPt>
          <c:dLbls>
            <c:dLbl>
              <c:idx val="0"/>
              <c:tx>
                <c:strRef>
                  <c:f>'GEARINGS, Eb&amp;E'!$B$121</c:f>
                  <c:strCache>
                    <c:ptCount val="1"/>
                    <c:pt idx="0">
                      <c:v>TELENET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1"/>
              <c:tx>
                <c:strRef>
                  <c:f>'GEARINGS, Eb&amp;E'!$B$122</c:f>
                  <c:strCache>
                    <c:ptCount val="1"/>
                    <c:pt idx="0">
                      <c:v>PT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tx>
                <c:strRef>
                  <c:f>'GEARINGS, Eb&amp;E'!$B$123</c:f>
                  <c:strCache>
                    <c:ptCount val="1"/>
                    <c:pt idx="0">
                      <c:v>TIT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'GEARINGS, Eb&amp;E'!$B$124</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4"/>
              <c:tx>
                <c:strRef>
                  <c:f>'GEARINGS, Eb&amp;E'!$B$125</c:f>
                  <c:strCache>
                    <c:ptCount val="1"/>
                    <c:pt idx="0">
                      <c:v>DT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5"/>
              <c:tx>
                <c:strRef>
                  <c:f>'GEARINGS, Eb&amp;E'!$B$126</c:f>
                  <c:strCache>
                    <c:ptCount val="1"/>
                    <c:pt idx="0">
                      <c:v>KPN</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6"/>
              <c:tx>
                <c:strRef>
                  <c:f>'GEARINGS, Eb&amp;E'!$B$127</c:f>
                  <c:strCache>
                    <c:ptCount val="1"/>
                    <c:pt idx="0">
                      <c:v>TDC</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7"/>
              <c:tx>
                <c:strRef>
                  <c:f>'GEARINGS, Eb&amp;E'!$B$128</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'GEARINGS, Eb&amp;E'!$B$129</c:f>
                  <c:strCache>
                    <c:ptCount val="1"/>
                    <c:pt idx="0">
                      <c:v>TKA</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9"/>
              <c:tx>
                <c:strRef>
                  <c:f>'GEARINGS, Eb&amp;E'!$B$130</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'GEARINGS, Eb&amp;E'!$B$131</c:f>
                  <c:strCache>
                    <c:ptCount val="1"/>
                    <c:pt idx="0">
                      <c:v>SCM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11"/>
              <c:tx>
                <c:strRef>
                  <c:f>'GEARINGS, Eb&amp;E'!$B$132</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'GEARINGS, Eb&amp;E'!$B$133</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tx>
                <c:strRef>
                  <c:f>'GEARINGS, Eb&amp;E'!$B$134</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tx>
                <c:strRef>
                  <c:f>'GEARINGS, Eb&amp;E'!$B$135</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tx>
                <c:strRef>
                  <c:f>'GEARINGS, Eb&amp;E'!$B$136</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tx>
                <c:strRef>
                  <c:f>'GEARINGS, Eb&amp;E'!$B$137</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'GEARINGS, Eb&amp;E'!$B$138</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'GEARINGS, Eb&amp;E'!$B$139</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19"/>
              <c:tx>
                <c:strRef>
                  <c:f>'GEARINGS, Eb&amp;E'!$B$140</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'GEARINGS, Eb&amp;E'!$B$141</c:f>
                  <c:strCache>
                    <c:ptCount val="1"/>
                    <c:pt idx="0">
                      <c:v>BELGACOM</c:v>
                    </c:pt>
                  </c:strCache>
                </c:strRef>
              </c:tx>
              <c:spPr/>
              <c:txPr>
                <a:bodyPr/>
                <a:lstStyle/>
                <a:p>
                  <a:pPr>
                    <a:defRPr sz="1000" b="1" i="0" strike="noStrike">
                      <a:solidFill>
                        <a:sysClr val="windowText" lastClr="000000"/>
                      </a:solidFill>
                      <a:latin typeface="Arial"/>
                    </a:defRPr>
                  </a:pPr>
                  <a:endParaRPr lang="fr-FR"/>
                </a:p>
              </c:txPr>
              <c:dLblPos val="ctr"/>
              <c:showLegendKey val="0"/>
              <c:showVal val="1"/>
              <c:showCatName val="0"/>
              <c:showSerName val="0"/>
              <c:showPercent val="0"/>
              <c:showBubbleSize val="0"/>
            </c:dLbl>
            <c:dLbl>
              <c:idx val="21"/>
              <c:tx>
                <c:strRef>
                  <c:f>'GEARINGS, Eb&amp;E'!$B$142</c:f>
                  <c:strCache>
                    <c:ptCount val="1"/>
                    <c:pt idx="0">
                      <c:v>TPS</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xVal>
            <c:numRef>
              <c:f>'GEARINGS, Eb&amp;E'!$C$121:$C$142</c:f>
            </c:numRef>
          </c:xVal>
          <c:yVal>
            <c:numRef>
              <c:f>'GEARINGS, Eb&amp;E'!$P$121:$P$142</c:f>
            </c:numRef>
          </c:yVal>
          <c:smooth val="0"/>
        </c:ser>
        <c:dLbls>
          <c:showLegendKey val="0"/>
          <c:showVal val="0"/>
          <c:showCatName val="0"/>
          <c:showSerName val="0"/>
          <c:showPercent val="0"/>
          <c:showBubbleSize val="0"/>
        </c:dLbls>
        <c:axId val="188973440"/>
        <c:axId val="188974976"/>
      </c:scatterChart>
      <c:valAx>
        <c:axId val="188973440"/>
        <c:scaling>
          <c:orientation val="minMax"/>
          <c:max val="1"/>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88974976"/>
        <c:crosses val="autoZero"/>
        <c:crossBetween val="midCat"/>
        <c:majorUnit val="0.1"/>
      </c:valAx>
      <c:valAx>
        <c:axId val="188974976"/>
        <c:scaling>
          <c:orientation val="minMax"/>
        </c:scaling>
        <c:delete val="0"/>
        <c:axPos val="l"/>
        <c:majorGridlines>
          <c:spPr>
            <a:ln>
              <a:solidFill>
                <a:schemeClr val="bg1">
                  <a:lumMod val="50000"/>
                </a:schemeClr>
              </a:solidFill>
              <a:prstDash val="sysDash"/>
            </a:ln>
          </c:spPr>
        </c:majorGridlines>
        <c:numFmt formatCode="0.0" sourceLinked="0"/>
        <c:majorTickMark val="out"/>
        <c:minorTickMark val="none"/>
        <c:tickLblPos val="nextTo"/>
        <c:txPr>
          <a:bodyPr/>
          <a:lstStyle/>
          <a:p>
            <a:pPr>
              <a:defRPr sz="1200" baseline="0">
                <a:latin typeface="Arial" pitchFamily="34" charset="0"/>
              </a:defRPr>
            </a:pPr>
            <a:endParaRPr lang="fr-FR"/>
          </a:p>
        </c:txPr>
        <c:crossAx val="188973440"/>
        <c:crosses val="autoZero"/>
        <c:crossBetween val="midCat"/>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521750869924619E-2"/>
          <c:y val="3.9763411358832677E-2"/>
          <c:w val="0.89765555553760068"/>
          <c:h val="0.86820429116133369"/>
        </c:manualLayout>
      </c:layout>
      <c:scatterChart>
        <c:scatterStyle val="lineMarker"/>
        <c:varyColors val="0"/>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bubble3D val="0"/>
          </c:dPt>
          <c:dPt>
            <c:idx val="6"/>
            <c:marker>
              <c:spPr>
                <a:solidFill>
                  <a:schemeClr val="bg2">
                    <a:lumMod val="50000"/>
                    <a:alpha val="50000"/>
                  </a:schemeClr>
                </a:solidFill>
                <a:ln>
                  <a:noFill/>
                </a:ln>
              </c:spPr>
            </c:marker>
            <c:bubble3D val="0"/>
          </c:dPt>
          <c:dPt>
            <c:idx val="10"/>
            <c:marker>
              <c:spPr>
                <a:solidFill>
                  <a:schemeClr val="bg2">
                    <a:lumMod val="50000"/>
                    <a:alpha val="50000"/>
                  </a:schemeClr>
                </a:solidFill>
                <a:ln>
                  <a:noFill/>
                </a:ln>
              </c:spPr>
            </c:marker>
            <c:bubble3D val="0"/>
          </c:dPt>
          <c:dPt>
            <c:idx val="11"/>
            <c:marker>
              <c:spPr>
                <a:solidFill>
                  <a:srgbClr val="558ED5">
                    <a:alpha val="50000"/>
                  </a:srgbClr>
                </a:solidFill>
                <a:ln>
                  <a:noFill/>
                </a:ln>
              </c:spPr>
            </c:marker>
            <c:bubble3D val="0"/>
          </c:dPt>
          <c:dPt>
            <c:idx val="12"/>
            <c:marker>
              <c:spPr>
                <a:solidFill>
                  <a:srgbClr val="558ED5">
                    <a:alpha val="50000"/>
                  </a:srgbClr>
                </a:solidFill>
                <a:ln>
                  <a:noFill/>
                </a:ln>
              </c:spPr>
            </c:marker>
            <c:bubble3D val="0"/>
          </c:dPt>
          <c:dPt>
            <c:idx val="13"/>
            <c:marker>
              <c:spPr>
                <a:solidFill>
                  <a:schemeClr val="bg2">
                    <a:lumMod val="50000"/>
                    <a:alpha val="50000"/>
                  </a:schemeClr>
                </a:solidFill>
                <a:ln>
                  <a:noFill/>
                </a:ln>
              </c:spPr>
            </c:marker>
            <c:bubble3D val="0"/>
          </c:dPt>
          <c:dPt>
            <c:idx val="14"/>
            <c:marker>
              <c:spPr>
                <a:solidFill>
                  <a:srgbClr val="C00000">
                    <a:alpha val="50000"/>
                  </a:srgbClr>
                </a:solidFill>
                <a:ln>
                  <a:noFill/>
                </a:ln>
              </c:spPr>
            </c:marker>
            <c:bubble3D val="0"/>
          </c:dPt>
          <c:dPt>
            <c:idx val="15"/>
            <c:marker>
              <c:spPr>
                <a:solidFill>
                  <a:schemeClr val="bg2">
                    <a:lumMod val="50000"/>
                    <a:alpha val="50000"/>
                  </a:schemeClr>
                </a:solidFill>
                <a:ln>
                  <a:noFill/>
                </a:ln>
              </c:spPr>
            </c:marker>
            <c:bubble3D val="0"/>
          </c:dPt>
          <c:dPt>
            <c:idx val="16"/>
            <c:marker>
              <c:spPr>
                <a:solidFill>
                  <a:schemeClr val="bg2">
                    <a:lumMod val="50000"/>
                    <a:alpha val="50000"/>
                  </a:schemeClr>
                </a:solidFill>
                <a:ln>
                  <a:noFill/>
                </a:ln>
              </c:spPr>
            </c:marker>
            <c:bubble3D val="0"/>
          </c:dPt>
          <c:dPt>
            <c:idx val="17"/>
            <c:marker>
              <c:spPr>
                <a:solidFill>
                  <a:srgbClr val="FFC000">
                    <a:alpha val="50000"/>
                  </a:srgbClr>
                </a:solidFill>
                <a:ln>
                  <a:noFill/>
                </a:ln>
              </c:spPr>
            </c:marker>
            <c:bubble3D val="0"/>
          </c:dPt>
          <c:dPt>
            <c:idx val="18"/>
            <c:marker>
              <c:spPr>
                <a:solidFill>
                  <a:srgbClr val="C00000">
                    <a:alpha val="50000"/>
                  </a:srgbClr>
                </a:solidFill>
                <a:ln>
                  <a:noFill/>
                </a:ln>
              </c:spPr>
            </c:marker>
            <c:bubble3D val="0"/>
          </c:dPt>
          <c:dPt>
            <c:idx val="19"/>
            <c:marker>
              <c:spPr>
                <a:solidFill>
                  <a:schemeClr val="bg2">
                    <a:lumMod val="50000"/>
                    <a:alpha val="50000"/>
                  </a:schemeClr>
                </a:solidFill>
                <a:ln>
                  <a:noFill/>
                </a:ln>
              </c:spPr>
            </c:marker>
            <c:bubble3D val="0"/>
          </c:dPt>
          <c:dLbls>
            <c:dLbl>
              <c:idx val="0"/>
              <c:tx>
                <c:strRef>
                  <c:f>'GEARINGS, Eb&amp;E'!$B$121</c:f>
                  <c:strCache>
                    <c:ptCount val="1"/>
                    <c:pt idx="0">
                      <c:v>TELENET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1"/>
              <c:tx>
                <c:strRef>
                  <c:f>'GEARINGS, Eb&amp;E'!$B$122</c:f>
                  <c:strCache>
                    <c:ptCount val="1"/>
                    <c:pt idx="0">
                      <c:v>PT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tx>
                <c:strRef>
                  <c:f>'GEARINGS, Eb&amp;E'!$B$123</c:f>
                  <c:strCache>
                    <c:ptCount val="1"/>
                    <c:pt idx="0">
                      <c:v>TIT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'GEARINGS, Eb&amp;E'!$B$124</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4"/>
              <c:tx>
                <c:strRef>
                  <c:f>'GEARINGS, Eb&amp;E'!$B$125</c:f>
                  <c:strCache>
                    <c:ptCount val="1"/>
                    <c:pt idx="0">
                      <c:v>DT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5"/>
              <c:tx>
                <c:strRef>
                  <c:f>'GEARINGS, Eb&amp;E'!$B$126</c:f>
                  <c:strCache>
                    <c:ptCount val="1"/>
                    <c:pt idx="0">
                      <c:v>KPN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tx>
                <c:strRef>
                  <c:f>'GEARINGS, Eb&amp;E'!$B$127</c:f>
                  <c:strCache>
                    <c:ptCount val="1"/>
                    <c:pt idx="0">
                      <c:v>TDC</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7"/>
              <c:tx>
                <c:strRef>
                  <c:f>'GEARINGS, Eb&amp;E'!$B$128</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'GEARINGS, Eb&amp;E'!$B$129</c:f>
                  <c:strCache>
                    <c:ptCount val="1"/>
                    <c:pt idx="0">
                      <c:v>TKA</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9"/>
              <c:tx>
                <c:strRef>
                  <c:f>'GEARINGS, Eb&amp;E'!$B$130</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'GEARINGS, Eb&amp;E'!$B$131</c:f>
                  <c:strCache>
                    <c:ptCount val="1"/>
                    <c:pt idx="0">
                      <c:v>SCM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11"/>
              <c:tx>
                <c:strRef>
                  <c:f>'GEARINGS, Eb&amp;E'!$B$132</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'GEARINGS, Eb&amp;E'!$B$133</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tx>
                <c:strRef>
                  <c:f>'GEARINGS, Eb&amp;E'!$B$134</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tx>
                <c:strRef>
                  <c:f>'GEARINGS, Eb&amp;E'!$B$135</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tx>
                <c:strRef>
                  <c:f>'GEARINGS, Eb&amp;E'!$B$136</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tx>
                <c:strRef>
                  <c:f>'GEARINGS, Eb&amp;E'!$B$137</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'GEARINGS, Eb&amp;E'!$B$138</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'GEARINGS, Eb&amp;E'!$B$139</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19"/>
              <c:tx>
                <c:strRef>
                  <c:f>'GEARINGS, Eb&amp;E'!$B$140</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'GEARINGS, Eb&amp;E'!$B$141</c:f>
                  <c:strCache>
                    <c:ptCount val="1"/>
                    <c:pt idx="0">
                      <c:v>BELGACOM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21"/>
              <c:tx>
                <c:strRef>
                  <c:f>'GEARINGS, Eb&amp;E'!$B$142</c:f>
                  <c:strCache>
                    <c:ptCount val="1"/>
                    <c:pt idx="0">
                      <c:v>TPS</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xVal>
            <c:numRef>
              <c:f>'GEARINGS, Eb&amp;E'!$E$121:$E$142</c:f>
            </c:numRef>
          </c:xVal>
          <c:yVal>
            <c:numRef>
              <c:f>'GEARINGS, Eb&amp;E'!$R$121:$R$142</c:f>
            </c:numRef>
          </c:yVal>
          <c:smooth val="0"/>
        </c:ser>
        <c:dLbls>
          <c:showLegendKey val="0"/>
          <c:showVal val="0"/>
          <c:showCatName val="0"/>
          <c:showSerName val="0"/>
          <c:showPercent val="0"/>
          <c:showBubbleSize val="0"/>
        </c:dLbls>
        <c:axId val="190977152"/>
        <c:axId val="190978688"/>
      </c:scatterChart>
      <c:valAx>
        <c:axId val="190977152"/>
        <c:scaling>
          <c:orientation val="minMax"/>
          <c:max val="1"/>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90978688"/>
        <c:crosses val="autoZero"/>
        <c:crossBetween val="midCat"/>
        <c:majorUnit val="0.1"/>
      </c:valAx>
      <c:valAx>
        <c:axId val="190978688"/>
        <c:scaling>
          <c:orientation val="minMax"/>
        </c:scaling>
        <c:delete val="0"/>
        <c:axPos val="l"/>
        <c:majorGridlines>
          <c:spPr>
            <a:ln>
              <a:solidFill>
                <a:schemeClr val="bg1">
                  <a:lumMod val="50000"/>
                </a:schemeClr>
              </a:solidFill>
              <a:prstDash val="sysDash"/>
            </a:ln>
          </c:spPr>
        </c:majorGridlines>
        <c:numFmt formatCode="0.0" sourceLinked="0"/>
        <c:majorTickMark val="out"/>
        <c:minorTickMark val="none"/>
        <c:tickLblPos val="nextTo"/>
        <c:txPr>
          <a:bodyPr/>
          <a:lstStyle/>
          <a:p>
            <a:pPr>
              <a:defRPr sz="1200" baseline="0">
                <a:latin typeface="Arial" pitchFamily="34" charset="0"/>
              </a:defRPr>
            </a:pPr>
            <a:endParaRPr lang="fr-FR"/>
          </a:p>
        </c:txPr>
        <c:crossAx val="190977152"/>
        <c:crosses val="autoZero"/>
        <c:crossBetween val="midCat"/>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521750869924619E-2"/>
          <c:y val="3.9763411358832677E-2"/>
          <c:w val="0.89765555553760068"/>
          <c:h val="0.86820429116133369"/>
        </c:manualLayout>
      </c:layout>
      <c:scatterChart>
        <c:scatterStyle val="lineMarker"/>
        <c:varyColors val="0"/>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bubble3D val="0"/>
          </c:dPt>
          <c:dPt>
            <c:idx val="6"/>
            <c:marker>
              <c:spPr>
                <a:solidFill>
                  <a:schemeClr val="bg2">
                    <a:lumMod val="50000"/>
                    <a:alpha val="50000"/>
                  </a:schemeClr>
                </a:solidFill>
                <a:ln>
                  <a:noFill/>
                </a:ln>
              </c:spPr>
            </c:marker>
            <c:bubble3D val="0"/>
          </c:dPt>
          <c:dPt>
            <c:idx val="10"/>
            <c:marker>
              <c:spPr>
                <a:solidFill>
                  <a:schemeClr val="bg2">
                    <a:lumMod val="50000"/>
                    <a:alpha val="50000"/>
                  </a:schemeClr>
                </a:solidFill>
                <a:ln>
                  <a:noFill/>
                </a:ln>
              </c:spPr>
            </c:marker>
            <c:bubble3D val="0"/>
          </c:dPt>
          <c:dPt>
            <c:idx val="11"/>
            <c:marker>
              <c:spPr>
                <a:solidFill>
                  <a:srgbClr val="558ED5">
                    <a:alpha val="50000"/>
                  </a:srgbClr>
                </a:solidFill>
                <a:ln>
                  <a:noFill/>
                </a:ln>
              </c:spPr>
            </c:marker>
            <c:bubble3D val="0"/>
          </c:dPt>
          <c:dPt>
            <c:idx val="12"/>
            <c:marker>
              <c:spPr>
                <a:solidFill>
                  <a:srgbClr val="558ED5">
                    <a:alpha val="50000"/>
                  </a:srgbClr>
                </a:solidFill>
                <a:ln>
                  <a:noFill/>
                </a:ln>
              </c:spPr>
            </c:marker>
            <c:bubble3D val="0"/>
          </c:dPt>
          <c:dPt>
            <c:idx val="13"/>
            <c:marker>
              <c:spPr>
                <a:solidFill>
                  <a:schemeClr val="bg2">
                    <a:lumMod val="50000"/>
                    <a:alpha val="50000"/>
                  </a:schemeClr>
                </a:solidFill>
                <a:ln>
                  <a:noFill/>
                </a:ln>
              </c:spPr>
            </c:marker>
            <c:bubble3D val="0"/>
          </c:dPt>
          <c:dPt>
            <c:idx val="14"/>
            <c:marker>
              <c:spPr>
                <a:solidFill>
                  <a:srgbClr val="C00000">
                    <a:alpha val="50000"/>
                  </a:srgbClr>
                </a:solidFill>
                <a:ln>
                  <a:noFill/>
                </a:ln>
              </c:spPr>
            </c:marker>
            <c:bubble3D val="0"/>
          </c:dPt>
          <c:dPt>
            <c:idx val="15"/>
            <c:marker>
              <c:spPr>
                <a:solidFill>
                  <a:schemeClr val="bg2">
                    <a:lumMod val="50000"/>
                    <a:alpha val="50000"/>
                  </a:schemeClr>
                </a:solidFill>
                <a:ln>
                  <a:noFill/>
                </a:ln>
              </c:spPr>
            </c:marker>
            <c:bubble3D val="0"/>
          </c:dPt>
          <c:dPt>
            <c:idx val="16"/>
            <c:marker>
              <c:spPr>
                <a:solidFill>
                  <a:schemeClr val="bg2">
                    <a:lumMod val="50000"/>
                    <a:alpha val="50000"/>
                  </a:schemeClr>
                </a:solidFill>
                <a:ln>
                  <a:noFill/>
                </a:ln>
              </c:spPr>
            </c:marker>
            <c:bubble3D val="0"/>
          </c:dPt>
          <c:dPt>
            <c:idx val="17"/>
            <c:marker>
              <c:spPr>
                <a:solidFill>
                  <a:srgbClr val="FFC000">
                    <a:alpha val="50000"/>
                  </a:srgbClr>
                </a:solidFill>
                <a:ln>
                  <a:noFill/>
                </a:ln>
              </c:spPr>
            </c:marker>
            <c:bubble3D val="0"/>
          </c:dPt>
          <c:dPt>
            <c:idx val="18"/>
            <c:marker>
              <c:spPr>
                <a:solidFill>
                  <a:srgbClr val="C00000">
                    <a:alpha val="50000"/>
                  </a:srgbClr>
                </a:solidFill>
                <a:ln>
                  <a:noFill/>
                </a:ln>
              </c:spPr>
            </c:marker>
            <c:bubble3D val="0"/>
          </c:dPt>
          <c:dPt>
            <c:idx val="19"/>
            <c:marker>
              <c:spPr>
                <a:solidFill>
                  <a:schemeClr val="bg2">
                    <a:lumMod val="50000"/>
                    <a:alpha val="50000"/>
                  </a:schemeClr>
                </a:solidFill>
                <a:ln>
                  <a:noFill/>
                </a:ln>
              </c:spPr>
            </c:marker>
            <c:bubble3D val="0"/>
          </c:dPt>
          <c:dLbls>
            <c:dLbl>
              <c:idx val="0"/>
              <c:tx>
                <c:strRef>
                  <c:f>'GEARINGS, Eb&amp;E'!$B$121</c:f>
                  <c:strCache>
                    <c:ptCount val="1"/>
                    <c:pt idx="0">
                      <c:v>TELENET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1"/>
              <c:tx>
                <c:strRef>
                  <c:f>'GEARINGS, Eb&amp;E'!$B$122</c:f>
                  <c:strCache>
                    <c:ptCount val="1"/>
                    <c:pt idx="0">
                      <c:v>PT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tx>
                <c:strRef>
                  <c:f>'GEARINGS, Eb&amp;E'!$B$123</c:f>
                  <c:strCache>
                    <c:ptCount val="1"/>
                    <c:pt idx="0">
                      <c:v>TIT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'GEARINGS, Eb&amp;E'!$B$124</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4"/>
              <c:tx>
                <c:strRef>
                  <c:f>'GEARINGS, Eb&amp;E'!$B$125</c:f>
                  <c:strCache>
                    <c:ptCount val="1"/>
                    <c:pt idx="0">
                      <c:v>DT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5"/>
              <c:tx>
                <c:strRef>
                  <c:f>'GEARINGS, Eb&amp;E'!$B$126</c:f>
                  <c:strCache>
                    <c:ptCount val="1"/>
                    <c:pt idx="0">
                      <c:v>KPN</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6"/>
              <c:tx>
                <c:strRef>
                  <c:f>'GEARINGS, Eb&amp;E'!$B$127</c:f>
                  <c:strCache>
                    <c:ptCount val="1"/>
                    <c:pt idx="0">
                      <c:v>TDC</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7"/>
              <c:tx>
                <c:strRef>
                  <c:f>'GEARINGS, Eb&amp;E'!$B$128</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'GEARINGS, Eb&amp;E'!$B$129</c:f>
                  <c:strCache>
                    <c:ptCount val="1"/>
                    <c:pt idx="0">
                      <c:v>TKA</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9"/>
              <c:tx>
                <c:strRef>
                  <c:f>'GEARINGS, Eb&amp;E'!$B$130</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'GEARINGS, Eb&amp;E'!$B$131</c:f>
                  <c:strCache>
                    <c:ptCount val="1"/>
                    <c:pt idx="0">
                      <c:v>SCM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11"/>
              <c:tx>
                <c:strRef>
                  <c:f>'GEARINGS, Eb&amp;E'!$B$132</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'GEARINGS, Eb&amp;E'!$B$133</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tx>
                <c:strRef>
                  <c:f>'GEARINGS, Eb&amp;E'!$B$134</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tx>
                <c:strRef>
                  <c:f>'GEARINGS, Eb&amp;E'!$B$135</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tx>
                <c:strRef>
                  <c:f>'GEARINGS, Eb&amp;E'!$B$136</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tx>
                <c:strRef>
                  <c:f>'GEARINGS, Eb&amp;E'!$B$137</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'GEARINGS, Eb&amp;E'!$B$138</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'GEARINGS, Eb&amp;E'!$B$139</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19"/>
              <c:tx>
                <c:strRef>
                  <c:f>'GEARINGS, Eb&amp;E'!$B$140</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'GEARINGS, Eb&amp;E'!$B$141</c:f>
                  <c:strCache>
                    <c:ptCount val="1"/>
                    <c:pt idx="0">
                      <c:v>BELGACOM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21"/>
              <c:tx>
                <c:strRef>
                  <c:f>'GEARINGS, Eb&amp;E'!$B$142</c:f>
                  <c:strCache>
                    <c:ptCount val="1"/>
                    <c:pt idx="0">
                      <c:v>TPS</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xVal>
            <c:numRef>
              <c:f>'GEARINGS, Eb&amp;E'!$C$121:$C$142</c:f>
            </c:numRef>
          </c:xVal>
          <c:yVal>
            <c:numRef>
              <c:f>'GEARINGS, Eb&amp;E'!$Q$121:$Q$142</c:f>
            </c:numRef>
          </c:yVal>
          <c:smooth val="0"/>
        </c:ser>
        <c:dLbls>
          <c:showLegendKey val="0"/>
          <c:showVal val="0"/>
          <c:showCatName val="0"/>
          <c:showSerName val="0"/>
          <c:showPercent val="0"/>
          <c:showBubbleSize val="0"/>
        </c:dLbls>
        <c:axId val="191071744"/>
        <c:axId val="191073280"/>
      </c:scatterChart>
      <c:valAx>
        <c:axId val="191071744"/>
        <c:scaling>
          <c:orientation val="minMax"/>
          <c:max val="1"/>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91073280"/>
        <c:crosses val="autoZero"/>
        <c:crossBetween val="midCat"/>
        <c:majorUnit val="0.1"/>
      </c:valAx>
      <c:valAx>
        <c:axId val="191073280"/>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txPr>
          <a:bodyPr/>
          <a:lstStyle/>
          <a:p>
            <a:pPr>
              <a:defRPr sz="1200" baseline="0">
                <a:latin typeface="Arial" pitchFamily="34" charset="0"/>
              </a:defRPr>
            </a:pPr>
            <a:endParaRPr lang="fr-FR"/>
          </a:p>
        </c:txPr>
        <c:crossAx val="191071744"/>
        <c:crosses val="autoZero"/>
        <c:crossBetween val="midCat"/>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5206726986929906"/>
        </c:manualLayout>
      </c:layout>
      <c:lineChart>
        <c:grouping val="standard"/>
        <c:varyColors val="0"/>
        <c:ser>
          <c:idx val="2"/>
          <c:order val="0"/>
          <c:tx>
            <c:strRef>
              <c:f>CALCULATIONS!$C$7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CALCULATIONS!$LT$7:$MH$7</c:f>
              <c:numCache>
                <c:formatCode>0.0</c:formatCode>
                <c:ptCount val="15"/>
                <c:pt idx="0">
                  <c:v>0.85780357758060832</c:v>
                </c:pt>
                <c:pt idx="1">
                  <c:v>0.60699163906695064</c:v>
                </c:pt>
                <c:pt idx="2">
                  <c:v>0.73258608367589573</c:v>
                </c:pt>
                <c:pt idx="3">
                  <c:v>0.63774509214022523</c:v>
                </c:pt>
                <c:pt idx="4">
                  <c:v>0.74671139174513146</c:v>
                </c:pt>
                <c:pt idx="5">
                  <c:v>0.7780181563411469</c:v>
                </c:pt>
                <c:pt idx="6">
                  <c:v>0.98612301734551489</c:v>
                </c:pt>
                <c:pt idx="7">
                  <c:v>0.8625256609875307</c:v>
                </c:pt>
                <c:pt idx="8">
                  <c:v>0.96943755578816437</c:v>
                </c:pt>
                <c:pt idx="9">
                  <c:v>0.86104856905117111</c:v>
                </c:pt>
                <c:pt idx="10">
                  <c:v>1.1345061634014335</c:v>
                </c:pt>
                <c:pt idx="11">
                  <c:v>1.00696420705061</c:v>
                </c:pt>
                <c:pt idx="12">
                  <c:v>1.0680698852526918</c:v>
                </c:pt>
                <c:pt idx="13">
                  <c:v>1.0276122349618302</c:v>
                </c:pt>
                <c:pt idx="14">
                  <c:v>1.3109622071604587</c:v>
                </c:pt>
              </c:numCache>
            </c:numRef>
          </c:val>
          <c:smooth val="0"/>
        </c:ser>
        <c:ser>
          <c:idx val="0"/>
          <c:order val="1"/>
          <c:tx>
            <c:strRef>
              <c:f>CALCULATIONS!$C$10</c:f>
              <c:strCache>
                <c:ptCount val="1"/>
                <c:pt idx="0">
                  <c:v>TDC</c:v>
                </c:pt>
              </c:strCache>
            </c:strRef>
          </c:tx>
          <c:spPr>
            <a:ln w="22225">
              <a:solidFill>
                <a:schemeClr val="bg2">
                  <a:lumMod val="75000"/>
                </a:schemeClr>
              </a:solidFill>
              <a:prstDash val="solid"/>
            </a:ln>
          </c:spPr>
          <c:marker>
            <c:symbol val="square"/>
            <c:size val="5"/>
            <c:spPr>
              <a:solidFill>
                <a:schemeClr val="accent3">
                  <a:lumMod val="50000"/>
                </a:schemeClr>
              </a:solidFill>
              <a:ln>
                <a:noFill/>
              </a:ln>
            </c:spPr>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CALCULATIONS!$LT$10:$MH$10</c:f>
              <c:numCache>
                <c:formatCode>0.0</c:formatCode>
                <c:ptCount val="15"/>
                <c:pt idx="0">
                  <c:v>3.4539648084509533</c:v>
                </c:pt>
                <c:pt idx="1">
                  <c:v>3.5935597625291371</c:v>
                </c:pt>
                <c:pt idx="2">
                  <c:v>3.4952896711363342</c:v>
                </c:pt>
                <c:pt idx="3">
                  <c:v>3.3446915917927194</c:v>
                </c:pt>
                <c:pt idx="4">
                  <c:v>2.5141116078107553</c:v>
                </c:pt>
                <c:pt idx="5">
                  <c:v>2.4171752991787065</c:v>
                </c:pt>
                <c:pt idx="6">
                  <c:v>2.5290151724493271</c:v>
                </c:pt>
                <c:pt idx="7">
                  <c:v>2.5596704962049985</c:v>
                </c:pt>
                <c:pt idx="8">
                  <c:v>2.3823015969248087</c:v>
                </c:pt>
                <c:pt idx="9">
                  <c:v>2.4574897791080925</c:v>
                </c:pt>
                <c:pt idx="10">
                  <c:v>2.5022108978095088</c:v>
                </c:pt>
                <c:pt idx="11">
                  <c:v>2.5858305705752835</c:v>
                </c:pt>
                <c:pt idx="12">
                  <c:v>2.5523585725958045</c:v>
                </c:pt>
                <c:pt idx="13">
                  <c:v>2.6306207985310399</c:v>
                </c:pt>
                <c:pt idx="14">
                  <c:v>2.5933932385229874</c:v>
                </c:pt>
              </c:numCache>
            </c:numRef>
          </c:val>
          <c:smooth val="0"/>
        </c:ser>
        <c:ser>
          <c:idx val="13"/>
          <c:order val="2"/>
          <c:tx>
            <c:strRef>
              <c:f>CALCULATIONS!$C$18</c:f>
              <c:strCache>
                <c:ptCount val="1"/>
                <c:pt idx="0">
                  <c:v>KPN</c:v>
                </c:pt>
              </c:strCache>
            </c:strRef>
          </c:tx>
          <c:spPr>
            <a:ln w="22225">
              <a:solidFill>
                <a:schemeClr val="accent3">
                  <a:lumMod val="50000"/>
                </a:schemeClr>
              </a:solidFill>
            </a:ln>
          </c:spPr>
          <c:marker>
            <c:symbol val="square"/>
            <c:size val="5"/>
            <c:spPr>
              <a:solidFill>
                <a:srgbClr val="9BBB59">
                  <a:lumMod val="50000"/>
                </a:srgbClr>
              </a:solidFill>
              <a:ln>
                <a:noFill/>
              </a:ln>
            </c:spPr>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CALCULATIONS!$LT$18:$MH$18</c:f>
              <c:numCache>
                <c:formatCode>0.0</c:formatCode>
                <c:ptCount val="15"/>
                <c:pt idx="0">
                  <c:v>2.2460576460396591</c:v>
                </c:pt>
                <c:pt idx="1">
                  <c:v>2.292248334584198</c:v>
                </c:pt>
                <c:pt idx="2">
                  <c:v>2.4759242556130907</c:v>
                </c:pt>
                <c:pt idx="3">
                  <c:v>2.4128009279632687</c:v>
                </c:pt>
                <c:pt idx="4">
                  <c:v>2.3070990266030713</c:v>
                </c:pt>
                <c:pt idx="5">
                  <c:v>2.3269330707749947</c:v>
                </c:pt>
                <c:pt idx="6">
                  <c:v>2.4795219098937151</c:v>
                </c:pt>
                <c:pt idx="7">
                  <c:v>2.6768872413339531</c:v>
                </c:pt>
                <c:pt idx="8">
                  <c:v>2.561497889097454</c:v>
                </c:pt>
                <c:pt idx="9">
                  <c:v>2.6556185999757402</c:v>
                </c:pt>
                <c:pt idx="10">
                  <c:v>2.8775722363857463</c:v>
                </c:pt>
                <c:pt idx="11">
                  <c:v>2.9398714313305048</c:v>
                </c:pt>
                <c:pt idx="12">
                  <c:v>2.9797609965187557</c:v>
                </c:pt>
                <c:pt idx="13">
                  <c:v>3.1263879754075297</c:v>
                </c:pt>
                <c:pt idx="14">
                  <c:v>2.5466878830879209</c:v>
                </c:pt>
              </c:numCache>
            </c:numRef>
          </c:val>
          <c:smooth val="0"/>
        </c:ser>
        <c:ser>
          <c:idx val="1"/>
          <c:order val="3"/>
          <c:tx>
            <c:strRef>
              <c:f>CALCULATIONS!$C$16</c:f>
              <c:strCache>
                <c:ptCount val="1"/>
                <c:pt idx="0">
                  <c:v>TIT</c:v>
                </c:pt>
              </c:strCache>
            </c:strRef>
          </c:tx>
          <c:spPr>
            <a:ln w="19050">
              <a:solidFill>
                <a:schemeClr val="accent3">
                  <a:lumMod val="75000"/>
                </a:schemeClr>
              </a:solidFill>
            </a:ln>
          </c:spPr>
          <c:marker>
            <c:symbol val="none"/>
          </c:marker>
          <c:val>
            <c:numRef>
              <c:f>CALCULATIONS!$LT$16:$MH$16</c:f>
              <c:numCache>
                <c:formatCode>0.0</c:formatCode>
                <c:ptCount val="15"/>
                <c:pt idx="0">
                  <c:v>3.3039026768017106</c:v>
                </c:pt>
                <c:pt idx="1">
                  <c:v>3.2438939614782232</c:v>
                </c:pt>
                <c:pt idx="2">
                  <c:v>3.3246158214491635</c:v>
                </c:pt>
                <c:pt idx="3">
                  <c:v>3.3436208886516843</c:v>
                </c:pt>
                <c:pt idx="4">
                  <c:v>3.0448688312846666</c:v>
                </c:pt>
                <c:pt idx="5">
                  <c:v>2.8814721783545778</c:v>
                </c:pt>
                <c:pt idx="6">
                  <c:v>2.9076441647069262</c:v>
                </c:pt>
                <c:pt idx="7">
                  <c:v>2.8124980970223183</c:v>
                </c:pt>
                <c:pt idx="8">
                  <c:v>2.8099332494334277</c:v>
                </c:pt>
                <c:pt idx="9">
                  <c:v>2.7708820058519112</c:v>
                </c:pt>
                <c:pt idx="10">
                  <c:v>2.8495396072985759</c:v>
                </c:pt>
                <c:pt idx="11">
                  <c:v>2.8080426296926322</c:v>
                </c:pt>
                <c:pt idx="12">
                  <c:v>2.7063616519310538</c:v>
                </c:pt>
                <c:pt idx="13">
                  <c:v>2.8017058343716195</c:v>
                </c:pt>
                <c:pt idx="14">
                  <c:v>2.8370691340232916</c:v>
                </c:pt>
              </c:numCache>
            </c:numRef>
          </c:val>
          <c:smooth val="0"/>
        </c:ser>
        <c:ser>
          <c:idx val="3"/>
          <c:order val="4"/>
          <c:tx>
            <c:strRef>
              <c:f>CALCULATIONS!$C$19</c:f>
              <c:strCache>
                <c:ptCount val="1"/>
                <c:pt idx="0">
                  <c:v>TPS</c:v>
                </c:pt>
              </c:strCache>
            </c:strRef>
          </c:tx>
          <c:spPr>
            <a:ln w="19050">
              <a:solidFill>
                <a:schemeClr val="accent3">
                  <a:lumMod val="75000"/>
                </a:schemeClr>
              </a:solidFill>
              <a:prstDash val="sysDash"/>
            </a:ln>
          </c:spPr>
          <c:marker>
            <c:symbol val="none"/>
          </c:marker>
          <c:val>
            <c:numRef>
              <c:f>CALCULATIONS!$LT$19:$MH$19</c:f>
              <c:numCache>
                <c:formatCode>0.0</c:formatCode>
                <c:ptCount val="15"/>
                <c:pt idx="0">
                  <c:v>0.73206368037127345</c:v>
                </c:pt>
                <c:pt idx="1">
                  <c:v>0.64895404163541992</c:v>
                </c:pt>
                <c:pt idx="2">
                  <c:v>0.56816344089016091</c:v>
                </c:pt>
                <c:pt idx="3">
                  <c:v>0.74738387885088764</c:v>
                </c:pt>
                <c:pt idx="4">
                  <c:v>0.66115581837086734</c:v>
                </c:pt>
                <c:pt idx="5">
                  <c:v>0.64277230113855044</c:v>
                </c:pt>
                <c:pt idx="6">
                  <c:v>0.26039207558834759</c:v>
                </c:pt>
                <c:pt idx="7">
                  <c:v>0.58849064180019561</c:v>
                </c:pt>
                <c:pt idx="8">
                  <c:v>0.47391539935842092</c:v>
                </c:pt>
                <c:pt idx="9">
                  <c:v>0.89884142312630078</c:v>
                </c:pt>
                <c:pt idx="10">
                  <c:v>0.78150699322337702</c:v>
                </c:pt>
                <c:pt idx="11">
                  <c:v>1.0708028960781275</c:v>
                </c:pt>
                <c:pt idx="12">
                  <c:v>1.1128540497776005</c:v>
                </c:pt>
                <c:pt idx="13">
                  <c:v>1.1426940239905961</c:v>
                </c:pt>
                <c:pt idx="14">
                  <c:v>1.1762690733772538</c:v>
                </c:pt>
              </c:numCache>
            </c:numRef>
          </c:val>
          <c:smooth val="0"/>
        </c:ser>
        <c:ser>
          <c:idx val="20"/>
          <c:order val="5"/>
          <c:tx>
            <c:strRef>
              <c:f>CALCULATIONS!$C$25</c:f>
              <c:strCache>
                <c:ptCount val="1"/>
                <c:pt idx="0">
                  <c:v>SCM</c:v>
                </c:pt>
              </c:strCache>
            </c:strRef>
          </c:tx>
          <c:spPr>
            <a:ln w="19050">
              <a:solidFill>
                <a:schemeClr val="bg2">
                  <a:lumMod val="75000"/>
                </a:schemeClr>
              </a:solidFill>
              <a:prstDash val="solid"/>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CALCULATIONS!$LT$25:$MH$25</c:f>
              <c:numCache>
                <c:formatCode>0.0</c:formatCode>
                <c:ptCount val="15"/>
                <c:pt idx="0">
                  <c:v>2.1272863993522848</c:v>
                </c:pt>
                <c:pt idx="1">
                  <c:v>2.0368035982212112</c:v>
                </c:pt>
                <c:pt idx="2">
                  <c:v>2.1705298156337389</c:v>
                </c:pt>
                <c:pt idx="3">
                  <c:v>2.0627591357478918</c:v>
                </c:pt>
                <c:pt idx="4">
                  <c:v>2.203063642218106</c:v>
                </c:pt>
                <c:pt idx="5">
                  <c:v>2.1003623223269217</c:v>
                </c:pt>
                <c:pt idx="6">
                  <c:v>2.3120208512545299</c:v>
                </c:pt>
                <c:pt idx="7">
                  <c:v>2.1887403866475821</c:v>
                </c:pt>
                <c:pt idx="8">
                  <c:v>2.048595397703072</c:v>
                </c:pt>
                <c:pt idx="9">
                  <c:v>2.0640519144596094</c:v>
                </c:pt>
                <c:pt idx="10">
                  <c:v>2.1855526368323117</c:v>
                </c:pt>
                <c:pt idx="11">
                  <c:v>2.2122516700255388</c:v>
                </c:pt>
                <c:pt idx="12">
                  <c:v>2.1013349960436423</c:v>
                </c:pt>
                <c:pt idx="13">
                  <c:v>2.1027353959437862</c:v>
                </c:pt>
                <c:pt idx="14">
                  <c:v>2.3009327536910358</c:v>
                </c:pt>
              </c:numCache>
            </c:numRef>
          </c:val>
          <c:smooth val="0"/>
        </c:ser>
        <c:ser>
          <c:idx val="4"/>
          <c:order val="6"/>
          <c:tx>
            <c:strRef>
              <c:f>CALCULATIONS!$C$6</c:f>
              <c:strCache>
                <c:ptCount val="1"/>
                <c:pt idx="0">
                  <c:v>TKA</c:v>
                </c:pt>
              </c:strCache>
            </c:strRef>
          </c:tx>
          <c:spPr>
            <a:ln w="19050">
              <a:solidFill>
                <a:schemeClr val="accent3">
                  <a:lumMod val="75000"/>
                </a:schemeClr>
              </a:solidFill>
              <a:prstDash val="dash"/>
            </a:ln>
          </c:spPr>
          <c:marker>
            <c:symbol val="none"/>
          </c:marker>
          <c:val>
            <c:numRef>
              <c:f>CALCULATIONS!$LT$6:$MH$6</c:f>
              <c:numCache>
                <c:formatCode>0.0</c:formatCode>
                <c:ptCount val="15"/>
                <c:pt idx="0">
                  <c:v>1.7911853058493277</c:v>
                </c:pt>
                <c:pt idx="1">
                  <c:v>1.7186836674076666</c:v>
                </c:pt>
                <c:pt idx="2">
                  <c:v>1.8453738896697416</c:v>
                </c:pt>
                <c:pt idx="3">
                  <c:v>1.7220229820381925</c:v>
                </c:pt>
                <c:pt idx="4">
                  <c:v>2.0722113421567632</c:v>
                </c:pt>
                <c:pt idx="5">
                  <c:v>2.0951668585824854</c:v>
                </c:pt>
                <c:pt idx="6">
                  <c:v>2.255278653732411</c:v>
                </c:pt>
                <c:pt idx="7">
                  <c:v>2.2443973009542271</c:v>
                </c:pt>
                <c:pt idx="8">
                  <c:v>2.2141194212351629</c:v>
                </c:pt>
                <c:pt idx="9">
                  <c:v>2.2366266431432265</c:v>
                </c:pt>
                <c:pt idx="10">
                  <c:v>2.3218862758405252</c:v>
                </c:pt>
                <c:pt idx="11">
                  <c:v>2.2173195790648483</c:v>
                </c:pt>
                <c:pt idx="12">
                  <c:v>2.2341589131526653</c:v>
                </c:pt>
                <c:pt idx="13">
                  <c:v>2.4891067083299894</c:v>
                </c:pt>
                <c:pt idx="14">
                  <c:v>2.5252968522290931</c:v>
                </c:pt>
              </c:numCache>
            </c:numRef>
          </c:val>
          <c:smooth val="0"/>
        </c:ser>
        <c:dLbls>
          <c:showLegendKey val="0"/>
          <c:showVal val="0"/>
          <c:showCatName val="0"/>
          <c:showSerName val="0"/>
          <c:showPercent val="0"/>
          <c:showBubbleSize val="0"/>
        </c:dLbls>
        <c:marker val="1"/>
        <c:smooth val="0"/>
        <c:axId val="194023808"/>
        <c:axId val="194025344"/>
      </c:lineChart>
      <c:dateAx>
        <c:axId val="194023808"/>
        <c:scaling>
          <c:orientation val="minMax"/>
        </c:scaling>
        <c:delete val="0"/>
        <c:axPos val="b"/>
        <c:numFmt formatCode="[$-409]mmm\-yy;@" sourceLinked="0"/>
        <c:majorTickMark val="out"/>
        <c:minorTickMark val="none"/>
        <c:tickLblPos val="nextTo"/>
        <c:txPr>
          <a:bodyPr/>
          <a:lstStyle/>
          <a:p>
            <a:pPr>
              <a:defRPr>
                <a:solidFill>
                  <a:schemeClr val="tx1">
                    <a:lumMod val="50000"/>
                    <a:lumOff val="50000"/>
                  </a:schemeClr>
                </a:solidFill>
              </a:defRPr>
            </a:pPr>
            <a:endParaRPr lang="fr-FR"/>
          </a:p>
        </c:txPr>
        <c:crossAx val="194025344"/>
        <c:crosses val="autoZero"/>
        <c:auto val="1"/>
        <c:lblOffset val="100"/>
        <c:baseTimeUnit val="months"/>
        <c:majorUnit val="6"/>
        <c:majorTimeUnit val="months"/>
      </c:dateAx>
      <c:valAx>
        <c:axId val="194025344"/>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txPr>
          <a:bodyPr/>
          <a:lstStyle/>
          <a:p>
            <a:pPr>
              <a:defRPr>
                <a:solidFill>
                  <a:schemeClr val="tx1">
                    <a:lumMod val="50000"/>
                    <a:lumOff val="50000"/>
                  </a:schemeClr>
                </a:solidFill>
              </a:defRPr>
            </a:pPr>
            <a:endParaRPr lang="fr-FR"/>
          </a:p>
        </c:txPr>
        <c:crossAx val="194023808"/>
        <c:crosses val="autoZero"/>
        <c:crossBetween val="between"/>
        <c:majorUnit val="0.5"/>
      </c:valAx>
      <c:spPr>
        <a:noFill/>
        <a:ln>
          <a:noFill/>
        </a:ln>
      </c:spPr>
    </c:plotArea>
    <c:legend>
      <c:legendPos val="b"/>
      <c:layout>
        <c:manualLayout>
          <c:xMode val="edge"/>
          <c:yMode val="edge"/>
          <c:x val="1.8161119026709287E-2"/>
          <c:y val="0.9069642073625257"/>
          <c:w val="0.9774531068143385"/>
          <c:h val="9.0786887109525691E-2"/>
        </c:manualLayout>
      </c:layout>
      <c:overlay val="0"/>
      <c:txPr>
        <a:bodyPr/>
        <a:lstStyle/>
        <a:p>
          <a:pPr>
            <a:defRPr>
              <a:solidFill>
                <a:schemeClr val="tx1">
                  <a:lumMod val="50000"/>
                  <a:lumOff val="50000"/>
                </a:schemeClr>
              </a:solidFill>
            </a:defRPr>
          </a:pPr>
          <a:endParaRPr lang="fr-FR"/>
        </a:p>
      </c:txPr>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v>Gearing</c:v>
          </c:tx>
          <c:spPr>
            <a:solidFill>
              <a:schemeClr val="bg2">
                <a:lumMod val="75000"/>
              </a:schemeClr>
            </a:solidFill>
          </c:spPr>
          <c:invertIfNegative val="0"/>
          <c:cat>
            <c:strRef>
              <c:f>'GEARINGS, Eb&amp;E'!$AI$41:$AI$62</c:f>
              <c:strCache>
                <c:ptCount val="22"/>
                <c:pt idx="0">
                  <c:v>TELENET</c:v>
                </c:pt>
                <c:pt idx="1">
                  <c:v>TIT</c:v>
                </c:pt>
                <c:pt idx="2">
                  <c:v>TKA</c:v>
                </c:pt>
                <c:pt idx="3">
                  <c:v>PT</c:v>
                </c:pt>
                <c:pt idx="4">
                  <c:v>OTE</c:v>
                </c:pt>
                <c:pt idx="5">
                  <c:v>SCM</c:v>
                </c:pt>
                <c:pt idx="6">
                  <c:v>KPN</c:v>
                </c:pt>
                <c:pt idx="7">
                  <c:v>TEF</c:v>
                </c:pt>
                <c:pt idx="8">
                  <c:v>TLSN</c:v>
                </c:pt>
                <c:pt idx="9">
                  <c:v>ORA</c:v>
                </c:pt>
                <c:pt idx="10">
                  <c:v>ELI</c:v>
                </c:pt>
                <c:pt idx="11">
                  <c:v>BELGACOM</c:v>
                </c:pt>
                <c:pt idx="12">
                  <c:v>VOD</c:v>
                </c:pt>
                <c:pt idx="13">
                  <c:v>TPS</c:v>
                </c:pt>
                <c:pt idx="14">
                  <c:v>DT</c:v>
                </c:pt>
                <c:pt idx="15">
                  <c:v>TDC</c:v>
                </c:pt>
                <c:pt idx="16">
                  <c:v>ILD</c:v>
                </c:pt>
                <c:pt idx="17">
                  <c:v>TEL</c:v>
                </c:pt>
                <c:pt idx="18">
                  <c:v>SNC</c:v>
                </c:pt>
                <c:pt idx="19">
                  <c:v>BT</c:v>
                </c:pt>
                <c:pt idx="20">
                  <c:v>TEL2</c:v>
                </c:pt>
                <c:pt idx="21">
                  <c:v>MOBISTAR</c:v>
                </c:pt>
              </c:strCache>
            </c:strRef>
          </c:cat>
          <c:val>
            <c:numRef>
              <c:f>'GEARINGS, Eb&amp;E'!$AJ$41:$AJ$62</c:f>
              <c:numCache>
                <c:formatCode>0%</c:formatCode>
                <c:ptCount val="22"/>
                <c:pt idx="0">
                  <c:v>0.42399287000325037</c:v>
                </c:pt>
                <c:pt idx="1">
                  <c:v>0.67997702229572432</c:v>
                </c:pt>
                <c:pt idx="2">
                  <c:v>0.49050145598877937</c:v>
                </c:pt>
                <c:pt idx="3">
                  <c:v>0.56717095077467305</c:v>
                </c:pt>
                <c:pt idx="4">
                  <c:v>0.60887331285954671</c:v>
                </c:pt>
                <c:pt idx="5">
                  <c:v>0.30558583418722468</c:v>
                </c:pt>
                <c:pt idx="6">
                  <c:v>0.51826084585195908</c:v>
                </c:pt>
                <c:pt idx="7">
                  <c:v>0.48384306036910518</c:v>
                </c:pt>
                <c:pt idx="8">
                  <c:v>0.23215418017261674</c:v>
                </c:pt>
                <c:pt idx="9">
                  <c:v>0.50834561454306215</c:v>
                </c:pt>
                <c:pt idx="10">
                  <c:v>0.24190098439360719</c:v>
                </c:pt>
                <c:pt idx="11">
                  <c:v>0.17383796150947908</c:v>
                </c:pt>
                <c:pt idx="12">
                  <c:v>0.24509229252810941</c:v>
                </c:pt>
                <c:pt idx="13">
                  <c:v>0.16307046534988884</c:v>
                </c:pt>
                <c:pt idx="14">
                  <c:v>0.51528895508035288</c:v>
                </c:pt>
                <c:pt idx="15">
                  <c:v>0.3899242463002407</c:v>
                </c:pt>
                <c:pt idx="16">
                  <c:v>0.13477545507373562</c:v>
                </c:pt>
                <c:pt idx="17">
                  <c:v>0.14726898954609682</c:v>
                </c:pt>
                <c:pt idx="18">
                  <c:v>0.38160323267486906</c:v>
                </c:pt>
                <c:pt idx="19">
                  <c:v>0.37025195227815472</c:v>
                </c:pt>
                <c:pt idx="20">
                  <c:v>0.1536920907726812</c:v>
                </c:pt>
                <c:pt idx="21">
                  <c:v>0.16489915086810925</c:v>
                </c:pt>
              </c:numCache>
            </c:numRef>
          </c:val>
        </c:ser>
        <c:ser>
          <c:idx val="1"/>
          <c:order val="1"/>
          <c:tx>
            <c:v>+ Operating Leases (% g excl. OL)</c:v>
          </c:tx>
          <c:spPr>
            <a:solidFill>
              <a:srgbClr val="FFC000"/>
            </a:solidFill>
          </c:spPr>
          <c:invertIfNegative val="0"/>
          <c:dLbls>
            <c:dLbl>
              <c:idx val="0"/>
              <c:layout>
                <c:manualLayout>
                  <c:x val="9.292037016939067E-2"/>
                  <c:y val="0"/>
                </c:manualLayout>
              </c:layout>
              <c:tx>
                <c:strRef>
                  <c:f>'GEARINGS, Eb&amp;E'!$AL$41</c:f>
                  <c:strCache>
                    <c:ptCount val="1"/>
                    <c:pt idx="0">
                      <c:v>1%</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dLbl>
              <c:idx val="1"/>
              <c:layout>
                <c:manualLayout>
                  <c:x val="9.292037016939067E-2"/>
                  <c:y val="0"/>
                </c:manualLayout>
              </c:layout>
              <c:tx>
                <c:strRef>
                  <c:f>'GEARINGS, Eb&amp;E'!$AL$42</c:f>
                  <c:strCache>
                    <c:ptCount val="1"/>
                    <c:pt idx="0">
                      <c:v>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layout>
                <c:manualLayout>
                  <c:x val="9.292037016939067E-2"/>
                  <c:y val="0"/>
                </c:manualLayout>
              </c:layout>
              <c:tx>
                <c:strRef>
                  <c:f>'GEARINGS, Eb&amp;E'!$AL$43</c:f>
                  <c:strCache>
                    <c:ptCount val="1"/>
                    <c:pt idx="0">
                      <c:v>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3"/>
              <c:layout>
                <c:manualLayout>
                  <c:x val="9.2920195965472088E-2"/>
                  <c:y val="0"/>
                </c:manualLayout>
              </c:layout>
              <c:tx>
                <c:strRef>
                  <c:f>'GEARINGS, Eb&amp;E'!$AL$44</c:f>
                  <c:strCache>
                    <c:ptCount val="1"/>
                    <c:pt idx="0">
                      <c:v>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4"/>
              <c:layout>
                <c:manualLayout>
                  <c:x val="9.292037016939067E-2"/>
                  <c:y val="0"/>
                </c:manualLayout>
              </c:layout>
              <c:tx>
                <c:strRef>
                  <c:f>'GEARINGS, Eb&amp;E'!$AL$45</c:f>
                  <c:strCache>
                    <c:ptCount val="1"/>
                    <c:pt idx="0">
                      <c:v>4%</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5"/>
              <c:layout>
                <c:manualLayout>
                  <c:x val="9.292037016939067E-2"/>
                  <c:y val="0"/>
                </c:manualLayout>
              </c:layout>
              <c:tx>
                <c:strRef>
                  <c:f>'GEARINGS, Eb&amp;E'!$AL$46</c:f>
                  <c:strCache>
                    <c:ptCount val="1"/>
                    <c:pt idx="0">
                      <c:v>4%</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layout>
                <c:manualLayout>
                  <c:x val="9.292037016939067E-2"/>
                  <c:y val="0"/>
                </c:manualLayout>
              </c:layout>
              <c:tx>
                <c:strRef>
                  <c:f>'GEARINGS, Eb&amp;E'!$AL$47</c:f>
                  <c:strCache>
                    <c:ptCount val="1"/>
                    <c:pt idx="0">
                      <c:v>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layout>
                <c:manualLayout>
                  <c:x val="9.292037016939074E-2"/>
                  <c:y val="0"/>
                </c:manualLayout>
              </c:layout>
              <c:tx>
                <c:strRef>
                  <c:f>'GEARINGS, Eb&amp;E'!$AL$48</c:f>
                  <c:strCache>
                    <c:ptCount val="1"/>
                    <c:pt idx="0">
                      <c:v>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layout>
                <c:manualLayout>
                  <c:x val="9.292037016939067E-2"/>
                  <c:y val="0"/>
                </c:manualLayout>
              </c:layout>
              <c:tx>
                <c:strRef>
                  <c:f>'GEARINGS, Eb&amp;E'!$AL$49</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layout>
                <c:manualLayout>
                  <c:x val="9.292037016939067E-2"/>
                  <c:y val="0"/>
                </c:manualLayout>
              </c:layout>
              <c:tx>
                <c:strRef>
                  <c:f>'GEARINGS, Eb&amp;E'!$AL$50</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layout>
                <c:manualLayout>
                  <c:x val="9.292037016939067E-2"/>
                  <c:y val="0"/>
                </c:manualLayout>
              </c:layout>
              <c:tx>
                <c:strRef>
                  <c:f>'GEARINGS, Eb&amp;E'!$AL$51</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layout>
                <c:manualLayout>
                  <c:x val="9.292037016939067E-2"/>
                  <c:y val="0"/>
                </c:manualLayout>
              </c:layout>
              <c:tx>
                <c:strRef>
                  <c:f>'GEARINGS, Eb&amp;E'!$AL$52</c:f>
                  <c:strCache>
                    <c:ptCount val="1"/>
                    <c:pt idx="0">
                      <c:v>13%</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dLbl>
              <c:idx val="12"/>
              <c:layout>
                <c:manualLayout>
                  <c:x val="9.292037016939067E-2"/>
                  <c:y val="0"/>
                </c:manualLayout>
              </c:layout>
              <c:tx>
                <c:strRef>
                  <c:f>'GEARINGS, Eb&amp;E'!$AL$53</c:f>
                  <c:strCache>
                    <c:ptCount val="1"/>
                    <c:pt idx="0">
                      <c:v>14%</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layout>
                <c:manualLayout>
                  <c:x val="9.2920021761553506E-2"/>
                  <c:y val="0"/>
                </c:manualLayout>
              </c:layout>
              <c:tx>
                <c:strRef>
                  <c:f>'GEARINGS, Eb&amp;E'!$AL$54</c:f>
                  <c:strCache>
                    <c:ptCount val="1"/>
                    <c:pt idx="0">
                      <c:v>14%</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layout>
                <c:manualLayout>
                  <c:x val="9.292037016939067E-2"/>
                  <c:y val="0"/>
                </c:manualLayout>
              </c:layout>
              <c:tx>
                <c:strRef>
                  <c:f>'GEARINGS, Eb&amp;E'!$AL$55</c:f>
                  <c:strCache>
                    <c:ptCount val="1"/>
                    <c:pt idx="0">
                      <c:v>14%</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layout>
                <c:manualLayout>
                  <c:x val="9.2920195965472088E-2"/>
                  <c:y val="0"/>
                </c:manualLayout>
              </c:layout>
              <c:tx>
                <c:strRef>
                  <c:f>'GEARINGS, Eb&amp;E'!$AL$56</c:f>
                  <c:strCache>
                    <c:ptCount val="1"/>
                    <c:pt idx="0">
                      <c:v>16%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layout>
                <c:manualLayout>
                  <c:x val="9.292037016939067E-2"/>
                  <c:y val="0"/>
                </c:manualLayout>
              </c:layout>
              <c:tx>
                <c:strRef>
                  <c:f>'GEARINGS, Eb&amp;E'!$AL$57</c:f>
                  <c:strCache>
                    <c:ptCount val="1"/>
                    <c:pt idx="0">
                      <c:v>19%</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layout>
                <c:manualLayout>
                  <c:x val="9.292037016939067E-2"/>
                  <c:y val="0"/>
                </c:manualLayout>
              </c:layout>
              <c:tx>
                <c:strRef>
                  <c:f>'GEARINGS, Eb&amp;E'!$AL$58</c:f>
                  <c:strCache>
                    <c:ptCount val="1"/>
                    <c:pt idx="0">
                      <c:v>25%</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layout>
                <c:manualLayout>
                  <c:x val="9.292037016939067E-2"/>
                  <c:y val="0"/>
                </c:manualLayout>
              </c:layout>
              <c:tx>
                <c:strRef>
                  <c:f>'GEARINGS, Eb&amp;E'!$AL$59</c:f>
                  <c:strCache>
                    <c:ptCount val="1"/>
                    <c:pt idx="0">
                      <c:v>25%</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layout>
                <c:manualLayout>
                  <c:x val="9.292037016939067E-2"/>
                  <c:y val="0"/>
                </c:manualLayout>
              </c:layout>
              <c:tx>
                <c:strRef>
                  <c:f>'GEARINGS, Eb&amp;E'!$AL$60</c:f>
                  <c:strCache>
                    <c:ptCount val="1"/>
                    <c:pt idx="0">
                      <c:v>32%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layout>
                <c:manualLayout>
                  <c:x val="9.292037016939067E-2"/>
                  <c:y val="0"/>
                </c:manualLayout>
              </c:layout>
              <c:tx>
                <c:strRef>
                  <c:f>'GEARINGS, Eb&amp;E'!$AL$61</c:f>
                  <c:strCache>
                    <c:ptCount val="1"/>
                    <c:pt idx="0">
                      <c:v>36%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layout>
                <c:manualLayout>
                  <c:x val="9.292037016939067E-2"/>
                  <c:y val="0"/>
                </c:manualLayout>
              </c:layout>
              <c:tx>
                <c:strRef>
                  <c:f>'GEARINGS, Eb&amp;E'!$AL$62</c:f>
                  <c:strCache>
                    <c:ptCount val="1"/>
                    <c:pt idx="0">
                      <c:v>65%</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cat>
            <c:strRef>
              <c:f>'GEARINGS, Eb&amp;E'!$AI$41:$AI$62</c:f>
              <c:strCache>
                <c:ptCount val="22"/>
                <c:pt idx="0">
                  <c:v>TELENET</c:v>
                </c:pt>
                <c:pt idx="1">
                  <c:v>TIT</c:v>
                </c:pt>
                <c:pt idx="2">
                  <c:v>TKA</c:v>
                </c:pt>
                <c:pt idx="3">
                  <c:v>PT</c:v>
                </c:pt>
                <c:pt idx="4">
                  <c:v>OTE</c:v>
                </c:pt>
                <c:pt idx="5">
                  <c:v>SCM</c:v>
                </c:pt>
                <c:pt idx="6">
                  <c:v>KPN</c:v>
                </c:pt>
                <c:pt idx="7">
                  <c:v>TEF</c:v>
                </c:pt>
                <c:pt idx="8">
                  <c:v>TLSN</c:v>
                </c:pt>
                <c:pt idx="9">
                  <c:v>ORA</c:v>
                </c:pt>
                <c:pt idx="10">
                  <c:v>ELI</c:v>
                </c:pt>
                <c:pt idx="11">
                  <c:v>BELGACOM</c:v>
                </c:pt>
                <c:pt idx="12">
                  <c:v>VOD</c:v>
                </c:pt>
                <c:pt idx="13">
                  <c:v>TPS</c:v>
                </c:pt>
                <c:pt idx="14">
                  <c:v>DT</c:v>
                </c:pt>
                <c:pt idx="15">
                  <c:v>TDC</c:v>
                </c:pt>
                <c:pt idx="16">
                  <c:v>ILD</c:v>
                </c:pt>
                <c:pt idx="17">
                  <c:v>TEL</c:v>
                </c:pt>
                <c:pt idx="18">
                  <c:v>SNC</c:v>
                </c:pt>
                <c:pt idx="19">
                  <c:v>BT</c:v>
                </c:pt>
                <c:pt idx="20">
                  <c:v>TEL2</c:v>
                </c:pt>
                <c:pt idx="21">
                  <c:v>MOBISTAR</c:v>
                </c:pt>
              </c:strCache>
            </c:strRef>
          </c:cat>
          <c:val>
            <c:numRef>
              <c:f>'GEARINGS, Eb&amp;E'!$AK$41:$AK$62</c:f>
              <c:numCache>
                <c:formatCode>0%</c:formatCode>
                <c:ptCount val="22"/>
                <c:pt idx="0">
                  <c:v>2.9573643390376492E-3</c:v>
                </c:pt>
                <c:pt idx="1">
                  <c:v>4.5961501391620363E-3</c:v>
                </c:pt>
                <c:pt idx="2">
                  <c:v>6.4842828807925579E-3</c:v>
                </c:pt>
                <c:pt idx="3">
                  <c:v>7.6694021962473435E-3</c:v>
                </c:pt>
                <c:pt idx="4">
                  <c:v>2.500940162152776E-2</c:v>
                </c:pt>
                <c:pt idx="5">
                  <c:v>1.3636467231258886E-2</c:v>
                </c:pt>
                <c:pt idx="6">
                  <c:v>3.1308148362253818E-2</c:v>
                </c:pt>
                <c:pt idx="7">
                  <c:v>3.1287048988056343E-2</c:v>
                </c:pt>
                <c:pt idx="8">
                  <c:v>1.7976972508553457E-2</c:v>
                </c:pt>
                <c:pt idx="9">
                  <c:v>4.0640666398684355E-2</c:v>
                </c:pt>
                <c:pt idx="10">
                  <c:v>1.9741500884439211E-2</c:v>
                </c:pt>
                <c:pt idx="11">
                  <c:v>2.3186825311846848E-2</c:v>
                </c:pt>
                <c:pt idx="12">
                  <c:v>3.3609629735961127E-2</c:v>
                </c:pt>
                <c:pt idx="13">
                  <c:v>2.2632461433464091E-2</c:v>
                </c:pt>
                <c:pt idx="14">
                  <c:v>7.2799548070315856E-2</c:v>
                </c:pt>
                <c:pt idx="15">
                  <c:v>6.101092516450346E-2</c:v>
                </c:pt>
                <c:pt idx="16">
                  <c:v>2.5473012549392576E-2</c:v>
                </c:pt>
                <c:pt idx="17">
                  <c:v>3.7162372871396732E-2</c:v>
                </c:pt>
                <c:pt idx="18">
                  <c:v>9.6811952716971572E-2</c:v>
                </c:pt>
                <c:pt idx="19">
                  <c:v>0.11901864524699346</c:v>
                </c:pt>
                <c:pt idx="20">
                  <c:v>5.592232047851195E-2</c:v>
                </c:pt>
                <c:pt idx="21">
                  <c:v>0.10729022798540988</c:v>
                </c:pt>
              </c:numCache>
            </c:numRef>
          </c:val>
        </c:ser>
        <c:dLbls>
          <c:showLegendKey val="0"/>
          <c:showVal val="0"/>
          <c:showCatName val="0"/>
          <c:showSerName val="0"/>
          <c:showPercent val="0"/>
          <c:showBubbleSize val="0"/>
        </c:dLbls>
        <c:gapWidth val="150"/>
        <c:overlap val="100"/>
        <c:axId val="196146304"/>
        <c:axId val="196147840"/>
      </c:barChart>
      <c:catAx>
        <c:axId val="196146304"/>
        <c:scaling>
          <c:orientation val="minMax"/>
        </c:scaling>
        <c:delete val="0"/>
        <c:axPos val="l"/>
        <c:majorTickMark val="out"/>
        <c:minorTickMark val="none"/>
        <c:tickLblPos val="nextTo"/>
        <c:crossAx val="196147840"/>
        <c:crosses val="autoZero"/>
        <c:auto val="1"/>
        <c:lblAlgn val="ctr"/>
        <c:lblOffset val="100"/>
        <c:noMultiLvlLbl val="0"/>
      </c:catAx>
      <c:valAx>
        <c:axId val="196147840"/>
        <c:scaling>
          <c:orientation val="minMax"/>
        </c:scaling>
        <c:delete val="0"/>
        <c:axPos val="b"/>
        <c:majorGridlines>
          <c:spPr>
            <a:ln>
              <a:solidFill>
                <a:schemeClr val="bg1">
                  <a:lumMod val="50000"/>
                </a:schemeClr>
              </a:solidFill>
              <a:prstDash val="dash"/>
            </a:ln>
          </c:spPr>
        </c:majorGridlines>
        <c:numFmt formatCode="0%" sourceLinked="1"/>
        <c:majorTickMark val="out"/>
        <c:minorTickMark val="none"/>
        <c:tickLblPos val="nextTo"/>
        <c:crossAx val="196146304"/>
        <c:crosses val="autoZero"/>
        <c:crossBetween val="between"/>
      </c:valAx>
    </c:plotArea>
    <c:legend>
      <c:legendPos val="b"/>
      <c:overlay val="0"/>
      <c:txPr>
        <a:bodyPr/>
        <a:lstStyle/>
        <a:p>
          <a:pPr>
            <a:defRPr sz="1200"/>
          </a:pPr>
          <a:endParaRPr lang="fr-FR"/>
        </a:p>
      </c:txPr>
    </c:legend>
    <c:plotVisOnly val="1"/>
    <c:dispBlanksAs val="gap"/>
    <c:showDLblsOverMax val="0"/>
  </c:chart>
  <c:spPr>
    <a:noFill/>
    <a:ln>
      <a:noFill/>
    </a:ln>
  </c:spPr>
  <c:txPr>
    <a:bodyPr/>
    <a:lstStyle/>
    <a:p>
      <a:pPr>
        <a:defRPr sz="10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ash"/>
            <c:size val="20"/>
            <c:spPr>
              <a:solidFill>
                <a:srgbClr val="FFC000">
                  <a:alpha val="67000"/>
                </a:srgbClr>
              </a:solidFill>
              <a:ln>
                <a:noFill/>
              </a:ln>
            </c:spPr>
          </c:marker>
          <c:dLbls>
            <c:dLbl>
              <c:idx val="0"/>
              <c:tx>
                <c:rich>
                  <a:bodyPr/>
                  <a:lstStyle/>
                  <a:p>
                    <a:pPr>
                      <a:defRPr sz="1000" b="0" i="0" strike="noStrike">
                        <a:latin typeface="Arial"/>
                      </a:defRPr>
                    </a:pPr>
                    <a:r>
                      <a:rPr lang="en-US"/>
                      <a:t>DT</a:t>
                    </a:r>
                  </a:p>
                </c:rich>
              </c:tx>
              <c:spPr/>
              <c:dLblPos val="ctr"/>
              <c:showLegendKey val="0"/>
              <c:showVal val="1"/>
              <c:showCatName val="0"/>
              <c:showSerName val="0"/>
              <c:showPercent val="0"/>
              <c:showBubbleSize val="0"/>
            </c:dLbl>
            <c:dLbl>
              <c:idx val="1"/>
              <c:tx>
                <c:strRef>
                  <c:f>PROFILES!$O$104</c:f>
                  <c:strCache>
                    <c:ptCount val="1"/>
                    <c:pt idx="0">
                      <c:v>TKA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tx>
                <c:strRef>
                  <c:f>PROFILES!$O$105</c:f>
                  <c:strCache>
                    <c:ptCount val="1"/>
                    <c:pt idx="0">
                      <c:v>BELGACOM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PROFILES!$O$106</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4"/>
              <c:tx>
                <c:strRef>
                  <c:f>PROFILES!$O$107</c:f>
                  <c:strCache>
                    <c:ptCount val="1"/>
                    <c:pt idx="0">
                      <c:v>TELENET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5"/>
              <c:tx>
                <c:strRef>
                  <c:f>PROFILES!$O$108</c:f>
                  <c:strCache>
                    <c:ptCount val="1"/>
                    <c:pt idx="0">
                      <c:v>TDC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tx>
                <c:strRef>
                  <c:f>PROFILES!$O$109</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tx>
                <c:strRef>
                  <c:f>PROFILES!$O$110</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PROFILES!$O$111</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tx>
                <c:strRef>
                  <c:f>PROFILES!$O$112</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PROFILES!$O$113</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tx>
                <c:strRef>
                  <c:f>PROFILES!$O$114</c:f>
                  <c:strCache>
                    <c:ptCount val="1"/>
                    <c:pt idx="0">
                      <c:v>TIT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PROFILES!$O$115</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tx>
                <c:strRef>
                  <c:f>PROFILES!$O$116</c:f>
                  <c:strCache>
                    <c:ptCount val="1"/>
                    <c:pt idx="0">
                      <c:v>KPN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tx>
                <c:strRef>
                  <c:f>PROFILES!$O$117</c:f>
                  <c:strCache>
                    <c:ptCount val="1"/>
                    <c:pt idx="0">
                      <c:v>TPS</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tx>
                <c:strRef>
                  <c:f>PROFILES!$O$118</c:f>
                  <c:strCache>
                    <c:ptCount val="1"/>
                    <c:pt idx="0">
                      <c:v>PT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tx>
                <c:strRef>
                  <c:f>PROFILES!$O$119</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PROFILES!$O$120</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PROFILES!$O$121</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tx>
                <c:strRef>
                  <c:f>PROFILES!$O$122</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PROFILES!$O$123</c:f>
                  <c:strCache>
                    <c:ptCount val="1"/>
                    <c:pt idx="0">
                      <c:v>SCM</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tx>
                <c:strRef>
                  <c:f>PROFILES!$O$124</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xVal>
            <c:numRef>
              <c:f>PROFILES!$J$486:$J$507</c:f>
            </c:numRef>
          </c:xVal>
          <c:yVal>
            <c:numRef>
              <c:f>PROFILES!$K$486:$K$507</c:f>
            </c:numRef>
          </c:yVal>
          <c:smooth val="0"/>
        </c:ser>
        <c:dLbls>
          <c:showLegendKey val="0"/>
          <c:showVal val="0"/>
          <c:showCatName val="0"/>
          <c:showSerName val="0"/>
          <c:showPercent val="0"/>
          <c:showBubbleSize val="0"/>
        </c:dLbls>
        <c:axId val="191153280"/>
        <c:axId val="191154816"/>
      </c:scatterChart>
      <c:valAx>
        <c:axId val="191153280"/>
        <c:scaling>
          <c:orientation val="minMax"/>
          <c:max val="1"/>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91154816"/>
        <c:crosses val="autoZero"/>
        <c:crossBetween val="midCat"/>
      </c:valAx>
      <c:valAx>
        <c:axId val="191154816"/>
        <c:scaling>
          <c:orientation val="minMax"/>
        </c:scaling>
        <c:delete val="0"/>
        <c:axPos val="l"/>
        <c:majorGridlines>
          <c:spPr>
            <a:ln>
              <a:solidFill>
                <a:schemeClr val="bg1">
                  <a:lumMod val="50000"/>
                </a:schemeClr>
              </a:solidFill>
              <a:prstDash val="sysDash"/>
            </a:ln>
          </c:spPr>
        </c:majorGridlines>
        <c:numFmt formatCode="0.0" sourceLinked="1"/>
        <c:majorTickMark val="out"/>
        <c:minorTickMark val="none"/>
        <c:tickLblPos val="nextTo"/>
        <c:txPr>
          <a:bodyPr/>
          <a:lstStyle/>
          <a:p>
            <a:pPr>
              <a:defRPr sz="1200" baseline="0">
                <a:latin typeface="Arial" pitchFamily="34" charset="0"/>
              </a:defRPr>
            </a:pPr>
            <a:endParaRPr lang="fr-FR"/>
          </a:p>
        </c:txPr>
        <c:crossAx val="191153280"/>
        <c:crosses val="autoZero"/>
        <c:crossBetween val="midCat"/>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4536216939770716"/>
        </c:manualLayout>
      </c:layout>
      <c:lineChart>
        <c:grouping val="standard"/>
        <c:varyColors val="0"/>
        <c:ser>
          <c:idx val="2"/>
          <c:order val="0"/>
          <c:tx>
            <c:strRef>
              <c:f>CALCULATIONS!$C$7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CALCULATIONS!$IK$46:$IY$46</c:f>
              <c:numCache>
                <c:formatCode>0%</c:formatCode>
                <c:ptCount val="15"/>
                <c:pt idx="0">
                  <c:v>0.20015860822181847</c:v>
                </c:pt>
                <c:pt idx="1">
                  <c:v>0.15637595741809657</c:v>
                </c:pt>
                <c:pt idx="2">
                  <c:v>0.19166470879994948</c:v>
                </c:pt>
                <c:pt idx="3">
                  <c:v>0.15708151620068025</c:v>
                </c:pt>
                <c:pt idx="4">
                  <c:v>0.18534933727772515</c:v>
                </c:pt>
                <c:pt idx="5">
                  <c:v>0.15107889961592022</c:v>
                </c:pt>
                <c:pt idx="6">
                  <c:v>0.19322451129092647</c:v>
                </c:pt>
                <c:pt idx="7">
                  <c:v>0.18375563588209659</c:v>
                </c:pt>
                <c:pt idx="8">
                  <c:v>0.19729974692710131</c:v>
                </c:pt>
                <c:pt idx="9">
                  <c:v>0.17027869672691731</c:v>
                </c:pt>
                <c:pt idx="10">
                  <c:v>0.21812604513918368</c:v>
                </c:pt>
                <c:pt idx="11">
                  <c:v>0.18869327657203672</c:v>
                </c:pt>
                <c:pt idx="12">
                  <c:v>0.21687899743461636</c:v>
                </c:pt>
                <c:pt idx="13">
                  <c:v>0.2203272196092004</c:v>
                </c:pt>
                <c:pt idx="14">
                  <c:v>0.28756363720088318</c:v>
                </c:pt>
              </c:numCache>
            </c:numRef>
          </c:val>
          <c:smooth val="0"/>
        </c:ser>
        <c:ser>
          <c:idx val="0"/>
          <c:order val="1"/>
          <c:tx>
            <c:strRef>
              <c:f>CALCULATIONS!$C$10</c:f>
              <c:strCache>
                <c:ptCount val="1"/>
                <c:pt idx="0">
                  <c:v>TDC</c:v>
                </c:pt>
              </c:strCache>
            </c:strRef>
          </c:tx>
          <c:spPr>
            <a:ln w="22225">
              <a:solidFill>
                <a:schemeClr val="bg2">
                  <a:lumMod val="75000"/>
                </a:schemeClr>
              </a:solidFill>
              <a:prstDash val="solid"/>
            </a:ln>
          </c:spPr>
          <c:marker>
            <c:symbol val="square"/>
            <c:size val="5"/>
            <c:spPr>
              <a:solidFill>
                <a:schemeClr val="accent3">
                  <a:lumMod val="50000"/>
                </a:schemeClr>
              </a:solidFill>
              <a:ln>
                <a:noFill/>
              </a:ln>
            </c:spPr>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CALCULATIONS!$IK$49:$IY$49</c:f>
              <c:numCache>
                <c:formatCode>0%</c:formatCode>
                <c:ptCount val="15"/>
                <c:pt idx="0">
                  <c:v>0.45714618790245432</c:v>
                </c:pt>
                <c:pt idx="1">
                  <c:v>0.45759858135370385</c:v>
                </c:pt>
                <c:pt idx="2">
                  <c:v>0.47921904004458188</c:v>
                </c:pt>
                <c:pt idx="3">
                  <c:v>0.45748300479233606</c:v>
                </c:pt>
                <c:pt idx="4">
                  <c:v>0.42956066338194404</c:v>
                </c:pt>
                <c:pt idx="5">
                  <c:v>0.44932069694465154</c:v>
                </c:pt>
                <c:pt idx="6">
                  <c:v>0.42152031213288332</c:v>
                </c:pt>
                <c:pt idx="7">
                  <c:v>0.43261876851622022</c:v>
                </c:pt>
                <c:pt idx="8">
                  <c:v>0.4317184522649169</c:v>
                </c:pt>
                <c:pt idx="9">
                  <c:v>0.46675281832417964</c:v>
                </c:pt>
                <c:pt idx="10">
                  <c:v>0.46890550523374647</c:v>
                </c:pt>
                <c:pt idx="11">
                  <c:v>0.46520914151348258</c:v>
                </c:pt>
                <c:pt idx="12">
                  <c:v>0.47126048466553006</c:v>
                </c:pt>
                <c:pt idx="13">
                  <c:v>0.44941888737738012</c:v>
                </c:pt>
                <c:pt idx="14">
                  <c:v>0.43916945384982109</c:v>
                </c:pt>
              </c:numCache>
            </c:numRef>
          </c:val>
          <c:smooth val="0"/>
        </c:ser>
        <c:ser>
          <c:idx val="13"/>
          <c:order val="2"/>
          <c:tx>
            <c:strRef>
              <c:f>CALCULATIONS!$C$18</c:f>
              <c:strCache>
                <c:ptCount val="1"/>
                <c:pt idx="0">
                  <c:v>KPN</c:v>
                </c:pt>
              </c:strCache>
            </c:strRef>
          </c:tx>
          <c:spPr>
            <a:ln w="22225">
              <a:solidFill>
                <a:schemeClr val="accent3">
                  <a:lumMod val="50000"/>
                </a:schemeClr>
              </a:solidFill>
            </a:ln>
          </c:spPr>
          <c:marker>
            <c:symbol val="square"/>
            <c:size val="5"/>
            <c:spPr>
              <a:solidFill>
                <a:srgbClr val="9BBB59">
                  <a:lumMod val="50000"/>
                </a:srgbClr>
              </a:solidFill>
              <a:ln>
                <a:noFill/>
              </a:ln>
            </c:spPr>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CALCULATIONS!$IK$57:$IY$57</c:f>
              <c:numCache>
                <c:formatCode>0%</c:formatCode>
                <c:ptCount val="15"/>
                <c:pt idx="0">
                  <c:v>0.38996332556610758</c:v>
                </c:pt>
                <c:pt idx="1">
                  <c:v>0.40174346376663489</c:v>
                </c:pt>
                <c:pt idx="2">
                  <c:v>0.45026142618436604</c:v>
                </c:pt>
                <c:pt idx="3">
                  <c:v>0.4339513333731439</c:v>
                </c:pt>
                <c:pt idx="4">
                  <c:v>0.43382431062497023</c:v>
                </c:pt>
                <c:pt idx="5">
                  <c:v>0.41766769585666652</c:v>
                </c:pt>
                <c:pt idx="6">
                  <c:v>0.47515297084599867</c:v>
                </c:pt>
                <c:pt idx="7">
                  <c:v>0.49914071596366993</c:v>
                </c:pt>
                <c:pt idx="8">
                  <c:v>0.5117706146053288</c:v>
                </c:pt>
                <c:pt idx="9">
                  <c:v>0.54314892676892745</c:v>
                </c:pt>
                <c:pt idx="10">
                  <c:v>0.57822046192688159</c:v>
                </c:pt>
                <c:pt idx="11">
                  <c:v>0.63698100225567456</c:v>
                </c:pt>
                <c:pt idx="12">
                  <c:v>0.73270050902064932</c:v>
                </c:pt>
                <c:pt idx="13">
                  <c:v>0.79833832198778942</c:v>
                </c:pt>
                <c:pt idx="14">
                  <c:v>0.63323863537070213</c:v>
                </c:pt>
              </c:numCache>
            </c:numRef>
          </c:val>
          <c:smooth val="0"/>
        </c:ser>
        <c:ser>
          <c:idx val="1"/>
          <c:order val="3"/>
          <c:tx>
            <c:strRef>
              <c:f>CALCULATIONS!$C$16</c:f>
              <c:strCache>
                <c:ptCount val="1"/>
                <c:pt idx="0">
                  <c:v>TIT</c:v>
                </c:pt>
              </c:strCache>
            </c:strRef>
          </c:tx>
          <c:spPr>
            <a:ln w="19050">
              <a:solidFill>
                <a:schemeClr val="accent3">
                  <a:lumMod val="75000"/>
                </a:schemeClr>
              </a:solidFill>
            </a:ln>
          </c:spPr>
          <c:marker>
            <c:symbol val="none"/>
          </c:marker>
          <c:val>
            <c:numRef>
              <c:f>CALCULATIONS!$IK$55:$IY$55</c:f>
              <c:numCache>
                <c:formatCode>0%</c:formatCode>
                <c:ptCount val="15"/>
                <c:pt idx="0">
                  <c:v>0.64016098293328672</c:v>
                </c:pt>
                <c:pt idx="1">
                  <c:v>0.64218532663269057</c:v>
                </c:pt>
                <c:pt idx="2">
                  <c:v>0.68467718162589686</c:v>
                </c:pt>
                <c:pt idx="3">
                  <c:v>0.65445337322435859</c:v>
                </c:pt>
                <c:pt idx="4">
                  <c:v>0.6530661065824731</c:v>
                </c:pt>
                <c:pt idx="5">
                  <c:v>0.6157208191922936</c:v>
                </c:pt>
                <c:pt idx="6">
                  <c:v>0.64883597126831172</c:v>
                </c:pt>
                <c:pt idx="7">
                  <c:v>0.6846947076169474</c:v>
                </c:pt>
                <c:pt idx="8">
                  <c:v>0.68312920452585058</c:v>
                </c:pt>
                <c:pt idx="9">
                  <c:v>0.66516963331993406</c:v>
                </c:pt>
                <c:pt idx="10">
                  <c:v>0.69770842791231402</c:v>
                </c:pt>
                <c:pt idx="11">
                  <c:v>0.69133930099356922</c:v>
                </c:pt>
                <c:pt idx="12">
                  <c:v>0.70996682298780567</c:v>
                </c:pt>
                <c:pt idx="13">
                  <c:v>0.75396862128794373</c:v>
                </c:pt>
                <c:pt idx="14">
                  <c:v>0.75672107111582532</c:v>
                </c:pt>
              </c:numCache>
            </c:numRef>
          </c:val>
          <c:smooth val="0"/>
        </c:ser>
        <c:ser>
          <c:idx val="3"/>
          <c:order val="4"/>
          <c:tx>
            <c:strRef>
              <c:f>CALCULATIONS!$C$19</c:f>
              <c:strCache>
                <c:ptCount val="1"/>
                <c:pt idx="0">
                  <c:v>TPS</c:v>
                </c:pt>
              </c:strCache>
            </c:strRef>
          </c:tx>
          <c:spPr>
            <a:ln w="19050">
              <a:solidFill>
                <a:schemeClr val="accent3">
                  <a:lumMod val="75000"/>
                </a:schemeClr>
              </a:solidFill>
              <a:prstDash val="sysDash"/>
            </a:ln>
          </c:spPr>
          <c:marker>
            <c:symbol val="none"/>
          </c:marker>
          <c:val>
            <c:numRef>
              <c:f>CALCULATIONS!$IK$58:$IY$58</c:f>
              <c:numCache>
                <c:formatCode>0%</c:formatCode>
                <c:ptCount val="15"/>
                <c:pt idx="0">
                  <c:v>0.17989145067424506</c:v>
                </c:pt>
                <c:pt idx="1">
                  <c:v>0.15488420138715034</c:v>
                </c:pt>
                <c:pt idx="2">
                  <c:v>0.15187235711983951</c:v>
                </c:pt>
                <c:pt idx="3">
                  <c:v>0.1549776523010952</c:v>
                </c:pt>
                <c:pt idx="4">
                  <c:v>0.15220419294019369</c:v>
                </c:pt>
                <c:pt idx="5">
                  <c:v>0.13837930974567697</c:v>
                </c:pt>
                <c:pt idx="6">
                  <c:v>5.9079764987643307E-2</c:v>
                </c:pt>
                <c:pt idx="7">
                  <c:v>0.11822574491549286</c:v>
                </c:pt>
                <c:pt idx="8">
                  <c:v>0.10235205409064563</c:v>
                </c:pt>
                <c:pt idx="9">
                  <c:v>0.17447964694034374</c:v>
                </c:pt>
                <c:pt idx="10">
                  <c:v>0.17656458361512248</c:v>
                </c:pt>
                <c:pt idx="11">
                  <c:v>0.21525846386444203</c:v>
                </c:pt>
                <c:pt idx="12">
                  <c:v>0.25122268544148668</c:v>
                </c:pt>
                <c:pt idx="13">
                  <c:v>0.377545581839138</c:v>
                </c:pt>
                <c:pt idx="14">
                  <c:v>0.34197601038246805</c:v>
                </c:pt>
              </c:numCache>
            </c:numRef>
          </c:val>
          <c:smooth val="0"/>
        </c:ser>
        <c:ser>
          <c:idx val="20"/>
          <c:order val="5"/>
          <c:tx>
            <c:strRef>
              <c:f>CALCULATIONS!$C$25</c:f>
              <c:strCache>
                <c:ptCount val="1"/>
                <c:pt idx="0">
                  <c:v>SCM</c:v>
                </c:pt>
              </c:strCache>
            </c:strRef>
          </c:tx>
          <c:spPr>
            <a:ln w="19050">
              <a:solidFill>
                <a:schemeClr val="bg2">
                  <a:lumMod val="75000"/>
                </a:schemeClr>
              </a:solidFill>
              <a:prstDash val="solid"/>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CALCULATIONS!$IK$64:$IY$64</c:f>
              <c:numCache>
                <c:formatCode>0%</c:formatCode>
                <c:ptCount val="15"/>
                <c:pt idx="0">
                  <c:v>0.33284276625171083</c:v>
                </c:pt>
                <c:pt idx="1">
                  <c:v>0.325236591625295</c:v>
                </c:pt>
                <c:pt idx="2">
                  <c:v>0.35099231121562197</c:v>
                </c:pt>
                <c:pt idx="3">
                  <c:v>0.32670748508644687</c:v>
                </c:pt>
                <c:pt idx="4">
                  <c:v>0.31474148883466341</c:v>
                </c:pt>
                <c:pt idx="5">
                  <c:v>0.30846766308426782</c:v>
                </c:pt>
                <c:pt idx="6">
                  <c:v>0.33825245611310373</c:v>
                </c:pt>
                <c:pt idx="7">
                  <c:v>0.33412860982799336</c:v>
                </c:pt>
                <c:pt idx="8">
                  <c:v>0.32728624048925437</c:v>
                </c:pt>
                <c:pt idx="9">
                  <c:v>0.32215614352162769</c:v>
                </c:pt>
                <c:pt idx="10">
                  <c:v>0.32431194146150577</c:v>
                </c:pt>
                <c:pt idx="11">
                  <c:v>0.32262458264990379</c:v>
                </c:pt>
                <c:pt idx="12">
                  <c:v>0.30107613475000317</c:v>
                </c:pt>
                <c:pt idx="13">
                  <c:v>0.27552258749341224</c:v>
                </c:pt>
                <c:pt idx="14">
                  <c:v>0.30362227391248225</c:v>
                </c:pt>
              </c:numCache>
            </c:numRef>
          </c:val>
          <c:smooth val="0"/>
        </c:ser>
        <c:ser>
          <c:idx val="4"/>
          <c:order val="6"/>
          <c:tx>
            <c:strRef>
              <c:f>CALCULATIONS!$C$6</c:f>
              <c:strCache>
                <c:ptCount val="1"/>
                <c:pt idx="0">
                  <c:v>TKA</c:v>
                </c:pt>
              </c:strCache>
            </c:strRef>
          </c:tx>
          <c:spPr>
            <a:ln w="19050">
              <a:solidFill>
                <a:schemeClr val="accent3">
                  <a:lumMod val="75000"/>
                </a:schemeClr>
              </a:solidFill>
              <a:prstDash val="dash"/>
            </a:ln>
          </c:spPr>
          <c:marker>
            <c:symbol val="none"/>
          </c:marker>
          <c:val>
            <c:numRef>
              <c:f>CALCULATIONS!$IK$45:$IY$45</c:f>
              <c:numCache>
                <c:formatCode>0%</c:formatCode>
                <c:ptCount val="15"/>
                <c:pt idx="0">
                  <c:v>0.42425875843701322</c:v>
                </c:pt>
                <c:pt idx="1">
                  <c:v>0.40066820400578501</c:v>
                </c:pt>
                <c:pt idx="2">
                  <c:v>0.44187886716513403</c:v>
                </c:pt>
                <c:pt idx="3">
                  <c:v>0.37368331958919732</c:v>
                </c:pt>
                <c:pt idx="4">
                  <c:v>0.4248586569263863</c:v>
                </c:pt>
                <c:pt idx="5">
                  <c:v>0.42790254930033284</c:v>
                </c:pt>
                <c:pt idx="6">
                  <c:v>0.48210950131634289</c:v>
                </c:pt>
                <c:pt idx="7">
                  <c:v>0.51254771371859198</c:v>
                </c:pt>
                <c:pt idx="8">
                  <c:v>0.45491433161360073</c:v>
                </c:pt>
                <c:pt idx="9">
                  <c:v>0.465641871913135</c:v>
                </c:pt>
                <c:pt idx="10">
                  <c:v>0.50177090554661785</c:v>
                </c:pt>
                <c:pt idx="11">
                  <c:v>0.57526092367076309</c:v>
                </c:pt>
                <c:pt idx="12">
                  <c:v>0.56363961733210066</c:v>
                </c:pt>
                <c:pt idx="13">
                  <c:v>0.61341498692103946</c:v>
                </c:pt>
                <c:pt idx="14">
                  <c:v>0.62319136029119382</c:v>
                </c:pt>
              </c:numCache>
            </c:numRef>
          </c:val>
          <c:smooth val="0"/>
        </c:ser>
        <c:dLbls>
          <c:showLegendKey val="0"/>
          <c:showVal val="0"/>
          <c:showCatName val="0"/>
          <c:showSerName val="0"/>
          <c:showPercent val="0"/>
          <c:showBubbleSize val="0"/>
        </c:dLbls>
        <c:marker val="1"/>
        <c:smooth val="0"/>
        <c:axId val="194103552"/>
        <c:axId val="194113536"/>
      </c:lineChart>
      <c:dateAx>
        <c:axId val="194103552"/>
        <c:scaling>
          <c:orientation val="minMax"/>
        </c:scaling>
        <c:delete val="0"/>
        <c:axPos val="b"/>
        <c:numFmt formatCode="[$-409]mmm\-yy;@" sourceLinked="0"/>
        <c:majorTickMark val="out"/>
        <c:minorTickMark val="none"/>
        <c:tickLblPos val="nextTo"/>
        <c:txPr>
          <a:bodyPr/>
          <a:lstStyle/>
          <a:p>
            <a:pPr>
              <a:defRPr>
                <a:solidFill>
                  <a:schemeClr val="tx1">
                    <a:lumMod val="65000"/>
                    <a:lumOff val="35000"/>
                  </a:schemeClr>
                </a:solidFill>
              </a:defRPr>
            </a:pPr>
            <a:endParaRPr lang="fr-FR"/>
          </a:p>
        </c:txPr>
        <c:crossAx val="194113536"/>
        <c:crosses val="autoZero"/>
        <c:auto val="1"/>
        <c:lblOffset val="100"/>
        <c:baseTimeUnit val="months"/>
        <c:majorUnit val="6"/>
        <c:majorTimeUnit val="months"/>
      </c:dateAx>
      <c:valAx>
        <c:axId val="194113536"/>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txPr>
          <a:bodyPr/>
          <a:lstStyle/>
          <a:p>
            <a:pPr>
              <a:defRPr>
                <a:solidFill>
                  <a:schemeClr val="tx1">
                    <a:lumMod val="65000"/>
                    <a:lumOff val="35000"/>
                  </a:schemeClr>
                </a:solidFill>
              </a:defRPr>
            </a:pPr>
            <a:endParaRPr lang="fr-FR"/>
          </a:p>
        </c:txPr>
        <c:crossAx val="194103552"/>
        <c:crosses val="autoZero"/>
        <c:crossBetween val="between"/>
      </c:valAx>
      <c:spPr>
        <a:noFill/>
        <a:ln>
          <a:noFill/>
        </a:ln>
      </c:spPr>
    </c:plotArea>
    <c:legend>
      <c:legendPos val="b"/>
      <c:layout>
        <c:manualLayout>
          <c:xMode val="edge"/>
          <c:yMode val="edge"/>
          <c:x val="1.8161181940709661E-2"/>
          <c:y val="0.87243907844856383"/>
          <c:w val="0.9774531068143385"/>
          <c:h val="9.0786887109525691E-2"/>
        </c:manualLayout>
      </c:layout>
      <c:overlay val="0"/>
      <c:txPr>
        <a:bodyPr/>
        <a:lstStyle/>
        <a:p>
          <a:pPr>
            <a:defRPr>
              <a:solidFill>
                <a:schemeClr val="tx1">
                  <a:lumMod val="65000"/>
                  <a:lumOff val="35000"/>
                </a:schemeClr>
              </a:solidFill>
            </a:defRPr>
          </a:pPr>
          <a:endParaRPr lang="fr-FR"/>
        </a:p>
      </c:txPr>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17800754481957"/>
          <c:h val="0.83286224585082536"/>
        </c:manualLayout>
      </c:layout>
      <c:lineChart>
        <c:grouping val="standard"/>
        <c:varyColors val="0"/>
        <c:ser>
          <c:idx val="2"/>
          <c:order val="0"/>
          <c:tx>
            <c:strRef>
              <c:f>CALCULATIONS!$C$7</c:f>
              <c:strCache>
                <c:ptCount val="1"/>
                <c:pt idx="0">
                  <c:v>BELGACOM</c:v>
                </c:pt>
              </c:strCache>
            </c:strRef>
          </c:tx>
          <c:spPr>
            <a:ln>
              <a:solidFill>
                <a:sysClr val="windowText" lastClr="0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CALCULATIONS!$PX$7:$QL$7</c:f>
              <c:numCache>
                <c:formatCode>0.0</c:formatCode>
                <c:ptCount val="15"/>
                <c:pt idx="0">
                  <c:v>3.2477845879556257</c:v>
                </c:pt>
                <c:pt idx="1">
                  <c:v>2.7319808316130936</c:v>
                </c:pt>
                <c:pt idx="2">
                  <c:v>2.8571949673202619</c:v>
                </c:pt>
                <c:pt idx="3">
                  <c:v>2.9596587389041931</c:v>
                </c:pt>
                <c:pt idx="4">
                  <c:v>2.4168915020945541</c:v>
                </c:pt>
                <c:pt idx="5">
                  <c:v>2.483861786319955</c:v>
                </c:pt>
                <c:pt idx="6">
                  <c:v>2.6193210144927535</c:v>
                </c:pt>
                <c:pt idx="7">
                  <c:v>2.3133936877076411</c:v>
                </c:pt>
                <c:pt idx="8">
                  <c:v>2.3318617201695941</c:v>
                </c:pt>
                <c:pt idx="9">
                  <c:v>2.3212222222222221</c:v>
                </c:pt>
                <c:pt idx="10">
                  <c:v>2.4111672172808132</c:v>
                </c:pt>
                <c:pt idx="11">
                  <c:v>2.4005681818181817</c:v>
                </c:pt>
                <c:pt idx="12">
                  <c:v>2.190372668112798</c:v>
                </c:pt>
                <c:pt idx="13">
                  <c:v>2.0016824427480917</c:v>
                </c:pt>
                <c:pt idx="14">
                  <c:v>2.0327505931612002</c:v>
                </c:pt>
              </c:numCache>
            </c:numRef>
          </c:val>
          <c:smooth val="0"/>
        </c:ser>
        <c:ser>
          <c:idx val="0"/>
          <c:order val="1"/>
          <c:tx>
            <c:v>Belgacom's peers</c:v>
          </c:tx>
          <c:spPr>
            <a:ln w="28575">
              <a:solidFill>
                <a:schemeClr val="bg2">
                  <a:lumMod val="50000"/>
                </a:schemeClr>
              </a:solidFill>
              <a:prstDash val="dash"/>
            </a:ln>
          </c:spPr>
          <c:marker>
            <c:symbol val="none"/>
          </c:marker>
          <c:val>
            <c:numRef>
              <c:f>CALCULATIONS!$PX$29:$QL$29</c:f>
              <c:numCache>
                <c:formatCode>0.0</c:formatCode>
                <c:ptCount val="15"/>
                <c:pt idx="0">
                  <c:v>2.4484533013016803</c:v>
                </c:pt>
                <c:pt idx="1">
                  <c:v>2.3264482596446912</c:v>
                </c:pt>
                <c:pt idx="2">
                  <c:v>2.3732903951182465</c:v>
                </c:pt>
                <c:pt idx="3">
                  <c:v>2.6200721033969279</c:v>
                </c:pt>
                <c:pt idx="4">
                  <c:v>2.6667877724897533</c:v>
                </c:pt>
                <c:pt idx="5">
                  <c:v>2.5423289669066742</c:v>
                </c:pt>
                <c:pt idx="6">
                  <c:v>3.0267502181838695</c:v>
                </c:pt>
                <c:pt idx="7">
                  <c:v>2.9379613776407667</c:v>
                </c:pt>
                <c:pt idx="8">
                  <c:v>2.8868321526873877</c:v>
                </c:pt>
                <c:pt idx="9">
                  <c:v>2.6566681146463722</c:v>
                </c:pt>
                <c:pt idx="10">
                  <c:v>2.8677510237828105</c:v>
                </c:pt>
                <c:pt idx="11">
                  <c:v>2.3914144802048418</c:v>
                </c:pt>
                <c:pt idx="12">
                  <c:v>2.2460737371327757</c:v>
                </c:pt>
                <c:pt idx="13">
                  <c:v>1.8853665381826119</c:v>
                </c:pt>
                <c:pt idx="14">
                  <c:v>1.8609400503853164</c:v>
                </c:pt>
              </c:numCache>
            </c:numRef>
          </c:val>
          <c:smooth val="0"/>
        </c:ser>
        <c:ser>
          <c:idx val="3"/>
          <c:order val="2"/>
          <c:tx>
            <c:strRef>
              <c:f>CALCULATIONS!$C$8</c:f>
              <c:strCache>
                <c:ptCount val="1"/>
                <c:pt idx="0">
                  <c:v>MOBISTAR</c:v>
                </c:pt>
              </c:strCache>
            </c:strRef>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CALCULATIONS!$PX$8:$QL$8</c:f>
              <c:numCache>
                <c:formatCode>0.0</c:formatCode>
                <c:ptCount val="15"/>
                <c:pt idx="0">
                  <c:v>6.5204499724381675</c:v>
                </c:pt>
                <c:pt idx="1">
                  <c:v>7.4147701150201071</c:v>
                </c:pt>
                <c:pt idx="2">
                  <c:v>8.7289049999999992</c:v>
                </c:pt>
                <c:pt idx="3">
                  <c:v>7.5631805188943737</c:v>
                </c:pt>
                <c:pt idx="4">
                  <c:v>6.7520912864995237</c:v>
                </c:pt>
                <c:pt idx="5">
                  <c:v>8.4052003831364441</c:v>
                </c:pt>
                <c:pt idx="6">
                  <c:v>10.869830567081605</c:v>
                </c:pt>
                <c:pt idx="7">
                  <c:v>8.1583241116439194</c:v>
                </c:pt>
                <c:pt idx="8">
                  <c:v>6.1679093945762649</c:v>
                </c:pt>
                <c:pt idx="9">
                  <c:v>6.150145074449294</c:v>
                </c:pt>
                <c:pt idx="10">
                  <c:v>6.1237350943396223</c:v>
                </c:pt>
                <c:pt idx="11">
                  <c:v>4.4741068948408715</c:v>
                </c:pt>
                <c:pt idx="12">
                  <c:v>3.2523274240565234</c:v>
                </c:pt>
                <c:pt idx="13">
                  <c:v>3.1943349290644143</c:v>
                </c:pt>
                <c:pt idx="14">
                  <c:v>3.126768479322696</c:v>
                </c:pt>
              </c:numCache>
            </c:numRef>
          </c:val>
          <c:smooth val="0"/>
        </c:ser>
        <c:ser>
          <c:idx val="4"/>
          <c:order val="3"/>
          <c:tx>
            <c:strRef>
              <c:f>CALCULATIONS!$C$9</c:f>
              <c:strCache>
                <c:ptCount val="1"/>
                <c:pt idx="0">
                  <c:v>TELENET</c:v>
                </c:pt>
              </c:strCache>
            </c:strRef>
          </c:tx>
          <c:spPr>
            <a:ln w="28575">
              <a:solidFill>
                <a:srgbClr val="FFC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CALCULATIONS!$PX$9:$QL$9</c:f>
              <c:numCache>
                <c:formatCode>0.0</c:formatCode>
                <c:ptCount val="15"/>
                <c:pt idx="0">
                  <c:v>6.1862876885817757</c:v>
                </c:pt>
                <c:pt idx="1">
                  <c:v>6.6376591392136035</c:v>
                </c:pt>
                <c:pt idx="2">
                  <c:v>17.496889348440696</c:v>
                </c:pt>
                <c:pt idx="3">
                  <c:v>16.7433219927096</c:v>
                </c:pt>
                <c:pt idx="4">
                  <c:v>15.240484292230724</c:v>
                </c:pt>
                <c:pt idx="5">
                  <c:v>13.551976078289236</c:v>
                </c:pt>
                <c:pt idx="6">
                  <c:v>-17.612323809523811</c:v>
                </c:pt>
                <c:pt idx="7">
                  <c:v>-12.104904263565892</c:v>
                </c:pt>
                <c:pt idx="8">
                  <c:v>-13.485765792622253</c:v>
                </c:pt>
                <c:pt idx="9">
                  <c:v>-12.599129285714286</c:v>
                </c:pt>
                <c:pt idx="10">
                  <c:v>-5.2900028076692562</c:v>
                </c:pt>
                <c:pt idx="11">
                  <c:v>-5.472786496603355</c:v>
                </c:pt>
                <c:pt idx="12">
                  <c:v>-5.6607725113971119</c:v>
                </c:pt>
                <c:pt idx="13">
                  <c:v>-6.5343327375633002</c:v>
                </c:pt>
                <c:pt idx="14">
                  <c:v>-2.7147098893731143</c:v>
                </c:pt>
              </c:numCache>
            </c:numRef>
          </c:val>
          <c:smooth val="0"/>
        </c:ser>
        <c:dLbls>
          <c:showLegendKey val="0"/>
          <c:showVal val="0"/>
          <c:showCatName val="0"/>
          <c:showSerName val="0"/>
          <c:showPercent val="0"/>
          <c:showBubbleSize val="0"/>
        </c:dLbls>
        <c:marker val="1"/>
        <c:smooth val="0"/>
        <c:axId val="194128128"/>
        <c:axId val="194150400"/>
      </c:lineChart>
      <c:dateAx>
        <c:axId val="194128128"/>
        <c:scaling>
          <c:orientation val="minMax"/>
        </c:scaling>
        <c:delete val="0"/>
        <c:axPos val="b"/>
        <c:numFmt formatCode="[$-409]mmm\-yy;@" sourceLinked="0"/>
        <c:majorTickMark val="out"/>
        <c:minorTickMark val="none"/>
        <c:tickLblPos val="nextTo"/>
        <c:txPr>
          <a:bodyPr/>
          <a:lstStyle/>
          <a:p>
            <a:pPr>
              <a:defRPr>
                <a:solidFill>
                  <a:schemeClr val="tx1">
                    <a:lumMod val="50000"/>
                    <a:lumOff val="50000"/>
                  </a:schemeClr>
                </a:solidFill>
              </a:defRPr>
            </a:pPr>
            <a:endParaRPr lang="fr-FR"/>
          </a:p>
        </c:txPr>
        <c:crossAx val="194150400"/>
        <c:crosses val="autoZero"/>
        <c:auto val="1"/>
        <c:lblOffset val="100"/>
        <c:baseTimeUnit val="months"/>
        <c:majorUnit val="6"/>
        <c:majorTimeUnit val="months"/>
      </c:dateAx>
      <c:valAx>
        <c:axId val="194150400"/>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a:solidFill>
                  <a:schemeClr val="tx1">
                    <a:lumMod val="50000"/>
                    <a:lumOff val="50000"/>
                  </a:schemeClr>
                </a:solidFill>
              </a:defRPr>
            </a:pPr>
            <a:endParaRPr lang="fr-FR"/>
          </a:p>
        </c:txPr>
        <c:crossAx val="194128128"/>
        <c:crosses val="autoZero"/>
        <c:crossBetween val="between"/>
      </c:valAx>
      <c:spPr>
        <a:noFill/>
        <a:ln>
          <a:noFill/>
        </a:ln>
      </c:spPr>
    </c:plotArea>
    <c:legend>
      <c:legendPos val="b"/>
      <c:layout>
        <c:manualLayout>
          <c:xMode val="edge"/>
          <c:yMode val="edge"/>
          <c:x val="7.8210291895331269E-2"/>
          <c:y val="0.91544860752385049"/>
          <c:w val="0.89999998263084402"/>
          <c:h val="6.482926718172613E-2"/>
        </c:manualLayout>
      </c:layout>
      <c:overlay val="0"/>
      <c:txPr>
        <a:bodyPr/>
        <a:lstStyle/>
        <a:p>
          <a:pPr>
            <a:defRPr>
              <a:solidFill>
                <a:schemeClr val="tx1">
                  <a:lumMod val="50000"/>
                  <a:lumOff val="50000"/>
                </a:schemeClr>
              </a:solidFill>
            </a:defRPr>
          </a:pPr>
          <a:endParaRPr lang="fr-FR"/>
        </a:p>
      </c:txPr>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6692256643568E-2"/>
          <c:y val="6.3462431083807572E-2"/>
          <c:w val="0.90220374944027137"/>
          <c:h val="0.71583040164580047"/>
        </c:manualLayout>
      </c:layout>
      <c:lineChart>
        <c:grouping val="standard"/>
        <c:varyColors val="0"/>
        <c:ser>
          <c:idx val="2"/>
          <c:order val="0"/>
          <c:tx>
            <c:strRef>
              <c:f>CALCULATIONS!$C$35</c:f>
              <c:strCache>
                <c:ptCount val="1"/>
                <c:pt idx="0">
                  <c:v>E300 Telco</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CALCULATIONS!$PX$35:$QL$35</c:f>
              <c:numCache>
                <c:formatCode>0.0</c:formatCode>
                <c:ptCount val="15"/>
                <c:pt idx="0">
                  <c:v>1.6254999999999999</c:v>
                </c:pt>
                <c:pt idx="1">
                  <c:v>1.522</c:v>
                </c:pt>
                <c:pt idx="2">
                  <c:v>1.4018999999999999</c:v>
                </c:pt>
                <c:pt idx="3">
                  <c:v>1.4748000000000001</c:v>
                </c:pt>
                <c:pt idx="4">
                  <c:v>1.4508000000000001</c:v>
                </c:pt>
                <c:pt idx="5">
                  <c:v>1.5234000000000001</c:v>
                </c:pt>
                <c:pt idx="6">
                  <c:v>1.5146999999999999</c:v>
                </c:pt>
                <c:pt idx="7">
                  <c:v>1.4112</c:v>
                </c:pt>
                <c:pt idx="8">
                  <c:v>1.4157200000000001</c:v>
                </c:pt>
                <c:pt idx="9">
                  <c:v>1.4202399999999999</c:v>
                </c:pt>
                <c:pt idx="10">
                  <c:v>1.42476</c:v>
                </c:pt>
                <c:pt idx="11">
                  <c:v>1.4292799999999999</c:v>
                </c:pt>
                <c:pt idx="12">
                  <c:v>1.4338</c:v>
                </c:pt>
                <c:pt idx="13">
                  <c:v>1.5669</c:v>
                </c:pt>
                <c:pt idx="14">
                  <c:v>1.7</c:v>
                </c:pt>
              </c:numCache>
            </c:numRef>
          </c:val>
          <c:smooth val="0"/>
        </c:ser>
        <c:ser>
          <c:idx val="3"/>
          <c:order val="1"/>
          <c:tx>
            <c:strRef>
              <c:f>CALCULATIONS!$C$38</c:f>
              <c:strCache>
                <c:ptCount val="1"/>
                <c:pt idx="0">
                  <c:v>E300 Mobile</c:v>
                </c:pt>
              </c:strCache>
            </c:strRef>
          </c:tx>
          <c:spPr>
            <a:ln>
              <a:solidFill>
                <a:srgbClr val="C00000"/>
              </a:solidFill>
            </a:ln>
          </c:spPr>
          <c:marker>
            <c:symbol val="triangle"/>
            <c:size val="7"/>
            <c:spPr>
              <a:solidFill>
                <a:srgbClr val="C00000"/>
              </a:solidFill>
              <a:ln>
                <a:noFill/>
              </a:ln>
            </c:spPr>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CALCULATIONS!$PX$38:$QL$38</c:f>
              <c:numCache>
                <c:formatCode>0.0</c:formatCode>
                <c:ptCount val="15"/>
                <c:pt idx="0">
                  <c:v>1.028</c:v>
                </c:pt>
                <c:pt idx="1">
                  <c:v>1.0049999999999999</c:v>
                </c:pt>
                <c:pt idx="2">
                  <c:v>0.98580000000000001</c:v>
                </c:pt>
                <c:pt idx="3">
                  <c:v>1.0396000000000001</c:v>
                </c:pt>
                <c:pt idx="4">
                  <c:v>1.0711999999999999</c:v>
                </c:pt>
                <c:pt idx="5">
                  <c:v>1.1758999999999999</c:v>
                </c:pt>
                <c:pt idx="6">
                  <c:v>1.1246</c:v>
                </c:pt>
                <c:pt idx="7">
                  <c:v>1.0964</c:v>
                </c:pt>
                <c:pt idx="8">
                  <c:v>1.1269400000000001</c:v>
                </c:pt>
                <c:pt idx="9">
                  <c:v>1.1574800000000001</c:v>
                </c:pt>
                <c:pt idx="10">
                  <c:v>1.1880199999999999</c:v>
                </c:pt>
                <c:pt idx="11">
                  <c:v>1.2185599999999999</c:v>
                </c:pt>
                <c:pt idx="12">
                  <c:v>1.2490999999999999</c:v>
                </c:pt>
                <c:pt idx="13">
                  <c:v>1.3798333333333332</c:v>
                </c:pt>
                <c:pt idx="14">
                  <c:v>1.5105666666666666</c:v>
                </c:pt>
              </c:numCache>
            </c:numRef>
          </c:val>
          <c:smooth val="0"/>
        </c:ser>
        <c:ser>
          <c:idx val="4"/>
          <c:order val="2"/>
          <c:tx>
            <c:strRef>
              <c:f>CALCULATIONS!$C$39</c:f>
              <c:strCache>
                <c:ptCount val="1"/>
                <c:pt idx="0">
                  <c:v>E300 Fixed</c:v>
                </c:pt>
              </c:strCache>
            </c:strRef>
          </c:tx>
          <c:spPr>
            <a:ln w="28575">
              <a:solidFill>
                <a:srgbClr val="FFC000"/>
              </a:solidFill>
            </a:ln>
          </c:spPr>
          <c:marker>
            <c:symbol val="diamond"/>
            <c:size val="7"/>
            <c:spPr>
              <a:solidFill>
                <a:srgbClr val="FFC000"/>
              </a:solidFill>
              <a:ln>
                <a:solidFill>
                  <a:srgbClr val="FFC000"/>
                </a:solidFill>
              </a:ln>
            </c:spPr>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CALCULATIONS!$PX$39:$QL$39</c:f>
              <c:numCache>
                <c:formatCode>0.0</c:formatCode>
                <c:ptCount val="15"/>
                <c:pt idx="0">
                  <c:v>2.6835</c:v>
                </c:pt>
                <c:pt idx="1">
                  <c:v>2.4567999999999999</c:v>
                </c:pt>
                <c:pt idx="2">
                  <c:v>2.1610999999999998</c:v>
                </c:pt>
                <c:pt idx="3">
                  <c:v>2.19</c:v>
                </c:pt>
                <c:pt idx="4">
                  <c:v>2.0546000000000002</c:v>
                </c:pt>
                <c:pt idx="5">
                  <c:v>2.0670000000000002</c:v>
                </c:pt>
                <c:pt idx="6">
                  <c:v>2.1957</c:v>
                </c:pt>
                <c:pt idx="7">
                  <c:v>1.9914000000000001</c:v>
                </c:pt>
                <c:pt idx="8">
                  <c:v>1.9504600000000001</c:v>
                </c:pt>
                <c:pt idx="9">
                  <c:v>1.9095200000000001</c:v>
                </c:pt>
                <c:pt idx="10">
                  <c:v>1.8685799999999999</c:v>
                </c:pt>
                <c:pt idx="11">
                  <c:v>1.8276399999999999</c:v>
                </c:pt>
                <c:pt idx="12">
                  <c:v>1.7867</c:v>
                </c:pt>
                <c:pt idx="13">
                  <c:v>1.9305333333333332</c:v>
                </c:pt>
                <c:pt idx="14">
                  <c:v>2.0743666666666667</c:v>
                </c:pt>
              </c:numCache>
            </c:numRef>
          </c:val>
          <c:smooth val="0"/>
        </c:ser>
        <c:dLbls>
          <c:showLegendKey val="0"/>
          <c:showVal val="0"/>
          <c:showCatName val="0"/>
          <c:showSerName val="0"/>
          <c:showPercent val="0"/>
          <c:showBubbleSize val="0"/>
        </c:dLbls>
        <c:marker val="1"/>
        <c:smooth val="0"/>
        <c:axId val="194258048"/>
        <c:axId val="194259968"/>
      </c:lineChart>
      <c:dateAx>
        <c:axId val="194258048"/>
        <c:scaling>
          <c:orientation val="minMax"/>
        </c:scaling>
        <c:delete val="0"/>
        <c:axPos val="b"/>
        <c:numFmt formatCode="[$-409]mmm\-yy;@" sourceLinked="0"/>
        <c:majorTickMark val="out"/>
        <c:minorTickMark val="none"/>
        <c:tickLblPos val="nextTo"/>
        <c:txPr>
          <a:bodyPr/>
          <a:lstStyle/>
          <a:p>
            <a:pPr>
              <a:defRPr>
                <a:solidFill>
                  <a:schemeClr val="tx1">
                    <a:lumMod val="50000"/>
                    <a:lumOff val="50000"/>
                  </a:schemeClr>
                </a:solidFill>
              </a:defRPr>
            </a:pPr>
            <a:endParaRPr lang="fr-FR"/>
          </a:p>
        </c:txPr>
        <c:crossAx val="194259968"/>
        <c:crosses val="autoZero"/>
        <c:auto val="1"/>
        <c:lblOffset val="100"/>
        <c:baseTimeUnit val="months"/>
        <c:majorUnit val="6"/>
        <c:majorTimeUnit val="months"/>
      </c:dateAx>
      <c:valAx>
        <c:axId val="194259968"/>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txPr>
          <a:bodyPr/>
          <a:lstStyle/>
          <a:p>
            <a:pPr>
              <a:defRPr>
                <a:solidFill>
                  <a:schemeClr val="tx1">
                    <a:lumMod val="50000"/>
                    <a:lumOff val="50000"/>
                  </a:schemeClr>
                </a:solidFill>
              </a:defRPr>
            </a:pPr>
            <a:endParaRPr lang="fr-FR"/>
          </a:p>
        </c:txPr>
        <c:crossAx val="194258048"/>
        <c:crosses val="autoZero"/>
        <c:crossBetween val="between"/>
      </c:valAx>
      <c:spPr>
        <a:noFill/>
        <a:ln>
          <a:noFill/>
        </a:ln>
      </c:spPr>
    </c:plotArea>
    <c:legend>
      <c:legendPos val="b"/>
      <c:layout>
        <c:manualLayout>
          <c:xMode val="edge"/>
          <c:yMode val="edge"/>
          <c:x val="1.154354736371719E-2"/>
          <c:y val="0.9029408339802597"/>
          <c:w val="0.97350564594659084"/>
          <c:h val="8.8656426749476588E-2"/>
        </c:manualLayout>
      </c:layout>
      <c:overlay val="0"/>
      <c:txPr>
        <a:bodyPr/>
        <a:lstStyle/>
        <a:p>
          <a:pPr>
            <a:defRPr>
              <a:solidFill>
                <a:schemeClr val="tx1">
                  <a:lumMod val="50000"/>
                  <a:lumOff val="50000"/>
                </a:schemeClr>
              </a:solidFill>
            </a:defRPr>
          </a:pPr>
          <a:endParaRPr lang="fr-FR"/>
        </a:p>
      </c:txPr>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v>D/Ebitda</c:v>
          </c:tx>
          <c:spPr>
            <a:solidFill>
              <a:schemeClr val="bg2">
                <a:lumMod val="75000"/>
              </a:schemeClr>
            </a:solidFill>
          </c:spPr>
          <c:invertIfNegative val="0"/>
          <c:cat>
            <c:strRef>
              <c:f>'GEARINGS, Eb&amp;E'!$AI$74:$AI$96</c:f>
              <c:strCache>
                <c:ptCount val="23"/>
                <c:pt idx="0">
                  <c:v>TELENET</c:v>
                </c:pt>
                <c:pt idx="1">
                  <c:v>TIT</c:v>
                </c:pt>
                <c:pt idx="2">
                  <c:v>PT</c:v>
                </c:pt>
                <c:pt idx="3">
                  <c:v>TKA</c:v>
                </c:pt>
                <c:pt idx="4">
                  <c:v>SCM</c:v>
                </c:pt>
                <c:pt idx="5">
                  <c:v>BGC Peers</c:v>
                </c:pt>
                <c:pt idx="6">
                  <c:v>OTE</c:v>
                </c:pt>
                <c:pt idx="7">
                  <c:v>TLSN</c:v>
                </c:pt>
                <c:pt idx="8">
                  <c:v>TEF</c:v>
                </c:pt>
                <c:pt idx="9">
                  <c:v>ELI</c:v>
                </c:pt>
                <c:pt idx="10">
                  <c:v>KPN</c:v>
                </c:pt>
                <c:pt idx="11">
                  <c:v>ORA</c:v>
                </c:pt>
                <c:pt idx="12">
                  <c:v>VOD</c:v>
                </c:pt>
                <c:pt idx="13">
                  <c:v>BELGACOM</c:v>
                </c:pt>
                <c:pt idx="14">
                  <c:v>TPS</c:v>
                </c:pt>
                <c:pt idx="15">
                  <c:v>TDC</c:v>
                </c:pt>
                <c:pt idx="16">
                  <c:v>DT</c:v>
                </c:pt>
                <c:pt idx="17">
                  <c:v>ILD</c:v>
                </c:pt>
                <c:pt idx="18">
                  <c:v>TEL</c:v>
                </c:pt>
                <c:pt idx="19">
                  <c:v>SNC</c:v>
                </c:pt>
                <c:pt idx="20">
                  <c:v>TEL2</c:v>
                </c:pt>
                <c:pt idx="21">
                  <c:v>BT</c:v>
                </c:pt>
                <c:pt idx="22">
                  <c:v>MOBISTAR</c:v>
                </c:pt>
              </c:strCache>
            </c:strRef>
          </c:cat>
          <c:val>
            <c:numRef>
              <c:f>'GEARINGS, Eb&amp;E'!$AJ$74:$AJ$96</c:f>
              <c:numCache>
                <c:formatCode>0.0</c:formatCode>
                <c:ptCount val="23"/>
                <c:pt idx="0">
                  <c:v>3.6874279096722566</c:v>
                </c:pt>
                <c:pt idx="1">
                  <c:v>2.8820645123777022</c:v>
                </c:pt>
                <c:pt idx="2">
                  <c:v>3.3820630739244848</c:v>
                </c:pt>
                <c:pt idx="3">
                  <c:v>2.1523540323300847</c:v>
                </c:pt>
                <c:pt idx="4">
                  <c:v>2.0663267639403311</c:v>
                </c:pt>
                <c:pt idx="5">
                  <c:v>2.2241040408323816</c:v>
                </c:pt>
                <c:pt idx="6">
                  <c:v>2.0430730679441607</c:v>
                </c:pt>
                <c:pt idx="7">
                  <c:v>1.717850736111429</c:v>
                </c:pt>
                <c:pt idx="8">
                  <c:v>2.5964072455904952</c:v>
                </c:pt>
                <c:pt idx="9">
                  <c:v>1.6210408787057859</c:v>
                </c:pt>
                <c:pt idx="10">
                  <c:v>2.4419808802307674</c:v>
                </c:pt>
                <c:pt idx="11">
                  <c:v>2.279200346845534</c:v>
                </c:pt>
                <c:pt idx="12">
                  <c:v>1.8495966078439008</c:v>
                </c:pt>
                <c:pt idx="13">
                  <c:v>0.81576544056169398</c:v>
                </c:pt>
                <c:pt idx="14">
                  <c:v>0.67358101241132673</c:v>
                </c:pt>
                <c:pt idx="15">
                  <c:v>2.2834559023175789</c:v>
                </c:pt>
                <c:pt idx="16">
                  <c:v>2.3343928573367374</c:v>
                </c:pt>
                <c:pt idx="17">
                  <c:v>1.0573612730295383</c:v>
                </c:pt>
                <c:pt idx="18">
                  <c:v>0.82480714798491916</c:v>
                </c:pt>
                <c:pt idx="19">
                  <c:v>1.3774881488921666</c:v>
                </c:pt>
                <c:pt idx="20">
                  <c:v>1.078796250705039</c:v>
                </c:pt>
                <c:pt idx="21">
                  <c:v>1.60152453729338</c:v>
                </c:pt>
                <c:pt idx="22">
                  <c:v>0.70015763723018054</c:v>
                </c:pt>
              </c:numCache>
            </c:numRef>
          </c:val>
        </c:ser>
        <c:ser>
          <c:idx val="1"/>
          <c:order val="1"/>
          <c:tx>
            <c:v>+ Operating Leases (% D/Ebitda excl. OL)</c:v>
          </c:tx>
          <c:spPr>
            <a:solidFill>
              <a:srgbClr val="FFC000"/>
            </a:solidFill>
          </c:spPr>
          <c:invertIfNegative val="0"/>
          <c:dLbls>
            <c:dLbl>
              <c:idx val="0"/>
              <c:layout>
                <c:manualLayout>
                  <c:x val="4.2035405552819587E-2"/>
                  <c:y val="0"/>
                </c:manualLayout>
              </c:layout>
              <c:tx>
                <c:strRef>
                  <c:f>'GEARINGS, Eb&amp;E'!$AL$74</c:f>
                  <c:strCache>
                    <c:ptCount val="1"/>
                    <c:pt idx="0">
                      <c:v>0%</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dLbl>
              <c:idx val="1"/>
              <c:layout>
                <c:manualLayout>
                  <c:x val="4.2035405552819587E-2"/>
                  <c:y val="0"/>
                </c:manualLayout>
              </c:layout>
              <c:tx>
                <c:strRef>
                  <c:f>'GEARINGS, Eb&amp;E'!$AL$75</c:f>
                  <c:strCache>
                    <c:ptCount val="1"/>
                    <c:pt idx="0">
                      <c:v>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layout>
                <c:manualLayout>
                  <c:x val="4.2035405552819587E-2"/>
                  <c:y val="0"/>
                </c:manualLayout>
              </c:layout>
              <c:tx>
                <c:strRef>
                  <c:f>'GEARINGS, Eb&amp;E'!$AL$76</c:f>
                  <c:strCache>
                    <c:ptCount val="1"/>
                    <c:pt idx="0">
                      <c:v>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3"/>
              <c:layout>
                <c:manualLayout>
                  <c:x val="4.2035405552819587E-2"/>
                  <c:y val="0"/>
                </c:manualLayout>
              </c:layout>
              <c:tx>
                <c:strRef>
                  <c:f>'GEARINGS, Eb&amp;E'!$AL$77</c:f>
                  <c:strCache>
                    <c:ptCount val="1"/>
                    <c:pt idx="0">
                      <c:v>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4"/>
              <c:layout>
                <c:manualLayout>
                  <c:x val="4.203540555281967E-2"/>
                  <c:y val="0"/>
                </c:manualLayout>
              </c:layout>
              <c:tx>
                <c:strRef>
                  <c:f>'GEARINGS, Eb&amp;E'!$AL$78</c:f>
                  <c:strCache>
                    <c:ptCount val="1"/>
                    <c:pt idx="0">
                      <c:v>4%</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5"/>
              <c:layout>
                <c:manualLayout>
                  <c:x val="4.2035405552819587E-2"/>
                  <c:y val="0"/>
                </c:manualLayout>
              </c:layout>
              <c:tx>
                <c:strRef>
                  <c:f>'GEARINGS, Eb&amp;E'!$AL$79</c:f>
                  <c:strCache>
                    <c:ptCount val="1"/>
                    <c:pt idx="0">
                      <c:v>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layout>
                <c:manualLayout>
                  <c:x val="4.2035405552819587E-2"/>
                  <c:y val="0"/>
                </c:manualLayout>
              </c:layout>
              <c:tx>
                <c:strRef>
                  <c:f>'GEARINGS, Eb&amp;E'!$AL$80</c:f>
                  <c:strCache>
                    <c:ptCount val="1"/>
                    <c:pt idx="0">
                      <c:v>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layout>
                <c:manualLayout>
                  <c:x val="4.2035405552819587E-2"/>
                  <c:y val="0"/>
                </c:manualLayout>
              </c:layout>
              <c:tx>
                <c:strRef>
                  <c:f>'GEARINGS, Eb&amp;E'!$AL$81</c:f>
                  <c:strCache>
                    <c:ptCount val="1"/>
                    <c:pt idx="0">
                      <c:v>7%</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layout>
                <c:manualLayout>
                  <c:x val="4.8672574850633289E-2"/>
                  <c:y val="0"/>
                </c:manualLayout>
              </c:layout>
              <c:tx>
                <c:strRef>
                  <c:f>'GEARINGS, Eb&amp;E'!$AL$82</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layout>
                <c:manualLayout>
                  <c:x val="4.2035405552819587E-2"/>
                  <c:y val="0"/>
                </c:manualLayout>
              </c:layout>
              <c:tx>
                <c:strRef>
                  <c:f>'GEARINGS, Eb&amp;E'!$AL$83</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layout>
                <c:manualLayout>
                  <c:x val="4.8672400646714624E-2"/>
                  <c:y val="0"/>
                </c:manualLayout>
              </c:layout>
              <c:tx>
                <c:strRef>
                  <c:f>'GEARINGS, Eb&amp;E'!$AL$84</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layout>
                <c:manualLayout>
                  <c:x val="5.5309744148446909E-2"/>
                  <c:y val="0"/>
                </c:manualLayout>
              </c:layout>
              <c:tx>
                <c:strRef>
                  <c:f>'GEARINGS, Eb&amp;E'!$AL$85</c:f>
                  <c:strCache>
                    <c:ptCount val="1"/>
                    <c:pt idx="0">
                      <c:v>11%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layout>
                <c:manualLayout>
                  <c:x val="5.7522133914384696E-2"/>
                  <c:y val="0"/>
                </c:manualLayout>
              </c:layout>
              <c:tx>
                <c:strRef>
                  <c:f>'GEARINGS, Eb&amp;E'!$AL$86</c:f>
                  <c:strCache>
                    <c:ptCount val="1"/>
                    <c:pt idx="0">
                      <c:v>13%</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layout>
                <c:manualLayout>
                  <c:x val="5.3097354382508954E-2"/>
                  <c:y val="0"/>
                </c:manualLayout>
              </c:layout>
              <c:tx>
                <c:strRef>
                  <c:f>'GEARINGS, Eb&amp;E'!$AL$87</c:f>
                  <c:strCache>
                    <c:ptCount val="1"/>
                    <c:pt idx="0">
                      <c:v>14%</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dLbl>
              <c:idx val="14"/>
              <c:layout>
                <c:manualLayout>
                  <c:x val="4.203505714498243E-2"/>
                  <c:y val="0"/>
                </c:manualLayout>
              </c:layout>
              <c:tx>
                <c:strRef>
                  <c:f>'GEARINGS, Eb&amp;E'!$AL$88</c:f>
                  <c:strCache>
                    <c:ptCount val="1"/>
                    <c:pt idx="0">
                      <c:v>16%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layout>
                <c:manualLayout>
                  <c:x val="6.6371692978136193E-2"/>
                  <c:y val="0"/>
                </c:manualLayout>
              </c:layout>
              <c:tx>
                <c:strRef>
                  <c:f>'GEARINGS, Eb&amp;E'!$AL$89</c:f>
                  <c:strCache>
                    <c:ptCount val="1"/>
                    <c:pt idx="0">
                      <c:v>16%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layout>
                <c:manualLayout>
                  <c:x val="8.4070811105639173E-2"/>
                  <c:y val="0"/>
                </c:manualLayout>
              </c:layout>
              <c:tx>
                <c:strRef>
                  <c:f>'GEARINGS, Eb&amp;E'!$AL$90</c:f>
                  <c:strCache>
                    <c:ptCount val="1"/>
                    <c:pt idx="0">
                      <c:v>20%</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layout>
                <c:manualLayout>
                  <c:x val="5.9734523680322567E-2"/>
                  <c:y val="0"/>
                </c:manualLayout>
              </c:layout>
              <c:tx>
                <c:strRef>
                  <c:f>'GEARINGS, Eb&amp;E'!$AL$91</c:f>
                  <c:strCache>
                    <c:ptCount val="1"/>
                    <c:pt idx="0">
                      <c:v>20%</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layout>
                <c:manualLayout>
                  <c:x val="5.9734523680322567E-2"/>
                  <c:y val="0"/>
                </c:manualLayout>
              </c:layout>
              <c:tx>
                <c:strRef>
                  <c:f>'GEARINGS, Eb&amp;E'!$AL$92</c:f>
                  <c:strCache>
                    <c:ptCount val="1"/>
                    <c:pt idx="0">
                      <c:v>26%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layout>
                <c:manualLayout>
                  <c:x val="8.1858421339701296E-2"/>
                  <c:y val="0"/>
                </c:manualLayout>
              </c:layout>
              <c:tx>
                <c:strRef>
                  <c:f>'GEARINGS, Eb&amp;E'!$AL$93</c:f>
                  <c:strCache>
                    <c:ptCount val="1"/>
                    <c:pt idx="0">
                      <c:v>33%</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layout>
                <c:manualLayout>
                  <c:x val="7.7433641807825554E-2"/>
                  <c:y val="0"/>
                </c:manualLayout>
              </c:layout>
              <c:tx>
                <c:strRef>
                  <c:f>'GEARINGS, Eb&amp;E'!$AL$94</c:f>
                  <c:strCache>
                    <c:ptCount val="1"/>
                    <c:pt idx="0">
                      <c:v>33%</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layout>
                <c:manualLayout>
                  <c:x val="9.955753946720429E-2"/>
                  <c:y val="0"/>
                </c:manualLayout>
              </c:layout>
              <c:tx>
                <c:strRef>
                  <c:f>'GEARINGS, Eb&amp;E'!$AL$95</c:f>
                  <c:strCache>
                    <c:ptCount val="1"/>
                    <c:pt idx="0">
                      <c:v>42%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2"/>
              <c:layout>
                <c:manualLayout>
                  <c:x val="9.9557365263285708E-2"/>
                  <c:y val="0"/>
                </c:manualLayout>
              </c:layout>
              <c:tx>
                <c:strRef>
                  <c:f>'GEARINGS, Eb&amp;E'!$AL$96</c:f>
                  <c:strCache>
                    <c:ptCount val="1"/>
                    <c:pt idx="0">
                      <c:v>78%</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cat>
            <c:strRef>
              <c:f>'GEARINGS, Eb&amp;E'!$AI$74:$AI$96</c:f>
              <c:strCache>
                <c:ptCount val="23"/>
                <c:pt idx="0">
                  <c:v>TELENET</c:v>
                </c:pt>
                <c:pt idx="1">
                  <c:v>TIT</c:v>
                </c:pt>
                <c:pt idx="2">
                  <c:v>PT</c:v>
                </c:pt>
                <c:pt idx="3">
                  <c:v>TKA</c:v>
                </c:pt>
                <c:pt idx="4">
                  <c:v>SCM</c:v>
                </c:pt>
                <c:pt idx="5">
                  <c:v>BGC Peers</c:v>
                </c:pt>
                <c:pt idx="6">
                  <c:v>OTE</c:v>
                </c:pt>
                <c:pt idx="7">
                  <c:v>TLSN</c:v>
                </c:pt>
                <c:pt idx="8">
                  <c:v>TEF</c:v>
                </c:pt>
                <c:pt idx="9">
                  <c:v>ELI</c:v>
                </c:pt>
                <c:pt idx="10">
                  <c:v>KPN</c:v>
                </c:pt>
                <c:pt idx="11">
                  <c:v>ORA</c:v>
                </c:pt>
                <c:pt idx="12">
                  <c:v>VOD</c:v>
                </c:pt>
                <c:pt idx="13">
                  <c:v>BELGACOM</c:v>
                </c:pt>
                <c:pt idx="14">
                  <c:v>TPS</c:v>
                </c:pt>
                <c:pt idx="15">
                  <c:v>TDC</c:v>
                </c:pt>
                <c:pt idx="16">
                  <c:v>DT</c:v>
                </c:pt>
                <c:pt idx="17">
                  <c:v>ILD</c:v>
                </c:pt>
                <c:pt idx="18">
                  <c:v>TEL</c:v>
                </c:pt>
                <c:pt idx="19">
                  <c:v>SNC</c:v>
                </c:pt>
                <c:pt idx="20">
                  <c:v>TEL2</c:v>
                </c:pt>
                <c:pt idx="21">
                  <c:v>BT</c:v>
                </c:pt>
                <c:pt idx="22">
                  <c:v>MOBISTAR</c:v>
                </c:pt>
              </c:strCache>
            </c:strRef>
          </c:cat>
          <c:val>
            <c:numRef>
              <c:f>'GEARINGS, Eb&amp;E'!$AK$74:$AK$96</c:f>
              <c:numCache>
                <c:formatCode>0.00</c:formatCode>
                <c:ptCount val="23"/>
                <c:pt idx="0">
                  <c:v>1.4047783343204667E-2</c:v>
                </c:pt>
                <c:pt idx="1">
                  <c:v>3.3185802550901311E-2</c:v>
                </c:pt>
                <c:pt idx="2">
                  <c:v>4.5826108839265522E-2</c:v>
                </c:pt>
                <c:pt idx="3">
                  <c:v>3.7874076910633381E-2</c:v>
                </c:pt>
                <c:pt idx="4">
                  <c:v>9.1590999023343667E-2</c:v>
                </c:pt>
                <c:pt idx="5">
                  <c:v>0.14081019023108254</c:v>
                </c:pt>
                <c:pt idx="6">
                  <c:v>0.1295559753886133</c:v>
                </c:pt>
                <c:pt idx="7">
                  <c:v>0.12802330286375496</c:v>
                </c:pt>
                <c:pt idx="8">
                  <c:v>0.19657083649468232</c:v>
                </c:pt>
                <c:pt idx="9">
                  <c:v>0.13005932416546728</c:v>
                </c:pt>
                <c:pt idx="10">
                  <c:v>0.20160092315275158</c:v>
                </c:pt>
                <c:pt idx="11">
                  <c:v>0.25295581200161665</c:v>
                </c:pt>
                <c:pt idx="12">
                  <c:v>0.23843485769028816</c:v>
                </c:pt>
                <c:pt idx="13">
                  <c:v>0.11671996135382956</c:v>
                </c:pt>
                <c:pt idx="14">
                  <c:v>0.10528375801718759</c:v>
                </c:pt>
                <c:pt idx="15">
                  <c:v>0.37532558173167985</c:v>
                </c:pt>
                <c:pt idx="16">
                  <c:v>0.45628896882580205</c:v>
                </c:pt>
                <c:pt idx="17">
                  <c:v>0.20819014169297767</c:v>
                </c:pt>
                <c:pt idx="18">
                  <c:v>0.21479044570141215</c:v>
                </c:pt>
                <c:pt idx="19">
                  <c:v>0.45484164363445534</c:v>
                </c:pt>
                <c:pt idx="20">
                  <c:v>0.36116300596471262</c:v>
                </c:pt>
                <c:pt idx="21">
                  <c:v>0.66497295557788227</c:v>
                </c:pt>
                <c:pt idx="22">
                  <c:v>0.54393802146168269</c:v>
                </c:pt>
              </c:numCache>
            </c:numRef>
          </c:val>
        </c:ser>
        <c:dLbls>
          <c:showLegendKey val="0"/>
          <c:showVal val="0"/>
          <c:showCatName val="0"/>
          <c:showSerName val="0"/>
          <c:showPercent val="0"/>
          <c:showBubbleSize val="0"/>
        </c:dLbls>
        <c:gapWidth val="150"/>
        <c:overlap val="100"/>
        <c:axId val="196168704"/>
        <c:axId val="196203264"/>
      </c:barChart>
      <c:catAx>
        <c:axId val="196168704"/>
        <c:scaling>
          <c:orientation val="minMax"/>
        </c:scaling>
        <c:delete val="0"/>
        <c:axPos val="l"/>
        <c:majorTickMark val="out"/>
        <c:minorTickMark val="none"/>
        <c:tickLblPos val="nextTo"/>
        <c:crossAx val="196203264"/>
        <c:crosses val="autoZero"/>
        <c:auto val="1"/>
        <c:lblAlgn val="ctr"/>
        <c:lblOffset val="100"/>
        <c:noMultiLvlLbl val="0"/>
      </c:catAx>
      <c:valAx>
        <c:axId val="196203264"/>
        <c:scaling>
          <c:orientation val="minMax"/>
        </c:scaling>
        <c:delete val="0"/>
        <c:axPos val="b"/>
        <c:majorGridlines>
          <c:spPr>
            <a:ln>
              <a:solidFill>
                <a:schemeClr val="bg1">
                  <a:lumMod val="50000"/>
                </a:schemeClr>
              </a:solidFill>
              <a:prstDash val="dash"/>
            </a:ln>
          </c:spPr>
        </c:majorGridlines>
        <c:numFmt formatCode="0.0" sourceLinked="1"/>
        <c:majorTickMark val="out"/>
        <c:minorTickMark val="none"/>
        <c:tickLblPos val="nextTo"/>
        <c:txPr>
          <a:bodyPr/>
          <a:lstStyle/>
          <a:p>
            <a:pPr>
              <a:defRPr sz="1000"/>
            </a:pPr>
            <a:endParaRPr lang="fr-FR"/>
          </a:p>
        </c:txPr>
        <c:crossAx val="196168704"/>
        <c:crosses val="autoZero"/>
        <c:crossBetween val="between"/>
      </c:valAx>
    </c:plotArea>
    <c:legend>
      <c:legendPos val="b"/>
      <c:layout>
        <c:manualLayout>
          <c:xMode val="edge"/>
          <c:yMode val="edge"/>
          <c:x val="0.16066165435538537"/>
          <c:y val="0.93315489412354002"/>
          <c:w val="0.78044644631845272"/>
          <c:h val="5.3077317514469716E-2"/>
        </c:manualLayout>
      </c:layout>
      <c:overlay val="0"/>
      <c:txPr>
        <a:bodyPr/>
        <a:lstStyle/>
        <a:p>
          <a:pPr>
            <a:defRPr sz="1100"/>
          </a:pPr>
          <a:endParaRPr lang="fr-FR"/>
        </a:p>
      </c:txPr>
    </c:legend>
    <c:plotVisOnly val="1"/>
    <c:dispBlanksAs val="gap"/>
    <c:showDLblsOverMax val="0"/>
  </c:chart>
  <c:spPr>
    <a:noFill/>
    <a:ln>
      <a:noFill/>
    </a:ln>
  </c:spPr>
  <c:txPr>
    <a:bodyPr/>
    <a:lstStyle/>
    <a:p>
      <a:pPr>
        <a:defRPr sz="10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96800338652714E-2"/>
          <c:y val="7.3623892867840629E-2"/>
          <c:w val="0.90752933621408205"/>
          <c:h val="0.67385475594996014"/>
        </c:manualLayout>
      </c:layout>
      <c:lineChart>
        <c:grouping val="standard"/>
        <c:varyColors val="0"/>
        <c:ser>
          <c:idx val="2"/>
          <c:order val="0"/>
          <c:tx>
            <c:strRef>
              <c:f>CALCULATIONS!$C$46</c:f>
              <c:strCache>
                <c:ptCount val="1"/>
                <c:pt idx="0">
                  <c:v>BELGACOM</c:v>
                </c:pt>
              </c:strCache>
            </c:strRef>
          </c:tx>
          <c:spPr>
            <a:ln>
              <a:solidFill>
                <a:schemeClr val="tx1"/>
              </a:solidFill>
            </a:ln>
          </c:spPr>
          <c:marker>
            <c:symbol val="square"/>
            <c:size val="7"/>
            <c:spPr>
              <a:no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CALCULATIONS!$KW$46:$LK$46</c:f>
              <c:numCache>
                <c:formatCode>0.00</c:formatCode>
                <c:ptCount val="15"/>
                <c:pt idx="0">
                  <c:v>9.9171207511160153E-2</c:v>
                </c:pt>
                <c:pt idx="1">
                  <c:v>8.8307473229948141E-2</c:v>
                </c:pt>
                <c:pt idx="2">
                  <c:v>8.6859060177994496E-2</c:v>
                </c:pt>
                <c:pt idx="3">
                  <c:v>8.9050714653732488E-2</c:v>
                </c:pt>
                <c:pt idx="4">
                  <c:v>0.10125196987949003</c:v>
                </c:pt>
                <c:pt idx="5">
                  <c:v>0.12388236782568085</c:v>
                </c:pt>
                <c:pt idx="6">
                  <c:v>0.11908036241958542</c:v>
                </c:pt>
                <c:pt idx="7">
                  <c:v>0.12299006609304652</c:v>
                </c:pt>
                <c:pt idx="8">
                  <c:v>0.12380245786133681</c:v>
                </c:pt>
                <c:pt idx="9">
                  <c:v>0.1256513261011093</c:v>
                </c:pt>
                <c:pt idx="10">
                  <c:v>0.12354845147808113</c:v>
                </c:pt>
                <c:pt idx="11">
                  <c:v>0.12603521926613037</c:v>
                </c:pt>
                <c:pt idx="12">
                  <c:v>0.1249637852737433</c:v>
                </c:pt>
                <c:pt idx="13">
                  <c:v>0.12800397942346264</c:v>
                </c:pt>
                <c:pt idx="14">
                  <c:v>0.12223973714639014</c:v>
                </c:pt>
              </c:numCache>
            </c:numRef>
          </c:val>
          <c:smooth val="0"/>
        </c:ser>
        <c:ser>
          <c:idx val="3"/>
          <c:order val="1"/>
          <c:tx>
            <c:strRef>
              <c:f>CALCULATIONS!$C$47</c:f>
              <c:strCache>
                <c:ptCount val="1"/>
                <c:pt idx="0">
                  <c:v>MOBISTAR</c:v>
                </c:pt>
              </c:strCache>
            </c:strRef>
          </c:tx>
          <c:spPr>
            <a:ln>
              <a:solidFill>
                <a:srgbClr val="C00000"/>
              </a:solidFill>
            </a:ln>
          </c:spPr>
          <c:marker>
            <c:symbol val="triangle"/>
            <c:size val="7"/>
            <c:spPr>
              <a:no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CALCULATIONS!$KW$47:$LK$47</c:f>
              <c:numCache>
                <c:formatCode>0.0</c:formatCode>
                <c:ptCount val="15"/>
                <c:pt idx="0">
                  <c:v>0.48359777132413684</c:v>
                </c:pt>
                <c:pt idx="1">
                  <c:v>0.49682587237753262</c:v>
                </c:pt>
                <c:pt idx="2">
                  <c:v>0.50994284188441596</c:v>
                </c:pt>
                <c:pt idx="3">
                  <c:v>0.53880035497104894</c:v>
                </c:pt>
                <c:pt idx="4">
                  <c:v>0.56772368299812248</c:v>
                </c:pt>
                <c:pt idx="5">
                  <c:v>0.56202065817761504</c:v>
                </c:pt>
                <c:pt idx="6">
                  <c:v>0.55577112328261991</c:v>
                </c:pt>
                <c:pt idx="7">
                  <c:v>0.55270899710983001</c:v>
                </c:pt>
                <c:pt idx="8">
                  <c:v>0.55029335961224635</c:v>
                </c:pt>
                <c:pt idx="9">
                  <c:v>0.53927640464734727</c:v>
                </c:pt>
                <c:pt idx="10">
                  <c:v>0.52966390307222611</c:v>
                </c:pt>
                <c:pt idx="11">
                  <c:v>0.52713860103432308</c:v>
                </c:pt>
                <c:pt idx="12">
                  <c:v>0.52596787635179154</c:v>
                </c:pt>
                <c:pt idx="13">
                  <c:v>0.54655956092722424</c:v>
                </c:pt>
                <c:pt idx="14">
                  <c:v>0.56532691493306619</c:v>
                </c:pt>
              </c:numCache>
            </c:numRef>
          </c:val>
          <c:smooth val="0"/>
        </c:ser>
        <c:ser>
          <c:idx val="4"/>
          <c:order val="2"/>
          <c:tx>
            <c:strRef>
              <c:f>CALCULATIONS!$C$48</c:f>
              <c:strCache>
                <c:ptCount val="1"/>
                <c:pt idx="0">
                  <c:v>TELENET</c:v>
                </c:pt>
              </c:strCache>
            </c:strRef>
          </c:tx>
          <c:spPr>
            <a:ln w="28575">
              <a:solidFill>
                <a:srgbClr val="FFC000"/>
              </a:solidFill>
            </a:ln>
          </c:spPr>
          <c:marker>
            <c:symbol val="diamond"/>
            <c:size val="7"/>
            <c:spPr>
              <a:no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CALCULATIONS!$KW$48:$LK$48</c:f>
              <c:numCache>
                <c:formatCode>0.0</c:formatCode>
                <c:ptCount val="15"/>
                <c:pt idx="0">
                  <c:v>1.0120459278758265E-2</c:v>
                </c:pt>
                <c:pt idx="1">
                  <c:v>1.4217713739051341E-2</c:v>
                </c:pt>
                <c:pt idx="2">
                  <c:v>1.7510188096546919E-2</c:v>
                </c:pt>
                <c:pt idx="3">
                  <c:v>1.7459467411411911E-2</c:v>
                </c:pt>
                <c:pt idx="4">
                  <c:v>1.9767214644716091E-2</c:v>
                </c:pt>
                <c:pt idx="5">
                  <c:v>2.0348173959142901E-2</c:v>
                </c:pt>
                <c:pt idx="6">
                  <c:v>2.0923333561511992E-2</c:v>
                </c:pt>
                <c:pt idx="7">
                  <c:v>1.2437828854135802E-2</c:v>
                </c:pt>
                <c:pt idx="8">
                  <c:v>1.3948756558974207E-2</c:v>
                </c:pt>
                <c:pt idx="9">
                  <c:v>1.3975401245189811E-2</c:v>
                </c:pt>
                <c:pt idx="10">
                  <c:v>1.2589194609274212E-2</c:v>
                </c:pt>
                <c:pt idx="11">
                  <c:v>9.3139220911897525E-3</c:v>
                </c:pt>
                <c:pt idx="12">
                  <c:v>9.5556765359487983E-3</c:v>
                </c:pt>
                <c:pt idx="13">
                  <c:v>9.5544701233443163E-3</c:v>
                </c:pt>
                <c:pt idx="14">
                  <c:v>5.237555770270852E-3</c:v>
                </c:pt>
              </c:numCache>
            </c:numRef>
          </c:val>
          <c:smooth val="0"/>
        </c:ser>
        <c:dLbls>
          <c:showLegendKey val="0"/>
          <c:showVal val="0"/>
          <c:showCatName val="0"/>
          <c:showSerName val="0"/>
          <c:showPercent val="0"/>
          <c:showBubbleSize val="0"/>
        </c:dLbls>
        <c:marker val="1"/>
        <c:smooth val="0"/>
        <c:axId val="196227840"/>
        <c:axId val="196229760"/>
      </c:lineChart>
      <c:dateAx>
        <c:axId val="196227840"/>
        <c:scaling>
          <c:orientation val="minMax"/>
        </c:scaling>
        <c:delete val="0"/>
        <c:axPos val="b"/>
        <c:numFmt formatCode="mm/yyyy;@" sourceLinked="0"/>
        <c:majorTickMark val="out"/>
        <c:minorTickMark val="none"/>
        <c:tickLblPos val="nextTo"/>
        <c:crossAx val="196229760"/>
        <c:crosses val="autoZero"/>
        <c:auto val="1"/>
        <c:lblOffset val="100"/>
        <c:baseTimeUnit val="months"/>
        <c:majorUnit val="6"/>
        <c:majorTimeUnit val="months"/>
      </c:dateAx>
      <c:valAx>
        <c:axId val="196229760"/>
        <c:scaling>
          <c:orientation val="minMax"/>
        </c:scaling>
        <c:delete val="0"/>
        <c:axPos val="l"/>
        <c:majorGridlines>
          <c:spPr>
            <a:ln>
              <a:solidFill>
                <a:schemeClr val="bg1">
                  <a:lumMod val="50000"/>
                </a:schemeClr>
              </a:solidFill>
              <a:prstDash val="dash"/>
            </a:ln>
          </c:spPr>
        </c:majorGridlines>
        <c:numFmt formatCode="0.0" sourceLinked="0"/>
        <c:majorTickMark val="out"/>
        <c:minorTickMark val="none"/>
        <c:tickLblPos val="nextTo"/>
        <c:crossAx val="196227840"/>
        <c:crosses val="autoZero"/>
        <c:crossBetween val="between"/>
      </c:valAx>
      <c:spPr>
        <a:noFill/>
      </c:spPr>
    </c:plotArea>
    <c:legend>
      <c:legendPos val="b"/>
      <c:layout>
        <c:manualLayout>
          <c:xMode val="edge"/>
          <c:yMode val="edge"/>
          <c:x val="0.28336054842676195"/>
          <c:y val="0.88076749798481868"/>
          <c:w val="0.6413815932788075"/>
          <c:h val="0.11923250201518219"/>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049985579309076"/>
        </c:manualLayout>
      </c:layout>
      <c:lineChart>
        <c:grouping val="standard"/>
        <c:varyColors val="0"/>
        <c:ser>
          <c:idx val="2"/>
          <c:order val="0"/>
          <c:tx>
            <c:v>BELGACOM</c:v>
          </c:tx>
          <c:spPr>
            <a:ln>
              <a:solidFill>
                <a:schemeClr val="tx1"/>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CALCULATIONS!$LT$7:$MH$7</c:f>
              <c:numCache>
                <c:formatCode>0.0</c:formatCode>
                <c:ptCount val="15"/>
                <c:pt idx="0">
                  <c:v>0.85780357758060832</c:v>
                </c:pt>
                <c:pt idx="1">
                  <c:v>0.60699163906695064</c:v>
                </c:pt>
                <c:pt idx="2">
                  <c:v>0.73258608367589573</c:v>
                </c:pt>
                <c:pt idx="3">
                  <c:v>0.63774509214022523</c:v>
                </c:pt>
                <c:pt idx="4">
                  <c:v>0.74671139174513146</c:v>
                </c:pt>
                <c:pt idx="5">
                  <c:v>0.7780181563411469</c:v>
                </c:pt>
                <c:pt idx="6">
                  <c:v>0.98612301734551489</c:v>
                </c:pt>
                <c:pt idx="7">
                  <c:v>0.8625256609875307</c:v>
                </c:pt>
                <c:pt idx="8">
                  <c:v>0.96943755578816437</c:v>
                </c:pt>
                <c:pt idx="9">
                  <c:v>0.86104856905117111</c:v>
                </c:pt>
                <c:pt idx="10">
                  <c:v>1.1345061634014335</c:v>
                </c:pt>
                <c:pt idx="11">
                  <c:v>1.00696420705061</c:v>
                </c:pt>
                <c:pt idx="12">
                  <c:v>1.0680698852526918</c:v>
                </c:pt>
                <c:pt idx="13">
                  <c:v>1.0276122349618302</c:v>
                </c:pt>
                <c:pt idx="14">
                  <c:v>1.3109622071604587</c:v>
                </c:pt>
              </c:numCache>
            </c:numRef>
          </c:val>
          <c:smooth val="0"/>
        </c:ser>
        <c:ser>
          <c:idx val="0"/>
          <c:order val="1"/>
          <c:tx>
            <c:v>Belgacom's Peers</c:v>
          </c:tx>
          <c:spPr>
            <a:ln>
              <a:solidFill>
                <a:schemeClr val="bg2">
                  <a:lumMod val="50000"/>
                </a:schemeClr>
              </a:solidFill>
              <a:prstDash val="sysDash"/>
            </a:ln>
          </c:spPr>
          <c:marker>
            <c:symbol val="none"/>
          </c:marker>
          <c:val>
            <c:numRef>
              <c:f>CALCULATIONS!$LT$29:$MH$29</c:f>
              <c:numCache>
                <c:formatCode>0.0</c:formatCode>
                <c:ptCount val="15"/>
                <c:pt idx="0">
                  <c:v>2.2757434194775352</c:v>
                </c:pt>
                <c:pt idx="1">
                  <c:v>2.2556905609759763</c:v>
                </c:pt>
                <c:pt idx="2">
                  <c:v>2.3133161490653715</c:v>
                </c:pt>
                <c:pt idx="3">
                  <c:v>2.272213234174107</c:v>
                </c:pt>
                <c:pt idx="4">
                  <c:v>2.1337517114073719</c:v>
                </c:pt>
                <c:pt idx="5">
                  <c:v>2.0773136717260394</c:v>
                </c:pt>
                <c:pt idx="6">
                  <c:v>2.1239788046042096</c:v>
                </c:pt>
                <c:pt idx="7">
                  <c:v>2.1784473606605457</c:v>
                </c:pt>
                <c:pt idx="8">
                  <c:v>2.0817271589587243</c:v>
                </c:pt>
                <c:pt idx="9">
                  <c:v>2.1805850609441468</c:v>
                </c:pt>
                <c:pt idx="10">
                  <c:v>2.2530447745650073</c:v>
                </c:pt>
                <c:pt idx="11">
                  <c:v>2.3056864627944895</c:v>
                </c:pt>
                <c:pt idx="12">
                  <c:v>2.2811381966699202</c:v>
                </c:pt>
                <c:pt idx="13">
                  <c:v>2.3822084560957602</c:v>
                </c:pt>
                <c:pt idx="14">
                  <c:v>2.3299414891552641</c:v>
                </c:pt>
              </c:numCache>
            </c:numRef>
          </c:val>
          <c:smooth val="0"/>
        </c:ser>
        <c:ser>
          <c:idx val="1"/>
          <c:order val="2"/>
          <c:tx>
            <c:v>Belgacom (D*/Ebitda*) - (D/Ebitda)</c:v>
          </c:tx>
          <c:spPr>
            <a:ln w="22225">
              <a:solidFill>
                <a:schemeClr val="tx1">
                  <a:lumMod val="50000"/>
                  <a:lumOff val="50000"/>
                </a:schemeClr>
              </a:solidFill>
            </a:ln>
          </c:spPr>
          <c:marker>
            <c:symbol val="none"/>
          </c:marker>
          <c:val>
            <c:numRef>
              <c:f>CALCULATIONS!$KW$46:$LK$46</c:f>
              <c:numCache>
                <c:formatCode>0.00</c:formatCode>
                <c:ptCount val="15"/>
                <c:pt idx="0">
                  <c:v>9.9171207511160153E-2</c:v>
                </c:pt>
                <c:pt idx="1">
                  <c:v>8.8307473229948141E-2</c:v>
                </c:pt>
                <c:pt idx="2">
                  <c:v>8.6859060177994496E-2</c:v>
                </c:pt>
                <c:pt idx="3">
                  <c:v>8.9050714653732488E-2</c:v>
                </c:pt>
                <c:pt idx="4">
                  <c:v>0.10125196987949003</c:v>
                </c:pt>
                <c:pt idx="5">
                  <c:v>0.12388236782568085</c:v>
                </c:pt>
                <c:pt idx="6">
                  <c:v>0.11908036241958542</c:v>
                </c:pt>
                <c:pt idx="7">
                  <c:v>0.12299006609304652</c:v>
                </c:pt>
                <c:pt idx="8">
                  <c:v>0.12380245786133681</c:v>
                </c:pt>
                <c:pt idx="9">
                  <c:v>0.1256513261011093</c:v>
                </c:pt>
                <c:pt idx="10">
                  <c:v>0.12354845147808113</c:v>
                </c:pt>
                <c:pt idx="11">
                  <c:v>0.12603521926613037</c:v>
                </c:pt>
                <c:pt idx="12">
                  <c:v>0.1249637852737433</c:v>
                </c:pt>
                <c:pt idx="13">
                  <c:v>0.12800397942346264</c:v>
                </c:pt>
                <c:pt idx="14">
                  <c:v>0.12223973714639014</c:v>
                </c:pt>
              </c:numCache>
            </c:numRef>
          </c:val>
          <c:smooth val="0"/>
        </c:ser>
        <c:dLbls>
          <c:showLegendKey val="0"/>
          <c:showVal val="0"/>
          <c:showCatName val="0"/>
          <c:showSerName val="0"/>
          <c:showPercent val="0"/>
          <c:showBubbleSize val="0"/>
        </c:dLbls>
        <c:marker val="1"/>
        <c:smooth val="0"/>
        <c:axId val="196272512"/>
        <c:axId val="196274048"/>
      </c:lineChart>
      <c:dateAx>
        <c:axId val="196272512"/>
        <c:scaling>
          <c:orientation val="minMax"/>
        </c:scaling>
        <c:delete val="0"/>
        <c:axPos val="b"/>
        <c:numFmt formatCode="[$-409]mmm\-yy;@" sourceLinked="0"/>
        <c:majorTickMark val="out"/>
        <c:minorTickMark val="none"/>
        <c:tickLblPos val="nextTo"/>
        <c:crossAx val="196274048"/>
        <c:crosses val="autoZero"/>
        <c:auto val="1"/>
        <c:lblOffset val="100"/>
        <c:baseTimeUnit val="months"/>
        <c:majorUnit val="6"/>
        <c:majorTimeUnit val="months"/>
      </c:dateAx>
      <c:valAx>
        <c:axId val="196274048"/>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crossAx val="196272512"/>
        <c:crosses val="autoZero"/>
        <c:crossBetween val="between"/>
        <c:majorUnit val="0.5"/>
      </c:valAx>
      <c:spPr>
        <a:noFill/>
        <a:ln>
          <a:noFill/>
        </a:ln>
      </c:spPr>
    </c:plotArea>
    <c:legend>
      <c:legendPos val="b"/>
      <c:layout>
        <c:manualLayout>
          <c:xMode val="edge"/>
          <c:yMode val="edge"/>
          <c:x val="2.0396091764906126E-2"/>
          <c:y val="0.89549161057745363"/>
          <c:w val="0.97960390823509713"/>
          <c:h val="8.1651114056227533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318"/>
        </c:manualLayout>
      </c:layout>
      <c:lineChart>
        <c:grouping val="standard"/>
        <c:varyColors val="0"/>
        <c:ser>
          <c:idx val="3"/>
          <c:order val="0"/>
          <c:tx>
            <c:v>MOBISTAR</c:v>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CALCULATIONS!$LT$8:$MH$8</c:f>
              <c:numCache>
                <c:formatCode>0.0</c:formatCode>
                <c:ptCount val="15"/>
                <c:pt idx="0">
                  <c:v>0.99140741026170842</c:v>
                </c:pt>
                <c:pt idx="1">
                  <c:v>1.0341053184541793</c:v>
                </c:pt>
                <c:pt idx="2">
                  <c:v>1.0764088799855431</c:v>
                </c:pt>
                <c:pt idx="3">
                  <c:v>1.0853792994832576</c:v>
                </c:pt>
                <c:pt idx="4">
                  <c:v>1.0923265666380659</c:v>
                </c:pt>
                <c:pt idx="5">
                  <c:v>1.1239733181245217</c:v>
                </c:pt>
                <c:pt idx="6">
                  <c:v>1.1552605915532697</c:v>
                </c:pt>
                <c:pt idx="7">
                  <c:v>1.1393152586964637</c:v>
                </c:pt>
                <c:pt idx="8">
                  <c:v>1.1247741511519036</c:v>
                </c:pt>
                <c:pt idx="9">
                  <c:v>1.2241778689794098</c:v>
                </c:pt>
                <c:pt idx="10">
                  <c:v>1.3331098133770074</c:v>
                </c:pt>
                <c:pt idx="11">
                  <c:v>1.3262016813517561</c:v>
                </c:pt>
                <c:pt idx="12">
                  <c:v>1.3233837800550459</c:v>
                </c:pt>
                <c:pt idx="13">
                  <c:v>1.4917664703296698</c:v>
                </c:pt>
                <c:pt idx="14">
                  <c:v>1.6771658832683087</c:v>
                </c:pt>
              </c:numCache>
            </c:numRef>
          </c:val>
          <c:smooth val="0"/>
        </c:ser>
        <c:ser>
          <c:idx val="0"/>
          <c:order val="1"/>
          <c:tx>
            <c:strRef>
              <c:f>CALCULATIONS!$C$26</c:f>
              <c:strCache>
                <c:ptCount val="1"/>
                <c:pt idx="0">
                  <c:v>SNC</c:v>
                </c:pt>
              </c:strCache>
            </c:strRef>
          </c:tx>
          <c:spPr>
            <a:ln w="28575">
              <a:solidFill>
                <a:srgbClr val="C00000"/>
              </a:solidFill>
              <a:prstDash val="dash"/>
            </a:ln>
          </c:spPr>
          <c:marker>
            <c:symbol val="none"/>
          </c:marker>
          <c:val>
            <c:numRef>
              <c:f>CALCULATIONS!$LT$26:$MH$26</c:f>
              <c:numCache>
                <c:formatCode>0.0</c:formatCode>
                <c:ptCount val="15"/>
                <c:pt idx="0">
                  <c:v>2.1869515319345236</c:v>
                </c:pt>
                <c:pt idx="1">
                  <c:v>2.0650885177422436</c:v>
                </c:pt>
                <c:pt idx="2">
                  <c:v>2.0165632367130932</c:v>
                </c:pt>
                <c:pt idx="3">
                  <c:v>1.9861884467960744</c:v>
                </c:pt>
                <c:pt idx="4">
                  <c:v>2.0490209364315932</c:v>
                </c:pt>
                <c:pt idx="5">
                  <c:v>2.0372990400833859</c:v>
                </c:pt>
                <c:pt idx="6">
                  <c:v>1.9513118537791414</c:v>
                </c:pt>
                <c:pt idx="7">
                  <c:v>1.726534859422175</c:v>
                </c:pt>
                <c:pt idx="8">
                  <c:v>1.5921186719096636</c:v>
                </c:pt>
                <c:pt idx="9">
                  <c:v>1.7722293618262999</c:v>
                </c:pt>
                <c:pt idx="10">
                  <c:v>1.7439624146481147</c:v>
                </c:pt>
                <c:pt idx="11">
                  <c:v>1.604286238773192</c:v>
                </c:pt>
                <c:pt idx="12">
                  <c:v>1.7453361504705158</c:v>
                </c:pt>
                <c:pt idx="13">
                  <c:v>1.7794058770368837</c:v>
                </c:pt>
                <c:pt idx="14">
                  <c:v>1.8160302149559577</c:v>
                </c:pt>
              </c:numCache>
            </c:numRef>
          </c:val>
          <c:smooth val="0"/>
        </c:ser>
        <c:ser>
          <c:idx val="17"/>
          <c:order val="2"/>
          <c:tx>
            <c:strRef>
              <c:f>CALCULATIONS!$C$22</c:f>
              <c:strCache>
                <c:ptCount val="1"/>
                <c:pt idx="0">
                  <c:v>VOD</c:v>
                </c:pt>
              </c:strCache>
            </c:strRef>
          </c:tx>
          <c:spPr>
            <a:ln w="12700">
              <a:solidFill>
                <a:srgbClr val="C00000"/>
              </a:solidFill>
              <a:prstDash val="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CALCULATIONS!$LT$22:$MH$22</c:f>
              <c:numCache>
                <c:formatCode>0.0</c:formatCode>
                <c:ptCount val="15"/>
                <c:pt idx="0">
                  <c:v>2.3938120328410841</c:v>
                </c:pt>
                <c:pt idx="1">
                  <c:v>2.4003526502589283</c:v>
                </c:pt>
                <c:pt idx="2">
                  <c:v>2.4264492409385809</c:v>
                </c:pt>
                <c:pt idx="3">
                  <c:v>2.4523749460305031</c:v>
                </c:pt>
                <c:pt idx="4">
                  <c:v>2.4188855356318548</c:v>
                </c:pt>
                <c:pt idx="5">
                  <c:v>2.3759780500764887</c:v>
                </c:pt>
                <c:pt idx="6">
                  <c:v>2.0698584190065699</c:v>
                </c:pt>
                <c:pt idx="7">
                  <c:v>1.764193856311334</c:v>
                </c:pt>
                <c:pt idx="8">
                  <c:v>1.7064635202406915</c:v>
                </c:pt>
                <c:pt idx="9">
                  <c:v>1.6557234686451092</c:v>
                </c:pt>
                <c:pt idx="10">
                  <c:v>1.742164734609212</c:v>
                </c:pt>
                <c:pt idx="11">
                  <c:v>1.7956009108529667</c:v>
                </c:pt>
                <c:pt idx="12">
                  <c:v>2.0670767647357211</c:v>
                </c:pt>
                <c:pt idx="13">
                  <c:v>2.3348198024327131</c:v>
                </c:pt>
                <c:pt idx="14">
                  <c:v>2.3348198024327131</c:v>
                </c:pt>
              </c:numCache>
            </c:numRef>
          </c:val>
          <c:smooth val="0"/>
        </c:ser>
        <c:ser>
          <c:idx val="1"/>
          <c:order val="3"/>
          <c:tx>
            <c:v>Mobistar (D*/Ebitda*) - (D/Ebitda)</c:v>
          </c:tx>
          <c:spPr>
            <a:ln>
              <a:solidFill>
                <a:schemeClr val="tx1">
                  <a:lumMod val="50000"/>
                  <a:lumOff val="50000"/>
                </a:schemeClr>
              </a:solidFill>
            </a:ln>
          </c:spPr>
          <c:marker>
            <c:symbol val="none"/>
          </c:marker>
          <c:val>
            <c:numRef>
              <c:f>CALCULATIONS!$KW$47:$LK$47</c:f>
              <c:numCache>
                <c:formatCode>0.0</c:formatCode>
                <c:ptCount val="15"/>
                <c:pt idx="0">
                  <c:v>0.48359777132413684</c:v>
                </c:pt>
                <c:pt idx="1">
                  <c:v>0.49682587237753262</c:v>
                </c:pt>
                <c:pt idx="2">
                  <c:v>0.50994284188441596</c:v>
                </c:pt>
                <c:pt idx="3">
                  <c:v>0.53880035497104894</c:v>
                </c:pt>
                <c:pt idx="4">
                  <c:v>0.56772368299812248</c:v>
                </c:pt>
                <c:pt idx="5">
                  <c:v>0.56202065817761504</c:v>
                </c:pt>
                <c:pt idx="6">
                  <c:v>0.55577112328261991</c:v>
                </c:pt>
                <c:pt idx="7">
                  <c:v>0.55270899710983001</c:v>
                </c:pt>
                <c:pt idx="8">
                  <c:v>0.55029335961224635</c:v>
                </c:pt>
                <c:pt idx="9">
                  <c:v>0.53927640464734727</c:v>
                </c:pt>
                <c:pt idx="10">
                  <c:v>0.52966390307222611</c:v>
                </c:pt>
                <c:pt idx="11">
                  <c:v>0.52713860103432308</c:v>
                </c:pt>
                <c:pt idx="12">
                  <c:v>0.52596787635179154</c:v>
                </c:pt>
                <c:pt idx="13">
                  <c:v>0.54655956092722424</c:v>
                </c:pt>
                <c:pt idx="14">
                  <c:v>0.56532691493306619</c:v>
                </c:pt>
              </c:numCache>
            </c:numRef>
          </c:val>
          <c:smooth val="0"/>
        </c:ser>
        <c:dLbls>
          <c:showLegendKey val="0"/>
          <c:showVal val="0"/>
          <c:showCatName val="0"/>
          <c:showSerName val="0"/>
          <c:showPercent val="0"/>
          <c:showBubbleSize val="0"/>
        </c:dLbls>
        <c:marker val="1"/>
        <c:smooth val="0"/>
        <c:axId val="201290112"/>
        <c:axId val="201291648"/>
      </c:lineChart>
      <c:dateAx>
        <c:axId val="201290112"/>
        <c:scaling>
          <c:orientation val="minMax"/>
        </c:scaling>
        <c:delete val="0"/>
        <c:axPos val="b"/>
        <c:numFmt formatCode="[$-409]mmm\-yy;@" sourceLinked="0"/>
        <c:majorTickMark val="out"/>
        <c:minorTickMark val="none"/>
        <c:tickLblPos val="nextTo"/>
        <c:crossAx val="201291648"/>
        <c:crosses val="autoZero"/>
        <c:auto val="1"/>
        <c:lblOffset val="100"/>
        <c:baseTimeUnit val="months"/>
        <c:majorUnit val="6"/>
        <c:majorTimeUnit val="months"/>
      </c:dateAx>
      <c:valAx>
        <c:axId val="201291648"/>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crossAx val="201290112"/>
        <c:crosses val="autoZero"/>
        <c:crossBetween val="between"/>
      </c:valAx>
      <c:spPr>
        <a:noFill/>
        <a:ln>
          <a:noFill/>
        </a:ln>
      </c:spPr>
    </c:plotArea>
    <c:legend>
      <c:legendPos val="b"/>
      <c:layout>
        <c:manualLayout>
          <c:xMode val="edge"/>
          <c:yMode val="edge"/>
          <c:x val="6.5512183100393931E-2"/>
          <c:y val="0.90110917463537765"/>
          <c:w val="0.89999995095769003"/>
          <c:h val="9.8891040372866335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363"/>
        </c:manualLayout>
      </c:layout>
      <c:lineChart>
        <c:grouping val="standard"/>
        <c:varyColors val="0"/>
        <c:ser>
          <c:idx val="3"/>
          <c:order val="0"/>
          <c:tx>
            <c:v>TELENET</c:v>
          </c:tx>
          <c:spPr>
            <a:ln>
              <a:solidFill>
                <a:srgbClr val="FFC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CALCULATIONS!$LT$9:$MH$9</c:f>
              <c:numCache>
                <c:formatCode>0.0</c:formatCode>
                <c:ptCount val="15"/>
                <c:pt idx="0">
                  <c:v>3.7134687581369503</c:v>
                </c:pt>
                <c:pt idx="1">
                  <c:v>3.4765583591296414</c:v>
                </c:pt>
                <c:pt idx="2">
                  <c:v>3.3277388955868732</c:v>
                </c:pt>
                <c:pt idx="3">
                  <c:v>3.4846313666092215</c:v>
                </c:pt>
                <c:pt idx="4">
                  <c:v>3.4195292883911859</c:v>
                </c:pt>
                <c:pt idx="5">
                  <c:v>3.3001143745250228</c:v>
                </c:pt>
                <c:pt idx="6">
                  <c:v>3.1558288628331455</c:v>
                </c:pt>
                <c:pt idx="7">
                  <c:v>4.1154037088334867</c:v>
                </c:pt>
                <c:pt idx="8">
                  <c:v>3.8624086839036851</c:v>
                </c:pt>
                <c:pt idx="9">
                  <c:v>3.707629677440206</c:v>
                </c:pt>
                <c:pt idx="10">
                  <c:v>3.7407046780406041</c:v>
                </c:pt>
                <c:pt idx="11">
                  <c:v>3.9844819217170233</c:v>
                </c:pt>
                <c:pt idx="12">
                  <c:v>3.8319373368954697</c:v>
                </c:pt>
                <c:pt idx="13">
                  <c:v>3.8183032363599292</c:v>
                </c:pt>
                <c:pt idx="14">
                  <c:v>4.3704719780651446</c:v>
                </c:pt>
              </c:numCache>
            </c:numRef>
          </c:val>
          <c:smooth val="0"/>
        </c:ser>
        <c:ser>
          <c:idx val="0"/>
          <c:order val="1"/>
          <c:tx>
            <c:v>BT</c:v>
          </c:tx>
          <c:spPr>
            <a:ln w="28575">
              <a:solidFill>
                <a:srgbClr val="FFC000"/>
              </a:solidFill>
              <a:prstDash val="dash"/>
            </a:ln>
          </c:spPr>
          <c:marker>
            <c:symbol val="none"/>
          </c:marker>
          <c:val>
            <c:numRef>
              <c:f>CALCULATIONS!$LT$21:$MH$21</c:f>
              <c:numCache>
                <c:formatCode>0.0</c:formatCode>
                <c:ptCount val="15"/>
                <c:pt idx="0">
                  <c:v>3.4540108426122931</c:v>
                </c:pt>
                <c:pt idx="1">
                  <c:v>2.5722102990881019</c:v>
                </c:pt>
                <c:pt idx="2">
                  <c:v>2.4424310935840725</c:v>
                </c:pt>
                <c:pt idx="3">
                  <c:v>2.376254266338083</c:v>
                </c:pt>
                <c:pt idx="4">
                  <c:v>2.2611064846245092</c:v>
                </c:pt>
                <c:pt idx="5">
                  <c:v>2.265634262862521</c:v>
                </c:pt>
                <c:pt idx="6">
                  <c:v>2.2276993525463267</c:v>
                </c:pt>
                <c:pt idx="7">
                  <c:v>2.1883920326349502</c:v>
                </c:pt>
                <c:pt idx="8">
                  <c:v>2.0877591347530133</c:v>
                </c:pt>
                <c:pt idx="9">
                  <c:v>2.3849178401937028</c:v>
                </c:pt>
                <c:pt idx="10">
                  <c:v>2.3747772292440383</c:v>
                </c:pt>
                <c:pt idx="11">
                  <c:v>2.3583562992736709</c:v>
                </c:pt>
                <c:pt idx="12">
                  <c:v>2.2555609744296414</c:v>
                </c:pt>
                <c:pt idx="13">
                  <c:v>2.1053769724534006</c:v>
                </c:pt>
                <c:pt idx="14">
                  <c:v>2.136201464388483</c:v>
                </c:pt>
              </c:numCache>
            </c:numRef>
          </c:val>
          <c:smooth val="0"/>
        </c:ser>
        <c:ser>
          <c:idx val="17"/>
          <c:order val="2"/>
          <c:tx>
            <c:v>Iliad</c:v>
          </c:tx>
          <c:spPr>
            <a:ln w="12700">
              <a:solidFill>
                <a:srgbClr val="FFC000"/>
              </a:solidFill>
              <a:prstDash val="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CALCULATIONS!$LT$13:$MH$13</c:f>
              <c:numCache>
                <c:formatCode>0.0</c:formatCode>
                <c:ptCount val="15"/>
                <c:pt idx="0">
                  <c:v>1.0316616252605197</c:v>
                </c:pt>
                <c:pt idx="1">
                  <c:v>0.98003453333356261</c:v>
                </c:pt>
                <c:pt idx="2">
                  <c:v>0.90034175824771145</c:v>
                </c:pt>
                <c:pt idx="3">
                  <c:v>0.88870691668831781</c:v>
                </c:pt>
                <c:pt idx="4">
                  <c:v>0.87536636081633512</c:v>
                </c:pt>
                <c:pt idx="5">
                  <c:v>0.9856726829507314</c:v>
                </c:pt>
                <c:pt idx="6">
                  <c:v>1.0939340226663481</c:v>
                </c:pt>
                <c:pt idx="7">
                  <c:v>1.304141904233985</c:v>
                </c:pt>
                <c:pt idx="8">
                  <c:v>1.4922400442931911</c:v>
                </c:pt>
                <c:pt idx="9">
                  <c:v>1.5904173415378409</c:v>
                </c:pt>
                <c:pt idx="10">
                  <c:v>1.6882712052555244</c:v>
                </c:pt>
                <c:pt idx="11">
                  <c:v>1.5816062321690518</c:v>
                </c:pt>
                <c:pt idx="12">
                  <c:v>1.4857004670633451</c:v>
                </c:pt>
                <c:pt idx="13">
                  <c:v>1.3229345277777476</c:v>
                </c:pt>
                <c:pt idx="14">
                  <c:v>1.242834927692577</c:v>
                </c:pt>
              </c:numCache>
            </c:numRef>
          </c:val>
          <c:smooth val="0"/>
        </c:ser>
        <c:ser>
          <c:idx val="1"/>
          <c:order val="3"/>
          <c:tx>
            <c:v>Telenet (D*/Ebitda*) - (D/Ebitda)</c:v>
          </c:tx>
          <c:spPr>
            <a:ln>
              <a:solidFill>
                <a:schemeClr val="tx1">
                  <a:lumMod val="50000"/>
                  <a:lumOff val="50000"/>
                </a:schemeClr>
              </a:solidFill>
            </a:ln>
          </c:spPr>
          <c:marker>
            <c:symbol val="none"/>
          </c:marker>
          <c:val>
            <c:numRef>
              <c:f>CALCULATIONS!$KW$48:$LK$48</c:f>
              <c:numCache>
                <c:formatCode>0.0</c:formatCode>
                <c:ptCount val="15"/>
                <c:pt idx="0">
                  <c:v>1.0120459278758265E-2</c:v>
                </c:pt>
                <c:pt idx="1">
                  <c:v>1.4217713739051341E-2</c:v>
                </c:pt>
                <c:pt idx="2">
                  <c:v>1.7510188096546919E-2</c:v>
                </c:pt>
                <c:pt idx="3">
                  <c:v>1.7459467411411911E-2</c:v>
                </c:pt>
                <c:pt idx="4">
                  <c:v>1.9767214644716091E-2</c:v>
                </c:pt>
                <c:pt idx="5">
                  <c:v>2.0348173959142901E-2</c:v>
                </c:pt>
                <c:pt idx="6">
                  <c:v>2.0923333561511992E-2</c:v>
                </c:pt>
                <c:pt idx="7">
                  <c:v>1.2437828854135802E-2</c:v>
                </c:pt>
                <c:pt idx="8">
                  <c:v>1.3948756558974207E-2</c:v>
                </c:pt>
                <c:pt idx="9">
                  <c:v>1.3975401245189811E-2</c:v>
                </c:pt>
                <c:pt idx="10">
                  <c:v>1.2589194609274212E-2</c:v>
                </c:pt>
                <c:pt idx="11">
                  <c:v>9.3139220911897525E-3</c:v>
                </c:pt>
                <c:pt idx="12">
                  <c:v>9.5556765359487983E-3</c:v>
                </c:pt>
                <c:pt idx="13">
                  <c:v>9.5544701233443163E-3</c:v>
                </c:pt>
                <c:pt idx="14">
                  <c:v>5.237555770270852E-3</c:v>
                </c:pt>
              </c:numCache>
            </c:numRef>
          </c:val>
          <c:smooth val="0"/>
        </c:ser>
        <c:dLbls>
          <c:showLegendKey val="0"/>
          <c:showVal val="0"/>
          <c:showCatName val="0"/>
          <c:showSerName val="0"/>
          <c:showPercent val="0"/>
          <c:showBubbleSize val="0"/>
        </c:dLbls>
        <c:marker val="1"/>
        <c:smooth val="0"/>
        <c:axId val="202441088"/>
        <c:axId val="202442624"/>
      </c:lineChart>
      <c:dateAx>
        <c:axId val="202441088"/>
        <c:scaling>
          <c:orientation val="minMax"/>
        </c:scaling>
        <c:delete val="0"/>
        <c:axPos val="b"/>
        <c:numFmt formatCode="[$-409]mmm\-yy;@" sourceLinked="0"/>
        <c:majorTickMark val="out"/>
        <c:minorTickMark val="none"/>
        <c:tickLblPos val="nextTo"/>
        <c:crossAx val="202442624"/>
        <c:crosses val="autoZero"/>
        <c:auto val="1"/>
        <c:lblOffset val="100"/>
        <c:baseTimeUnit val="months"/>
        <c:majorUnit val="6"/>
        <c:majorTimeUnit val="months"/>
      </c:dateAx>
      <c:valAx>
        <c:axId val="202442624"/>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crossAx val="202441088"/>
        <c:crosses val="autoZero"/>
        <c:crossBetween val="between"/>
      </c:valAx>
      <c:spPr>
        <a:noFill/>
        <a:ln>
          <a:noFill/>
        </a:ln>
      </c:spPr>
    </c:plotArea>
    <c:legend>
      <c:legendPos val="b"/>
      <c:layout>
        <c:manualLayout>
          <c:xMode val="edge"/>
          <c:yMode val="edge"/>
          <c:x val="6.5512183100393931E-2"/>
          <c:y val="0.90110917463537765"/>
          <c:w val="0.89999995095769003"/>
          <c:h val="9.8891040372866335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049985579309076"/>
        </c:manualLayout>
      </c:layout>
      <c:lineChart>
        <c:grouping val="standard"/>
        <c:varyColors val="0"/>
        <c:ser>
          <c:idx val="2"/>
          <c:order val="0"/>
          <c:tx>
            <c:v>BELGACOM</c:v>
          </c:tx>
          <c:spPr>
            <a:ln>
              <a:solidFill>
                <a:schemeClr val="tx1"/>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CALCULATIONS!$IK$7:$IY$7</c:f>
              <c:numCache>
                <c:formatCode>0%</c:formatCode>
                <c:ptCount val="15"/>
                <c:pt idx="0">
                  <c:v>0.20015860822181847</c:v>
                </c:pt>
                <c:pt idx="1">
                  <c:v>0.15637595741809657</c:v>
                </c:pt>
                <c:pt idx="2">
                  <c:v>0.19166470879994948</c:v>
                </c:pt>
                <c:pt idx="3">
                  <c:v>0.15708151620068025</c:v>
                </c:pt>
                <c:pt idx="4">
                  <c:v>0.18534933727772515</c:v>
                </c:pt>
                <c:pt idx="5">
                  <c:v>0.15107889961592022</c:v>
                </c:pt>
                <c:pt idx="6">
                  <c:v>0.19322451129092647</c:v>
                </c:pt>
                <c:pt idx="7">
                  <c:v>0.18375563588209659</c:v>
                </c:pt>
                <c:pt idx="8">
                  <c:v>0.19729974692710131</c:v>
                </c:pt>
                <c:pt idx="9">
                  <c:v>0.17027869672691731</c:v>
                </c:pt>
                <c:pt idx="10">
                  <c:v>0.21812604513918368</c:v>
                </c:pt>
                <c:pt idx="11">
                  <c:v>0.18869327657203672</c:v>
                </c:pt>
                <c:pt idx="12">
                  <c:v>0.21687899743461636</c:v>
                </c:pt>
                <c:pt idx="13">
                  <c:v>0.2203272196092004</c:v>
                </c:pt>
                <c:pt idx="14">
                  <c:v>0.28756363720088318</c:v>
                </c:pt>
              </c:numCache>
            </c:numRef>
          </c:val>
          <c:smooth val="0"/>
        </c:ser>
        <c:ser>
          <c:idx val="0"/>
          <c:order val="1"/>
          <c:tx>
            <c:v>Belgacom's Peers</c:v>
          </c:tx>
          <c:spPr>
            <a:ln>
              <a:solidFill>
                <a:schemeClr val="bg2">
                  <a:lumMod val="50000"/>
                </a:schemeClr>
              </a:solidFill>
              <a:prstDash val="sysDash"/>
            </a:ln>
          </c:spPr>
          <c:marker>
            <c:symbol val="none"/>
          </c:marker>
          <c:val>
            <c:numRef>
              <c:f>CALCULATIONS!$IK$29:$IY$29</c:f>
              <c:numCache>
                <c:formatCode>0%</c:formatCode>
                <c:ptCount val="15"/>
                <c:pt idx="0">
                  <c:v>0.40404391196080297</c:v>
                </c:pt>
                <c:pt idx="1">
                  <c:v>0.39705272812854325</c:v>
                </c:pt>
                <c:pt idx="2">
                  <c:v>0.42648353055923999</c:v>
                </c:pt>
                <c:pt idx="3">
                  <c:v>0.4002093613944297</c:v>
                </c:pt>
                <c:pt idx="4">
                  <c:v>0.40137590321510519</c:v>
                </c:pt>
                <c:pt idx="5">
                  <c:v>0.39290978902064816</c:v>
                </c:pt>
                <c:pt idx="6">
                  <c:v>0.40415849611071392</c:v>
                </c:pt>
                <c:pt idx="7">
                  <c:v>0.4302260434264859</c:v>
                </c:pt>
                <c:pt idx="8">
                  <c:v>0.41852848293159944</c:v>
                </c:pt>
                <c:pt idx="9">
                  <c:v>0.43955817346469123</c:v>
                </c:pt>
                <c:pt idx="10">
                  <c:v>0.45791363761603138</c:v>
                </c:pt>
                <c:pt idx="11">
                  <c:v>0.48444556915797254</c:v>
                </c:pt>
                <c:pt idx="12">
                  <c:v>0.50497770903292927</c:v>
                </c:pt>
                <c:pt idx="13">
                  <c:v>0.54470149781778388</c:v>
                </c:pt>
                <c:pt idx="14">
                  <c:v>0.51631980082041551</c:v>
                </c:pt>
              </c:numCache>
            </c:numRef>
          </c:val>
          <c:smooth val="0"/>
        </c:ser>
        <c:ser>
          <c:idx val="1"/>
          <c:order val="2"/>
          <c:tx>
            <c:v>Belgacomg g*-g</c:v>
          </c:tx>
          <c:spPr>
            <a:ln w="22225">
              <a:solidFill>
                <a:schemeClr val="tx1">
                  <a:lumMod val="50000"/>
                  <a:lumOff val="50000"/>
                </a:schemeClr>
              </a:solidFill>
            </a:ln>
          </c:spPr>
          <c:marker>
            <c:symbol val="none"/>
          </c:marker>
          <c:val>
            <c:numRef>
              <c:f>CALCULATIONS!$IK$36:$IY$36</c:f>
              <c:numCache>
                <c:formatCode>0%</c:formatCode>
                <c:ptCount val="15"/>
                <c:pt idx="0">
                  <c:v>2.1837919402376282E-2</c:v>
                </c:pt>
                <c:pt idx="1">
                  <c:v>2.1525361885554872E-2</c:v>
                </c:pt>
                <c:pt idx="2">
                  <c:v>2.101424710365507E-2</c:v>
                </c:pt>
                <c:pt idx="3">
                  <c:v>2.0696018939648481E-2</c:v>
                </c:pt>
                <c:pt idx="4">
                  <c:v>2.3303558494530446E-2</c:v>
                </c:pt>
                <c:pt idx="5">
                  <c:v>2.3249165645674585E-2</c:v>
                </c:pt>
                <c:pt idx="6">
                  <c:v>2.2215732298494412E-2</c:v>
                </c:pt>
                <c:pt idx="7">
                  <c:v>2.4768349759386382E-2</c:v>
                </c:pt>
                <c:pt idx="8">
                  <c:v>2.383115417796397E-2</c:v>
                </c:pt>
                <c:pt idx="9">
                  <c:v>2.3822097851427415E-2</c:v>
                </c:pt>
                <c:pt idx="10">
                  <c:v>2.2499649420091139E-2</c:v>
                </c:pt>
                <c:pt idx="11">
                  <c:v>2.2675926823971682E-2</c:v>
                </c:pt>
                <c:pt idx="12">
                  <c:v>2.3827759718172081E-2</c:v>
                </c:pt>
                <c:pt idx="13">
                  <c:v>2.5523061658156931E-2</c:v>
                </c:pt>
                <c:pt idx="14">
                  <c:v>2.4002007162836236E-2</c:v>
                </c:pt>
              </c:numCache>
            </c:numRef>
          </c:val>
          <c:smooth val="0"/>
        </c:ser>
        <c:dLbls>
          <c:showLegendKey val="0"/>
          <c:showVal val="0"/>
          <c:showCatName val="0"/>
          <c:showSerName val="0"/>
          <c:showPercent val="0"/>
          <c:showBubbleSize val="0"/>
        </c:dLbls>
        <c:marker val="1"/>
        <c:smooth val="0"/>
        <c:axId val="202472832"/>
        <c:axId val="202482816"/>
      </c:lineChart>
      <c:dateAx>
        <c:axId val="202472832"/>
        <c:scaling>
          <c:orientation val="minMax"/>
        </c:scaling>
        <c:delete val="0"/>
        <c:axPos val="b"/>
        <c:numFmt formatCode="[$-409]mmm\-yy;@" sourceLinked="0"/>
        <c:majorTickMark val="out"/>
        <c:minorTickMark val="none"/>
        <c:tickLblPos val="nextTo"/>
        <c:crossAx val="202482816"/>
        <c:crosses val="autoZero"/>
        <c:auto val="1"/>
        <c:lblOffset val="100"/>
        <c:baseTimeUnit val="months"/>
        <c:majorUnit val="6"/>
        <c:majorTimeUnit val="months"/>
      </c:dateAx>
      <c:valAx>
        <c:axId val="202482816"/>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202472832"/>
        <c:crosses val="autoZero"/>
        <c:crossBetween val="between"/>
      </c:valAx>
      <c:spPr>
        <a:noFill/>
        <a:ln>
          <a:noFill/>
        </a:ln>
      </c:spPr>
    </c:plotArea>
    <c:legend>
      <c:legendPos val="b"/>
      <c:layout>
        <c:manualLayout>
          <c:xMode val="edge"/>
          <c:yMode val="edge"/>
          <c:x val="2.0396091764906126E-2"/>
          <c:y val="0.89549161057745363"/>
          <c:w val="0.97960390823509735"/>
          <c:h val="8.1651114056227533E-2"/>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385"/>
        </c:manualLayout>
      </c:layout>
      <c:lineChart>
        <c:grouping val="standard"/>
        <c:varyColors val="0"/>
        <c:ser>
          <c:idx val="3"/>
          <c:order val="0"/>
          <c:tx>
            <c:v>MOBISTAR</c:v>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CALCULATIONS!$IK$8:$IY$8</c:f>
              <c:numCache>
                <c:formatCode>0%</c:formatCode>
                <c:ptCount val="15"/>
                <c:pt idx="0">
                  <c:v>0.17782338342712184</c:v>
                </c:pt>
                <c:pt idx="1">
                  <c:v>0.19133327286441576</c:v>
                </c:pt>
                <c:pt idx="2">
                  <c:v>0.20566035155923143</c:v>
                </c:pt>
                <c:pt idx="3">
                  <c:v>0.19529400485537676</c:v>
                </c:pt>
                <c:pt idx="4">
                  <c:v>0.1857357403879977</c:v>
                </c:pt>
                <c:pt idx="5">
                  <c:v>0.18251603426575017</c:v>
                </c:pt>
                <c:pt idx="6">
                  <c:v>0.17951141684610042</c:v>
                </c:pt>
                <c:pt idx="7">
                  <c:v>0.19461391334390823</c:v>
                </c:pt>
                <c:pt idx="8">
                  <c:v>0.21334564271236822</c:v>
                </c:pt>
                <c:pt idx="9">
                  <c:v>0.25835323631844559</c:v>
                </c:pt>
                <c:pt idx="10">
                  <c:v>0.31687818834722925</c:v>
                </c:pt>
                <c:pt idx="11">
                  <c:v>0.3468208820258078</c:v>
                </c:pt>
                <c:pt idx="12">
                  <c:v>0.38444680732634928</c:v>
                </c:pt>
                <c:pt idx="13">
                  <c:v>0.41909511400886007</c:v>
                </c:pt>
                <c:pt idx="14">
                  <c:v>0.4561905930983241</c:v>
                </c:pt>
              </c:numCache>
            </c:numRef>
          </c:val>
          <c:smooth val="0"/>
        </c:ser>
        <c:ser>
          <c:idx val="0"/>
          <c:order val="1"/>
          <c:tx>
            <c:strRef>
              <c:f>CALCULATIONS!$C$26</c:f>
              <c:strCache>
                <c:ptCount val="1"/>
                <c:pt idx="0">
                  <c:v>SNC</c:v>
                </c:pt>
              </c:strCache>
            </c:strRef>
          </c:tx>
          <c:spPr>
            <a:ln w="28575">
              <a:solidFill>
                <a:srgbClr val="C00000"/>
              </a:solidFill>
              <a:prstDash val="dash"/>
            </a:ln>
          </c:spPr>
          <c:marker>
            <c:symbol val="none"/>
          </c:marker>
          <c:val>
            <c:numRef>
              <c:f>CALCULATIONS!$IK$26:$IY$26</c:f>
              <c:numCache>
                <c:formatCode>0%</c:formatCode>
                <c:ptCount val="15"/>
                <c:pt idx="0">
                  <c:v>0.39366550457914007</c:v>
                </c:pt>
                <c:pt idx="1">
                  <c:v>0.42342148591495099</c:v>
                </c:pt>
                <c:pt idx="2">
                  <c:v>0.45968728767703676</c:v>
                </c:pt>
                <c:pt idx="3">
                  <c:v>0.46655081840303986</c:v>
                </c:pt>
                <c:pt idx="4">
                  <c:v>0.48681364376648956</c:v>
                </c:pt>
                <c:pt idx="5">
                  <c:v>0.46507507193838304</c:v>
                </c:pt>
                <c:pt idx="6">
                  <c:v>0.45829764873845052</c:v>
                </c:pt>
                <c:pt idx="7">
                  <c:v>0.50345733757684008</c:v>
                </c:pt>
                <c:pt idx="8">
                  <c:v>0.49667140647969393</c:v>
                </c:pt>
                <c:pt idx="9">
                  <c:v>0.52364565382593475</c:v>
                </c:pt>
                <c:pt idx="10">
                  <c:v>0.50819822701553052</c:v>
                </c:pt>
                <c:pt idx="11">
                  <c:v>0.48061963670049579</c:v>
                </c:pt>
                <c:pt idx="12">
                  <c:v>0.46528956625070156</c:v>
                </c:pt>
                <c:pt idx="13">
                  <c:v>0.44001735291701949</c:v>
                </c:pt>
                <c:pt idx="14">
                  <c:v>0.46507375880431212</c:v>
                </c:pt>
              </c:numCache>
            </c:numRef>
          </c:val>
          <c:smooth val="0"/>
        </c:ser>
        <c:ser>
          <c:idx val="17"/>
          <c:order val="2"/>
          <c:tx>
            <c:strRef>
              <c:f>CALCULATIONS!$C$22</c:f>
              <c:strCache>
                <c:ptCount val="1"/>
                <c:pt idx="0">
                  <c:v>VOD</c:v>
                </c:pt>
              </c:strCache>
            </c:strRef>
          </c:tx>
          <c:spPr>
            <a:ln w="12700">
              <a:solidFill>
                <a:srgbClr val="C00000"/>
              </a:solidFill>
              <a:prstDash val="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CALCULATIONS!$IK$22:$IY$22</c:f>
              <c:numCache>
                <c:formatCode>0%</c:formatCode>
                <c:ptCount val="15"/>
                <c:pt idx="0">
                  <c:v>0.31966374358589222</c:v>
                </c:pt>
                <c:pt idx="1">
                  <c:v>0.31998808705892523</c:v>
                </c:pt>
                <c:pt idx="2">
                  <c:v>0.31722493386752887</c:v>
                </c:pt>
                <c:pt idx="3">
                  <c:v>0.31452078253983817</c:v>
                </c:pt>
                <c:pt idx="4">
                  <c:v>0.30104770531086128</c:v>
                </c:pt>
                <c:pt idx="5">
                  <c:v>0.28763634700867102</c:v>
                </c:pt>
                <c:pt idx="6">
                  <c:v>0.28681308861822175</c:v>
                </c:pt>
                <c:pt idx="7">
                  <c:v>0.28591712558949872</c:v>
                </c:pt>
                <c:pt idx="8">
                  <c:v>0.2769012115759335</c:v>
                </c:pt>
                <c:pt idx="9">
                  <c:v>0.26896790044096014</c:v>
                </c:pt>
                <c:pt idx="10">
                  <c:v>0.25189539853148013</c:v>
                </c:pt>
                <c:pt idx="11">
                  <c:v>0.23420588657870867</c:v>
                </c:pt>
                <c:pt idx="12">
                  <c:v>0.25433027728498075</c:v>
                </c:pt>
                <c:pt idx="13">
                  <c:v>0.2718321660431175</c:v>
                </c:pt>
                <c:pt idx="14">
                  <c:v>0.2718321660431175</c:v>
                </c:pt>
              </c:numCache>
            </c:numRef>
          </c:val>
          <c:smooth val="0"/>
        </c:ser>
        <c:ser>
          <c:idx val="1"/>
          <c:order val="3"/>
          <c:tx>
            <c:v>Mobistar g*-g</c:v>
          </c:tx>
          <c:spPr>
            <a:ln>
              <a:solidFill>
                <a:schemeClr val="tx1">
                  <a:lumMod val="50000"/>
                  <a:lumOff val="50000"/>
                </a:schemeClr>
              </a:solidFill>
            </a:ln>
          </c:spPr>
          <c:marker>
            <c:symbol val="none"/>
          </c:marker>
          <c:val>
            <c:numRef>
              <c:f>CALCULATIONS!$IK$37:$IY$37</c:f>
              <c:numCache>
                <c:formatCode>0%</c:formatCode>
                <c:ptCount val="15"/>
                <c:pt idx="0">
                  <c:v>8.677401564386264E-2</c:v>
                </c:pt>
                <c:pt idx="1">
                  <c:v>9.1246754030805163E-2</c:v>
                </c:pt>
                <c:pt idx="2">
                  <c:v>9.5858832252945864E-2</c:v>
                </c:pt>
                <c:pt idx="3">
                  <c:v>9.5821063500045087E-2</c:v>
                </c:pt>
                <c:pt idx="4">
                  <c:v>9.5760115031691462E-2</c:v>
                </c:pt>
                <c:pt idx="5">
                  <c:v>9.0957757083619098E-2</c:v>
                </c:pt>
                <c:pt idx="6">
                  <c:v>8.6492321099040814E-2</c:v>
                </c:pt>
                <c:pt idx="7">
                  <c:v>9.3504538232021442E-2</c:v>
                </c:pt>
                <c:pt idx="8">
                  <c:v>0.10198194102205356</c:v>
                </c:pt>
                <c:pt idx="9">
                  <c:v>0.10863327165917583</c:v>
                </c:pt>
                <c:pt idx="10">
                  <c:v>0.1155385290802749</c:v>
                </c:pt>
                <c:pt idx="11">
                  <c:v>0.12309709041200662</c:v>
                </c:pt>
                <c:pt idx="12">
                  <c:v>0.13152372190917905</c:v>
                </c:pt>
                <c:pt idx="13">
                  <c:v>0.12929657666447525</c:v>
                </c:pt>
                <c:pt idx="14">
                  <c:v>0.12630720586379929</c:v>
                </c:pt>
              </c:numCache>
            </c:numRef>
          </c:val>
          <c:smooth val="0"/>
        </c:ser>
        <c:dLbls>
          <c:showLegendKey val="0"/>
          <c:showVal val="0"/>
          <c:showCatName val="0"/>
          <c:showSerName val="0"/>
          <c:showPercent val="0"/>
          <c:showBubbleSize val="0"/>
        </c:dLbls>
        <c:marker val="1"/>
        <c:smooth val="0"/>
        <c:axId val="202513792"/>
        <c:axId val="202519680"/>
      </c:lineChart>
      <c:dateAx>
        <c:axId val="202513792"/>
        <c:scaling>
          <c:orientation val="minMax"/>
        </c:scaling>
        <c:delete val="0"/>
        <c:axPos val="b"/>
        <c:numFmt formatCode="[$-409]mmm\-yy;@" sourceLinked="0"/>
        <c:majorTickMark val="out"/>
        <c:minorTickMark val="none"/>
        <c:tickLblPos val="nextTo"/>
        <c:crossAx val="202519680"/>
        <c:crosses val="autoZero"/>
        <c:auto val="1"/>
        <c:lblOffset val="100"/>
        <c:baseTimeUnit val="months"/>
        <c:majorUnit val="6"/>
        <c:majorTimeUnit val="months"/>
      </c:dateAx>
      <c:valAx>
        <c:axId val="202519680"/>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202513792"/>
        <c:crosses val="autoZero"/>
        <c:crossBetween val="between"/>
      </c:valAx>
      <c:spPr>
        <a:noFill/>
        <a:ln>
          <a:noFill/>
        </a:ln>
      </c:spPr>
    </c:plotArea>
    <c:legend>
      <c:legendPos val="b"/>
      <c:layout>
        <c:manualLayout>
          <c:xMode val="edge"/>
          <c:yMode val="edge"/>
          <c:x val="6.5512183100393931E-2"/>
          <c:y val="0.90110917463537765"/>
          <c:w val="0.89999995095769003"/>
          <c:h val="9.8891040372866543E-2"/>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ash"/>
            <c:size val="20"/>
            <c:spPr>
              <a:solidFill>
                <a:srgbClr val="FFC000">
                  <a:alpha val="67000"/>
                </a:srgbClr>
              </a:solidFill>
              <a:ln>
                <a:noFill/>
              </a:ln>
            </c:spPr>
          </c:marker>
          <c:dLbls>
            <c:dLbl>
              <c:idx val="0"/>
              <c:tx>
                <c:rich>
                  <a:bodyPr/>
                  <a:lstStyle/>
                  <a:p>
                    <a:pPr>
                      <a:defRPr sz="1000" b="0" i="0" strike="noStrike">
                        <a:latin typeface="Arial"/>
                      </a:defRPr>
                    </a:pPr>
                    <a:r>
                      <a:rPr lang="en-US"/>
                      <a:t>DT</a:t>
                    </a:r>
                  </a:p>
                </c:rich>
              </c:tx>
              <c:spPr/>
              <c:dLblPos val="ctr"/>
              <c:showLegendKey val="0"/>
              <c:showVal val="1"/>
              <c:showCatName val="0"/>
              <c:showSerName val="0"/>
              <c:showPercent val="0"/>
              <c:showBubbleSize val="0"/>
            </c:dLbl>
            <c:dLbl>
              <c:idx val="1"/>
              <c:tx>
                <c:strRef>
                  <c:f>PROFILES!$O$104</c:f>
                  <c:strCache>
                    <c:ptCount val="1"/>
                    <c:pt idx="0">
                      <c:v>TKA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tx>
                <c:strRef>
                  <c:f>PROFILES!$O$105</c:f>
                  <c:strCache>
                    <c:ptCount val="1"/>
                    <c:pt idx="0">
                      <c:v>BELGACOM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PROFILES!$O$106</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4"/>
              <c:tx>
                <c:strRef>
                  <c:f>PROFILES!$O$107</c:f>
                  <c:strCache>
                    <c:ptCount val="1"/>
                    <c:pt idx="0">
                      <c:v>TELENET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5"/>
              <c:tx>
                <c:strRef>
                  <c:f>PROFILES!$O$108</c:f>
                  <c:strCache>
                    <c:ptCount val="1"/>
                    <c:pt idx="0">
                      <c:v>TDC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tx>
                <c:strRef>
                  <c:f>PROFILES!$O$109</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tx>
                <c:strRef>
                  <c:f>PROFILES!$O$110</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PROFILES!$O$111</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tx>
                <c:strRef>
                  <c:f>PROFILES!$O$112</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PROFILES!$O$113</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tx>
                <c:strRef>
                  <c:f>PROFILES!$O$114</c:f>
                  <c:strCache>
                    <c:ptCount val="1"/>
                    <c:pt idx="0">
                      <c:v>TIT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PROFILES!$O$115</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tx>
                <c:strRef>
                  <c:f>PROFILES!$O$116</c:f>
                  <c:strCache>
                    <c:ptCount val="1"/>
                    <c:pt idx="0">
                      <c:v>KPN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tx>
                <c:strRef>
                  <c:f>PROFILES!$O$117</c:f>
                  <c:strCache>
                    <c:ptCount val="1"/>
                    <c:pt idx="0">
                      <c:v>TPS</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tx>
                <c:strRef>
                  <c:f>PROFILES!$O$118</c:f>
                  <c:strCache>
                    <c:ptCount val="1"/>
                    <c:pt idx="0">
                      <c:v>PT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tx>
                <c:strRef>
                  <c:f>PROFILES!$O$119</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PROFILES!$O$120</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PROFILES!$O$121</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tx>
                <c:strRef>
                  <c:f>PROFILES!$O$122</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PROFILES!$O$123</c:f>
                  <c:strCache>
                    <c:ptCount val="1"/>
                    <c:pt idx="0">
                      <c:v>SCM</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tx>
                <c:strRef>
                  <c:f>PROFILES!$O$124</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xVal>
            <c:numRef>
              <c:f>PROFILES!$W$486:$W$507</c:f>
            </c:numRef>
          </c:xVal>
          <c:yVal>
            <c:numRef>
              <c:f>PROFILES!$X$486:$X$507</c:f>
            </c:numRef>
          </c:yVal>
          <c:smooth val="0"/>
        </c:ser>
        <c:dLbls>
          <c:showLegendKey val="0"/>
          <c:showVal val="0"/>
          <c:showCatName val="0"/>
          <c:showSerName val="0"/>
          <c:showPercent val="0"/>
          <c:showBubbleSize val="0"/>
        </c:dLbls>
        <c:axId val="196050944"/>
        <c:axId val="196052480"/>
      </c:scatterChart>
      <c:valAx>
        <c:axId val="196050944"/>
        <c:scaling>
          <c:orientation val="minMax"/>
          <c:max val="1"/>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96052480"/>
        <c:crosses val="autoZero"/>
        <c:crossBetween val="midCat"/>
      </c:valAx>
      <c:valAx>
        <c:axId val="196052480"/>
        <c:scaling>
          <c:orientation val="minMax"/>
        </c:scaling>
        <c:delete val="0"/>
        <c:axPos val="l"/>
        <c:majorGridlines>
          <c:spPr>
            <a:ln>
              <a:solidFill>
                <a:schemeClr val="bg1">
                  <a:lumMod val="50000"/>
                </a:schemeClr>
              </a:solidFill>
              <a:prstDash val="sysDash"/>
            </a:ln>
          </c:spPr>
        </c:majorGridlines>
        <c:numFmt formatCode="0.0" sourceLinked="1"/>
        <c:majorTickMark val="out"/>
        <c:minorTickMark val="none"/>
        <c:tickLblPos val="nextTo"/>
        <c:txPr>
          <a:bodyPr/>
          <a:lstStyle/>
          <a:p>
            <a:pPr>
              <a:defRPr sz="1200" baseline="0">
                <a:latin typeface="Arial" pitchFamily="34" charset="0"/>
              </a:defRPr>
            </a:pPr>
            <a:endParaRPr lang="fr-FR"/>
          </a:p>
        </c:txPr>
        <c:crossAx val="196050944"/>
        <c:crosses val="autoZero"/>
        <c:crossBetween val="midCat"/>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418"/>
        </c:manualLayout>
      </c:layout>
      <c:lineChart>
        <c:grouping val="standard"/>
        <c:varyColors val="0"/>
        <c:ser>
          <c:idx val="3"/>
          <c:order val="0"/>
          <c:tx>
            <c:v>TELENET</c:v>
          </c:tx>
          <c:spPr>
            <a:ln>
              <a:solidFill>
                <a:srgbClr val="FFC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CALCULATIONS!$IK$9:$IY$9</c:f>
              <c:numCache>
                <c:formatCode>0%</c:formatCode>
                <c:ptCount val="15"/>
                <c:pt idx="0">
                  <c:v>0.50261617157260619</c:v>
                </c:pt>
                <c:pt idx="1">
                  <c:v>0.46283410666608638</c:v>
                </c:pt>
                <c:pt idx="2">
                  <c:v>0.4640683722500239</c:v>
                </c:pt>
                <c:pt idx="3">
                  <c:v>0.45222436615696288</c:v>
                </c:pt>
                <c:pt idx="4">
                  <c:v>0.40678261884422395</c:v>
                </c:pt>
                <c:pt idx="5">
                  <c:v>0.37178729606389038</c:v>
                </c:pt>
                <c:pt idx="6">
                  <c:v>0.36792052162676608</c:v>
                </c:pt>
                <c:pt idx="7">
                  <c:v>0.46544877279506219</c:v>
                </c:pt>
                <c:pt idx="8">
                  <c:v>0.44138119570523726</c:v>
                </c:pt>
                <c:pt idx="9">
                  <c:v>0.42583131816712549</c:v>
                </c:pt>
                <c:pt idx="10">
                  <c:v>0.40754165826630995</c:v>
                </c:pt>
                <c:pt idx="11">
                  <c:v>0.4363634349502537</c:v>
                </c:pt>
                <c:pt idx="12">
                  <c:v>0.42302270192736452</c:v>
                </c:pt>
                <c:pt idx="13">
                  <c:v>0.40471537584686967</c:v>
                </c:pt>
                <c:pt idx="14">
                  <c:v>0.4832654138496531</c:v>
                </c:pt>
              </c:numCache>
            </c:numRef>
          </c:val>
          <c:smooth val="0"/>
        </c:ser>
        <c:ser>
          <c:idx val="0"/>
          <c:order val="1"/>
          <c:tx>
            <c:v>BT</c:v>
          </c:tx>
          <c:spPr>
            <a:ln w="28575">
              <a:solidFill>
                <a:srgbClr val="FFC000"/>
              </a:solidFill>
              <a:prstDash val="dash"/>
            </a:ln>
          </c:spPr>
          <c:marker>
            <c:symbol val="none"/>
          </c:marker>
          <c:val>
            <c:numRef>
              <c:f>CALCULATIONS!$IK$21:$IY$21</c:f>
              <c:numCache>
                <c:formatCode>0%</c:formatCode>
                <c:ptCount val="15"/>
                <c:pt idx="0">
                  <c:v>0.62772176927557632</c:v>
                </c:pt>
                <c:pt idx="1">
                  <c:v>0.62824808062908566</c:v>
                </c:pt>
                <c:pt idx="2">
                  <c:v>0.60530144993751922</c:v>
                </c:pt>
                <c:pt idx="3">
                  <c:v>0.59626489005645689</c:v>
                </c:pt>
                <c:pt idx="4">
                  <c:v>0.52286326585817222</c:v>
                </c:pt>
                <c:pt idx="5">
                  <c:v>0.5044564310802967</c:v>
                </c:pt>
                <c:pt idx="6">
                  <c:v>0.48150713962887542</c:v>
                </c:pt>
                <c:pt idx="7">
                  <c:v>0.52800904261181547</c:v>
                </c:pt>
                <c:pt idx="8">
                  <c:v>0.4945296749708698</c:v>
                </c:pt>
                <c:pt idx="9">
                  <c:v>0.47141483063757739</c:v>
                </c:pt>
                <c:pt idx="10">
                  <c:v>0.4873973499699798</c:v>
                </c:pt>
                <c:pt idx="11">
                  <c:v>0.45752690454446737</c:v>
                </c:pt>
                <c:pt idx="12">
                  <c:v>0.44076573847172978</c:v>
                </c:pt>
                <c:pt idx="13">
                  <c:v>0.39634069249575571</c:v>
                </c:pt>
                <c:pt idx="14">
                  <c:v>0.37414035756341019</c:v>
                </c:pt>
              </c:numCache>
            </c:numRef>
          </c:val>
          <c:smooth val="0"/>
        </c:ser>
        <c:ser>
          <c:idx val="2"/>
          <c:order val="2"/>
          <c:tx>
            <c:v>Iliad</c:v>
          </c:tx>
          <c:spPr>
            <a:ln w="12700">
              <a:solidFill>
                <a:srgbClr val="FFC000"/>
              </a:solidFill>
              <a:prstDash val="dash"/>
            </a:ln>
          </c:spPr>
          <c:marker>
            <c:symbol val="none"/>
          </c:marker>
          <c:val>
            <c:numRef>
              <c:f>CALCULATIONS!$IK$13:$JA$13</c:f>
              <c:numCache>
                <c:formatCode>0%</c:formatCode>
                <c:ptCount val="17"/>
                <c:pt idx="0">
                  <c:v>0.12941783528588477</c:v>
                </c:pt>
                <c:pt idx="1">
                  <c:v>0.14836250322021755</c:v>
                </c:pt>
                <c:pt idx="2">
                  <c:v>0.17191191489292371</c:v>
                </c:pt>
                <c:pt idx="3">
                  <c:v>0.15137838182597377</c:v>
                </c:pt>
                <c:pt idx="4">
                  <c:v>0.13456596409720589</c:v>
                </c:pt>
                <c:pt idx="5">
                  <c:v>0.13952791063486325</c:v>
                </c:pt>
                <c:pt idx="6">
                  <c:v>0.14383983524363131</c:v>
                </c:pt>
                <c:pt idx="7">
                  <c:v>0.17024272073270599</c:v>
                </c:pt>
                <c:pt idx="8">
                  <c:v>0.19340865762048937</c:v>
                </c:pt>
                <c:pt idx="9">
                  <c:v>0.18878175927414945</c:v>
                </c:pt>
                <c:pt idx="10">
                  <c:v>0.18488503570511355</c:v>
                </c:pt>
                <c:pt idx="11">
                  <c:v>0.17224351757113707</c:v>
                </c:pt>
                <c:pt idx="12">
                  <c:v>0.16091197440640848</c:v>
                </c:pt>
                <c:pt idx="13">
                  <c:v>0.14303347616444623</c:v>
                </c:pt>
                <c:pt idx="14">
                  <c:v>0.12849893093161849</c:v>
                </c:pt>
                <c:pt idx="16">
                  <c:v>0.16024846762312819</c:v>
                </c:pt>
              </c:numCache>
            </c:numRef>
          </c:val>
          <c:smooth val="0"/>
        </c:ser>
        <c:ser>
          <c:idx val="1"/>
          <c:order val="3"/>
          <c:tx>
            <c:v>Telenet g*-g</c:v>
          </c:tx>
          <c:spPr>
            <a:ln>
              <a:solidFill>
                <a:schemeClr val="tx1">
                  <a:lumMod val="50000"/>
                  <a:lumOff val="50000"/>
                </a:schemeClr>
              </a:solidFill>
            </a:ln>
          </c:spPr>
          <c:marker>
            <c:symbol val="none"/>
          </c:marker>
          <c:val>
            <c:numRef>
              <c:f>CALCULATIONS!$IK$38:$IY$38</c:f>
              <c:numCache>
                <c:formatCode>0%</c:formatCode>
                <c:ptCount val="15"/>
                <c:pt idx="0">
                  <c:v>3.0143720881888325E-3</c:v>
                </c:pt>
                <c:pt idx="1">
                  <c:v>3.3574172546962378E-3</c:v>
                </c:pt>
                <c:pt idx="2">
                  <c:v>3.6813529470480222E-3</c:v>
                </c:pt>
                <c:pt idx="3">
                  <c:v>3.5853598472479487E-3</c:v>
                </c:pt>
                <c:pt idx="4">
                  <c:v>3.6997589198108916E-3</c:v>
                </c:pt>
                <c:pt idx="5">
                  <c:v>3.6093231442015372E-3</c:v>
                </c:pt>
                <c:pt idx="6">
                  <c:v>3.6253663438468031E-3</c:v>
                </c:pt>
                <c:pt idx="7">
                  <c:v>3.0124944091111661E-3</c:v>
                </c:pt>
                <c:pt idx="8">
                  <c:v>3.0094291893357772E-3</c:v>
                </c:pt>
                <c:pt idx="9">
                  <c:v>2.9073954968688032E-3</c:v>
                </c:pt>
                <c:pt idx="10">
                  <c:v>2.681034649134495E-3</c:v>
                </c:pt>
                <c:pt idx="11">
                  <c:v>2.3145563296892435E-3</c:v>
                </c:pt>
                <c:pt idx="12">
                  <c:v>2.2721654787832835E-3</c:v>
                </c:pt>
                <c:pt idx="13">
                  <c:v>2.2284884725123355E-3</c:v>
                </c:pt>
                <c:pt idx="14">
                  <c:v>1.8190111798983555E-3</c:v>
                </c:pt>
              </c:numCache>
            </c:numRef>
          </c:val>
          <c:smooth val="0"/>
        </c:ser>
        <c:dLbls>
          <c:showLegendKey val="0"/>
          <c:showVal val="0"/>
          <c:showCatName val="0"/>
          <c:showSerName val="0"/>
          <c:showPercent val="0"/>
          <c:showBubbleSize val="0"/>
        </c:dLbls>
        <c:marker val="1"/>
        <c:smooth val="0"/>
        <c:axId val="202554368"/>
        <c:axId val="202560256"/>
      </c:lineChart>
      <c:dateAx>
        <c:axId val="202554368"/>
        <c:scaling>
          <c:orientation val="minMax"/>
        </c:scaling>
        <c:delete val="0"/>
        <c:axPos val="b"/>
        <c:numFmt formatCode="[$-409]mmm\-yy;@" sourceLinked="0"/>
        <c:majorTickMark val="out"/>
        <c:minorTickMark val="none"/>
        <c:tickLblPos val="nextTo"/>
        <c:crossAx val="202560256"/>
        <c:crosses val="autoZero"/>
        <c:auto val="1"/>
        <c:lblOffset val="100"/>
        <c:baseTimeUnit val="months"/>
        <c:majorUnit val="6"/>
        <c:majorTimeUnit val="months"/>
      </c:dateAx>
      <c:valAx>
        <c:axId val="202560256"/>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202554368"/>
        <c:crosses val="autoZero"/>
        <c:crossBetween val="between"/>
      </c:valAx>
      <c:spPr>
        <a:noFill/>
        <a:ln>
          <a:noFill/>
        </a:ln>
      </c:spPr>
    </c:plotArea>
    <c:legend>
      <c:legendPos val="b"/>
      <c:layout>
        <c:manualLayout>
          <c:xMode val="edge"/>
          <c:yMode val="edge"/>
          <c:x val="6.5512183100393931E-2"/>
          <c:y val="0.90110917463537765"/>
          <c:w val="0.70110330484683459"/>
          <c:h val="9.8891040372866446E-2"/>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57939318794412E-2"/>
          <c:y val="3.6736162939592948E-2"/>
          <c:w val="0.9102998279686636"/>
          <c:h val="0.83286224585082536"/>
        </c:manualLayout>
      </c:layout>
      <c:lineChart>
        <c:grouping val="standard"/>
        <c:varyColors val="0"/>
        <c:ser>
          <c:idx val="2"/>
          <c:order val="0"/>
          <c:tx>
            <c:strRef>
              <c:f>CALCULATIONS!$C$7</c:f>
              <c:strCache>
                <c:ptCount val="1"/>
                <c:pt idx="0">
                  <c:v>BELGACOM</c:v>
                </c:pt>
              </c:strCache>
            </c:strRef>
          </c:tx>
          <c:spPr>
            <a:ln>
              <a:solidFill>
                <a:sysClr val="windowText" lastClr="0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CALCULATIONS!$RK$7:$RY$7</c:f>
              <c:numCache>
                <c:formatCode>0.0</c:formatCode>
                <c:ptCount val="15"/>
                <c:pt idx="0">
                  <c:v>1.0554319553145532</c:v>
                </c:pt>
                <c:pt idx="1">
                  <c:v>1.1986269210322189</c:v>
                </c:pt>
                <c:pt idx="2">
                  <c:v>1.0813547056487569</c:v>
                </c:pt>
                <c:pt idx="3">
                  <c:v>1.1562878970693782</c:v>
                </c:pt>
                <c:pt idx="4">
                  <c:v>1.3579256750118545</c:v>
                </c:pt>
                <c:pt idx="5">
                  <c:v>1.7600533065372237</c:v>
                </c:pt>
                <c:pt idx="6">
                  <c:v>1.571928710529517</c:v>
                </c:pt>
                <c:pt idx="7">
                  <c:v>1.6561589123567142</c:v>
                </c:pt>
                <c:pt idx="8">
                  <c:v>1.6913906239013168</c:v>
                </c:pt>
                <c:pt idx="9">
                  <c:v>1.8075189245546004</c:v>
                </c:pt>
                <c:pt idx="10">
                  <c:v>1.686587008314125</c:v>
                </c:pt>
                <c:pt idx="11">
                  <c:v>1.8035518711146783</c:v>
                </c:pt>
                <c:pt idx="12">
                  <c:v>1.7607310907196194</c:v>
                </c:pt>
                <c:pt idx="13">
                  <c:v>1.816679456727508</c:v>
                </c:pt>
                <c:pt idx="14">
                  <c:v>1.5977844313631977</c:v>
                </c:pt>
              </c:numCache>
            </c:numRef>
          </c:val>
          <c:smooth val="0"/>
        </c:ser>
        <c:ser>
          <c:idx val="0"/>
          <c:order val="1"/>
          <c:tx>
            <c:v>Belgacom's peers</c:v>
          </c:tx>
          <c:spPr>
            <a:ln>
              <a:solidFill>
                <a:schemeClr val="bg2">
                  <a:lumMod val="50000"/>
                </a:schemeClr>
              </a:solidFill>
              <a:prstDash val="dash"/>
            </a:ln>
          </c:spPr>
          <c:marker>
            <c:symbol val="none"/>
          </c:marker>
          <c:val>
            <c:numRef>
              <c:f>CALCULATIONS!$RK$29:$RY$29</c:f>
              <c:numCache>
                <c:formatCode>0.0</c:formatCode>
                <c:ptCount val="15"/>
                <c:pt idx="0">
                  <c:v>1.7117203513804267</c:v>
                </c:pt>
                <c:pt idx="1">
                  <c:v>1.7949595705776797</c:v>
                </c:pt>
                <c:pt idx="2">
                  <c:v>1.7047006899637278</c:v>
                </c:pt>
                <c:pt idx="3">
                  <c:v>1.7200393864306633</c:v>
                </c:pt>
                <c:pt idx="4">
                  <c:v>1.6276384571595193</c:v>
                </c:pt>
                <c:pt idx="5">
                  <c:v>1.6903619716854692</c:v>
                </c:pt>
                <c:pt idx="6">
                  <c:v>1.517179490141876</c:v>
                </c:pt>
                <c:pt idx="7">
                  <c:v>1.5134703544633679</c:v>
                </c:pt>
                <c:pt idx="8">
                  <c:v>1.4553632819285971</c:v>
                </c:pt>
                <c:pt idx="9">
                  <c:v>1.4820221118363497</c:v>
                </c:pt>
                <c:pt idx="10">
                  <c:v>1.3616394214954644</c:v>
                </c:pt>
                <c:pt idx="11">
                  <c:v>1.4219547061970712</c:v>
                </c:pt>
                <c:pt idx="12">
                  <c:v>1.4157005879127986</c:v>
                </c:pt>
                <c:pt idx="13">
                  <c:v>1.5012803201904144</c:v>
                </c:pt>
                <c:pt idx="14">
                  <c:v>1.5874207471738968</c:v>
                </c:pt>
              </c:numCache>
            </c:numRef>
          </c:val>
          <c:smooth val="0"/>
        </c:ser>
        <c:ser>
          <c:idx val="3"/>
          <c:order val="2"/>
          <c:tx>
            <c:strRef>
              <c:f>CALCULATIONS!$C$8</c:f>
              <c:strCache>
                <c:ptCount val="1"/>
                <c:pt idx="0">
                  <c:v>MOBISTAR</c:v>
                </c:pt>
              </c:strCache>
            </c:strRef>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CALCULATIONS!$RK$8:$SB$8</c:f>
              <c:numCache>
                <c:formatCode>0.0</c:formatCode>
                <c:ptCount val="18"/>
                <c:pt idx="0">
                  <c:v>0.70299274843261328</c:v>
                </c:pt>
                <c:pt idx="1">
                  <c:v>0.58944889071525863</c:v>
                </c:pt>
                <c:pt idx="2">
                  <c:v>0.47629187327989836</c:v>
                </c:pt>
                <c:pt idx="3">
                  <c:v>0.59132384674390026</c:v>
                </c:pt>
                <c:pt idx="4">
                  <c:v>0.70922507609590624</c:v>
                </c:pt>
                <c:pt idx="5">
                  <c:v>0.59894390439423706</c:v>
                </c:pt>
                <c:pt idx="6">
                  <c:v>0.48577778679508793</c:v>
                </c:pt>
                <c:pt idx="7">
                  <c:v>0.57792728144466743</c:v>
                </c:pt>
                <c:pt idx="8">
                  <c:v>0.67239970907870061</c:v>
                </c:pt>
                <c:pt idx="9">
                  <c:v>0.57140279883023826</c:v>
                </c:pt>
                <c:pt idx="10">
                  <c:v>0.4693051671163635</c:v>
                </c:pt>
                <c:pt idx="11">
                  <c:v>0.55825197955938699</c:v>
                </c:pt>
                <c:pt idx="12">
                  <c:v>0.65150968462482195</c:v>
                </c:pt>
                <c:pt idx="13">
                  <c:v>0.64731075495043999</c:v>
                </c:pt>
                <c:pt idx="14">
                  <c:v>0.63941185552964497</c:v>
                </c:pt>
                <c:pt idx="16">
                  <c:v>0.58839090141871486</c:v>
                </c:pt>
                <c:pt idx="17">
                  <c:v>0.58592189088103919</c:v>
                </c:pt>
              </c:numCache>
            </c:numRef>
          </c:val>
          <c:smooth val="0"/>
        </c:ser>
        <c:ser>
          <c:idx val="4"/>
          <c:order val="3"/>
          <c:tx>
            <c:strRef>
              <c:f>CALCULATIONS!$C$9</c:f>
              <c:strCache>
                <c:ptCount val="1"/>
                <c:pt idx="0">
                  <c:v>TELENET</c:v>
                </c:pt>
              </c:strCache>
            </c:strRef>
          </c:tx>
          <c:spPr>
            <a:ln w="28575">
              <a:solidFill>
                <a:srgbClr val="FFC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CALCULATIONS!$RK$9:$RY$9</c:f>
              <c:numCache>
                <c:formatCode>0.0</c:formatCode>
                <c:ptCount val="15"/>
                <c:pt idx="0">
                  <c:v>0.59402519402855913</c:v>
                </c:pt>
                <c:pt idx="1">
                  <c:v>0.607879716737179</c:v>
                </c:pt>
                <c:pt idx="2">
                  <c:v>0.21964221472782733</c:v>
                </c:pt>
                <c:pt idx="3">
                  <c:v>0.25209484418336447</c:v>
                </c:pt>
                <c:pt idx="4">
                  <c:v>0.32720432796896387</c:v>
                </c:pt>
                <c:pt idx="5">
                  <c:v>0.41147033876845601</c:v>
                </c:pt>
                <c:pt idx="6">
                  <c:v>-0.3078324936427998</c:v>
                </c:pt>
                <c:pt idx="7">
                  <c:v>-0.39045278687673507</c:v>
                </c:pt>
                <c:pt idx="8">
                  <c:v>-0.36248023929903112</c:v>
                </c:pt>
                <c:pt idx="9">
                  <c:v>-0.39678725919971403</c:v>
                </c:pt>
                <c:pt idx="10">
                  <c:v>-1.0279768409734062</c:v>
                </c:pt>
                <c:pt idx="11">
                  <c:v>-0.94040333933713061</c:v>
                </c:pt>
                <c:pt idx="12">
                  <c:v>-0.92328918183754705</c:v>
                </c:pt>
                <c:pt idx="13">
                  <c:v>-0.85949653619175292</c:v>
                </c:pt>
                <c:pt idx="14">
                  <c:v>-1.7214195502411884</c:v>
                </c:pt>
              </c:numCache>
            </c:numRef>
          </c:val>
          <c:smooth val="0"/>
        </c:ser>
        <c:dLbls>
          <c:showLegendKey val="0"/>
          <c:showVal val="0"/>
          <c:showCatName val="0"/>
          <c:showSerName val="0"/>
          <c:showPercent val="0"/>
          <c:showBubbleSize val="0"/>
        </c:dLbls>
        <c:marker val="1"/>
        <c:smooth val="0"/>
        <c:axId val="202595328"/>
        <c:axId val="202605312"/>
      </c:lineChart>
      <c:dateAx>
        <c:axId val="202595328"/>
        <c:scaling>
          <c:orientation val="minMax"/>
        </c:scaling>
        <c:delete val="0"/>
        <c:axPos val="b"/>
        <c:numFmt formatCode="[$-409]mmm\-yy;@" sourceLinked="0"/>
        <c:majorTickMark val="out"/>
        <c:minorTickMark val="none"/>
        <c:tickLblPos val="nextTo"/>
        <c:crossAx val="202605312"/>
        <c:crosses val="autoZero"/>
        <c:auto val="1"/>
        <c:lblOffset val="100"/>
        <c:baseTimeUnit val="months"/>
        <c:majorUnit val="6"/>
        <c:majorTimeUnit val="months"/>
      </c:dateAx>
      <c:valAx>
        <c:axId val="202605312"/>
        <c:scaling>
          <c:orientation val="minMax"/>
          <c:min val="-1.5"/>
        </c:scaling>
        <c:delete val="0"/>
        <c:axPos val="l"/>
        <c:majorGridlines>
          <c:spPr>
            <a:ln>
              <a:solidFill>
                <a:schemeClr val="bg1">
                  <a:lumMod val="50000"/>
                </a:schemeClr>
              </a:solidFill>
              <a:prstDash val="dash"/>
            </a:ln>
          </c:spPr>
        </c:majorGridlines>
        <c:numFmt formatCode="0.0" sourceLinked="0"/>
        <c:majorTickMark val="out"/>
        <c:minorTickMark val="none"/>
        <c:tickLblPos val="nextTo"/>
        <c:crossAx val="202595328"/>
        <c:crosses val="autoZero"/>
        <c:crossBetween val="between"/>
      </c:valAx>
      <c:spPr>
        <a:noFill/>
        <a:ln>
          <a:noFill/>
        </a:ln>
      </c:spPr>
    </c:plotArea>
    <c:legend>
      <c:legendPos val="b"/>
      <c:layout>
        <c:manualLayout>
          <c:xMode val="edge"/>
          <c:yMode val="edge"/>
          <c:x val="7.2186114353692141E-2"/>
          <c:y val="0.897241635969943"/>
          <c:w val="0.89999996816664385"/>
          <c:h val="0.10275836403005698"/>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pPr>
              <a:solidFill>
                <a:srgbClr val="FFD347"/>
              </a:solidFill>
            </c:spPr>
          </c:marker>
          <c:xVal>
            <c:numRef>
              <c:f>RATINGS!$X$218:$X$235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xVal>
          <c:yVal>
            <c:numRef>
              <c:f>RATINGS!$Q$218:$Q$235</c:f>
              <c:numCache>
                <c:formatCode>0.0</c:formatCode>
                <c:ptCount val="18"/>
                <c:pt idx="0">
                  <c:v>0.14492583738846943</c:v>
                </c:pt>
                <c:pt idx="1">
                  <c:v>0.1125775391769408</c:v>
                </c:pt>
                <c:pt idx="2">
                  <c:v>0.30647226314906528</c:v>
                </c:pt>
                <c:pt idx="3">
                  <c:v>0.4531362931134375</c:v>
                </c:pt>
                <c:pt idx="4">
                  <c:v>0.48365753786158194</c:v>
                </c:pt>
                <c:pt idx="5">
                  <c:v>0.23142182372847131</c:v>
                </c:pt>
                <c:pt idx="6">
                  <c:v>0.53732577949199412</c:v>
                </c:pt>
                <c:pt idx="7">
                  <c:v>6.7940672040062378E-2</c:v>
                </c:pt>
                <c:pt idx="8">
                  <c:v>0.11347660787992031</c:v>
                </c:pt>
                <c:pt idx="9">
                  <c:v>9.0649363496904112E-2</c:v>
                </c:pt>
                <c:pt idx="10">
                  <c:v>4.7173620831136631E-2</c:v>
                </c:pt>
                <c:pt idx="11">
                  <c:v>0.3589062810889927</c:v>
                </c:pt>
                <c:pt idx="12">
                  <c:v>0.35885662448090283</c:v>
                </c:pt>
                <c:pt idx="13">
                  <c:v>0.53539982577948519</c:v>
                </c:pt>
                <c:pt idx="14">
                  <c:v>0.48586405054400172</c:v>
                </c:pt>
                <c:pt idx="15">
                  <c:v>1.2930396343059933</c:v>
                </c:pt>
                <c:pt idx="16">
                  <c:v>0.81794651831602128</c:v>
                </c:pt>
                <c:pt idx="17">
                  <c:v>0.83286804606148612</c:v>
                </c:pt>
              </c:numCache>
            </c:numRef>
          </c:yVal>
          <c:smooth val="0"/>
        </c:ser>
        <c:dLbls>
          <c:showLegendKey val="0"/>
          <c:showVal val="0"/>
          <c:showCatName val="0"/>
          <c:showSerName val="0"/>
          <c:showPercent val="0"/>
          <c:showBubbleSize val="0"/>
        </c:dLbls>
        <c:axId val="191779584"/>
        <c:axId val="191781504"/>
      </c:scatterChart>
      <c:valAx>
        <c:axId val="191779584"/>
        <c:scaling>
          <c:orientation val="minMax"/>
        </c:scaling>
        <c:delete val="0"/>
        <c:axPos val="b"/>
        <c:numFmt formatCode="General" sourceLinked="1"/>
        <c:majorTickMark val="out"/>
        <c:minorTickMark val="none"/>
        <c:tickLblPos val="nextTo"/>
        <c:crossAx val="191781504"/>
        <c:crosses val="autoZero"/>
        <c:crossBetween val="midCat"/>
      </c:valAx>
      <c:valAx>
        <c:axId val="191781504"/>
        <c:scaling>
          <c:orientation val="minMax"/>
        </c:scaling>
        <c:delete val="0"/>
        <c:axPos val="l"/>
        <c:majorGridlines/>
        <c:numFmt formatCode="0.0" sourceLinked="1"/>
        <c:majorTickMark val="out"/>
        <c:minorTickMark val="none"/>
        <c:tickLblPos val="nextTo"/>
        <c:crossAx val="191779584"/>
        <c:crosses val="autoZero"/>
        <c:crossBetween val="midCat"/>
      </c:valAx>
    </c:plotArea>
    <c:plotVisOnly val="1"/>
    <c:dispBlanksAs val="gap"/>
    <c:showDLblsOverMax val="0"/>
  </c:chart>
  <c:spPr>
    <a:ln>
      <a:noFill/>
    </a:ln>
  </c:spPr>
  <c:txPr>
    <a:bodyPr/>
    <a:lstStyle/>
    <a:p>
      <a:pPr>
        <a:defRPr baseline="0">
          <a:latin typeface="Arial" pitchFamily="34" charset="0"/>
        </a:defRPr>
      </a:pPr>
      <a:endParaRPr lang="fr-FR"/>
    </a:p>
  </c:txPr>
  <c:printSettings>
    <c:headerFooter/>
    <c:pageMargins b="0.75000000000001077" l="0.70000000000000062" r="0.70000000000000062" t="0.75000000000001077"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pPr>
              <a:solidFill>
                <a:srgbClr val="FFD347"/>
              </a:solidFill>
            </c:spPr>
          </c:marker>
          <c:xVal>
            <c:numRef>
              <c:f>RATINGS!$Q$218:$Q$235</c:f>
              <c:numCache>
                <c:formatCode>0.0</c:formatCode>
                <c:ptCount val="18"/>
                <c:pt idx="0">
                  <c:v>0.14492583738846943</c:v>
                </c:pt>
                <c:pt idx="1">
                  <c:v>0.1125775391769408</c:v>
                </c:pt>
                <c:pt idx="2">
                  <c:v>0.30647226314906528</c:v>
                </c:pt>
                <c:pt idx="3">
                  <c:v>0.4531362931134375</c:v>
                </c:pt>
                <c:pt idx="4">
                  <c:v>0.48365753786158194</c:v>
                </c:pt>
                <c:pt idx="5">
                  <c:v>0.23142182372847131</c:v>
                </c:pt>
                <c:pt idx="6">
                  <c:v>0.53732577949199412</c:v>
                </c:pt>
                <c:pt idx="7">
                  <c:v>6.7940672040062378E-2</c:v>
                </c:pt>
                <c:pt idx="8">
                  <c:v>0.11347660787992031</c:v>
                </c:pt>
                <c:pt idx="9">
                  <c:v>9.0649363496904112E-2</c:v>
                </c:pt>
                <c:pt idx="10">
                  <c:v>4.7173620831136631E-2</c:v>
                </c:pt>
                <c:pt idx="11">
                  <c:v>0.3589062810889927</c:v>
                </c:pt>
                <c:pt idx="12">
                  <c:v>0.35885662448090283</c:v>
                </c:pt>
                <c:pt idx="13">
                  <c:v>0.53539982577948519</c:v>
                </c:pt>
                <c:pt idx="14">
                  <c:v>0.48586405054400172</c:v>
                </c:pt>
                <c:pt idx="15">
                  <c:v>1.2930396343059933</c:v>
                </c:pt>
                <c:pt idx="16">
                  <c:v>0.81794651831602128</c:v>
                </c:pt>
                <c:pt idx="17">
                  <c:v>0.83286804606148612</c:v>
                </c:pt>
              </c:numCache>
            </c:numRef>
          </c:xVal>
          <c:yVal>
            <c:numRef>
              <c:f>RATINGS!$X$218:$X$235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yVal>
          <c:smooth val="0"/>
        </c:ser>
        <c:dLbls>
          <c:showLegendKey val="0"/>
          <c:showVal val="0"/>
          <c:showCatName val="0"/>
          <c:showSerName val="0"/>
          <c:showPercent val="0"/>
          <c:showBubbleSize val="0"/>
        </c:dLbls>
        <c:axId val="191804928"/>
        <c:axId val="191806848"/>
      </c:scatterChart>
      <c:valAx>
        <c:axId val="191804928"/>
        <c:scaling>
          <c:orientation val="minMax"/>
        </c:scaling>
        <c:delete val="0"/>
        <c:axPos val="b"/>
        <c:numFmt formatCode="0.0" sourceLinked="1"/>
        <c:majorTickMark val="out"/>
        <c:minorTickMark val="none"/>
        <c:tickLblPos val="nextTo"/>
        <c:crossAx val="191806848"/>
        <c:crosses val="autoZero"/>
        <c:crossBetween val="midCat"/>
      </c:valAx>
      <c:valAx>
        <c:axId val="191806848"/>
        <c:scaling>
          <c:orientation val="minMax"/>
        </c:scaling>
        <c:delete val="0"/>
        <c:axPos val="l"/>
        <c:majorGridlines/>
        <c:numFmt formatCode="General" sourceLinked="1"/>
        <c:majorTickMark val="out"/>
        <c:minorTickMark val="none"/>
        <c:tickLblPos val="nextTo"/>
        <c:crossAx val="191804928"/>
        <c:crosses val="autoZero"/>
        <c:crossBetween val="midCat"/>
      </c:valAx>
    </c:plotArea>
    <c:plotVisOnly val="1"/>
    <c:dispBlanksAs val="gap"/>
    <c:showDLblsOverMax val="0"/>
  </c:chart>
  <c:spPr>
    <a:ln>
      <a:noFill/>
    </a:ln>
  </c:spPr>
  <c:txPr>
    <a:bodyPr/>
    <a:lstStyle/>
    <a:p>
      <a:pPr>
        <a:defRPr baseline="0">
          <a:latin typeface="Arial" pitchFamily="34" charset="0"/>
        </a:defRPr>
      </a:pPr>
      <a:endParaRPr lang="fr-FR"/>
    </a:p>
  </c:txPr>
  <c:printSettings>
    <c:headerFooter/>
    <c:pageMargins b="0.75000000000001077" l="0.70000000000000062" r="0.70000000000000062" t="0.7500000000000107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RATINGS!$X$218:$X$235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xVal>
          <c:yVal>
            <c:numRef>
              <c:f>RATINGS!$K$218:$K$235</c:f>
              <c:numCache>
                <c:formatCode>0%</c:formatCode>
                <c:ptCount val="18"/>
                <c:pt idx="0">
                  <c:v>0.38863376963635382</c:v>
                </c:pt>
                <c:pt idx="1">
                  <c:v>0.65916928667187924</c:v>
                </c:pt>
                <c:pt idx="2">
                  <c:v>0.39455754988606467</c:v>
                </c:pt>
                <c:pt idx="3">
                  <c:v>0.41058428750130765</c:v>
                </c:pt>
                <c:pt idx="4">
                  <c:v>0.32689238844942292</c:v>
                </c:pt>
                <c:pt idx="5">
                  <c:v>0.57797762447652712</c:v>
                </c:pt>
                <c:pt idx="6">
                  <c:v>0.58432110398362269</c:v>
                </c:pt>
                <c:pt idx="7">
                  <c:v>0.28538228278094252</c:v>
                </c:pt>
                <c:pt idx="8">
                  <c:v>0.55735027907047707</c:v>
                </c:pt>
                <c:pt idx="9">
                  <c:v>1.0937205704383743</c:v>
                </c:pt>
                <c:pt idx="10">
                  <c:v>0.55188262327703475</c:v>
                </c:pt>
                <c:pt idx="11">
                  <c:v>0.81619677632706378</c:v>
                </c:pt>
                <c:pt idx="12">
                  <c:v>0.65988895625769761</c:v>
                </c:pt>
                <c:pt idx="13">
                  <c:v>0.59391361058012793</c:v>
                </c:pt>
                <c:pt idx="14">
                  <c:v>0.8212209271732237</c:v>
                </c:pt>
                <c:pt idx="15">
                  <c:v>0.76143067581745727</c:v>
                </c:pt>
                <c:pt idx="16">
                  <c:v>1.3540258673430845</c:v>
                </c:pt>
                <c:pt idx="17">
                  <c:v>0.61151188186430672</c:v>
                </c:pt>
              </c:numCache>
            </c:numRef>
          </c:yVal>
          <c:smooth val="0"/>
        </c:ser>
        <c:dLbls>
          <c:showLegendKey val="0"/>
          <c:showVal val="0"/>
          <c:showCatName val="0"/>
          <c:showSerName val="0"/>
          <c:showPercent val="0"/>
          <c:showBubbleSize val="0"/>
        </c:dLbls>
        <c:axId val="202979968"/>
        <c:axId val="202985856"/>
      </c:scatterChart>
      <c:valAx>
        <c:axId val="202979968"/>
        <c:scaling>
          <c:orientation val="minMax"/>
        </c:scaling>
        <c:delete val="0"/>
        <c:axPos val="b"/>
        <c:numFmt formatCode="General" sourceLinked="1"/>
        <c:majorTickMark val="out"/>
        <c:minorTickMark val="none"/>
        <c:tickLblPos val="nextTo"/>
        <c:crossAx val="202985856"/>
        <c:crosses val="autoZero"/>
        <c:crossBetween val="midCat"/>
      </c:valAx>
      <c:valAx>
        <c:axId val="202985856"/>
        <c:scaling>
          <c:orientation val="minMax"/>
        </c:scaling>
        <c:delete val="0"/>
        <c:axPos val="l"/>
        <c:majorGridlines/>
        <c:numFmt formatCode="0%" sourceLinked="1"/>
        <c:majorTickMark val="out"/>
        <c:minorTickMark val="none"/>
        <c:tickLblPos val="nextTo"/>
        <c:crossAx val="202979968"/>
        <c:crosses val="autoZero"/>
        <c:crossBetween val="midCat"/>
      </c:valAx>
    </c:plotArea>
    <c:plotVisOnly val="1"/>
    <c:dispBlanksAs val="gap"/>
    <c:showDLblsOverMax val="0"/>
  </c:chart>
  <c:printSettings>
    <c:headerFooter/>
    <c:pageMargins b="0.75000000000001099" l="0.70000000000000062" r="0.70000000000000062" t="0.75000000000001099"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RATINGS!$X$218:$X$235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xVal>
          <c:yVal>
            <c:numRef>
              <c:f>RATINGS!$N$218:$N$235</c:f>
              <c:numCache>
                <c:formatCode>0%</c:formatCode>
                <c:ptCount val="18"/>
                <c:pt idx="0">
                  <c:v>0.28756363720088318</c:v>
                </c:pt>
                <c:pt idx="1">
                  <c:v>0.30362227391248225</c:v>
                </c:pt>
                <c:pt idx="2">
                  <c:v>0.198117589718218</c:v>
                </c:pt>
                <c:pt idx="3">
                  <c:v>0.28287599661626001</c:v>
                </c:pt>
                <c:pt idx="4">
                  <c:v>0.2718321660431175</c:v>
                </c:pt>
                <c:pt idx="5">
                  <c:v>0.59074959904524027</c:v>
                </c:pt>
                <c:pt idx="6">
                  <c:v>0.65530118542007598</c:v>
                </c:pt>
                <c:pt idx="7">
                  <c:v>0.34197601038246805</c:v>
                </c:pt>
                <c:pt idx="8">
                  <c:v>0.32061814749302248</c:v>
                </c:pt>
                <c:pt idx="9">
                  <c:v>0.37414035756341019</c:v>
                </c:pt>
                <c:pt idx="10">
                  <c:v>0.43916945384982109</c:v>
                </c:pt>
                <c:pt idx="11">
                  <c:v>0.62319136029119382</c:v>
                </c:pt>
                <c:pt idx="12">
                  <c:v>0.57929804018594233</c:v>
                </c:pt>
                <c:pt idx="13">
                  <c:v>0.75672107111582532</c:v>
                </c:pt>
                <c:pt idx="14">
                  <c:v>0.63323863537070213</c:v>
                </c:pt>
                <c:pt idx="15">
                  <c:v>0.7506672643344422</c:v>
                </c:pt>
                <c:pt idx="16">
                  <c:v>0.4832654138496531</c:v>
                </c:pt>
                <c:pt idx="17">
                  <c:v>0.44527495080222473</c:v>
                </c:pt>
              </c:numCache>
            </c:numRef>
          </c:yVal>
          <c:smooth val="0"/>
        </c:ser>
        <c:dLbls>
          <c:showLegendKey val="0"/>
          <c:showVal val="0"/>
          <c:showCatName val="0"/>
          <c:showSerName val="0"/>
          <c:showPercent val="0"/>
          <c:showBubbleSize val="0"/>
        </c:dLbls>
        <c:axId val="203001216"/>
        <c:axId val="203019392"/>
      </c:scatterChart>
      <c:valAx>
        <c:axId val="203001216"/>
        <c:scaling>
          <c:orientation val="minMax"/>
        </c:scaling>
        <c:delete val="0"/>
        <c:axPos val="b"/>
        <c:numFmt formatCode="General" sourceLinked="1"/>
        <c:majorTickMark val="out"/>
        <c:minorTickMark val="none"/>
        <c:tickLblPos val="nextTo"/>
        <c:crossAx val="203019392"/>
        <c:crosses val="autoZero"/>
        <c:crossBetween val="midCat"/>
      </c:valAx>
      <c:valAx>
        <c:axId val="203019392"/>
        <c:scaling>
          <c:orientation val="minMax"/>
        </c:scaling>
        <c:delete val="0"/>
        <c:axPos val="l"/>
        <c:majorGridlines/>
        <c:numFmt formatCode="0%" sourceLinked="1"/>
        <c:majorTickMark val="out"/>
        <c:minorTickMark val="none"/>
        <c:tickLblPos val="nextTo"/>
        <c:crossAx val="203001216"/>
        <c:crosses val="autoZero"/>
        <c:crossBetween val="midCat"/>
      </c:valAx>
    </c:plotArea>
    <c:plotVisOnly val="1"/>
    <c:dispBlanksAs val="gap"/>
    <c:showDLblsOverMax val="0"/>
  </c:chart>
  <c:printSettings>
    <c:headerFooter/>
    <c:pageMargins b="0.75000000000001121" l="0.70000000000000062" r="0.70000000000000062" t="0.75000000000001121"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pPr>
              <a:solidFill>
                <a:srgbClr val="FFD347"/>
              </a:solidFill>
            </c:spPr>
          </c:marker>
          <c:xVal>
            <c:numRef>
              <c:f>RATINGS!$X$218:$X$235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xVal>
          <c:yVal>
            <c:numRef>
              <c:f>RATINGS!$F$218:$F$235</c:f>
              <c:numCache>
                <c:formatCode>0.0</c:formatCode>
                <c:ptCount val="18"/>
                <c:pt idx="0">
                  <c:v>1.115510051221781</c:v>
                </c:pt>
                <c:pt idx="1">
                  <c:v>2.3799650685311082</c:v>
                </c:pt>
                <c:pt idx="2">
                  <c:v>3.0194404245579665</c:v>
                </c:pt>
                <c:pt idx="3">
                  <c:v>3.3609937686383571</c:v>
                </c:pt>
                <c:pt idx="4">
                  <c:v>15.093551196243927</c:v>
                </c:pt>
                <c:pt idx="5">
                  <c:v>5.926162300042666</c:v>
                </c:pt>
                <c:pt idx="6">
                  <c:v>4.5656189860730132</c:v>
                </c:pt>
                <c:pt idx="7">
                  <c:v>0.67087277248866906</c:v>
                </c:pt>
                <c:pt idx="8">
                  <c:v>0.36049399108323393</c:v>
                </c:pt>
                <c:pt idx="9">
                  <c:v>2.8580597145928004</c:v>
                </c:pt>
                <c:pt idx="10">
                  <c:v>0.74097535035035167</c:v>
                </c:pt>
                <c:pt idx="11">
                  <c:v>0.51903296228728391</c:v>
                </c:pt>
                <c:pt idx="12">
                  <c:v>8.7925074813560844</c:v>
                </c:pt>
                <c:pt idx="13">
                  <c:v>2.2841384555831188</c:v>
                </c:pt>
                <c:pt idx="14">
                  <c:v>1.7917641566904272</c:v>
                </c:pt>
                <c:pt idx="15">
                  <c:v>0.69493516909845843</c:v>
                </c:pt>
                <c:pt idx="16">
                  <c:v>0.51867732492363927</c:v>
                </c:pt>
                <c:pt idx="17">
                  <c:v>0.35625088177081743</c:v>
                </c:pt>
              </c:numCache>
            </c:numRef>
          </c:yVal>
          <c:smooth val="0"/>
        </c:ser>
        <c:dLbls>
          <c:showLegendKey val="0"/>
          <c:showVal val="0"/>
          <c:showCatName val="0"/>
          <c:showSerName val="0"/>
          <c:showPercent val="0"/>
          <c:showBubbleSize val="0"/>
        </c:dLbls>
        <c:axId val="204083200"/>
        <c:axId val="204085120"/>
      </c:scatterChart>
      <c:valAx>
        <c:axId val="204083200"/>
        <c:scaling>
          <c:orientation val="minMax"/>
        </c:scaling>
        <c:delete val="0"/>
        <c:axPos val="b"/>
        <c:numFmt formatCode="General" sourceLinked="1"/>
        <c:majorTickMark val="out"/>
        <c:minorTickMark val="none"/>
        <c:tickLblPos val="nextTo"/>
        <c:crossAx val="204085120"/>
        <c:crosses val="autoZero"/>
        <c:crossBetween val="midCat"/>
      </c:valAx>
      <c:valAx>
        <c:axId val="204085120"/>
        <c:scaling>
          <c:orientation val="minMax"/>
        </c:scaling>
        <c:delete val="0"/>
        <c:axPos val="l"/>
        <c:majorGridlines/>
        <c:numFmt formatCode="0.0" sourceLinked="1"/>
        <c:majorTickMark val="out"/>
        <c:minorTickMark val="none"/>
        <c:tickLblPos val="nextTo"/>
        <c:crossAx val="204083200"/>
        <c:crosses val="autoZero"/>
        <c:crossBetween val="midCat"/>
      </c:valAx>
    </c:plotArea>
    <c:plotVisOnly val="1"/>
    <c:dispBlanksAs val="gap"/>
    <c:showDLblsOverMax val="0"/>
  </c:chart>
  <c:spPr>
    <a:ln>
      <a:noFill/>
    </a:ln>
  </c:spPr>
  <c:txPr>
    <a:bodyPr/>
    <a:lstStyle/>
    <a:p>
      <a:pPr>
        <a:defRPr baseline="0">
          <a:latin typeface="Arial" pitchFamily="34" charset="0"/>
        </a:defRPr>
      </a:pPr>
      <a:endParaRPr lang="fr-FR"/>
    </a:p>
  </c:txPr>
  <c:printSettings>
    <c:headerFooter/>
    <c:pageMargins b="0.75000000000001099" l="0.70000000000000062" r="0.70000000000000062" t="0.75000000000001099"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110236220472493E-2"/>
          <c:y val="3.1404369895807686E-2"/>
          <c:w val="0.89054168000371969"/>
          <c:h val="0.7827833858049088"/>
        </c:manualLayout>
      </c:layout>
      <c:lineChart>
        <c:grouping val="standard"/>
        <c:varyColors val="0"/>
        <c:ser>
          <c:idx val="2"/>
          <c:order val="0"/>
          <c:tx>
            <c:strRef>
              <c:f>CALCULATIONS!$V$7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CALCULATIONS!$W$7:$AK$7</c:f>
              <c:numCache>
                <c:formatCode>0.00</c:formatCode>
                <c:ptCount val="15"/>
                <c:pt idx="0">
                  <c:v>0.9375949600736202</c:v>
                </c:pt>
                <c:pt idx="1">
                  <c:v>1.0596053311851197</c:v>
                </c:pt>
                <c:pt idx="2">
                  <c:v>1</c:v>
                </c:pt>
                <c:pt idx="3">
                  <c:v>1.1059346610413616</c:v>
                </c:pt>
                <c:pt idx="4">
                  <c:v>0.92385177445505473</c:v>
                </c:pt>
                <c:pt idx="5">
                  <c:v>1.0051339717232151</c:v>
                </c:pt>
                <c:pt idx="6">
                  <c:v>0.95089890370332808</c:v>
                </c:pt>
                <c:pt idx="7">
                  <c:v>0.87608737926907276</c:v>
                </c:pt>
                <c:pt idx="8">
                  <c:v>0.88068086248400801</c:v>
                </c:pt>
                <c:pt idx="9">
                  <c:v>0.93188545472966378</c:v>
                </c:pt>
                <c:pt idx="10">
                  <c:v>0.86816195682391817</c:v>
                </c:pt>
                <c:pt idx="11">
                  <c:v>0.91816135863221393</c:v>
                </c:pt>
                <c:pt idx="12">
                  <c:v>0.80845466998198301</c:v>
                </c:pt>
                <c:pt idx="13">
                  <c:v>0.74979956002828585</c:v>
                </c:pt>
                <c:pt idx="14">
                  <c:v>0.66634474879070904</c:v>
                </c:pt>
              </c:numCache>
            </c:numRef>
          </c:val>
          <c:smooth val="0"/>
        </c:ser>
        <c:ser>
          <c:idx val="13"/>
          <c:order val="1"/>
          <c:tx>
            <c:strRef>
              <c:f>CALCULATIONS!$V$18</c:f>
              <c:strCache>
                <c:ptCount val="1"/>
                <c:pt idx="0">
                  <c:v>KPN</c:v>
                </c:pt>
              </c:strCache>
            </c:strRef>
          </c:tx>
          <c:spPr>
            <a:ln w="19050">
              <a:solidFill>
                <a:schemeClr val="accent3">
                  <a:lumMod val="50000"/>
                </a:schemeClr>
              </a:solidFill>
            </a:ln>
          </c:spPr>
          <c:marker>
            <c:symbol val="square"/>
            <c:size val="5"/>
            <c:spPr>
              <a:solidFill>
                <a:schemeClr val="accent3">
                  <a:lumMod val="50000"/>
                </a:schemeClr>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CALCULATIONS!$W$18:$AK$18</c:f>
              <c:numCache>
                <c:formatCode>0.00</c:formatCode>
                <c:ptCount val="15"/>
                <c:pt idx="0">
                  <c:v>1.1377925912334799</c:v>
                </c:pt>
                <c:pt idx="1">
                  <c:v>1.1198090684661495</c:v>
                </c:pt>
                <c:pt idx="2">
                  <c:v>1</c:v>
                </c:pt>
                <c:pt idx="3">
                  <c:v>1.0525782423714849</c:v>
                </c:pt>
                <c:pt idx="4">
                  <c:v>1.0131471490800472</c:v>
                </c:pt>
                <c:pt idx="5">
                  <c:v>1.0837476279575495</c:v>
                </c:pt>
                <c:pt idx="6">
                  <c:v>0.90432518360559888</c:v>
                </c:pt>
                <c:pt idx="7">
                  <c:v>0.86306432044025816</c:v>
                </c:pt>
                <c:pt idx="8">
                  <c:v>0.78078951956203091</c:v>
                </c:pt>
                <c:pt idx="9">
                  <c:v>0.69658755679553841</c:v>
                </c:pt>
                <c:pt idx="10">
                  <c:v>0.63814447209758318</c:v>
                </c:pt>
                <c:pt idx="11">
                  <c:v>0.50217139118427645</c:v>
                </c:pt>
                <c:pt idx="12">
                  <c:v>0.31383600230205744</c:v>
                </c:pt>
                <c:pt idx="13">
                  <c:v>0.22161078533373491</c:v>
                </c:pt>
                <c:pt idx="14">
                  <c:v>0.40233478298448</c:v>
                </c:pt>
              </c:numCache>
            </c:numRef>
          </c:val>
          <c:smooth val="0"/>
        </c:ser>
        <c:ser>
          <c:idx val="5"/>
          <c:order val="2"/>
          <c:tx>
            <c:strRef>
              <c:f>CALCULATIONS!$V$10</c:f>
              <c:strCache>
                <c:ptCount val="1"/>
                <c:pt idx="0">
                  <c:v>TDC</c:v>
                </c:pt>
              </c:strCache>
            </c:strRef>
          </c:tx>
          <c:spPr>
            <a:ln w="19050">
              <a:solidFill>
                <a:schemeClr val="bg2">
                  <a:lumMod val="50000"/>
                </a:schemeClr>
              </a:solidFill>
            </a:ln>
          </c:spPr>
          <c:marker>
            <c:symbol val="square"/>
            <c:size val="5"/>
            <c:spPr>
              <a:solidFill>
                <a:srgbClr val="5D743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CALCULATIONS!$W$10:$AK$10</c:f>
              <c:numCache>
                <c:formatCode>0.00</c:formatCode>
                <c:ptCount val="15"/>
                <c:pt idx="0">
                  <c:v>1.11331594520898</c:v>
                </c:pt>
                <c:pt idx="1">
                  <c:v>1.111087708235821</c:v>
                </c:pt>
                <c:pt idx="2">
                  <c:v>1</c:v>
                </c:pt>
                <c:pt idx="3">
                  <c:v>1.0427831360082092</c:v>
                </c:pt>
                <c:pt idx="4">
                  <c:v>0.90962296214032845</c:v>
                </c:pt>
                <c:pt idx="5">
                  <c:v>0.80900059473824282</c:v>
                </c:pt>
                <c:pt idx="6">
                  <c:v>0.89016614901577873</c:v>
                </c:pt>
                <c:pt idx="7">
                  <c:v>0.86342702949911387</c:v>
                </c:pt>
                <c:pt idx="8">
                  <c:v>0.86461912185568557</c:v>
                </c:pt>
                <c:pt idx="9">
                  <c:v>0.76955565247252455</c:v>
                </c:pt>
                <c:pt idx="10">
                  <c:v>0.7737277136737063</c:v>
                </c:pt>
                <c:pt idx="11">
                  <c:v>0.80141502891791239</c:v>
                </c:pt>
                <c:pt idx="12">
                  <c:v>0.75931513861507838</c:v>
                </c:pt>
                <c:pt idx="13">
                  <c:v>0.84749734127641996</c:v>
                </c:pt>
                <c:pt idx="14">
                  <c:v>0.86680674387051748</c:v>
                </c:pt>
              </c:numCache>
            </c:numRef>
          </c:val>
          <c:smooth val="0"/>
        </c:ser>
        <c:ser>
          <c:idx val="3"/>
          <c:order val="3"/>
          <c:tx>
            <c:strRef>
              <c:f>CALCULATIONS!$V$8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CALCULATIONS!$W$8:$AK$8</c:f>
              <c:numCache>
                <c:formatCode>0.00</c:formatCode>
                <c:ptCount val="15"/>
                <c:pt idx="0">
                  <c:v>1.0976521491909161</c:v>
                </c:pt>
                <c:pt idx="1">
                  <c:v>1.0488260745954583</c:v>
                </c:pt>
                <c:pt idx="2">
                  <c:v>1</c:v>
                </c:pt>
                <c:pt idx="3">
                  <c:v>1.0558733120973747</c:v>
                </c:pt>
                <c:pt idx="4">
                  <c:v>1.1117466241947491</c:v>
                </c:pt>
                <c:pt idx="5">
                  <c:v>1.1560927363359628</c:v>
                </c:pt>
                <c:pt idx="6">
                  <c:v>1.2004388484771762</c:v>
                </c:pt>
                <c:pt idx="7">
                  <c:v>1.0641920149205428</c:v>
                </c:pt>
                <c:pt idx="8">
                  <c:v>0.92794518136390913</c:v>
                </c:pt>
                <c:pt idx="9">
                  <c:v>0.77382241338785718</c:v>
                </c:pt>
                <c:pt idx="10">
                  <c:v>0.61969964541180522</c:v>
                </c:pt>
                <c:pt idx="11">
                  <c:v>0.53203872650693296</c:v>
                </c:pt>
                <c:pt idx="12">
                  <c:v>0.4443778076020608</c:v>
                </c:pt>
                <c:pt idx="13">
                  <c:v>0.40553198444325683</c:v>
                </c:pt>
                <c:pt idx="14">
                  <c:v>0.36668616128445281</c:v>
                </c:pt>
              </c:numCache>
            </c:numRef>
          </c:val>
          <c:smooth val="0"/>
        </c:ser>
        <c:ser>
          <c:idx val="17"/>
          <c:order val="4"/>
          <c:tx>
            <c:strRef>
              <c:f>CALCULATIONS!$V$22</c:f>
              <c:strCache>
                <c:ptCount val="1"/>
                <c:pt idx="0">
                  <c:v>VOD</c:v>
                </c:pt>
              </c:strCache>
            </c:strRef>
          </c:tx>
          <c:spPr>
            <a:ln w="19050">
              <a:solidFill>
                <a:srgbClr val="0070C0"/>
              </a:solidFill>
            </a:ln>
          </c:spPr>
          <c:marker>
            <c:symbol val="triangle"/>
            <c:size val="5"/>
            <c:spPr>
              <a:solidFill>
                <a:srgbClr val="C00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CALCULATIONS!$W$22:$AK$22</c:f>
              <c:numCache>
                <c:formatCode>0.00</c:formatCode>
                <c:ptCount val="15"/>
                <c:pt idx="0">
                  <c:v>0.98520496394155388</c:v>
                </c:pt>
                <c:pt idx="1">
                  <c:v>0.98520496394155388</c:v>
                </c:pt>
                <c:pt idx="2">
                  <c:v>1</c:v>
                </c:pt>
                <c:pt idx="3">
                  <c:v>1.0147950360584461</c:v>
                </c:pt>
                <c:pt idx="4">
                  <c:v>1.0676083697816543</c:v>
                </c:pt>
                <c:pt idx="5">
                  <c:v>1.120421703504862</c:v>
                </c:pt>
                <c:pt idx="6">
                  <c:v>1.0762046228931996</c:v>
                </c:pt>
                <c:pt idx="7">
                  <c:v>1.0319875422815368</c:v>
                </c:pt>
                <c:pt idx="8">
                  <c:v>1.0420875776264942</c:v>
                </c:pt>
                <c:pt idx="9">
                  <c:v>1.0521876129714518</c:v>
                </c:pt>
                <c:pt idx="10">
                  <c:v>1.0579816743820289</c:v>
                </c:pt>
                <c:pt idx="11">
                  <c:v>1.0637757357926059</c:v>
                </c:pt>
                <c:pt idx="12">
                  <c:v>1.0936236969428437</c:v>
                </c:pt>
                <c:pt idx="13">
                  <c:v>1.1234716580930815</c:v>
                </c:pt>
                <c:pt idx="14">
                  <c:v>1.1234716580930815</c:v>
                </c:pt>
              </c:numCache>
            </c:numRef>
          </c:val>
          <c:smooth val="0"/>
        </c:ser>
        <c:ser>
          <c:idx val="4"/>
          <c:order val="5"/>
          <c:tx>
            <c:strRef>
              <c:f>CALCULATIONS!$V$9</c:f>
              <c:strCache>
                <c:ptCount val="1"/>
                <c:pt idx="0">
                  <c:v>Telenet</c:v>
                </c:pt>
              </c:strCache>
            </c:strRef>
          </c:tx>
          <c:spPr>
            <a:ln w="28575">
              <a:solidFill>
                <a:srgbClr val="FFC000"/>
              </a:solidFill>
            </a:ln>
          </c:spPr>
          <c:marker>
            <c:symbol val="diamond"/>
            <c:size val="7"/>
            <c:spPr>
              <a:solidFill>
                <a:srgbClr val="FFC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CALCULATIONS!$W$9:$AK$9</c:f>
              <c:numCache>
                <c:formatCode>0.00</c:formatCode>
                <c:ptCount val="15"/>
                <c:pt idx="0">
                  <c:v>0.92049255428842269</c:v>
                </c:pt>
                <c:pt idx="1">
                  <c:v>1.0324871994707998</c:v>
                </c:pt>
                <c:pt idx="2">
                  <c:v>1</c:v>
                </c:pt>
                <c:pt idx="3">
                  <c:v>1.1389156874509956</c:v>
                </c:pt>
                <c:pt idx="4">
                  <c:v>1.3696898296195521</c:v>
                </c:pt>
                <c:pt idx="5">
                  <c:v>1.5451635036465585</c:v>
                </c:pt>
                <c:pt idx="6">
                  <c:v>1.5284670156731401</c:v>
                </c:pt>
                <c:pt idx="7">
                  <c:v>1.2906282881043631</c:v>
                </c:pt>
                <c:pt idx="8">
                  <c:v>1.3834238028453811</c:v>
                </c:pt>
                <c:pt idx="9">
                  <c:v>1.4578695953797549</c:v>
                </c:pt>
                <c:pt idx="10">
                  <c:v>1.6195464398062602</c:v>
                </c:pt>
                <c:pt idx="11">
                  <c:v>1.6313402545323641</c:v>
                </c:pt>
                <c:pt idx="12">
                  <c:v>1.6708035611008387</c:v>
                </c:pt>
                <c:pt idx="13">
                  <c:v>1.8130204273299517</c:v>
                </c:pt>
                <c:pt idx="14">
                  <c:v>1.6732729777139232</c:v>
                </c:pt>
              </c:numCache>
            </c:numRef>
          </c:val>
          <c:smooth val="0"/>
        </c:ser>
        <c:ser>
          <c:idx val="16"/>
          <c:order val="6"/>
          <c:tx>
            <c:strRef>
              <c:f>CALCULATIONS!$V$21</c:f>
              <c:strCache>
                <c:ptCount val="1"/>
                <c:pt idx="0">
                  <c:v>BT</c:v>
                </c:pt>
              </c:strCache>
            </c:strRef>
          </c:tx>
          <c:spPr>
            <a:ln w="19050">
              <a:solidFill>
                <a:srgbClr val="0070C0"/>
              </a:solidFill>
            </a:ln>
          </c:spPr>
          <c:marker>
            <c:symbol val="diamond"/>
            <c:size val="5"/>
            <c:spPr>
              <a:solidFill>
                <a:srgbClr val="FFC000"/>
              </a:solid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CALCULATIONS!$W$21:$AK$21</c:f>
              <c:numCache>
                <c:formatCode>0.00</c:formatCode>
                <c:ptCount val="15"/>
                <c:pt idx="0">
                  <c:v>0.98689333108427757</c:v>
                </c:pt>
                <c:pt idx="1">
                  <c:v>0.95234434837593107</c:v>
                </c:pt>
                <c:pt idx="2">
                  <c:v>1</c:v>
                </c:pt>
                <c:pt idx="3">
                  <c:v>1.024390173064393</c:v>
                </c:pt>
                <c:pt idx="4">
                  <c:v>1.3230699510174049</c:v>
                </c:pt>
                <c:pt idx="5">
                  <c:v>1.4265949254571519</c:v>
                </c:pt>
                <c:pt idx="6">
                  <c:v>1.5488086070591938</c:v>
                </c:pt>
                <c:pt idx="7">
                  <c:v>1.2732817542907013</c:v>
                </c:pt>
                <c:pt idx="8">
                  <c:v>1.3995590785650471</c:v>
                </c:pt>
                <c:pt idx="9">
                  <c:v>1.6618492640238904</c:v>
                </c:pt>
                <c:pt idx="10">
                  <c:v>1.5528689116035814</c:v>
                </c:pt>
                <c:pt idx="11">
                  <c:v>1.7132663728762054</c:v>
                </c:pt>
                <c:pt idx="12">
                  <c:v>1.7157169642453682</c:v>
                </c:pt>
                <c:pt idx="13">
                  <c:v>2.065776047223534</c:v>
                </c:pt>
                <c:pt idx="14">
                  <c:v>2.2980141891936237</c:v>
                </c:pt>
              </c:numCache>
            </c:numRef>
          </c:val>
          <c:smooth val="0"/>
        </c:ser>
        <c:dLbls>
          <c:showLegendKey val="0"/>
          <c:showVal val="0"/>
          <c:showCatName val="0"/>
          <c:showSerName val="0"/>
          <c:showPercent val="0"/>
          <c:showBubbleSize val="0"/>
        </c:dLbls>
        <c:marker val="1"/>
        <c:smooth val="0"/>
        <c:axId val="202764288"/>
        <c:axId val="202766208"/>
      </c:lineChart>
      <c:dateAx>
        <c:axId val="202764288"/>
        <c:scaling>
          <c:orientation val="minMax"/>
        </c:scaling>
        <c:delete val="0"/>
        <c:axPos val="b"/>
        <c:numFmt formatCode="mm/yyyy;@" sourceLinked="0"/>
        <c:majorTickMark val="out"/>
        <c:minorTickMark val="none"/>
        <c:tickLblPos val="nextTo"/>
        <c:crossAx val="202766208"/>
        <c:crosses val="autoZero"/>
        <c:auto val="1"/>
        <c:lblOffset val="100"/>
        <c:baseTimeUnit val="months"/>
        <c:majorUnit val="6"/>
        <c:majorTimeUnit val="months"/>
      </c:dateAx>
      <c:valAx>
        <c:axId val="202766208"/>
        <c:scaling>
          <c:orientation val="minMax"/>
          <c:max val="2.5"/>
        </c:scaling>
        <c:delete val="0"/>
        <c:axPos val="l"/>
        <c:majorGridlines>
          <c:spPr>
            <a:ln>
              <a:solidFill>
                <a:schemeClr val="bg1">
                  <a:lumMod val="50000"/>
                </a:schemeClr>
              </a:solidFill>
              <a:prstDash val="dash"/>
            </a:ln>
          </c:spPr>
        </c:majorGridlines>
        <c:numFmt formatCode="0.00" sourceLinked="0"/>
        <c:majorTickMark val="out"/>
        <c:minorTickMark val="none"/>
        <c:tickLblPos val="nextTo"/>
        <c:crossAx val="202764288"/>
        <c:crosses val="autoZero"/>
        <c:crossBetween val="between"/>
        <c:majorUnit val="0.25"/>
      </c:valAx>
    </c:plotArea>
    <c:legend>
      <c:legendPos val="b"/>
      <c:layout>
        <c:manualLayout>
          <c:xMode val="edge"/>
          <c:yMode val="edge"/>
          <c:x val="2.2946085529055412E-2"/>
          <c:y val="0.9156776390801149"/>
          <c:w val="0.96766169154228865"/>
          <c:h val="7.3155683125816523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3939311932812546"/>
        </c:manualLayout>
      </c:layout>
      <c:lineChart>
        <c:grouping val="standard"/>
        <c:varyColors val="0"/>
        <c:ser>
          <c:idx val="2"/>
          <c:order val="0"/>
          <c:tx>
            <c:strRef>
              <c:f>CALCULATIONS!$C$7</c:f>
              <c:strCache>
                <c:ptCount val="1"/>
                <c:pt idx="0">
                  <c:v>BELGACOM</c:v>
                </c:pt>
              </c:strCache>
            </c:strRef>
          </c:tx>
          <c:spPr>
            <a:ln>
              <a:solidFill>
                <a:schemeClr val="tx1"/>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CALCULATIONS!$IK$7:$IY$7</c:f>
              <c:numCache>
                <c:formatCode>0%</c:formatCode>
                <c:ptCount val="15"/>
                <c:pt idx="0">
                  <c:v>0.20015860822181847</c:v>
                </c:pt>
                <c:pt idx="1">
                  <c:v>0.15637595741809657</c:v>
                </c:pt>
                <c:pt idx="2">
                  <c:v>0.19166470879994948</c:v>
                </c:pt>
                <c:pt idx="3">
                  <c:v>0.15708151620068025</c:v>
                </c:pt>
                <c:pt idx="4">
                  <c:v>0.18534933727772515</c:v>
                </c:pt>
                <c:pt idx="5">
                  <c:v>0.15107889961592022</c:v>
                </c:pt>
                <c:pt idx="6">
                  <c:v>0.19322451129092647</c:v>
                </c:pt>
                <c:pt idx="7">
                  <c:v>0.18375563588209659</c:v>
                </c:pt>
                <c:pt idx="8">
                  <c:v>0.19729974692710131</c:v>
                </c:pt>
                <c:pt idx="9">
                  <c:v>0.17027869672691731</c:v>
                </c:pt>
                <c:pt idx="10">
                  <c:v>0.21812604513918368</c:v>
                </c:pt>
                <c:pt idx="11">
                  <c:v>0.18869327657203672</c:v>
                </c:pt>
                <c:pt idx="12">
                  <c:v>0.21687899743461636</c:v>
                </c:pt>
                <c:pt idx="13">
                  <c:v>0.2203272196092004</c:v>
                </c:pt>
                <c:pt idx="14">
                  <c:v>0.28756363720088318</c:v>
                </c:pt>
              </c:numCache>
            </c:numRef>
          </c:val>
          <c:smooth val="0"/>
        </c:ser>
        <c:ser>
          <c:idx val="3"/>
          <c:order val="1"/>
          <c:tx>
            <c:strRef>
              <c:f>CALCULATIONS!$C$8</c:f>
              <c:strCache>
                <c:ptCount val="1"/>
                <c:pt idx="0">
                  <c:v>MOBISTAR</c:v>
                </c:pt>
              </c:strCache>
            </c:strRef>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CALCULATIONS!$IK$8:$IY$8</c:f>
              <c:numCache>
                <c:formatCode>0%</c:formatCode>
                <c:ptCount val="15"/>
                <c:pt idx="0">
                  <c:v>0.17782338342712184</c:v>
                </c:pt>
                <c:pt idx="1">
                  <c:v>0.19133327286441576</c:v>
                </c:pt>
                <c:pt idx="2">
                  <c:v>0.20566035155923143</c:v>
                </c:pt>
                <c:pt idx="3">
                  <c:v>0.19529400485537676</c:v>
                </c:pt>
                <c:pt idx="4">
                  <c:v>0.1857357403879977</c:v>
                </c:pt>
                <c:pt idx="5">
                  <c:v>0.18251603426575017</c:v>
                </c:pt>
                <c:pt idx="6">
                  <c:v>0.17951141684610042</c:v>
                </c:pt>
                <c:pt idx="7">
                  <c:v>0.19461391334390823</c:v>
                </c:pt>
                <c:pt idx="8">
                  <c:v>0.21334564271236822</c:v>
                </c:pt>
                <c:pt idx="9">
                  <c:v>0.25835323631844559</c:v>
                </c:pt>
                <c:pt idx="10">
                  <c:v>0.31687818834722925</c:v>
                </c:pt>
                <c:pt idx="11">
                  <c:v>0.3468208820258078</c:v>
                </c:pt>
                <c:pt idx="12">
                  <c:v>0.38444680732634928</c:v>
                </c:pt>
                <c:pt idx="13">
                  <c:v>0.41909511400886007</c:v>
                </c:pt>
                <c:pt idx="14">
                  <c:v>0.4561905930983241</c:v>
                </c:pt>
              </c:numCache>
            </c:numRef>
          </c:val>
          <c:smooth val="0"/>
        </c:ser>
        <c:ser>
          <c:idx val="4"/>
          <c:order val="2"/>
          <c:tx>
            <c:strRef>
              <c:f>CALCULATIONS!$C$9</c:f>
              <c:strCache>
                <c:ptCount val="1"/>
                <c:pt idx="0">
                  <c:v>TELENET</c:v>
                </c:pt>
              </c:strCache>
            </c:strRef>
          </c:tx>
          <c:spPr>
            <a:ln w="28575">
              <a:solidFill>
                <a:srgbClr val="FFC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CALCULATIONS!$IK$9:$IY$9</c:f>
              <c:numCache>
                <c:formatCode>0%</c:formatCode>
                <c:ptCount val="15"/>
                <c:pt idx="0">
                  <c:v>0.50261617157260619</c:v>
                </c:pt>
                <c:pt idx="1">
                  <c:v>0.46283410666608638</c:v>
                </c:pt>
                <c:pt idx="2">
                  <c:v>0.4640683722500239</c:v>
                </c:pt>
                <c:pt idx="3">
                  <c:v>0.45222436615696288</c:v>
                </c:pt>
                <c:pt idx="4">
                  <c:v>0.40678261884422395</c:v>
                </c:pt>
                <c:pt idx="5">
                  <c:v>0.37178729606389038</c:v>
                </c:pt>
                <c:pt idx="6">
                  <c:v>0.36792052162676608</c:v>
                </c:pt>
                <c:pt idx="7">
                  <c:v>0.46544877279506219</c:v>
                </c:pt>
                <c:pt idx="8">
                  <c:v>0.44138119570523726</c:v>
                </c:pt>
                <c:pt idx="9">
                  <c:v>0.42583131816712549</c:v>
                </c:pt>
                <c:pt idx="10">
                  <c:v>0.40754165826630995</c:v>
                </c:pt>
                <c:pt idx="11">
                  <c:v>0.4363634349502537</c:v>
                </c:pt>
                <c:pt idx="12">
                  <c:v>0.42302270192736452</c:v>
                </c:pt>
                <c:pt idx="13">
                  <c:v>0.40471537584686967</c:v>
                </c:pt>
                <c:pt idx="14">
                  <c:v>0.4832654138496531</c:v>
                </c:pt>
              </c:numCache>
            </c:numRef>
          </c:val>
          <c:smooth val="0"/>
        </c:ser>
        <c:dLbls>
          <c:showLegendKey val="0"/>
          <c:showVal val="0"/>
          <c:showCatName val="0"/>
          <c:showSerName val="0"/>
          <c:showPercent val="0"/>
          <c:showBubbleSize val="0"/>
        </c:dLbls>
        <c:marker val="1"/>
        <c:smooth val="0"/>
        <c:axId val="191659008"/>
        <c:axId val="191664896"/>
      </c:lineChart>
      <c:dateAx>
        <c:axId val="191659008"/>
        <c:scaling>
          <c:orientation val="minMax"/>
        </c:scaling>
        <c:delete val="0"/>
        <c:axPos val="b"/>
        <c:numFmt formatCode="[$-409]mmm\-yy;@" sourceLinked="0"/>
        <c:majorTickMark val="out"/>
        <c:minorTickMark val="none"/>
        <c:tickLblPos val="nextTo"/>
        <c:crossAx val="191664896"/>
        <c:crosses val="autoZero"/>
        <c:auto val="1"/>
        <c:lblOffset val="100"/>
        <c:baseTimeUnit val="months"/>
        <c:majorUnit val="6"/>
        <c:majorTimeUnit val="months"/>
      </c:dateAx>
      <c:valAx>
        <c:axId val="191664896"/>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191659008"/>
        <c:crosses val="autoZero"/>
        <c:crossBetween val="between"/>
      </c:valAx>
      <c:spPr>
        <a:noFill/>
        <a:ln>
          <a:noFill/>
        </a:ln>
      </c:spPr>
    </c:plotArea>
    <c:legend>
      <c:legendPos val="b"/>
      <c:layout>
        <c:manualLayout>
          <c:xMode val="edge"/>
          <c:yMode val="edge"/>
          <c:x val="1.8161181940709661E-2"/>
          <c:y val="0.91844449317333965"/>
          <c:w val="0.97350564594659084"/>
          <c:h val="6.3055807249957976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ash"/>
            <c:size val="35"/>
            <c:spPr>
              <a:solidFill>
                <a:srgbClr val="FFC000">
                  <a:alpha val="50000"/>
                </a:srgbClr>
              </a:solidFill>
              <a:ln>
                <a:noFill/>
              </a:ln>
            </c:spPr>
          </c:marker>
          <c:dPt>
            <c:idx val="0"/>
            <c:marker>
              <c:spPr>
                <a:solidFill>
                  <a:schemeClr val="accent3">
                    <a:lumMod val="50000"/>
                    <a:alpha val="50000"/>
                  </a:schemeClr>
                </a:solidFill>
                <a:ln>
                  <a:noFill/>
                </a:ln>
              </c:spPr>
            </c:marker>
            <c:bubble3D val="0"/>
          </c:dPt>
          <c:dPt>
            <c:idx val="1"/>
            <c:marker>
              <c:spPr>
                <a:solidFill>
                  <a:schemeClr val="accent3">
                    <a:lumMod val="50000"/>
                    <a:alpha val="50000"/>
                  </a:schemeClr>
                </a:solidFill>
                <a:ln>
                  <a:noFill/>
                </a:ln>
              </c:spPr>
            </c:marker>
            <c:bubble3D val="0"/>
          </c:dPt>
          <c:dPt>
            <c:idx val="2"/>
            <c:marker>
              <c:spPr>
                <a:solidFill>
                  <a:schemeClr val="accent3">
                    <a:lumMod val="50000"/>
                    <a:alpha val="50000"/>
                  </a:schemeClr>
                </a:solidFill>
                <a:ln>
                  <a:noFill/>
                </a:ln>
              </c:spPr>
            </c:marker>
            <c:bubble3D val="0"/>
          </c:dPt>
          <c:dPt>
            <c:idx val="3"/>
            <c:marker>
              <c:spPr>
                <a:solidFill>
                  <a:srgbClr val="C00000">
                    <a:alpha val="50000"/>
                  </a:srgbClr>
                </a:solidFill>
                <a:ln>
                  <a:noFill/>
                </a:ln>
              </c:spPr>
            </c:marker>
            <c:bubble3D val="0"/>
          </c:dPt>
          <c:dPt>
            <c:idx val="5"/>
            <c:marker>
              <c:spPr>
                <a:solidFill>
                  <a:schemeClr val="bg2">
                    <a:lumMod val="50000"/>
                    <a:alpha val="50000"/>
                  </a:schemeClr>
                </a:solidFill>
                <a:ln>
                  <a:noFill/>
                </a:ln>
              </c:spPr>
            </c:marker>
            <c:bubble3D val="0"/>
          </c:dPt>
          <c:dPt>
            <c:idx val="6"/>
            <c:marker>
              <c:spPr>
                <a:solidFill>
                  <a:schemeClr val="accent3">
                    <a:lumMod val="50000"/>
                    <a:alpha val="50000"/>
                  </a:schemeClr>
                </a:solidFill>
                <a:ln>
                  <a:noFill/>
                </a:ln>
              </c:spPr>
            </c:marker>
            <c:bubble3D val="0"/>
          </c:dPt>
          <c:dPt>
            <c:idx val="7"/>
            <c:marker>
              <c:spPr>
                <a:solidFill>
                  <a:schemeClr val="bg2">
                    <a:lumMod val="50000"/>
                    <a:alpha val="50000"/>
                  </a:schemeClr>
                </a:solidFill>
                <a:ln>
                  <a:noFill/>
                </a:ln>
              </c:spPr>
            </c:marker>
            <c:bubble3D val="0"/>
          </c:dPt>
          <c:dPt>
            <c:idx val="9"/>
            <c:marker>
              <c:spPr>
                <a:solidFill>
                  <a:schemeClr val="accent3">
                    <a:lumMod val="50000"/>
                    <a:alpha val="50000"/>
                  </a:schemeClr>
                </a:solidFill>
                <a:ln>
                  <a:noFill/>
                </a:ln>
              </c:spPr>
            </c:marker>
            <c:bubble3D val="0"/>
          </c:dPt>
          <c:dPt>
            <c:idx val="10"/>
            <c:marker>
              <c:spPr>
                <a:solidFill>
                  <a:schemeClr val="accent3">
                    <a:lumMod val="50000"/>
                    <a:alpha val="50000"/>
                  </a:schemeClr>
                </a:solidFill>
                <a:ln>
                  <a:noFill/>
                </a:ln>
              </c:spPr>
            </c:marker>
            <c:bubble3D val="0"/>
          </c:dPt>
          <c:dPt>
            <c:idx val="11"/>
            <c:marker>
              <c:spPr>
                <a:solidFill>
                  <a:schemeClr val="accent3">
                    <a:lumMod val="50000"/>
                    <a:alpha val="50000"/>
                  </a:schemeClr>
                </a:solidFill>
                <a:ln>
                  <a:noFill/>
                </a:ln>
              </c:spPr>
            </c:marker>
            <c:bubble3D val="0"/>
          </c:dPt>
          <c:dPt>
            <c:idx val="12"/>
            <c:marker>
              <c:spPr>
                <a:solidFill>
                  <a:schemeClr val="bg2">
                    <a:lumMod val="50000"/>
                    <a:alpha val="50000"/>
                  </a:schemeClr>
                </a:solidFill>
                <a:ln>
                  <a:noFill/>
                </a:ln>
              </c:spPr>
            </c:marker>
            <c:bubble3D val="0"/>
          </c:dPt>
          <c:dPt>
            <c:idx val="13"/>
            <c:marker>
              <c:spPr>
                <a:solidFill>
                  <a:schemeClr val="accent3">
                    <a:lumMod val="50000"/>
                    <a:alpha val="50000"/>
                  </a:schemeClr>
                </a:solidFill>
                <a:ln>
                  <a:noFill/>
                </a:ln>
              </c:spPr>
            </c:marker>
            <c:bubble3D val="0"/>
          </c:dPt>
          <c:dPt>
            <c:idx val="14"/>
            <c:marker>
              <c:spPr>
                <a:solidFill>
                  <a:schemeClr val="accent3">
                    <a:lumMod val="50000"/>
                    <a:alpha val="50000"/>
                  </a:schemeClr>
                </a:solidFill>
                <a:ln>
                  <a:noFill/>
                </a:ln>
              </c:spPr>
            </c:marker>
            <c:bubble3D val="0"/>
          </c:dPt>
          <c:dPt>
            <c:idx val="15"/>
            <c:marker>
              <c:spPr>
                <a:solidFill>
                  <a:schemeClr val="accent3">
                    <a:lumMod val="50000"/>
                    <a:alpha val="50000"/>
                  </a:schemeClr>
                </a:solidFill>
                <a:ln>
                  <a:noFill/>
                </a:ln>
              </c:spPr>
            </c:marker>
            <c:bubble3D val="0"/>
          </c:dPt>
          <c:dPt>
            <c:idx val="16"/>
            <c:marker>
              <c:spPr>
                <a:solidFill>
                  <a:srgbClr val="0070C0">
                    <a:alpha val="50000"/>
                  </a:srgbClr>
                </a:solidFill>
                <a:ln>
                  <a:noFill/>
                </a:ln>
              </c:spPr>
            </c:marker>
            <c:bubble3D val="0"/>
          </c:dPt>
          <c:dPt>
            <c:idx val="17"/>
            <c:marker>
              <c:spPr>
                <a:solidFill>
                  <a:srgbClr val="0070C0">
                    <a:alpha val="50000"/>
                  </a:srgbClr>
                </a:solidFill>
                <a:ln>
                  <a:noFill/>
                </a:ln>
              </c:spPr>
            </c:marker>
            <c:bubble3D val="0"/>
          </c:dPt>
          <c:dPt>
            <c:idx val="18"/>
            <c:marker>
              <c:spPr>
                <a:solidFill>
                  <a:schemeClr val="bg2">
                    <a:lumMod val="50000"/>
                    <a:alpha val="50000"/>
                  </a:schemeClr>
                </a:solidFill>
                <a:ln>
                  <a:noFill/>
                </a:ln>
              </c:spPr>
            </c:marker>
            <c:bubble3D val="0"/>
          </c:dPt>
          <c:dPt>
            <c:idx val="19"/>
            <c:marker>
              <c:spPr>
                <a:solidFill>
                  <a:schemeClr val="bg2">
                    <a:lumMod val="50000"/>
                    <a:alpha val="50000"/>
                  </a:schemeClr>
                </a:solidFill>
                <a:ln>
                  <a:noFill/>
                </a:ln>
              </c:spPr>
            </c:marker>
            <c:bubble3D val="0"/>
          </c:dPt>
          <c:dPt>
            <c:idx val="20"/>
            <c:marker>
              <c:spPr>
                <a:solidFill>
                  <a:schemeClr val="bg2">
                    <a:lumMod val="50000"/>
                    <a:alpha val="50000"/>
                  </a:schemeClr>
                </a:solidFill>
                <a:ln>
                  <a:noFill/>
                </a:ln>
              </c:spPr>
            </c:marker>
            <c:bubble3D val="0"/>
          </c:dPt>
          <c:dPt>
            <c:idx val="21"/>
            <c:marker>
              <c:spPr>
                <a:solidFill>
                  <a:srgbClr val="C00000">
                    <a:alpha val="50000"/>
                  </a:srgbClr>
                </a:solidFill>
                <a:ln>
                  <a:noFill/>
                </a:ln>
              </c:spPr>
            </c:marker>
            <c:bubble3D val="0"/>
          </c:dPt>
          <c:dLbls>
            <c:dLbl>
              <c:idx val="0"/>
              <c:layout>
                <c:manualLayout>
                  <c:x val="-7.7438706650607883E-2"/>
                  <c:y val="-3.3353523117302638E-3"/>
                </c:manualLayout>
              </c:layout>
              <c:tx>
                <c:rich>
                  <a:bodyPr/>
                  <a:lstStyle/>
                  <a:p>
                    <a:pPr>
                      <a:defRPr sz="1200" b="0" i="0" strike="noStrike">
                        <a:latin typeface="Arial"/>
                      </a:defRPr>
                    </a:pPr>
                    <a:r>
                      <a:rPr lang="en-US" sz="1200"/>
                      <a:t>D</a:t>
                    </a:r>
                    <a:r>
                      <a:rPr lang="en-US"/>
                      <a:t>T </a:t>
                    </a:r>
                    <a:r>
                      <a:rPr lang="en-US">
                        <a:sym typeface="Symbol"/>
                      </a:rPr>
                      <a:t></a:t>
                    </a:r>
                    <a:endParaRPr lang="en-US"/>
                  </a:p>
                </c:rich>
              </c:tx>
              <c:spPr/>
              <c:dLblPos val="r"/>
              <c:showLegendKey val="0"/>
              <c:showVal val="1"/>
              <c:showCatName val="0"/>
              <c:showSerName val="0"/>
              <c:showPercent val="0"/>
              <c:showBubbleSize val="0"/>
            </c:dLbl>
            <c:dLbl>
              <c:idx val="1"/>
              <c:layout>
                <c:manualLayout>
                  <c:x val="-6.9874175829075319E-2"/>
                  <c:y val="-3.3353523117302638E-3"/>
                </c:manualLayout>
              </c:layout>
              <c:tx>
                <c:strRef>
                  <c:f>PROFILES!$O$104</c:f>
                  <c:strCache>
                    <c:ptCount val="1"/>
                    <c:pt idx="0">
                      <c:v>TKA</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2"/>
              <c:layout>
                <c:manualLayout>
                  <c:x val="-0.11622016562654069"/>
                  <c:y val="-3.3353523117301996E-3"/>
                </c:manualLayout>
              </c:layout>
              <c:tx>
                <c:strRef>
                  <c:f>PROFILES!$O$105</c:f>
                  <c:strCache>
                    <c:ptCount val="1"/>
                    <c:pt idx="0">
                      <c:v>BELGACOM</c:v>
                    </c:pt>
                  </c:strCache>
                </c:strRef>
              </c:tx>
              <c:spPr/>
              <c:txPr>
                <a:bodyPr/>
                <a:lstStyle/>
                <a:p>
                  <a:pPr>
                    <a:defRPr sz="1200" b="1" i="0" strike="noStrike">
                      <a:latin typeface="Arial"/>
                    </a:defRPr>
                  </a:pPr>
                  <a:endParaRPr lang="fr-FR"/>
                </a:p>
              </c:txPr>
              <c:dLblPos val="r"/>
              <c:showLegendKey val="0"/>
              <c:showVal val="1"/>
              <c:showCatName val="0"/>
              <c:showSerName val="0"/>
              <c:showPercent val="0"/>
              <c:showBubbleSize val="0"/>
            </c:dLbl>
            <c:dLbl>
              <c:idx val="3"/>
              <c:layout>
                <c:manualLayout>
                  <c:x val="-4.6816845329567237E-2"/>
                  <c:y val="-3.3353050875224092E-3"/>
                </c:manualLayout>
              </c:layout>
              <c:tx>
                <c:strRef>
                  <c:f>PROFILES!$O$106</c:f>
                  <c:strCache>
                    <c:ptCount val="1"/>
                    <c:pt idx="0">
                      <c:v>MOBISTAR</c:v>
                    </c:pt>
                  </c:strCache>
                </c:strRef>
              </c:tx>
              <c:spPr/>
              <c:txPr>
                <a:bodyPr/>
                <a:lstStyle/>
                <a:p>
                  <a:pPr>
                    <a:defRPr sz="1200" b="1" i="0" strike="noStrike">
                      <a:latin typeface="Arial"/>
                    </a:defRPr>
                  </a:pPr>
                  <a:endParaRPr lang="fr-FR"/>
                </a:p>
              </c:txPr>
              <c:dLblPos val="r"/>
              <c:showLegendKey val="0"/>
              <c:showVal val="1"/>
              <c:showCatName val="0"/>
              <c:showSerName val="0"/>
              <c:showPercent val="0"/>
              <c:showBubbleSize val="0"/>
            </c:dLbl>
            <c:dLbl>
              <c:idx val="4"/>
              <c:layout>
                <c:manualLayout>
                  <c:x val="-0.10099677222698186"/>
                  <c:y val="-3.3353523117302477E-3"/>
                </c:manualLayout>
              </c:layout>
              <c:tx>
                <c:strRef>
                  <c:f>PROFILES!$O$107</c:f>
                  <c:strCache>
                    <c:ptCount val="1"/>
                    <c:pt idx="0">
                      <c:v>TELENET</c:v>
                    </c:pt>
                  </c:strCache>
                </c:strRef>
              </c:tx>
              <c:spPr/>
              <c:txPr>
                <a:bodyPr/>
                <a:lstStyle/>
                <a:p>
                  <a:pPr>
                    <a:defRPr sz="1200" b="1" i="0" strike="noStrike">
                      <a:latin typeface="Arial"/>
                    </a:defRPr>
                  </a:pPr>
                  <a:endParaRPr lang="fr-FR"/>
                </a:p>
              </c:txPr>
              <c:dLblPos val="r"/>
              <c:showLegendKey val="0"/>
              <c:showVal val="1"/>
              <c:showCatName val="0"/>
              <c:showSerName val="0"/>
              <c:showPercent val="0"/>
              <c:showBubbleSize val="0"/>
            </c:dLbl>
            <c:dLbl>
              <c:idx val="5"/>
              <c:layout>
                <c:manualLayout>
                  <c:x val="-7.1185434175597542E-2"/>
                  <c:y val="-3.3356307915091516E-3"/>
                </c:manualLayout>
              </c:layout>
              <c:tx>
                <c:strRef>
                  <c:f>PROFILES!$O$108</c:f>
                  <c:strCache>
                    <c:ptCount val="1"/>
                    <c:pt idx="0">
                      <c:v>TDC</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6"/>
              <c:layout>
                <c:manualLayout>
                  <c:x val="-6.9203685102137424E-2"/>
                  <c:y val="-3.3353523117302638E-3"/>
                </c:manualLayout>
              </c:layout>
              <c:tx>
                <c:strRef>
                  <c:f>PROFILES!$O$109</c:f>
                  <c:strCache>
                    <c:ptCount val="1"/>
                    <c:pt idx="0">
                      <c:v>TEF</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7"/>
              <c:layout>
                <c:manualLayout>
                  <c:x val="-6.458440134454968E-2"/>
                  <c:y val="-3.3356307915091516E-3"/>
                </c:manualLayout>
              </c:layout>
              <c:tx>
                <c:strRef>
                  <c:f>PROFILES!$O$110</c:f>
                  <c:strCache>
                    <c:ptCount val="1"/>
                    <c:pt idx="0">
                      <c:v>ELI</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8"/>
              <c:layout>
                <c:manualLayout>
                  <c:x val="-6.5240030517809383E-2"/>
                  <c:y val="-3.3353523117302638E-3"/>
                </c:manualLayout>
              </c:layout>
              <c:tx>
                <c:strRef>
                  <c:f>PROFILES!$O$111</c:f>
                  <c:strCache>
                    <c:ptCount val="1"/>
                    <c:pt idx="0">
                      <c:v>ILD</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9"/>
              <c:layout>
                <c:manualLayout>
                  <c:x val="-7.2521566069852744E-2"/>
                  <c:y val="-3.3353523117302638E-3"/>
                </c:manualLayout>
              </c:layout>
              <c:tx>
                <c:strRef>
                  <c:f>PROFILES!$O$112</c:f>
                  <c:strCache>
                    <c:ptCount val="1"/>
                    <c:pt idx="0">
                      <c:v>ORA</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10"/>
              <c:layout>
                <c:manualLayout>
                  <c:x val="-7.1195446169653551E-2"/>
                  <c:y val="-3.3361877510670081E-3"/>
                </c:manualLayout>
              </c:layout>
              <c:tx>
                <c:strRef>
                  <c:f>PROFILES!$O$113</c:f>
                  <c:strCache>
                    <c:ptCount val="1"/>
                    <c:pt idx="0">
                      <c:v>OTE</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11"/>
              <c:layout>
                <c:manualLayout>
                  <c:x val="-6.4564533793843984E-2"/>
                  <c:y val="-3.3353523117302638E-3"/>
                </c:manualLayout>
              </c:layout>
              <c:tx>
                <c:strRef>
                  <c:f>PROFILES!$O$114</c:f>
                  <c:strCache>
                    <c:ptCount val="1"/>
                    <c:pt idx="0">
                      <c:v>TIT</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12"/>
              <c:layout>
                <c:manualLayout>
                  <c:x val="-6.8553061925904074E-2"/>
                  <c:y val="-3.3353523117302638E-3"/>
                </c:manualLayout>
              </c:layout>
              <c:tx>
                <c:strRef>
                  <c:f>PROFILES!$O$115</c:f>
                  <c:strCache>
                    <c:ptCount val="1"/>
                    <c:pt idx="0">
                      <c:v>TEL</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13"/>
              <c:layout>
                <c:manualLayout>
                  <c:x val="-5.369621591154821E-2"/>
                  <c:y val="-6.6759957392593834E-3"/>
                </c:manualLayout>
              </c:layout>
              <c:tx>
                <c:rich>
                  <a:bodyPr/>
                  <a:lstStyle/>
                  <a:p>
                    <a:pPr>
                      <a:defRPr sz="1200" b="0" i="0" strike="noStrike">
                        <a:latin typeface="Arial"/>
                      </a:defRPr>
                    </a:pPr>
                    <a:r>
                      <a:rPr lang="en-US" sz="1200"/>
                      <a:t>K</a:t>
                    </a:r>
                    <a:r>
                      <a:rPr lang="en-US"/>
                      <a:t>PN</a:t>
                    </a:r>
                  </a:p>
                </c:rich>
              </c:tx>
              <c:spPr/>
              <c:dLblPos val="r"/>
              <c:showLegendKey val="0"/>
              <c:showVal val="1"/>
              <c:showCatName val="0"/>
              <c:showSerName val="0"/>
              <c:showPercent val="0"/>
              <c:showBubbleSize val="0"/>
            </c:dLbl>
            <c:dLbl>
              <c:idx val="14"/>
              <c:layout>
                <c:manualLayout>
                  <c:x val="-6.9874175829075319E-2"/>
                  <c:y val="-3.3353523117302638E-3"/>
                </c:manualLayout>
              </c:layout>
              <c:tx>
                <c:strRef>
                  <c:f>PROFILES!$O$117</c:f>
                  <c:strCache>
                    <c:ptCount val="1"/>
                    <c:pt idx="0">
                      <c:v>TPS</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15"/>
              <c:layout>
                <c:manualLayout>
                  <c:x val="-6.1922149550093841E-2"/>
                  <c:y val="-3.3359092712880391E-3"/>
                </c:manualLayout>
              </c:layout>
              <c:tx>
                <c:strRef>
                  <c:f>PROFILES!$O$118</c:f>
                  <c:strCache>
                    <c:ptCount val="1"/>
                    <c:pt idx="0">
                      <c:v>PT</c:v>
                    </c:pt>
                  </c:strCache>
                </c:strRef>
              </c:tx>
              <c:spPr/>
              <c:txPr>
                <a:bodyPr/>
                <a:lstStyle/>
                <a:p>
                  <a:pPr>
                    <a:defRPr sz="1200" b="0" i="0" strike="noStrike">
                      <a:solidFill>
                        <a:schemeClr val="bg1">
                          <a:lumMod val="50000"/>
                        </a:schemeClr>
                      </a:solidFill>
                      <a:latin typeface="Arial"/>
                    </a:defRPr>
                  </a:pPr>
                  <a:endParaRPr lang="fr-FR"/>
                </a:p>
              </c:txPr>
              <c:dLblPos val="r"/>
              <c:showLegendKey val="0"/>
              <c:showVal val="1"/>
              <c:showCatName val="0"/>
              <c:showSerName val="0"/>
              <c:showPercent val="0"/>
              <c:showBubbleSize val="0"/>
            </c:dLbl>
            <c:dLbl>
              <c:idx val="16"/>
              <c:layout>
                <c:manualLayout>
                  <c:x val="-6.1922149550093841E-2"/>
                  <c:y val="-3.3359092712880391E-3"/>
                </c:manualLayout>
              </c:layout>
              <c:tx>
                <c:strRef>
                  <c:f>PROFILES!$O$119</c:f>
                  <c:strCache>
                    <c:ptCount val="1"/>
                    <c:pt idx="0">
                      <c:v>BT</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17"/>
              <c:layout>
                <c:manualLayout>
                  <c:x val="-7.2521566069852744E-2"/>
                  <c:y val="-3.3353523117302638E-3"/>
                </c:manualLayout>
              </c:layout>
              <c:tx>
                <c:strRef>
                  <c:f>PROFILES!$O$120</c:f>
                  <c:strCache>
                    <c:ptCount val="1"/>
                    <c:pt idx="0">
                      <c:v>VOD</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18"/>
              <c:layout>
                <c:manualLayout>
                  <c:x val="-7.7160560940739933E-2"/>
                  <c:y val="-3.3353523117302638E-3"/>
                </c:manualLayout>
              </c:layout>
              <c:tx>
                <c:strRef>
                  <c:f>PROFILES!$O$121</c:f>
                  <c:strCache>
                    <c:ptCount val="1"/>
                    <c:pt idx="0">
                      <c:v>TLSN</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19"/>
              <c:layout>
                <c:manualLayout>
                  <c:x val="-7.5183817864307126E-2"/>
                  <c:y val="-3.3356307915091516E-3"/>
                </c:manualLayout>
              </c:layout>
              <c:tx>
                <c:strRef>
                  <c:f>PROFILES!$O$122</c:f>
                  <c:strCache>
                    <c:ptCount val="1"/>
                    <c:pt idx="0">
                      <c:v>TEL2</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20"/>
              <c:layout>
                <c:manualLayout>
                  <c:x val="-7.3177195243113904E-2"/>
                  <c:y val="-3.3356307915091516E-3"/>
                </c:manualLayout>
              </c:layout>
              <c:tx>
                <c:strRef>
                  <c:f>PROFILES!$O$123</c:f>
                  <c:strCache>
                    <c:ptCount val="1"/>
                    <c:pt idx="0">
                      <c:v>SCM</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dLbl>
              <c:idx val="21"/>
              <c:layout>
                <c:manualLayout>
                  <c:x val="-7.1855924902535923E-2"/>
                  <c:y val="-3.3353523117301996E-3"/>
                </c:manualLayout>
              </c:layout>
              <c:tx>
                <c:strRef>
                  <c:f>PROFILES!$O$124</c:f>
                  <c:strCache>
                    <c:ptCount val="1"/>
                    <c:pt idx="0">
                      <c:v>SNC</c:v>
                    </c:pt>
                  </c:strCache>
                </c:strRef>
              </c:tx>
              <c:spPr/>
              <c:txPr>
                <a:bodyPr/>
                <a:lstStyle/>
                <a:p>
                  <a:pPr>
                    <a:defRPr sz="1200" b="0" i="0" strike="noStrike">
                      <a:latin typeface="Arial"/>
                    </a:defRPr>
                  </a:pPr>
                  <a:endParaRPr lang="fr-FR"/>
                </a:p>
              </c:txPr>
              <c:dLblPos val="r"/>
              <c:showLegendKey val="0"/>
              <c:showVal val="1"/>
              <c:showCatName val="0"/>
              <c:showSerName val="0"/>
              <c:showPercent val="0"/>
              <c:showBubbleSize val="0"/>
            </c:dLbl>
            <c:txPr>
              <a:bodyPr/>
              <a:lstStyle/>
              <a:p>
                <a:pPr>
                  <a:defRPr sz="1200"/>
                </a:pPr>
                <a:endParaRPr lang="fr-FR"/>
              </a:p>
            </c:txPr>
            <c:showLegendKey val="0"/>
            <c:showVal val="1"/>
            <c:showCatName val="0"/>
            <c:showSerName val="0"/>
            <c:showPercent val="0"/>
            <c:showBubbleSize val="0"/>
            <c:showLeaderLines val="0"/>
          </c:dLbls>
          <c:trendline>
            <c:spPr>
              <a:ln>
                <a:solidFill>
                  <a:schemeClr val="bg1">
                    <a:lumMod val="65000"/>
                  </a:schemeClr>
                </a:solidFill>
                <a:prstDash val="dash"/>
              </a:ln>
            </c:spPr>
            <c:trendlineType val="poly"/>
            <c:order val="2"/>
            <c:dispRSqr val="1"/>
            <c:dispEq val="0"/>
            <c:trendlineLbl>
              <c:numFmt formatCode="General" sourceLinked="0"/>
            </c:trendlineLbl>
          </c:trendline>
          <c:xVal>
            <c:numRef>
              <c:f>PROFILES!$D$197:$D$218</c:f>
              <c:numCache>
                <c:formatCode>0%</c:formatCode>
                <c:ptCount val="22"/>
                <c:pt idx="0">
                  <c:v>0.61</c:v>
                </c:pt>
                <c:pt idx="1">
                  <c:v>0.60910298289809772</c:v>
                </c:pt>
                <c:pt idx="2">
                  <c:v>0.37158673775730477</c:v>
                </c:pt>
                <c:pt idx="3">
                  <c:v>0.95644485424869818</c:v>
                </c:pt>
                <c:pt idx="4">
                  <c:v>6.4385445236561381E-2</c:v>
                </c:pt>
                <c:pt idx="5">
                  <c:v>0.31054928118178421</c:v>
                </c:pt>
                <c:pt idx="6">
                  <c:v>0.6158872479982318</c:v>
                </c:pt>
                <c:pt idx="7">
                  <c:v>0.62657499999999999</c:v>
                </c:pt>
                <c:pt idx="8">
                  <c:v>9.1630231095150338E-2</c:v>
                </c:pt>
                <c:pt idx="9">
                  <c:v>0.60741568747204655</c:v>
                </c:pt>
                <c:pt idx="10">
                  <c:v>0.56323171407839789</c:v>
                </c:pt>
                <c:pt idx="11">
                  <c:v>0.34534166666666666</c:v>
                </c:pt>
                <c:pt idx="12">
                  <c:v>0.7344324868237998</c:v>
                </c:pt>
                <c:pt idx="13">
                  <c:v>0.5805147103617575</c:v>
                </c:pt>
                <c:pt idx="14">
                  <c:v>0.42290073595624156</c:v>
                </c:pt>
                <c:pt idx="15">
                  <c:v>0.48460704112825509</c:v>
                </c:pt>
                <c:pt idx="16">
                  <c:v>0</c:v>
                </c:pt>
                <c:pt idx="17">
                  <c:v>0.91487499999999988</c:v>
                </c:pt>
                <c:pt idx="18">
                  <c:v>0.67984865616162071</c:v>
                </c:pt>
                <c:pt idx="19">
                  <c:v>0.67083419702973635</c:v>
                </c:pt>
                <c:pt idx="20">
                  <c:v>0.32615050588405037</c:v>
                </c:pt>
                <c:pt idx="21">
                  <c:v>0.90539538726018864</c:v>
                </c:pt>
              </c:numCache>
            </c:numRef>
          </c:xVal>
          <c:yVal>
            <c:numRef>
              <c:f>PROFILES!$E$197:$E$218</c:f>
              <c:numCache>
                <c:formatCode>0.0</c:formatCode>
                <c:ptCount val="22"/>
                <c:pt idx="0">
                  <c:v>4.9157277486128619</c:v>
                </c:pt>
                <c:pt idx="1">
                  <c:v>4.4246190982470868</c:v>
                </c:pt>
                <c:pt idx="2">
                  <c:v>4.7469851722287064</c:v>
                </c:pt>
                <c:pt idx="3">
                  <c:v>4.988018554669714</c:v>
                </c:pt>
                <c:pt idx="4">
                  <c:v>8.5213348378460623</c:v>
                </c:pt>
                <c:pt idx="5">
                  <c:v>6.1343182706324946</c:v>
                </c:pt>
                <c:pt idx="6">
                  <c:v>5.7304428558288603</c:v>
                </c:pt>
                <c:pt idx="7">
                  <c:v>6.6917014692746157</c:v>
                </c:pt>
                <c:pt idx="8">
                  <c:v>7.8090133066846761</c:v>
                </c:pt>
                <c:pt idx="9">
                  <c:v>4.913128503955539</c:v>
                </c:pt>
                <c:pt idx="10">
                  <c:v>3.8459062845563983</c:v>
                </c:pt>
                <c:pt idx="11">
                  <c:v>4.6475023511824993</c:v>
                </c:pt>
                <c:pt idx="12">
                  <c:v>5.7229254321128114</c:v>
                </c:pt>
                <c:pt idx="13">
                  <c:v>5.0345645887817243</c:v>
                </c:pt>
                <c:pt idx="14">
                  <c:v>4.3531629475873661</c:v>
                </c:pt>
                <c:pt idx="15">
                  <c:v>6.3422811159545107</c:v>
                </c:pt>
                <c:pt idx="16">
                  <c:v>4.7123747267525307</c:v>
                </c:pt>
                <c:pt idx="17">
                  <c:v>7.534246564629953</c:v>
                </c:pt>
                <c:pt idx="18">
                  <c:v>7.5628972253366413</c:v>
                </c:pt>
                <c:pt idx="19">
                  <c:v>6.5589809256196414</c:v>
                </c:pt>
                <c:pt idx="20">
                  <c:v>6.7450557383311427</c:v>
                </c:pt>
                <c:pt idx="21">
                  <c:v>4.0370208841188875</c:v>
                </c:pt>
              </c:numCache>
            </c:numRef>
          </c:yVal>
          <c:smooth val="0"/>
        </c:ser>
        <c:dLbls>
          <c:showLegendKey val="0"/>
          <c:showVal val="0"/>
          <c:showCatName val="0"/>
          <c:showSerName val="0"/>
          <c:showPercent val="0"/>
          <c:showBubbleSize val="0"/>
        </c:dLbls>
        <c:axId val="202804608"/>
        <c:axId val="202818688"/>
      </c:scatterChart>
      <c:valAx>
        <c:axId val="202804608"/>
        <c:scaling>
          <c:orientation val="minMax"/>
          <c:max val="1"/>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202818688"/>
        <c:crosses val="autoZero"/>
        <c:crossBetween val="midCat"/>
        <c:majorUnit val="0.1"/>
      </c:valAx>
      <c:valAx>
        <c:axId val="202818688"/>
        <c:scaling>
          <c:orientation val="minMax"/>
          <c:max val="10"/>
        </c:scaling>
        <c:delete val="0"/>
        <c:axPos val="l"/>
        <c:majorGridlines>
          <c:spPr>
            <a:ln>
              <a:solidFill>
                <a:schemeClr val="bg1">
                  <a:lumMod val="50000"/>
                </a:schemeClr>
              </a:solidFill>
              <a:prstDash val="sysDash"/>
            </a:ln>
          </c:spPr>
        </c:majorGridlines>
        <c:numFmt formatCode="0" sourceLinked="0"/>
        <c:majorTickMark val="out"/>
        <c:minorTickMark val="none"/>
        <c:tickLblPos val="nextTo"/>
        <c:txPr>
          <a:bodyPr/>
          <a:lstStyle/>
          <a:p>
            <a:pPr>
              <a:defRPr sz="1200" baseline="0">
                <a:latin typeface="Arial" pitchFamily="34" charset="0"/>
              </a:defRPr>
            </a:pPr>
            <a:endParaRPr lang="fr-FR"/>
          </a:p>
        </c:txPr>
        <c:crossAx val="202804608"/>
        <c:crosses val="autoZero"/>
        <c:crossBetween val="midCat"/>
      </c:valAx>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ash"/>
            <c:size val="35"/>
            <c:spPr>
              <a:solidFill>
                <a:srgbClr val="FFC000">
                  <a:alpha val="50000"/>
                </a:srgbClr>
              </a:solidFill>
              <a:ln>
                <a:noFill/>
              </a:ln>
            </c:spPr>
          </c:marker>
          <c:dLbls>
            <c:dLbl>
              <c:idx val="0"/>
              <c:tx>
                <c:rich>
                  <a:bodyPr/>
                  <a:lstStyle/>
                  <a:p>
                    <a:pPr>
                      <a:defRPr sz="1000" b="0" i="0" strike="noStrike">
                        <a:latin typeface="Arial"/>
                      </a:defRPr>
                    </a:pPr>
                    <a:r>
                      <a:rPr lang="en-US"/>
                      <a:t>DT </a:t>
                    </a:r>
                    <a:r>
                      <a:rPr lang="en-US">
                        <a:sym typeface="Symbol"/>
                      </a:rPr>
                      <a:t></a:t>
                    </a:r>
                    <a:endParaRPr lang="en-US"/>
                  </a:p>
                </c:rich>
              </c:tx>
              <c:spPr/>
              <c:dLblPos val="ctr"/>
              <c:showLegendKey val="0"/>
              <c:showVal val="1"/>
              <c:showCatName val="0"/>
              <c:showSerName val="0"/>
              <c:showPercent val="0"/>
              <c:showBubbleSize val="0"/>
            </c:dLbl>
            <c:dLbl>
              <c:idx val="1"/>
              <c:tx>
                <c:strRef>
                  <c:f>PROFILES!$O$104</c:f>
                  <c:strCache>
                    <c:ptCount val="1"/>
                    <c:pt idx="0">
                      <c:v>TKA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tx>
                <c:strRef>
                  <c:f>PROFILES!$O$105</c:f>
                  <c:strCache>
                    <c:ptCount val="1"/>
                    <c:pt idx="0">
                      <c:v>BELGACOM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PROFILES!$O$106</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4"/>
              <c:tx>
                <c:strRef>
                  <c:f>PROFILES!$O$107</c:f>
                  <c:strCache>
                    <c:ptCount val="1"/>
                    <c:pt idx="0">
                      <c:v>TELENET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5"/>
              <c:tx>
                <c:strRef>
                  <c:f>PROFILES!$O$108</c:f>
                  <c:strCache>
                    <c:ptCount val="1"/>
                    <c:pt idx="0">
                      <c:v>TDC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tx>
                <c:strRef>
                  <c:f>PROFILES!$O$109</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tx>
                <c:strRef>
                  <c:f>PROFILES!$O$110</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PROFILES!$O$111</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tx>
                <c:strRef>
                  <c:f>PROFILES!$O$112</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PROFILES!$O$113</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tx>
                <c:strRef>
                  <c:f>PROFILES!$O$114</c:f>
                  <c:strCache>
                    <c:ptCount val="1"/>
                    <c:pt idx="0">
                      <c:v>TIT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PROFILES!$O$115</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layout>
                <c:manualLayout>
                  <c:x val="-5.3696215911548176E-2"/>
                  <c:y val="-3.3407557736545896E-3"/>
                </c:manualLayout>
              </c:layout>
              <c:tx>
                <c:rich>
                  <a:bodyPr/>
                  <a:lstStyle/>
                  <a:p>
                    <a:pPr>
                      <a:defRPr sz="1000" b="0" i="0" strike="noStrike">
                        <a:latin typeface="Arial"/>
                      </a:defRPr>
                    </a:pPr>
                    <a:r>
                      <a:rPr lang="en-US"/>
                      <a:t>KPN</a:t>
                    </a:r>
                  </a:p>
                </c:rich>
              </c:tx>
              <c:spPr/>
              <c:dLblPos val="r"/>
              <c:showLegendKey val="0"/>
              <c:showVal val="1"/>
              <c:showCatName val="0"/>
              <c:showSerName val="0"/>
              <c:showPercent val="0"/>
              <c:showBubbleSize val="0"/>
            </c:dLbl>
            <c:dLbl>
              <c:idx val="14"/>
              <c:tx>
                <c:strRef>
                  <c:f>PROFILES!$O$117</c:f>
                  <c:strCache>
                    <c:ptCount val="1"/>
                    <c:pt idx="0">
                      <c:v>TPS</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tx>
                <c:strRef>
                  <c:f>PROFILES!$O$118</c:f>
                  <c:strCache>
                    <c:ptCount val="1"/>
                    <c:pt idx="0">
                      <c:v>PT</c:v>
                    </c:pt>
                  </c:strCache>
                </c:strRef>
              </c:tx>
              <c:spPr/>
              <c:txPr>
                <a:bodyPr/>
                <a:lstStyle/>
                <a:p>
                  <a:pPr>
                    <a:defRPr sz="1000" b="0" i="0" strike="noStrike">
                      <a:solidFill>
                        <a:schemeClr val="bg1">
                          <a:lumMod val="50000"/>
                        </a:schemeClr>
                      </a:solidFill>
                      <a:latin typeface="Arial"/>
                    </a:defRPr>
                  </a:pPr>
                  <a:endParaRPr lang="fr-FR"/>
                </a:p>
              </c:txPr>
              <c:dLblPos val="ctr"/>
              <c:showLegendKey val="0"/>
              <c:showVal val="1"/>
              <c:showCatName val="0"/>
              <c:showSerName val="0"/>
              <c:showPercent val="0"/>
              <c:showBubbleSize val="0"/>
            </c:dLbl>
            <c:dLbl>
              <c:idx val="16"/>
              <c:tx>
                <c:strRef>
                  <c:f>PROFILES!$O$119</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PROFILES!$O$120</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PROFILES!$O$121</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tx>
                <c:strRef>
                  <c:f>PROFILES!$O$122</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PROFILES!$O$123</c:f>
                  <c:strCache>
                    <c:ptCount val="1"/>
                    <c:pt idx="0">
                      <c:v>SCM</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tx>
                <c:strRef>
                  <c:f>PROFILES!$O$124</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trendline>
            <c:spPr>
              <a:ln>
                <a:solidFill>
                  <a:schemeClr val="bg1">
                    <a:lumMod val="65000"/>
                  </a:schemeClr>
                </a:solidFill>
                <a:prstDash val="dash"/>
              </a:ln>
            </c:spPr>
            <c:trendlineType val="poly"/>
            <c:order val="2"/>
            <c:dispRSqr val="1"/>
            <c:dispEq val="0"/>
            <c:trendlineLbl>
              <c:numFmt formatCode="General" sourceLinked="0"/>
            </c:trendlineLbl>
          </c:trendline>
          <c:xVal>
            <c:numRef>
              <c:f>PROFILES!$D$197:$D$218</c:f>
              <c:numCache>
                <c:formatCode>0%</c:formatCode>
                <c:ptCount val="22"/>
                <c:pt idx="0">
                  <c:v>0.61</c:v>
                </c:pt>
                <c:pt idx="1">
                  <c:v>0.60910298289809772</c:v>
                </c:pt>
                <c:pt idx="2">
                  <c:v>0.37158673775730477</c:v>
                </c:pt>
                <c:pt idx="3">
                  <c:v>0.95644485424869818</c:v>
                </c:pt>
                <c:pt idx="4">
                  <c:v>6.4385445236561381E-2</c:v>
                </c:pt>
                <c:pt idx="5">
                  <c:v>0.31054928118178421</c:v>
                </c:pt>
                <c:pt idx="6">
                  <c:v>0.6158872479982318</c:v>
                </c:pt>
                <c:pt idx="7">
                  <c:v>0.62657499999999999</c:v>
                </c:pt>
                <c:pt idx="8">
                  <c:v>9.1630231095150338E-2</c:v>
                </c:pt>
                <c:pt idx="9">
                  <c:v>0.60741568747204655</c:v>
                </c:pt>
                <c:pt idx="10">
                  <c:v>0.56323171407839789</c:v>
                </c:pt>
                <c:pt idx="11">
                  <c:v>0.34534166666666666</c:v>
                </c:pt>
                <c:pt idx="12">
                  <c:v>0.7344324868237998</c:v>
                </c:pt>
                <c:pt idx="13">
                  <c:v>0.5805147103617575</c:v>
                </c:pt>
                <c:pt idx="14">
                  <c:v>0.42290073595624156</c:v>
                </c:pt>
                <c:pt idx="15">
                  <c:v>0.48460704112825509</c:v>
                </c:pt>
                <c:pt idx="16">
                  <c:v>0</c:v>
                </c:pt>
                <c:pt idx="17">
                  <c:v>0.91487499999999988</c:v>
                </c:pt>
                <c:pt idx="18">
                  <c:v>0.67984865616162071</c:v>
                </c:pt>
                <c:pt idx="19">
                  <c:v>0.67083419702973635</c:v>
                </c:pt>
                <c:pt idx="20">
                  <c:v>0.32615050588405037</c:v>
                </c:pt>
                <c:pt idx="21">
                  <c:v>0.90539538726018864</c:v>
                </c:pt>
              </c:numCache>
            </c:numRef>
          </c:xVal>
          <c:yVal>
            <c:numRef>
              <c:f>PROFILES!$E$197:$E$218</c:f>
              <c:numCache>
                <c:formatCode>0.0</c:formatCode>
                <c:ptCount val="22"/>
                <c:pt idx="0">
                  <c:v>4.9157277486128619</c:v>
                </c:pt>
                <c:pt idx="1">
                  <c:v>4.4246190982470868</c:v>
                </c:pt>
                <c:pt idx="2">
                  <c:v>4.7469851722287064</c:v>
                </c:pt>
                <c:pt idx="3">
                  <c:v>4.988018554669714</c:v>
                </c:pt>
                <c:pt idx="4">
                  <c:v>8.5213348378460623</c:v>
                </c:pt>
                <c:pt idx="5">
                  <c:v>6.1343182706324946</c:v>
                </c:pt>
                <c:pt idx="6">
                  <c:v>5.7304428558288603</c:v>
                </c:pt>
                <c:pt idx="7">
                  <c:v>6.6917014692746157</c:v>
                </c:pt>
                <c:pt idx="8">
                  <c:v>7.8090133066846761</c:v>
                </c:pt>
                <c:pt idx="9">
                  <c:v>4.913128503955539</c:v>
                </c:pt>
                <c:pt idx="10">
                  <c:v>3.8459062845563983</c:v>
                </c:pt>
                <c:pt idx="11">
                  <c:v>4.6475023511824993</c:v>
                </c:pt>
                <c:pt idx="12">
                  <c:v>5.7229254321128114</c:v>
                </c:pt>
                <c:pt idx="13">
                  <c:v>5.0345645887817243</c:v>
                </c:pt>
                <c:pt idx="14">
                  <c:v>4.3531629475873661</c:v>
                </c:pt>
                <c:pt idx="15">
                  <c:v>6.3422811159545107</c:v>
                </c:pt>
                <c:pt idx="16">
                  <c:v>4.7123747267525307</c:v>
                </c:pt>
                <c:pt idx="17">
                  <c:v>7.534246564629953</c:v>
                </c:pt>
                <c:pt idx="18">
                  <c:v>7.5628972253366413</c:v>
                </c:pt>
                <c:pt idx="19">
                  <c:v>6.5589809256196414</c:v>
                </c:pt>
                <c:pt idx="20">
                  <c:v>6.7450557383311427</c:v>
                </c:pt>
                <c:pt idx="21">
                  <c:v>4.0370208841188875</c:v>
                </c:pt>
              </c:numCache>
            </c:numRef>
          </c:yVal>
          <c:smooth val="0"/>
        </c:ser>
        <c:dLbls>
          <c:showLegendKey val="0"/>
          <c:showVal val="0"/>
          <c:showCatName val="0"/>
          <c:showSerName val="0"/>
          <c:showPercent val="0"/>
          <c:showBubbleSize val="0"/>
        </c:dLbls>
        <c:axId val="179032448"/>
        <c:axId val="179033984"/>
      </c:scatterChart>
      <c:valAx>
        <c:axId val="179032448"/>
        <c:scaling>
          <c:orientation val="minMax"/>
          <c:max val="1"/>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79033984"/>
        <c:crosses val="autoZero"/>
        <c:crossBetween val="midCat"/>
        <c:majorUnit val="0.1"/>
      </c:valAx>
      <c:valAx>
        <c:axId val="179033984"/>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txPr>
          <a:bodyPr/>
          <a:lstStyle/>
          <a:p>
            <a:pPr>
              <a:defRPr sz="1200" baseline="0">
                <a:latin typeface="Arial" pitchFamily="34" charset="0"/>
              </a:defRPr>
            </a:pPr>
            <a:endParaRPr lang="fr-FR"/>
          </a:p>
        </c:txPr>
        <c:crossAx val="179032448"/>
        <c:crosses val="autoZero"/>
        <c:crossBetween val="midCat"/>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157939318794412E-2"/>
          <c:y val="3.6736162939592948E-2"/>
          <c:w val="0.9102998279686636"/>
          <c:h val="0.83286224585082536"/>
        </c:manualLayout>
      </c:layout>
      <c:lineChart>
        <c:grouping val="standard"/>
        <c:varyColors val="0"/>
        <c:ser>
          <c:idx val="2"/>
          <c:order val="0"/>
          <c:tx>
            <c:strRef>
              <c:f>CALCULATIONS!$C$7</c:f>
              <c:strCache>
                <c:ptCount val="1"/>
                <c:pt idx="0">
                  <c:v>BELGACOM</c:v>
                </c:pt>
              </c:strCache>
            </c:strRef>
          </c:tx>
          <c:spPr>
            <a:ln>
              <a:solidFill>
                <a:sysClr val="windowText" lastClr="0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CALCULATIONS!$QR$7:$RF$7</c:f>
              <c:numCache>
                <c:formatCode>0.0</c:formatCode>
                <c:ptCount val="15"/>
                <c:pt idx="0">
                  <c:v>1.0554319553145532</c:v>
                </c:pt>
                <c:pt idx="1">
                  <c:v>1.1986269210322189</c:v>
                </c:pt>
                <c:pt idx="2">
                  <c:v>1.0813547056487569</c:v>
                </c:pt>
                <c:pt idx="3">
                  <c:v>1.1562878970693782</c:v>
                </c:pt>
                <c:pt idx="4">
                  <c:v>1.3579256750118545</c:v>
                </c:pt>
                <c:pt idx="5">
                  <c:v>1.7600533065372237</c:v>
                </c:pt>
                <c:pt idx="6">
                  <c:v>1.571928710529517</c:v>
                </c:pt>
                <c:pt idx="7">
                  <c:v>1.6561589123567142</c:v>
                </c:pt>
                <c:pt idx="8">
                  <c:v>1.6913906239013168</c:v>
                </c:pt>
                <c:pt idx="9">
                  <c:v>1.8075189245546004</c:v>
                </c:pt>
                <c:pt idx="10">
                  <c:v>1.686587008314125</c:v>
                </c:pt>
                <c:pt idx="11">
                  <c:v>1.8035518711146783</c:v>
                </c:pt>
                <c:pt idx="12">
                  <c:v>1.7607310907196194</c:v>
                </c:pt>
                <c:pt idx="13">
                  <c:v>1.816679456727508</c:v>
                </c:pt>
                <c:pt idx="14">
                  <c:v>1.5977844313631977</c:v>
                </c:pt>
              </c:numCache>
            </c:numRef>
          </c:val>
          <c:smooth val="0"/>
        </c:ser>
        <c:ser>
          <c:idx val="3"/>
          <c:order val="1"/>
          <c:tx>
            <c:strRef>
              <c:f>CALCULATIONS!$C$8</c:f>
              <c:strCache>
                <c:ptCount val="1"/>
                <c:pt idx="0">
                  <c:v>MOBISTAR</c:v>
                </c:pt>
              </c:strCache>
            </c:strRef>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CALCULATIONS!$QR$8:$RF$8</c:f>
              <c:numCache>
                <c:formatCode>0.0</c:formatCode>
                <c:ptCount val="15"/>
                <c:pt idx="0">
                  <c:v>0.70299274843261328</c:v>
                </c:pt>
                <c:pt idx="1">
                  <c:v>0.58944889071525863</c:v>
                </c:pt>
                <c:pt idx="2">
                  <c:v>0.47629187327989836</c:v>
                </c:pt>
                <c:pt idx="3">
                  <c:v>0.59132384674390026</c:v>
                </c:pt>
                <c:pt idx="4">
                  <c:v>0.70922507609590624</c:v>
                </c:pt>
                <c:pt idx="5">
                  <c:v>0.59894390439423706</c:v>
                </c:pt>
                <c:pt idx="6">
                  <c:v>0.48577778679508793</c:v>
                </c:pt>
                <c:pt idx="7">
                  <c:v>0.57792728144466743</c:v>
                </c:pt>
                <c:pt idx="8">
                  <c:v>0.67239970907870061</c:v>
                </c:pt>
                <c:pt idx="9">
                  <c:v>0.57140279883023826</c:v>
                </c:pt>
                <c:pt idx="10">
                  <c:v>0.4693051671163635</c:v>
                </c:pt>
                <c:pt idx="11">
                  <c:v>0.55825197955938699</c:v>
                </c:pt>
                <c:pt idx="12">
                  <c:v>0.65150968462482195</c:v>
                </c:pt>
                <c:pt idx="13">
                  <c:v>0.64731075495043999</c:v>
                </c:pt>
                <c:pt idx="14">
                  <c:v>0.63941185552964497</c:v>
                </c:pt>
              </c:numCache>
            </c:numRef>
          </c:val>
          <c:smooth val="0"/>
        </c:ser>
        <c:ser>
          <c:idx val="4"/>
          <c:order val="2"/>
          <c:tx>
            <c:strRef>
              <c:f>CALCULATIONS!$C$9</c:f>
              <c:strCache>
                <c:ptCount val="1"/>
                <c:pt idx="0">
                  <c:v>TELENET</c:v>
                </c:pt>
              </c:strCache>
            </c:strRef>
          </c:tx>
          <c:spPr>
            <a:ln w="28575">
              <a:solidFill>
                <a:srgbClr val="FFC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CALCULATIONS!$QR$9:$RF$9</c:f>
              <c:numCache>
                <c:formatCode>0.0</c:formatCode>
                <c:ptCount val="15"/>
                <c:pt idx="0">
                  <c:v>0.59402519402855913</c:v>
                </c:pt>
                <c:pt idx="1">
                  <c:v>0.607879716737179</c:v>
                </c:pt>
                <c:pt idx="2">
                  <c:v>0.21964221472782733</c:v>
                </c:pt>
                <c:pt idx="3">
                  <c:v>0.25209484418336447</c:v>
                </c:pt>
                <c:pt idx="4">
                  <c:v>0.32720432796896387</c:v>
                </c:pt>
                <c:pt idx="5">
                  <c:v>0.41147033876845601</c:v>
                </c:pt>
                <c:pt idx="6">
                  <c:v>-0.3078324936427998</c:v>
                </c:pt>
                <c:pt idx="7">
                  <c:v>-0.39045278687673507</c:v>
                </c:pt>
                <c:pt idx="8">
                  <c:v>-0.36248023929903112</c:v>
                </c:pt>
                <c:pt idx="9">
                  <c:v>-0.39678725919971403</c:v>
                </c:pt>
                <c:pt idx="10">
                  <c:v>-1.0279768409734062</c:v>
                </c:pt>
                <c:pt idx="11">
                  <c:v>-0.94040333933713061</c:v>
                </c:pt>
                <c:pt idx="12">
                  <c:v>-0.92328918183754705</c:v>
                </c:pt>
                <c:pt idx="13">
                  <c:v>-0.85949653619175292</c:v>
                </c:pt>
                <c:pt idx="14">
                  <c:v>-1.7214195502411884</c:v>
                </c:pt>
              </c:numCache>
            </c:numRef>
          </c:val>
          <c:smooth val="0"/>
        </c:ser>
        <c:dLbls>
          <c:showLegendKey val="0"/>
          <c:showVal val="0"/>
          <c:showCatName val="0"/>
          <c:showSerName val="0"/>
          <c:showPercent val="0"/>
          <c:showBubbleSize val="0"/>
        </c:dLbls>
        <c:marker val="1"/>
        <c:smooth val="0"/>
        <c:axId val="202898048"/>
        <c:axId val="202903936"/>
      </c:lineChart>
      <c:dateAx>
        <c:axId val="202898048"/>
        <c:scaling>
          <c:orientation val="minMax"/>
        </c:scaling>
        <c:delete val="0"/>
        <c:axPos val="b"/>
        <c:numFmt formatCode="[$-409]mmm\-yy;@" sourceLinked="0"/>
        <c:majorTickMark val="out"/>
        <c:minorTickMark val="none"/>
        <c:tickLblPos val="nextTo"/>
        <c:crossAx val="202903936"/>
        <c:crosses val="autoZero"/>
        <c:auto val="1"/>
        <c:lblOffset val="100"/>
        <c:baseTimeUnit val="months"/>
        <c:majorUnit val="6"/>
        <c:majorTimeUnit val="months"/>
      </c:dateAx>
      <c:valAx>
        <c:axId val="202903936"/>
        <c:scaling>
          <c:orientation val="minMax"/>
          <c:min val="-1.5"/>
        </c:scaling>
        <c:delete val="0"/>
        <c:axPos val="l"/>
        <c:majorGridlines>
          <c:spPr>
            <a:ln>
              <a:solidFill>
                <a:schemeClr val="bg1">
                  <a:lumMod val="50000"/>
                </a:schemeClr>
              </a:solidFill>
              <a:prstDash val="dash"/>
            </a:ln>
          </c:spPr>
        </c:majorGridlines>
        <c:numFmt formatCode="0.0" sourceLinked="0"/>
        <c:majorTickMark val="out"/>
        <c:minorTickMark val="none"/>
        <c:tickLblPos val="nextTo"/>
        <c:crossAx val="202898048"/>
        <c:crosses val="autoZero"/>
        <c:crossBetween val="between"/>
      </c:valAx>
      <c:spPr>
        <a:noFill/>
        <a:ln>
          <a:noFill/>
        </a:ln>
      </c:spPr>
    </c:plotArea>
    <c:legend>
      <c:legendPos val="b"/>
      <c:layout>
        <c:manualLayout>
          <c:xMode val="edge"/>
          <c:yMode val="edge"/>
          <c:x val="1.1543547363717203E-2"/>
          <c:y val="0.9083235169080246"/>
          <c:w val="0.97350564594659084"/>
          <c:h val="7.8855176358197818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9409865253500076"/>
          <c:h val="0.7595747173001085"/>
        </c:manualLayout>
      </c:layout>
      <c:lineChart>
        <c:grouping val="standard"/>
        <c:varyColors val="0"/>
        <c:ser>
          <c:idx val="3"/>
          <c:order val="0"/>
          <c:tx>
            <c:strRef>
              <c:f>CALCULATIONS!$C$8</c:f>
              <c:strCache>
                <c:ptCount val="1"/>
                <c:pt idx="0">
                  <c:v>MOBISTAR</c:v>
                </c:pt>
              </c:strCache>
            </c:strRef>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CALCULATIONS!$NN$47:$OB$47</c:f>
              <c:numCache>
                <c:formatCode>0.0</c:formatCode>
                <c:ptCount val="15"/>
                <c:pt idx="0">
                  <c:v>1.2073688972374654</c:v>
                </c:pt>
                <c:pt idx="1">
                  <c:v>1.2465248276448195</c:v>
                </c:pt>
                <c:pt idx="2">
                  <c:v>1.2852996616201011</c:v>
                </c:pt>
                <c:pt idx="3">
                  <c:v>1.3003886396800928</c:v>
                </c:pt>
                <c:pt idx="4">
                  <c:v>1.3136426316730332</c:v>
                </c:pt>
                <c:pt idx="5">
                  <c:v>1.3414825976373252</c:v>
                </c:pt>
                <c:pt idx="6">
                  <c:v>1.3688664009344598</c:v>
                </c:pt>
                <c:pt idx="7">
                  <c:v>1.3521897255895834</c:v>
                </c:pt>
                <c:pt idx="8">
                  <c:v>1.3369242875294411</c:v>
                </c:pt>
                <c:pt idx="9">
                  <c:v>1.4361604953687481</c:v>
                </c:pt>
                <c:pt idx="10">
                  <c:v>1.544975264772025</c:v>
                </c:pt>
                <c:pt idx="11">
                  <c:v>1.543202041089526</c:v>
                </c:pt>
                <c:pt idx="12">
                  <c:v>1.545718716126997</c:v>
                </c:pt>
                <c:pt idx="13">
                  <c:v>1.715098509561406</c:v>
                </c:pt>
                <c:pt idx="14">
                  <c:v>1.9015264130947394</c:v>
                </c:pt>
              </c:numCache>
            </c:numRef>
          </c:val>
          <c:smooth val="0"/>
        </c:ser>
        <c:ser>
          <c:idx val="0"/>
          <c:order val="1"/>
          <c:tx>
            <c:strRef>
              <c:f>CALCULATIONS!$C$26</c:f>
              <c:strCache>
                <c:ptCount val="1"/>
                <c:pt idx="0">
                  <c:v>SNC</c:v>
                </c:pt>
              </c:strCache>
            </c:strRef>
          </c:tx>
          <c:spPr>
            <a:ln w="28575">
              <a:solidFill>
                <a:srgbClr val="C00000"/>
              </a:solidFill>
              <a:prstDash val="dash"/>
            </a:ln>
          </c:spPr>
          <c:marker>
            <c:symbol val="none"/>
          </c:marker>
          <c:val>
            <c:numRef>
              <c:f>CALCULATIONS!$NN$65:$OB$65</c:f>
              <c:numCache>
                <c:formatCode>0.0</c:formatCode>
                <c:ptCount val="15"/>
                <c:pt idx="0">
                  <c:v>2.7930094739411575</c:v>
                </c:pt>
                <c:pt idx="1">
                  <c:v>2.631693131311597</c:v>
                </c:pt>
                <c:pt idx="2">
                  <c:v>2.5731879581773129</c:v>
                </c:pt>
                <c:pt idx="3">
                  <c:v>2.6156810437788787</c:v>
                </c:pt>
                <c:pt idx="4">
                  <c:v>2.5563845743262901</c:v>
                </c:pt>
                <c:pt idx="5">
                  <c:v>2.6748349184465661</c:v>
                </c:pt>
                <c:pt idx="6">
                  <c:v>2.6882205672309096</c:v>
                </c:pt>
                <c:pt idx="7">
                  <c:v>2.6808228202666102</c:v>
                </c:pt>
                <c:pt idx="8">
                  <c:v>2.4960555043102537</c:v>
                </c:pt>
                <c:pt idx="9">
                  <c:v>2.3391924304519285</c:v>
                </c:pt>
                <c:pt idx="10">
                  <c:v>2.335636367730122</c:v>
                </c:pt>
                <c:pt idx="11">
                  <c:v>2.045768028220647</c:v>
                </c:pt>
                <c:pt idx="12">
                  <c:v>2.1789058815746305</c:v>
                </c:pt>
                <c:pt idx="13">
                  <c:v>2.0996583081835922</c:v>
                </c:pt>
                <c:pt idx="14">
                  <c:v>2.0854531506487364</c:v>
                </c:pt>
              </c:numCache>
            </c:numRef>
          </c:val>
          <c:smooth val="0"/>
        </c:ser>
        <c:ser>
          <c:idx val="16"/>
          <c:order val="2"/>
          <c:tx>
            <c:strRef>
              <c:f>CALCULATIONS!$C$19</c:f>
              <c:strCache>
                <c:ptCount val="1"/>
                <c:pt idx="0">
                  <c:v>TPS</c:v>
                </c:pt>
              </c:strCache>
            </c:strRef>
          </c:tx>
          <c:spPr>
            <a:ln w="28575">
              <a:solidFill>
                <a:schemeClr val="tx1"/>
              </a:solidFill>
              <a:prstDash val="sys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CALCULATIONS!$NN$58:$OB$58</c:f>
              <c:numCache>
                <c:formatCode>0.0</c:formatCode>
                <c:ptCount val="15"/>
                <c:pt idx="0">
                  <c:v>1.2811942146686697</c:v>
                </c:pt>
                <c:pt idx="1">
                  <c:v>1.2830128715601152</c:v>
                </c:pt>
                <c:pt idx="2">
                  <c:v>1.3027443216310544</c:v>
                </c:pt>
                <c:pt idx="3">
                  <c:v>1.3018700071951803</c:v>
                </c:pt>
                <c:pt idx="4">
                  <c:v>1.273707371252627</c:v>
                </c:pt>
                <c:pt idx="5">
                  <c:v>1.3237395965283134</c:v>
                </c:pt>
                <c:pt idx="6">
                  <c:v>1.3909341860092463</c:v>
                </c:pt>
                <c:pt idx="7">
                  <c:v>1.2126734564446415</c:v>
                </c:pt>
                <c:pt idx="8">
                  <c:v>1.1948617468126255</c:v>
                </c:pt>
                <c:pt idx="9">
                  <c:v>1.216215509847316</c:v>
                </c:pt>
                <c:pt idx="10">
                  <c:v>1.1338061957043604</c:v>
                </c:pt>
                <c:pt idx="11">
                  <c:v>1.3548414999495155</c:v>
                </c:pt>
                <c:pt idx="12">
                  <c:v>1.392045416028284</c:v>
                </c:pt>
                <c:pt idx="13">
                  <c:v>1.3978878422812229</c:v>
                </c:pt>
                <c:pt idx="14">
                  <c:v>1.4457059049561294</c:v>
                </c:pt>
              </c:numCache>
            </c:numRef>
          </c:val>
          <c:smooth val="0"/>
        </c:ser>
        <c:ser>
          <c:idx val="1"/>
          <c:order val="3"/>
          <c:tx>
            <c:strRef>
              <c:f>CALCULATIONS!$C$13</c:f>
              <c:strCache>
                <c:ptCount val="1"/>
                <c:pt idx="0">
                  <c:v>ILD</c:v>
                </c:pt>
              </c:strCache>
            </c:strRef>
          </c:tx>
          <c:spPr>
            <a:ln w="22225">
              <a:solidFill>
                <a:srgbClr val="FFC000"/>
              </a:solidFill>
              <a:prstDash val="dash"/>
            </a:ln>
          </c:spPr>
          <c:marker>
            <c:symbol val="none"/>
          </c:marker>
          <c:val>
            <c:numRef>
              <c:f>CALCULATIONS!$NN$52:$OB$52</c:f>
              <c:numCache>
                <c:formatCode>0.0</c:formatCode>
                <c:ptCount val="15"/>
                <c:pt idx="0">
                  <c:v>1.24619442158067</c:v>
                </c:pt>
                <c:pt idx="1">
                  <c:v>1.4700688372321931</c:v>
                </c:pt>
                <c:pt idx="2">
                  <c:v>1.60426558606956</c:v>
                </c:pt>
                <c:pt idx="3">
                  <c:v>1.3916381725697906</c:v>
                </c:pt>
                <c:pt idx="4">
                  <c:v>1.1733747472752558</c:v>
                </c:pt>
                <c:pt idx="5">
                  <c:v>1.2393176958664498</c:v>
                </c:pt>
                <c:pt idx="6">
                  <c:v>1.3023005347749153</c:v>
                </c:pt>
                <c:pt idx="7">
                  <c:v>1.5570234043172304</c:v>
                </c:pt>
                <c:pt idx="8">
                  <c:v>1.7847853386339634</c:v>
                </c:pt>
                <c:pt idx="9">
                  <c:v>1.8415648713702955</c:v>
                </c:pt>
                <c:pt idx="10">
                  <c:v>1.8981552639439561</c:v>
                </c:pt>
                <c:pt idx="11">
                  <c:v>1.9946358940388176</c:v>
                </c:pt>
                <c:pt idx="12">
                  <c:v>2.0829531980701024</c:v>
                </c:pt>
                <c:pt idx="13">
                  <c:v>1.7258378941331214</c:v>
                </c:pt>
                <c:pt idx="14">
                  <c:v>1.4892026320099023</c:v>
                </c:pt>
              </c:numCache>
            </c:numRef>
          </c:val>
          <c:smooth val="0"/>
        </c:ser>
        <c:ser>
          <c:idx val="17"/>
          <c:order val="4"/>
          <c:tx>
            <c:strRef>
              <c:f>CALCULATIONS!$C$24</c:f>
              <c:strCache>
                <c:ptCount val="1"/>
                <c:pt idx="0">
                  <c:v>TEL2</c:v>
                </c:pt>
              </c:strCache>
            </c:strRef>
          </c:tx>
          <c:spPr>
            <a:ln w="22225">
              <a:solidFill>
                <a:schemeClr val="bg2">
                  <a:lumMod val="50000"/>
                </a:schemeClr>
              </a:solidFill>
              <a:prstDash val="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CALCULATIONS!$NN$63:$OB$63</c:f>
              <c:numCache>
                <c:formatCode>0.0</c:formatCode>
                <c:ptCount val="15"/>
                <c:pt idx="0">
                  <c:v>1.0407162855366883</c:v>
                </c:pt>
                <c:pt idx="1">
                  <c:v>1.1229760312754102</c:v>
                </c:pt>
                <c:pt idx="2">
                  <c:v>1.1396686992136211</c:v>
                </c:pt>
                <c:pt idx="3">
                  <c:v>0.97044459203164424</c:v>
                </c:pt>
                <c:pt idx="4">
                  <c:v>0.81584251821841902</c:v>
                </c:pt>
                <c:pt idx="5">
                  <c:v>0.76535669571282439</c:v>
                </c:pt>
                <c:pt idx="6">
                  <c:v>1.9708789105837119</c:v>
                </c:pt>
                <c:pt idx="7">
                  <c:v>1.8720539713810258</c:v>
                </c:pt>
                <c:pt idx="8">
                  <c:v>1.7333385231011276</c:v>
                </c:pt>
                <c:pt idx="9">
                  <c:v>1.82527551828394</c:v>
                </c:pt>
                <c:pt idx="10">
                  <c:v>2.6458410900788696</c:v>
                </c:pt>
                <c:pt idx="11">
                  <c:v>2.5621702844444512</c:v>
                </c:pt>
                <c:pt idx="12">
                  <c:v>2.6565846380540186</c:v>
                </c:pt>
                <c:pt idx="13">
                  <c:v>2.0307043458305896</c:v>
                </c:pt>
                <c:pt idx="14">
                  <c:v>1.835715357616891</c:v>
                </c:pt>
              </c:numCache>
            </c:numRef>
          </c:val>
          <c:smooth val="0"/>
        </c:ser>
        <c:dLbls>
          <c:showLegendKey val="0"/>
          <c:showVal val="0"/>
          <c:showCatName val="0"/>
          <c:showSerName val="0"/>
          <c:showPercent val="0"/>
          <c:showBubbleSize val="0"/>
        </c:dLbls>
        <c:marker val="1"/>
        <c:smooth val="0"/>
        <c:axId val="202944512"/>
        <c:axId val="202946048"/>
      </c:lineChart>
      <c:dateAx>
        <c:axId val="202944512"/>
        <c:scaling>
          <c:orientation val="minMax"/>
        </c:scaling>
        <c:delete val="0"/>
        <c:axPos val="b"/>
        <c:numFmt formatCode="[$-409]mmm\-yy;@" sourceLinked="0"/>
        <c:majorTickMark val="out"/>
        <c:minorTickMark val="none"/>
        <c:tickLblPos val="nextTo"/>
        <c:crossAx val="202946048"/>
        <c:crosses val="autoZero"/>
        <c:auto val="1"/>
        <c:lblOffset val="100"/>
        <c:baseTimeUnit val="months"/>
        <c:majorUnit val="6"/>
        <c:majorTimeUnit val="months"/>
      </c:dateAx>
      <c:valAx>
        <c:axId val="202946048"/>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crossAx val="202944512"/>
        <c:crosses val="autoZero"/>
        <c:crossBetween val="between"/>
      </c:valAx>
      <c:spPr>
        <a:noFill/>
        <a:ln>
          <a:noFill/>
        </a:ln>
      </c:spPr>
    </c:plotArea>
    <c:legend>
      <c:legendPos val="b"/>
      <c:layout>
        <c:manualLayout>
          <c:xMode val="edge"/>
          <c:yMode val="edge"/>
          <c:x val="0.1005226610256908"/>
          <c:y val="0.91748042904282956"/>
          <c:w val="0.83257384982039051"/>
          <c:h val="6.0237189902266314E-2"/>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74631002734892E-2"/>
          <c:y val="3.774583723808804E-2"/>
          <c:w val="0.91072320564843712"/>
          <c:h val="0.74176062992125957"/>
        </c:manualLayout>
      </c:layout>
      <c:lineChart>
        <c:grouping val="standard"/>
        <c:varyColors val="0"/>
        <c:ser>
          <c:idx val="2"/>
          <c:order val="0"/>
          <c:tx>
            <c:v>BELGACOM</c:v>
          </c:tx>
          <c:spPr>
            <a:ln>
              <a:solidFill>
                <a:schemeClr val="tx1"/>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CALCULATIONS!$GE$7:$GS$7</c:f>
              <c:numCache>
                <c:formatCode>0.0</c:formatCode>
                <c:ptCount val="15"/>
                <c:pt idx="0">
                  <c:v>4.2885463249133933</c:v>
                </c:pt>
                <c:pt idx="1">
                  <c:v>3.9618557811118289</c:v>
                </c:pt>
                <c:pt idx="2">
                  <c:v>3.9006785302867524</c:v>
                </c:pt>
                <c:pt idx="3">
                  <c:v>4.1410125423515485</c:v>
                </c:pt>
                <c:pt idx="4">
                  <c:v>4.1241559139513644</c:v>
                </c:pt>
                <c:pt idx="5">
                  <c:v>5.2671505229384259</c:v>
                </c:pt>
                <c:pt idx="6">
                  <c:v>5.2223693161108651</c:v>
                </c:pt>
                <c:pt idx="7">
                  <c:v>4.8179225884237669</c:v>
                </c:pt>
                <c:pt idx="8">
                  <c:v>5.0287788436693788</c:v>
                </c:pt>
                <c:pt idx="9">
                  <c:v>5.1741131495120847</c:v>
                </c:pt>
                <c:pt idx="10">
                  <c:v>5.3259826222569435</c:v>
                </c:pt>
                <c:pt idx="11">
                  <c:v>5.4654156252831125</c:v>
                </c:pt>
                <c:pt idx="12">
                  <c:v>5.0403995907375387</c:v>
                </c:pt>
                <c:pt idx="13">
                  <c:v>4.7843999563302617</c:v>
                </c:pt>
                <c:pt idx="14">
                  <c:v>4.6619962755533297</c:v>
                </c:pt>
              </c:numCache>
            </c:numRef>
          </c:val>
          <c:smooth val="0"/>
        </c:ser>
        <c:ser>
          <c:idx val="1"/>
          <c:order val="1"/>
          <c:tx>
            <c:v>Comp. Belgacom</c:v>
          </c:tx>
          <c:spPr>
            <a:ln w="28575">
              <a:solidFill>
                <a:schemeClr val="bg2">
                  <a:lumMod val="50000"/>
                </a:schemeClr>
              </a:solidFill>
              <a:prstDash val="sysDash"/>
            </a:ln>
          </c:spPr>
          <c:marker>
            <c:symbol val="none"/>
          </c:marker>
          <c:val>
            <c:numRef>
              <c:f>CALCULATIONS!$GE$29:$GS$29</c:f>
              <c:numCache>
                <c:formatCode>0.0</c:formatCode>
                <c:ptCount val="15"/>
                <c:pt idx="0">
                  <c:v>5.5555155568487216</c:v>
                </c:pt>
                <c:pt idx="1">
                  <c:v>5.5876844449509093</c:v>
                </c:pt>
                <c:pt idx="2">
                  <c:v>5.3217168317517727</c:v>
                </c:pt>
                <c:pt idx="3">
                  <c:v>5.6641905109803972</c:v>
                </c:pt>
                <c:pt idx="4">
                  <c:v>5.3985924195936184</c:v>
                </c:pt>
                <c:pt idx="5">
                  <c:v>5.3830932759928096</c:v>
                </c:pt>
                <c:pt idx="6">
                  <c:v>5.3221964096194876</c:v>
                </c:pt>
                <c:pt idx="7">
                  <c:v>5.2657876404493882</c:v>
                </c:pt>
                <c:pt idx="8">
                  <c:v>5.1195994081908163</c:v>
                </c:pt>
                <c:pt idx="9">
                  <c:v>5.1678374154480577</c:v>
                </c:pt>
                <c:pt idx="10">
                  <c:v>5.0857768205831038</c:v>
                </c:pt>
                <c:pt idx="11">
                  <c:v>5.0406711771818236</c:v>
                </c:pt>
                <c:pt idx="12">
                  <c:v>4.8316919811840142</c:v>
                </c:pt>
                <c:pt idx="13">
                  <c:v>4.7580865209943317</c:v>
                </c:pt>
                <c:pt idx="14">
                  <c:v>4.8456170731365331</c:v>
                </c:pt>
              </c:numCache>
            </c:numRef>
          </c:val>
          <c:smooth val="0"/>
        </c:ser>
        <c:ser>
          <c:idx val="3"/>
          <c:order val="2"/>
          <c:tx>
            <c:v>MOBISTAR</c:v>
          </c:tx>
          <c:spPr>
            <a:ln>
              <a:solidFill>
                <a:srgbClr val="C00000"/>
              </a:solidFill>
            </a:ln>
          </c:spPr>
          <c:marker>
            <c:symbol val="triangle"/>
            <c:size val="7"/>
            <c:spPr>
              <a:no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CALCULATIONS!$GE$8:$GS$8</c:f>
              <c:numCache>
                <c:formatCode>0.0</c:formatCode>
                <c:ptCount val="15"/>
                <c:pt idx="0">
                  <c:v>5.5752364574033733</c:v>
                </c:pt>
                <c:pt idx="1">
                  <c:v>5.4047333376614315</c:v>
                </c:pt>
                <c:pt idx="2">
                  <c:v>5.2339153941178145</c:v>
                </c:pt>
                <c:pt idx="3">
                  <c:v>5.5576682975344065</c:v>
                </c:pt>
                <c:pt idx="4">
                  <c:v>5.8810790231121963</c:v>
                </c:pt>
                <c:pt idx="5">
                  <c:v>6.1582168528162011</c:v>
                </c:pt>
                <c:pt idx="6">
                  <c:v>6.4355828272677673</c:v>
                </c:pt>
                <c:pt idx="7">
                  <c:v>5.8542333336833154</c:v>
                </c:pt>
                <c:pt idx="8">
                  <c:v>5.2720746336887681</c:v>
                </c:pt>
                <c:pt idx="9">
                  <c:v>4.7383879777317404</c:v>
                </c:pt>
                <c:pt idx="10">
                  <c:v>4.207010335202404</c:v>
                </c:pt>
                <c:pt idx="11">
                  <c:v>3.8238807121569747</c:v>
                </c:pt>
                <c:pt idx="12">
                  <c:v>3.442306594398771</c:v>
                </c:pt>
                <c:pt idx="13">
                  <c:v>3.5594938248269159</c:v>
                </c:pt>
                <c:pt idx="14">
                  <c:v>3.6764587184436395</c:v>
                </c:pt>
              </c:numCache>
            </c:numRef>
          </c:val>
          <c:smooth val="0"/>
        </c:ser>
        <c:ser>
          <c:idx val="5"/>
          <c:order val="3"/>
          <c:tx>
            <c:strRef>
              <c:f>CALCULATIONS!$C$26</c:f>
              <c:strCache>
                <c:ptCount val="1"/>
                <c:pt idx="0">
                  <c:v>SNC</c:v>
                </c:pt>
              </c:strCache>
            </c:strRef>
          </c:tx>
          <c:spPr>
            <a:ln w="28575">
              <a:solidFill>
                <a:srgbClr val="C00000"/>
              </a:solidFill>
              <a:prstDash val="dash"/>
            </a:ln>
          </c:spPr>
          <c:marker>
            <c:symbol val="none"/>
          </c:marker>
          <c:val>
            <c:numRef>
              <c:f>CALCULATIONS!$FH$26:$FV$26</c:f>
              <c:numCache>
                <c:formatCode>0.0</c:formatCode>
                <c:ptCount val="15"/>
                <c:pt idx="0">
                  <c:v>5.5578222900335454</c:v>
                </c:pt>
                <c:pt idx="1">
                  <c:v>4.879068174563792</c:v>
                </c:pt>
                <c:pt idx="2">
                  <c:v>4.3891584537752149</c:v>
                </c:pt>
                <c:pt idx="3">
                  <c:v>4.3737157209987982</c:v>
                </c:pt>
                <c:pt idx="4">
                  <c:v>4.2117067699231718</c:v>
                </c:pt>
                <c:pt idx="5">
                  <c:v>4.3827513520694943</c:v>
                </c:pt>
                <c:pt idx="6">
                  <c:v>4.2597064774426538</c:v>
                </c:pt>
                <c:pt idx="7">
                  <c:v>3.4314177264441255</c:v>
                </c:pt>
                <c:pt idx="8">
                  <c:v>3.2074942914242124</c:v>
                </c:pt>
                <c:pt idx="9">
                  <c:v>3.3858750717016983</c:v>
                </c:pt>
                <c:pt idx="10">
                  <c:v>3.4330951453756771</c:v>
                </c:pt>
                <c:pt idx="11">
                  <c:v>3.3393538943696282</c:v>
                </c:pt>
                <c:pt idx="12">
                  <c:v>3.7525252065804793</c:v>
                </c:pt>
                <c:pt idx="13">
                  <c:v>4.0453157691035688</c:v>
                </c:pt>
                <c:pt idx="14">
                  <c:v>3.9063069179772585</c:v>
                </c:pt>
              </c:numCache>
            </c:numRef>
          </c:val>
          <c:smooth val="0"/>
        </c:ser>
        <c:ser>
          <c:idx val="4"/>
          <c:order val="4"/>
          <c:tx>
            <c:v>TELENET</c:v>
          </c:tx>
          <c:spPr>
            <a:ln w="28575">
              <a:solidFill>
                <a:srgbClr val="FFC000"/>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CALCULATIONS!$GE$9:$GS$9</c:f>
              <c:numCache>
                <c:formatCode>0.0</c:formatCode>
                <c:ptCount val="15"/>
                <c:pt idx="0">
                  <c:v>7.3882795026632264</c:v>
                </c:pt>
                <c:pt idx="1">
                  <c:v>7.511456716472753</c:v>
                </c:pt>
                <c:pt idx="2">
                  <c:v>7.1707944229261198</c:v>
                </c:pt>
                <c:pt idx="3">
                  <c:v>7.7055366686292892</c:v>
                </c:pt>
                <c:pt idx="4">
                  <c:v>8.4062817091520898</c:v>
                </c:pt>
                <c:pt idx="5">
                  <c:v>8.8763505624407077</c:v>
                </c:pt>
                <c:pt idx="6">
                  <c:v>8.5774744199633144</c:v>
                </c:pt>
                <c:pt idx="7">
                  <c:v>8.8417973134188603</c:v>
                </c:pt>
                <c:pt idx="8">
                  <c:v>8.7507454377216138</c:v>
                </c:pt>
                <c:pt idx="9">
                  <c:v>8.7120469152324826</c:v>
                </c:pt>
                <c:pt idx="10">
                  <c:v>9.1838724950545316</c:v>
                </c:pt>
                <c:pt idx="11">
                  <c:v>9.135932537020869</c:v>
                </c:pt>
                <c:pt idx="12">
                  <c:v>9.0664383370126806</c:v>
                </c:pt>
                <c:pt idx="13">
                  <c:v>9.4423485403827989</c:v>
                </c:pt>
                <c:pt idx="14">
                  <c:v>9.0506669895995948</c:v>
                </c:pt>
              </c:numCache>
            </c:numRef>
          </c:val>
          <c:smooth val="0"/>
        </c:ser>
        <c:ser>
          <c:idx val="0"/>
          <c:order val="5"/>
          <c:tx>
            <c:strRef>
              <c:f>CALCULATIONS!$C$21</c:f>
              <c:strCache>
                <c:ptCount val="1"/>
                <c:pt idx="0">
                  <c:v>BT</c:v>
                </c:pt>
              </c:strCache>
            </c:strRef>
          </c:tx>
          <c:spPr>
            <a:ln>
              <a:solidFill>
                <a:srgbClr val="FFC000"/>
              </a:solidFill>
              <a:prstDash val="dash"/>
            </a:ln>
          </c:spPr>
          <c:marker>
            <c:symbol val="none"/>
          </c:marker>
          <c:val>
            <c:numRef>
              <c:f>CALCULATIONS!$FH$21:$FV$21</c:f>
              <c:numCache>
                <c:formatCode>0.0</c:formatCode>
                <c:ptCount val="15"/>
                <c:pt idx="0">
                  <c:v>5.5069568381935765</c:v>
                </c:pt>
                <c:pt idx="1">
                  <c:v>4.0978758803437954</c:v>
                </c:pt>
                <c:pt idx="2">
                  <c:v>4.0379191029722445</c:v>
                </c:pt>
                <c:pt idx="3">
                  <c:v>3.9887872212570707</c:v>
                </c:pt>
                <c:pt idx="4">
                  <c:v>4.327999381041133</c:v>
                </c:pt>
                <c:pt idx="5">
                  <c:v>4.4950636364747822</c:v>
                </c:pt>
                <c:pt idx="6">
                  <c:v>4.6333779498390504</c:v>
                </c:pt>
                <c:pt idx="7">
                  <c:v>4.1463493954872561</c:v>
                </c:pt>
                <c:pt idx="8">
                  <c:v>4.2231442619169002</c:v>
                </c:pt>
                <c:pt idx="9">
                  <c:v>5.0590640879247646</c:v>
                </c:pt>
                <c:pt idx="10">
                  <c:v>4.8723638513633851</c:v>
                </c:pt>
                <c:pt idx="11">
                  <c:v>5.1561130534628496</c:v>
                </c:pt>
                <c:pt idx="12">
                  <c:v>5.118941985501583</c:v>
                </c:pt>
                <c:pt idx="13">
                  <c:v>5.3120383859548967</c:v>
                </c:pt>
                <c:pt idx="14">
                  <c:v>5.7096258695546744</c:v>
                </c:pt>
              </c:numCache>
            </c:numRef>
          </c:val>
          <c:smooth val="0"/>
        </c:ser>
        <c:dLbls>
          <c:showLegendKey val="0"/>
          <c:showVal val="0"/>
          <c:showCatName val="0"/>
          <c:showSerName val="0"/>
          <c:showPercent val="0"/>
          <c:showBubbleSize val="0"/>
        </c:dLbls>
        <c:marker val="1"/>
        <c:smooth val="0"/>
        <c:axId val="206644352"/>
        <c:axId val="206645888"/>
      </c:lineChart>
      <c:dateAx>
        <c:axId val="206644352"/>
        <c:scaling>
          <c:orientation val="minMax"/>
        </c:scaling>
        <c:delete val="0"/>
        <c:axPos val="b"/>
        <c:numFmt formatCode="mm/yyyy;@" sourceLinked="0"/>
        <c:majorTickMark val="out"/>
        <c:minorTickMark val="none"/>
        <c:tickLblPos val="nextTo"/>
        <c:crossAx val="206645888"/>
        <c:crosses val="autoZero"/>
        <c:auto val="1"/>
        <c:lblOffset val="100"/>
        <c:baseTimeUnit val="months"/>
        <c:majorUnit val="6"/>
        <c:majorTimeUnit val="months"/>
      </c:dateAx>
      <c:valAx>
        <c:axId val="206645888"/>
        <c:scaling>
          <c:orientation val="minMax"/>
          <c:min val="0"/>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206644352"/>
        <c:crosses val="autoZero"/>
        <c:crossBetween val="between"/>
        <c:majorUnit val="1"/>
      </c:valAx>
    </c:plotArea>
    <c:legend>
      <c:legendPos val="b"/>
      <c:layout>
        <c:manualLayout>
          <c:xMode val="edge"/>
          <c:yMode val="edge"/>
          <c:x val="0"/>
          <c:y val="0.88404931620390048"/>
          <c:w val="0.99152907838793958"/>
          <c:h val="0.11595068379610443"/>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049985579309076"/>
        </c:manualLayout>
      </c:layout>
      <c:lineChart>
        <c:grouping val="standard"/>
        <c:varyColors val="0"/>
        <c:ser>
          <c:idx val="2"/>
          <c:order val="0"/>
          <c:tx>
            <c:v>BELGACOM</c:v>
          </c:tx>
          <c:spPr>
            <a:ln>
              <a:solidFill>
                <a:schemeClr val="tx1"/>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CALCULATIONS!$LT$7:$MH$7</c:f>
              <c:numCache>
                <c:formatCode>0.0</c:formatCode>
                <c:ptCount val="15"/>
                <c:pt idx="0">
                  <c:v>0.85780357758060832</c:v>
                </c:pt>
                <c:pt idx="1">
                  <c:v>0.60699163906695064</c:v>
                </c:pt>
                <c:pt idx="2">
                  <c:v>0.73258608367589573</c:v>
                </c:pt>
                <c:pt idx="3">
                  <c:v>0.63774509214022523</c:v>
                </c:pt>
                <c:pt idx="4">
                  <c:v>0.74671139174513146</c:v>
                </c:pt>
                <c:pt idx="5">
                  <c:v>0.7780181563411469</c:v>
                </c:pt>
                <c:pt idx="6">
                  <c:v>0.98612301734551489</c:v>
                </c:pt>
                <c:pt idx="7">
                  <c:v>0.8625256609875307</c:v>
                </c:pt>
                <c:pt idx="8">
                  <c:v>0.96943755578816437</c:v>
                </c:pt>
                <c:pt idx="9">
                  <c:v>0.86104856905117111</c:v>
                </c:pt>
                <c:pt idx="10">
                  <c:v>1.1345061634014335</c:v>
                </c:pt>
                <c:pt idx="11">
                  <c:v>1.00696420705061</c:v>
                </c:pt>
                <c:pt idx="12">
                  <c:v>1.0680698852526918</c:v>
                </c:pt>
                <c:pt idx="13">
                  <c:v>1.0276122349618302</c:v>
                </c:pt>
                <c:pt idx="14">
                  <c:v>1.3109622071604587</c:v>
                </c:pt>
              </c:numCache>
            </c:numRef>
          </c:val>
          <c:smooth val="0"/>
        </c:ser>
        <c:ser>
          <c:idx val="0"/>
          <c:order val="1"/>
          <c:tx>
            <c:v>Comp. Belgacom</c:v>
          </c:tx>
          <c:spPr>
            <a:ln>
              <a:solidFill>
                <a:schemeClr val="bg2">
                  <a:lumMod val="50000"/>
                </a:schemeClr>
              </a:solidFill>
              <a:prstDash val="sysDash"/>
            </a:ln>
          </c:spPr>
          <c:marker>
            <c:symbol val="none"/>
          </c:marker>
          <c:val>
            <c:numRef>
              <c:f>CALCULATIONS!$LT$29:$MH$29</c:f>
              <c:numCache>
                <c:formatCode>0.0</c:formatCode>
                <c:ptCount val="15"/>
                <c:pt idx="0">
                  <c:v>2.2757434194775352</c:v>
                </c:pt>
                <c:pt idx="1">
                  <c:v>2.2556905609759763</c:v>
                </c:pt>
                <c:pt idx="2">
                  <c:v>2.3133161490653715</c:v>
                </c:pt>
                <c:pt idx="3">
                  <c:v>2.272213234174107</c:v>
                </c:pt>
                <c:pt idx="4">
                  <c:v>2.1337517114073719</c:v>
                </c:pt>
                <c:pt idx="5">
                  <c:v>2.0773136717260394</c:v>
                </c:pt>
                <c:pt idx="6">
                  <c:v>2.1239788046042096</c:v>
                </c:pt>
                <c:pt idx="7">
                  <c:v>2.1784473606605457</c:v>
                </c:pt>
                <c:pt idx="8">
                  <c:v>2.0817271589587243</c:v>
                </c:pt>
                <c:pt idx="9">
                  <c:v>2.1805850609441468</c:v>
                </c:pt>
                <c:pt idx="10">
                  <c:v>2.2530447745650073</c:v>
                </c:pt>
                <c:pt idx="11">
                  <c:v>2.3056864627944895</c:v>
                </c:pt>
                <c:pt idx="12">
                  <c:v>2.2811381966699202</c:v>
                </c:pt>
                <c:pt idx="13">
                  <c:v>2.3822084560957602</c:v>
                </c:pt>
                <c:pt idx="14">
                  <c:v>2.3299414891552641</c:v>
                </c:pt>
              </c:numCache>
            </c:numRef>
          </c:val>
          <c:smooth val="0"/>
        </c:ser>
        <c:ser>
          <c:idx val="1"/>
          <c:order val="2"/>
          <c:tx>
            <c:v>Belgacom (D*/Ebitda*) - (D/Ebitda)</c:v>
          </c:tx>
          <c:spPr>
            <a:ln w="22225">
              <a:solidFill>
                <a:schemeClr val="tx1">
                  <a:lumMod val="50000"/>
                  <a:lumOff val="50000"/>
                </a:schemeClr>
              </a:solidFill>
            </a:ln>
          </c:spPr>
          <c:marker>
            <c:symbol val="none"/>
          </c:marker>
          <c:val>
            <c:numRef>
              <c:f>CALCULATIONS!$KW$46:$LK$46</c:f>
              <c:numCache>
                <c:formatCode>0.00</c:formatCode>
                <c:ptCount val="15"/>
                <c:pt idx="0">
                  <c:v>9.9171207511160153E-2</c:v>
                </c:pt>
                <c:pt idx="1">
                  <c:v>8.8307473229948141E-2</c:v>
                </c:pt>
                <c:pt idx="2">
                  <c:v>8.6859060177994496E-2</c:v>
                </c:pt>
                <c:pt idx="3">
                  <c:v>8.9050714653732488E-2</c:v>
                </c:pt>
                <c:pt idx="4">
                  <c:v>0.10125196987949003</c:v>
                </c:pt>
                <c:pt idx="5">
                  <c:v>0.12388236782568085</c:v>
                </c:pt>
                <c:pt idx="6">
                  <c:v>0.11908036241958542</c:v>
                </c:pt>
                <c:pt idx="7">
                  <c:v>0.12299006609304652</c:v>
                </c:pt>
                <c:pt idx="8">
                  <c:v>0.12380245786133681</c:v>
                </c:pt>
                <c:pt idx="9">
                  <c:v>0.1256513261011093</c:v>
                </c:pt>
                <c:pt idx="10">
                  <c:v>0.12354845147808113</c:v>
                </c:pt>
                <c:pt idx="11">
                  <c:v>0.12603521926613037</c:v>
                </c:pt>
                <c:pt idx="12">
                  <c:v>0.1249637852737433</c:v>
                </c:pt>
                <c:pt idx="13">
                  <c:v>0.12800397942346264</c:v>
                </c:pt>
                <c:pt idx="14">
                  <c:v>0.12223973714639014</c:v>
                </c:pt>
              </c:numCache>
            </c:numRef>
          </c:val>
          <c:smooth val="0"/>
        </c:ser>
        <c:dLbls>
          <c:showLegendKey val="0"/>
          <c:showVal val="0"/>
          <c:showCatName val="0"/>
          <c:showSerName val="0"/>
          <c:showPercent val="0"/>
          <c:showBubbleSize val="0"/>
        </c:dLbls>
        <c:marker val="1"/>
        <c:smooth val="0"/>
        <c:axId val="206684544"/>
        <c:axId val="206686080"/>
      </c:lineChart>
      <c:dateAx>
        <c:axId val="206684544"/>
        <c:scaling>
          <c:orientation val="minMax"/>
        </c:scaling>
        <c:delete val="0"/>
        <c:axPos val="b"/>
        <c:numFmt formatCode="[$-409]mmm\-yy;@" sourceLinked="0"/>
        <c:majorTickMark val="out"/>
        <c:minorTickMark val="none"/>
        <c:tickLblPos val="nextTo"/>
        <c:crossAx val="206686080"/>
        <c:crosses val="autoZero"/>
        <c:auto val="1"/>
        <c:lblOffset val="100"/>
        <c:baseTimeUnit val="months"/>
        <c:majorUnit val="6"/>
        <c:majorTimeUnit val="months"/>
      </c:dateAx>
      <c:valAx>
        <c:axId val="206686080"/>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crossAx val="206684544"/>
        <c:crosses val="autoZero"/>
        <c:crossBetween val="between"/>
        <c:majorUnit val="0.5"/>
      </c:valAx>
      <c:spPr>
        <a:noFill/>
        <a:ln>
          <a:noFill/>
        </a:ln>
      </c:spPr>
    </c:plotArea>
    <c:legend>
      <c:legendPos val="b"/>
      <c:layout>
        <c:manualLayout>
          <c:xMode val="edge"/>
          <c:yMode val="edge"/>
          <c:x val="2.0396091764906126E-2"/>
          <c:y val="0.89549161057745363"/>
          <c:w val="0.97960390823509669"/>
          <c:h val="8.1651114056227533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285"/>
        </c:manualLayout>
      </c:layout>
      <c:lineChart>
        <c:grouping val="standard"/>
        <c:varyColors val="0"/>
        <c:ser>
          <c:idx val="3"/>
          <c:order val="0"/>
          <c:tx>
            <c:v>MOBISTAR</c:v>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CALCULATIONS!$LT$8:$MH$8</c:f>
              <c:numCache>
                <c:formatCode>0.0</c:formatCode>
                <c:ptCount val="15"/>
                <c:pt idx="0">
                  <c:v>0.99140741026170842</c:v>
                </c:pt>
                <c:pt idx="1">
                  <c:v>1.0341053184541793</c:v>
                </c:pt>
                <c:pt idx="2">
                  <c:v>1.0764088799855431</c:v>
                </c:pt>
                <c:pt idx="3">
                  <c:v>1.0853792994832576</c:v>
                </c:pt>
                <c:pt idx="4">
                  <c:v>1.0923265666380659</c:v>
                </c:pt>
                <c:pt idx="5">
                  <c:v>1.1239733181245217</c:v>
                </c:pt>
                <c:pt idx="6">
                  <c:v>1.1552605915532697</c:v>
                </c:pt>
                <c:pt idx="7">
                  <c:v>1.1393152586964637</c:v>
                </c:pt>
                <c:pt idx="8">
                  <c:v>1.1247741511519036</c:v>
                </c:pt>
                <c:pt idx="9">
                  <c:v>1.2241778689794098</c:v>
                </c:pt>
                <c:pt idx="10">
                  <c:v>1.3331098133770074</c:v>
                </c:pt>
                <c:pt idx="11">
                  <c:v>1.3262016813517561</c:v>
                </c:pt>
                <c:pt idx="12">
                  <c:v>1.3233837800550459</c:v>
                </c:pt>
                <c:pt idx="13">
                  <c:v>1.4917664703296698</c:v>
                </c:pt>
                <c:pt idx="14">
                  <c:v>1.6771658832683087</c:v>
                </c:pt>
              </c:numCache>
            </c:numRef>
          </c:val>
          <c:smooth val="0"/>
        </c:ser>
        <c:ser>
          <c:idx val="0"/>
          <c:order val="1"/>
          <c:tx>
            <c:strRef>
              <c:f>CALCULATIONS!$C$26</c:f>
              <c:strCache>
                <c:ptCount val="1"/>
                <c:pt idx="0">
                  <c:v>SNC</c:v>
                </c:pt>
              </c:strCache>
            </c:strRef>
          </c:tx>
          <c:spPr>
            <a:ln w="28575">
              <a:solidFill>
                <a:srgbClr val="C00000"/>
              </a:solidFill>
              <a:prstDash val="dash"/>
            </a:ln>
          </c:spPr>
          <c:marker>
            <c:symbol val="none"/>
          </c:marker>
          <c:val>
            <c:numRef>
              <c:f>CALCULATIONS!$LT$26:$MH$26</c:f>
              <c:numCache>
                <c:formatCode>0.0</c:formatCode>
                <c:ptCount val="15"/>
                <c:pt idx="0">
                  <c:v>2.1869515319345236</c:v>
                </c:pt>
                <c:pt idx="1">
                  <c:v>2.0650885177422436</c:v>
                </c:pt>
                <c:pt idx="2">
                  <c:v>2.0165632367130932</c:v>
                </c:pt>
                <c:pt idx="3">
                  <c:v>1.9861884467960744</c:v>
                </c:pt>
                <c:pt idx="4">
                  <c:v>2.0490209364315932</c:v>
                </c:pt>
                <c:pt idx="5">
                  <c:v>2.0372990400833859</c:v>
                </c:pt>
                <c:pt idx="6">
                  <c:v>1.9513118537791414</c:v>
                </c:pt>
                <c:pt idx="7">
                  <c:v>1.726534859422175</c:v>
                </c:pt>
                <c:pt idx="8">
                  <c:v>1.5921186719096636</c:v>
                </c:pt>
                <c:pt idx="9">
                  <c:v>1.7722293618262999</c:v>
                </c:pt>
                <c:pt idx="10">
                  <c:v>1.7439624146481147</c:v>
                </c:pt>
                <c:pt idx="11">
                  <c:v>1.604286238773192</c:v>
                </c:pt>
                <c:pt idx="12">
                  <c:v>1.7453361504705158</c:v>
                </c:pt>
                <c:pt idx="13">
                  <c:v>1.7794058770368837</c:v>
                </c:pt>
                <c:pt idx="14">
                  <c:v>1.8160302149559577</c:v>
                </c:pt>
              </c:numCache>
            </c:numRef>
          </c:val>
          <c:smooth val="0"/>
        </c:ser>
        <c:ser>
          <c:idx val="17"/>
          <c:order val="2"/>
          <c:tx>
            <c:strRef>
              <c:f>CALCULATIONS!$C$22</c:f>
              <c:strCache>
                <c:ptCount val="1"/>
                <c:pt idx="0">
                  <c:v>VOD</c:v>
                </c:pt>
              </c:strCache>
            </c:strRef>
          </c:tx>
          <c:spPr>
            <a:ln w="12700">
              <a:solidFill>
                <a:srgbClr val="C00000"/>
              </a:solidFill>
              <a:prstDash val="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CALCULATIONS!$LT$22:$MH$22</c:f>
              <c:numCache>
                <c:formatCode>0.0</c:formatCode>
                <c:ptCount val="15"/>
                <c:pt idx="0">
                  <c:v>2.3938120328410841</c:v>
                </c:pt>
                <c:pt idx="1">
                  <c:v>2.4003526502589283</c:v>
                </c:pt>
                <c:pt idx="2">
                  <c:v>2.4264492409385809</c:v>
                </c:pt>
                <c:pt idx="3">
                  <c:v>2.4523749460305031</c:v>
                </c:pt>
                <c:pt idx="4">
                  <c:v>2.4188855356318548</c:v>
                </c:pt>
                <c:pt idx="5">
                  <c:v>2.3759780500764887</c:v>
                </c:pt>
                <c:pt idx="6">
                  <c:v>2.0698584190065699</c:v>
                </c:pt>
                <c:pt idx="7">
                  <c:v>1.764193856311334</c:v>
                </c:pt>
                <c:pt idx="8">
                  <c:v>1.7064635202406915</c:v>
                </c:pt>
                <c:pt idx="9">
                  <c:v>1.6557234686451092</c:v>
                </c:pt>
                <c:pt idx="10">
                  <c:v>1.742164734609212</c:v>
                </c:pt>
                <c:pt idx="11">
                  <c:v>1.7956009108529667</c:v>
                </c:pt>
                <c:pt idx="12">
                  <c:v>2.0670767647357211</c:v>
                </c:pt>
                <c:pt idx="13">
                  <c:v>2.3348198024327131</c:v>
                </c:pt>
                <c:pt idx="14">
                  <c:v>2.3348198024327131</c:v>
                </c:pt>
              </c:numCache>
            </c:numRef>
          </c:val>
          <c:smooth val="0"/>
        </c:ser>
        <c:ser>
          <c:idx val="1"/>
          <c:order val="3"/>
          <c:tx>
            <c:v>Mobistar (D*/Ebitda*) - (D/Ebitda)</c:v>
          </c:tx>
          <c:spPr>
            <a:ln>
              <a:solidFill>
                <a:schemeClr val="tx1">
                  <a:lumMod val="50000"/>
                  <a:lumOff val="50000"/>
                </a:schemeClr>
              </a:solidFill>
            </a:ln>
          </c:spPr>
          <c:marker>
            <c:symbol val="none"/>
          </c:marker>
          <c:val>
            <c:numRef>
              <c:f>CALCULATIONS!$KW$47:$LK$47</c:f>
              <c:numCache>
                <c:formatCode>0.0</c:formatCode>
                <c:ptCount val="15"/>
                <c:pt idx="0">
                  <c:v>0.48359777132413684</c:v>
                </c:pt>
                <c:pt idx="1">
                  <c:v>0.49682587237753262</c:v>
                </c:pt>
                <c:pt idx="2">
                  <c:v>0.50994284188441596</c:v>
                </c:pt>
                <c:pt idx="3">
                  <c:v>0.53880035497104894</c:v>
                </c:pt>
                <c:pt idx="4">
                  <c:v>0.56772368299812248</c:v>
                </c:pt>
                <c:pt idx="5">
                  <c:v>0.56202065817761504</c:v>
                </c:pt>
                <c:pt idx="6">
                  <c:v>0.55577112328261991</c:v>
                </c:pt>
                <c:pt idx="7">
                  <c:v>0.55270899710983001</c:v>
                </c:pt>
                <c:pt idx="8">
                  <c:v>0.55029335961224635</c:v>
                </c:pt>
                <c:pt idx="9">
                  <c:v>0.53927640464734727</c:v>
                </c:pt>
                <c:pt idx="10">
                  <c:v>0.52966390307222611</c:v>
                </c:pt>
                <c:pt idx="11">
                  <c:v>0.52713860103432308</c:v>
                </c:pt>
                <c:pt idx="12">
                  <c:v>0.52596787635179154</c:v>
                </c:pt>
                <c:pt idx="13">
                  <c:v>0.54655956092722424</c:v>
                </c:pt>
                <c:pt idx="14">
                  <c:v>0.56532691493306619</c:v>
                </c:pt>
              </c:numCache>
            </c:numRef>
          </c:val>
          <c:smooth val="0"/>
        </c:ser>
        <c:dLbls>
          <c:showLegendKey val="0"/>
          <c:showVal val="0"/>
          <c:showCatName val="0"/>
          <c:showSerName val="0"/>
          <c:showPercent val="0"/>
          <c:showBubbleSize val="0"/>
        </c:dLbls>
        <c:marker val="1"/>
        <c:smooth val="0"/>
        <c:axId val="212300160"/>
        <c:axId val="212301696"/>
      </c:lineChart>
      <c:dateAx>
        <c:axId val="212300160"/>
        <c:scaling>
          <c:orientation val="minMax"/>
        </c:scaling>
        <c:delete val="0"/>
        <c:axPos val="b"/>
        <c:numFmt formatCode="[$-409]mmm\-yy;@" sourceLinked="0"/>
        <c:majorTickMark val="out"/>
        <c:minorTickMark val="none"/>
        <c:tickLblPos val="nextTo"/>
        <c:crossAx val="212301696"/>
        <c:crosses val="autoZero"/>
        <c:auto val="1"/>
        <c:lblOffset val="100"/>
        <c:baseTimeUnit val="months"/>
        <c:majorUnit val="6"/>
        <c:majorTimeUnit val="months"/>
      </c:dateAx>
      <c:valAx>
        <c:axId val="212301696"/>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crossAx val="212300160"/>
        <c:crosses val="autoZero"/>
        <c:crossBetween val="between"/>
      </c:valAx>
      <c:spPr>
        <a:noFill/>
        <a:ln>
          <a:noFill/>
        </a:ln>
      </c:spPr>
    </c:plotArea>
    <c:legend>
      <c:legendPos val="b"/>
      <c:layout>
        <c:manualLayout>
          <c:xMode val="edge"/>
          <c:yMode val="edge"/>
          <c:x val="6.5512183100393931E-2"/>
          <c:y val="0.90110917463537765"/>
          <c:w val="0.89999995095769003"/>
          <c:h val="9.8891040372866237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049985579309076"/>
        </c:manualLayout>
      </c:layout>
      <c:lineChart>
        <c:grouping val="standard"/>
        <c:varyColors val="0"/>
        <c:ser>
          <c:idx val="2"/>
          <c:order val="0"/>
          <c:tx>
            <c:v>BELGACOM</c:v>
          </c:tx>
          <c:spPr>
            <a:ln>
              <a:solidFill>
                <a:schemeClr val="tx1"/>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CALCULATIONS!$LT$7:$MH$7</c:f>
              <c:numCache>
                <c:formatCode>0.0</c:formatCode>
                <c:ptCount val="15"/>
                <c:pt idx="0">
                  <c:v>0.85780357758060832</c:v>
                </c:pt>
                <c:pt idx="1">
                  <c:v>0.60699163906695064</c:v>
                </c:pt>
                <c:pt idx="2">
                  <c:v>0.73258608367589573</c:v>
                </c:pt>
                <c:pt idx="3">
                  <c:v>0.63774509214022523</c:v>
                </c:pt>
                <c:pt idx="4">
                  <c:v>0.74671139174513146</c:v>
                </c:pt>
                <c:pt idx="5">
                  <c:v>0.7780181563411469</c:v>
                </c:pt>
                <c:pt idx="6">
                  <c:v>0.98612301734551489</c:v>
                </c:pt>
                <c:pt idx="7">
                  <c:v>0.8625256609875307</c:v>
                </c:pt>
                <c:pt idx="8">
                  <c:v>0.96943755578816437</c:v>
                </c:pt>
                <c:pt idx="9">
                  <c:v>0.86104856905117111</c:v>
                </c:pt>
                <c:pt idx="10">
                  <c:v>1.1345061634014335</c:v>
                </c:pt>
                <c:pt idx="11">
                  <c:v>1.00696420705061</c:v>
                </c:pt>
                <c:pt idx="12">
                  <c:v>1.0680698852526918</c:v>
                </c:pt>
                <c:pt idx="13">
                  <c:v>1.0276122349618302</c:v>
                </c:pt>
                <c:pt idx="14">
                  <c:v>1.3109622071604587</c:v>
                </c:pt>
              </c:numCache>
            </c:numRef>
          </c:val>
          <c:smooth val="0"/>
        </c:ser>
        <c:ser>
          <c:idx val="0"/>
          <c:order val="1"/>
          <c:tx>
            <c:v>Belgacom's Peers</c:v>
          </c:tx>
          <c:spPr>
            <a:ln>
              <a:solidFill>
                <a:schemeClr val="bg2">
                  <a:lumMod val="50000"/>
                </a:schemeClr>
              </a:solidFill>
              <a:prstDash val="sysDash"/>
            </a:ln>
          </c:spPr>
          <c:marker>
            <c:symbol val="none"/>
          </c:marker>
          <c:val>
            <c:numRef>
              <c:f>CALCULATIONS!$LT$29:$MH$29</c:f>
              <c:numCache>
                <c:formatCode>0.0</c:formatCode>
                <c:ptCount val="15"/>
                <c:pt idx="0">
                  <c:v>2.2757434194775352</c:v>
                </c:pt>
                <c:pt idx="1">
                  <c:v>2.2556905609759763</c:v>
                </c:pt>
                <c:pt idx="2">
                  <c:v>2.3133161490653715</c:v>
                </c:pt>
                <c:pt idx="3">
                  <c:v>2.272213234174107</c:v>
                </c:pt>
                <c:pt idx="4">
                  <c:v>2.1337517114073719</c:v>
                </c:pt>
                <c:pt idx="5">
                  <c:v>2.0773136717260394</c:v>
                </c:pt>
                <c:pt idx="6">
                  <c:v>2.1239788046042096</c:v>
                </c:pt>
                <c:pt idx="7">
                  <c:v>2.1784473606605457</c:v>
                </c:pt>
                <c:pt idx="8">
                  <c:v>2.0817271589587243</c:v>
                </c:pt>
                <c:pt idx="9">
                  <c:v>2.1805850609441468</c:v>
                </c:pt>
                <c:pt idx="10">
                  <c:v>2.2530447745650073</c:v>
                </c:pt>
                <c:pt idx="11">
                  <c:v>2.3056864627944895</c:v>
                </c:pt>
                <c:pt idx="12">
                  <c:v>2.2811381966699202</c:v>
                </c:pt>
                <c:pt idx="13">
                  <c:v>2.3822084560957602</c:v>
                </c:pt>
                <c:pt idx="14">
                  <c:v>2.3299414891552641</c:v>
                </c:pt>
              </c:numCache>
            </c:numRef>
          </c:val>
          <c:smooth val="0"/>
        </c:ser>
        <c:ser>
          <c:idx val="1"/>
          <c:order val="2"/>
          <c:tx>
            <c:v>Belgacom (D*/Ebitda*) - (D/Ebitda)</c:v>
          </c:tx>
          <c:spPr>
            <a:ln w="22225">
              <a:solidFill>
                <a:schemeClr val="tx1">
                  <a:lumMod val="50000"/>
                  <a:lumOff val="50000"/>
                </a:schemeClr>
              </a:solidFill>
            </a:ln>
          </c:spPr>
          <c:marker>
            <c:symbol val="none"/>
          </c:marker>
          <c:val>
            <c:numRef>
              <c:f>CALCULATIONS!$KW$46:$LK$46</c:f>
              <c:numCache>
                <c:formatCode>0.00</c:formatCode>
                <c:ptCount val="15"/>
                <c:pt idx="0">
                  <c:v>9.9171207511160153E-2</c:v>
                </c:pt>
                <c:pt idx="1">
                  <c:v>8.8307473229948141E-2</c:v>
                </c:pt>
                <c:pt idx="2">
                  <c:v>8.6859060177994496E-2</c:v>
                </c:pt>
                <c:pt idx="3">
                  <c:v>8.9050714653732488E-2</c:v>
                </c:pt>
                <c:pt idx="4">
                  <c:v>0.10125196987949003</c:v>
                </c:pt>
                <c:pt idx="5">
                  <c:v>0.12388236782568085</c:v>
                </c:pt>
                <c:pt idx="6">
                  <c:v>0.11908036241958542</c:v>
                </c:pt>
                <c:pt idx="7">
                  <c:v>0.12299006609304652</c:v>
                </c:pt>
                <c:pt idx="8">
                  <c:v>0.12380245786133681</c:v>
                </c:pt>
                <c:pt idx="9">
                  <c:v>0.1256513261011093</c:v>
                </c:pt>
                <c:pt idx="10">
                  <c:v>0.12354845147808113</c:v>
                </c:pt>
                <c:pt idx="11">
                  <c:v>0.12603521926613037</c:v>
                </c:pt>
                <c:pt idx="12">
                  <c:v>0.1249637852737433</c:v>
                </c:pt>
                <c:pt idx="13">
                  <c:v>0.12800397942346264</c:v>
                </c:pt>
                <c:pt idx="14">
                  <c:v>0.12223973714639014</c:v>
                </c:pt>
              </c:numCache>
            </c:numRef>
          </c:val>
          <c:smooth val="0"/>
        </c:ser>
        <c:dLbls>
          <c:showLegendKey val="0"/>
          <c:showVal val="0"/>
          <c:showCatName val="0"/>
          <c:showSerName val="0"/>
          <c:showPercent val="0"/>
          <c:showBubbleSize val="0"/>
        </c:dLbls>
        <c:marker val="1"/>
        <c:smooth val="0"/>
        <c:axId val="212331520"/>
        <c:axId val="213721856"/>
      </c:lineChart>
      <c:dateAx>
        <c:axId val="212331520"/>
        <c:scaling>
          <c:orientation val="minMax"/>
        </c:scaling>
        <c:delete val="0"/>
        <c:axPos val="b"/>
        <c:numFmt formatCode="[$-409]mmm\-yy;@" sourceLinked="0"/>
        <c:majorTickMark val="out"/>
        <c:minorTickMark val="none"/>
        <c:tickLblPos val="nextTo"/>
        <c:crossAx val="213721856"/>
        <c:crosses val="autoZero"/>
        <c:auto val="1"/>
        <c:lblOffset val="100"/>
        <c:baseTimeUnit val="months"/>
        <c:majorUnit val="6"/>
        <c:majorTimeUnit val="months"/>
      </c:dateAx>
      <c:valAx>
        <c:axId val="213721856"/>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crossAx val="212331520"/>
        <c:crosses val="autoZero"/>
        <c:crossBetween val="between"/>
        <c:majorUnit val="0.5"/>
      </c:valAx>
      <c:spPr>
        <a:noFill/>
        <a:ln>
          <a:noFill/>
        </a:ln>
      </c:spPr>
    </c:plotArea>
    <c:legend>
      <c:legendPos val="b"/>
      <c:layout>
        <c:manualLayout>
          <c:xMode val="edge"/>
          <c:yMode val="edge"/>
          <c:x val="2.0396091764906126E-2"/>
          <c:y val="0.89549161057745363"/>
          <c:w val="0.97960390823509691"/>
          <c:h val="8.1651114056227533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74631002734892E-2"/>
          <c:y val="3.774583723808804E-2"/>
          <c:w val="0.91072320564843734"/>
          <c:h val="0.74176062992125957"/>
        </c:manualLayout>
      </c:layout>
      <c:lineChart>
        <c:grouping val="standard"/>
        <c:varyColors val="0"/>
        <c:ser>
          <c:idx val="2"/>
          <c:order val="0"/>
          <c:tx>
            <c:v>BELGACOM</c:v>
          </c:tx>
          <c:spPr>
            <a:ln>
              <a:solidFill>
                <a:schemeClr val="tx1"/>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CALCULATIONS!$GE$7:$GS$7</c:f>
              <c:numCache>
                <c:formatCode>0.0</c:formatCode>
                <c:ptCount val="15"/>
                <c:pt idx="0">
                  <c:v>4.2885463249133933</c:v>
                </c:pt>
                <c:pt idx="1">
                  <c:v>3.9618557811118289</c:v>
                </c:pt>
                <c:pt idx="2">
                  <c:v>3.9006785302867524</c:v>
                </c:pt>
                <c:pt idx="3">
                  <c:v>4.1410125423515485</c:v>
                </c:pt>
                <c:pt idx="4">
                  <c:v>4.1241559139513644</c:v>
                </c:pt>
                <c:pt idx="5">
                  <c:v>5.2671505229384259</c:v>
                </c:pt>
                <c:pt idx="6">
                  <c:v>5.2223693161108651</c:v>
                </c:pt>
                <c:pt idx="7">
                  <c:v>4.8179225884237669</c:v>
                </c:pt>
                <c:pt idx="8">
                  <c:v>5.0287788436693788</c:v>
                </c:pt>
                <c:pt idx="9">
                  <c:v>5.1741131495120847</c:v>
                </c:pt>
                <c:pt idx="10">
                  <c:v>5.3259826222569435</c:v>
                </c:pt>
                <c:pt idx="11">
                  <c:v>5.4654156252831125</c:v>
                </c:pt>
                <c:pt idx="12">
                  <c:v>5.0403995907375387</c:v>
                </c:pt>
                <c:pt idx="13">
                  <c:v>4.7843999563302617</c:v>
                </c:pt>
                <c:pt idx="14">
                  <c:v>4.6619962755533297</c:v>
                </c:pt>
              </c:numCache>
            </c:numRef>
          </c:val>
          <c:smooth val="0"/>
        </c:ser>
        <c:ser>
          <c:idx val="1"/>
          <c:order val="1"/>
          <c:tx>
            <c:v>Belgacom Peers</c:v>
          </c:tx>
          <c:spPr>
            <a:ln w="28575">
              <a:solidFill>
                <a:schemeClr val="bg2">
                  <a:lumMod val="50000"/>
                </a:schemeClr>
              </a:solidFill>
              <a:prstDash val="sysDash"/>
            </a:ln>
          </c:spPr>
          <c:marker>
            <c:symbol val="none"/>
          </c:marker>
          <c:val>
            <c:numRef>
              <c:f>CALCULATIONS!$GE$29:$GS$29</c:f>
              <c:numCache>
                <c:formatCode>0.0</c:formatCode>
                <c:ptCount val="15"/>
                <c:pt idx="0">
                  <c:v>5.5555155568487216</c:v>
                </c:pt>
                <c:pt idx="1">
                  <c:v>5.5876844449509093</c:v>
                </c:pt>
                <c:pt idx="2">
                  <c:v>5.3217168317517727</c:v>
                </c:pt>
                <c:pt idx="3">
                  <c:v>5.6641905109803972</c:v>
                </c:pt>
                <c:pt idx="4">
                  <c:v>5.3985924195936184</c:v>
                </c:pt>
                <c:pt idx="5">
                  <c:v>5.3830932759928096</c:v>
                </c:pt>
                <c:pt idx="6">
                  <c:v>5.3221964096194876</c:v>
                </c:pt>
                <c:pt idx="7">
                  <c:v>5.2657876404493882</c:v>
                </c:pt>
                <c:pt idx="8">
                  <c:v>5.1195994081908163</c:v>
                </c:pt>
                <c:pt idx="9">
                  <c:v>5.1678374154480577</c:v>
                </c:pt>
                <c:pt idx="10">
                  <c:v>5.0857768205831038</c:v>
                </c:pt>
                <c:pt idx="11">
                  <c:v>5.0406711771818236</c:v>
                </c:pt>
                <c:pt idx="12">
                  <c:v>4.8316919811840142</c:v>
                </c:pt>
                <c:pt idx="13">
                  <c:v>4.7580865209943317</c:v>
                </c:pt>
                <c:pt idx="14">
                  <c:v>4.8456170731365331</c:v>
                </c:pt>
              </c:numCache>
            </c:numRef>
          </c:val>
          <c:smooth val="0"/>
        </c:ser>
        <c:ser>
          <c:idx val="3"/>
          <c:order val="2"/>
          <c:tx>
            <c:v>MOBISTAR</c:v>
          </c:tx>
          <c:spPr>
            <a:ln>
              <a:solidFill>
                <a:srgbClr val="C00000"/>
              </a:solidFill>
            </a:ln>
          </c:spPr>
          <c:marker>
            <c:symbol val="triangle"/>
            <c:size val="7"/>
            <c:spPr>
              <a:noFill/>
              <a:ln>
                <a:noFill/>
              </a:ln>
            </c:spPr>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CALCULATIONS!$GE$8:$GS$8</c:f>
              <c:numCache>
                <c:formatCode>0.0</c:formatCode>
                <c:ptCount val="15"/>
                <c:pt idx="0">
                  <c:v>5.5752364574033733</c:v>
                </c:pt>
                <c:pt idx="1">
                  <c:v>5.4047333376614315</c:v>
                </c:pt>
                <c:pt idx="2">
                  <c:v>5.2339153941178145</c:v>
                </c:pt>
                <c:pt idx="3">
                  <c:v>5.5576682975344065</c:v>
                </c:pt>
                <c:pt idx="4">
                  <c:v>5.8810790231121963</c:v>
                </c:pt>
                <c:pt idx="5">
                  <c:v>6.1582168528162011</c:v>
                </c:pt>
                <c:pt idx="6">
                  <c:v>6.4355828272677673</c:v>
                </c:pt>
                <c:pt idx="7">
                  <c:v>5.8542333336833154</c:v>
                </c:pt>
                <c:pt idx="8">
                  <c:v>5.2720746336887681</c:v>
                </c:pt>
                <c:pt idx="9">
                  <c:v>4.7383879777317404</c:v>
                </c:pt>
                <c:pt idx="10">
                  <c:v>4.207010335202404</c:v>
                </c:pt>
                <c:pt idx="11">
                  <c:v>3.8238807121569747</c:v>
                </c:pt>
                <c:pt idx="12">
                  <c:v>3.442306594398771</c:v>
                </c:pt>
                <c:pt idx="13">
                  <c:v>3.5594938248269159</c:v>
                </c:pt>
                <c:pt idx="14">
                  <c:v>3.6764587184436395</c:v>
                </c:pt>
              </c:numCache>
            </c:numRef>
          </c:val>
          <c:smooth val="0"/>
        </c:ser>
        <c:ser>
          <c:idx val="5"/>
          <c:order val="3"/>
          <c:tx>
            <c:strRef>
              <c:f>CALCULATIONS!$C$26</c:f>
              <c:strCache>
                <c:ptCount val="1"/>
                <c:pt idx="0">
                  <c:v>SNC</c:v>
                </c:pt>
              </c:strCache>
            </c:strRef>
          </c:tx>
          <c:spPr>
            <a:ln w="28575">
              <a:solidFill>
                <a:srgbClr val="C00000"/>
              </a:solidFill>
              <a:prstDash val="dash"/>
            </a:ln>
          </c:spPr>
          <c:marker>
            <c:symbol val="none"/>
          </c:marker>
          <c:val>
            <c:numRef>
              <c:f>CALCULATIONS!$FH$26:$FV$26</c:f>
              <c:numCache>
                <c:formatCode>0.0</c:formatCode>
                <c:ptCount val="15"/>
                <c:pt idx="0">
                  <c:v>5.5578222900335454</c:v>
                </c:pt>
                <c:pt idx="1">
                  <c:v>4.879068174563792</c:v>
                </c:pt>
                <c:pt idx="2">
                  <c:v>4.3891584537752149</c:v>
                </c:pt>
                <c:pt idx="3">
                  <c:v>4.3737157209987982</c:v>
                </c:pt>
                <c:pt idx="4">
                  <c:v>4.2117067699231718</c:v>
                </c:pt>
                <c:pt idx="5">
                  <c:v>4.3827513520694943</c:v>
                </c:pt>
                <c:pt idx="6">
                  <c:v>4.2597064774426538</c:v>
                </c:pt>
                <c:pt idx="7">
                  <c:v>3.4314177264441255</c:v>
                </c:pt>
                <c:pt idx="8">
                  <c:v>3.2074942914242124</c:v>
                </c:pt>
                <c:pt idx="9">
                  <c:v>3.3858750717016983</c:v>
                </c:pt>
                <c:pt idx="10">
                  <c:v>3.4330951453756771</c:v>
                </c:pt>
                <c:pt idx="11">
                  <c:v>3.3393538943696282</c:v>
                </c:pt>
                <c:pt idx="12">
                  <c:v>3.7525252065804793</c:v>
                </c:pt>
                <c:pt idx="13">
                  <c:v>4.0453157691035688</c:v>
                </c:pt>
                <c:pt idx="14">
                  <c:v>3.9063069179772585</c:v>
                </c:pt>
              </c:numCache>
            </c:numRef>
          </c:val>
          <c:smooth val="0"/>
        </c:ser>
        <c:ser>
          <c:idx val="4"/>
          <c:order val="4"/>
          <c:tx>
            <c:v>TELENET</c:v>
          </c:tx>
          <c:spPr>
            <a:ln w="28575">
              <a:solidFill>
                <a:srgbClr val="FFC000"/>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CALCULATIONS!$GE$9:$GS$9</c:f>
              <c:numCache>
                <c:formatCode>0.0</c:formatCode>
                <c:ptCount val="15"/>
                <c:pt idx="0">
                  <c:v>7.3882795026632264</c:v>
                </c:pt>
                <c:pt idx="1">
                  <c:v>7.511456716472753</c:v>
                </c:pt>
                <c:pt idx="2">
                  <c:v>7.1707944229261198</c:v>
                </c:pt>
                <c:pt idx="3">
                  <c:v>7.7055366686292892</c:v>
                </c:pt>
                <c:pt idx="4">
                  <c:v>8.4062817091520898</c:v>
                </c:pt>
                <c:pt idx="5">
                  <c:v>8.8763505624407077</c:v>
                </c:pt>
                <c:pt idx="6">
                  <c:v>8.5774744199633144</c:v>
                </c:pt>
                <c:pt idx="7">
                  <c:v>8.8417973134188603</c:v>
                </c:pt>
                <c:pt idx="8">
                  <c:v>8.7507454377216138</c:v>
                </c:pt>
                <c:pt idx="9">
                  <c:v>8.7120469152324826</c:v>
                </c:pt>
                <c:pt idx="10">
                  <c:v>9.1838724950545316</c:v>
                </c:pt>
                <c:pt idx="11">
                  <c:v>9.135932537020869</c:v>
                </c:pt>
                <c:pt idx="12">
                  <c:v>9.0664383370126806</c:v>
                </c:pt>
                <c:pt idx="13">
                  <c:v>9.4423485403827989</c:v>
                </c:pt>
                <c:pt idx="14">
                  <c:v>9.0506669895995948</c:v>
                </c:pt>
              </c:numCache>
            </c:numRef>
          </c:val>
          <c:smooth val="0"/>
        </c:ser>
        <c:ser>
          <c:idx val="0"/>
          <c:order val="5"/>
          <c:tx>
            <c:strRef>
              <c:f>CALCULATIONS!$C$21</c:f>
              <c:strCache>
                <c:ptCount val="1"/>
                <c:pt idx="0">
                  <c:v>BT</c:v>
                </c:pt>
              </c:strCache>
            </c:strRef>
          </c:tx>
          <c:spPr>
            <a:ln>
              <a:solidFill>
                <a:srgbClr val="FFC000"/>
              </a:solidFill>
              <a:prstDash val="dash"/>
            </a:ln>
          </c:spPr>
          <c:marker>
            <c:symbol val="none"/>
          </c:marker>
          <c:val>
            <c:numRef>
              <c:f>CALCULATIONS!$FH$21:$FV$21</c:f>
              <c:numCache>
                <c:formatCode>0.0</c:formatCode>
                <c:ptCount val="15"/>
                <c:pt idx="0">
                  <c:v>5.5069568381935765</c:v>
                </c:pt>
                <c:pt idx="1">
                  <c:v>4.0978758803437954</c:v>
                </c:pt>
                <c:pt idx="2">
                  <c:v>4.0379191029722445</c:v>
                </c:pt>
                <c:pt idx="3">
                  <c:v>3.9887872212570707</c:v>
                </c:pt>
                <c:pt idx="4">
                  <c:v>4.327999381041133</c:v>
                </c:pt>
                <c:pt idx="5">
                  <c:v>4.4950636364747822</c:v>
                </c:pt>
                <c:pt idx="6">
                  <c:v>4.6333779498390504</c:v>
                </c:pt>
                <c:pt idx="7">
                  <c:v>4.1463493954872561</c:v>
                </c:pt>
                <c:pt idx="8">
                  <c:v>4.2231442619169002</c:v>
                </c:pt>
                <c:pt idx="9">
                  <c:v>5.0590640879247646</c:v>
                </c:pt>
                <c:pt idx="10">
                  <c:v>4.8723638513633851</c:v>
                </c:pt>
                <c:pt idx="11">
                  <c:v>5.1561130534628496</c:v>
                </c:pt>
                <c:pt idx="12">
                  <c:v>5.118941985501583</c:v>
                </c:pt>
                <c:pt idx="13">
                  <c:v>5.3120383859548967</c:v>
                </c:pt>
                <c:pt idx="14">
                  <c:v>5.7096258695546744</c:v>
                </c:pt>
              </c:numCache>
            </c:numRef>
          </c:val>
          <c:smooth val="0"/>
        </c:ser>
        <c:dLbls>
          <c:showLegendKey val="0"/>
          <c:showVal val="0"/>
          <c:showCatName val="0"/>
          <c:showSerName val="0"/>
          <c:showPercent val="0"/>
          <c:showBubbleSize val="0"/>
        </c:dLbls>
        <c:marker val="1"/>
        <c:smooth val="0"/>
        <c:axId val="213746432"/>
        <c:axId val="213747968"/>
      </c:lineChart>
      <c:dateAx>
        <c:axId val="213746432"/>
        <c:scaling>
          <c:orientation val="minMax"/>
        </c:scaling>
        <c:delete val="0"/>
        <c:axPos val="b"/>
        <c:numFmt formatCode="mm/yyyy;@" sourceLinked="0"/>
        <c:majorTickMark val="out"/>
        <c:minorTickMark val="none"/>
        <c:tickLblPos val="nextTo"/>
        <c:crossAx val="213747968"/>
        <c:crosses val="autoZero"/>
        <c:auto val="1"/>
        <c:lblOffset val="100"/>
        <c:baseTimeUnit val="months"/>
        <c:majorUnit val="6"/>
        <c:majorTimeUnit val="months"/>
      </c:dateAx>
      <c:valAx>
        <c:axId val="213747968"/>
        <c:scaling>
          <c:orientation val="minMax"/>
          <c:min val="0"/>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213746432"/>
        <c:crosses val="autoZero"/>
        <c:crossBetween val="between"/>
        <c:majorUnit val="1"/>
      </c:valAx>
    </c:plotArea>
    <c:legend>
      <c:legendPos val="b"/>
      <c:layout>
        <c:manualLayout>
          <c:xMode val="edge"/>
          <c:yMode val="edge"/>
          <c:x val="0"/>
          <c:y val="0.88404931620390081"/>
          <c:w val="0.99152907838793958"/>
          <c:h val="0.11595068379610443"/>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318"/>
        </c:manualLayout>
      </c:layout>
      <c:lineChart>
        <c:grouping val="standard"/>
        <c:varyColors val="0"/>
        <c:ser>
          <c:idx val="3"/>
          <c:order val="0"/>
          <c:tx>
            <c:v>TELENET</c:v>
          </c:tx>
          <c:spPr>
            <a:ln>
              <a:solidFill>
                <a:srgbClr val="FFC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CALCULATIONS!$LT$9:$MH$9</c:f>
              <c:numCache>
                <c:formatCode>0.0</c:formatCode>
                <c:ptCount val="15"/>
                <c:pt idx="0">
                  <c:v>3.7134687581369503</c:v>
                </c:pt>
                <c:pt idx="1">
                  <c:v>3.4765583591296414</c:v>
                </c:pt>
                <c:pt idx="2">
                  <c:v>3.3277388955868732</c:v>
                </c:pt>
                <c:pt idx="3">
                  <c:v>3.4846313666092215</c:v>
                </c:pt>
                <c:pt idx="4">
                  <c:v>3.4195292883911859</c:v>
                </c:pt>
                <c:pt idx="5">
                  <c:v>3.3001143745250228</c:v>
                </c:pt>
                <c:pt idx="6">
                  <c:v>3.1558288628331455</c:v>
                </c:pt>
                <c:pt idx="7">
                  <c:v>4.1154037088334867</c:v>
                </c:pt>
                <c:pt idx="8">
                  <c:v>3.8624086839036851</c:v>
                </c:pt>
                <c:pt idx="9">
                  <c:v>3.707629677440206</c:v>
                </c:pt>
                <c:pt idx="10">
                  <c:v>3.7407046780406041</c:v>
                </c:pt>
                <c:pt idx="11">
                  <c:v>3.9844819217170233</c:v>
                </c:pt>
                <c:pt idx="12">
                  <c:v>3.8319373368954697</c:v>
                </c:pt>
                <c:pt idx="13">
                  <c:v>3.8183032363599292</c:v>
                </c:pt>
                <c:pt idx="14">
                  <c:v>4.3704719780651446</c:v>
                </c:pt>
              </c:numCache>
            </c:numRef>
          </c:val>
          <c:smooth val="0"/>
        </c:ser>
        <c:ser>
          <c:idx val="0"/>
          <c:order val="1"/>
          <c:tx>
            <c:v>BT</c:v>
          </c:tx>
          <c:spPr>
            <a:ln w="28575">
              <a:solidFill>
                <a:srgbClr val="FFC000"/>
              </a:solidFill>
              <a:prstDash val="dash"/>
            </a:ln>
          </c:spPr>
          <c:marker>
            <c:symbol val="none"/>
          </c:marker>
          <c:val>
            <c:numRef>
              <c:f>CALCULATIONS!$LT$21:$MH$21</c:f>
              <c:numCache>
                <c:formatCode>0.0</c:formatCode>
                <c:ptCount val="15"/>
                <c:pt idx="0">
                  <c:v>3.4540108426122931</c:v>
                </c:pt>
                <c:pt idx="1">
                  <c:v>2.5722102990881019</c:v>
                </c:pt>
                <c:pt idx="2">
                  <c:v>2.4424310935840725</c:v>
                </c:pt>
                <c:pt idx="3">
                  <c:v>2.376254266338083</c:v>
                </c:pt>
                <c:pt idx="4">
                  <c:v>2.2611064846245092</c:v>
                </c:pt>
                <c:pt idx="5">
                  <c:v>2.265634262862521</c:v>
                </c:pt>
                <c:pt idx="6">
                  <c:v>2.2276993525463267</c:v>
                </c:pt>
                <c:pt idx="7">
                  <c:v>2.1883920326349502</c:v>
                </c:pt>
                <c:pt idx="8">
                  <c:v>2.0877591347530133</c:v>
                </c:pt>
                <c:pt idx="9">
                  <c:v>2.3849178401937028</c:v>
                </c:pt>
                <c:pt idx="10">
                  <c:v>2.3747772292440383</c:v>
                </c:pt>
                <c:pt idx="11">
                  <c:v>2.3583562992736709</c:v>
                </c:pt>
                <c:pt idx="12">
                  <c:v>2.2555609744296414</c:v>
                </c:pt>
                <c:pt idx="13">
                  <c:v>2.1053769724534006</c:v>
                </c:pt>
                <c:pt idx="14">
                  <c:v>2.136201464388483</c:v>
                </c:pt>
              </c:numCache>
            </c:numRef>
          </c:val>
          <c:smooth val="0"/>
        </c:ser>
        <c:ser>
          <c:idx val="17"/>
          <c:order val="2"/>
          <c:tx>
            <c:v>Iliad</c:v>
          </c:tx>
          <c:spPr>
            <a:ln w="12700">
              <a:solidFill>
                <a:srgbClr val="FFC000"/>
              </a:solidFill>
              <a:prstDash val="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CALCULATIONS!$LT$13:$MH$13</c:f>
              <c:numCache>
                <c:formatCode>0.0</c:formatCode>
                <c:ptCount val="15"/>
                <c:pt idx="0">
                  <c:v>1.0316616252605197</c:v>
                </c:pt>
                <c:pt idx="1">
                  <c:v>0.98003453333356261</c:v>
                </c:pt>
                <c:pt idx="2">
                  <c:v>0.90034175824771145</c:v>
                </c:pt>
                <c:pt idx="3">
                  <c:v>0.88870691668831781</c:v>
                </c:pt>
                <c:pt idx="4">
                  <c:v>0.87536636081633512</c:v>
                </c:pt>
                <c:pt idx="5">
                  <c:v>0.9856726829507314</c:v>
                </c:pt>
                <c:pt idx="6">
                  <c:v>1.0939340226663481</c:v>
                </c:pt>
                <c:pt idx="7">
                  <c:v>1.304141904233985</c:v>
                </c:pt>
                <c:pt idx="8">
                  <c:v>1.4922400442931911</c:v>
                </c:pt>
                <c:pt idx="9">
                  <c:v>1.5904173415378409</c:v>
                </c:pt>
                <c:pt idx="10">
                  <c:v>1.6882712052555244</c:v>
                </c:pt>
                <c:pt idx="11">
                  <c:v>1.5816062321690518</c:v>
                </c:pt>
                <c:pt idx="12">
                  <c:v>1.4857004670633451</c:v>
                </c:pt>
                <c:pt idx="13">
                  <c:v>1.3229345277777476</c:v>
                </c:pt>
                <c:pt idx="14">
                  <c:v>1.242834927692577</c:v>
                </c:pt>
              </c:numCache>
            </c:numRef>
          </c:val>
          <c:smooth val="0"/>
        </c:ser>
        <c:ser>
          <c:idx val="1"/>
          <c:order val="3"/>
          <c:tx>
            <c:v>Telenet (D*/Ebitda*) - (D/Ebitda)</c:v>
          </c:tx>
          <c:spPr>
            <a:ln>
              <a:solidFill>
                <a:schemeClr val="tx1">
                  <a:lumMod val="50000"/>
                  <a:lumOff val="50000"/>
                </a:schemeClr>
              </a:solidFill>
            </a:ln>
          </c:spPr>
          <c:marker>
            <c:symbol val="none"/>
          </c:marker>
          <c:val>
            <c:numRef>
              <c:f>CALCULATIONS!$KW$48:$LK$48</c:f>
              <c:numCache>
                <c:formatCode>0.0</c:formatCode>
                <c:ptCount val="15"/>
                <c:pt idx="0">
                  <c:v>1.0120459278758265E-2</c:v>
                </c:pt>
                <c:pt idx="1">
                  <c:v>1.4217713739051341E-2</c:v>
                </c:pt>
                <c:pt idx="2">
                  <c:v>1.7510188096546919E-2</c:v>
                </c:pt>
                <c:pt idx="3">
                  <c:v>1.7459467411411911E-2</c:v>
                </c:pt>
                <c:pt idx="4">
                  <c:v>1.9767214644716091E-2</c:v>
                </c:pt>
                <c:pt idx="5">
                  <c:v>2.0348173959142901E-2</c:v>
                </c:pt>
                <c:pt idx="6">
                  <c:v>2.0923333561511992E-2</c:v>
                </c:pt>
                <c:pt idx="7">
                  <c:v>1.2437828854135802E-2</c:v>
                </c:pt>
                <c:pt idx="8">
                  <c:v>1.3948756558974207E-2</c:v>
                </c:pt>
                <c:pt idx="9">
                  <c:v>1.3975401245189811E-2</c:v>
                </c:pt>
                <c:pt idx="10">
                  <c:v>1.2589194609274212E-2</c:v>
                </c:pt>
                <c:pt idx="11">
                  <c:v>9.3139220911897525E-3</c:v>
                </c:pt>
                <c:pt idx="12">
                  <c:v>9.5556765359487983E-3</c:v>
                </c:pt>
                <c:pt idx="13">
                  <c:v>9.5544701233443163E-3</c:v>
                </c:pt>
                <c:pt idx="14">
                  <c:v>5.237555770270852E-3</c:v>
                </c:pt>
              </c:numCache>
            </c:numRef>
          </c:val>
          <c:smooth val="0"/>
        </c:ser>
        <c:dLbls>
          <c:showLegendKey val="0"/>
          <c:showVal val="0"/>
          <c:showCatName val="0"/>
          <c:showSerName val="0"/>
          <c:showPercent val="0"/>
          <c:showBubbleSize val="0"/>
        </c:dLbls>
        <c:marker val="1"/>
        <c:smooth val="0"/>
        <c:axId val="213467904"/>
        <c:axId val="213469440"/>
      </c:lineChart>
      <c:dateAx>
        <c:axId val="213467904"/>
        <c:scaling>
          <c:orientation val="minMax"/>
        </c:scaling>
        <c:delete val="0"/>
        <c:axPos val="b"/>
        <c:numFmt formatCode="[$-409]mmm\-yy;@" sourceLinked="0"/>
        <c:majorTickMark val="out"/>
        <c:minorTickMark val="none"/>
        <c:tickLblPos val="nextTo"/>
        <c:crossAx val="213469440"/>
        <c:crosses val="autoZero"/>
        <c:auto val="1"/>
        <c:lblOffset val="100"/>
        <c:baseTimeUnit val="months"/>
        <c:majorUnit val="6"/>
        <c:majorTimeUnit val="months"/>
      </c:dateAx>
      <c:valAx>
        <c:axId val="213469440"/>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crossAx val="213467904"/>
        <c:crosses val="autoZero"/>
        <c:crossBetween val="between"/>
      </c:valAx>
      <c:spPr>
        <a:noFill/>
        <a:ln>
          <a:noFill/>
        </a:ln>
      </c:spPr>
    </c:plotArea>
    <c:legend>
      <c:legendPos val="b"/>
      <c:layout>
        <c:manualLayout>
          <c:xMode val="edge"/>
          <c:yMode val="edge"/>
          <c:x val="6.5512183100393931E-2"/>
          <c:y val="0.90110917463537765"/>
          <c:w val="0.89999995095769003"/>
          <c:h val="9.8891040372866237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049985579309076"/>
        </c:manualLayout>
      </c:layout>
      <c:lineChart>
        <c:grouping val="standard"/>
        <c:varyColors val="0"/>
        <c:ser>
          <c:idx val="2"/>
          <c:order val="0"/>
          <c:tx>
            <c:v>BELGACOM</c:v>
          </c:tx>
          <c:spPr>
            <a:ln>
              <a:solidFill>
                <a:schemeClr val="tx1"/>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CALCULATIONS!$IK$7:$IY$7</c:f>
              <c:numCache>
                <c:formatCode>0%</c:formatCode>
                <c:ptCount val="15"/>
                <c:pt idx="0">
                  <c:v>0.20015860822181847</c:v>
                </c:pt>
                <c:pt idx="1">
                  <c:v>0.15637595741809657</c:v>
                </c:pt>
                <c:pt idx="2">
                  <c:v>0.19166470879994948</c:v>
                </c:pt>
                <c:pt idx="3">
                  <c:v>0.15708151620068025</c:v>
                </c:pt>
                <c:pt idx="4">
                  <c:v>0.18534933727772515</c:v>
                </c:pt>
                <c:pt idx="5">
                  <c:v>0.15107889961592022</c:v>
                </c:pt>
                <c:pt idx="6">
                  <c:v>0.19322451129092647</c:v>
                </c:pt>
                <c:pt idx="7">
                  <c:v>0.18375563588209659</c:v>
                </c:pt>
                <c:pt idx="8">
                  <c:v>0.19729974692710131</c:v>
                </c:pt>
                <c:pt idx="9">
                  <c:v>0.17027869672691731</c:v>
                </c:pt>
                <c:pt idx="10">
                  <c:v>0.21812604513918368</c:v>
                </c:pt>
                <c:pt idx="11">
                  <c:v>0.18869327657203672</c:v>
                </c:pt>
                <c:pt idx="12">
                  <c:v>0.21687899743461636</c:v>
                </c:pt>
                <c:pt idx="13">
                  <c:v>0.2203272196092004</c:v>
                </c:pt>
                <c:pt idx="14">
                  <c:v>0.28756363720088318</c:v>
                </c:pt>
              </c:numCache>
            </c:numRef>
          </c:val>
          <c:smooth val="0"/>
        </c:ser>
        <c:ser>
          <c:idx val="0"/>
          <c:order val="1"/>
          <c:tx>
            <c:v>Comp. Belgacom</c:v>
          </c:tx>
          <c:spPr>
            <a:ln>
              <a:solidFill>
                <a:schemeClr val="bg2">
                  <a:lumMod val="50000"/>
                </a:schemeClr>
              </a:solidFill>
              <a:prstDash val="sysDash"/>
            </a:ln>
          </c:spPr>
          <c:marker>
            <c:symbol val="none"/>
          </c:marker>
          <c:val>
            <c:numRef>
              <c:f>CALCULATIONS!$IK$29:$IY$29</c:f>
              <c:numCache>
                <c:formatCode>0%</c:formatCode>
                <c:ptCount val="15"/>
                <c:pt idx="0">
                  <c:v>0.40404391196080297</c:v>
                </c:pt>
                <c:pt idx="1">
                  <c:v>0.39705272812854325</c:v>
                </c:pt>
                <c:pt idx="2">
                  <c:v>0.42648353055923999</c:v>
                </c:pt>
                <c:pt idx="3">
                  <c:v>0.4002093613944297</c:v>
                </c:pt>
                <c:pt idx="4">
                  <c:v>0.40137590321510519</c:v>
                </c:pt>
                <c:pt idx="5">
                  <c:v>0.39290978902064816</c:v>
                </c:pt>
                <c:pt idx="6">
                  <c:v>0.40415849611071392</c:v>
                </c:pt>
                <c:pt idx="7">
                  <c:v>0.4302260434264859</c:v>
                </c:pt>
                <c:pt idx="8">
                  <c:v>0.41852848293159944</c:v>
                </c:pt>
                <c:pt idx="9">
                  <c:v>0.43955817346469123</c:v>
                </c:pt>
                <c:pt idx="10">
                  <c:v>0.45791363761603138</c:v>
                </c:pt>
                <c:pt idx="11">
                  <c:v>0.48444556915797254</c:v>
                </c:pt>
                <c:pt idx="12">
                  <c:v>0.50497770903292927</c:v>
                </c:pt>
                <c:pt idx="13">
                  <c:v>0.54470149781778388</c:v>
                </c:pt>
                <c:pt idx="14">
                  <c:v>0.51631980082041551</c:v>
                </c:pt>
              </c:numCache>
            </c:numRef>
          </c:val>
          <c:smooth val="0"/>
        </c:ser>
        <c:ser>
          <c:idx val="1"/>
          <c:order val="2"/>
          <c:tx>
            <c:v>Belgacomg g*-g</c:v>
          </c:tx>
          <c:spPr>
            <a:ln w="22225">
              <a:solidFill>
                <a:schemeClr val="tx1">
                  <a:lumMod val="50000"/>
                  <a:lumOff val="50000"/>
                </a:schemeClr>
              </a:solidFill>
            </a:ln>
          </c:spPr>
          <c:marker>
            <c:symbol val="none"/>
          </c:marker>
          <c:val>
            <c:numRef>
              <c:f>CALCULATIONS!$IK$36:$IY$36</c:f>
              <c:numCache>
                <c:formatCode>0%</c:formatCode>
                <c:ptCount val="15"/>
                <c:pt idx="0">
                  <c:v>2.1837919402376282E-2</c:v>
                </c:pt>
                <c:pt idx="1">
                  <c:v>2.1525361885554872E-2</c:v>
                </c:pt>
                <c:pt idx="2">
                  <c:v>2.101424710365507E-2</c:v>
                </c:pt>
                <c:pt idx="3">
                  <c:v>2.0696018939648481E-2</c:v>
                </c:pt>
                <c:pt idx="4">
                  <c:v>2.3303558494530446E-2</c:v>
                </c:pt>
                <c:pt idx="5">
                  <c:v>2.3249165645674585E-2</c:v>
                </c:pt>
                <c:pt idx="6">
                  <c:v>2.2215732298494412E-2</c:v>
                </c:pt>
                <c:pt idx="7">
                  <c:v>2.4768349759386382E-2</c:v>
                </c:pt>
                <c:pt idx="8">
                  <c:v>2.383115417796397E-2</c:v>
                </c:pt>
                <c:pt idx="9">
                  <c:v>2.3822097851427415E-2</c:v>
                </c:pt>
                <c:pt idx="10">
                  <c:v>2.2499649420091139E-2</c:v>
                </c:pt>
                <c:pt idx="11">
                  <c:v>2.2675926823971682E-2</c:v>
                </c:pt>
                <c:pt idx="12">
                  <c:v>2.3827759718172081E-2</c:v>
                </c:pt>
                <c:pt idx="13">
                  <c:v>2.5523061658156931E-2</c:v>
                </c:pt>
                <c:pt idx="14">
                  <c:v>2.4002007162836236E-2</c:v>
                </c:pt>
              </c:numCache>
            </c:numRef>
          </c:val>
          <c:smooth val="0"/>
        </c:ser>
        <c:dLbls>
          <c:showLegendKey val="0"/>
          <c:showVal val="0"/>
          <c:showCatName val="0"/>
          <c:showSerName val="0"/>
          <c:showPercent val="0"/>
          <c:showBubbleSize val="0"/>
        </c:dLbls>
        <c:marker val="1"/>
        <c:smooth val="0"/>
        <c:axId val="213516288"/>
        <c:axId val="213517824"/>
      </c:lineChart>
      <c:dateAx>
        <c:axId val="213516288"/>
        <c:scaling>
          <c:orientation val="minMax"/>
        </c:scaling>
        <c:delete val="0"/>
        <c:axPos val="b"/>
        <c:numFmt formatCode="[$-409]mmm\-yy;@" sourceLinked="0"/>
        <c:majorTickMark val="out"/>
        <c:minorTickMark val="none"/>
        <c:tickLblPos val="nextTo"/>
        <c:crossAx val="213517824"/>
        <c:crosses val="autoZero"/>
        <c:auto val="1"/>
        <c:lblOffset val="100"/>
        <c:baseTimeUnit val="months"/>
        <c:majorUnit val="6"/>
        <c:majorTimeUnit val="months"/>
      </c:dateAx>
      <c:valAx>
        <c:axId val="213517824"/>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213516288"/>
        <c:crosses val="autoZero"/>
        <c:crossBetween val="between"/>
      </c:valAx>
      <c:spPr>
        <a:noFill/>
        <a:ln>
          <a:noFill/>
        </a:ln>
      </c:spPr>
    </c:plotArea>
    <c:legend>
      <c:legendPos val="b"/>
      <c:layout>
        <c:manualLayout>
          <c:xMode val="edge"/>
          <c:yMode val="edge"/>
          <c:x val="2.0396091764906126E-2"/>
          <c:y val="0.89549161057745363"/>
          <c:w val="0.97960390823509691"/>
          <c:h val="8.1651114056227533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049985579309076"/>
        </c:manualLayout>
      </c:layout>
      <c:lineChart>
        <c:grouping val="standard"/>
        <c:varyColors val="0"/>
        <c:ser>
          <c:idx val="2"/>
          <c:order val="0"/>
          <c:tx>
            <c:v>BELGACOM</c:v>
          </c:tx>
          <c:spPr>
            <a:ln>
              <a:solidFill>
                <a:schemeClr val="tx1"/>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CALCULATIONS!$IK$7:$IY$7</c:f>
              <c:numCache>
                <c:formatCode>0%</c:formatCode>
                <c:ptCount val="15"/>
                <c:pt idx="0">
                  <c:v>0.20015860822181847</c:v>
                </c:pt>
                <c:pt idx="1">
                  <c:v>0.15637595741809657</c:v>
                </c:pt>
                <c:pt idx="2">
                  <c:v>0.19166470879994948</c:v>
                </c:pt>
                <c:pt idx="3">
                  <c:v>0.15708151620068025</c:v>
                </c:pt>
                <c:pt idx="4">
                  <c:v>0.18534933727772515</c:v>
                </c:pt>
                <c:pt idx="5">
                  <c:v>0.15107889961592022</c:v>
                </c:pt>
                <c:pt idx="6">
                  <c:v>0.19322451129092647</c:v>
                </c:pt>
                <c:pt idx="7">
                  <c:v>0.18375563588209659</c:v>
                </c:pt>
                <c:pt idx="8">
                  <c:v>0.19729974692710131</c:v>
                </c:pt>
                <c:pt idx="9">
                  <c:v>0.17027869672691731</c:v>
                </c:pt>
                <c:pt idx="10">
                  <c:v>0.21812604513918368</c:v>
                </c:pt>
                <c:pt idx="11">
                  <c:v>0.18869327657203672</c:v>
                </c:pt>
                <c:pt idx="12">
                  <c:v>0.21687899743461636</c:v>
                </c:pt>
                <c:pt idx="13">
                  <c:v>0.2203272196092004</c:v>
                </c:pt>
                <c:pt idx="14">
                  <c:v>0.28756363720088318</c:v>
                </c:pt>
              </c:numCache>
            </c:numRef>
          </c:val>
          <c:smooth val="0"/>
        </c:ser>
        <c:ser>
          <c:idx val="0"/>
          <c:order val="1"/>
          <c:tx>
            <c:v>Belgacom's Peers</c:v>
          </c:tx>
          <c:spPr>
            <a:ln>
              <a:solidFill>
                <a:schemeClr val="bg2">
                  <a:lumMod val="50000"/>
                </a:schemeClr>
              </a:solidFill>
              <a:prstDash val="sysDash"/>
            </a:ln>
          </c:spPr>
          <c:marker>
            <c:symbol val="none"/>
          </c:marker>
          <c:val>
            <c:numRef>
              <c:f>CALCULATIONS!$IK$29:$IY$29</c:f>
              <c:numCache>
                <c:formatCode>0%</c:formatCode>
                <c:ptCount val="15"/>
                <c:pt idx="0">
                  <c:v>0.40404391196080297</c:v>
                </c:pt>
                <c:pt idx="1">
                  <c:v>0.39705272812854325</c:v>
                </c:pt>
                <c:pt idx="2">
                  <c:v>0.42648353055923999</c:v>
                </c:pt>
                <c:pt idx="3">
                  <c:v>0.4002093613944297</c:v>
                </c:pt>
                <c:pt idx="4">
                  <c:v>0.40137590321510519</c:v>
                </c:pt>
                <c:pt idx="5">
                  <c:v>0.39290978902064816</c:v>
                </c:pt>
                <c:pt idx="6">
                  <c:v>0.40415849611071392</c:v>
                </c:pt>
                <c:pt idx="7">
                  <c:v>0.4302260434264859</c:v>
                </c:pt>
                <c:pt idx="8">
                  <c:v>0.41852848293159944</c:v>
                </c:pt>
                <c:pt idx="9">
                  <c:v>0.43955817346469123</c:v>
                </c:pt>
                <c:pt idx="10">
                  <c:v>0.45791363761603138</c:v>
                </c:pt>
                <c:pt idx="11">
                  <c:v>0.48444556915797254</c:v>
                </c:pt>
                <c:pt idx="12">
                  <c:v>0.50497770903292927</c:v>
                </c:pt>
                <c:pt idx="13">
                  <c:v>0.54470149781778388</c:v>
                </c:pt>
                <c:pt idx="14">
                  <c:v>0.51631980082041551</c:v>
                </c:pt>
              </c:numCache>
            </c:numRef>
          </c:val>
          <c:smooth val="0"/>
        </c:ser>
        <c:ser>
          <c:idx val="1"/>
          <c:order val="2"/>
          <c:tx>
            <c:v>Belgacomg g*-g</c:v>
          </c:tx>
          <c:spPr>
            <a:ln w="22225">
              <a:solidFill>
                <a:schemeClr val="tx1">
                  <a:lumMod val="50000"/>
                  <a:lumOff val="50000"/>
                </a:schemeClr>
              </a:solidFill>
            </a:ln>
          </c:spPr>
          <c:marker>
            <c:symbol val="none"/>
          </c:marker>
          <c:val>
            <c:numRef>
              <c:f>CALCULATIONS!$IK$36:$IY$36</c:f>
              <c:numCache>
                <c:formatCode>0%</c:formatCode>
                <c:ptCount val="15"/>
                <c:pt idx="0">
                  <c:v>2.1837919402376282E-2</c:v>
                </c:pt>
                <c:pt idx="1">
                  <c:v>2.1525361885554872E-2</c:v>
                </c:pt>
                <c:pt idx="2">
                  <c:v>2.101424710365507E-2</c:v>
                </c:pt>
                <c:pt idx="3">
                  <c:v>2.0696018939648481E-2</c:v>
                </c:pt>
                <c:pt idx="4">
                  <c:v>2.3303558494530446E-2</c:v>
                </c:pt>
                <c:pt idx="5">
                  <c:v>2.3249165645674585E-2</c:v>
                </c:pt>
                <c:pt idx="6">
                  <c:v>2.2215732298494412E-2</c:v>
                </c:pt>
                <c:pt idx="7">
                  <c:v>2.4768349759386382E-2</c:v>
                </c:pt>
                <c:pt idx="8">
                  <c:v>2.383115417796397E-2</c:v>
                </c:pt>
                <c:pt idx="9">
                  <c:v>2.3822097851427415E-2</c:v>
                </c:pt>
                <c:pt idx="10">
                  <c:v>2.2499649420091139E-2</c:v>
                </c:pt>
                <c:pt idx="11">
                  <c:v>2.2675926823971682E-2</c:v>
                </c:pt>
                <c:pt idx="12">
                  <c:v>2.3827759718172081E-2</c:v>
                </c:pt>
                <c:pt idx="13">
                  <c:v>2.5523061658156931E-2</c:v>
                </c:pt>
                <c:pt idx="14">
                  <c:v>2.4002007162836236E-2</c:v>
                </c:pt>
              </c:numCache>
            </c:numRef>
          </c:val>
          <c:smooth val="0"/>
        </c:ser>
        <c:dLbls>
          <c:showLegendKey val="0"/>
          <c:showVal val="0"/>
          <c:showCatName val="0"/>
          <c:showSerName val="0"/>
          <c:showPercent val="0"/>
          <c:showBubbleSize val="0"/>
        </c:dLbls>
        <c:marker val="1"/>
        <c:smooth val="0"/>
        <c:axId val="213527552"/>
        <c:axId val="213549824"/>
      </c:lineChart>
      <c:dateAx>
        <c:axId val="213527552"/>
        <c:scaling>
          <c:orientation val="minMax"/>
        </c:scaling>
        <c:delete val="0"/>
        <c:axPos val="b"/>
        <c:numFmt formatCode="[$-409]mmm\-yy;@" sourceLinked="0"/>
        <c:majorTickMark val="out"/>
        <c:minorTickMark val="none"/>
        <c:tickLblPos val="nextTo"/>
        <c:crossAx val="213549824"/>
        <c:crosses val="autoZero"/>
        <c:auto val="1"/>
        <c:lblOffset val="100"/>
        <c:baseTimeUnit val="months"/>
        <c:majorUnit val="6"/>
        <c:majorTimeUnit val="months"/>
      </c:dateAx>
      <c:valAx>
        <c:axId val="213549824"/>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213527552"/>
        <c:crosses val="autoZero"/>
        <c:crossBetween val="between"/>
      </c:valAx>
      <c:spPr>
        <a:noFill/>
        <a:ln>
          <a:noFill/>
        </a:ln>
      </c:spPr>
    </c:plotArea>
    <c:legend>
      <c:legendPos val="b"/>
      <c:layout>
        <c:manualLayout>
          <c:xMode val="edge"/>
          <c:yMode val="edge"/>
          <c:x val="2.0396091764906126E-2"/>
          <c:y val="0.89549161057745363"/>
          <c:w val="0.97960390823509713"/>
          <c:h val="8.1651114056227533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11294351929973E-2"/>
          <c:y val="4.7180492466197634E-2"/>
          <c:w val="0.88740704699423456"/>
          <c:h val="0.8661169820325485"/>
        </c:manualLayout>
      </c:layout>
      <c:scatterChart>
        <c:scatterStyle val="lineMarker"/>
        <c:varyColors val="0"/>
        <c:ser>
          <c:idx val="0"/>
          <c:order val="0"/>
          <c:spPr>
            <a:ln w="28575">
              <a:noFill/>
            </a:ln>
          </c:spPr>
          <c:marker>
            <c:symbol val="dash"/>
            <c:size val="30"/>
            <c:spPr>
              <a:solidFill>
                <a:srgbClr val="FFC000">
                  <a:alpha val="50196"/>
                </a:srgbClr>
              </a:solidFill>
              <a:ln>
                <a:noFill/>
              </a:ln>
            </c:spPr>
          </c:marker>
          <c:dLbls>
            <c:dLbl>
              <c:idx val="0"/>
              <c:tx>
                <c:rich>
                  <a:bodyPr/>
                  <a:lstStyle/>
                  <a:p>
                    <a:pPr>
                      <a:defRPr sz="1000" b="0" i="0" strike="noStrike">
                        <a:latin typeface="Arial"/>
                      </a:defRPr>
                    </a:pPr>
                    <a:r>
                      <a:rPr lang="en-US"/>
                      <a:t>DT </a:t>
                    </a:r>
                    <a:r>
                      <a:rPr lang="en-US">
                        <a:sym typeface="Symbol"/>
                      </a:rPr>
                      <a:t></a:t>
                    </a:r>
                    <a:endParaRPr lang="en-US"/>
                  </a:p>
                </c:rich>
              </c:tx>
              <c:spPr/>
              <c:dLblPos val="ctr"/>
              <c:showLegendKey val="0"/>
              <c:showVal val="1"/>
              <c:showCatName val="0"/>
              <c:showSerName val="0"/>
              <c:showPercent val="0"/>
              <c:showBubbleSize val="0"/>
            </c:dLbl>
            <c:dLbl>
              <c:idx val="1"/>
              <c:tx>
                <c:strRef>
                  <c:f>PROFILES!$O$104</c:f>
                  <c:strCache>
                    <c:ptCount val="1"/>
                    <c:pt idx="0">
                      <c:v>TKA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tx>
                <c:strRef>
                  <c:f>PROFILES!$O$105</c:f>
                  <c:strCache>
                    <c:ptCount val="1"/>
                    <c:pt idx="0">
                      <c:v>BELGACOM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PROFILES!$O$106</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4"/>
              <c:tx>
                <c:strRef>
                  <c:f>PROFILES!$O$107</c:f>
                  <c:strCache>
                    <c:ptCount val="1"/>
                    <c:pt idx="0">
                      <c:v>TELENET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5"/>
              <c:tx>
                <c:strRef>
                  <c:f>PROFILES!$O$108</c:f>
                  <c:strCache>
                    <c:ptCount val="1"/>
                    <c:pt idx="0">
                      <c:v>TDC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tx>
                <c:strRef>
                  <c:f>PROFILES!$O$109</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tx>
                <c:strRef>
                  <c:f>PROFILES!$O$110</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PROFILES!$O$111</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tx>
                <c:strRef>
                  <c:f>PROFILES!$O$112</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PROFILES!$O$113</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tx>
                <c:strRef>
                  <c:f>PROFILES!$O$114</c:f>
                  <c:strCache>
                    <c:ptCount val="1"/>
                    <c:pt idx="0">
                      <c:v>TIT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PROFILES!$O$115</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tx>
                <c:strRef>
                  <c:f>PROFILES!$O$116</c:f>
                  <c:strCache>
                    <c:ptCount val="1"/>
                    <c:pt idx="0">
                      <c:v>KPN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tx>
                <c:strRef>
                  <c:f>PROFILES!$O$117</c:f>
                  <c:strCache>
                    <c:ptCount val="1"/>
                    <c:pt idx="0">
                      <c:v>TPS</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layout>
                <c:manualLayout>
                  <c:x val="-4.7845489219099736E-2"/>
                  <c:y val="-3.2751094518370799E-3"/>
                </c:manualLayout>
              </c:layout>
              <c:tx>
                <c:strRef>
                  <c:f>PROFILES!$O$118</c:f>
                  <c:strCache>
                    <c:ptCount val="1"/>
                    <c:pt idx="0">
                      <c:v>PT</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6"/>
              <c:tx>
                <c:strRef>
                  <c:f>PROFILES!$O$119</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PROFILES!$O$120</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PROFILES!$O$121</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tx>
                <c:strRef>
                  <c:f>PROFILES!$O$122</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PROFILES!$O$123</c:f>
                  <c:strCache>
                    <c:ptCount val="1"/>
                    <c:pt idx="0">
                      <c:v>SCM</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tx>
                <c:strRef>
                  <c:f>PROFILES!$O$124</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trendline>
            <c:spPr>
              <a:ln>
                <a:solidFill>
                  <a:schemeClr val="bg1">
                    <a:lumMod val="50000"/>
                  </a:schemeClr>
                </a:solidFill>
                <a:prstDash val="dash"/>
              </a:ln>
            </c:spPr>
            <c:trendlineType val="poly"/>
            <c:order val="2"/>
            <c:dispRSqr val="1"/>
            <c:dispEq val="0"/>
            <c:trendlineLbl>
              <c:numFmt formatCode="General" sourceLinked="0"/>
            </c:trendlineLbl>
          </c:trendline>
          <c:xVal>
            <c:numRef>
              <c:f>PROFILES!$J$197:$J$218</c:f>
              <c:numCache>
                <c:formatCode>0%</c:formatCode>
                <c:ptCount val="22"/>
                <c:pt idx="0">
                  <c:v>0.60734824281150157</c:v>
                </c:pt>
                <c:pt idx="1">
                  <c:v>0.5981133158250882</c:v>
                </c:pt>
                <c:pt idx="2">
                  <c:v>0.33871396895787137</c:v>
                </c:pt>
                <c:pt idx="3">
                  <c:v>0.97</c:v>
                </c:pt>
                <c:pt idx="4">
                  <c:v>0.14257620452310718</c:v>
                </c:pt>
                <c:pt idx="5">
                  <c:v>0.28165979767703259</c:v>
                </c:pt>
                <c:pt idx="6">
                  <c:v>0.63960508302071395</c:v>
                </c:pt>
                <c:pt idx="7">
                  <c:v>0.64439999999999997</c:v>
                </c:pt>
                <c:pt idx="8">
                  <c:v>0.32841368754782985</c:v>
                </c:pt>
                <c:pt idx="9">
                  <c:v>0.60484412483227945</c:v>
                </c:pt>
                <c:pt idx="10">
                  <c:v>0.5161290322580645</c:v>
                </c:pt>
                <c:pt idx="11">
                  <c:v>0.34090000000000004</c:v>
                </c:pt>
                <c:pt idx="12">
                  <c:v>0.74956908795771016</c:v>
                </c:pt>
                <c:pt idx="13">
                  <c:v>0.60384301884652736</c:v>
                </c:pt>
                <c:pt idx="14">
                  <c:v>0.4260134005544996</c:v>
                </c:pt>
                <c:pt idx="15">
                  <c:v>0.47118282781144899</c:v>
                </c:pt>
                <c:pt idx="16">
                  <c:v>0</c:v>
                </c:pt>
                <c:pt idx="17">
                  <c:v>0.88549999999999995</c:v>
                </c:pt>
                <c:pt idx="18">
                  <c:v>0.7167630057803468</c:v>
                </c:pt>
                <c:pt idx="19">
                  <c:v>0.63639387890884902</c:v>
                </c:pt>
                <c:pt idx="20">
                  <c:v>0.30985103942866765</c:v>
                </c:pt>
                <c:pt idx="21">
                  <c:v>0.89258114374034003</c:v>
                </c:pt>
              </c:numCache>
            </c:numRef>
          </c:xVal>
          <c:yVal>
            <c:numRef>
              <c:f>PROFILES!$K$197:$K$218</c:f>
              <c:numCache>
                <c:formatCode>0.0</c:formatCode>
                <c:ptCount val="22"/>
                <c:pt idx="0">
                  <c:v>5.3302458517948876</c:v>
                </c:pt>
                <c:pt idx="1">
                  <c:v>4.0530525032062261</c:v>
                </c:pt>
                <c:pt idx="2">
                  <c:v>4.6619962755533297</c:v>
                </c:pt>
                <c:pt idx="3">
                  <c:v>3.6764587184436395</c:v>
                </c:pt>
                <c:pt idx="4">
                  <c:v>9.0506669895995948</c:v>
                </c:pt>
                <c:pt idx="5">
                  <c:v>5.9052222685092017</c:v>
                </c:pt>
                <c:pt idx="6">
                  <c:v>5.1937231412225326</c:v>
                </c:pt>
                <c:pt idx="7">
                  <c:v>6.9087191819037699</c:v>
                </c:pt>
                <c:pt idx="8">
                  <c:v>9.6719476082953495</c:v>
                </c:pt>
                <c:pt idx="9">
                  <c:v>4.438539176760524</c:v>
                </c:pt>
                <c:pt idx="10">
                  <c:v>3.7439277362047823</c:v>
                </c:pt>
                <c:pt idx="11">
                  <c:v>4.1170506660938244</c:v>
                </c:pt>
                <c:pt idx="12">
                  <c:v>6.1939465303838475</c:v>
                </c:pt>
                <c:pt idx="13">
                  <c:v>4.0325018858098245</c:v>
                </c:pt>
                <c:pt idx="14">
                  <c:v>3.4400754167452243</c:v>
                </c:pt>
                <c:pt idx="15">
                  <c:v>5.1280795143125681</c:v>
                </c:pt>
                <c:pt idx="16">
                  <c:v>5.7096258695546744</c:v>
                </c:pt>
                <c:pt idx="17">
                  <c:v>8.6584668441025876</c:v>
                </c:pt>
                <c:pt idx="18">
                  <c:v>7.6896404016441506</c:v>
                </c:pt>
                <c:pt idx="19">
                  <c:v>5.5145354419406587</c:v>
                </c:pt>
                <c:pt idx="20">
                  <c:v>7.5822149145373468</c:v>
                </c:pt>
                <c:pt idx="21">
                  <c:v>3.9063069179772585</c:v>
                </c:pt>
              </c:numCache>
            </c:numRef>
          </c:yVal>
          <c:smooth val="0"/>
        </c:ser>
        <c:dLbls>
          <c:showLegendKey val="0"/>
          <c:showVal val="0"/>
          <c:showCatName val="0"/>
          <c:showSerName val="0"/>
          <c:showPercent val="0"/>
          <c:showBubbleSize val="0"/>
        </c:dLbls>
        <c:axId val="188744448"/>
        <c:axId val="188745984"/>
      </c:scatterChart>
      <c:valAx>
        <c:axId val="188744448"/>
        <c:scaling>
          <c:orientation val="minMax"/>
          <c:max val="1"/>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88745984"/>
        <c:crosses val="autoZero"/>
        <c:crossBetween val="midCat"/>
        <c:majorUnit val="0.1"/>
      </c:valAx>
      <c:valAx>
        <c:axId val="188745984"/>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txPr>
          <a:bodyPr/>
          <a:lstStyle/>
          <a:p>
            <a:pPr>
              <a:defRPr sz="1200" baseline="0">
                <a:latin typeface="Arial" pitchFamily="34" charset="0"/>
              </a:defRPr>
            </a:pPr>
            <a:endParaRPr lang="fr-FR"/>
          </a:p>
        </c:txPr>
        <c:crossAx val="188744448"/>
        <c:crosses val="autoZero"/>
        <c:crossBetween val="midCat"/>
        <c:majorUnit val="1"/>
      </c:valAx>
    </c:plotArea>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318"/>
        </c:manualLayout>
      </c:layout>
      <c:lineChart>
        <c:grouping val="standard"/>
        <c:varyColors val="0"/>
        <c:ser>
          <c:idx val="3"/>
          <c:order val="0"/>
          <c:tx>
            <c:v>MOBISTAR</c:v>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CALCULATIONS!$IK$8:$IY$8</c:f>
              <c:numCache>
                <c:formatCode>0%</c:formatCode>
                <c:ptCount val="15"/>
                <c:pt idx="0">
                  <c:v>0.17782338342712184</c:v>
                </c:pt>
                <c:pt idx="1">
                  <c:v>0.19133327286441576</c:v>
                </c:pt>
                <c:pt idx="2">
                  <c:v>0.20566035155923143</c:v>
                </c:pt>
                <c:pt idx="3">
                  <c:v>0.19529400485537676</c:v>
                </c:pt>
                <c:pt idx="4">
                  <c:v>0.1857357403879977</c:v>
                </c:pt>
                <c:pt idx="5">
                  <c:v>0.18251603426575017</c:v>
                </c:pt>
                <c:pt idx="6">
                  <c:v>0.17951141684610042</c:v>
                </c:pt>
                <c:pt idx="7">
                  <c:v>0.19461391334390823</c:v>
                </c:pt>
                <c:pt idx="8">
                  <c:v>0.21334564271236822</c:v>
                </c:pt>
                <c:pt idx="9">
                  <c:v>0.25835323631844559</c:v>
                </c:pt>
                <c:pt idx="10">
                  <c:v>0.31687818834722925</c:v>
                </c:pt>
                <c:pt idx="11">
                  <c:v>0.3468208820258078</c:v>
                </c:pt>
                <c:pt idx="12">
                  <c:v>0.38444680732634928</c:v>
                </c:pt>
                <c:pt idx="13">
                  <c:v>0.41909511400886007</c:v>
                </c:pt>
                <c:pt idx="14">
                  <c:v>0.4561905930983241</c:v>
                </c:pt>
              </c:numCache>
            </c:numRef>
          </c:val>
          <c:smooth val="0"/>
        </c:ser>
        <c:ser>
          <c:idx val="0"/>
          <c:order val="1"/>
          <c:tx>
            <c:strRef>
              <c:f>CALCULATIONS!$C$26</c:f>
              <c:strCache>
                <c:ptCount val="1"/>
                <c:pt idx="0">
                  <c:v>SNC</c:v>
                </c:pt>
              </c:strCache>
            </c:strRef>
          </c:tx>
          <c:spPr>
            <a:ln w="28575">
              <a:solidFill>
                <a:srgbClr val="C00000"/>
              </a:solidFill>
              <a:prstDash val="dash"/>
            </a:ln>
          </c:spPr>
          <c:marker>
            <c:symbol val="none"/>
          </c:marker>
          <c:val>
            <c:numRef>
              <c:f>CALCULATIONS!$IK$26:$IY$26</c:f>
              <c:numCache>
                <c:formatCode>0%</c:formatCode>
                <c:ptCount val="15"/>
                <c:pt idx="0">
                  <c:v>0.39366550457914007</c:v>
                </c:pt>
                <c:pt idx="1">
                  <c:v>0.42342148591495099</c:v>
                </c:pt>
                <c:pt idx="2">
                  <c:v>0.45968728767703676</c:v>
                </c:pt>
                <c:pt idx="3">
                  <c:v>0.46655081840303986</c:v>
                </c:pt>
                <c:pt idx="4">
                  <c:v>0.48681364376648956</c:v>
                </c:pt>
                <c:pt idx="5">
                  <c:v>0.46507507193838304</c:v>
                </c:pt>
                <c:pt idx="6">
                  <c:v>0.45829764873845052</c:v>
                </c:pt>
                <c:pt idx="7">
                  <c:v>0.50345733757684008</c:v>
                </c:pt>
                <c:pt idx="8">
                  <c:v>0.49667140647969393</c:v>
                </c:pt>
                <c:pt idx="9">
                  <c:v>0.52364565382593475</c:v>
                </c:pt>
                <c:pt idx="10">
                  <c:v>0.50819822701553052</c:v>
                </c:pt>
                <c:pt idx="11">
                  <c:v>0.48061963670049579</c:v>
                </c:pt>
                <c:pt idx="12">
                  <c:v>0.46528956625070156</c:v>
                </c:pt>
                <c:pt idx="13">
                  <c:v>0.44001735291701949</c:v>
                </c:pt>
                <c:pt idx="14">
                  <c:v>0.46507375880431212</c:v>
                </c:pt>
              </c:numCache>
            </c:numRef>
          </c:val>
          <c:smooth val="0"/>
        </c:ser>
        <c:ser>
          <c:idx val="17"/>
          <c:order val="2"/>
          <c:tx>
            <c:strRef>
              <c:f>CALCULATIONS!$C$22</c:f>
              <c:strCache>
                <c:ptCount val="1"/>
                <c:pt idx="0">
                  <c:v>VOD</c:v>
                </c:pt>
              </c:strCache>
            </c:strRef>
          </c:tx>
          <c:spPr>
            <a:ln w="12700">
              <a:solidFill>
                <a:srgbClr val="C00000"/>
              </a:solidFill>
              <a:prstDash val="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CALCULATIONS!$IK$22:$IY$22</c:f>
              <c:numCache>
                <c:formatCode>0%</c:formatCode>
                <c:ptCount val="15"/>
                <c:pt idx="0">
                  <c:v>0.31966374358589222</c:v>
                </c:pt>
                <c:pt idx="1">
                  <c:v>0.31998808705892523</c:v>
                </c:pt>
                <c:pt idx="2">
                  <c:v>0.31722493386752887</c:v>
                </c:pt>
                <c:pt idx="3">
                  <c:v>0.31452078253983817</c:v>
                </c:pt>
                <c:pt idx="4">
                  <c:v>0.30104770531086128</c:v>
                </c:pt>
                <c:pt idx="5">
                  <c:v>0.28763634700867102</c:v>
                </c:pt>
                <c:pt idx="6">
                  <c:v>0.28681308861822175</c:v>
                </c:pt>
                <c:pt idx="7">
                  <c:v>0.28591712558949872</c:v>
                </c:pt>
                <c:pt idx="8">
                  <c:v>0.2769012115759335</c:v>
                </c:pt>
                <c:pt idx="9">
                  <c:v>0.26896790044096014</c:v>
                </c:pt>
                <c:pt idx="10">
                  <c:v>0.25189539853148013</c:v>
                </c:pt>
                <c:pt idx="11">
                  <c:v>0.23420588657870867</c:v>
                </c:pt>
                <c:pt idx="12">
                  <c:v>0.25433027728498075</c:v>
                </c:pt>
                <c:pt idx="13">
                  <c:v>0.2718321660431175</c:v>
                </c:pt>
                <c:pt idx="14">
                  <c:v>0.2718321660431175</c:v>
                </c:pt>
              </c:numCache>
            </c:numRef>
          </c:val>
          <c:smooth val="0"/>
        </c:ser>
        <c:ser>
          <c:idx val="1"/>
          <c:order val="3"/>
          <c:tx>
            <c:v>Mobistar g*-g</c:v>
          </c:tx>
          <c:spPr>
            <a:ln>
              <a:solidFill>
                <a:schemeClr val="tx1">
                  <a:lumMod val="50000"/>
                  <a:lumOff val="50000"/>
                </a:schemeClr>
              </a:solidFill>
            </a:ln>
          </c:spPr>
          <c:marker>
            <c:symbol val="none"/>
          </c:marker>
          <c:val>
            <c:numRef>
              <c:f>CALCULATIONS!$IK$37:$IY$37</c:f>
              <c:numCache>
                <c:formatCode>0%</c:formatCode>
                <c:ptCount val="15"/>
                <c:pt idx="0">
                  <c:v>8.677401564386264E-2</c:v>
                </c:pt>
                <c:pt idx="1">
                  <c:v>9.1246754030805163E-2</c:v>
                </c:pt>
                <c:pt idx="2">
                  <c:v>9.5858832252945864E-2</c:v>
                </c:pt>
                <c:pt idx="3">
                  <c:v>9.5821063500045087E-2</c:v>
                </c:pt>
                <c:pt idx="4">
                  <c:v>9.5760115031691462E-2</c:v>
                </c:pt>
                <c:pt idx="5">
                  <c:v>9.0957757083619098E-2</c:v>
                </c:pt>
                <c:pt idx="6">
                  <c:v>8.6492321099040814E-2</c:v>
                </c:pt>
                <c:pt idx="7">
                  <c:v>9.3504538232021442E-2</c:v>
                </c:pt>
                <c:pt idx="8">
                  <c:v>0.10198194102205356</c:v>
                </c:pt>
                <c:pt idx="9">
                  <c:v>0.10863327165917583</c:v>
                </c:pt>
                <c:pt idx="10">
                  <c:v>0.1155385290802749</c:v>
                </c:pt>
                <c:pt idx="11">
                  <c:v>0.12309709041200662</c:v>
                </c:pt>
                <c:pt idx="12">
                  <c:v>0.13152372190917905</c:v>
                </c:pt>
                <c:pt idx="13">
                  <c:v>0.12929657666447525</c:v>
                </c:pt>
                <c:pt idx="14">
                  <c:v>0.12630720586379929</c:v>
                </c:pt>
              </c:numCache>
            </c:numRef>
          </c:val>
          <c:smooth val="0"/>
        </c:ser>
        <c:dLbls>
          <c:showLegendKey val="0"/>
          <c:showVal val="0"/>
          <c:showCatName val="0"/>
          <c:showSerName val="0"/>
          <c:showPercent val="0"/>
          <c:showBubbleSize val="0"/>
        </c:dLbls>
        <c:marker val="1"/>
        <c:smooth val="0"/>
        <c:axId val="213576704"/>
        <c:axId val="213648128"/>
      </c:lineChart>
      <c:dateAx>
        <c:axId val="213576704"/>
        <c:scaling>
          <c:orientation val="minMax"/>
        </c:scaling>
        <c:delete val="0"/>
        <c:axPos val="b"/>
        <c:numFmt formatCode="[$-409]mmm\-yy;@" sourceLinked="0"/>
        <c:majorTickMark val="out"/>
        <c:minorTickMark val="none"/>
        <c:tickLblPos val="nextTo"/>
        <c:crossAx val="213648128"/>
        <c:crosses val="autoZero"/>
        <c:auto val="1"/>
        <c:lblOffset val="100"/>
        <c:baseTimeUnit val="months"/>
        <c:majorUnit val="6"/>
        <c:majorTimeUnit val="months"/>
      </c:dateAx>
      <c:valAx>
        <c:axId val="213648128"/>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213576704"/>
        <c:crosses val="autoZero"/>
        <c:crossBetween val="between"/>
      </c:valAx>
      <c:spPr>
        <a:noFill/>
        <a:ln>
          <a:noFill/>
        </a:ln>
      </c:spPr>
    </c:plotArea>
    <c:legend>
      <c:legendPos val="b"/>
      <c:layout>
        <c:manualLayout>
          <c:xMode val="edge"/>
          <c:yMode val="edge"/>
          <c:x val="6.1367049672873458E-2"/>
          <c:y val="0.90110895962713444"/>
          <c:w val="0.89999995095769003"/>
          <c:h val="9.8891040372866335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363"/>
        </c:manualLayout>
      </c:layout>
      <c:lineChart>
        <c:grouping val="standard"/>
        <c:varyColors val="0"/>
        <c:ser>
          <c:idx val="3"/>
          <c:order val="0"/>
          <c:tx>
            <c:v>MOBISTAR</c:v>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CALCULATIONS!$IK$8:$IY$8</c:f>
              <c:numCache>
                <c:formatCode>0%</c:formatCode>
                <c:ptCount val="15"/>
                <c:pt idx="0">
                  <c:v>0.17782338342712184</c:v>
                </c:pt>
                <c:pt idx="1">
                  <c:v>0.19133327286441576</c:v>
                </c:pt>
                <c:pt idx="2">
                  <c:v>0.20566035155923143</c:v>
                </c:pt>
                <c:pt idx="3">
                  <c:v>0.19529400485537676</c:v>
                </c:pt>
                <c:pt idx="4">
                  <c:v>0.1857357403879977</c:v>
                </c:pt>
                <c:pt idx="5">
                  <c:v>0.18251603426575017</c:v>
                </c:pt>
                <c:pt idx="6">
                  <c:v>0.17951141684610042</c:v>
                </c:pt>
                <c:pt idx="7">
                  <c:v>0.19461391334390823</c:v>
                </c:pt>
                <c:pt idx="8">
                  <c:v>0.21334564271236822</c:v>
                </c:pt>
                <c:pt idx="9">
                  <c:v>0.25835323631844559</c:v>
                </c:pt>
                <c:pt idx="10">
                  <c:v>0.31687818834722925</c:v>
                </c:pt>
                <c:pt idx="11">
                  <c:v>0.3468208820258078</c:v>
                </c:pt>
                <c:pt idx="12">
                  <c:v>0.38444680732634928</c:v>
                </c:pt>
                <c:pt idx="13">
                  <c:v>0.41909511400886007</c:v>
                </c:pt>
                <c:pt idx="14">
                  <c:v>0.4561905930983241</c:v>
                </c:pt>
              </c:numCache>
            </c:numRef>
          </c:val>
          <c:smooth val="0"/>
        </c:ser>
        <c:ser>
          <c:idx val="0"/>
          <c:order val="1"/>
          <c:tx>
            <c:strRef>
              <c:f>CALCULATIONS!$C$26</c:f>
              <c:strCache>
                <c:ptCount val="1"/>
                <c:pt idx="0">
                  <c:v>SNC</c:v>
                </c:pt>
              </c:strCache>
            </c:strRef>
          </c:tx>
          <c:spPr>
            <a:ln w="28575">
              <a:solidFill>
                <a:srgbClr val="C00000"/>
              </a:solidFill>
              <a:prstDash val="dash"/>
            </a:ln>
          </c:spPr>
          <c:marker>
            <c:symbol val="none"/>
          </c:marker>
          <c:val>
            <c:numRef>
              <c:f>CALCULATIONS!$IK$26:$IY$26</c:f>
              <c:numCache>
                <c:formatCode>0%</c:formatCode>
                <c:ptCount val="15"/>
                <c:pt idx="0">
                  <c:v>0.39366550457914007</c:v>
                </c:pt>
                <c:pt idx="1">
                  <c:v>0.42342148591495099</c:v>
                </c:pt>
                <c:pt idx="2">
                  <c:v>0.45968728767703676</c:v>
                </c:pt>
                <c:pt idx="3">
                  <c:v>0.46655081840303986</c:v>
                </c:pt>
                <c:pt idx="4">
                  <c:v>0.48681364376648956</c:v>
                </c:pt>
                <c:pt idx="5">
                  <c:v>0.46507507193838304</c:v>
                </c:pt>
                <c:pt idx="6">
                  <c:v>0.45829764873845052</c:v>
                </c:pt>
                <c:pt idx="7">
                  <c:v>0.50345733757684008</c:v>
                </c:pt>
                <c:pt idx="8">
                  <c:v>0.49667140647969393</c:v>
                </c:pt>
                <c:pt idx="9">
                  <c:v>0.52364565382593475</c:v>
                </c:pt>
                <c:pt idx="10">
                  <c:v>0.50819822701553052</c:v>
                </c:pt>
                <c:pt idx="11">
                  <c:v>0.48061963670049579</c:v>
                </c:pt>
                <c:pt idx="12">
                  <c:v>0.46528956625070156</c:v>
                </c:pt>
                <c:pt idx="13">
                  <c:v>0.44001735291701949</c:v>
                </c:pt>
                <c:pt idx="14">
                  <c:v>0.46507375880431212</c:v>
                </c:pt>
              </c:numCache>
            </c:numRef>
          </c:val>
          <c:smooth val="0"/>
        </c:ser>
        <c:ser>
          <c:idx val="17"/>
          <c:order val="2"/>
          <c:tx>
            <c:strRef>
              <c:f>CALCULATIONS!$C$22</c:f>
              <c:strCache>
                <c:ptCount val="1"/>
                <c:pt idx="0">
                  <c:v>VOD</c:v>
                </c:pt>
              </c:strCache>
            </c:strRef>
          </c:tx>
          <c:spPr>
            <a:ln w="12700">
              <a:solidFill>
                <a:srgbClr val="C00000"/>
              </a:solidFill>
              <a:prstDash val="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CALCULATIONS!$IK$22:$IY$22</c:f>
              <c:numCache>
                <c:formatCode>0%</c:formatCode>
                <c:ptCount val="15"/>
                <c:pt idx="0">
                  <c:v>0.31966374358589222</c:v>
                </c:pt>
                <c:pt idx="1">
                  <c:v>0.31998808705892523</c:v>
                </c:pt>
                <c:pt idx="2">
                  <c:v>0.31722493386752887</c:v>
                </c:pt>
                <c:pt idx="3">
                  <c:v>0.31452078253983817</c:v>
                </c:pt>
                <c:pt idx="4">
                  <c:v>0.30104770531086128</c:v>
                </c:pt>
                <c:pt idx="5">
                  <c:v>0.28763634700867102</c:v>
                </c:pt>
                <c:pt idx="6">
                  <c:v>0.28681308861822175</c:v>
                </c:pt>
                <c:pt idx="7">
                  <c:v>0.28591712558949872</c:v>
                </c:pt>
                <c:pt idx="8">
                  <c:v>0.2769012115759335</c:v>
                </c:pt>
                <c:pt idx="9">
                  <c:v>0.26896790044096014</c:v>
                </c:pt>
                <c:pt idx="10">
                  <c:v>0.25189539853148013</c:v>
                </c:pt>
                <c:pt idx="11">
                  <c:v>0.23420588657870867</c:v>
                </c:pt>
                <c:pt idx="12">
                  <c:v>0.25433027728498075</c:v>
                </c:pt>
                <c:pt idx="13">
                  <c:v>0.2718321660431175</c:v>
                </c:pt>
                <c:pt idx="14">
                  <c:v>0.2718321660431175</c:v>
                </c:pt>
              </c:numCache>
            </c:numRef>
          </c:val>
          <c:smooth val="0"/>
        </c:ser>
        <c:ser>
          <c:idx val="1"/>
          <c:order val="3"/>
          <c:tx>
            <c:v>Mobistar g*-g</c:v>
          </c:tx>
          <c:spPr>
            <a:ln>
              <a:solidFill>
                <a:schemeClr val="tx1">
                  <a:lumMod val="50000"/>
                  <a:lumOff val="50000"/>
                </a:schemeClr>
              </a:solidFill>
            </a:ln>
          </c:spPr>
          <c:marker>
            <c:symbol val="none"/>
          </c:marker>
          <c:val>
            <c:numRef>
              <c:f>CALCULATIONS!$IK$37:$IY$37</c:f>
              <c:numCache>
                <c:formatCode>0%</c:formatCode>
                <c:ptCount val="15"/>
                <c:pt idx="0">
                  <c:v>8.677401564386264E-2</c:v>
                </c:pt>
                <c:pt idx="1">
                  <c:v>9.1246754030805163E-2</c:v>
                </c:pt>
                <c:pt idx="2">
                  <c:v>9.5858832252945864E-2</c:v>
                </c:pt>
                <c:pt idx="3">
                  <c:v>9.5821063500045087E-2</c:v>
                </c:pt>
                <c:pt idx="4">
                  <c:v>9.5760115031691462E-2</c:v>
                </c:pt>
                <c:pt idx="5">
                  <c:v>9.0957757083619098E-2</c:v>
                </c:pt>
                <c:pt idx="6">
                  <c:v>8.6492321099040814E-2</c:v>
                </c:pt>
                <c:pt idx="7">
                  <c:v>9.3504538232021442E-2</c:v>
                </c:pt>
                <c:pt idx="8">
                  <c:v>0.10198194102205356</c:v>
                </c:pt>
                <c:pt idx="9">
                  <c:v>0.10863327165917583</c:v>
                </c:pt>
                <c:pt idx="10">
                  <c:v>0.1155385290802749</c:v>
                </c:pt>
                <c:pt idx="11">
                  <c:v>0.12309709041200662</c:v>
                </c:pt>
                <c:pt idx="12">
                  <c:v>0.13152372190917905</c:v>
                </c:pt>
                <c:pt idx="13">
                  <c:v>0.12929657666447525</c:v>
                </c:pt>
                <c:pt idx="14">
                  <c:v>0.12630720586379929</c:v>
                </c:pt>
              </c:numCache>
            </c:numRef>
          </c:val>
          <c:smooth val="0"/>
        </c:ser>
        <c:dLbls>
          <c:showLegendKey val="0"/>
          <c:showVal val="0"/>
          <c:showCatName val="0"/>
          <c:showSerName val="0"/>
          <c:showPercent val="0"/>
          <c:showBubbleSize val="0"/>
        </c:dLbls>
        <c:marker val="1"/>
        <c:smooth val="0"/>
        <c:axId val="213703680"/>
        <c:axId val="213705472"/>
      </c:lineChart>
      <c:dateAx>
        <c:axId val="213703680"/>
        <c:scaling>
          <c:orientation val="minMax"/>
        </c:scaling>
        <c:delete val="0"/>
        <c:axPos val="b"/>
        <c:numFmt formatCode="[$-409]mmm\-yy;@" sourceLinked="0"/>
        <c:majorTickMark val="out"/>
        <c:minorTickMark val="none"/>
        <c:tickLblPos val="nextTo"/>
        <c:crossAx val="213705472"/>
        <c:crosses val="autoZero"/>
        <c:auto val="1"/>
        <c:lblOffset val="100"/>
        <c:baseTimeUnit val="months"/>
        <c:majorUnit val="6"/>
        <c:majorTimeUnit val="months"/>
      </c:dateAx>
      <c:valAx>
        <c:axId val="213705472"/>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213703680"/>
        <c:crosses val="autoZero"/>
        <c:crossBetween val="between"/>
      </c:valAx>
      <c:spPr>
        <a:noFill/>
        <a:ln>
          <a:noFill/>
        </a:ln>
      </c:spPr>
    </c:plotArea>
    <c:legend>
      <c:legendPos val="b"/>
      <c:layout>
        <c:manualLayout>
          <c:xMode val="edge"/>
          <c:yMode val="edge"/>
          <c:x val="6.5512183100393931E-2"/>
          <c:y val="0.90110917463537765"/>
          <c:w val="0.89999995095769003"/>
          <c:h val="9.8891040372866446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363"/>
        </c:manualLayout>
      </c:layout>
      <c:lineChart>
        <c:grouping val="standard"/>
        <c:varyColors val="0"/>
        <c:ser>
          <c:idx val="3"/>
          <c:order val="0"/>
          <c:tx>
            <c:v>TELENET</c:v>
          </c:tx>
          <c:spPr>
            <a:ln>
              <a:solidFill>
                <a:srgbClr val="FFC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CALCULATIONS!$IK$9:$IY$9</c:f>
              <c:numCache>
                <c:formatCode>0%</c:formatCode>
                <c:ptCount val="15"/>
                <c:pt idx="0">
                  <c:v>0.50261617157260619</c:v>
                </c:pt>
                <c:pt idx="1">
                  <c:v>0.46283410666608638</c:v>
                </c:pt>
                <c:pt idx="2">
                  <c:v>0.4640683722500239</c:v>
                </c:pt>
                <c:pt idx="3">
                  <c:v>0.45222436615696288</c:v>
                </c:pt>
                <c:pt idx="4">
                  <c:v>0.40678261884422395</c:v>
                </c:pt>
                <c:pt idx="5">
                  <c:v>0.37178729606389038</c:v>
                </c:pt>
                <c:pt idx="6">
                  <c:v>0.36792052162676608</c:v>
                </c:pt>
                <c:pt idx="7">
                  <c:v>0.46544877279506219</c:v>
                </c:pt>
                <c:pt idx="8">
                  <c:v>0.44138119570523726</c:v>
                </c:pt>
                <c:pt idx="9">
                  <c:v>0.42583131816712549</c:v>
                </c:pt>
                <c:pt idx="10">
                  <c:v>0.40754165826630995</c:v>
                </c:pt>
                <c:pt idx="11">
                  <c:v>0.4363634349502537</c:v>
                </c:pt>
                <c:pt idx="12">
                  <c:v>0.42302270192736452</c:v>
                </c:pt>
                <c:pt idx="13">
                  <c:v>0.40471537584686967</c:v>
                </c:pt>
                <c:pt idx="14">
                  <c:v>0.4832654138496531</c:v>
                </c:pt>
              </c:numCache>
            </c:numRef>
          </c:val>
          <c:smooth val="0"/>
        </c:ser>
        <c:ser>
          <c:idx val="0"/>
          <c:order val="1"/>
          <c:tx>
            <c:v>BT</c:v>
          </c:tx>
          <c:spPr>
            <a:ln w="28575">
              <a:solidFill>
                <a:srgbClr val="FFC000"/>
              </a:solidFill>
              <a:prstDash val="dash"/>
            </a:ln>
          </c:spPr>
          <c:marker>
            <c:symbol val="none"/>
          </c:marker>
          <c:val>
            <c:numRef>
              <c:f>CALCULATIONS!$IK$21:$IY$21</c:f>
              <c:numCache>
                <c:formatCode>0%</c:formatCode>
                <c:ptCount val="15"/>
                <c:pt idx="0">
                  <c:v>0.62772176927557632</c:v>
                </c:pt>
                <c:pt idx="1">
                  <c:v>0.62824808062908566</c:v>
                </c:pt>
                <c:pt idx="2">
                  <c:v>0.60530144993751922</c:v>
                </c:pt>
                <c:pt idx="3">
                  <c:v>0.59626489005645689</c:v>
                </c:pt>
                <c:pt idx="4">
                  <c:v>0.52286326585817222</c:v>
                </c:pt>
                <c:pt idx="5">
                  <c:v>0.5044564310802967</c:v>
                </c:pt>
                <c:pt idx="6">
                  <c:v>0.48150713962887542</c:v>
                </c:pt>
                <c:pt idx="7">
                  <c:v>0.52800904261181547</c:v>
                </c:pt>
                <c:pt idx="8">
                  <c:v>0.4945296749708698</c:v>
                </c:pt>
                <c:pt idx="9">
                  <c:v>0.47141483063757739</c:v>
                </c:pt>
                <c:pt idx="10">
                  <c:v>0.4873973499699798</c:v>
                </c:pt>
                <c:pt idx="11">
                  <c:v>0.45752690454446737</c:v>
                </c:pt>
                <c:pt idx="12">
                  <c:v>0.44076573847172978</c:v>
                </c:pt>
                <c:pt idx="13">
                  <c:v>0.39634069249575571</c:v>
                </c:pt>
                <c:pt idx="14">
                  <c:v>0.37414035756341019</c:v>
                </c:pt>
              </c:numCache>
            </c:numRef>
          </c:val>
          <c:smooth val="0"/>
        </c:ser>
        <c:ser>
          <c:idx val="2"/>
          <c:order val="2"/>
          <c:tx>
            <c:v>Iliad</c:v>
          </c:tx>
          <c:spPr>
            <a:ln w="12700">
              <a:solidFill>
                <a:srgbClr val="FFC000"/>
              </a:solidFill>
              <a:prstDash val="dash"/>
            </a:ln>
          </c:spPr>
          <c:marker>
            <c:symbol val="none"/>
          </c:marker>
          <c:val>
            <c:numRef>
              <c:f>CALCULATIONS!$IK$13:$JA$13</c:f>
              <c:numCache>
                <c:formatCode>0%</c:formatCode>
                <c:ptCount val="17"/>
                <c:pt idx="0">
                  <c:v>0.12941783528588477</c:v>
                </c:pt>
                <c:pt idx="1">
                  <c:v>0.14836250322021755</c:v>
                </c:pt>
                <c:pt idx="2">
                  <c:v>0.17191191489292371</c:v>
                </c:pt>
                <c:pt idx="3">
                  <c:v>0.15137838182597377</c:v>
                </c:pt>
                <c:pt idx="4">
                  <c:v>0.13456596409720589</c:v>
                </c:pt>
                <c:pt idx="5">
                  <c:v>0.13952791063486325</c:v>
                </c:pt>
                <c:pt idx="6">
                  <c:v>0.14383983524363131</c:v>
                </c:pt>
                <c:pt idx="7">
                  <c:v>0.17024272073270599</c:v>
                </c:pt>
                <c:pt idx="8">
                  <c:v>0.19340865762048937</c:v>
                </c:pt>
                <c:pt idx="9">
                  <c:v>0.18878175927414945</c:v>
                </c:pt>
                <c:pt idx="10">
                  <c:v>0.18488503570511355</c:v>
                </c:pt>
                <c:pt idx="11">
                  <c:v>0.17224351757113707</c:v>
                </c:pt>
                <c:pt idx="12">
                  <c:v>0.16091197440640848</c:v>
                </c:pt>
                <c:pt idx="13">
                  <c:v>0.14303347616444623</c:v>
                </c:pt>
                <c:pt idx="14">
                  <c:v>0.12849893093161849</c:v>
                </c:pt>
                <c:pt idx="16">
                  <c:v>0.16024846762312819</c:v>
                </c:pt>
              </c:numCache>
            </c:numRef>
          </c:val>
          <c:smooth val="0"/>
        </c:ser>
        <c:ser>
          <c:idx val="1"/>
          <c:order val="3"/>
          <c:tx>
            <c:v>Telenet g*-g</c:v>
          </c:tx>
          <c:spPr>
            <a:ln>
              <a:solidFill>
                <a:schemeClr val="tx1">
                  <a:lumMod val="50000"/>
                  <a:lumOff val="50000"/>
                </a:schemeClr>
              </a:solidFill>
            </a:ln>
          </c:spPr>
          <c:marker>
            <c:symbol val="none"/>
          </c:marker>
          <c:val>
            <c:numRef>
              <c:f>CALCULATIONS!$IK$38:$IY$38</c:f>
              <c:numCache>
                <c:formatCode>0%</c:formatCode>
                <c:ptCount val="15"/>
                <c:pt idx="0">
                  <c:v>3.0143720881888325E-3</c:v>
                </c:pt>
                <c:pt idx="1">
                  <c:v>3.3574172546962378E-3</c:v>
                </c:pt>
                <c:pt idx="2">
                  <c:v>3.6813529470480222E-3</c:v>
                </c:pt>
                <c:pt idx="3">
                  <c:v>3.5853598472479487E-3</c:v>
                </c:pt>
                <c:pt idx="4">
                  <c:v>3.6997589198108916E-3</c:v>
                </c:pt>
                <c:pt idx="5">
                  <c:v>3.6093231442015372E-3</c:v>
                </c:pt>
                <c:pt idx="6">
                  <c:v>3.6253663438468031E-3</c:v>
                </c:pt>
                <c:pt idx="7">
                  <c:v>3.0124944091111661E-3</c:v>
                </c:pt>
                <c:pt idx="8">
                  <c:v>3.0094291893357772E-3</c:v>
                </c:pt>
                <c:pt idx="9">
                  <c:v>2.9073954968688032E-3</c:v>
                </c:pt>
                <c:pt idx="10">
                  <c:v>2.681034649134495E-3</c:v>
                </c:pt>
                <c:pt idx="11">
                  <c:v>2.3145563296892435E-3</c:v>
                </c:pt>
                <c:pt idx="12">
                  <c:v>2.2721654787832835E-3</c:v>
                </c:pt>
                <c:pt idx="13">
                  <c:v>2.2284884725123355E-3</c:v>
                </c:pt>
                <c:pt idx="14">
                  <c:v>1.8190111798983555E-3</c:v>
                </c:pt>
              </c:numCache>
            </c:numRef>
          </c:val>
          <c:smooth val="0"/>
        </c:ser>
        <c:dLbls>
          <c:showLegendKey val="0"/>
          <c:showVal val="0"/>
          <c:showCatName val="0"/>
          <c:showSerName val="0"/>
          <c:showPercent val="0"/>
          <c:showBubbleSize val="0"/>
        </c:dLbls>
        <c:marker val="1"/>
        <c:smooth val="0"/>
        <c:axId val="213810176"/>
        <c:axId val="213816064"/>
      </c:lineChart>
      <c:dateAx>
        <c:axId val="213810176"/>
        <c:scaling>
          <c:orientation val="minMax"/>
        </c:scaling>
        <c:delete val="0"/>
        <c:axPos val="b"/>
        <c:numFmt formatCode="[$-409]mmm\-yy;@" sourceLinked="0"/>
        <c:majorTickMark val="out"/>
        <c:minorTickMark val="none"/>
        <c:tickLblPos val="nextTo"/>
        <c:crossAx val="213816064"/>
        <c:crosses val="autoZero"/>
        <c:auto val="1"/>
        <c:lblOffset val="100"/>
        <c:baseTimeUnit val="months"/>
        <c:majorUnit val="6"/>
        <c:majorTimeUnit val="months"/>
      </c:dateAx>
      <c:valAx>
        <c:axId val="213816064"/>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213810176"/>
        <c:crosses val="autoZero"/>
        <c:crossBetween val="between"/>
      </c:valAx>
      <c:spPr>
        <a:noFill/>
        <a:ln>
          <a:noFill/>
        </a:ln>
      </c:spPr>
    </c:plotArea>
    <c:legend>
      <c:legendPos val="b"/>
      <c:layout>
        <c:manualLayout>
          <c:xMode val="edge"/>
          <c:yMode val="edge"/>
          <c:x val="6.5512183100393931E-2"/>
          <c:y val="0.90110917463537765"/>
          <c:w val="0.70110330484683459"/>
          <c:h val="9.8891040372866237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8839774267870564"/>
          <c:h val="0.72265082728639385"/>
        </c:manualLayout>
      </c:layout>
      <c:lineChart>
        <c:grouping val="standard"/>
        <c:varyColors val="0"/>
        <c:ser>
          <c:idx val="3"/>
          <c:order val="0"/>
          <c:tx>
            <c:v>TELENET</c:v>
          </c:tx>
          <c:spPr>
            <a:ln>
              <a:solidFill>
                <a:srgbClr val="FFC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CALCULATIONS!$IK$9:$IY$9</c:f>
              <c:numCache>
                <c:formatCode>0%</c:formatCode>
                <c:ptCount val="15"/>
                <c:pt idx="0">
                  <c:v>0.50261617157260619</c:v>
                </c:pt>
                <c:pt idx="1">
                  <c:v>0.46283410666608638</c:v>
                </c:pt>
                <c:pt idx="2">
                  <c:v>0.4640683722500239</c:v>
                </c:pt>
                <c:pt idx="3">
                  <c:v>0.45222436615696288</c:v>
                </c:pt>
                <c:pt idx="4">
                  <c:v>0.40678261884422395</c:v>
                </c:pt>
                <c:pt idx="5">
                  <c:v>0.37178729606389038</c:v>
                </c:pt>
                <c:pt idx="6">
                  <c:v>0.36792052162676608</c:v>
                </c:pt>
                <c:pt idx="7">
                  <c:v>0.46544877279506219</c:v>
                </c:pt>
                <c:pt idx="8">
                  <c:v>0.44138119570523726</c:v>
                </c:pt>
                <c:pt idx="9">
                  <c:v>0.42583131816712549</c:v>
                </c:pt>
                <c:pt idx="10">
                  <c:v>0.40754165826630995</c:v>
                </c:pt>
                <c:pt idx="11">
                  <c:v>0.4363634349502537</c:v>
                </c:pt>
                <c:pt idx="12">
                  <c:v>0.42302270192736452</c:v>
                </c:pt>
                <c:pt idx="13">
                  <c:v>0.40471537584686967</c:v>
                </c:pt>
                <c:pt idx="14">
                  <c:v>0.4832654138496531</c:v>
                </c:pt>
              </c:numCache>
            </c:numRef>
          </c:val>
          <c:smooth val="0"/>
        </c:ser>
        <c:ser>
          <c:idx val="0"/>
          <c:order val="1"/>
          <c:tx>
            <c:v>BT</c:v>
          </c:tx>
          <c:spPr>
            <a:ln w="28575">
              <a:solidFill>
                <a:srgbClr val="FFC000"/>
              </a:solidFill>
              <a:prstDash val="dash"/>
            </a:ln>
          </c:spPr>
          <c:marker>
            <c:symbol val="none"/>
          </c:marker>
          <c:val>
            <c:numRef>
              <c:f>CALCULATIONS!$IK$21:$IY$21</c:f>
              <c:numCache>
                <c:formatCode>0%</c:formatCode>
                <c:ptCount val="15"/>
                <c:pt idx="0">
                  <c:v>0.62772176927557632</c:v>
                </c:pt>
                <c:pt idx="1">
                  <c:v>0.62824808062908566</c:v>
                </c:pt>
                <c:pt idx="2">
                  <c:v>0.60530144993751922</c:v>
                </c:pt>
                <c:pt idx="3">
                  <c:v>0.59626489005645689</c:v>
                </c:pt>
                <c:pt idx="4">
                  <c:v>0.52286326585817222</c:v>
                </c:pt>
                <c:pt idx="5">
                  <c:v>0.5044564310802967</c:v>
                </c:pt>
                <c:pt idx="6">
                  <c:v>0.48150713962887542</c:v>
                </c:pt>
                <c:pt idx="7">
                  <c:v>0.52800904261181547</c:v>
                </c:pt>
                <c:pt idx="8">
                  <c:v>0.4945296749708698</c:v>
                </c:pt>
                <c:pt idx="9">
                  <c:v>0.47141483063757739</c:v>
                </c:pt>
                <c:pt idx="10">
                  <c:v>0.4873973499699798</c:v>
                </c:pt>
                <c:pt idx="11">
                  <c:v>0.45752690454446737</c:v>
                </c:pt>
                <c:pt idx="12">
                  <c:v>0.44076573847172978</c:v>
                </c:pt>
                <c:pt idx="13">
                  <c:v>0.39634069249575571</c:v>
                </c:pt>
                <c:pt idx="14">
                  <c:v>0.37414035756341019</c:v>
                </c:pt>
              </c:numCache>
            </c:numRef>
          </c:val>
          <c:smooth val="0"/>
        </c:ser>
        <c:ser>
          <c:idx val="2"/>
          <c:order val="2"/>
          <c:tx>
            <c:v>Iliad</c:v>
          </c:tx>
          <c:spPr>
            <a:ln w="12700">
              <a:solidFill>
                <a:srgbClr val="FFC000"/>
              </a:solidFill>
              <a:prstDash val="dash"/>
            </a:ln>
          </c:spPr>
          <c:marker>
            <c:symbol val="none"/>
          </c:marker>
          <c:val>
            <c:numRef>
              <c:f>CALCULATIONS!$IK$13:$JA$13</c:f>
              <c:numCache>
                <c:formatCode>0%</c:formatCode>
                <c:ptCount val="17"/>
                <c:pt idx="0">
                  <c:v>0.12941783528588477</c:v>
                </c:pt>
                <c:pt idx="1">
                  <c:v>0.14836250322021755</c:v>
                </c:pt>
                <c:pt idx="2">
                  <c:v>0.17191191489292371</c:v>
                </c:pt>
                <c:pt idx="3">
                  <c:v>0.15137838182597377</c:v>
                </c:pt>
                <c:pt idx="4">
                  <c:v>0.13456596409720589</c:v>
                </c:pt>
                <c:pt idx="5">
                  <c:v>0.13952791063486325</c:v>
                </c:pt>
                <c:pt idx="6">
                  <c:v>0.14383983524363131</c:v>
                </c:pt>
                <c:pt idx="7">
                  <c:v>0.17024272073270599</c:v>
                </c:pt>
                <c:pt idx="8">
                  <c:v>0.19340865762048937</c:v>
                </c:pt>
                <c:pt idx="9">
                  <c:v>0.18878175927414945</c:v>
                </c:pt>
                <c:pt idx="10">
                  <c:v>0.18488503570511355</c:v>
                </c:pt>
                <c:pt idx="11">
                  <c:v>0.17224351757113707</c:v>
                </c:pt>
                <c:pt idx="12">
                  <c:v>0.16091197440640848</c:v>
                </c:pt>
                <c:pt idx="13">
                  <c:v>0.14303347616444623</c:v>
                </c:pt>
                <c:pt idx="14">
                  <c:v>0.12849893093161849</c:v>
                </c:pt>
                <c:pt idx="16">
                  <c:v>0.16024846762312819</c:v>
                </c:pt>
              </c:numCache>
            </c:numRef>
          </c:val>
          <c:smooth val="0"/>
        </c:ser>
        <c:ser>
          <c:idx val="1"/>
          <c:order val="3"/>
          <c:tx>
            <c:v>Telenet g*-g</c:v>
          </c:tx>
          <c:spPr>
            <a:ln>
              <a:solidFill>
                <a:schemeClr val="tx1">
                  <a:lumMod val="50000"/>
                  <a:lumOff val="50000"/>
                </a:schemeClr>
              </a:solidFill>
            </a:ln>
          </c:spPr>
          <c:marker>
            <c:symbol val="none"/>
          </c:marker>
          <c:val>
            <c:numRef>
              <c:f>CALCULATIONS!$IK$38:$IY$38</c:f>
              <c:numCache>
                <c:formatCode>0%</c:formatCode>
                <c:ptCount val="15"/>
                <c:pt idx="0">
                  <c:v>3.0143720881888325E-3</c:v>
                </c:pt>
                <c:pt idx="1">
                  <c:v>3.3574172546962378E-3</c:v>
                </c:pt>
                <c:pt idx="2">
                  <c:v>3.6813529470480222E-3</c:v>
                </c:pt>
                <c:pt idx="3">
                  <c:v>3.5853598472479487E-3</c:v>
                </c:pt>
                <c:pt idx="4">
                  <c:v>3.6997589198108916E-3</c:v>
                </c:pt>
                <c:pt idx="5">
                  <c:v>3.6093231442015372E-3</c:v>
                </c:pt>
                <c:pt idx="6">
                  <c:v>3.6253663438468031E-3</c:v>
                </c:pt>
                <c:pt idx="7">
                  <c:v>3.0124944091111661E-3</c:v>
                </c:pt>
                <c:pt idx="8">
                  <c:v>3.0094291893357772E-3</c:v>
                </c:pt>
                <c:pt idx="9">
                  <c:v>2.9073954968688032E-3</c:v>
                </c:pt>
                <c:pt idx="10">
                  <c:v>2.681034649134495E-3</c:v>
                </c:pt>
                <c:pt idx="11">
                  <c:v>2.3145563296892435E-3</c:v>
                </c:pt>
                <c:pt idx="12">
                  <c:v>2.2721654787832835E-3</c:v>
                </c:pt>
                <c:pt idx="13">
                  <c:v>2.2284884725123355E-3</c:v>
                </c:pt>
                <c:pt idx="14">
                  <c:v>1.8190111798983555E-3</c:v>
                </c:pt>
              </c:numCache>
            </c:numRef>
          </c:val>
          <c:smooth val="0"/>
        </c:ser>
        <c:dLbls>
          <c:showLegendKey val="0"/>
          <c:showVal val="0"/>
          <c:showCatName val="0"/>
          <c:showSerName val="0"/>
          <c:showPercent val="0"/>
          <c:showBubbleSize val="0"/>
        </c:dLbls>
        <c:marker val="1"/>
        <c:smooth val="0"/>
        <c:axId val="232410112"/>
        <c:axId val="232424192"/>
      </c:lineChart>
      <c:dateAx>
        <c:axId val="232410112"/>
        <c:scaling>
          <c:orientation val="minMax"/>
        </c:scaling>
        <c:delete val="0"/>
        <c:axPos val="b"/>
        <c:numFmt formatCode="[$-409]mmm\-yy;@" sourceLinked="0"/>
        <c:majorTickMark val="out"/>
        <c:minorTickMark val="none"/>
        <c:tickLblPos val="nextTo"/>
        <c:crossAx val="232424192"/>
        <c:crosses val="autoZero"/>
        <c:auto val="1"/>
        <c:lblOffset val="100"/>
        <c:baseTimeUnit val="months"/>
        <c:majorUnit val="6"/>
        <c:majorTimeUnit val="months"/>
      </c:dateAx>
      <c:valAx>
        <c:axId val="232424192"/>
        <c:scaling>
          <c:orientation val="minMax"/>
        </c:scaling>
        <c:delete val="0"/>
        <c:axPos val="l"/>
        <c:majorGridlines>
          <c:spPr>
            <a:ln>
              <a:solidFill>
                <a:schemeClr val="bg1">
                  <a:lumMod val="50000"/>
                </a:schemeClr>
              </a:solidFill>
              <a:prstDash val="dash"/>
            </a:ln>
          </c:spPr>
        </c:majorGridlines>
        <c:numFmt formatCode="0%" sourceLinked="1"/>
        <c:majorTickMark val="out"/>
        <c:minorTickMark val="none"/>
        <c:tickLblPos val="nextTo"/>
        <c:crossAx val="232410112"/>
        <c:crosses val="autoZero"/>
        <c:crossBetween val="between"/>
      </c:valAx>
      <c:spPr>
        <a:noFill/>
        <a:ln>
          <a:noFill/>
        </a:ln>
      </c:spPr>
    </c:plotArea>
    <c:legend>
      <c:legendPos val="b"/>
      <c:layout>
        <c:manualLayout>
          <c:xMode val="edge"/>
          <c:yMode val="edge"/>
          <c:x val="6.5512183100393931E-2"/>
          <c:y val="0.90110917463537765"/>
          <c:w val="0.70110330484683459"/>
          <c:h val="9.8891040372866335E-2"/>
        </c:manualLayout>
      </c:layout>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20239495103397E-2"/>
          <c:y val="8.7625928723430488E-2"/>
          <c:w val="0.89508875995489967"/>
          <c:h val="0.73397654917589061"/>
        </c:manualLayout>
      </c:layout>
      <c:lineChart>
        <c:grouping val="standard"/>
        <c:varyColors val="0"/>
        <c:ser>
          <c:idx val="2"/>
          <c:order val="0"/>
          <c:tx>
            <c:v>BELGACOM</c:v>
          </c:tx>
          <c:spPr>
            <a:ln>
              <a:solidFill>
                <a:schemeClr val="tx1"/>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CALCULATIONS!$FH$46:$FV$46</c:f>
              <c:numCache>
                <c:formatCode>0.0</c:formatCode>
                <c:ptCount val="15"/>
                <c:pt idx="0">
                  <c:v>3.1246324913393408E-2</c:v>
                </c:pt>
                <c:pt idx="1">
                  <c:v>3.3955781111828731E-2</c:v>
                </c:pt>
                <c:pt idx="2">
                  <c:v>3.7078530286752454E-2</c:v>
                </c:pt>
                <c:pt idx="3">
                  <c:v>3.5612542351548093E-2</c:v>
                </c:pt>
                <c:pt idx="4">
                  <c:v>4.3855913951364123E-2</c:v>
                </c:pt>
                <c:pt idx="5">
                  <c:v>3.0050522938426028E-2</c:v>
                </c:pt>
                <c:pt idx="6">
                  <c:v>3.0869316110865519E-2</c:v>
                </c:pt>
                <c:pt idx="7">
                  <c:v>3.9722588423766858E-2</c:v>
                </c:pt>
                <c:pt idx="8">
                  <c:v>3.6178843669378402E-2</c:v>
                </c:pt>
                <c:pt idx="9">
                  <c:v>3.2913149512085127E-2</c:v>
                </c:pt>
                <c:pt idx="10">
                  <c:v>3.0582622256943637E-2</c:v>
                </c:pt>
                <c:pt idx="11">
                  <c:v>2.741562528311281E-2</c:v>
                </c:pt>
                <c:pt idx="12">
                  <c:v>3.6899590737538901E-2</c:v>
                </c:pt>
                <c:pt idx="13">
                  <c:v>4.3299956330261402E-2</c:v>
                </c:pt>
                <c:pt idx="14">
                  <c:v>4.629627555332938E-2</c:v>
                </c:pt>
              </c:numCache>
            </c:numRef>
          </c:val>
          <c:smooth val="0"/>
        </c:ser>
        <c:ser>
          <c:idx val="0"/>
          <c:order val="1"/>
          <c:tx>
            <c:v>Comp. Belgacom</c:v>
          </c:tx>
          <c:spPr>
            <a:ln>
              <a:solidFill>
                <a:schemeClr val="bg2">
                  <a:lumMod val="50000"/>
                </a:schemeClr>
              </a:solidFill>
              <a:prstDash val="dash"/>
            </a:ln>
          </c:spPr>
          <c:marker>
            <c:symbol val="none"/>
          </c:marker>
          <c:val>
            <c:numRef>
              <c:f>CALCULATIONS!$FH$67:$FV$67</c:f>
              <c:numCache>
                <c:formatCode>0.0</c:formatCode>
                <c:ptCount val="15"/>
                <c:pt idx="0">
                  <c:v>-3.4984443151278022E-2</c:v>
                </c:pt>
                <c:pt idx="1">
                  <c:v>-3.3515555049091539E-2</c:v>
                </c:pt>
                <c:pt idx="2">
                  <c:v>-1.0799834914894113E-2</c:v>
                </c:pt>
                <c:pt idx="3">
                  <c:v>-8.0094890196029667E-3</c:v>
                </c:pt>
                <c:pt idx="4">
                  <c:v>2.5075752926952077E-2</c:v>
                </c:pt>
                <c:pt idx="5">
                  <c:v>3.2393275992809833E-2</c:v>
                </c:pt>
                <c:pt idx="6">
                  <c:v>2.8396409619487528E-2</c:v>
                </c:pt>
                <c:pt idx="7">
                  <c:v>3.0437640449388681E-2</c:v>
                </c:pt>
                <c:pt idx="8">
                  <c:v>4.1682741524149414E-2</c:v>
                </c:pt>
                <c:pt idx="9">
                  <c:v>4.5104082114725053E-2</c:v>
                </c:pt>
                <c:pt idx="10">
                  <c:v>4.5043487249770919E-2</c:v>
                </c:pt>
                <c:pt idx="11">
                  <c:v>4.4854510515156321E-2</c:v>
                </c:pt>
                <c:pt idx="12">
                  <c:v>5.6975314517347719E-2</c:v>
                </c:pt>
                <c:pt idx="13">
                  <c:v>5.6319854327664842E-2</c:v>
                </c:pt>
                <c:pt idx="14">
                  <c:v>5.4700406469866181E-2</c:v>
                </c:pt>
              </c:numCache>
            </c:numRef>
          </c:val>
          <c:smooth val="0"/>
        </c:ser>
        <c:ser>
          <c:idx val="3"/>
          <c:order val="2"/>
          <c:tx>
            <c:v>MOBISTAR</c:v>
          </c:tx>
          <c:spPr>
            <a:ln>
              <a:solidFill>
                <a:srgbClr val="C00000"/>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CALCULATIONS!$FH$47:$FV$47</c:f>
              <c:numCache>
                <c:formatCode>0.0</c:formatCode>
                <c:ptCount val="15"/>
                <c:pt idx="0">
                  <c:v>-2.0635425966268883E-3</c:v>
                </c:pt>
                <c:pt idx="1">
                  <c:v>3.6583337661431514E-2</c:v>
                </c:pt>
                <c:pt idx="2">
                  <c:v>7.4915394117814671E-2</c:v>
                </c:pt>
                <c:pt idx="3">
                  <c:v>6.2918297534406697E-2</c:v>
                </c:pt>
                <c:pt idx="4">
                  <c:v>5.0579023112196531E-2</c:v>
                </c:pt>
                <c:pt idx="5">
                  <c:v>2.0566852816201298E-2</c:v>
                </c:pt>
                <c:pt idx="6">
                  <c:v>-9.2171727322325481E-3</c:v>
                </c:pt>
                <c:pt idx="7">
                  <c:v>5.2533333683315142E-2</c:v>
                </c:pt>
                <c:pt idx="8">
                  <c:v>0.1134746336887682</c:v>
                </c:pt>
                <c:pt idx="9">
                  <c:v>0.16383797773174003</c:v>
                </c:pt>
                <c:pt idx="10">
                  <c:v>0.21651033520240404</c:v>
                </c:pt>
                <c:pt idx="11">
                  <c:v>0.25223071215697468</c:v>
                </c:pt>
                <c:pt idx="12">
                  <c:v>0.28950659439877091</c:v>
                </c:pt>
                <c:pt idx="13">
                  <c:v>0.29789382482691584</c:v>
                </c:pt>
                <c:pt idx="14">
                  <c:v>0.30605871844363941</c:v>
                </c:pt>
              </c:numCache>
            </c:numRef>
          </c:val>
          <c:smooth val="0"/>
        </c:ser>
        <c:ser>
          <c:idx val="4"/>
          <c:order val="3"/>
          <c:tx>
            <c:v>TELENET</c:v>
          </c:tx>
          <c:spPr>
            <a:ln w="28575">
              <a:solidFill>
                <a:srgbClr val="FFC000"/>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CALCULATIONS!$FH$48:$FV$48</c:f>
              <c:numCache>
                <c:formatCode>0.0</c:formatCode>
                <c:ptCount val="15"/>
                <c:pt idx="0">
                  <c:v>-2.4320497336773883E-2</c:v>
                </c:pt>
                <c:pt idx="1">
                  <c:v>-2.3943283527247061E-2</c:v>
                </c:pt>
                <c:pt idx="2">
                  <c:v>-1.9305577073880364E-2</c:v>
                </c:pt>
                <c:pt idx="3">
                  <c:v>-2.2663331370710971E-2</c:v>
                </c:pt>
                <c:pt idx="4">
                  <c:v>-2.8118290847910288E-2</c:v>
                </c:pt>
                <c:pt idx="5">
                  <c:v>-3.1749437559291493E-2</c:v>
                </c:pt>
                <c:pt idx="6">
                  <c:v>-2.7925580036685105E-2</c:v>
                </c:pt>
                <c:pt idx="7">
                  <c:v>-3.0702686581140171E-2</c:v>
                </c:pt>
                <c:pt idx="8">
                  <c:v>-2.8254562278386075E-2</c:v>
                </c:pt>
                <c:pt idx="9">
                  <c:v>-2.6853084767516577E-2</c:v>
                </c:pt>
                <c:pt idx="10">
                  <c:v>-2.9727504945467942E-2</c:v>
                </c:pt>
                <c:pt idx="11">
                  <c:v>-2.7267462979130741E-2</c:v>
                </c:pt>
                <c:pt idx="12">
                  <c:v>-2.6261662987320022E-2</c:v>
                </c:pt>
                <c:pt idx="13">
                  <c:v>-2.8551459617201402E-2</c:v>
                </c:pt>
                <c:pt idx="14">
                  <c:v>-2.333301040040503E-2</c:v>
                </c:pt>
              </c:numCache>
            </c:numRef>
          </c:val>
          <c:smooth val="0"/>
        </c:ser>
        <c:dLbls>
          <c:showLegendKey val="0"/>
          <c:showVal val="0"/>
          <c:showCatName val="0"/>
          <c:showSerName val="0"/>
          <c:showPercent val="0"/>
          <c:showBubbleSize val="0"/>
        </c:dLbls>
        <c:marker val="1"/>
        <c:smooth val="0"/>
        <c:axId val="234822656"/>
        <c:axId val="234828544"/>
      </c:lineChart>
      <c:dateAx>
        <c:axId val="234822656"/>
        <c:scaling>
          <c:orientation val="minMax"/>
        </c:scaling>
        <c:delete val="0"/>
        <c:axPos val="b"/>
        <c:numFmt formatCode="mm/yyyy;@" sourceLinked="0"/>
        <c:majorTickMark val="out"/>
        <c:minorTickMark val="none"/>
        <c:tickLblPos val="nextTo"/>
        <c:crossAx val="234828544"/>
        <c:crosses val="autoZero"/>
        <c:auto val="1"/>
        <c:lblOffset val="100"/>
        <c:baseTimeUnit val="months"/>
        <c:majorUnit val="6"/>
        <c:majorTimeUnit val="months"/>
      </c:dateAx>
      <c:valAx>
        <c:axId val="234828544"/>
        <c:scaling>
          <c:orientation val="minMax"/>
        </c:scaling>
        <c:delete val="0"/>
        <c:axPos val="l"/>
        <c:majorGridlines>
          <c:spPr>
            <a:ln>
              <a:solidFill>
                <a:schemeClr val="bg1">
                  <a:lumMod val="50000"/>
                </a:schemeClr>
              </a:solidFill>
              <a:prstDash val="dash"/>
            </a:ln>
          </c:spPr>
        </c:majorGridlines>
        <c:numFmt formatCode="0.0" sourceLinked="0"/>
        <c:majorTickMark val="out"/>
        <c:minorTickMark val="none"/>
        <c:tickLblPos val="nextTo"/>
        <c:crossAx val="234822656"/>
        <c:crosses val="autoZero"/>
        <c:crossBetween val="between"/>
      </c:valAx>
      <c:spPr>
        <a:noFill/>
      </c:spPr>
    </c:plotArea>
    <c:legend>
      <c:legendPos val="b"/>
      <c:layout>
        <c:manualLayout>
          <c:xMode val="edge"/>
          <c:yMode val="edge"/>
          <c:x val="4.9999929486415094E-2"/>
          <c:y val="0.85266829723926085"/>
          <c:w val="0.89999987905509693"/>
          <c:h val="0.1473317027607392"/>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640196598142611E-2"/>
          <c:y val="8.7625928723430571E-2"/>
          <c:w val="0.88356875207720942"/>
          <c:h val="0.73397654917589061"/>
        </c:manualLayout>
      </c:layout>
      <c:lineChart>
        <c:grouping val="standard"/>
        <c:varyColors val="0"/>
        <c:ser>
          <c:idx val="2"/>
          <c:order val="0"/>
          <c:tx>
            <c:v>BELGACOM</c:v>
          </c:tx>
          <c:spPr>
            <a:ln>
              <a:solidFill>
                <a:schemeClr val="tx1"/>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CALCULATIONS!$FH$46:$FV$46</c:f>
              <c:numCache>
                <c:formatCode>0.0</c:formatCode>
                <c:ptCount val="15"/>
                <c:pt idx="0">
                  <c:v>3.1246324913393408E-2</c:v>
                </c:pt>
                <c:pt idx="1">
                  <c:v>3.3955781111828731E-2</c:v>
                </c:pt>
                <c:pt idx="2">
                  <c:v>3.7078530286752454E-2</c:v>
                </c:pt>
                <c:pt idx="3">
                  <c:v>3.5612542351548093E-2</c:v>
                </c:pt>
                <c:pt idx="4">
                  <c:v>4.3855913951364123E-2</c:v>
                </c:pt>
                <c:pt idx="5">
                  <c:v>3.0050522938426028E-2</c:v>
                </c:pt>
                <c:pt idx="6">
                  <c:v>3.0869316110865519E-2</c:v>
                </c:pt>
                <c:pt idx="7">
                  <c:v>3.9722588423766858E-2</c:v>
                </c:pt>
                <c:pt idx="8">
                  <c:v>3.6178843669378402E-2</c:v>
                </c:pt>
                <c:pt idx="9">
                  <c:v>3.2913149512085127E-2</c:v>
                </c:pt>
                <c:pt idx="10">
                  <c:v>3.0582622256943637E-2</c:v>
                </c:pt>
                <c:pt idx="11">
                  <c:v>2.741562528311281E-2</c:v>
                </c:pt>
                <c:pt idx="12">
                  <c:v>3.6899590737538901E-2</c:v>
                </c:pt>
                <c:pt idx="13">
                  <c:v>4.3299956330261402E-2</c:v>
                </c:pt>
                <c:pt idx="14">
                  <c:v>4.629627555332938E-2</c:v>
                </c:pt>
              </c:numCache>
            </c:numRef>
          </c:val>
          <c:smooth val="0"/>
        </c:ser>
        <c:ser>
          <c:idx val="0"/>
          <c:order val="1"/>
          <c:tx>
            <c:v>Belgacom's Peers</c:v>
          </c:tx>
          <c:spPr>
            <a:ln>
              <a:solidFill>
                <a:schemeClr val="bg2">
                  <a:lumMod val="50000"/>
                </a:schemeClr>
              </a:solidFill>
              <a:prstDash val="dash"/>
            </a:ln>
          </c:spPr>
          <c:marker>
            <c:symbol val="none"/>
          </c:marker>
          <c:val>
            <c:numRef>
              <c:f>CALCULATIONS!$FH$67:$FV$67</c:f>
              <c:numCache>
                <c:formatCode>0.0</c:formatCode>
                <c:ptCount val="15"/>
                <c:pt idx="0">
                  <c:v>-3.4984443151278022E-2</c:v>
                </c:pt>
                <c:pt idx="1">
                  <c:v>-3.3515555049091539E-2</c:v>
                </c:pt>
                <c:pt idx="2">
                  <c:v>-1.0799834914894113E-2</c:v>
                </c:pt>
                <c:pt idx="3">
                  <c:v>-8.0094890196029667E-3</c:v>
                </c:pt>
                <c:pt idx="4">
                  <c:v>2.5075752926952077E-2</c:v>
                </c:pt>
                <c:pt idx="5">
                  <c:v>3.2393275992809833E-2</c:v>
                </c:pt>
                <c:pt idx="6">
                  <c:v>2.8396409619487528E-2</c:v>
                </c:pt>
                <c:pt idx="7">
                  <c:v>3.0437640449388681E-2</c:v>
                </c:pt>
                <c:pt idx="8">
                  <c:v>4.1682741524149414E-2</c:v>
                </c:pt>
                <c:pt idx="9">
                  <c:v>4.5104082114725053E-2</c:v>
                </c:pt>
                <c:pt idx="10">
                  <c:v>4.5043487249770919E-2</c:v>
                </c:pt>
                <c:pt idx="11">
                  <c:v>4.4854510515156321E-2</c:v>
                </c:pt>
                <c:pt idx="12">
                  <c:v>5.6975314517347719E-2</c:v>
                </c:pt>
                <c:pt idx="13">
                  <c:v>5.6319854327664842E-2</c:v>
                </c:pt>
                <c:pt idx="14">
                  <c:v>5.4700406469866181E-2</c:v>
                </c:pt>
              </c:numCache>
            </c:numRef>
          </c:val>
          <c:smooth val="0"/>
        </c:ser>
        <c:ser>
          <c:idx val="3"/>
          <c:order val="2"/>
          <c:tx>
            <c:v>MOBISTAR</c:v>
          </c:tx>
          <c:spPr>
            <a:ln>
              <a:solidFill>
                <a:srgbClr val="C00000"/>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CALCULATIONS!$FH$47:$FV$47</c:f>
              <c:numCache>
                <c:formatCode>0.0</c:formatCode>
                <c:ptCount val="15"/>
                <c:pt idx="0">
                  <c:v>-2.0635425966268883E-3</c:v>
                </c:pt>
                <c:pt idx="1">
                  <c:v>3.6583337661431514E-2</c:v>
                </c:pt>
                <c:pt idx="2">
                  <c:v>7.4915394117814671E-2</c:v>
                </c:pt>
                <c:pt idx="3">
                  <c:v>6.2918297534406697E-2</c:v>
                </c:pt>
                <c:pt idx="4">
                  <c:v>5.0579023112196531E-2</c:v>
                </c:pt>
                <c:pt idx="5">
                  <c:v>2.0566852816201298E-2</c:v>
                </c:pt>
                <c:pt idx="6">
                  <c:v>-9.2171727322325481E-3</c:v>
                </c:pt>
                <c:pt idx="7">
                  <c:v>5.2533333683315142E-2</c:v>
                </c:pt>
                <c:pt idx="8">
                  <c:v>0.1134746336887682</c:v>
                </c:pt>
                <c:pt idx="9">
                  <c:v>0.16383797773174003</c:v>
                </c:pt>
                <c:pt idx="10">
                  <c:v>0.21651033520240404</c:v>
                </c:pt>
                <c:pt idx="11">
                  <c:v>0.25223071215697468</c:v>
                </c:pt>
                <c:pt idx="12">
                  <c:v>0.28950659439877091</c:v>
                </c:pt>
                <c:pt idx="13">
                  <c:v>0.29789382482691584</c:v>
                </c:pt>
                <c:pt idx="14">
                  <c:v>0.30605871844363941</c:v>
                </c:pt>
              </c:numCache>
            </c:numRef>
          </c:val>
          <c:smooth val="0"/>
        </c:ser>
        <c:ser>
          <c:idx val="4"/>
          <c:order val="3"/>
          <c:tx>
            <c:v>TELENET</c:v>
          </c:tx>
          <c:spPr>
            <a:ln w="28575">
              <a:solidFill>
                <a:srgbClr val="FFC000"/>
              </a:solidFill>
            </a:ln>
          </c:spPr>
          <c:marker>
            <c:symbol val="none"/>
          </c:marker>
          <c:cat>
            <c:numRef>
              <c:f>CALCULATIONS!$W$2:$AK$2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CALCULATIONS!$FH$48:$FV$48</c:f>
              <c:numCache>
                <c:formatCode>0.0</c:formatCode>
                <c:ptCount val="15"/>
                <c:pt idx="0">
                  <c:v>-2.4320497336773883E-2</c:v>
                </c:pt>
                <c:pt idx="1">
                  <c:v>-2.3943283527247061E-2</c:v>
                </c:pt>
                <c:pt idx="2">
                  <c:v>-1.9305577073880364E-2</c:v>
                </c:pt>
                <c:pt idx="3">
                  <c:v>-2.2663331370710971E-2</c:v>
                </c:pt>
                <c:pt idx="4">
                  <c:v>-2.8118290847910288E-2</c:v>
                </c:pt>
                <c:pt idx="5">
                  <c:v>-3.1749437559291493E-2</c:v>
                </c:pt>
                <c:pt idx="6">
                  <c:v>-2.7925580036685105E-2</c:v>
                </c:pt>
                <c:pt idx="7">
                  <c:v>-3.0702686581140171E-2</c:v>
                </c:pt>
                <c:pt idx="8">
                  <c:v>-2.8254562278386075E-2</c:v>
                </c:pt>
                <c:pt idx="9">
                  <c:v>-2.6853084767516577E-2</c:v>
                </c:pt>
                <c:pt idx="10">
                  <c:v>-2.9727504945467942E-2</c:v>
                </c:pt>
                <c:pt idx="11">
                  <c:v>-2.7267462979130741E-2</c:v>
                </c:pt>
                <c:pt idx="12">
                  <c:v>-2.6261662987320022E-2</c:v>
                </c:pt>
                <c:pt idx="13">
                  <c:v>-2.8551459617201402E-2</c:v>
                </c:pt>
                <c:pt idx="14">
                  <c:v>-2.333301040040503E-2</c:v>
                </c:pt>
              </c:numCache>
            </c:numRef>
          </c:val>
          <c:smooth val="0"/>
        </c:ser>
        <c:dLbls>
          <c:showLegendKey val="0"/>
          <c:showVal val="0"/>
          <c:showCatName val="0"/>
          <c:showSerName val="0"/>
          <c:showPercent val="0"/>
          <c:showBubbleSize val="0"/>
        </c:dLbls>
        <c:marker val="1"/>
        <c:smooth val="0"/>
        <c:axId val="234867712"/>
        <c:axId val="234873600"/>
      </c:lineChart>
      <c:dateAx>
        <c:axId val="234867712"/>
        <c:scaling>
          <c:orientation val="minMax"/>
        </c:scaling>
        <c:delete val="0"/>
        <c:axPos val="b"/>
        <c:numFmt formatCode="mm/yyyy;@" sourceLinked="0"/>
        <c:majorTickMark val="out"/>
        <c:minorTickMark val="none"/>
        <c:tickLblPos val="nextTo"/>
        <c:crossAx val="234873600"/>
        <c:crosses val="autoZero"/>
        <c:auto val="1"/>
        <c:lblOffset val="100"/>
        <c:baseTimeUnit val="months"/>
        <c:majorUnit val="6"/>
        <c:majorTimeUnit val="months"/>
      </c:dateAx>
      <c:valAx>
        <c:axId val="234873600"/>
        <c:scaling>
          <c:orientation val="minMax"/>
        </c:scaling>
        <c:delete val="0"/>
        <c:axPos val="l"/>
        <c:majorGridlines>
          <c:spPr>
            <a:ln>
              <a:solidFill>
                <a:schemeClr val="bg1">
                  <a:lumMod val="50000"/>
                </a:schemeClr>
              </a:solidFill>
              <a:prstDash val="dash"/>
            </a:ln>
          </c:spPr>
        </c:majorGridlines>
        <c:numFmt formatCode="0.0" sourceLinked="0"/>
        <c:majorTickMark val="out"/>
        <c:minorTickMark val="none"/>
        <c:tickLblPos val="nextTo"/>
        <c:crossAx val="234867712"/>
        <c:crosses val="autoZero"/>
        <c:crossBetween val="between"/>
      </c:valAx>
      <c:spPr>
        <a:noFill/>
      </c:spPr>
    </c:plotArea>
    <c:legend>
      <c:legendPos val="b"/>
      <c:layout>
        <c:manualLayout>
          <c:xMode val="edge"/>
          <c:yMode val="edge"/>
          <c:x val="4.9999929486415094E-2"/>
          <c:y val="0.85266829723926085"/>
          <c:w val="0.89999987905509715"/>
          <c:h val="0.1473317027607392"/>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71011484980344E-2"/>
          <c:y val="3.6736162939592948E-2"/>
          <c:w val="0.8940986525350012"/>
          <c:h val="0.75957471730010884"/>
        </c:manualLayout>
      </c:layout>
      <c:lineChart>
        <c:grouping val="standard"/>
        <c:varyColors val="0"/>
        <c:ser>
          <c:idx val="3"/>
          <c:order val="0"/>
          <c:tx>
            <c:strRef>
              <c:f>CALCULATIONS!$C$8</c:f>
              <c:strCache>
                <c:ptCount val="1"/>
                <c:pt idx="0">
                  <c:v>MOBISTAR</c:v>
                </c:pt>
              </c:strCache>
            </c:strRef>
          </c:tx>
          <c:spPr>
            <a:ln>
              <a:solidFill>
                <a:srgbClr val="C00000"/>
              </a:solidFill>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CALCULATIONS!$NN$47:$OB$47</c:f>
              <c:numCache>
                <c:formatCode>0.0</c:formatCode>
                <c:ptCount val="15"/>
                <c:pt idx="0">
                  <c:v>1.2073688972374654</c:v>
                </c:pt>
                <c:pt idx="1">
                  <c:v>1.2465248276448195</c:v>
                </c:pt>
                <c:pt idx="2">
                  <c:v>1.2852996616201011</c:v>
                </c:pt>
                <c:pt idx="3">
                  <c:v>1.3003886396800928</c:v>
                </c:pt>
                <c:pt idx="4">
                  <c:v>1.3136426316730332</c:v>
                </c:pt>
                <c:pt idx="5">
                  <c:v>1.3414825976373252</c:v>
                </c:pt>
                <c:pt idx="6">
                  <c:v>1.3688664009344598</c:v>
                </c:pt>
                <c:pt idx="7">
                  <c:v>1.3521897255895834</c:v>
                </c:pt>
                <c:pt idx="8">
                  <c:v>1.3369242875294411</c:v>
                </c:pt>
                <c:pt idx="9">
                  <c:v>1.4361604953687481</c:v>
                </c:pt>
                <c:pt idx="10">
                  <c:v>1.544975264772025</c:v>
                </c:pt>
                <c:pt idx="11">
                  <c:v>1.543202041089526</c:v>
                </c:pt>
                <c:pt idx="12">
                  <c:v>1.545718716126997</c:v>
                </c:pt>
                <c:pt idx="13">
                  <c:v>1.715098509561406</c:v>
                </c:pt>
                <c:pt idx="14">
                  <c:v>1.9015264130947394</c:v>
                </c:pt>
              </c:numCache>
            </c:numRef>
          </c:val>
          <c:smooth val="0"/>
        </c:ser>
        <c:ser>
          <c:idx val="0"/>
          <c:order val="1"/>
          <c:tx>
            <c:strRef>
              <c:f>CALCULATIONS!$C$26</c:f>
              <c:strCache>
                <c:ptCount val="1"/>
                <c:pt idx="0">
                  <c:v>SNC</c:v>
                </c:pt>
              </c:strCache>
            </c:strRef>
          </c:tx>
          <c:spPr>
            <a:ln w="28575">
              <a:solidFill>
                <a:srgbClr val="C00000"/>
              </a:solidFill>
              <a:prstDash val="dash"/>
            </a:ln>
          </c:spPr>
          <c:marker>
            <c:symbol val="none"/>
          </c:marker>
          <c:val>
            <c:numRef>
              <c:f>CALCULATIONS!$NN$65:$OB$65</c:f>
              <c:numCache>
                <c:formatCode>0.0</c:formatCode>
                <c:ptCount val="15"/>
                <c:pt idx="0">
                  <c:v>2.7930094739411575</c:v>
                </c:pt>
                <c:pt idx="1">
                  <c:v>2.631693131311597</c:v>
                </c:pt>
                <c:pt idx="2">
                  <c:v>2.5731879581773129</c:v>
                </c:pt>
                <c:pt idx="3">
                  <c:v>2.6156810437788787</c:v>
                </c:pt>
                <c:pt idx="4">
                  <c:v>2.5563845743262901</c:v>
                </c:pt>
                <c:pt idx="5">
                  <c:v>2.6748349184465661</c:v>
                </c:pt>
                <c:pt idx="6">
                  <c:v>2.6882205672309096</c:v>
                </c:pt>
                <c:pt idx="7">
                  <c:v>2.6808228202666102</c:v>
                </c:pt>
                <c:pt idx="8">
                  <c:v>2.4960555043102537</c:v>
                </c:pt>
                <c:pt idx="9">
                  <c:v>2.3391924304519285</c:v>
                </c:pt>
                <c:pt idx="10">
                  <c:v>2.335636367730122</c:v>
                </c:pt>
                <c:pt idx="11">
                  <c:v>2.045768028220647</c:v>
                </c:pt>
                <c:pt idx="12">
                  <c:v>2.1789058815746305</c:v>
                </c:pt>
                <c:pt idx="13">
                  <c:v>2.0996583081835922</c:v>
                </c:pt>
                <c:pt idx="14">
                  <c:v>2.0854531506487364</c:v>
                </c:pt>
              </c:numCache>
            </c:numRef>
          </c:val>
          <c:smooth val="0"/>
        </c:ser>
        <c:ser>
          <c:idx val="16"/>
          <c:order val="2"/>
          <c:tx>
            <c:strRef>
              <c:f>CALCULATIONS!$C$19</c:f>
              <c:strCache>
                <c:ptCount val="1"/>
                <c:pt idx="0">
                  <c:v>TPS</c:v>
                </c:pt>
              </c:strCache>
            </c:strRef>
          </c:tx>
          <c:spPr>
            <a:ln w="28575">
              <a:solidFill>
                <a:schemeClr val="tx1"/>
              </a:solidFill>
              <a:prstDash val="sys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CALCULATIONS!$NN$58:$OB$58</c:f>
              <c:numCache>
                <c:formatCode>0.0</c:formatCode>
                <c:ptCount val="15"/>
                <c:pt idx="0">
                  <c:v>1.2811942146686697</c:v>
                </c:pt>
                <c:pt idx="1">
                  <c:v>1.2830128715601152</c:v>
                </c:pt>
                <c:pt idx="2">
                  <c:v>1.3027443216310544</c:v>
                </c:pt>
                <c:pt idx="3">
                  <c:v>1.3018700071951803</c:v>
                </c:pt>
                <c:pt idx="4">
                  <c:v>1.273707371252627</c:v>
                </c:pt>
                <c:pt idx="5">
                  <c:v>1.3237395965283134</c:v>
                </c:pt>
                <c:pt idx="6">
                  <c:v>1.3909341860092463</c:v>
                </c:pt>
                <c:pt idx="7">
                  <c:v>1.2126734564446415</c:v>
                </c:pt>
                <c:pt idx="8">
                  <c:v>1.1948617468126255</c:v>
                </c:pt>
                <c:pt idx="9">
                  <c:v>1.216215509847316</c:v>
                </c:pt>
                <c:pt idx="10">
                  <c:v>1.1338061957043604</c:v>
                </c:pt>
                <c:pt idx="11">
                  <c:v>1.3548414999495155</c:v>
                </c:pt>
                <c:pt idx="12">
                  <c:v>1.392045416028284</c:v>
                </c:pt>
                <c:pt idx="13">
                  <c:v>1.3978878422812229</c:v>
                </c:pt>
                <c:pt idx="14">
                  <c:v>1.4457059049561294</c:v>
                </c:pt>
              </c:numCache>
            </c:numRef>
          </c:val>
          <c:smooth val="0"/>
        </c:ser>
        <c:ser>
          <c:idx val="1"/>
          <c:order val="3"/>
          <c:tx>
            <c:strRef>
              <c:f>CALCULATIONS!$C$13</c:f>
              <c:strCache>
                <c:ptCount val="1"/>
                <c:pt idx="0">
                  <c:v>ILD</c:v>
                </c:pt>
              </c:strCache>
            </c:strRef>
          </c:tx>
          <c:spPr>
            <a:ln w="22225">
              <a:solidFill>
                <a:srgbClr val="FFC000"/>
              </a:solidFill>
              <a:prstDash val="dash"/>
            </a:ln>
          </c:spPr>
          <c:marker>
            <c:symbol val="none"/>
          </c:marker>
          <c:val>
            <c:numRef>
              <c:f>CALCULATIONS!$NN$52:$OB$52</c:f>
              <c:numCache>
                <c:formatCode>0.0</c:formatCode>
                <c:ptCount val="15"/>
                <c:pt idx="0">
                  <c:v>1.24619442158067</c:v>
                </c:pt>
                <c:pt idx="1">
                  <c:v>1.4700688372321931</c:v>
                </c:pt>
                <c:pt idx="2">
                  <c:v>1.60426558606956</c:v>
                </c:pt>
                <c:pt idx="3">
                  <c:v>1.3916381725697906</c:v>
                </c:pt>
                <c:pt idx="4">
                  <c:v>1.1733747472752558</c:v>
                </c:pt>
                <c:pt idx="5">
                  <c:v>1.2393176958664498</c:v>
                </c:pt>
                <c:pt idx="6">
                  <c:v>1.3023005347749153</c:v>
                </c:pt>
                <c:pt idx="7">
                  <c:v>1.5570234043172304</c:v>
                </c:pt>
                <c:pt idx="8">
                  <c:v>1.7847853386339634</c:v>
                </c:pt>
                <c:pt idx="9">
                  <c:v>1.8415648713702955</c:v>
                </c:pt>
                <c:pt idx="10">
                  <c:v>1.8981552639439561</c:v>
                </c:pt>
                <c:pt idx="11">
                  <c:v>1.9946358940388176</c:v>
                </c:pt>
                <c:pt idx="12">
                  <c:v>2.0829531980701024</c:v>
                </c:pt>
                <c:pt idx="13">
                  <c:v>1.7258378941331214</c:v>
                </c:pt>
                <c:pt idx="14">
                  <c:v>1.4892026320099023</c:v>
                </c:pt>
              </c:numCache>
            </c:numRef>
          </c:val>
          <c:smooth val="0"/>
        </c:ser>
        <c:ser>
          <c:idx val="17"/>
          <c:order val="4"/>
          <c:tx>
            <c:strRef>
              <c:f>CALCULATIONS!$C$24</c:f>
              <c:strCache>
                <c:ptCount val="1"/>
                <c:pt idx="0">
                  <c:v>TEL2</c:v>
                </c:pt>
              </c:strCache>
            </c:strRef>
          </c:tx>
          <c:spPr>
            <a:ln w="22225">
              <a:solidFill>
                <a:schemeClr val="bg2">
                  <a:lumMod val="50000"/>
                </a:schemeClr>
              </a:solidFill>
              <a:prstDash val="dash"/>
            </a:ln>
          </c:spPr>
          <c:marker>
            <c:symbol val="none"/>
          </c:marker>
          <c:cat>
            <c:numRef>
              <c:f>CALCULATIONS!$GY$2:$HM$2</c:f>
              <c:numCache>
                <c:formatCode>m/d/yyyy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CALCULATIONS!$NN$63:$OB$63</c:f>
              <c:numCache>
                <c:formatCode>0.0</c:formatCode>
                <c:ptCount val="15"/>
                <c:pt idx="0">
                  <c:v>1.0407162855366883</c:v>
                </c:pt>
                <c:pt idx="1">
                  <c:v>1.1229760312754102</c:v>
                </c:pt>
                <c:pt idx="2">
                  <c:v>1.1396686992136211</c:v>
                </c:pt>
                <c:pt idx="3">
                  <c:v>0.97044459203164424</c:v>
                </c:pt>
                <c:pt idx="4">
                  <c:v>0.81584251821841902</c:v>
                </c:pt>
                <c:pt idx="5">
                  <c:v>0.76535669571282439</c:v>
                </c:pt>
                <c:pt idx="6">
                  <c:v>1.9708789105837119</c:v>
                </c:pt>
                <c:pt idx="7">
                  <c:v>1.8720539713810258</c:v>
                </c:pt>
                <c:pt idx="8">
                  <c:v>1.7333385231011276</c:v>
                </c:pt>
                <c:pt idx="9">
                  <c:v>1.82527551828394</c:v>
                </c:pt>
                <c:pt idx="10">
                  <c:v>2.6458410900788696</c:v>
                </c:pt>
                <c:pt idx="11">
                  <c:v>2.5621702844444512</c:v>
                </c:pt>
                <c:pt idx="12">
                  <c:v>2.6565846380540186</c:v>
                </c:pt>
                <c:pt idx="13">
                  <c:v>2.0307043458305896</c:v>
                </c:pt>
                <c:pt idx="14">
                  <c:v>1.835715357616891</c:v>
                </c:pt>
              </c:numCache>
            </c:numRef>
          </c:val>
          <c:smooth val="0"/>
        </c:ser>
        <c:dLbls>
          <c:showLegendKey val="0"/>
          <c:showVal val="0"/>
          <c:showCatName val="0"/>
          <c:showSerName val="0"/>
          <c:showPercent val="0"/>
          <c:showBubbleSize val="0"/>
        </c:dLbls>
        <c:marker val="1"/>
        <c:smooth val="0"/>
        <c:axId val="234590208"/>
        <c:axId val="234591744"/>
      </c:lineChart>
      <c:dateAx>
        <c:axId val="234590208"/>
        <c:scaling>
          <c:orientation val="minMax"/>
        </c:scaling>
        <c:delete val="0"/>
        <c:axPos val="b"/>
        <c:numFmt formatCode="[$-409]mmm\-yy;@" sourceLinked="0"/>
        <c:majorTickMark val="out"/>
        <c:minorTickMark val="none"/>
        <c:tickLblPos val="nextTo"/>
        <c:crossAx val="234591744"/>
        <c:crosses val="autoZero"/>
        <c:auto val="1"/>
        <c:lblOffset val="100"/>
        <c:baseTimeUnit val="months"/>
        <c:majorUnit val="6"/>
        <c:majorTimeUnit val="months"/>
      </c:dateAx>
      <c:valAx>
        <c:axId val="234591744"/>
        <c:scaling>
          <c:orientation val="minMax"/>
        </c:scaling>
        <c:delete val="0"/>
        <c:axPos val="l"/>
        <c:majorGridlines>
          <c:spPr>
            <a:ln>
              <a:solidFill>
                <a:schemeClr val="bg1">
                  <a:lumMod val="50000"/>
                </a:schemeClr>
              </a:solidFill>
              <a:prstDash val="dash"/>
            </a:ln>
          </c:spPr>
        </c:majorGridlines>
        <c:numFmt formatCode="0.0" sourceLinked="1"/>
        <c:majorTickMark val="out"/>
        <c:minorTickMark val="none"/>
        <c:tickLblPos val="nextTo"/>
        <c:crossAx val="234590208"/>
        <c:crosses val="autoZero"/>
        <c:crossBetween val="between"/>
      </c:valAx>
      <c:spPr>
        <a:noFill/>
        <a:ln>
          <a:noFill/>
        </a:ln>
      </c:spPr>
    </c:plotArea>
    <c:legend>
      <c:legendPos val="b"/>
      <c:layout>
        <c:manualLayout>
          <c:xMode val="edge"/>
          <c:yMode val="edge"/>
          <c:x val="0.10052266102569084"/>
          <c:y val="0.91748042904282956"/>
          <c:w val="0.83257384982039051"/>
          <c:h val="6.0237189902266314E-2"/>
        </c:manualLayout>
      </c:layout>
      <c:overlay val="0"/>
    </c:legend>
    <c:plotVisOnly val="1"/>
    <c:dispBlanksAs val="gap"/>
    <c:showDLblsOverMax val="0"/>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v>D/Ebitda</c:v>
          </c:tx>
          <c:spPr>
            <a:solidFill>
              <a:schemeClr val="bg2">
                <a:lumMod val="75000"/>
              </a:schemeClr>
            </a:solidFill>
          </c:spPr>
          <c:invertIfNegative val="0"/>
          <c:cat>
            <c:strRef>
              <c:f>'GEARINGS, Eb&amp;E'!$AI$74:$AI$96</c:f>
              <c:strCache>
                <c:ptCount val="23"/>
                <c:pt idx="0">
                  <c:v>TELENET</c:v>
                </c:pt>
                <c:pt idx="1">
                  <c:v>TIT</c:v>
                </c:pt>
                <c:pt idx="2">
                  <c:v>PT</c:v>
                </c:pt>
                <c:pt idx="3">
                  <c:v>TKA</c:v>
                </c:pt>
                <c:pt idx="4">
                  <c:v>SCM</c:v>
                </c:pt>
                <c:pt idx="5">
                  <c:v>BGC Peers</c:v>
                </c:pt>
                <c:pt idx="6">
                  <c:v>OTE</c:v>
                </c:pt>
                <c:pt idx="7">
                  <c:v>TLSN</c:v>
                </c:pt>
                <c:pt idx="8">
                  <c:v>TEF</c:v>
                </c:pt>
                <c:pt idx="9">
                  <c:v>ELI</c:v>
                </c:pt>
                <c:pt idx="10">
                  <c:v>KPN</c:v>
                </c:pt>
                <c:pt idx="11">
                  <c:v>ORA</c:v>
                </c:pt>
                <c:pt idx="12">
                  <c:v>VOD</c:v>
                </c:pt>
                <c:pt idx="13">
                  <c:v>BELGACOM</c:v>
                </c:pt>
                <c:pt idx="14">
                  <c:v>TPS</c:v>
                </c:pt>
                <c:pt idx="15">
                  <c:v>TDC</c:v>
                </c:pt>
                <c:pt idx="16">
                  <c:v>DT</c:v>
                </c:pt>
                <c:pt idx="17">
                  <c:v>ILD</c:v>
                </c:pt>
                <c:pt idx="18">
                  <c:v>TEL</c:v>
                </c:pt>
                <c:pt idx="19">
                  <c:v>SNC</c:v>
                </c:pt>
                <c:pt idx="20">
                  <c:v>TEL2</c:v>
                </c:pt>
                <c:pt idx="21">
                  <c:v>BT</c:v>
                </c:pt>
                <c:pt idx="22">
                  <c:v>MOBISTAR</c:v>
                </c:pt>
              </c:strCache>
            </c:strRef>
          </c:cat>
          <c:val>
            <c:numRef>
              <c:f>'GEARINGS, Eb&amp;E'!$AJ$74:$AJ$96</c:f>
              <c:numCache>
                <c:formatCode>0.0</c:formatCode>
                <c:ptCount val="23"/>
                <c:pt idx="0">
                  <c:v>3.6874279096722566</c:v>
                </c:pt>
                <c:pt idx="1">
                  <c:v>2.8820645123777022</c:v>
                </c:pt>
                <c:pt idx="2">
                  <c:v>3.3820630739244848</c:v>
                </c:pt>
                <c:pt idx="3">
                  <c:v>2.1523540323300847</c:v>
                </c:pt>
                <c:pt idx="4">
                  <c:v>2.0663267639403311</c:v>
                </c:pt>
                <c:pt idx="5">
                  <c:v>2.2241040408323816</c:v>
                </c:pt>
                <c:pt idx="6">
                  <c:v>2.0430730679441607</c:v>
                </c:pt>
                <c:pt idx="7">
                  <c:v>1.717850736111429</c:v>
                </c:pt>
                <c:pt idx="8">
                  <c:v>2.5964072455904952</c:v>
                </c:pt>
                <c:pt idx="9">
                  <c:v>1.6210408787057859</c:v>
                </c:pt>
                <c:pt idx="10">
                  <c:v>2.4419808802307674</c:v>
                </c:pt>
                <c:pt idx="11">
                  <c:v>2.279200346845534</c:v>
                </c:pt>
                <c:pt idx="12">
                  <c:v>1.8495966078439008</c:v>
                </c:pt>
                <c:pt idx="13">
                  <c:v>0.81576544056169398</c:v>
                </c:pt>
                <c:pt idx="14">
                  <c:v>0.67358101241132673</c:v>
                </c:pt>
                <c:pt idx="15">
                  <c:v>2.2834559023175789</c:v>
                </c:pt>
                <c:pt idx="16">
                  <c:v>2.3343928573367374</c:v>
                </c:pt>
                <c:pt idx="17">
                  <c:v>1.0573612730295383</c:v>
                </c:pt>
                <c:pt idx="18">
                  <c:v>0.82480714798491916</c:v>
                </c:pt>
                <c:pt idx="19">
                  <c:v>1.3774881488921666</c:v>
                </c:pt>
                <c:pt idx="20">
                  <c:v>1.078796250705039</c:v>
                </c:pt>
                <c:pt idx="21">
                  <c:v>1.60152453729338</c:v>
                </c:pt>
                <c:pt idx="22">
                  <c:v>0.70015763723018054</c:v>
                </c:pt>
              </c:numCache>
            </c:numRef>
          </c:val>
        </c:ser>
        <c:ser>
          <c:idx val="1"/>
          <c:order val="1"/>
          <c:tx>
            <c:v>+ Operating Leases (% D/Ebitda excl. OL)</c:v>
          </c:tx>
          <c:spPr>
            <a:solidFill>
              <a:srgbClr val="FFC000"/>
            </a:solidFill>
          </c:spPr>
          <c:invertIfNegative val="0"/>
          <c:dLbls>
            <c:dLbl>
              <c:idx val="0"/>
              <c:layout>
                <c:manualLayout>
                  <c:x val="4.2035405552819587E-2"/>
                  <c:y val="0"/>
                </c:manualLayout>
              </c:layout>
              <c:tx>
                <c:strRef>
                  <c:f>'GEARINGS, Eb&amp;E'!$AL$74</c:f>
                  <c:strCache>
                    <c:ptCount val="1"/>
                    <c:pt idx="0">
                      <c:v>0%</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dLbl>
              <c:idx val="1"/>
              <c:layout>
                <c:manualLayout>
                  <c:x val="4.2035405552819587E-2"/>
                  <c:y val="0"/>
                </c:manualLayout>
              </c:layout>
              <c:tx>
                <c:strRef>
                  <c:f>'GEARINGS, Eb&amp;E'!$AL$75</c:f>
                  <c:strCache>
                    <c:ptCount val="1"/>
                    <c:pt idx="0">
                      <c:v>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layout>
                <c:manualLayout>
                  <c:x val="4.2035405552819587E-2"/>
                  <c:y val="0"/>
                </c:manualLayout>
              </c:layout>
              <c:tx>
                <c:strRef>
                  <c:f>'GEARINGS, Eb&amp;E'!$AL$76</c:f>
                  <c:strCache>
                    <c:ptCount val="1"/>
                    <c:pt idx="0">
                      <c:v>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3"/>
              <c:layout>
                <c:manualLayout>
                  <c:x val="4.2035405552819587E-2"/>
                  <c:y val="0"/>
                </c:manualLayout>
              </c:layout>
              <c:tx>
                <c:strRef>
                  <c:f>'GEARINGS, Eb&amp;E'!$AL$77</c:f>
                  <c:strCache>
                    <c:ptCount val="1"/>
                    <c:pt idx="0">
                      <c:v>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4"/>
              <c:layout>
                <c:manualLayout>
                  <c:x val="4.2035405552819684E-2"/>
                  <c:y val="0"/>
                </c:manualLayout>
              </c:layout>
              <c:tx>
                <c:strRef>
                  <c:f>'GEARINGS, Eb&amp;E'!$AL$78</c:f>
                  <c:strCache>
                    <c:ptCount val="1"/>
                    <c:pt idx="0">
                      <c:v>4%</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5"/>
              <c:layout>
                <c:manualLayout>
                  <c:x val="4.2035405552819587E-2"/>
                  <c:y val="0"/>
                </c:manualLayout>
              </c:layout>
              <c:tx>
                <c:strRef>
                  <c:f>'GEARINGS, Eb&amp;E'!$AL$79</c:f>
                  <c:strCache>
                    <c:ptCount val="1"/>
                    <c:pt idx="0">
                      <c:v>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layout>
                <c:manualLayout>
                  <c:x val="4.2035405552819587E-2"/>
                  <c:y val="0"/>
                </c:manualLayout>
              </c:layout>
              <c:tx>
                <c:strRef>
                  <c:f>'GEARINGS, Eb&amp;E'!$AL$80</c:f>
                  <c:strCache>
                    <c:ptCount val="1"/>
                    <c:pt idx="0">
                      <c:v>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layout>
                <c:manualLayout>
                  <c:x val="4.2035405552819587E-2"/>
                  <c:y val="0"/>
                </c:manualLayout>
              </c:layout>
              <c:tx>
                <c:strRef>
                  <c:f>'GEARINGS, Eb&amp;E'!$AL$81</c:f>
                  <c:strCache>
                    <c:ptCount val="1"/>
                    <c:pt idx="0">
                      <c:v>7%</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layout>
                <c:manualLayout>
                  <c:x val="4.8672574850633324E-2"/>
                  <c:y val="0"/>
                </c:manualLayout>
              </c:layout>
              <c:tx>
                <c:strRef>
                  <c:f>'GEARINGS, Eb&amp;E'!$AL$82</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layout>
                <c:manualLayout>
                  <c:x val="4.2035405552819587E-2"/>
                  <c:y val="0"/>
                </c:manualLayout>
              </c:layout>
              <c:tx>
                <c:strRef>
                  <c:f>'GEARINGS, Eb&amp;E'!$AL$83</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layout>
                <c:manualLayout>
                  <c:x val="4.8672400646714624E-2"/>
                  <c:y val="0"/>
                </c:manualLayout>
              </c:layout>
              <c:tx>
                <c:strRef>
                  <c:f>'GEARINGS, Eb&amp;E'!$AL$84</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layout>
                <c:manualLayout>
                  <c:x val="5.5309744148446929E-2"/>
                  <c:y val="0"/>
                </c:manualLayout>
              </c:layout>
              <c:tx>
                <c:strRef>
                  <c:f>'GEARINGS, Eb&amp;E'!$AL$85</c:f>
                  <c:strCache>
                    <c:ptCount val="1"/>
                    <c:pt idx="0">
                      <c:v>11%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layout>
                <c:manualLayout>
                  <c:x val="5.7522133914384717E-2"/>
                  <c:y val="0"/>
                </c:manualLayout>
              </c:layout>
              <c:tx>
                <c:strRef>
                  <c:f>'GEARINGS, Eb&amp;E'!$AL$86</c:f>
                  <c:strCache>
                    <c:ptCount val="1"/>
                    <c:pt idx="0">
                      <c:v>13%</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layout>
                <c:manualLayout>
                  <c:x val="5.3097354382508954E-2"/>
                  <c:y val="0"/>
                </c:manualLayout>
              </c:layout>
              <c:tx>
                <c:strRef>
                  <c:f>'GEARINGS, Eb&amp;E'!$AL$87</c:f>
                  <c:strCache>
                    <c:ptCount val="1"/>
                    <c:pt idx="0">
                      <c:v>14%</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dLbl>
              <c:idx val="14"/>
              <c:layout>
                <c:manualLayout>
                  <c:x val="4.203505714498243E-2"/>
                  <c:y val="0"/>
                </c:manualLayout>
              </c:layout>
              <c:tx>
                <c:strRef>
                  <c:f>'GEARINGS, Eb&amp;E'!$AL$88</c:f>
                  <c:strCache>
                    <c:ptCount val="1"/>
                    <c:pt idx="0">
                      <c:v>16%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layout>
                <c:manualLayout>
                  <c:x val="6.6371692978136193E-2"/>
                  <c:y val="0"/>
                </c:manualLayout>
              </c:layout>
              <c:tx>
                <c:strRef>
                  <c:f>'GEARINGS, Eb&amp;E'!$AL$89</c:f>
                  <c:strCache>
                    <c:ptCount val="1"/>
                    <c:pt idx="0">
                      <c:v>16%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layout>
                <c:manualLayout>
                  <c:x val="8.4070811105639215E-2"/>
                  <c:y val="0"/>
                </c:manualLayout>
              </c:layout>
              <c:tx>
                <c:strRef>
                  <c:f>'GEARINGS, Eb&amp;E'!$AL$90</c:f>
                  <c:strCache>
                    <c:ptCount val="1"/>
                    <c:pt idx="0">
                      <c:v>20%</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layout>
                <c:manualLayout>
                  <c:x val="5.9734523680322588E-2"/>
                  <c:y val="0"/>
                </c:manualLayout>
              </c:layout>
              <c:tx>
                <c:strRef>
                  <c:f>'GEARINGS, Eb&amp;E'!$AL$91</c:f>
                  <c:strCache>
                    <c:ptCount val="1"/>
                    <c:pt idx="0">
                      <c:v>20%</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layout>
                <c:manualLayout>
                  <c:x val="5.9734523680322588E-2"/>
                  <c:y val="0"/>
                </c:manualLayout>
              </c:layout>
              <c:tx>
                <c:strRef>
                  <c:f>'GEARINGS, Eb&amp;E'!$AL$92</c:f>
                  <c:strCache>
                    <c:ptCount val="1"/>
                    <c:pt idx="0">
                      <c:v>26%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layout>
                <c:manualLayout>
                  <c:x val="8.1858421339701296E-2"/>
                  <c:y val="0"/>
                </c:manualLayout>
              </c:layout>
              <c:tx>
                <c:strRef>
                  <c:f>'GEARINGS, Eb&amp;E'!$AL$93</c:f>
                  <c:strCache>
                    <c:ptCount val="1"/>
                    <c:pt idx="0">
                      <c:v>33%</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layout>
                <c:manualLayout>
                  <c:x val="7.7433641807825596E-2"/>
                  <c:y val="0"/>
                </c:manualLayout>
              </c:layout>
              <c:tx>
                <c:strRef>
                  <c:f>'GEARINGS, Eb&amp;E'!$AL$94</c:f>
                  <c:strCache>
                    <c:ptCount val="1"/>
                    <c:pt idx="0">
                      <c:v>33%</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layout>
                <c:manualLayout>
                  <c:x val="9.9557539467204331E-2"/>
                  <c:y val="0"/>
                </c:manualLayout>
              </c:layout>
              <c:tx>
                <c:strRef>
                  <c:f>'GEARINGS, Eb&amp;E'!$AL$95</c:f>
                  <c:strCache>
                    <c:ptCount val="1"/>
                    <c:pt idx="0">
                      <c:v>42%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2"/>
              <c:layout>
                <c:manualLayout>
                  <c:x val="9.9557365263285805E-2"/>
                  <c:y val="0"/>
                </c:manualLayout>
              </c:layout>
              <c:tx>
                <c:strRef>
                  <c:f>'GEARINGS, Eb&amp;E'!$AL$96</c:f>
                  <c:strCache>
                    <c:ptCount val="1"/>
                    <c:pt idx="0">
                      <c:v>78%</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cat>
            <c:strRef>
              <c:f>'GEARINGS, Eb&amp;E'!$AI$74:$AI$96</c:f>
              <c:strCache>
                <c:ptCount val="23"/>
                <c:pt idx="0">
                  <c:v>TELENET</c:v>
                </c:pt>
                <c:pt idx="1">
                  <c:v>TIT</c:v>
                </c:pt>
                <c:pt idx="2">
                  <c:v>PT</c:v>
                </c:pt>
                <c:pt idx="3">
                  <c:v>TKA</c:v>
                </c:pt>
                <c:pt idx="4">
                  <c:v>SCM</c:v>
                </c:pt>
                <c:pt idx="5">
                  <c:v>BGC Peers</c:v>
                </c:pt>
                <c:pt idx="6">
                  <c:v>OTE</c:v>
                </c:pt>
                <c:pt idx="7">
                  <c:v>TLSN</c:v>
                </c:pt>
                <c:pt idx="8">
                  <c:v>TEF</c:v>
                </c:pt>
                <c:pt idx="9">
                  <c:v>ELI</c:v>
                </c:pt>
                <c:pt idx="10">
                  <c:v>KPN</c:v>
                </c:pt>
                <c:pt idx="11">
                  <c:v>ORA</c:v>
                </c:pt>
                <c:pt idx="12">
                  <c:v>VOD</c:v>
                </c:pt>
                <c:pt idx="13">
                  <c:v>BELGACOM</c:v>
                </c:pt>
                <c:pt idx="14">
                  <c:v>TPS</c:v>
                </c:pt>
                <c:pt idx="15">
                  <c:v>TDC</c:v>
                </c:pt>
                <c:pt idx="16">
                  <c:v>DT</c:v>
                </c:pt>
                <c:pt idx="17">
                  <c:v>ILD</c:v>
                </c:pt>
                <c:pt idx="18">
                  <c:v>TEL</c:v>
                </c:pt>
                <c:pt idx="19">
                  <c:v>SNC</c:v>
                </c:pt>
                <c:pt idx="20">
                  <c:v>TEL2</c:v>
                </c:pt>
                <c:pt idx="21">
                  <c:v>BT</c:v>
                </c:pt>
                <c:pt idx="22">
                  <c:v>MOBISTAR</c:v>
                </c:pt>
              </c:strCache>
            </c:strRef>
          </c:cat>
          <c:val>
            <c:numRef>
              <c:f>'GEARINGS, Eb&amp;E'!$AK$74:$AK$96</c:f>
              <c:numCache>
                <c:formatCode>0.00</c:formatCode>
                <c:ptCount val="23"/>
                <c:pt idx="0">
                  <c:v>1.4047783343204667E-2</c:v>
                </c:pt>
                <c:pt idx="1">
                  <c:v>3.3185802550901311E-2</c:v>
                </c:pt>
                <c:pt idx="2">
                  <c:v>4.5826108839265522E-2</c:v>
                </c:pt>
                <c:pt idx="3">
                  <c:v>3.7874076910633381E-2</c:v>
                </c:pt>
                <c:pt idx="4">
                  <c:v>9.1590999023343667E-2</c:v>
                </c:pt>
                <c:pt idx="5">
                  <c:v>0.14081019023108254</c:v>
                </c:pt>
                <c:pt idx="6">
                  <c:v>0.1295559753886133</c:v>
                </c:pt>
                <c:pt idx="7">
                  <c:v>0.12802330286375496</c:v>
                </c:pt>
                <c:pt idx="8">
                  <c:v>0.19657083649468232</c:v>
                </c:pt>
                <c:pt idx="9">
                  <c:v>0.13005932416546728</c:v>
                </c:pt>
                <c:pt idx="10">
                  <c:v>0.20160092315275158</c:v>
                </c:pt>
                <c:pt idx="11">
                  <c:v>0.25295581200161665</c:v>
                </c:pt>
                <c:pt idx="12">
                  <c:v>0.23843485769028816</c:v>
                </c:pt>
                <c:pt idx="13">
                  <c:v>0.11671996135382956</c:v>
                </c:pt>
                <c:pt idx="14">
                  <c:v>0.10528375801718759</c:v>
                </c:pt>
                <c:pt idx="15">
                  <c:v>0.37532558173167985</c:v>
                </c:pt>
                <c:pt idx="16">
                  <c:v>0.45628896882580205</c:v>
                </c:pt>
                <c:pt idx="17">
                  <c:v>0.20819014169297767</c:v>
                </c:pt>
                <c:pt idx="18">
                  <c:v>0.21479044570141215</c:v>
                </c:pt>
                <c:pt idx="19">
                  <c:v>0.45484164363445534</c:v>
                </c:pt>
                <c:pt idx="20">
                  <c:v>0.36116300596471262</c:v>
                </c:pt>
                <c:pt idx="21">
                  <c:v>0.66497295557788227</c:v>
                </c:pt>
                <c:pt idx="22">
                  <c:v>0.54393802146168269</c:v>
                </c:pt>
              </c:numCache>
            </c:numRef>
          </c:val>
        </c:ser>
        <c:dLbls>
          <c:showLegendKey val="0"/>
          <c:showVal val="0"/>
          <c:showCatName val="0"/>
          <c:showSerName val="0"/>
          <c:showPercent val="0"/>
          <c:showBubbleSize val="0"/>
        </c:dLbls>
        <c:gapWidth val="150"/>
        <c:overlap val="100"/>
        <c:axId val="234754816"/>
        <c:axId val="234756352"/>
      </c:barChart>
      <c:catAx>
        <c:axId val="234754816"/>
        <c:scaling>
          <c:orientation val="minMax"/>
        </c:scaling>
        <c:delete val="0"/>
        <c:axPos val="l"/>
        <c:majorTickMark val="out"/>
        <c:minorTickMark val="none"/>
        <c:tickLblPos val="nextTo"/>
        <c:crossAx val="234756352"/>
        <c:crosses val="autoZero"/>
        <c:auto val="1"/>
        <c:lblAlgn val="ctr"/>
        <c:lblOffset val="100"/>
        <c:noMultiLvlLbl val="0"/>
      </c:catAx>
      <c:valAx>
        <c:axId val="234756352"/>
        <c:scaling>
          <c:orientation val="minMax"/>
        </c:scaling>
        <c:delete val="0"/>
        <c:axPos val="b"/>
        <c:majorGridlines>
          <c:spPr>
            <a:ln>
              <a:solidFill>
                <a:schemeClr val="bg1">
                  <a:lumMod val="50000"/>
                </a:schemeClr>
              </a:solidFill>
              <a:prstDash val="dash"/>
            </a:ln>
          </c:spPr>
        </c:majorGridlines>
        <c:numFmt formatCode="0.0" sourceLinked="1"/>
        <c:majorTickMark val="out"/>
        <c:minorTickMark val="none"/>
        <c:tickLblPos val="nextTo"/>
        <c:txPr>
          <a:bodyPr/>
          <a:lstStyle/>
          <a:p>
            <a:pPr>
              <a:defRPr sz="1000"/>
            </a:pPr>
            <a:endParaRPr lang="fr-FR"/>
          </a:p>
        </c:txPr>
        <c:crossAx val="234754816"/>
        <c:crosses val="autoZero"/>
        <c:crossBetween val="between"/>
      </c:valAx>
    </c:plotArea>
    <c:legend>
      <c:legendPos val="b"/>
      <c:layout>
        <c:manualLayout>
          <c:xMode val="edge"/>
          <c:yMode val="edge"/>
          <c:x val="0.16066165435538537"/>
          <c:y val="0.93315489412354025"/>
          <c:w val="0.78044644631845272"/>
          <c:h val="5.3077317514469716E-2"/>
        </c:manualLayout>
      </c:layout>
      <c:overlay val="0"/>
      <c:txPr>
        <a:bodyPr/>
        <a:lstStyle/>
        <a:p>
          <a:pPr>
            <a:defRPr sz="1100"/>
          </a:pPr>
          <a:endParaRPr lang="fr-FR"/>
        </a:p>
      </c:txPr>
    </c:legend>
    <c:plotVisOnly val="1"/>
    <c:dispBlanksAs val="gap"/>
    <c:showDLblsOverMax val="0"/>
  </c:chart>
  <c:spPr>
    <a:noFill/>
    <a:ln>
      <a:noFill/>
    </a:ln>
  </c:spPr>
  <c:txPr>
    <a:bodyPr/>
    <a:lstStyle/>
    <a:p>
      <a:pPr>
        <a:defRPr sz="10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v>D/Ebitda</c:v>
          </c:tx>
          <c:spPr>
            <a:solidFill>
              <a:schemeClr val="bg2">
                <a:lumMod val="75000"/>
              </a:schemeClr>
            </a:solidFill>
          </c:spPr>
          <c:invertIfNegative val="0"/>
          <c:cat>
            <c:strRef>
              <c:f>'GEARINGS, Eb&amp;E'!$AI$74:$AI$96</c:f>
              <c:strCache>
                <c:ptCount val="23"/>
                <c:pt idx="0">
                  <c:v>TELENET</c:v>
                </c:pt>
                <c:pt idx="1">
                  <c:v>TIT</c:v>
                </c:pt>
                <c:pt idx="2">
                  <c:v>PT</c:v>
                </c:pt>
                <c:pt idx="3">
                  <c:v>TKA</c:v>
                </c:pt>
                <c:pt idx="4">
                  <c:v>SCM</c:v>
                </c:pt>
                <c:pt idx="5">
                  <c:v>BGC Peers</c:v>
                </c:pt>
                <c:pt idx="6">
                  <c:v>OTE</c:v>
                </c:pt>
                <c:pt idx="7">
                  <c:v>TLSN</c:v>
                </c:pt>
                <c:pt idx="8">
                  <c:v>TEF</c:v>
                </c:pt>
                <c:pt idx="9">
                  <c:v>ELI</c:v>
                </c:pt>
                <c:pt idx="10">
                  <c:v>KPN</c:v>
                </c:pt>
                <c:pt idx="11">
                  <c:v>ORA</c:v>
                </c:pt>
                <c:pt idx="12">
                  <c:v>VOD</c:v>
                </c:pt>
                <c:pt idx="13">
                  <c:v>BELGACOM</c:v>
                </c:pt>
                <c:pt idx="14">
                  <c:v>TPS</c:v>
                </c:pt>
                <c:pt idx="15">
                  <c:v>TDC</c:v>
                </c:pt>
                <c:pt idx="16">
                  <c:v>DT</c:v>
                </c:pt>
                <c:pt idx="17">
                  <c:v>ILD</c:v>
                </c:pt>
                <c:pt idx="18">
                  <c:v>TEL</c:v>
                </c:pt>
                <c:pt idx="19">
                  <c:v>SNC</c:v>
                </c:pt>
                <c:pt idx="20">
                  <c:v>TEL2</c:v>
                </c:pt>
                <c:pt idx="21">
                  <c:v>BT</c:v>
                </c:pt>
                <c:pt idx="22">
                  <c:v>MOBISTAR</c:v>
                </c:pt>
              </c:strCache>
            </c:strRef>
          </c:cat>
          <c:val>
            <c:numRef>
              <c:f>'GEARINGS, Eb&amp;E'!$AJ$74:$AJ$96</c:f>
              <c:numCache>
                <c:formatCode>0.0</c:formatCode>
                <c:ptCount val="23"/>
                <c:pt idx="0">
                  <c:v>3.6874279096722566</c:v>
                </c:pt>
                <c:pt idx="1">
                  <c:v>2.8820645123777022</c:v>
                </c:pt>
                <c:pt idx="2">
                  <c:v>3.3820630739244848</c:v>
                </c:pt>
                <c:pt idx="3">
                  <c:v>2.1523540323300847</c:v>
                </c:pt>
                <c:pt idx="4">
                  <c:v>2.0663267639403311</c:v>
                </c:pt>
                <c:pt idx="5">
                  <c:v>2.2241040408323816</c:v>
                </c:pt>
                <c:pt idx="6">
                  <c:v>2.0430730679441607</c:v>
                </c:pt>
                <c:pt idx="7">
                  <c:v>1.717850736111429</c:v>
                </c:pt>
                <c:pt idx="8">
                  <c:v>2.5964072455904952</c:v>
                </c:pt>
                <c:pt idx="9">
                  <c:v>1.6210408787057859</c:v>
                </c:pt>
                <c:pt idx="10">
                  <c:v>2.4419808802307674</c:v>
                </c:pt>
                <c:pt idx="11">
                  <c:v>2.279200346845534</c:v>
                </c:pt>
                <c:pt idx="12">
                  <c:v>1.8495966078439008</c:v>
                </c:pt>
                <c:pt idx="13">
                  <c:v>0.81576544056169398</c:v>
                </c:pt>
                <c:pt idx="14">
                  <c:v>0.67358101241132673</c:v>
                </c:pt>
                <c:pt idx="15">
                  <c:v>2.2834559023175789</c:v>
                </c:pt>
                <c:pt idx="16">
                  <c:v>2.3343928573367374</c:v>
                </c:pt>
                <c:pt idx="17">
                  <c:v>1.0573612730295383</c:v>
                </c:pt>
                <c:pt idx="18">
                  <c:v>0.82480714798491916</c:v>
                </c:pt>
                <c:pt idx="19">
                  <c:v>1.3774881488921666</c:v>
                </c:pt>
                <c:pt idx="20">
                  <c:v>1.078796250705039</c:v>
                </c:pt>
                <c:pt idx="21">
                  <c:v>1.60152453729338</c:v>
                </c:pt>
                <c:pt idx="22">
                  <c:v>0.70015763723018054</c:v>
                </c:pt>
              </c:numCache>
            </c:numRef>
          </c:val>
        </c:ser>
        <c:ser>
          <c:idx val="1"/>
          <c:order val="1"/>
          <c:tx>
            <c:v>+ Locations opérationnelles (% D/Ebitda sans LO)</c:v>
          </c:tx>
          <c:spPr>
            <a:solidFill>
              <a:srgbClr val="FFC000"/>
            </a:solidFill>
          </c:spPr>
          <c:invertIfNegative val="0"/>
          <c:dLbls>
            <c:dLbl>
              <c:idx val="0"/>
              <c:layout>
                <c:manualLayout>
                  <c:x val="4.2035405552819587E-2"/>
                  <c:y val="0"/>
                </c:manualLayout>
              </c:layout>
              <c:tx>
                <c:strRef>
                  <c:f>'GEARINGS, Eb&amp;E'!$AL$74</c:f>
                  <c:strCache>
                    <c:ptCount val="1"/>
                    <c:pt idx="0">
                      <c:v>0%</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dLbl>
              <c:idx val="1"/>
              <c:layout>
                <c:manualLayout>
                  <c:x val="4.2035405552819587E-2"/>
                  <c:y val="0"/>
                </c:manualLayout>
              </c:layout>
              <c:tx>
                <c:strRef>
                  <c:f>'GEARINGS, Eb&amp;E'!$AL$75</c:f>
                  <c:strCache>
                    <c:ptCount val="1"/>
                    <c:pt idx="0">
                      <c:v>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layout>
                <c:manualLayout>
                  <c:x val="4.2035405552819587E-2"/>
                  <c:y val="0"/>
                </c:manualLayout>
              </c:layout>
              <c:tx>
                <c:strRef>
                  <c:f>'GEARINGS, Eb&amp;E'!$AL$76</c:f>
                  <c:strCache>
                    <c:ptCount val="1"/>
                    <c:pt idx="0">
                      <c:v>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3"/>
              <c:layout>
                <c:manualLayout>
                  <c:x val="4.2035405552819587E-2"/>
                  <c:y val="0"/>
                </c:manualLayout>
              </c:layout>
              <c:tx>
                <c:strRef>
                  <c:f>'GEARINGS, Eb&amp;E'!$AL$77</c:f>
                  <c:strCache>
                    <c:ptCount val="1"/>
                    <c:pt idx="0">
                      <c:v>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4"/>
              <c:layout>
                <c:manualLayout>
                  <c:x val="4.2035405552819684E-2"/>
                  <c:y val="0"/>
                </c:manualLayout>
              </c:layout>
              <c:tx>
                <c:strRef>
                  <c:f>'GEARINGS, Eb&amp;E'!$AL$78</c:f>
                  <c:strCache>
                    <c:ptCount val="1"/>
                    <c:pt idx="0">
                      <c:v>4%</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5"/>
              <c:layout>
                <c:manualLayout>
                  <c:x val="4.2035405552819587E-2"/>
                  <c:y val="0"/>
                </c:manualLayout>
              </c:layout>
              <c:tx>
                <c:strRef>
                  <c:f>'GEARINGS, Eb&amp;E'!$AL$79</c:f>
                  <c:strCache>
                    <c:ptCount val="1"/>
                    <c:pt idx="0">
                      <c:v>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layout>
                <c:manualLayout>
                  <c:x val="4.2035405552819587E-2"/>
                  <c:y val="0"/>
                </c:manualLayout>
              </c:layout>
              <c:tx>
                <c:strRef>
                  <c:f>'GEARINGS, Eb&amp;E'!$AL$80</c:f>
                  <c:strCache>
                    <c:ptCount val="1"/>
                    <c:pt idx="0">
                      <c:v>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layout>
                <c:manualLayout>
                  <c:x val="4.2035405552819587E-2"/>
                  <c:y val="0"/>
                </c:manualLayout>
              </c:layout>
              <c:tx>
                <c:strRef>
                  <c:f>'GEARINGS, Eb&amp;E'!$AL$81</c:f>
                  <c:strCache>
                    <c:ptCount val="1"/>
                    <c:pt idx="0">
                      <c:v>7%</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layout>
                <c:manualLayout>
                  <c:x val="4.8672574850633352E-2"/>
                  <c:y val="0"/>
                </c:manualLayout>
              </c:layout>
              <c:tx>
                <c:strRef>
                  <c:f>'GEARINGS, Eb&amp;E'!$AL$82</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layout>
                <c:manualLayout>
                  <c:x val="4.2035405552819587E-2"/>
                  <c:y val="0"/>
                </c:manualLayout>
              </c:layout>
              <c:tx>
                <c:strRef>
                  <c:f>'GEARINGS, Eb&amp;E'!$AL$83</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layout>
                <c:manualLayout>
                  <c:x val="4.8672400646714624E-2"/>
                  <c:y val="0"/>
                </c:manualLayout>
              </c:layout>
              <c:tx>
                <c:strRef>
                  <c:f>'GEARINGS, Eb&amp;E'!$AL$84</c:f>
                  <c:strCache>
                    <c:ptCount val="1"/>
                    <c:pt idx="0">
                      <c:v>8%</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layout>
                <c:manualLayout>
                  <c:x val="5.530974414844695E-2"/>
                  <c:y val="0"/>
                </c:manualLayout>
              </c:layout>
              <c:tx>
                <c:strRef>
                  <c:f>'GEARINGS, Eb&amp;E'!$AL$85</c:f>
                  <c:strCache>
                    <c:ptCount val="1"/>
                    <c:pt idx="0">
                      <c:v>11%</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layout>
                <c:manualLayout>
                  <c:x val="5.7522133914384738E-2"/>
                  <c:y val="0"/>
                </c:manualLayout>
              </c:layout>
              <c:tx>
                <c:strRef>
                  <c:f>'GEARINGS, Eb&amp;E'!$AL$86</c:f>
                  <c:strCache>
                    <c:ptCount val="1"/>
                    <c:pt idx="0">
                      <c:v>13%</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layout>
                <c:manualLayout>
                  <c:x val="5.3097354382508954E-2"/>
                  <c:y val="0"/>
                </c:manualLayout>
              </c:layout>
              <c:tx>
                <c:strRef>
                  <c:f>'GEARINGS, Eb&amp;E'!$AL$87</c:f>
                  <c:strCache>
                    <c:ptCount val="1"/>
                    <c:pt idx="0">
                      <c:v>14%</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dLbl>
              <c:idx val="14"/>
              <c:layout>
                <c:manualLayout>
                  <c:x val="4.203505714498243E-2"/>
                  <c:y val="0"/>
                </c:manualLayout>
              </c:layout>
              <c:tx>
                <c:strRef>
                  <c:f>'GEARINGS, Eb&amp;E'!$AL$88</c:f>
                  <c:strCache>
                    <c:ptCount val="1"/>
                    <c:pt idx="0">
                      <c:v>16%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layout>
                <c:manualLayout>
                  <c:x val="6.6371692978136193E-2"/>
                  <c:y val="0"/>
                </c:manualLayout>
              </c:layout>
              <c:tx>
                <c:strRef>
                  <c:f>'GEARINGS, Eb&amp;E'!$AL$89</c:f>
                  <c:strCache>
                    <c:ptCount val="1"/>
                    <c:pt idx="0">
                      <c:v>16%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layout>
                <c:manualLayout>
                  <c:x val="8.4070811105639257E-2"/>
                  <c:y val="0"/>
                </c:manualLayout>
              </c:layout>
              <c:tx>
                <c:strRef>
                  <c:f>'GEARINGS, Eb&amp;E'!$AL$90</c:f>
                  <c:strCache>
                    <c:ptCount val="1"/>
                    <c:pt idx="0">
                      <c:v>20%</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layout>
                <c:manualLayout>
                  <c:x val="5.9734523680322602E-2"/>
                  <c:y val="0"/>
                </c:manualLayout>
              </c:layout>
              <c:tx>
                <c:strRef>
                  <c:f>'GEARINGS, Eb&amp;E'!$AL$91</c:f>
                  <c:strCache>
                    <c:ptCount val="1"/>
                    <c:pt idx="0">
                      <c:v>20%</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layout>
                <c:manualLayout>
                  <c:x val="5.9734523680322602E-2"/>
                  <c:y val="0"/>
                </c:manualLayout>
              </c:layout>
              <c:tx>
                <c:strRef>
                  <c:f>'GEARINGS, Eb&amp;E'!$AL$92</c:f>
                  <c:strCache>
                    <c:ptCount val="1"/>
                    <c:pt idx="0">
                      <c:v>26%</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layout>
                <c:manualLayout>
                  <c:x val="8.1858421339701296E-2"/>
                  <c:y val="0"/>
                </c:manualLayout>
              </c:layout>
              <c:tx>
                <c:strRef>
                  <c:f>'GEARINGS, Eb&amp;E'!$AL$93</c:f>
                  <c:strCache>
                    <c:ptCount val="1"/>
                    <c:pt idx="0">
                      <c:v>33%</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layout>
                <c:manualLayout>
                  <c:x val="7.7433641807825651E-2"/>
                  <c:y val="0"/>
                </c:manualLayout>
              </c:layout>
              <c:tx>
                <c:strRef>
                  <c:f>'GEARINGS, Eb&amp;E'!$AL$94</c:f>
                  <c:strCache>
                    <c:ptCount val="1"/>
                    <c:pt idx="0">
                      <c:v>33%</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layout>
                <c:manualLayout>
                  <c:x val="9.9557539467204401E-2"/>
                  <c:y val="0"/>
                </c:manualLayout>
              </c:layout>
              <c:tx>
                <c:strRef>
                  <c:f>'GEARINGS, Eb&amp;E'!$AL$95</c:f>
                  <c:strCache>
                    <c:ptCount val="1"/>
                    <c:pt idx="0">
                      <c:v>42%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2"/>
              <c:layout>
                <c:manualLayout>
                  <c:x val="9.9557365263285888E-2"/>
                  <c:y val="0"/>
                </c:manualLayout>
              </c:layout>
              <c:tx>
                <c:strRef>
                  <c:f>'GEARINGS, Eb&amp;E'!$AL$96</c:f>
                  <c:strCache>
                    <c:ptCount val="1"/>
                    <c:pt idx="0">
                      <c:v>78%</c:v>
                    </c:pt>
                  </c:strCache>
                </c:strRef>
              </c:tx>
              <c:spPr/>
              <c:txPr>
                <a:bodyPr/>
                <a:lstStyle/>
                <a:p>
                  <a:pPr>
                    <a:defRPr sz="12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cat>
            <c:strRef>
              <c:f>'GEARINGS, Eb&amp;E'!$AI$74:$AI$96</c:f>
              <c:strCache>
                <c:ptCount val="23"/>
                <c:pt idx="0">
                  <c:v>TELENET</c:v>
                </c:pt>
                <c:pt idx="1">
                  <c:v>TIT</c:v>
                </c:pt>
                <c:pt idx="2">
                  <c:v>PT</c:v>
                </c:pt>
                <c:pt idx="3">
                  <c:v>TKA</c:v>
                </c:pt>
                <c:pt idx="4">
                  <c:v>SCM</c:v>
                </c:pt>
                <c:pt idx="5">
                  <c:v>BGC Peers</c:v>
                </c:pt>
                <c:pt idx="6">
                  <c:v>OTE</c:v>
                </c:pt>
                <c:pt idx="7">
                  <c:v>TLSN</c:v>
                </c:pt>
                <c:pt idx="8">
                  <c:v>TEF</c:v>
                </c:pt>
                <c:pt idx="9">
                  <c:v>ELI</c:v>
                </c:pt>
                <c:pt idx="10">
                  <c:v>KPN</c:v>
                </c:pt>
                <c:pt idx="11">
                  <c:v>ORA</c:v>
                </c:pt>
                <c:pt idx="12">
                  <c:v>VOD</c:v>
                </c:pt>
                <c:pt idx="13">
                  <c:v>BELGACOM</c:v>
                </c:pt>
                <c:pt idx="14">
                  <c:v>TPS</c:v>
                </c:pt>
                <c:pt idx="15">
                  <c:v>TDC</c:v>
                </c:pt>
                <c:pt idx="16">
                  <c:v>DT</c:v>
                </c:pt>
                <c:pt idx="17">
                  <c:v>ILD</c:v>
                </c:pt>
                <c:pt idx="18">
                  <c:v>TEL</c:v>
                </c:pt>
                <c:pt idx="19">
                  <c:v>SNC</c:v>
                </c:pt>
                <c:pt idx="20">
                  <c:v>TEL2</c:v>
                </c:pt>
                <c:pt idx="21">
                  <c:v>BT</c:v>
                </c:pt>
                <c:pt idx="22">
                  <c:v>MOBISTAR</c:v>
                </c:pt>
              </c:strCache>
            </c:strRef>
          </c:cat>
          <c:val>
            <c:numRef>
              <c:f>'GEARINGS, Eb&amp;E'!$AK$74:$AK$96</c:f>
              <c:numCache>
                <c:formatCode>0.00</c:formatCode>
                <c:ptCount val="23"/>
                <c:pt idx="0">
                  <c:v>1.4047783343204667E-2</c:v>
                </c:pt>
                <c:pt idx="1">
                  <c:v>3.3185802550901311E-2</c:v>
                </c:pt>
                <c:pt idx="2">
                  <c:v>4.5826108839265522E-2</c:v>
                </c:pt>
                <c:pt idx="3">
                  <c:v>3.7874076910633381E-2</c:v>
                </c:pt>
                <c:pt idx="4">
                  <c:v>9.1590999023343667E-2</c:v>
                </c:pt>
                <c:pt idx="5">
                  <c:v>0.14081019023108254</c:v>
                </c:pt>
                <c:pt idx="6">
                  <c:v>0.1295559753886133</c:v>
                </c:pt>
                <c:pt idx="7">
                  <c:v>0.12802330286375496</c:v>
                </c:pt>
                <c:pt idx="8">
                  <c:v>0.19657083649468232</c:v>
                </c:pt>
                <c:pt idx="9">
                  <c:v>0.13005932416546728</c:v>
                </c:pt>
                <c:pt idx="10">
                  <c:v>0.20160092315275158</c:v>
                </c:pt>
                <c:pt idx="11">
                  <c:v>0.25295581200161665</c:v>
                </c:pt>
                <c:pt idx="12">
                  <c:v>0.23843485769028816</c:v>
                </c:pt>
                <c:pt idx="13">
                  <c:v>0.11671996135382956</c:v>
                </c:pt>
                <c:pt idx="14">
                  <c:v>0.10528375801718759</c:v>
                </c:pt>
                <c:pt idx="15">
                  <c:v>0.37532558173167985</c:v>
                </c:pt>
                <c:pt idx="16">
                  <c:v>0.45628896882580205</c:v>
                </c:pt>
                <c:pt idx="17">
                  <c:v>0.20819014169297767</c:v>
                </c:pt>
                <c:pt idx="18">
                  <c:v>0.21479044570141215</c:v>
                </c:pt>
                <c:pt idx="19">
                  <c:v>0.45484164363445534</c:v>
                </c:pt>
                <c:pt idx="20">
                  <c:v>0.36116300596471262</c:v>
                </c:pt>
                <c:pt idx="21">
                  <c:v>0.66497295557788227</c:v>
                </c:pt>
                <c:pt idx="22">
                  <c:v>0.54393802146168269</c:v>
                </c:pt>
              </c:numCache>
            </c:numRef>
          </c:val>
        </c:ser>
        <c:dLbls>
          <c:showLegendKey val="0"/>
          <c:showVal val="0"/>
          <c:showCatName val="0"/>
          <c:showSerName val="0"/>
          <c:showPercent val="0"/>
          <c:showBubbleSize val="0"/>
        </c:dLbls>
        <c:gapWidth val="150"/>
        <c:overlap val="100"/>
        <c:axId val="234918272"/>
        <c:axId val="234919808"/>
      </c:barChart>
      <c:catAx>
        <c:axId val="234918272"/>
        <c:scaling>
          <c:orientation val="minMax"/>
        </c:scaling>
        <c:delete val="0"/>
        <c:axPos val="l"/>
        <c:majorTickMark val="out"/>
        <c:minorTickMark val="none"/>
        <c:tickLblPos val="nextTo"/>
        <c:crossAx val="234919808"/>
        <c:crosses val="autoZero"/>
        <c:auto val="1"/>
        <c:lblAlgn val="ctr"/>
        <c:lblOffset val="100"/>
        <c:noMultiLvlLbl val="0"/>
      </c:catAx>
      <c:valAx>
        <c:axId val="234919808"/>
        <c:scaling>
          <c:orientation val="minMax"/>
        </c:scaling>
        <c:delete val="0"/>
        <c:axPos val="b"/>
        <c:majorGridlines>
          <c:spPr>
            <a:ln>
              <a:solidFill>
                <a:schemeClr val="bg1">
                  <a:lumMod val="50000"/>
                </a:schemeClr>
              </a:solidFill>
              <a:prstDash val="dash"/>
            </a:ln>
          </c:spPr>
        </c:majorGridlines>
        <c:numFmt formatCode="0.0" sourceLinked="1"/>
        <c:majorTickMark val="out"/>
        <c:minorTickMark val="none"/>
        <c:tickLblPos val="nextTo"/>
        <c:txPr>
          <a:bodyPr/>
          <a:lstStyle/>
          <a:p>
            <a:pPr>
              <a:defRPr sz="1000"/>
            </a:pPr>
            <a:endParaRPr lang="fr-FR"/>
          </a:p>
        </c:txPr>
        <c:crossAx val="234918272"/>
        <c:crosses val="autoZero"/>
        <c:crossBetween val="between"/>
      </c:valAx>
    </c:plotArea>
    <c:legend>
      <c:legendPos val="b"/>
      <c:layout>
        <c:manualLayout>
          <c:xMode val="edge"/>
          <c:yMode val="edge"/>
          <c:x val="0.16066165435538537"/>
          <c:y val="0.93315489412354058"/>
          <c:w val="0.78044644631845272"/>
          <c:h val="5.3077317514469716E-2"/>
        </c:manualLayout>
      </c:layout>
      <c:overlay val="0"/>
      <c:txPr>
        <a:bodyPr/>
        <a:lstStyle/>
        <a:p>
          <a:pPr>
            <a:defRPr sz="1100"/>
          </a:pPr>
          <a:endParaRPr lang="fr-FR"/>
        </a:p>
      </c:txPr>
    </c:legend>
    <c:plotVisOnly val="1"/>
    <c:dispBlanksAs val="gap"/>
    <c:showDLblsOverMax val="0"/>
  </c:chart>
  <c:spPr>
    <a:noFill/>
    <a:ln>
      <a:noFill/>
    </a:ln>
  </c:spPr>
  <c:txPr>
    <a:bodyPr/>
    <a:lstStyle/>
    <a:p>
      <a:pPr>
        <a:defRPr sz="10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297686682904218E-2"/>
          <c:y val="3.8110379065860289E-2"/>
          <c:w val="0.89275010457523618"/>
          <c:h val="0.87589760832386876"/>
        </c:manualLayout>
      </c:layout>
      <c:scatterChart>
        <c:scatterStyle val="lineMarker"/>
        <c:varyColors val="0"/>
        <c:ser>
          <c:idx val="0"/>
          <c:order val="0"/>
          <c:spPr>
            <a:ln w="28575">
              <a:noFill/>
            </a:ln>
          </c:spPr>
          <c:marker>
            <c:symbol val="circle"/>
            <c:size val="10"/>
            <c:spPr>
              <a:solidFill>
                <a:srgbClr val="FFC000">
                  <a:alpha val="46000"/>
                </a:srgbClr>
              </a:solidFill>
              <a:ln>
                <a:noFill/>
              </a:ln>
            </c:spPr>
          </c:marker>
          <c:dLbls>
            <c:dLbl>
              <c:idx val="0"/>
              <c:tx>
                <c:strRef>
                  <c:f>Ranking!$AH$7</c:f>
                  <c:strCache>
                    <c:ptCount val="1"/>
                    <c:pt idx="0">
                      <c:v>DT</c:v>
                    </c:pt>
                  </c:strCache>
                </c:strRef>
              </c:tx>
              <c:dLblPos val="ctr"/>
              <c:showLegendKey val="0"/>
              <c:showVal val="1"/>
              <c:showCatName val="0"/>
              <c:showSerName val="0"/>
              <c:showPercent val="0"/>
              <c:showBubbleSize val="0"/>
            </c:dLbl>
            <c:dLbl>
              <c:idx val="1"/>
              <c:tx>
                <c:strRef>
                  <c:f>Ranking!$AH$8</c:f>
                  <c:strCache>
                    <c:ptCount val="1"/>
                    <c:pt idx="0">
                      <c:v>TKA</c:v>
                    </c:pt>
                  </c:strCache>
                </c:strRef>
              </c:tx>
              <c:dLblPos val="ctr"/>
              <c:showLegendKey val="0"/>
              <c:showVal val="1"/>
              <c:showCatName val="0"/>
              <c:showSerName val="0"/>
              <c:showPercent val="0"/>
              <c:showBubbleSize val="0"/>
            </c:dLbl>
            <c:dLbl>
              <c:idx val="2"/>
              <c:tx>
                <c:strRef>
                  <c:f>Ranking!$AH$9</c:f>
                  <c:strCache>
                    <c:ptCount val="1"/>
                    <c:pt idx="0">
                      <c:v>BELGACOM</c:v>
                    </c:pt>
                  </c:strCache>
                </c:strRef>
              </c:tx>
              <c:spPr/>
              <c:txPr>
                <a:bodyPr/>
                <a:lstStyle/>
                <a:p>
                  <a:pPr>
                    <a:defRPr sz="1000" b="1"/>
                  </a:pPr>
                  <a:endParaRPr lang="fr-FR"/>
                </a:p>
              </c:txPr>
              <c:dLblPos val="ctr"/>
              <c:showLegendKey val="0"/>
              <c:showVal val="1"/>
              <c:showCatName val="0"/>
              <c:showSerName val="0"/>
              <c:showPercent val="0"/>
              <c:showBubbleSize val="0"/>
            </c:dLbl>
            <c:dLbl>
              <c:idx val="3"/>
              <c:tx>
                <c:strRef>
                  <c:f>Ranking!$AH$10</c:f>
                  <c:strCache>
                    <c:ptCount val="1"/>
                    <c:pt idx="0">
                      <c:v>MOBISTAR</c:v>
                    </c:pt>
                  </c:strCache>
                </c:strRef>
              </c:tx>
              <c:spPr/>
              <c:txPr>
                <a:bodyPr/>
                <a:lstStyle/>
                <a:p>
                  <a:pPr>
                    <a:defRPr sz="1000" b="1"/>
                  </a:pPr>
                  <a:endParaRPr lang="fr-FR"/>
                </a:p>
              </c:txPr>
              <c:dLblPos val="ctr"/>
              <c:showLegendKey val="0"/>
              <c:showVal val="1"/>
              <c:showCatName val="0"/>
              <c:showSerName val="0"/>
              <c:showPercent val="0"/>
              <c:showBubbleSize val="0"/>
            </c:dLbl>
            <c:dLbl>
              <c:idx val="4"/>
              <c:tx>
                <c:strRef>
                  <c:f>Ranking!$AH$11</c:f>
                  <c:strCache>
                    <c:ptCount val="1"/>
                    <c:pt idx="0">
                      <c:v>TELENET</c:v>
                    </c:pt>
                  </c:strCache>
                </c:strRef>
              </c:tx>
              <c:spPr/>
              <c:txPr>
                <a:bodyPr/>
                <a:lstStyle/>
                <a:p>
                  <a:pPr>
                    <a:defRPr sz="1000" b="1"/>
                  </a:pPr>
                  <a:endParaRPr lang="fr-FR"/>
                </a:p>
              </c:txPr>
              <c:dLblPos val="ctr"/>
              <c:showLegendKey val="0"/>
              <c:showVal val="1"/>
              <c:showCatName val="0"/>
              <c:showSerName val="0"/>
              <c:showPercent val="0"/>
              <c:showBubbleSize val="0"/>
            </c:dLbl>
            <c:dLbl>
              <c:idx val="5"/>
              <c:tx>
                <c:strRef>
                  <c:f>Ranking!$AH$12</c:f>
                  <c:strCache>
                    <c:ptCount val="1"/>
                    <c:pt idx="0">
                      <c:v>TDC</c:v>
                    </c:pt>
                  </c:strCache>
                </c:strRef>
              </c:tx>
              <c:dLblPos val="ctr"/>
              <c:showLegendKey val="0"/>
              <c:showVal val="1"/>
              <c:showCatName val="0"/>
              <c:showSerName val="0"/>
              <c:showPercent val="0"/>
              <c:showBubbleSize val="0"/>
            </c:dLbl>
            <c:dLbl>
              <c:idx val="6"/>
              <c:tx>
                <c:strRef>
                  <c:f>Ranking!$AH$13</c:f>
                  <c:strCache>
                    <c:ptCount val="1"/>
                    <c:pt idx="0">
                      <c:v>TEF</c:v>
                    </c:pt>
                  </c:strCache>
                </c:strRef>
              </c:tx>
              <c:dLblPos val="ctr"/>
              <c:showLegendKey val="0"/>
              <c:showVal val="1"/>
              <c:showCatName val="0"/>
              <c:showSerName val="0"/>
              <c:showPercent val="0"/>
              <c:showBubbleSize val="0"/>
            </c:dLbl>
            <c:dLbl>
              <c:idx val="7"/>
              <c:tx>
                <c:strRef>
                  <c:f>Ranking!$AH$14</c:f>
                  <c:strCache>
                    <c:ptCount val="1"/>
                    <c:pt idx="0">
                      <c:v>ELI</c:v>
                    </c:pt>
                  </c:strCache>
                </c:strRef>
              </c:tx>
              <c:dLblPos val="ctr"/>
              <c:showLegendKey val="0"/>
              <c:showVal val="1"/>
              <c:showCatName val="0"/>
              <c:showSerName val="0"/>
              <c:showPercent val="0"/>
              <c:showBubbleSize val="0"/>
            </c:dLbl>
            <c:dLbl>
              <c:idx val="8"/>
              <c:tx>
                <c:strRef>
                  <c:f>Ranking!$AH$15</c:f>
                  <c:strCache>
                    <c:ptCount val="1"/>
                    <c:pt idx="0">
                      <c:v>ILD</c:v>
                    </c:pt>
                  </c:strCache>
                </c:strRef>
              </c:tx>
              <c:dLblPos val="ctr"/>
              <c:showLegendKey val="0"/>
              <c:showVal val="1"/>
              <c:showCatName val="0"/>
              <c:showSerName val="0"/>
              <c:showPercent val="0"/>
              <c:showBubbleSize val="0"/>
            </c:dLbl>
            <c:dLbl>
              <c:idx val="9"/>
              <c:tx>
                <c:strRef>
                  <c:f>Ranking!$AH$16</c:f>
                  <c:strCache>
                    <c:ptCount val="1"/>
                    <c:pt idx="0">
                      <c:v>ORA</c:v>
                    </c:pt>
                  </c:strCache>
                </c:strRef>
              </c:tx>
              <c:dLblPos val="ctr"/>
              <c:showLegendKey val="0"/>
              <c:showVal val="1"/>
              <c:showCatName val="0"/>
              <c:showSerName val="0"/>
              <c:showPercent val="0"/>
              <c:showBubbleSize val="0"/>
            </c:dLbl>
            <c:dLbl>
              <c:idx val="10"/>
              <c:tx>
                <c:strRef>
                  <c:f>Ranking!$AH$17</c:f>
                  <c:strCache>
                    <c:ptCount val="1"/>
                    <c:pt idx="0">
                      <c:v>OTE</c:v>
                    </c:pt>
                  </c:strCache>
                </c:strRef>
              </c:tx>
              <c:dLblPos val="ctr"/>
              <c:showLegendKey val="0"/>
              <c:showVal val="1"/>
              <c:showCatName val="0"/>
              <c:showSerName val="0"/>
              <c:showPercent val="0"/>
              <c:showBubbleSize val="0"/>
            </c:dLbl>
            <c:dLbl>
              <c:idx val="11"/>
              <c:tx>
                <c:strRef>
                  <c:f>Ranking!$AH$18</c:f>
                  <c:strCache>
                    <c:ptCount val="1"/>
                    <c:pt idx="0">
                      <c:v>TIT</c:v>
                    </c:pt>
                  </c:strCache>
                </c:strRef>
              </c:tx>
              <c:dLblPos val="ctr"/>
              <c:showLegendKey val="0"/>
              <c:showVal val="1"/>
              <c:showCatName val="0"/>
              <c:showSerName val="0"/>
              <c:showPercent val="0"/>
              <c:showBubbleSize val="0"/>
            </c:dLbl>
            <c:dLbl>
              <c:idx val="12"/>
              <c:layout>
                <c:manualLayout>
                  <c:x val="-3.6222023637584276E-2"/>
                  <c:y val="0"/>
                </c:manualLayout>
              </c:layout>
              <c:tx>
                <c:strRef>
                  <c:f>Ranking!$AH$19</c:f>
                  <c:strCache>
                    <c:ptCount val="1"/>
                    <c:pt idx="0">
                      <c:v>TEL</c:v>
                    </c:pt>
                  </c:strCache>
                </c:strRef>
              </c:tx>
              <c:dLblPos val="r"/>
              <c:showLegendKey val="0"/>
              <c:showVal val="1"/>
              <c:showCatName val="0"/>
              <c:showSerName val="0"/>
              <c:showPercent val="0"/>
              <c:showBubbleSize val="0"/>
            </c:dLbl>
            <c:dLbl>
              <c:idx val="13"/>
              <c:tx>
                <c:strRef>
                  <c:f>Ranking!$AH$20</c:f>
                  <c:strCache>
                    <c:ptCount val="1"/>
                    <c:pt idx="0">
                      <c:v>KPN</c:v>
                    </c:pt>
                  </c:strCache>
                </c:strRef>
              </c:tx>
              <c:dLblPos val="ctr"/>
              <c:showLegendKey val="0"/>
              <c:showVal val="1"/>
              <c:showCatName val="0"/>
              <c:showSerName val="0"/>
              <c:showPercent val="0"/>
              <c:showBubbleSize val="0"/>
            </c:dLbl>
            <c:dLbl>
              <c:idx val="14"/>
              <c:tx>
                <c:strRef>
                  <c:f>Ranking!$AH$21</c:f>
                  <c:strCache>
                    <c:ptCount val="1"/>
                    <c:pt idx="0">
                      <c:v>TPS</c:v>
                    </c:pt>
                  </c:strCache>
                </c:strRef>
              </c:tx>
              <c:dLblPos val="ctr"/>
              <c:showLegendKey val="0"/>
              <c:showVal val="1"/>
              <c:showCatName val="0"/>
              <c:showSerName val="0"/>
              <c:showPercent val="0"/>
              <c:showBubbleSize val="0"/>
            </c:dLbl>
            <c:dLbl>
              <c:idx val="15"/>
              <c:tx>
                <c:strRef>
                  <c:f>Ranking!$AH$22</c:f>
                  <c:strCache>
                    <c:ptCount val="1"/>
                    <c:pt idx="0">
                      <c:v>PT</c:v>
                    </c:pt>
                  </c:strCache>
                </c:strRef>
              </c:tx>
              <c:dLblPos val="ctr"/>
              <c:showLegendKey val="0"/>
              <c:showVal val="1"/>
              <c:showCatName val="0"/>
              <c:showSerName val="0"/>
              <c:showPercent val="0"/>
              <c:showBubbleSize val="0"/>
            </c:dLbl>
            <c:dLbl>
              <c:idx val="16"/>
              <c:tx>
                <c:strRef>
                  <c:f>Ranking!$AH$23</c:f>
                  <c:strCache>
                    <c:ptCount val="1"/>
                    <c:pt idx="0">
                      <c:v>BT</c:v>
                    </c:pt>
                  </c:strCache>
                </c:strRef>
              </c:tx>
              <c:dLblPos val="ctr"/>
              <c:showLegendKey val="0"/>
              <c:showVal val="1"/>
              <c:showCatName val="0"/>
              <c:showSerName val="0"/>
              <c:showPercent val="0"/>
              <c:showBubbleSize val="0"/>
            </c:dLbl>
            <c:dLbl>
              <c:idx val="17"/>
              <c:tx>
                <c:strRef>
                  <c:f>Ranking!$AH$24</c:f>
                  <c:strCache>
                    <c:ptCount val="1"/>
                    <c:pt idx="0">
                      <c:v>VOD</c:v>
                    </c:pt>
                  </c:strCache>
                </c:strRef>
              </c:tx>
              <c:dLblPos val="ctr"/>
              <c:showLegendKey val="0"/>
              <c:showVal val="1"/>
              <c:showCatName val="0"/>
              <c:showSerName val="0"/>
              <c:showPercent val="0"/>
              <c:showBubbleSize val="0"/>
            </c:dLbl>
            <c:dLbl>
              <c:idx val="18"/>
              <c:tx>
                <c:strRef>
                  <c:f>Ranking!$AH$25</c:f>
                  <c:strCache>
                    <c:ptCount val="1"/>
                    <c:pt idx="0">
                      <c:v>TLSN</c:v>
                    </c:pt>
                  </c:strCache>
                </c:strRef>
              </c:tx>
              <c:dLblPos val="ctr"/>
              <c:showLegendKey val="0"/>
              <c:showVal val="1"/>
              <c:showCatName val="0"/>
              <c:showSerName val="0"/>
              <c:showPercent val="0"/>
              <c:showBubbleSize val="0"/>
            </c:dLbl>
            <c:dLbl>
              <c:idx val="19"/>
              <c:tx>
                <c:strRef>
                  <c:f>Ranking!$AH$26</c:f>
                  <c:strCache>
                    <c:ptCount val="1"/>
                    <c:pt idx="0">
                      <c:v>TEL2</c:v>
                    </c:pt>
                  </c:strCache>
                </c:strRef>
              </c:tx>
              <c:dLblPos val="ctr"/>
              <c:showLegendKey val="0"/>
              <c:showVal val="1"/>
              <c:showCatName val="0"/>
              <c:showSerName val="0"/>
              <c:showPercent val="0"/>
              <c:showBubbleSize val="0"/>
            </c:dLbl>
            <c:dLbl>
              <c:idx val="20"/>
              <c:tx>
                <c:strRef>
                  <c:f>Ranking!$AH$27</c:f>
                  <c:strCache>
                    <c:ptCount val="1"/>
                    <c:pt idx="0">
                      <c:v>SCM</c:v>
                    </c:pt>
                  </c:strCache>
                </c:strRef>
              </c:tx>
              <c:dLblPos val="ctr"/>
              <c:showLegendKey val="0"/>
              <c:showVal val="1"/>
              <c:showCatName val="0"/>
              <c:showSerName val="0"/>
              <c:showPercent val="0"/>
              <c:showBubbleSize val="0"/>
            </c:dLbl>
            <c:dLbl>
              <c:idx val="21"/>
              <c:tx>
                <c:strRef>
                  <c:f>Ranking!$AH$28</c:f>
                  <c:strCache>
                    <c:ptCount val="1"/>
                    <c:pt idx="0">
                      <c:v>SNC</c:v>
                    </c:pt>
                  </c:strCache>
                </c:strRef>
              </c:tx>
              <c:dLblPos val="ctr"/>
              <c:showLegendKey val="0"/>
              <c:showVal val="1"/>
              <c:showCatName val="0"/>
              <c:showSerName val="0"/>
              <c:showPercent val="0"/>
              <c:showBubbleSize val="0"/>
            </c:dLbl>
            <c:txPr>
              <a:bodyPr/>
              <a:lstStyle/>
              <a:p>
                <a:pPr>
                  <a:defRPr sz="1000" b="0"/>
                </a:pPr>
                <a:endParaRPr lang="fr-FR"/>
              </a:p>
            </c:txPr>
            <c:showLegendKey val="0"/>
            <c:showVal val="1"/>
            <c:showCatName val="0"/>
            <c:showSerName val="0"/>
            <c:showPercent val="0"/>
            <c:showBubbleSize val="0"/>
            <c:showLeaderLines val="0"/>
          </c:dLbls>
          <c:trendline>
            <c:spPr>
              <a:ln>
                <a:solidFill>
                  <a:schemeClr val="bg1">
                    <a:lumMod val="50000"/>
                  </a:schemeClr>
                </a:solidFill>
                <a:prstDash val="solid"/>
              </a:ln>
            </c:spPr>
            <c:trendlineType val="linear"/>
            <c:dispRSqr val="1"/>
            <c:dispEq val="0"/>
            <c:trendlineLbl>
              <c:layout>
                <c:manualLayout>
                  <c:x val="-1.9489864546101146E-2"/>
                  <c:y val="1.546236941295287E-3"/>
                </c:manualLayout>
              </c:layout>
              <c:numFmt formatCode="General" sourceLinked="0"/>
              <c:txPr>
                <a:bodyPr/>
                <a:lstStyle/>
                <a:p>
                  <a:pPr>
                    <a:defRPr>
                      <a:solidFill>
                        <a:schemeClr val="bg1">
                          <a:lumMod val="50000"/>
                        </a:schemeClr>
                      </a:solidFill>
                    </a:defRPr>
                  </a:pPr>
                  <a:endParaRPr lang="fr-FR"/>
                </a:p>
              </c:txPr>
            </c:trendlineLbl>
          </c:trendline>
          <c:xVal>
            <c:numRef>
              <c:f>Ranking!$AI$7:$AI$28</c:f>
            </c:numRef>
          </c:xVal>
          <c:yVal>
            <c:numRef>
              <c:f>Ranking!$AJ$7:$AJ$28</c:f>
            </c:numRef>
          </c:yVal>
          <c:smooth val="0"/>
        </c:ser>
        <c:dLbls>
          <c:showLegendKey val="0"/>
          <c:showVal val="0"/>
          <c:showCatName val="0"/>
          <c:showSerName val="0"/>
          <c:showPercent val="0"/>
          <c:showBubbleSize val="0"/>
        </c:dLbls>
        <c:axId val="234986880"/>
        <c:axId val="235000960"/>
      </c:scatterChart>
      <c:valAx>
        <c:axId val="234986880"/>
        <c:scaling>
          <c:orientation val="minMax"/>
          <c:min val="-0.75000000000001465"/>
        </c:scaling>
        <c:delete val="0"/>
        <c:axPos val="b"/>
        <c:numFmt formatCode="0%" sourceLinked="1"/>
        <c:majorTickMark val="out"/>
        <c:minorTickMark val="none"/>
        <c:tickLblPos val="nextTo"/>
        <c:crossAx val="235000960"/>
        <c:crossesAt val="-0.4"/>
        <c:crossBetween val="midCat"/>
        <c:majorUnit val="0.25"/>
      </c:valAx>
      <c:valAx>
        <c:axId val="235000960"/>
        <c:scaling>
          <c:orientation val="minMax"/>
          <c:max val="0.8"/>
          <c:min val="-0.4"/>
        </c:scaling>
        <c:delete val="0"/>
        <c:axPos val="l"/>
        <c:majorGridlines>
          <c:spPr>
            <a:ln>
              <a:prstDash val="dash"/>
            </a:ln>
          </c:spPr>
        </c:majorGridlines>
        <c:numFmt formatCode="0%" sourceLinked="1"/>
        <c:majorTickMark val="out"/>
        <c:minorTickMark val="none"/>
        <c:tickLblPos val="nextTo"/>
        <c:crossAx val="234986880"/>
        <c:crossesAt val="-0.75000000000001465"/>
        <c:crossBetween val="midCat"/>
      </c:valAx>
    </c:plotArea>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marker>
            <c:symbol val="dash"/>
            <c:size val="30"/>
            <c:spPr>
              <a:solidFill>
                <a:srgbClr val="FFC000">
                  <a:alpha val="47059"/>
                </a:srgbClr>
              </a:solidFill>
              <a:ln>
                <a:noFill/>
              </a:ln>
            </c:spPr>
          </c:marker>
          <c:dLbls>
            <c:dLbl>
              <c:idx val="0"/>
              <c:tx>
                <c:rich>
                  <a:bodyPr/>
                  <a:lstStyle/>
                  <a:p>
                    <a:pPr>
                      <a:defRPr sz="1000" b="0" i="0" strike="noStrike">
                        <a:latin typeface="Arial"/>
                      </a:defRPr>
                    </a:pPr>
                    <a:r>
                      <a:rPr lang="en-US"/>
                      <a:t>DT</a:t>
                    </a:r>
                  </a:p>
                </c:rich>
              </c:tx>
              <c:spPr/>
              <c:dLblPos val="ctr"/>
              <c:showLegendKey val="0"/>
              <c:showVal val="1"/>
              <c:showCatName val="0"/>
              <c:showSerName val="0"/>
              <c:showPercent val="0"/>
              <c:showBubbleSize val="0"/>
            </c:dLbl>
            <c:dLbl>
              <c:idx val="1"/>
              <c:tx>
                <c:strRef>
                  <c:f>PROFILES!$O$104</c:f>
                  <c:strCache>
                    <c:ptCount val="1"/>
                    <c:pt idx="0">
                      <c:v>TKA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
              <c:tx>
                <c:strRef>
                  <c:f>PROFILES!$O$105</c:f>
                  <c:strCache>
                    <c:ptCount val="1"/>
                    <c:pt idx="0">
                      <c:v>BELGACOM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PROFILES!$O$106</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4"/>
              <c:tx>
                <c:strRef>
                  <c:f>PROFILES!$O$107</c:f>
                  <c:strCache>
                    <c:ptCount val="1"/>
                    <c:pt idx="0">
                      <c:v>TELENET</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5"/>
              <c:tx>
                <c:strRef>
                  <c:f>PROFILES!$O$108</c:f>
                  <c:strCache>
                    <c:ptCount val="1"/>
                    <c:pt idx="0">
                      <c:v>TDC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tx>
                <c:strRef>
                  <c:f>PROFILES!$O$109</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tx>
                <c:strRef>
                  <c:f>PROFILES!$O$110</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PROFILES!$O$111</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tx>
                <c:strRef>
                  <c:f>PROFILES!$O$112</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PROFILES!$O$113</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tx>
                <c:strRef>
                  <c:f>PROFILES!$O$114</c:f>
                  <c:strCache>
                    <c:ptCount val="1"/>
                    <c:pt idx="0">
                      <c:v>TIT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PROFILES!$O$115</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tx>
                <c:strRef>
                  <c:f>PROFILES!$O$116</c:f>
                  <c:strCache>
                    <c:ptCount val="1"/>
                    <c:pt idx="0">
                      <c:v>KPN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layout>
                <c:manualLayout>
                  <c:x val="-5.4541227584278783E-2"/>
                  <c:y val="-3.3185843598516652E-3"/>
                </c:manualLayout>
              </c:layout>
              <c:tx>
                <c:strRef>
                  <c:f>PROFILES!$O$117</c:f>
                  <c:strCache>
                    <c:ptCount val="1"/>
                    <c:pt idx="0">
                      <c:v>TPS</c:v>
                    </c:pt>
                  </c:strCache>
                </c:strRef>
              </c:tx>
              <c:spPr/>
              <c:txPr>
                <a:bodyPr/>
                <a:lstStyle/>
                <a:p>
                  <a:pPr>
                    <a:defRPr sz="1000" b="0" i="0" strike="noStrike">
                      <a:latin typeface="Arial"/>
                    </a:defRPr>
                  </a:pPr>
                  <a:endParaRPr lang="fr-FR"/>
                </a:p>
              </c:txPr>
              <c:dLblPos val="r"/>
              <c:showLegendKey val="0"/>
              <c:showVal val="1"/>
              <c:showCatName val="0"/>
              <c:showSerName val="0"/>
              <c:showPercent val="0"/>
              <c:showBubbleSize val="0"/>
            </c:dLbl>
            <c:dLbl>
              <c:idx val="15"/>
              <c:tx>
                <c:strRef>
                  <c:f>PROFILES!$O$118</c:f>
                  <c:strCache>
                    <c:ptCount val="1"/>
                    <c:pt idx="0">
                      <c:v>PT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tx>
                <c:strRef>
                  <c:f>PROFILES!$O$119</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PROFILES!$O$120</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PROFILES!$O$121</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tx>
                <c:strRef>
                  <c:f>PROFILES!$O$122</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PROFILES!$O$123</c:f>
                  <c:strCache>
                    <c:ptCount val="1"/>
                    <c:pt idx="0">
                      <c:v>SCM</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1"/>
              <c:tx>
                <c:strRef>
                  <c:f>PROFILES!$O$124</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trendline>
            <c:spPr>
              <a:ln>
                <a:solidFill>
                  <a:schemeClr val="bg1">
                    <a:lumMod val="50000"/>
                  </a:schemeClr>
                </a:solidFill>
                <a:prstDash val="dash"/>
              </a:ln>
            </c:spPr>
            <c:trendlineType val="poly"/>
            <c:order val="2"/>
            <c:dispRSqr val="1"/>
            <c:dispEq val="0"/>
            <c:trendlineLbl>
              <c:numFmt formatCode="General" sourceLinked="0"/>
            </c:trendlineLbl>
          </c:trendline>
          <c:xVal>
            <c:numRef>
              <c:f>PROFILES!$W$197:$W$218</c:f>
              <c:numCache>
                <c:formatCode>0%</c:formatCode>
                <c:ptCount val="22"/>
                <c:pt idx="0">
                  <c:v>0.60938914027149316</c:v>
                </c:pt>
                <c:pt idx="1">
                  <c:v>0.63280000000000003</c:v>
                </c:pt>
                <c:pt idx="2">
                  <c:v>0.38496530454895916</c:v>
                </c:pt>
                <c:pt idx="3">
                  <c:v>0.97248825098437697</c:v>
                </c:pt>
                <c:pt idx="4">
                  <c:v>5.8479532163742687E-3</c:v>
                </c:pt>
                <c:pt idx="5">
                  <c:v>0.3141425389755011</c:v>
                </c:pt>
                <c:pt idx="6">
                  <c:v>0.58023511894181368</c:v>
                </c:pt>
                <c:pt idx="7">
                  <c:v>0.59929999999999994</c:v>
                </c:pt>
                <c:pt idx="8">
                  <c:v>0</c:v>
                </c:pt>
                <c:pt idx="9">
                  <c:v>0.56769999999999998</c:v>
                </c:pt>
                <c:pt idx="10">
                  <c:v>0.58334166469020743</c:v>
                </c:pt>
                <c:pt idx="11">
                  <c:v>0.36840000000000006</c:v>
                </c:pt>
                <c:pt idx="12">
                  <c:v>0.62585722455497383</c:v>
                </c:pt>
                <c:pt idx="13">
                  <c:v>0.5497633776823857</c:v>
                </c:pt>
                <c:pt idx="14">
                  <c:v>0.4566820303658996</c:v>
                </c:pt>
                <c:pt idx="15">
                  <c:v>0.5101</c:v>
                </c:pt>
                <c:pt idx="16">
                  <c:v>0</c:v>
                </c:pt>
                <c:pt idx="17">
                  <c:v>0.92599999999999993</c:v>
                </c:pt>
                <c:pt idx="18">
                  <c:v>0.61707988980716255</c:v>
                </c:pt>
                <c:pt idx="19">
                  <c:v>0.70310836704279323</c:v>
                </c:pt>
                <c:pt idx="20">
                  <c:v>0.35321659907288117</c:v>
                </c:pt>
                <c:pt idx="21">
                  <c:v>0.92232145907274721</c:v>
                </c:pt>
              </c:numCache>
            </c:numRef>
          </c:xVal>
          <c:yVal>
            <c:numRef>
              <c:f>PROFILES!$X$197:$X$218</c:f>
              <c:numCache>
                <c:formatCode>0.0</c:formatCode>
                <c:ptCount val="22"/>
                <c:pt idx="0">
                  <c:v>4.4333584779807635</c:v>
                </c:pt>
                <c:pt idx="1">
                  <c:v>4.2234201890683387</c:v>
                </c:pt>
                <c:pt idx="2">
                  <c:v>4.2885463249133933</c:v>
                </c:pt>
                <c:pt idx="3">
                  <c:v>5.5752364574033733</c:v>
                </c:pt>
                <c:pt idx="4">
                  <c:v>7.3882795026632264</c:v>
                </c:pt>
                <c:pt idx="5">
                  <c:v>7.555492968888017</c:v>
                </c:pt>
                <c:pt idx="6">
                  <c:v>6.0577743004054545</c:v>
                </c:pt>
                <c:pt idx="7">
                  <c:v>6.6127333261941414</c:v>
                </c:pt>
                <c:pt idx="8">
                  <c:v>7.9723751868626085</c:v>
                </c:pt>
                <c:pt idx="9">
                  <c:v>5.8261679674580611</c:v>
                </c:pt>
                <c:pt idx="10">
                  <c:v>4.5397999999999996</c:v>
                </c:pt>
                <c:pt idx="11">
                  <c:v>5.2646466027831975</c:v>
                </c:pt>
                <c:pt idx="12">
                  <c:v>5.2049898041945069</c:v>
                </c:pt>
                <c:pt idx="13">
                  <c:v>5.7602103537566114</c:v>
                </c:pt>
                <c:pt idx="14">
                  <c:v>4.071678259913444</c:v>
                </c:pt>
                <c:pt idx="15">
                  <c:v>5.6316364047026521</c:v>
                </c:pt>
                <c:pt idx="16">
                  <c:v>5.5069568381935765</c:v>
                </c:pt>
                <c:pt idx="17">
                  <c:v>7.5158356243992479</c:v>
                </c:pt>
                <c:pt idx="18">
                  <c:v>7.7524112450340725</c:v>
                </c:pt>
                <c:pt idx="19">
                  <c:v>5.518069631932768</c:v>
                </c:pt>
                <c:pt idx="20">
                  <c:v>6.4576449666827171</c:v>
                </c:pt>
                <c:pt idx="21">
                  <c:v>5.5578222900335454</c:v>
                </c:pt>
              </c:numCache>
            </c:numRef>
          </c:yVal>
          <c:smooth val="0"/>
        </c:ser>
        <c:dLbls>
          <c:showLegendKey val="0"/>
          <c:showVal val="0"/>
          <c:showCatName val="0"/>
          <c:showSerName val="0"/>
          <c:showPercent val="0"/>
          <c:showBubbleSize val="0"/>
        </c:dLbls>
        <c:axId val="179175808"/>
        <c:axId val="179177344"/>
      </c:scatterChart>
      <c:valAx>
        <c:axId val="179175808"/>
        <c:scaling>
          <c:orientation val="minMax"/>
          <c:max val="1"/>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79177344"/>
        <c:crosses val="autoZero"/>
        <c:crossBetween val="midCat"/>
        <c:majorUnit val="0.1"/>
      </c:valAx>
      <c:valAx>
        <c:axId val="179177344"/>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txPr>
          <a:bodyPr/>
          <a:lstStyle/>
          <a:p>
            <a:pPr>
              <a:defRPr sz="1200" baseline="0">
                <a:latin typeface="Arial" pitchFamily="34" charset="0"/>
              </a:defRPr>
            </a:pPr>
            <a:endParaRPr lang="fr-FR"/>
          </a:p>
        </c:txPr>
        <c:crossAx val="179175808"/>
        <c:crosses val="autoZero"/>
        <c:crossBetween val="midCat"/>
        <c:majorUnit val="1"/>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687828522787578E-2"/>
          <c:y val="6.4280010037383831E-2"/>
          <c:w val="0.89275010457523618"/>
          <c:h val="0.8758976083238692"/>
        </c:manualLayout>
      </c:layout>
      <c:scatterChart>
        <c:scatterStyle val="lineMarker"/>
        <c:varyColors val="0"/>
        <c:ser>
          <c:idx val="0"/>
          <c:order val="0"/>
          <c:spPr>
            <a:ln w="28575">
              <a:noFill/>
            </a:ln>
          </c:spPr>
          <c:marker>
            <c:symbol val="circle"/>
            <c:size val="10"/>
            <c:spPr>
              <a:solidFill>
                <a:srgbClr val="FFC000">
                  <a:alpha val="46000"/>
                </a:srgbClr>
              </a:solidFill>
              <a:ln>
                <a:noFill/>
              </a:ln>
            </c:spPr>
          </c:marker>
          <c:dLbls>
            <c:dLbl>
              <c:idx val="0"/>
              <c:tx>
                <c:strRef>
                  <c:f>Ranking!$AH$7</c:f>
                  <c:strCache>
                    <c:ptCount val="1"/>
                    <c:pt idx="0">
                      <c:v>DT</c:v>
                    </c:pt>
                  </c:strCache>
                </c:strRef>
              </c:tx>
              <c:dLblPos val="ctr"/>
              <c:showLegendKey val="0"/>
              <c:showVal val="1"/>
              <c:showCatName val="0"/>
              <c:showSerName val="0"/>
              <c:showPercent val="0"/>
              <c:showBubbleSize val="0"/>
            </c:dLbl>
            <c:dLbl>
              <c:idx val="1"/>
              <c:tx>
                <c:strRef>
                  <c:f>Ranking!$AH$8</c:f>
                  <c:strCache>
                    <c:ptCount val="1"/>
                    <c:pt idx="0">
                      <c:v>TKA</c:v>
                    </c:pt>
                  </c:strCache>
                </c:strRef>
              </c:tx>
              <c:dLblPos val="ctr"/>
              <c:showLegendKey val="0"/>
              <c:showVal val="1"/>
              <c:showCatName val="0"/>
              <c:showSerName val="0"/>
              <c:showPercent val="0"/>
              <c:showBubbleSize val="0"/>
            </c:dLbl>
            <c:dLbl>
              <c:idx val="2"/>
              <c:tx>
                <c:strRef>
                  <c:f>Ranking!$AH$9</c:f>
                  <c:strCache>
                    <c:ptCount val="1"/>
                    <c:pt idx="0">
                      <c:v>BELGACOM</c:v>
                    </c:pt>
                  </c:strCache>
                </c:strRef>
              </c:tx>
              <c:spPr/>
              <c:txPr>
                <a:bodyPr/>
                <a:lstStyle/>
                <a:p>
                  <a:pPr>
                    <a:defRPr sz="1000" b="1"/>
                  </a:pPr>
                  <a:endParaRPr lang="fr-FR"/>
                </a:p>
              </c:txPr>
              <c:dLblPos val="ctr"/>
              <c:showLegendKey val="0"/>
              <c:showVal val="1"/>
              <c:showCatName val="0"/>
              <c:showSerName val="0"/>
              <c:showPercent val="0"/>
              <c:showBubbleSize val="0"/>
            </c:dLbl>
            <c:dLbl>
              <c:idx val="3"/>
              <c:tx>
                <c:strRef>
                  <c:f>Ranking!$AH$10</c:f>
                  <c:strCache>
                    <c:ptCount val="1"/>
                    <c:pt idx="0">
                      <c:v>MOBISTAR</c:v>
                    </c:pt>
                  </c:strCache>
                </c:strRef>
              </c:tx>
              <c:spPr/>
              <c:txPr>
                <a:bodyPr/>
                <a:lstStyle/>
                <a:p>
                  <a:pPr>
                    <a:defRPr sz="1000" b="1"/>
                  </a:pPr>
                  <a:endParaRPr lang="fr-FR"/>
                </a:p>
              </c:txPr>
              <c:dLblPos val="ctr"/>
              <c:showLegendKey val="0"/>
              <c:showVal val="1"/>
              <c:showCatName val="0"/>
              <c:showSerName val="0"/>
              <c:showPercent val="0"/>
              <c:showBubbleSize val="0"/>
            </c:dLbl>
            <c:dLbl>
              <c:idx val="4"/>
              <c:tx>
                <c:strRef>
                  <c:f>Ranking!$AH$11</c:f>
                  <c:strCache>
                    <c:ptCount val="1"/>
                    <c:pt idx="0">
                      <c:v>TELENET</c:v>
                    </c:pt>
                  </c:strCache>
                </c:strRef>
              </c:tx>
              <c:spPr/>
              <c:txPr>
                <a:bodyPr/>
                <a:lstStyle/>
                <a:p>
                  <a:pPr>
                    <a:defRPr sz="1000" b="1"/>
                  </a:pPr>
                  <a:endParaRPr lang="fr-FR"/>
                </a:p>
              </c:txPr>
              <c:dLblPos val="ctr"/>
              <c:showLegendKey val="0"/>
              <c:showVal val="1"/>
              <c:showCatName val="0"/>
              <c:showSerName val="0"/>
              <c:showPercent val="0"/>
              <c:showBubbleSize val="0"/>
            </c:dLbl>
            <c:dLbl>
              <c:idx val="5"/>
              <c:tx>
                <c:strRef>
                  <c:f>Ranking!$AH$12</c:f>
                  <c:strCache>
                    <c:ptCount val="1"/>
                    <c:pt idx="0">
                      <c:v>TDC</c:v>
                    </c:pt>
                  </c:strCache>
                </c:strRef>
              </c:tx>
              <c:dLblPos val="ctr"/>
              <c:showLegendKey val="0"/>
              <c:showVal val="1"/>
              <c:showCatName val="0"/>
              <c:showSerName val="0"/>
              <c:showPercent val="0"/>
              <c:showBubbleSize val="0"/>
            </c:dLbl>
            <c:dLbl>
              <c:idx val="6"/>
              <c:tx>
                <c:strRef>
                  <c:f>Ranking!$AH$13</c:f>
                  <c:strCache>
                    <c:ptCount val="1"/>
                    <c:pt idx="0">
                      <c:v>TEF</c:v>
                    </c:pt>
                  </c:strCache>
                </c:strRef>
              </c:tx>
              <c:dLblPos val="ctr"/>
              <c:showLegendKey val="0"/>
              <c:showVal val="1"/>
              <c:showCatName val="0"/>
              <c:showSerName val="0"/>
              <c:showPercent val="0"/>
              <c:showBubbleSize val="0"/>
            </c:dLbl>
            <c:dLbl>
              <c:idx val="7"/>
              <c:tx>
                <c:strRef>
                  <c:f>Ranking!$AH$14</c:f>
                  <c:strCache>
                    <c:ptCount val="1"/>
                    <c:pt idx="0">
                      <c:v>ELI</c:v>
                    </c:pt>
                  </c:strCache>
                </c:strRef>
              </c:tx>
              <c:dLblPos val="ctr"/>
              <c:showLegendKey val="0"/>
              <c:showVal val="1"/>
              <c:showCatName val="0"/>
              <c:showSerName val="0"/>
              <c:showPercent val="0"/>
              <c:showBubbleSize val="0"/>
            </c:dLbl>
            <c:dLbl>
              <c:idx val="8"/>
              <c:tx>
                <c:strRef>
                  <c:f>Ranking!$AH$15</c:f>
                  <c:strCache>
                    <c:ptCount val="1"/>
                    <c:pt idx="0">
                      <c:v>ILD</c:v>
                    </c:pt>
                  </c:strCache>
                </c:strRef>
              </c:tx>
              <c:dLblPos val="ctr"/>
              <c:showLegendKey val="0"/>
              <c:showVal val="1"/>
              <c:showCatName val="0"/>
              <c:showSerName val="0"/>
              <c:showPercent val="0"/>
              <c:showBubbleSize val="0"/>
            </c:dLbl>
            <c:dLbl>
              <c:idx val="9"/>
              <c:tx>
                <c:strRef>
                  <c:f>Ranking!$AH$16</c:f>
                  <c:strCache>
                    <c:ptCount val="1"/>
                    <c:pt idx="0">
                      <c:v>ORA</c:v>
                    </c:pt>
                  </c:strCache>
                </c:strRef>
              </c:tx>
              <c:dLblPos val="ctr"/>
              <c:showLegendKey val="0"/>
              <c:showVal val="1"/>
              <c:showCatName val="0"/>
              <c:showSerName val="0"/>
              <c:showPercent val="0"/>
              <c:showBubbleSize val="0"/>
            </c:dLbl>
            <c:dLbl>
              <c:idx val="10"/>
              <c:tx>
                <c:strRef>
                  <c:f>Ranking!$AH$17</c:f>
                  <c:strCache>
                    <c:ptCount val="1"/>
                    <c:pt idx="0">
                      <c:v>OTE</c:v>
                    </c:pt>
                  </c:strCache>
                </c:strRef>
              </c:tx>
              <c:dLblPos val="ctr"/>
              <c:showLegendKey val="0"/>
              <c:showVal val="1"/>
              <c:showCatName val="0"/>
              <c:showSerName val="0"/>
              <c:showPercent val="0"/>
              <c:showBubbleSize val="0"/>
            </c:dLbl>
            <c:dLbl>
              <c:idx val="11"/>
              <c:tx>
                <c:strRef>
                  <c:f>Ranking!$AH$18</c:f>
                  <c:strCache>
                    <c:ptCount val="1"/>
                    <c:pt idx="0">
                      <c:v>TIT</c:v>
                    </c:pt>
                  </c:strCache>
                </c:strRef>
              </c:tx>
              <c:dLblPos val="ctr"/>
              <c:showLegendKey val="0"/>
              <c:showVal val="1"/>
              <c:showCatName val="0"/>
              <c:showSerName val="0"/>
              <c:showPercent val="0"/>
              <c:showBubbleSize val="0"/>
            </c:dLbl>
            <c:dLbl>
              <c:idx val="12"/>
              <c:layout>
                <c:manualLayout>
                  <c:x val="-3.6222023637584276E-2"/>
                  <c:y val="0"/>
                </c:manualLayout>
              </c:layout>
              <c:tx>
                <c:strRef>
                  <c:f>Ranking!$AH$19</c:f>
                  <c:strCache>
                    <c:ptCount val="1"/>
                    <c:pt idx="0">
                      <c:v>TEL</c:v>
                    </c:pt>
                  </c:strCache>
                </c:strRef>
              </c:tx>
              <c:dLblPos val="r"/>
              <c:showLegendKey val="0"/>
              <c:showVal val="1"/>
              <c:showCatName val="0"/>
              <c:showSerName val="0"/>
              <c:showPercent val="0"/>
              <c:showBubbleSize val="0"/>
            </c:dLbl>
            <c:dLbl>
              <c:idx val="13"/>
              <c:tx>
                <c:strRef>
                  <c:f>Ranking!$AH$20</c:f>
                  <c:strCache>
                    <c:ptCount val="1"/>
                    <c:pt idx="0">
                      <c:v>KPN</c:v>
                    </c:pt>
                  </c:strCache>
                </c:strRef>
              </c:tx>
              <c:dLblPos val="ctr"/>
              <c:showLegendKey val="0"/>
              <c:showVal val="1"/>
              <c:showCatName val="0"/>
              <c:showSerName val="0"/>
              <c:showPercent val="0"/>
              <c:showBubbleSize val="0"/>
            </c:dLbl>
            <c:dLbl>
              <c:idx val="14"/>
              <c:tx>
                <c:strRef>
                  <c:f>Ranking!$AH$21</c:f>
                  <c:strCache>
                    <c:ptCount val="1"/>
                    <c:pt idx="0">
                      <c:v>TPS</c:v>
                    </c:pt>
                  </c:strCache>
                </c:strRef>
              </c:tx>
              <c:dLblPos val="ctr"/>
              <c:showLegendKey val="0"/>
              <c:showVal val="1"/>
              <c:showCatName val="0"/>
              <c:showSerName val="0"/>
              <c:showPercent val="0"/>
              <c:showBubbleSize val="0"/>
            </c:dLbl>
            <c:dLbl>
              <c:idx val="15"/>
              <c:tx>
                <c:strRef>
                  <c:f>Ranking!$AH$22</c:f>
                  <c:strCache>
                    <c:ptCount val="1"/>
                    <c:pt idx="0">
                      <c:v>PT</c:v>
                    </c:pt>
                  </c:strCache>
                </c:strRef>
              </c:tx>
              <c:dLblPos val="ctr"/>
              <c:showLegendKey val="0"/>
              <c:showVal val="1"/>
              <c:showCatName val="0"/>
              <c:showSerName val="0"/>
              <c:showPercent val="0"/>
              <c:showBubbleSize val="0"/>
            </c:dLbl>
            <c:dLbl>
              <c:idx val="16"/>
              <c:tx>
                <c:strRef>
                  <c:f>Ranking!$AH$23</c:f>
                  <c:strCache>
                    <c:ptCount val="1"/>
                    <c:pt idx="0">
                      <c:v>BT</c:v>
                    </c:pt>
                  </c:strCache>
                </c:strRef>
              </c:tx>
              <c:dLblPos val="ctr"/>
              <c:showLegendKey val="0"/>
              <c:showVal val="1"/>
              <c:showCatName val="0"/>
              <c:showSerName val="0"/>
              <c:showPercent val="0"/>
              <c:showBubbleSize val="0"/>
            </c:dLbl>
            <c:dLbl>
              <c:idx val="17"/>
              <c:tx>
                <c:strRef>
                  <c:f>Ranking!$AH$24</c:f>
                  <c:strCache>
                    <c:ptCount val="1"/>
                    <c:pt idx="0">
                      <c:v>VOD</c:v>
                    </c:pt>
                  </c:strCache>
                </c:strRef>
              </c:tx>
              <c:dLblPos val="ctr"/>
              <c:showLegendKey val="0"/>
              <c:showVal val="1"/>
              <c:showCatName val="0"/>
              <c:showSerName val="0"/>
              <c:showPercent val="0"/>
              <c:showBubbleSize val="0"/>
            </c:dLbl>
            <c:dLbl>
              <c:idx val="18"/>
              <c:tx>
                <c:strRef>
                  <c:f>Ranking!$AH$25</c:f>
                  <c:strCache>
                    <c:ptCount val="1"/>
                    <c:pt idx="0">
                      <c:v>TLSN</c:v>
                    </c:pt>
                  </c:strCache>
                </c:strRef>
              </c:tx>
              <c:dLblPos val="ctr"/>
              <c:showLegendKey val="0"/>
              <c:showVal val="1"/>
              <c:showCatName val="0"/>
              <c:showSerName val="0"/>
              <c:showPercent val="0"/>
              <c:showBubbleSize val="0"/>
            </c:dLbl>
            <c:dLbl>
              <c:idx val="19"/>
              <c:tx>
                <c:strRef>
                  <c:f>Ranking!$AH$26</c:f>
                  <c:strCache>
                    <c:ptCount val="1"/>
                    <c:pt idx="0">
                      <c:v>TEL2</c:v>
                    </c:pt>
                  </c:strCache>
                </c:strRef>
              </c:tx>
              <c:dLblPos val="ctr"/>
              <c:showLegendKey val="0"/>
              <c:showVal val="1"/>
              <c:showCatName val="0"/>
              <c:showSerName val="0"/>
              <c:showPercent val="0"/>
              <c:showBubbleSize val="0"/>
            </c:dLbl>
            <c:dLbl>
              <c:idx val="20"/>
              <c:tx>
                <c:strRef>
                  <c:f>Ranking!$AH$27</c:f>
                  <c:strCache>
                    <c:ptCount val="1"/>
                    <c:pt idx="0">
                      <c:v>SCM</c:v>
                    </c:pt>
                  </c:strCache>
                </c:strRef>
              </c:tx>
              <c:dLblPos val="ctr"/>
              <c:showLegendKey val="0"/>
              <c:showVal val="1"/>
              <c:showCatName val="0"/>
              <c:showSerName val="0"/>
              <c:showPercent val="0"/>
              <c:showBubbleSize val="0"/>
            </c:dLbl>
            <c:dLbl>
              <c:idx val="21"/>
              <c:tx>
                <c:strRef>
                  <c:f>Ranking!$AH$28</c:f>
                  <c:strCache>
                    <c:ptCount val="1"/>
                    <c:pt idx="0">
                      <c:v>SNC</c:v>
                    </c:pt>
                  </c:strCache>
                </c:strRef>
              </c:tx>
              <c:dLblPos val="ctr"/>
              <c:showLegendKey val="0"/>
              <c:showVal val="1"/>
              <c:showCatName val="0"/>
              <c:showSerName val="0"/>
              <c:showPercent val="0"/>
              <c:showBubbleSize val="0"/>
            </c:dLbl>
            <c:txPr>
              <a:bodyPr/>
              <a:lstStyle/>
              <a:p>
                <a:pPr>
                  <a:defRPr sz="1000" b="0"/>
                </a:pPr>
                <a:endParaRPr lang="fr-FR"/>
              </a:p>
            </c:txPr>
            <c:showLegendKey val="0"/>
            <c:showVal val="1"/>
            <c:showCatName val="0"/>
            <c:showSerName val="0"/>
            <c:showPercent val="0"/>
            <c:showBubbleSize val="0"/>
            <c:showLeaderLines val="0"/>
          </c:dLbls>
          <c:trendline>
            <c:spPr>
              <a:ln>
                <a:solidFill>
                  <a:schemeClr val="bg1">
                    <a:lumMod val="50000"/>
                  </a:schemeClr>
                </a:solidFill>
              </a:ln>
            </c:spPr>
            <c:trendlineType val="linear"/>
            <c:dispRSqr val="1"/>
            <c:dispEq val="0"/>
            <c:trendlineLbl>
              <c:numFmt formatCode="General" sourceLinked="0"/>
              <c:txPr>
                <a:bodyPr/>
                <a:lstStyle/>
                <a:p>
                  <a:pPr>
                    <a:defRPr sz="1000">
                      <a:solidFill>
                        <a:schemeClr val="bg1">
                          <a:lumMod val="50000"/>
                        </a:schemeClr>
                      </a:solidFill>
                    </a:defRPr>
                  </a:pPr>
                  <a:endParaRPr lang="fr-FR"/>
                </a:p>
              </c:txPr>
            </c:trendlineLbl>
          </c:trendline>
          <c:xVal>
            <c:numRef>
              <c:f>Ranking!$AT$7:$AT$28</c:f>
            </c:numRef>
          </c:xVal>
          <c:yVal>
            <c:numRef>
              <c:f>Ranking!$AU$7:$AU$28</c:f>
            </c:numRef>
          </c:yVal>
          <c:smooth val="0"/>
        </c:ser>
        <c:dLbls>
          <c:showLegendKey val="0"/>
          <c:showVal val="0"/>
          <c:showCatName val="0"/>
          <c:showSerName val="0"/>
          <c:showPercent val="0"/>
          <c:showBubbleSize val="0"/>
        </c:dLbls>
        <c:axId val="235069824"/>
        <c:axId val="235071360"/>
      </c:scatterChart>
      <c:valAx>
        <c:axId val="235069824"/>
        <c:scaling>
          <c:orientation val="minMax"/>
          <c:max val="0.4"/>
          <c:min val="-0.4"/>
        </c:scaling>
        <c:delete val="0"/>
        <c:axPos val="b"/>
        <c:numFmt formatCode="0%" sourceLinked="1"/>
        <c:majorTickMark val="out"/>
        <c:minorTickMark val="none"/>
        <c:tickLblPos val="nextTo"/>
        <c:crossAx val="235071360"/>
        <c:crossesAt val="0"/>
        <c:crossBetween val="midCat"/>
        <c:majorUnit val="0.1"/>
      </c:valAx>
      <c:valAx>
        <c:axId val="235071360"/>
        <c:scaling>
          <c:orientation val="minMax"/>
        </c:scaling>
        <c:delete val="0"/>
        <c:axPos val="l"/>
        <c:majorGridlines>
          <c:spPr>
            <a:ln>
              <a:prstDash val="dash"/>
            </a:ln>
          </c:spPr>
        </c:majorGridlines>
        <c:numFmt formatCode="0%" sourceLinked="0"/>
        <c:majorTickMark val="out"/>
        <c:minorTickMark val="none"/>
        <c:tickLblPos val="nextTo"/>
        <c:crossAx val="235069824"/>
        <c:crossesAt val="0"/>
        <c:crossBetween val="midCat"/>
      </c:valAx>
    </c:plotArea>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'Bloom Cleaner Data'!$A$35</c:f>
              <c:strCache>
                <c:ptCount val="1"/>
                <c:pt idx="0">
                  <c:v>E300 Telco</c:v>
                </c:pt>
              </c:strCache>
            </c:strRef>
          </c:tx>
          <c:spPr>
            <a:ln w="19050">
              <a:solidFill>
                <a:schemeClr val="bg2">
                  <a:lumMod val="75000"/>
                </a:schemeClr>
              </a:solidFill>
            </a:ln>
          </c:spPr>
          <c:marker>
            <c:symbol val="none"/>
          </c:marker>
          <c:cat>
            <c:numRef>
              <c:f>'Bloom Cleaner Data'!$DA$42:$DP$42</c:f>
              <c:numCache>
                <c:formatCode>m/d/yyyy</c:formatCode>
                <c:ptCount val="16"/>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numCache>
            </c:numRef>
          </c:cat>
          <c:val>
            <c:numRef>
              <c:f>'Bloom Cleaner Data'!$DA$35:$DP$35</c:f>
              <c:numCache>
                <c:formatCode>0.0</c:formatCode>
                <c:ptCount val="16"/>
                <c:pt idx="0">
                  <c:v>5.6085000000000003</c:v>
                </c:pt>
                <c:pt idx="1">
                  <c:v>5.6410999999999998</c:v>
                </c:pt>
                <c:pt idx="2">
                  <c:v>5.4523999999999999</c:v>
                </c:pt>
                <c:pt idx="3">
                  <c:v>5.8440000000000003</c:v>
                </c:pt>
                <c:pt idx="4">
                  <c:v>5.6459000000000001</c:v>
                </c:pt>
                <c:pt idx="5">
                  <c:v>5.8033000000000001</c:v>
                </c:pt>
                <c:pt idx="6">
                  <c:v>5.6826999999999996</c:v>
                </c:pt>
                <c:pt idx="7">
                  <c:v>5.4458000000000002</c:v>
                </c:pt>
                <c:pt idx="8">
                  <c:v>5.3807200000000002</c:v>
                </c:pt>
                <c:pt idx="9">
                  <c:v>5.3156400000000001</c:v>
                </c:pt>
                <c:pt idx="10">
                  <c:v>5.2505600000000001</c:v>
                </c:pt>
                <c:pt idx="11">
                  <c:v>5.1854800000000001</c:v>
                </c:pt>
                <c:pt idx="12">
                  <c:v>5.1204000000000001</c:v>
                </c:pt>
                <c:pt idx="13">
                  <c:v>5.5153333333333334</c:v>
                </c:pt>
                <c:pt idx="14">
                  <c:v>5.9102666666666668</c:v>
                </c:pt>
                <c:pt idx="15">
                  <c:v>6.3052000000000001</c:v>
                </c:pt>
              </c:numCache>
            </c:numRef>
          </c:val>
          <c:smooth val="0"/>
        </c:ser>
        <c:ser>
          <c:idx val="1"/>
          <c:order val="1"/>
          <c:tx>
            <c:strRef>
              <c:f>'Bloom Cleaner Data'!$A$38</c:f>
              <c:strCache>
                <c:ptCount val="1"/>
                <c:pt idx="0">
                  <c:v>E300 Mobile</c:v>
                </c:pt>
              </c:strCache>
            </c:strRef>
          </c:tx>
          <c:spPr>
            <a:ln w="19050">
              <a:solidFill>
                <a:srgbClr val="FFC000"/>
              </a:solidFill>
            </a:ln>
          </c:spPr>
          <c:marker>
            <c:symbol val="none"/>
          </c:marker>
          <c:val>
            <c:numRef>
              <c:f>'Bloom Cleaner Data'!$DA$38:$DP$38</c:f>
              <c:numCache>
                <c:formatCode>0.0</c:formatCode>
                <c:ptCount val="16"/>
                <c:pt idx="0">
                  <c:v>6.1997</c:v>
                </c:pt>
                <c:pt idx="1">
                  <c:v>6.2983000000000002</c:v>
                </c:pt>
                <c:pt idx="2">
                  <c:v>6.1234000000000002</c:v>
                </c:pt>
                <c:pt idx="3">
                  <c:v>6.5911999999999997</c:v>
                </c:pt>
                <c:pt idx="4">
                  <c:v>6.6402000000000001</c:v>
                </c:pt>
                <c:pt idx="5">
                  <c:v>6.8207000000000004</c:v>
                </c:pt>
                <c:pt idx="6">
                  <c:v>6.6776999999999997</c:v>
                </c:pt>
                <c:pt idx="7">
                  <c:v>6.476</c:v>
                </c:pt>
                <c:pt idx="8">
                  <c:v>6.4140600000000001</c:v>
                </c:pt>
                <c:pt idx="9">
                  <c:v>6.3521200000000002</c:v>
                </c:pt>
                <c:pt idx="10">
                  <c:v>6.2901799999999994</c:v>
                </c:pt>
                <c:pt idx="11">
                  <c:v>6.2282399999999996</c:v>
                </c:pt>
                <c:pt idx="12">
                  <c:v>6.1662999999999997</c:v>
                </c:pt>
                <c:pt idx="13">
                  <c:v>6.8334666666666664</c:v>
                </c:pt>
                <c:pt idx="14">
                  <c:v>7.500633333333333</c:v>
                </c:pt>
                <c:pt idx="15">
                  <c:v>8.1677999999999997</c:v>
                </c:pt>
              </c:numCache>
            </c:numRef>
          </c:val>
          <c:smooth val="0"/>
        </c:ser>
        <c:ser>
          <c:idx val="2"/>
          <c:order val="2"/>
          <c:tx>
            <c:strRef>
              <c:f>'Bloom Cleaner Data'!$A$39</c:f>
              <c:strCache>
                <c:ptCount val="1"/>
                <c:pt idx="0">
                  <c:v>E300 Fixed</c:v>
                </c:pt>
              </c:strCache>
            </c:strRef>
          </c:tx>
          <c:spPr>
            <a:ln w="19050">
              <a:solidFill>
                <a:schemeClr val="accent3">
                  <a:lumMod val="50000"/>
                </a:schemeClr>
              </a:solidFill>
            </a:ln>
          </c:spPr>
          <c:marker>
            <c:symbol val="none"/>
          </c:marker>
          <c:val>
            <c:numRef>
              <c:f>'Bloom Cleaner Data'!$DA$39:$DP$39</c:f>
              <c:numCache>
                <c:formatCode>0.0</c:formatCode>
                <c:ptCount val="16"/>
                <c:pt idx="0">
                  <c:v>5.3141999999999996</c:v>
                </c:pt>
                <c:pt idx="1">
                  <c:v>5.3106</c:v>
                </c:pt>
                <c:pt idx="2">
                  <c:v>5.0982000000000003</c:v>
                </c:pt>
                <c:pt idx="3">
                  <c:v>5.4623999999999997</c:v>
                </c:pt>
                <c:pt idx="4">
                  <c:v>5.1510999999999996</c:v>
                </c:pt>
                <c:pt idx="5">
                  <c:v>5.2797999999999998</c:v>
                </c:pt>
                <c:pt idx="6">
                  <c:v>5.1737000000000002</c:v>
                </c:pt>
                <c:pt idx="7">
                  <c:v>4.8963999999999999</c:v>
                </c:pt>
                <c:pt idx="8">
                  <c:v>4.8194799999999995</c:v>
                </c:pt>
                <c:pt idx="9">
                  <c:v>4.7425600000000001</c:v>
                </c:pt>
                <c:pt idx="10">
                  <c:v>4.6656399999999998</c:v>
                </c:pt>
                <c:pt idx="11">
                  <c:v>4.5887200000000004</c:v>
                </c:pt>
                <c:pt idx="12">
                  <c:v>4.5118</c:v>
                </c:pt>
                <c:pt idx="13">
                  <c:v>4.7328999999999999</c:v>
                </c:pt>
                <c:pt idx="14">
                  <c:v>4.9539999999999997</c:v>
                </c:pt>
                <c:pt idx="15">
                  <c:v>5.1750999999999996</c:v>
                </c:pt>
              </c:numCache>
            </c:numRef>
          </c:val>
          <c:smooth val="0"/>
        </c:ser>
        <c:dLbls>
          <c:showLegendKey val="0"/>
          <c:showVal val="0"/>
          <c:showCatName val="0"/>
          <c:showSerName val="0"/>
          <c:showPercent val="0"/>
          <c:showBubbleSize val="0"/>
        </c:dLbls>
        <c:marker val="1"/>
        <c:smooth val="0"/>
        <c:axId val="179660672"/>
        <c:axId val="179662208"/>
      </c:lineChart>
      <c:dateAx>
        <c:axId val="179660672"/>
        <c:scaling>
          <c:orientation val="minMax"/>
        </c:scaling>
        <c:delete val="0"/>
        <c:axPos val="b"/>
        <c:numFmt formatCode="mm/yyyy;@" sourceLinked="0"/>
        <c:majorTickMark val="out"/>
        <c:minorTickMark val="none"/>
        <c:tickLblPos val="nextTo"/>
        <c:crossAx val="179662208"/>
        <c:crosses val="autoZero"/>
        <c:auto val="1"/>
        <c:lblOffset val="100"/>
        <c:baseTimeUnit val="months"/>
        <c:majorUnit val="6"/>
        <c:majorTimeUnit val="months"/>
      </c:dateAx>
      <c:valAx>
        <c:axId val="17966220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79660672"/>
        <c:crosses val="autoZero"/>
        <c:crossBetween val="between"/>
      </c:valAx>
      <c:spPr>
        <a:ln>
          <a:noFill/>
        </a:ln>
      </c:spPr>
    </c:plotArea>
    <c:legend>
      <c:legendPos val="b"/>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'Bloom Cleaner Data'!$A$35</c:f>
              <c:strCache>
                <c:ptCount val="1"/>
                <c:pt idx="0">
                  <c:v>E300 Telco</c:v>
                </c:pt>
              </c:strCache>
            </c:strRef>
          </c:tx>
          <c:spPr>
            <a:ln w="19050">
              <a:solidFill>
                <a:schemeClr val="bg2">
                  <a:lumMod val="75000"/>
                </a:schemeClr>
              </a:solidFill>
            </a:ln>
          </c:spPr>
          <c:marker>
            <c:symbol val="none"/>
          </c:marker>
          <c:cat>
            <c:numRef>
              <c:f>'Bloom Cleaner Data'!$DA$42:$DP$42</c:f>
              <c:numCache>
                <c:formatCode>m/d/yyyy</c:formatCode>
                <c:ptCount val="16"/>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numCache>
            </c:numRef>
          </c:cat>
          <c:val>
            <c:numRef>
              <c:f>'Bloom Cleaner Data'!$EH$35:$EO$35</c:f>
              <c:numCache>
                <c:formatCode>0.0</c:formatCode>
                <c:ptCount val="8"/>
                <c:pt idx="0">
                  <c:v>13.9069</c:v>
                </c:pt>
                <c:pt idx="1">
                  <c:v>10.9459</c:v>
                </c:pt>
                <c:pt idx="2">
                  <c:v>9.6668000000000003</c:v>
                </c:pt>
                <c:pt idx="3">
                  <c:v>8.9400999999999993</c:v>
                </c:pt>
                <c:pt idx="4">
                  <c:v>9.0245999999999995</c:v>
                </c:pt>
                <c:pt idx="5">
                  <c:v>10.416700000000001</c:v>
                </c:pt>
                <c:pt idx="6">
                  <c:v>11.169499999999999</c:v>
                </c:pt>
                <c:pt idx="7">
                  <c:v>13.183400000000001</c:v>
                </c:pt>
              </c:numCache>
            </c:numRef>
          </c:val>
          <c:smooth val="0"/>
        </c:ser>
        <c:ser>
          <c:idx val="1"/>
          <c:order val="1"/>
          <c:tx>
            <c:strRef>
              <c:f>'Bloom Cleaner Data'!$A$38</c:f>
              <c:strCache>
                <c:ptCount val="1"/>
                <c:pt idx="0">
                  <c:v>E300 Mobile</c:v>
                </c:pt>
              </c:strCache>
            </c:strRef>
          </c:tx>
          <c:spPr>
            <a:ln w="19050">
              <a:solidFill>
                <a:srgbClr val="FFC000"/>
              </a:solidFill>
            </a:ln>
          </c:spPr>
          <c:marker>
            <c:symbol val="none"/>
          </c:marker>
          <c:cat>
            <c:numRef>
              <c:f>'Bloom Cleaner Data'!$DA$42:$DP$42</c:f>
              <c:numCache>
                <c:formatCode>m/d/yyyy</c:formatCode>
                <c:ptCount val="16"/>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numCache>
            </c:numRef>
          </c:cat>
          <c:val>
            <c:numRef>
              <c:f>'Bloom Cleaner Data'!$EH$38:$EO$38</c:f>
              <c:numCache>
                <c:formatCode>0.0</c:formatCode>
                <c:ptCount val="8"/>
                <c:pt idx="0">
                  <c:v>16.6341</c:v>
                </c:pt>
                <c:pt idx="1">
                  <c:v>11.0204</c:v>
                </c:pt>
                <c:pt idx="2">
                  <c:v>10.469799999999999</c:v>
                </c:pt>
                <c:pt idx="3">
                  <c:v>8.9239999999999995</c:v>
                </c:pt>
                <c:pt idx="4">
                  <c:v>9.4634999999999998</c:v>
                </c:pt>
                <c:pt idx="5">
                  <c:v>12.786200000000001</c:v>
                </c:pt>
                <c:pt idx="6">
                  <c:v>12.34</c:v>
                </c:pt>
                <c:pt idx="7">
                  <c:v>13.475199999999999</c:v>
                </c:pt>
              </c:numCache>
            </c:numRef>
          </c:val>
          <c:smooth val="0"/>
        </c:ser>
        <c:ser>
          <c:idx val="2"/>
          <c:order val="2"/>
          <c:tx>
            <c:strRef>
              <c:f>'Bloom Cleaner Data'!$A$39</c:f>
              <c:strCache>
                <c:ptCount val="1"/>
                <c:pt idx="0">
                  <c:v>E300 Fixed</c:v>
                </c:pt>
              </c:strCache>
            </c:strRef>
          </c:tx>
          <c:spPr>
            <a:ln w="19050">
              <a:solidFill>
                <a:schemeClr val="accent3">
                  <a:lumMod val="50000"/>
                </a:schemeClr>
              </a:solidFill>
            </a:ln>
          </c:spPr>
          <c:marker>
            <c:symbol val="none"/>
          </c:marker>
          <c:cat>
            <c:numRef>
              <c:f>'Bloom Cleaner Data'!$DA$42:$DP$42</c:f>
              <c:numCache>
                <c:formatCode>m/d/yyyy</c:formatCode>
                <c:ptCount val="16"/>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numCache>
            </c:numRef>
          </c:cat>
          <c:val>
            <c:numRef>
              <c:f>'Bloom Cleaner Data'!$EH$39:$EO$39</c:f>
              <c:numCache>
                <c:formatCode>0.0</c:formatCode>
                <c:ptCount val="8"/>
                <c:pt idx="0">
                  <c:v>12.514799999999999</c:v>
                </c:pt>
                <c:pt idx="1">
                  <c:v>10.891500000000001</c:v>
                </c:pt>
                <c:pt idx="2">
                  <c:v>9.0869</c:v>
                </c:pt>
                <c:pt idx="3">
                  <c:v>8.9527000000000001</c:v>
                </c:pt>
                <c:pt idx="4">
                  <c:v>8.6904000000000003</c:v>
                </c:pt>
                <c:pt idx="5">
                  <c:v>8.9420999999999999</c:v>
                </c:pt>
                <c:pt idx="6">
                  <c:v>10.296099999999999</c:v>
                </c:pt>
                <c:pt idx="7">
                  <c:v>12.899900000000001</c:v>
                </c:pt>
              </c:numCache>
            </c:numRef>
          </c:val>
          <c:smooth val="0"/>
        </c:ser>
        <c:dLbls>
          <c:showLegendKey val="0"/>
          <c:showVal val="0"/>
          <c:showCatName val="0"/>
          <c:showSerName val="0"/>
          <c:showPercent val="0"/>
          <c:showBubbleSize val="0"/>
        </c:dLbls>
        <c:marker val="1"/>
        <c:smooth val="0"/>
        <c:axId val="179698304"/>
        <c:axId val="180294016"/>
      </c:lineChart>
      <c:dateAx>
        <c:axId val="179698304"/>
        <c:scaling>
          <c:orientation val="minMax"/>
          <c:max val="41547"/>
        </c:scaling>
        <c:delete val="0"/>
        <c:axPos val="b"/>
        <c:numFmt formatCode="mm/yyyy;@" sourceLinked="0"/>
        <c:majorTickMark val="out"/>
        <c:minorTickMark val="none"/>
        <c:tickLblPos val="nextTo"/>
        <c:crossAx val="180294016"/>
        <c:crosses val="autoZero"/>
        <c:auto val="1"/>
        <c:lblOffset val="100"/>
        <c:baseTimeUnit val="months"/>
        <c:majorUnit val="6"/>
        <c:majorTimeUnit val="months"/>
      </c:dateAx>
      <c:valAx>
        <c:axId val="18029401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crossAx val="179698304"/>
        <c:crosses val="autoZero"/>
        <c:crossBetween val="between"/>
      </c:valAx>
      <c:spPr>
        <a:ln>
          <a:noFill/>
        </a:ln>
      </c:spPr>
    </c:plotArea>
    <c:legend>
      <c:legendPos val="b"/>
      <c:overlay val="0"/>
    </c:legend>
    <c:plotVisOnly val="1"/>
    <c:dispBlanksAs val="gap"/>
    <c:showDLblsOverMax val="0"/>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a:noFill/>
            </a:ln>
          </c:spPr>
          <c:marker>
            <c:symbol val="dash"/>
            <c:size val="30"/>
            <c:spPr>
              <a:solidFill>
                <a:srgbClr val="FFC000">
                  <a:alpha val="47059"/>
                </a:srgbClr>
              </a:solidFill>
              <a:ln>
                <a:noFill/>
              </a:ln>
            </c:spPr>
          </c:marker>
          <c:dLbls>
            <c:dLbl>
              <c:idx val="0"/>
              <c:tx>
                <c:strRef>
                  <c:f>PROFILES!$AU$198</c:f>
                  <c:strCache>
                    <c:ptCount val="1"/>
                    <c:pt idx="0">
                      <c:v>TKA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
              <c:tx>
                <c:strRef>
                  <c:f>PROFILES!$AU$199</c:f>
                  <c:strCache>
                    <c:ptCount val="1"/>
                    <c:pt idx="0">
                      <c:v>BELGACOM</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2"/>
              <c:tx>
                <c:strRef>
                  <c:f>PROFILES!$AU$200</c:f>
                  <c:strCache>
                    <c:ptCount val="1"/>
                    <c:pt idx="0">
                      <c:v>MOBISTAR</c:v>
                    </c:pt>
                  </c:strCache>
                </c:strRef>
              </c:tx>
              <c:spPr/>
              <c:txPr>
                <a:bodyPr/>
                <a:lstStyle/>
                <a:p>
                  <a:pPr>
                    <a:defRPr sz="1000" b="1" i="0" strike="noStrike">
                      <a:latin typeface="Arial"/>
                    </a:defRPr>
                  </a:pPr>
                  <a:endParaRPr lang="fr-FR"/>
                </a:p>
              </c:txPr>
              <c:dLblPos val="ctr"/>
              <c:showLegendKey val="0"/>
              <c:showVal val="1"/>
              <c:showCatName val="0"/>
              <c:showSerName val="0"/>
              <c:showPercent val="0"/>
              <c:showBubbleSize val="0"/>
            </c:dLbl>
            <c:dLbl>
              <c:idx val="3"/>
              <c:tx>
                <c:strRef>
                  <c:f>PROFILES!$AU$201</c:f>
                  <c:strCache>
                    <c:ptCount val="1"/>
                    <c:pt idx="0">
                      <c:v>TNET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4"/>
              <c:tx>
                <c:strRef>
                  <c:f>PROFILES!$AU$202</c:f>
                  <c:strCache>
                    <c:ptCount val="1"/>
                    <c:pt idx="0">
                      <c:v>TDC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5"/>
              <c:tx>
                <c:strRef>
                  <c:f>PROFILES!$AU$203</c:f>
                  <c:strCache>
                    <c:ptCount val="1"/>
                    <c:pt idx="0">
                      <c:v>TEF</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6"/>
              <c:tx>
                <c:strRef>
                  <c:f>PROFILES!$AU$204</c:f>
                  <c:strCache>
                    <c:ptCount val="1"/>
                    <c:pt idx="0">
                      <c:v>ELI</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7"/>
              <c:tx>
                <c:strRef>
                  <c:f>PROFILES!$AU$205</c:f>
                  <c:strCache>
                    <c:ptCount val="1"/>
                    <c:pt idx="0">
                      <c:v>ILD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8"/>
              <c:tx>
                <c:strRef>
                  <c:f>PROFILES!$AU$206</c:f>
                  <c:strCache>
                    <c:ptCount val="1"/>
                    <c:pt idx="0">
                      <c:v>ORA</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9"/>
              <c:tx>
                <c:strRef>
                  <c:f>PROFILES!$AU$207</c:f>
                  <c:strCache>
                    <c:ptCount val="1"/>
                    <c:pt idx="0">
                      <c:v>OTE</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0"/>
              <c:tx>
                <c:strRef>
                  <c:f>PROFILES!$AU$208</c:f>
                  <c:strCache>
                    <c:ptCount val="1"/>
                    <c:pt idx="0">
                      <c:v>TIT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1"/>
              <c:tx>
                <c:strRef>
                  <c:f>PROFILES!$AU$209</c:f>
                  <c:strCache>
                    <c:ptCount val="1"/>
                    <c:pt idx="0">
                      <c:v>TEL</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2"/>
              <c:tx>
                <c:strRef>
                  <c:f>PROFILES!$AU$210</c:f>
                  <c:strCache>
                    <c:ptCount val="1"/>
                    <c:pt idx="0">
                      <c:v>KPN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3"/>
              <c:tx>
                <c:strRef>
                  <c:f>PROFILES!$AU$211</c:f>
                  <c:strCache>
                    <c:ptCount val="1"/>
                    <c:pt idx="0">
                      <c:v>TPS</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4"/>
              <c:tx>
                <c:strRef>
                  <c:f>PROFILES!$AU$212</c:f>
                  <c:strCache>
                    <c:ptCount val="1"/>
                    <c:pt idx="0">
                      <c:v>PT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5"/>
              <c:tx>
                <c:strRef>
                  <c:f>PROFILES!$AU$213</c:f>
                  <c:strCache>
                    <c:ptCount val="1"/>
                    <c:pt idx="0">
                      <c:v>BT</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6"/>
              <c:tx>
                <c:strRef>
                  <c:f>PROFILES!$AU$214</c:f>
                  <c:strCache>
                    <c:ptCount val="1"/>
                    <c:pt idx="0">
                      <c:v>VOD</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7"/>
              <c:tx>
                <c:strRef>
                  <c:f>PROFILES!$AU$215</c:f>
                  <c:strCache>
                    <c:ptCount val="1"/>
                    <c:pt idx="0">
                      <c:v>TLSN</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8"/>
              <c:tx>
                <c:strRef>
                  <c:f>PROFILES!$AU$216</c:f>
                  <c:strCache>
                    <c:ptCount val="1"/>
                    <c:pt idx="0">
                      <c:v>TEL2</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19"/>
              <c:tx>
                <c:strRef>
                  <c:f>PROFILES!$AU$217</c:f>
                  <c:strCache>
                    <c:ptCount val="1"/>
                    <c:pt idx="0">
                      <c:v>SCM</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dLbl>
              <c:idx val="20"/>
              <c:tx>
                <c:strRef>
                  <c:f>PROFILES!$AU$218</c:f>
                  <c:strCache>
                    <c:ptCount val="1"/>
                    <c:pt idx="0">
                      <c:v>SNC</c:v>
                    </c:pt>
                  </c:strCache>
                </c:strRef>
              </c:tx>
              <c:spPr/>
              <c:txPr>
                <a:bodyPr/>
                <a:lstStyle/>
                <a:p>
                  <a:pPr>
                    <a:defRPr sz="1000" b="0" i="0" strike="noStrike">
                      <a:latin typeface="Arial"/>
                    </a:defRPr>
                  </a:pPr>
                  <a:endParaRPr lang="fr-FR"/>
                </a:p>
              </c:txPr>
              <c:dLblPos val="ctr"/>
              <c:showLegendKey val="0"/>
              <c:showVal val="1"/>
              <c:showCatName val="0"/>
              <c:showSerName val="0"/>
              <c:showPercent val="0"/>
              <c:showBubbleSize val="0"/>
            </c:dLbl>
            <c:showLegendKey val="0"/>
            <c:showVal val="1"/>
            <c:showCatName val="0"/>
            <c:showSerName val="0"/>
            <c:showPercent val="0"/>
            <c:showBubbleSize val="0"/>
            <c:showLeaderLines val="0"/>
          </c:dLbls>
          <c:trendline>
            <c:spPr>
              <a:ln>
                <a:solidFill>
                  <a:schemeClr val="bg1">
                    <a:lumMod val="50000"/>
                  </a:schemeClr>
                </a:solidFill>
                <a:prstDash val="dash"/>
              </a:ln>
            </c:spPr>
            <c:trendlineType val="poly"/>
            <c:order val="2"/>
            <c:dispRSqr val="0"/>
            <c:dispEq val="0"/>
          </c:trendline>
          <c:xVal>
            <c:numRef>
              <c:f>PROFILES!$AJ$198:$AJ$218</c:f>
            </c:numRef>
          </c:xVal>
          <c:yVal>
            <c:numRef>
              <c:f>PROFILES!$AK$198:$AK$218</c:f>
            </c:numRef>
          </c:yVal>
          <c:smooth val="0"/>
        </c:ser>
        <c:dLbls>
          <c:showLegendKey val="0"/>
          <c:showVal val="0"/>
          <c:showCatName val="0"/>
          <c:showSerName val="0"/>
          <c:showPercent val="0"/>
          <c:showBubbleSize val="0"/>
        </c:dLbls>
        <c:axId val="189041280"/>
        <c:axId val="189059456"/>
      </c:scatterChart>
      <c:valAx>
        <c:axId val="189041280"/>
        <c:scaling>
          <c:orientation val="minMax"/>
        </c:scaling>
        <c:delete val="0"/>
        <c:axPos val="b"/>
        <c:numFmt formatCode="0%" sourceLinked="1"/>
        <c:majorTickMark val="out"/>
        <c:minorTickMark val="none"/>
        <c:tickLblPos val="nextTo"/>
        <c:txPr>
          <a:bodyPr/>
          <a:lstStyle/>
          <a:p>
            <a:pPr>
              <a:defRPr sz="1200" baseline="0">
                <a:latin typeface="Arial" pitchFamily="34" charset="0"/>
              </a:defRPr>
            </a:pPr>
            <a:endParaRPr lang="fr-FR"/>
          </a:p>
        </c:txPr>
        <c:crossAx val="189059456"/>
        <c:crosses val="autoZero"/>
        <c:crossBetween val="midCat"/>
      </c:valAx>
      <c:valAx>
        <c:axId val="189059456"/>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txPr>
          <a:bodyPr/>
          <a:lstStyle/>
          <a:p>
            <a:pPr>
              <a:defRPr sz="1200" baseline="0">
                <a:latin typeface="Arial" pitchFamily="34" charset="0"/>
              </a:defRPr>
            </a:pPr>
            <a:endParaRPr lang="fr-FR"/>
          </a:p>
        </c:txPr>
        <c:crossAx val="189041280"/>
        <c:crosses val="autoZero"/>
        <c:crossBetween val="midCat"/>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hyperlink" Target="http://www.marpij.com/" TargetMode="External"/></Relationships>
</file>

<file path=xl/drawings/_rels/drawing15.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7.xml"/><Relationship Id="rId21" Type="http://schemas.openxmlformats.org/officeDocument/2006/relationships/chart" Target="../charts/chart30.xml"/><Relationship Id="rId7" Type="http://schemas.openxmlformats.org/officeDocument/2006/relationships/image" Target="../media/image8.emf"/><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6.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5.xml"/><Relationship Id="rId6" Type="http://schemas.openxmlformats.org/officeDocument/2006/relationships/chart" Target="../charts/chart19.xml"/><Relationship Id="rId11" Type="http://schemas.openxmlformats.org/officeDocument/2006/relationships/image" Target="../media/image11.emf"/><Relationship Id="rId5" Type="http://schemas.openxmlformats.org/officeDocument/2006/relationships/image" Target="../media/image7.emf"/><Relationship Id="rId15" Type="http://schemas.openxmlformats.org/officeDocument/2006/relationships/chart" Target="../charts/chart24.xml"/><Relationship Id="rId10" Type="http://schemas.openxmlformats.org/officeDocument/2006/relationships/chart" Target="../charts/chart20.xml"/><Relationship Id="rId19" Type="http://schemas.openxmlformats.org/officeDocument/2006/relationships/chart" Target="../charts/chart28.xml"/><Relationship Id="rId4" Type="http://schemas.openxmlformats.org/officeDocument/2006/relationships/chart" Target="../charts/chart18.xml"/><Relationship Id="rId9" Type="http://schemas.openxmlformats.org/officeDocument/2006/relationships/image" Target="../media/image10.emf"/><Relationship Id="rId14" Type="http://schemas.openxmlformats.org/officeDocument/2006/relationships/chart" Target="../charts/chart23.xml"/><Relationship Id="rId22"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chart" Target="../charts/chart9.xml"/><Relationship Id="rId18"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image" Target="../media/image1.png"/><Relationship Id="rId12" Type="http://schemas.openxmlformats.org/officeDocument/2006/relationships/image" Target="../media/image4.emf"/><Relationship Id="rId17" Type="http://schemas.openxmlformats.org/officeDocument/2006/relationships/image" Target="../media/image6.emf"/><Relationship Id="rId2" Type="http://schemas.openxmlformats.org/officeDocument/2006/relationships/chart" Target="../charts/chart2.xml"/><Relationship Id="rId16" Type="http://schemas.openxmlformats.org/officeDocument/2006/relationships/image" Target="../media/image5.emf"/><Relationship Id="rId20"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8.xml"/><Relationship Id="rId5" Type="http://schemas.openxmlformats.org/officeDocument/2006/relationships/chart" Target="../charts/chart5.xml"/><Relationship Id="rId15" Type="http://schemas.openxmlformats.org/officeDocument/2006/relationships/chart" Target="../charts/chart11.xml"/><Relationship Id="rId10" Type="http://schemas.openxmlformats.org/officeDocument/2006/relationships/chart" Target="../charts/chart7.xml"/><Relationship Id="rId19" Type="http://schemas.openxmlformats.org/officeDocument/2006/relationships/chart" Target="../charts/chart13.xml"/><Relationship Id="rId4" Type="http://schemas.openxmlformats.org/officeDocument/2006/relationships/chart" Target="../charts/chart4.xml"/><Relationship Id="rId9" Type="http://schemas.openxmlformats.org/officeDocument/2006/relationships/image" Target="../media/image3.emf"/><Relationship Id="rId14" Type="http://schemas.openxmlformats.org/officeDocument/2006/relationships/chart" Target="../charts/chart10.xml"/></Relationships>
</file>

<file path=xl/drawings/_rels/drawing31.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emf"/><Relationship Id="rId18" Type="http://schemas.openxmlformats.org/officeDocument/2006/relationships/chart" Target="../charts/chart35.xml"/><Relationship Id="rId3" Type="http://schemas.openxmlformats.org/officeDocument/2006/relationships/image" Target="../media/image14.emf"/><Relationship Id="rId7" Type="http://schemas.openxmlformats.org/officeDocument/2006/relationships/image" Target="../media/image18.gif"/><Relationship Id="rId12" Type="http://schemas.openxmlformats.org/officeDocument/2006/relationships/image" Target="../media/image23.emf"/><Relationship Id="rId17" Type="http://schemas.openxmlformats.org/officeDocument/2006/relationships/chart" Target="../charts/chart34.xml"/><Relationship Id="rId2" Type="http://schemas.openxmlformats.org/officeDocument/2006/relationships/image" Target="../media/image13.emf"/><Relationship Id="rId16" Type="http://schemas.openxmlformats.org/officeDocument/2006/relationships/chart" Target="../charts/chart33.xml"/><Relationship Id="rId1" Type="http://schemas.openxmlformats.org/officeDocument/2006/relationships/image" Target="../media/image12.emf"/><Relationship Id="rId6" Type="http://schemas.openxmlformats.org/officeDocument/2006/relationships/image" Target="../media/image17.emf"/><Relationship Id="rId11" Type="http://schemas.openxmlformats.org/officeDocument/2006/relationships/image" Target="../media/image22.emf"/><Relationship Id="rId5" Type="http://schemas.openxmlformats.org/officeDocument/2006/relationships/image" Target="../media/image16.emf"/><Relationship Id="rId15" Type="http://schemas.openxmlformats.org/officeDocument/2006/relationships/chart" Target="../charts/chart32.xml"/><Relationship Id="rId10" Type="http://schemas.openxmlformats.org/officeDocument/2006/relationships/image" Target="../media/image21.emf"/><Relationship Id="rId19" Type="http://schemas.openxmlformats.org/officeDocument/2006/relationships/chart" Target="../charts/chart36.xml"/><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5.emf"/></Relationships>
</file>

<file path=xl/drawings/_rels/drawing32.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38.emf"/><Relationship Id="rId18" Type="http://schemas.openxmlformats.org/officeDocument/2006/relationships/image" Target="../media/image43.emf"/><Relationship Id="rId3" Type="http://schemas.openxmlformats.org/officeDocument/2006/relationships/image" Target="../media/image28.emf"/><Relationship Id="rId7" Type="http://schemas.openxmlformats.org/officeDocument/2006/relationships/image" Target="../media/image32.emf"/><Relationship Id="rId12" Type="http://schemas.openxmlformats.org/officeDocument/2006/relationships/image" Target="../media/image37.emf"/><Relationship Id="rId17" Type="http://schemas.openxmlformats.org/officeDocument/2006/relationships/image" Target="../media/image42.emf"/><Relationship Id="rId2" Type="http://schemas.openxmlformats.org/officeDocument/2006/relationships/image" Target="../media/image27.emf"/><Relationship Id="rId16" Type="http://schemas.openxmlformats.org/officeDocument/2006/relationships/image" Target="../media/image41.png"/><Relationship Id="rId20" Type="http://schemas.openxmlformats.org/officeDocument/2006/relationships/image" Target="../media/image45.emf"/><Relationship Id="rId1" Type="http://schemas.openxmlformats.org/officeDocument/2006/relationships/image" Target="../media/image26.emf"/><Relationship Id="rId6" Type="http://schemas.openxmlformats.org/officeDocument/2006/relationships/image" Target="../media/image31.emf"/><Relationship Id="rId11" Type="http://schemas.openxmlformats.org/officeDocument/2006/relationships/image" Target="../media/image36.emf"/><Relationship Id="rId5" Type="http://schemas.openxmlformats.org/officeDocument/2006/relationships/image" Target="../media/image30.emf"/><Relationship Id="rId15" Type="http://schemas.openxmlformats.org/officeDocument/2006/relationships/image" Target="../media/image40.emf"/><Relationship Id="rId10" Type="http://schemas.openxmlformats.org/officeDocument/2006/relationships/image" Target="../media/image35.emf"/><Relationship Id="rId19" Type="http://schemas.openxmlformats.org/officeDocument/2006/relationships/image" Target="../media/image44.emf"/><Relationship Id="rId4" Type="http://schemas.openxmlformats.org/officeDocument/2006/relationships/image" Target="../media/image29.emf"/><Relationship Id="rId9" Type="http://schemas.openxmlformats.org/officeDocument/2006/relationships/image" Target="../media/image34.emf"/><Relationship Id="rId14" Type="http://schemas.openxmlformats.org/officeDocument/2006/relationships/image" Target="../media/image39.emf"/></Relationships>
</file>

<file path=xl/drawings/_rels/drawing56.xml.rels><?xml version="1.0" encoding="UTF-8" standalone="yes"?>
<Relationships xmlns="http://schemas.openxmlformats.org/package/2006/relationships"><Relationship Id="rId1"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xdr:from>
      <xdr:col>2</xdr:col>
      <xdr:colOff>76200</xdr:colOff>
      <xdr:row>50</xdr:row>
      <xdr:rowOff>0</xdr:rowOff>
    </xdr:from>
    <xdr:to>
      <xdr:col>2</xdr:col>
      <xdr:colOff>571500</xdr:colOff>
      <xdr:row>53</xdr:row>
      <xdr:rowOff>0</xdr:rowOff>
    </xdr:to>
    <xdr:grpSp>
      <xdr:nvGrpSpPr>
        <xdr:cNvPr id="7" name="Group 1">
          <a:hlinkClick xmlns:r="http://schemas.openxmlformats.org/officeDocument/2006/relationships" r:id="rId1"/>
        </xdr:cNvPr>
        <xdr:cNvGrpSpPr>
          <a:grpSpLocks noChangeAspect="1"/>
        </xdr:cNvGrpSpPr>
      </xdr:nvGrpSpPr>
      <xdr:grpSpPr bwMode="auto">
        <a:xfrm>
          <a:off x="333375" y="7829550"/>
          <a:ext cx="495300" cy="485775"/>
          <a:chOff x="0" y="427"/>
          <a:chExt cx="84" cy="86"/>
        </a:xfrm>
      </xdr:grpSpPr>
      <xdr:sp macro="" textlink="">
        <xdr:nvSpPr>
          <xdr:cNvPr id="8" name="Freeform 2"/>
          <xdr:cNvSpPr>
            <a:spLocks noChangeAspect="1"/>
          </xdr:cNvSpPr>
        </xdr:nvSpPr>
        <xdr:spPr bwMode="auto">
          <a:xfrm>
            <a:off x="0" y="481"/>
            <a:ext cx="35" cy="32"/>
          </a:xfrm>
          <a:custGeom>
            <a:avLst/>
            <a:gdLst>
              <a:gd name="T0" fmla="*/ 0 w 232"/>
              <a:gd name="T1" fmla="*/ 0 h 169"/>
              <a:gd name="T2" fmla="*/ 0 w 232"/>
              <a:gd name="T3" fmla="*/ 0 h 169"/>
              <a:gd name="T4" fmla="*/ 0 w 232"/>
              <a:gd name="T5" fmla="*/ 0 h 169"/>
              <a:gd name="T6" fmla="*/ 0 w 232"/>
              <a:gd name="T7" fmla="*/ 0 h 169"/>
              <a:gd name="T8" fmla="*/ 0 w 232"/>
              <a:gd name="T9" fmla="*/ 0 h 169"/>
              <a:gd name="T10" fmla="*/ 0 w 232"/>
              <a:gd name="T11" fmla="*/ 0 h 169"/>
              <a:gd name="T12" fmla="*/ 0 w 232"/>
              <a:gd name="T13" fmla="*/ 0 h 169"/>
              <a:gd name="T14" fmla="*/ 0 w 232"/>
              <a:gd name="T15" fmla="*/ 0 h 169"/>
              <a:gd name="T16" fmla="*/ 0 w 232"/>
              <a:gd name="T17" fmla="*/ 0 h 169"/>
              <a:gd name="T18" fmla="*/ 0 w 232"/>
              <a:gd name="T19" fmla="*/ 0 h 16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32"/>
              <a:gd name="T31" fmla="*/ 0 h 169"/>
              <a:gd name="T32" fmla="*/ 232 w 232"/>
              <a:gd name="T33" fmla="*/ 169 h 16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32" h="169">
                <a:moveTo>
                  <a:pt x="144" y="1"/>
                </a:moveTo>
                <a:cubicBezTo>
                  <a:pt x="117" y="5"/>
                  <a:pt x="85" y="0"/>
                  <a:pt x="64" y="17"/>
                </a:cubicBezTo>
                <a:cubicBezTo>
                  <a:pt x="56" y="23"/>
                  <a:pt x="55" y="34"/>
                  <a:pt x="48" y="41"/>
                </a:cubicBezTo>
                <a:cubicBezTo>
                  <a:pt x="41" y="48"/>
                  <a:pt x="32" y="52"/>
                  <a:pt x="24" y="57"/>
                </a:cubicBezTo>
                <a:cubicBezTo>
                  <a:pt x="16" y="69"/>
                  <a:pt x="0" y="88"/>
                  <a:pt x="0" y="105"/>
                </a:cubicBezTo>
                <a:cubicBezTo>
                  <a:pt x="0" y="145"/>
                  <a:pt x="49" y="159"/>
                  <a:pt x="80" y="169"/>
                </a:cubicBezTo>
                <a:cubicBezTo>
                  <a:pt x="104" y="166"/>
                  <a:pt x="128" y="166"/>
                  <a:pt x="152" y="161"/>
                </a:cubicBezTo>
                <a:cubicBezTo>
                  <a:pt x="169" y="158"/>
                  <a:pt x="200" y="145"/>
                  <a:pt x="200" y="145"/>
                </a:cubicBezTo>
                <a:cubicBezTo>
                  <a:pt x="213" y="106"/>
                  <a:pt x="232" y="49"/>
                  <a:pt x="192" y="17"/>
                </a:cubicBezTo>
                <a:cubicBezTo>
                  <a:pt x="179" y="6"/>
                  <a:pt x="160" y="6"/>
                  <a:pt x="144" y="1"/>
                </a:cubicBezTo>
                <a:close/>
              </a:path>
            </a:pathLst>
          </a:custGeom>
          <a:solidFill>
            <a:srgbClr val="246C48"/>
          </a:solidFill>
          <a:ln w="9525">
            <a:noFill/>
            <a:round/>
            <a:headEnd/>
            <a:tailEnd/>
          </a:ln>
        </xdr:spPr>
      </xdr:sp>
      <xdr:sp macro="" textlink="">
        <xdr:nvSpPr>
          <xdr:cNvPr id="9" name="Freeform 3"/>
          <xdr:cNvSpPr>
            <a:spLocks noChangeAspect="1"/>
          </xdr:cNvSpPr>
        </xdr:nvSpPr>
        <xdr:spPr bwMode="auto">
          <a:xfrm>
            <a:off x="53" y="481"/>
            <a:ext cx="31" cy="32"/>
          </a:xfrm>
          <a:custGeom>
            <a:avLst/>
            <a:gdLst>
              <a:gd name="T0" fmla="*/ 0 w 187"/>
              <a:gd name="T1" fmla="*/ 0 h 184"/>
              <a:gd name="T2" fmla="*/ 0 w 187"/>
              <a:gd name="T3" fmla="*/ 0 h 184"/>
              <a:gd name="T4" fmla="*/ 0 w 187"/>
              <a:gd name="T5" fmla="*/ 0 h 184"/>
              <a:gd name="T6" fmla="*/ 0 w 187"/>
              <a:gd name="T7" fmla="*/ 0 h 184"/>
              <a:gd name="T8" fmla="*/ 0 w 187"/>
              <a:gd name="T9" fmla="*/ 0 h 184"/>
              <a:gd name="T10" fmla="*/ 0 60000 65536"/>
              <a:gd name="T11" fmla="*/ 0 60000 65536"/>
              <a:gd name="T12" fmla="*/ 0 60000 65536"/>
              <a:gd name="T13" fmla="*/ 0 60000 65536"/>
              <a:gd name="T14" fmla="*/ 0 60000 65536"/>
              <a:gd name="T15" fmla="*/ 0 w 187"/>
              <a:gd name="T16" fmla="*/ 0 h 184"/>
              <a:gd name="T17" fmla="*/ 187 w 187"/>
              <a:gd name="T18" fmla="*/ 184 h 184"/>
            </a:gdLst>
            <a:ahLst/>
            <a:cxnLst>
              <a:cxn ang="T10">
                <a:pos x="T0" y="T1"/>
              </a:cxn>
              <a:cxn ang="T11">
                <a:pos x="T2" y="T3"/>
              </a:cxn>
              <a:cxn ang="T12">
                <a:pos x="T4" y="T5"/>
              </a:cxn>
              <a:cxn ang="T13">
                <a:pos x="T6" y="T7"/>
              </a:cxn>
              <a:cxn ang="T14">
                <a:pos x="T8" y="T9"/>
              </a:cxn>
            </a:cxnLst>
            <a:rect l="T15" t="T16" r="T17" b="T18"/>
            <a:pathLst>
              <a:path w="187" h="184">
                <a:moveTo>
                  <a:pt x="128" y="0"/>
                </a:moveTo>
                <a:cubicBezTo>
                  <a:pt x="57" y="12"/>
                  <a:pt x="25" y="14"/>
                  <a:pt x="0" y="88"/>
                </a:cubicBezTo>
                <a:cubicBezTo>
                  <a:pt x="14" y="131"/>
                  <a:pt x="6" y="150"/>
                  <a:pt x="40" y="184"/>
                </a:cubicBezTo>
                <a:cubicBezTo>
                  <a:pt x="91" y="178"/>
                  <a:pt x="128" y="170"/>
                  <a:pt x="176" y="160"/>
                </a:cubicBezTo>
                <a:cubicBezTo>
                  <a:pt x="187" y="96"/>
                  <a:pt x="185" y="38"/>
                  <a:pt x="128" y="0"/>
                </a:cubicBezTo>
                <a:close/>
              </a:path>
            </a:pathLst>
          </a:custGeom>
          <a:solidFill>
            <a:srgbClr val="FF9900"/>
          </a:solidFill>
          <a:ln w="9525">
            <a:noFill/>
            <a:round/>
            <a:headEnd/>
            <a:tailEnd/>
          </a:ln>
        </xdr:spPr>
      </xdr:sp>
      <xdr:sp macro="" textlink="">
        <xdr:nvSpPr>
          <xdr:cNvPr id="10" name="Freeform 4"/>
          <xdr:cNvSpPr>
            <a:spLocks noChangeAspect="1"/>
          </xdr:cNvSpPr>
        </xdr:nvSpPr>
        <xdr:spPr bwMode="auto">
          <a:xfrm>
            <a:off x="53" y="427"/>
            <a:ext cx="31" cy="35"/>
          </a:xfrm>
          <a:custGeom>
            <a:avLst/>
            <a:gdLst>
              <a:gd name="T0" fmla="*/ 0 w 184"/>
              <a:gd name="T1" fmla="*/ 0 h 205"/>
              <a:gd name="T2" fmla="*/ 0 w 184"/>
              <a:gd name="T3" fmla="*/ 0 h 205"/>
              <a:gd name="T4" fmla="*/ 0 w 184"/>
              <a:gd name="T5" fmla="*/ 0 h 205"/>
              <a:gd name="T6" fmla="*/ 0 w 184"/>
              <a:gd name="T7" fmla="*/ 0 h 205"/>
              <a:gd name="T8" fmla="*/ 0 w 184"/>
              <a:gd name="T9" fmla="*/ 0 h 205"/>
              <a:gd name="T10" fmla="*/ 0 w 184"/>
              <a:gd name="T11" fmla="*/ 0 h 205"/>
              <a:gd name="T12" fmla="*/ 0 w 184"/>
              <a:gd name="T13" fmla="*/ 0 h 205"/>
              <a:gd name="T14" fmla="*/ 0 60000 65536"/>
              <a:gd name="T15" fmla="*/ 0 60000 65536"/>
              <a:gd name="T16" fmla="*/ 0 60000 65536"/>
              <a:gd name="T17" fmla="*/ 0 60000 65536"/>
              <a:gd name="T18" fmla="*/ 0 60000 65536"/>
              <a:gd name="T19" fmla="*/ 0 60000 65536"/>
              <a:gd name="T20" fmla="*/ 0 60000 65536"/>
              <a:gd name="T21" fmla="*/ 0 w 184"/>
              <a:gd name="T22" fmla="*/ 0 h 205"/>
              <a:gd name="T23" fmla="*/ 184 w 184"/>
              <a:gd name="T24" fmla="*/ 205 h 20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84" h="205">
                <a:moveTo>
                  <a:pt x="96" y="42"/>
                </a:moveTo>
                <a:cubicBezTo>
                  <a:pt x="72" y="47"/>
                  <a:pt x="49" y="46"/>
                  <a:pt x="32" y="66"/>
                </a:cubicBezTo>
                <a:cubicBezTo>
                  <a:pt x="19" y="80"/>
                  <a:pt x="0" y="114"/>
                  <a:pt x="0" y="114"/>
                </a:cubicBezTo>
                <a:cubicBezTo>
                  <a:pt x="1" y="121"/>
                  <a:pt x="11" y="174"/>
                  <a:pt x="16" y="178"/>
                </a:cubicBezTo>
                <a:cubicBezTo>
                  <a:pt x="30" y="188"/>
                  <a:pt x="64" y="194"/>
                  <a:pt x="64" y="194"/>
                </a:cubicBezTo>
                <a:cubicBezTo>
                  <a:pt x="116" y="189"/>
                  <a:pt x="167" y="205"/>
                  <a:pt x="184" y="154"/>
                </a:cubicBezTo>
                <a:cubicBezTo>
                  <a:pt x="180" y="109"/>
                  <a:pt x="181" y="0"/>
                  <a:pt x="96" y="42"/>
                </a:cubicBezTo>
                <a:close/>
              </a:path>
            </a:pathLst>
          </a:custGeom>
          <a:solidFill>
            <a:srgbClr val="FF9900"/>
          </a:solidFill>
          <a:ln w="9525">
            <a:noFill/>
            <a:round/>
            <a:headEnd/>
            <a:tailEnd/>
          </a:ln>
        </xdr:spPr>
      </xdr:sp>
      <xdr:sp macro="" textlink="">
        <xdr:nvSpPr>
          <xdr:cNvPr id="11" name="Freeform 5"/>
          <xdr:cNvSpPr>
            <a:spLocks noChangeAspect="1"/>
          </xdr:cNvSpPr>
        </xdr:nvSpPr>
        <xdr:spPr bwMode="auto">
          <a:xfrm>
            <a:off x="0" y="427"/>
            <a:ext cx="31" cy="35"/>
          </a:xfrm>
          <a:custGeom>
            <a:avLst/>
            <a:gdLst>
              <a:gd name="T0" fmla="*/ 0 w 184"/>
              <a:gd name="T1" fmla="*/ 0 h 205"/>
              <a:gd name="T2" fmla="*/ 0 w 184"/>
              <a:gd name="T3" fmla="*/ 0 h 205"/>
              <a:gd name="T4" fmla="*/ 0 w 184"/>
              <a:gd name="T5" fmla="*/ 0 h 205"/>
              <a:gd name="T6" fmla="*/ 0 w 184"/>
              <a:gd name="T7" fmla="*/ 0 h 205"/>
              <a:gd name="T8" fmla="*/ 0 w 184"/>
              <a:gd name="T9" fmla="*/ 0 h 205"/>
              <a:gd name="T10" fmla="*/ 0 w 184"/>
              <a:gd name="T11" fmla="*/ 0 h 205"/>
              <a:gd name="T12" fmla="*/ 0 w 184"/>
              <a:gd name="T13" fmla="*/ 0 h 205"/>
              <a:gd name="T14" fmla="*/ 0 60000 65536"/>
              <a:gd name="T15" fmla="*/ 0 60000 65536"/>
              <a:gd name="T16" fmla="*/ 0 60000 65536"/>
              <a:gd name="T17" fmla="*/ 0 60000 65536"/>
              <a:gd name="T18" fmla="*/ 0 60000 65536"/>
              <a:gd name="T19" fmla="*/ 0 60000 65536"/>
              <a:gd name="T20" fmla="*/ 0 60000 65536"/>
              <a:gd name="T21" fmla="*/ 0 w 184"/>
              <a:gd name="T22" fmla="*/ 0 h 205"/>
              <a:gd name="T23" fmla="*/ 184 w 184"/>
              <a:gd name="T24" fmla="*/ 205 h 20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84" h="205">
                <a:moveTo>
                  <a:pt x="96" y="42"/>
                </a:moveTo>
                <a:cubicBezTo>
                  <a:pt x="72" y="47"/>
                  <a:pt x="49" y="46"/>
                  <a:pt x="32" y="66"/>
                </a:cubicBezTo>
                <a:cubicBezTo>
                  <a:pt x="19" y="80"/>
                  <a:pt x="0" y="114"/>
                  <a:pt x="0" y="114"/>
                </a:cubicBezTo>
                <a:cubicBezTo>
                  <a:pt x="1" y="121"/>
                  <a:pt x="11" y="174"/>
                  <a:pt x="16" y="178"/>
                </a:cubicBezTo>
                <a:cubicBezTo>
                  <a:pt x="30" y="188"/>
                  <a:pt x="64" y="194"/>
                  <a:pt x="64" y="194"/>
                </a:cubicBezTo>
                <a:cubicBezTo>
                  <a:pt x="116" y="189"/>
                  <a:pt x="167" y="205"/>
                  <a:pt x="184" y="154"/>
                </a:cubicBezTo>
                <a:cubicBezTo>
                  <a:pt x="180" y="109"/>
                  <a:pt x="181" y="0"/>
                  <a:pt x="96" y="42"/>
                </a:cubicBezTo>
                <a:close/>
              </a:path>
            </a:pathLst>
          </a:custGeom>
          <a:solidFill>
            <a:srgbClr val="FF9900"/>
          </a:solidFill>
          <a:ln w="9525">
            <a:noFill/>
            <a:round/>
            <a:headEnd/>
            <a:tailEnd/>
          </a:ln>
        </xdr:spPr>
      </xdr:sp>
    </xdr:grpSp>
    <xdr:clientData/>
  </xdr:twoCellAnchor>
</xdr:wsDr>
</file>

<file path=xl/drawings/drawing10.xml><?xml version="1.0" encoding="utf-8"?>
<c:userShapes xmlns:c="http://schemas.openxmlformats.org/drawingml/2006/chart">
  <cdr:relSizeAnchor xmlns:cdr="http://schemas.openxmlformats.org/drawingml/2006/chartDrawing">
    <cdr:from>
      <cdr:x>0.06428</cdr:x>
      <cdr:y>0.04437</cdr:y>
    </cdr:from>
    <cdr:to>
      <cdr:x>0.2014</cdr:x>
      <cdr:y>0.12325</cdr:y>
    </cdr:to>
    <cdr:sp macro="" textlink="">
      <cdr:nvSpPr>
        <cdr:cNvPr id="6" name="ZoneTexte 5"/>
        <cdr:cNvSpPr txBox="1"/>
      </cdr:nvSpPr>
      <cdr:spPr>
        <a:xfrm xmlns:a="http://schemas.openxmlformats.org/drawingml/2006/main">
          <a:off x="428648" y="171470"/>
          <a:ext cx="914402" cy="30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P/E</a:t>
          </a:r>
        </a:p>
      </cdr:txBody>
    </cdr:sp>
  </cdr:relSizeAnchor>
  <cdr:relSizeAnchor xmlns:cdr="http://schemas.openxmlformats.org/drawingml/2006/chartDrawing">
    <cdr:from>
      <cdr:x>0.48992</cdr:x>
      <cdr:y>0.03451</cdr:y>
    </cdr:from>
    <cdr:to>
      <cdr:x>0.97841</cdr:x>
      <cdr:y>0.82695</cdr:y>
    </cdr:to>
    <cdr:sp macro="" textlink="">
      <cdr:nvSpPr>
        <cdr:cNvPr id="7" name="Rectangle 6"/>
        <cdr:cNvSpPr/>
      </cdr:nvSpPr>
      <cdr:spPr>
        <a:xfrm xmlns:a="http://schemas.openxmlformats.org/drawingml/2006/main">
          <a:off x="3267075" y="133350"/>
          <a:ext cx="3257549" cy="3062082"/>
        </a:xfrm>
        <a:prstGeom xmlns:a="http://schemas.openxmlformats.org/drawingml/2006/main" prst="rect">
          <a:avLst/>
        </a:prstGeom>
        <a:solidFill xmlns:a="http://schemas.openxmlformats.org/drawingml/2006/main">
          <a:srgbClr val="F2F2F2">
            <a:alpha val="47843"/>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0.5999</cdr:x>
      <cdr:y>0.03697</cdr:y>
    </cdr:from>
    <cdr:to>
      <cdr:x>0.95984</cdr:x>
      <cdr:y>0.12078</cdr:y>
    </cdr:to>
    <cdr:sp macro="" textlink="">
      <cdr:nvSpPr>
        <cdr:cNvPr id="8" name="ZoneTexte 1"/>
        <cdr:cNvSpPr txBox="1"/>
      </cdr:nvSpPr>
      <cdr:spPr>
        <a:xfrm xmlns:a="http://schemas.openxmlformats.org/drawingml/2006/main">
          <a:off x="4000500" y="142875"/>
          <a:ext cx="2400299" cy="3238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chemeClr val="bg1">
                  <a:lumMod val="50000"/>
                </a:schemeClr>
              </a:solidFill>
              <a:latin typeface="Arial" pitchFamily="34" charset="0"/>
              <a:cs typeface="Arial" pitchFamily="34" charset="0"/>
            </a:rPr>
            <a:t>N/a</a:t>
          </a:r>
          <a:r>
            <a:rPr lang="fr-FR" sz="1100" baseline="0">
              <a:solidFill>
                <a:schemeClr val="bg1">
                  <a:lumMod val="50000"/>
                </a:schemeClr>
              </a:solidFill>
              <a:latin typeface="Arial" pitchFamily="34" charset="0"/>
              <a:cs typeface="Arial" pitchFamily="34" charset="0"/>
            </a:rPr>
            <a:t> (or irrelevant values)</a:t>
          </a:r>
          <a:endParaRPr lang="fr-FR" sz="110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EV/Ebitda</a:t>
          </a:r>
        </a:p>
      </cdr:txBody>
    </cdr:sp>
  </cdr:relSizeAnchor>
  <cdr:relSizeAnchor xmlns:cdr="http://schemas.openxmlformats.org/drawingml/2006/chartDrawing">
    <cdr:from>
      <cdr:x>0.81483</cdr:x>
      <cdr:y>0.88601</cdr:y>
    </cdr:from>
    <cdr:to>
      <cdr:x>0.97848</cdr:x>
      <cdr:y>0.95728</cdr:y>
    </cdr:to>
    <cdr:sp macro="" textlink="">
      <cdr:nvSpPr>
        <cdr:cNvPr id="3" name="ZoneTexte 2"/>
        <cdr:cNvSpPr txBox="1"/>
      </cdr:nvSpPr>
      <cdr:spPr>
        <a:xfrm xmlns:a="http://schemas.openxmlformats.org/drawingml/2006/main">
          <a:off x="5450146" y="3390690"/>
          <a:ext cx="1094600" cy="2727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200">
              <a:latin typeface="Arial" pitchFamily="34" charset="0"/>
              <a:cs typeface="Arial" pitchFamily="34" charset="0"/>
            </a:rPr>
            <a:t>% Mobile</a:t>
          </a:r>
        </a:p>
      </cdr:txBody>
    </cdr:sp>
  </cdr:relSizeAnchor>
  <cdr:relSizeAnchor xmlns:cdr="http://schemas.openxmlformats.org/drawingml/2006/chartDrawing">
    <cdr:from>
      <cdr:x>0.8633</cdr:x>
      <cdr:y>0.70353</cdr:y>
    </cdr:from>
    <cdr:to>
      <cdr:x>0.97975</cdr:x>
      <cdr:y>0.77433</cdr:y>
    </cdr:to>
    <cdr:sp macro="" textlink="">
      <cdr:nvSpPr>
        <cdr:cNvPr id="8" name="ZoneTexte 1"/>
        <cdr:cNvSpPr txBox="1"/>
      </cdr:nvSpPr>
      <cdr:spPr>
        <a:xfrm xmlns:a="http://schemas.openxmlformats.org/drawingml/2006/main">
          <a:off x="5774318" y="2692366"/>
          <a:ext cx="778895" cy="2709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000">
              <a:solidFill>
                <a:sysClr val="window" lastClr="FFFFFF">
                  <a:lumMod val="50000"/>
                </a:sysClr>
              </a:solidFill>
              <a:latin typeface="Arial" pitchFamily="34" charset="0"/>
              <a:cs typeface="Arial" pitchFamily="34" charset="0"/>
            </a:rPr>
            <a:t>R</a:t>
          </a:r>
          <a:r>
            <a:rPr lang="fr-FR" sz="1000" baseline="30000">
              <a:solidFill>
                <a:sysClr val="window" lastClr="FFFFFF">
                  <a:lumMod val="50000"/>
                </a:sysClr>
              </a:solidFill>
              <a:latin typeface="Arial" pitchFamily="34" charset="0"/>
              <a:cs typeface="Arial" pitchFamily="34" charset="0"/>
            </a:rPr>
            <a:t>2</a:t>
          </a:r>
          <a:r>
            <a:rPr lang="fr-FR" sz="1000" baseline="0">
              <a:solidFill>
                <a:sysClr val="window" lastClr="FFFFFF">
                  <a:lumMod val="50000"/>
                </a:sysClr>
              </a:solidFill>
              <a:latin typeface="Arial" pitchFamily="34" charset="0"/>
              <a:cs typeface="Arial" pitchFamily="34" charset="0"/>
            </a:rPr>
            <a:t> = 22%</a:t>
          </a:r>
          <a:endParaRPr lang="fr-FR" sz="1000">
            <a:solidFill>
              <a:sysClr val="window" lastClr="FFFFFF">
                <a:lumMod val="50000"/>
              </a:sysClr>
            </a:solidFill>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0.04771</cdr:x>
      <cdr:y>0.04487</cdr:y>
    </cdr:from>
    <cdr:to>
      <cdr:x>0.22691</cdr:x>
      <cdr:y>0.11212</cdr:y>
    </cdr:to>
    <cdr:sp macro="" textlink="">
      <cdr:nvSpPr>
        <cdr:cNvPr id="2" name="ZoneTexte 1"/>
        <cdr:cNvSpPr txBox="1"/>
      </cdr:nvSpPr>
      <cdr:spPr>
        <a:xfrm xmlns:a="http://schemas.openxmlformats.org/drawingml/2006/main">
          <a:off x="300219" y="151653"/>
          <a:ext cx="1127660" cy="2272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Adj. EV/Ebitda</a:t>
          </a:r>
        </a:p>
      </cdr:txBody>
    </cdr:sp>
  </cdr:relSizeAnchor>
</c:userShapes>
</file>

<file path=xl/drawings/drawing13.xml><?xml version="1.0" encoding="utf-8"?>
<c:userShapes xmlns:c="http://schemas.openxmlformats.org/drawingml/2006/chart">
  <cdr:relSizeAnchor xmlns:cdr="http://schemas.openxmlformats.org/drawingml/2006/chartDrawing">
    <cdr:from>
      <cdr:x>0.07989</cdr:x>
      <cdr:y>0.07085</cdr:y>
    </cdr:from>
    <cdr:to>
      <cdr:x>0.37382</cdr:x>
      <cdr:y>0.22699</cdr:y>
    </cdr:to>
    <cdr:sp macro="" textlink="">
      <cdr:nvSpPr>
        <cdr:cNvPr id="2" name="ZoneTexte 1"/>
        <cdr:cNvSpPr txBox="1"/>
      </cdr:nvSpPr>
      <cdr:spPr>
        <a:xfrm xmlns:a="http://schemas.openxmlformats.org/drawingml/2006/main">
          <a:off x="536074" y="122214"/>
          <a:ext cx="1972175" cy="26937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EV*/Ebitda*</a:t>
          </a:r>
          <a:r>
            <a:rPr lang="fr-FR" sz="1200" baseline="0">
              <a:latin typeface="Arial" pitchFamily="34" charset="0"/>
              <a:cs typeface="Arial" pitchFamily="34" charset="0"/>
            </a:rPr>
            <a:t> - EV/Ebitda</a:t>
          </a:r>
          <a:endParaRPr lang="fr-FR" sz="1200">
            <a:latin typeface="Arial" pitchFamily="34" charset="0"/>
            <a:cs typeface="Arial"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0.05308</cdr:x>
      <cdr:y>0.02861</cdr:y>
    </cdr:from>
    <cdr:to>
      <cdr:x>0.23213</cdr:x>
      <cdr:y>0.1107</cdr:y>
    </cdr:to>
    <cdr:sp macro="" textlink="">
      <cdr:nvSpPr>
        <cdr:cNvPr id="2" name="ZoneTexte 1"/>
        <cdr:cNvSpPr txBox="1"/>
      </cdr:nvSpPr>
      <cdr:spPr>
        <a:xfrm xmlns:a="http://schemas.openxmlformats.org/drawingml/2006/main">
          <a:off x="346608" y="97869"/>
          <a:ext cx="1169199" cy="2808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Adj. EV/Ebitda </a:t>
          </a:r>
        </a:p>
      </cdr:txBody>
    </cdr:sp>
  </cdr:relSizeAnchor>
</c:userShapes>
</file>

<file path=xl/drawings/drawing15.xml><?xml version="1.0" encoding="utf-8"?>
<xdr:wsDr xmlns:xdr="http://schemas.openxmlformats.org/drawingml/2006/spreadsheetDrawing" xmlns:a="http://schemas.openxmlformats.org/drawingml/2006/main">
  <xdr:twoCellAnchor>
    <xdr:from>
      <xdr:col>24</xdr:col>
      <xdr:colOff>309037</xdr:colOff>
      <xdr:row>119</xdr:row>
      <xdr:rowOff>46569</xdr:rowOff>
    </xdr:from>
    <xdr:to>
      <xdr:col>31</xdr:col>
      <xdr:colOff>823385</xdr:colOff>
      <xdr:row>141</xdr:row>
      <xdr:rowOff>114300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309037</xdr:colOff>
      <xdr:row>152</xdr:row>
      <xdr:rowOff>53765</xdr:rowOff>
    </xdr:from>
    <xdr:to>
      <xdr:col>31</xdr:col>
      <xdr:colOff>826772</xdr:colOff>
      <xdr:row>174</xdr:row>
      <xdr:rowOff>110913</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309037</xdr:colOff>
      <xdr:row>181</xdr:row>
      <xdr:rowOff>41064</xdr:rowOff>
    </xdr:from>
    <xdr:to>
      <xdr:col>31</xdr:col>
      <xdr:colOff>826772</xdr:colOff>
      <xdr:row>203</xdr:row>
      <xdr:rowOff>98211</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84666</xdr:colOff>
      <xdr:row>211</xdr:row>
      <xdr:rowOff>15120</xdr:rowOff>
    </xdr:from>
    <xdr:to>
      <xdr:col>40</xdr:col>
      <xdr:colOff>624416</xdr:colOff>
      <xdr:row>227</xdr:row>
      <xdr:rowOff>127000</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42329</xdr:colOff>
      <xdr:row>211</xdr:row>
      <xdr:rowOff>6353</xdr:rowOff>
    </xdr:from>
    <xdr:to>
      <xdr:col>17</xdr:col>
      <xdr:colOff>371778</xdr:colOff>
      <xdr:row>233</xdr:row>
      <xdr:rowOff>14818</xdr:rowOff>
    </xdr:to>
    <xdr:pic>
      <xdr:nvPicPr>
        <xdr:cNvPr id="9"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4286246" y="15616770"/>
          <a:ext cx="4869699" cy="3500965"/>
        </a:xfrm>
        <a:prstGeom prst="rect">
          <a:avLst/>
        </a:prstGeom>
        <a:noFill/>
      </xdr:spPr>
    </xdr:pic>
    <xdr:clientData/>
  </xdr:twoCellAnchor>
  <xdr:twoCellAnchor>
    <xdr:from>
      <xdr:col>23</xdr:col>
      <xdr:colOff>717550</xdr:colOff>
      <xdr:row>38</xdr:row>
      <xdr:rowOff>63500</xdr:rowOff>
    </xdr:from>
    <xdr:to>
      <xdr:col>31</xdr:col>
      <xdr:colOff>160865</xdr:colOff>
      <xdr:row>67</xdr:row>
      <xdr:rowOff>71965</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74689</xdr:colOff>
      <xdr:row>152</xdr:row>
      <xdr:rowOff>73781</xdr:rowOff>
    </xdr:from>
    <xdr:to>
      <xdr:col>39</xdr:col>
      <xdr:colOff>573012</xdr:colOff>
      <xdr:row>205</xdr:row>
      <xdr:rowOff>152097</xdr:rowOff>
    </xdr:to>
    <xdr:grpSp>
      <xdr:nvGrpSpPr>
        <xdr:cNvPr id="11" name="Groupe 10"/>
        <xdr:cNvGrpSpPr/>
      </xdr:nvGrpSpPr>
      <xdr:grpSpPr>
        <a:xfrm>
          <a:off x="20267689" y="23568781"/>
          <a:ext cx="5176156" cy="8396816"/>
          <a:chOff x="21175133" y="8119533"/>
          <a:chExt cx="6142566" cy="9712113"/>
        </a:xfrm>
      </xdr:grpSpPr>
      <xdr:pic>
        <xdr:nvPicPr>
          <xdr:cNvPr id="12"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21209001" y="8119533"/>
            <a:ext cx="5959686" cy="1777154"/>
          </a:xfrm>
          <a:prstGeom prst="rect">
            <a:avLst/>
          </a:prstGeom>
          <a:noFill/>
        </xdr:spPr>
      </xdr:pic>
      <xdr:pic>
        <xdr:nvPicPr>
          <xdr:cNvPr id="13"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21175133" y="9897533"/>
            <a:ext cx="6142566" cy="7934113"/>
          </a:xfrm>
          <a:prstGeom prst="rect">
            <a:avLst/>
          </a:prstGeom>
          <a:noFill/>
        </xdr:spPr>
      </xdr:pic>
    </xdr:grpSp>
    <xdr:clientData/>
  </xdr:twoCellAnchor>
  <xdr:twoCellAnchor editAs="oneCell">
    <xdr:from>
      <xdr:col>2</xdr:col>
      <xdr:colOff>88900</xdr:colOff>
      <xdr:row>233</xdr:row>
      <xdr:rowOff>91015</xdr:rowOff>
    </xdr:from>
    <xdr:to>
      <xdr:col>17</xdr:col>
      <xdr:colOff>323849</xdr:colOff>
      <xdr:row>241</xdr:row>
      <xdr:rowOff>35981</xdr:rowOff>
    </xdr:to>
    <xdr:pic>
      <xdr:nvPicPr>
        <xdr:cNvPr id="16" name="Picture 2"/>
        <xdr:cNvPicPr>
          <a:picLocks noChangeAspect="1" noChangeArrowheads="1"/>
        </xdr:cNvPicPr>
      </xdr:nvPicPr>
      <xdr:blipFill>
        <a:blip xmlns:r="http://schemas.openxmlformats.org/officeDocument/2006/relationships" r:embed="rId9" cstate="print"/>
        <a:srcRect r="1443"/>
        <a:stretch>
          <a:fillRect/>
        </a:stretch>
      </xdr:blipFill>
      <xdr:spPr bwMode="auto">
        <a:xfrm>
          <a:off x="2406650" y="19193932"/>
          <a:ext cx="6701366" cy="1214966"/>
        </a:xfrm>
        <a:prstGeom prst="rect">
          <a:avLst/>
        </a:prstGeom>
        <a:noFill/>
      </xdr:spPr>
    </xdr:pic>
    <xdr:clientData/>
  </xdr:twoCellAnchor>
  <xdr:twoCellAnchor>
    <xdr:from>
      <xdr:col>33</xdr:col>
      <xdr:colOff>191559</xdr:colOff>
      <xdr:row>302</xdr:row>
      <xdr:rowOff>158749</xdr:rowOff>
    </xdr:from>
    <xdr:to>
      <xdr:col>40</xdr:col>
      <xdr:colOff>629705</xdr:colOff>
      <xdr:row>322</xdr:row>
      <xdr:rowOff>127001</xdr:rowOff>
    </xdr:to>
    <xdr:graphicFrame macro="">
      <xdr:nvGraphicFramePr>
        <xdr:cNvPr id="17" name="Graphique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19</xdr:col>
      <xdr:colOff>129116</xdr:colOff>
      <xdr:row>362</xdr:row>
      <xdr:rowOff>101924</xdr:rowOff>
    </xdr:from>
    <xdr:to>
      <xdr:col>26</xdr:col>
      <xdr:colOff>296333</xdr:colOff>
      <xdr:row>391</xdr:row>
      <xdr:rowOff>128001</xdr:rowOff>
    </xdr:to>
    <xdr:pic>
      <xdr:nvPicPr>
        <xdr:cNvPr id="20"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9590616" y="39800007"/>
          <a:ext cx="5585883" cy="4629827"/>
        </a:xfrm>
        <a:prstGeom prst="rect">
          <a:avLst/>
        </a:prstGeom>
        <a:noFill/>
      </xdr:spPr>
    </xdr:pic>
    <xdr:clientData/>
  </xdr:twoCellAnchor>
  <xdr:twoCellAnchor>
    <xdr:from>
      <xdr:col>24</xdr:col>
      <xdr:colOff>42333</xdr:colOff>
      <xdr:row>486</xdr:row>
      <xdr:rowOff>139702</xdr:rowOff>
    </xdr:from>
    <xdr:to>
      <xdr:col>31</xdr:col>
      <xdr:colOff>804333</xdr:colOff>
      <xdr:row>505</xdr:row>
      <xdr:rowOff>0</xdr:rowOff>
    </xdr:to>
    <xdr:graphicFrame macro="">
      <xdr:nvGraphicFramePr>
        <xdr:cNvPr id="21" name="Graphique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95249</xdr:colOff>
      <xdr:row>511</xdr:row>
      <xdr:rowOff>82550</xdr:rowOff>
    </xdr:from>
    <xdr:to>
      <xdr:col>31</xdr:col>
      <xdr:colOff>804332</xdr:colOff>
      <xdr:row>527</xdr:row>
      <xdr:rowOff>74084</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717550</xdr:colOff>
      <xdr:row>69</xdr:row>
      <xdr:rowOff>158749</xdr:rowOff>
    </xdr:from>
    <xdr:to>
      <xdr:col>31</xdr:col>
      <xdr:colOff>160865</xdr:colOff>
      <xdr:row>99</xdr:row>
      <xdr:rowOff>8464</xdr:rowOff>
    </xdr:to>
    <xdr:graphicFrame macro="">
      <xdr:nvGraphicFramePr>
        <xdr:cNvPr id="27" name="Graphique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232833</xdr:colOff>
      <xdr:row>102</xdr:row>
      <xdr:rowOff>63501</xdr:rowOff>
    </xdr:from>
    <xdr:to>
      <xdr:col>31</xdr:col>
      <xdr:colOff>795864</xdr:colOff>
      <xdr:row>115</xdr:row>
      <xdr:rowOff>52916</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211667</xdr:colOff>
      <xdr:row>211</xdr:row>
      <xdr:rowOff>31750</xdr:rowOff>
    </xdr:from>
    <xdr:to>
      <xdr:col>31</xdr:col>
      <xdr:colOff>856192</xdr:colOff>
      <xdr:row>225</xdr:row>
      <xdr:rowOff>31751</xdr:rowOff>
    </xdr:to>
    <xdr:graphicFrame macro="">
      <xdr:nvGraphicFramePr>
        <xdr:cNvPr id="29" name="Graphiqu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211667</xdr:colOff>
      <xdr:row>226</xdr:row>
      <xdr:rowOff>95250</xdr:rowOff>
    </xdr:from>
    <xdr:to>
      <xdr:col>31</xdr:col>
      <xdr:colOff>814917</xdr:colOff>
      <xdr:row>240</xdr:row>
      <xdr:rowOff>105834</xdr:rowOff>
    </xdr:to>
    <xdr:graphicFrame macro="">
      <xdr:nvGraphicFramePr>
        <xdr:cNvPr id="30" name="Graphique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24</xdr:col>
      <xdr:colOff>211667</xdr:colOff>
      <xdr:row>242</xdr:row>
      <xdr:rowOff>31750</xdr:rowOff>
    </xdr:from>
    <xdr:to>
      <xdr:col>31</xdr:col>
      <xdr:colOff>814918</xdr:colOff>
      <xdr:row>256</xdr:row>
      <xdr:rowOff>42334</xdr:rowOff>
    </xdr:to>
    <xdr:graphicFrame macro="">
      <xdr:nvGraphicFramePr>
        <xdr:cNvPr id="31" name="Graphique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211667</xdr:colOff>
      <xdr:row>308</xdr:row>
      <xdr:rowOff>21167</xdr:rowOff>
    </xdr:from>
    <xdr:to>
      <xdr:col>31</xdr:col>
      <xdr:colOff>856193</xdr:colOff>
      <xdr:row>322</xdr:row>
      <xdr:rowOff>21168</xdr:rowOff>
    </xdr:to>
    <xdr:graphicFrame macro="">
      <xdr:nvGraphicFramePr>
        <xdr:cNvPr id="26" name="Graphique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211667</xdr:colOff>
      <xdr:row>323</xdr:row>
      <xdr:rowOff>95250</xdr:rowOff>
    </xdr:from>
    <xdr:to>
      <xdr:col>31</xdr:col>
      <xdr:colOff>804335</xdr:colOff>
      <xdr:row>337</xdr:row>
      <xdr:rowOff>105834</xdr:rowOff>
    </xdr:to>
    <xdr:graphicFrame macro="">
      <xdr:nvGraphicFramePr>
        <xdr:cNvPr id="32" name="Graphique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24</xdr:col>
      <xdr:colOff>211667</xdr:colOff>
      <xdr:row>338</xdr:row>
      <xdr:rowOff>137583</xdr:rowOff>
    </xdr:from>
    <xdr:to>
      <xdr:col>31</xdr:col>
      <xdr:colOff>804333</xdr:colOff>
      <xdr:row>352</xdr:row>
      <xdr:rowOff>148167</xdr:rowOff>
    </xdr:to>
    <xdr:graphicFrame macro="">
      <xdr:nvGraphicFramePr>
        <xdr:cNvPr id="33" name="Graphique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95250</xdr:colOff>
      <xdr:row>460</xdr:row>
      <xdr:rowOff>31750</xdr:rowOff>
    </xdr:from>
    <xdr:to>
      <xdr:col>31</xdr:col>
      <xdr:colOff>853468</xdr:colOff>
      <xdr:row>474</xdr:row>
      <xdr:rowOff>101297</xdr:rowOff>
    </xdr:to>
    <xdr:graphicFrame macro="">
      <xdr:nvGraphicFramePr>
        <xdr:cNvPr id="34" name="Graphique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0.05823</cdr:x>
      <cdr:y>0.02895</cdr:y>
    </cdr:from>
    <cdr:to>
      <cdr:x>0.19075</cdr:x>
      <cdr:y>0.11136</cdr:y>
    </cdr:to>
    <cdr:sp macro="" textlink="">
      <cdr:nvSpPr>
        <cdr:cNvPr id="2" name="ZoneTexte 1"/>
        <cdr:cNvSpPr txBox="1"/>
      </cdr:nvSpPr>
      <cdr:spPr>
        <a:xfrm xmlns:a="http://schemas.openxmlformats.org/drawingml/2006/main">
          <a:off x="361849" y="109801"/>
          <a:ext cx="823550" cy="3125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D/Ebitda</a:t>
          </a:r>
        </a:p>
      </cdr:txBody>
    </cdr:sp>
  </cdr:relSizeAnchor>
  <cdr:relSizeAnchor xmlns:cdr="http://schemas.openxmlformats.org/drawingml/2006/chartDrawing">
    <cdr:from>
      <cdr:x>0.82662</cdr:x>
      <cdr:y>0.83522</cdr:y>
    </cdr:from>
    <cdr:to>
      <cdr:x>0.9512</cdr:x>
      <cdr:y>0.90649</cdr:y>
    </cdr:to>
    <cdr:sp macro="" textlink="">
      <cdr:nvSpPr>
        <cdr:cNvPr id="3" name="ZoneTexte 2"/>
        <cdr:cNvSpPr txBox="1"/>
      </cdr:nvSpPr>
      <cdr:spPr>
        <a:xfrm xmlns:a="http://schemas.openxmlformats.org/drawingml/2006/main">
          <a:off x="5137077" y="3168046"/>
          <a:ext cx="7741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0.46594</cdr:x>
      <cdr:y>0.64509</cdr:y>
    </cdr:from>
    <cdr:to>
      <cdr:x>0.85422</cdr:x>
      <cdr:y>0.69196</cdr:y>
    </cdr:to>
    <cdr:sp macro="" textlink="">
      <cdr:nvSpPr>
        <cdr:cNvPr id="14" name="Connecteur droit 13"/>
        <cdr:cNvSpPr/>
      </cdr:nvSpPr>
      <cdr:spPr>
        <a:xfrm xmlns:a="http://schemas.openxmlformats.org/drawingml/2006/main" flipV="1">
          <a:off x="2895599" y="2446863"/>
          <a:ext cx="2413000" cy="177799"/>
        </a:xfrm>
        <a:prstGeom xmlns:a="http://schemas.openxmlformats.org/drawingml/2006/main" prst="line">
          <a:avLst/>
        </a:prstGeom>
        <a:ln xmlns:a="http://schemas.openxmlformats.org/drawingml/2006/main">
          <a:solidFill>
            <a:sysClr val="windowText" lastClr="000000"/>
          </a:solidFill>
          <a:prstDash val="solid"/>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0.61447</cdr:x>
      <cdr:y>0.03806</cdr:y>
    </cdr:from>
    <cdr:to>
      <cdr:x>0.95111</cdr:x>
      <cdr:y>0.12047</cdr:y>
    </cdr:to>
    <cdr:sp macro="" textlink="">
      <cdr:nvSpPr>
        <cdr:cNvPr id="19" name="ZoneTexte 1"/>
        <cdr:cNvSpPr txBox="1"/>
      </cdr:nvSpPr>
      <cdr:spPr>
        <a:xfrm xmlns:a="http://schemas.openxmlformats.org/drawingml/2006/main">
          <a:off x="3804071" y="142947"/>
          <a:ext cx="2084059" cy="3095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a:latin typeface="Arial" pitchFamily="34" charset="0"/>
              <a:cs typeface="Arial" pitchFamily="34" charset="0"/>
            </a:rPr>
            <a:t>Period avg.</a:t>
          </a:r>
        </a:p>
      </cdr:txBody>
    </cdr:sp>
  </cdr:relSizeAnchor>
  <cdr:relSizeAnchor xmlns:cdr="http://schemas.openxmlformats.org/drawingml/2006/chartDrawing">
    <cdr:from>
      <cdr:x>0.08447</cdr:x>
      <cdr:y>0.41964</cdr:y>
    </cdr:from>
    <cdr:to>
      <cdr:x>0.83243</cdr:x>
      <cdr:y>0.45089</cdr:y>
    </cdr:to>
    <cdr:sp macro="" textlink="">
      <cdr:nvSpPr>
        <cdr:cNvPr id="6" name="Connecteur droit 5"/>
        <cdr:cNvSpPr/>
      </cdr:nvSpPr>
      <cdr:spPr>
        <a:xfrm xmlns:a="http://schemas.openxmlformats.org/drawingml/2006/main">
          <a:off x="524933" y="1591734"/>
          <a:ext cx="4648200" cy="118532"/>
        </a:xfrm>
        <a:prstGeom xmlns:a="http://schemas.openxmlformats.org/drawingml/2006/main" prst="line">
          <a:avLst/>
        </a:prstGeom>
        <a:ln xmlns:a="http://schemas.openxmlformats.org/drawingml/2006/main">
          <a:solidFill>
            <a:schemeClr val="tx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7.xml><?xml version="1.0" encoding="utf-8"?>
<c:userShapes xmlns:c="http://schemas.openxmlformats.org/drawingml/2006/chart">
  <cdr:relSizeAnchor xmlns:cdr="http://schemas.openxmlformats.org/drawingml/2006/chartDrawing">
    <cdr:from>
      <cdr:x>0.05823</cdr:x>
      <cdr:y>0.02895</cdr:y>
    </cdr:from>
    <cdr:to>
      <cdr:x>0.19075</cdr:x>
      <cdr:y>0.11136</cdr:y>
    </cdr:to>
    <cdr:sp macro="" textlink="">
      <cdr:nvSpPr>
        <cdr:cNvPr id="2" name="ZoneTexte 1"/>
        <cdr:cNvSpPr txBox="1"/>
      </cdr:nvSpPr>
      <cdr:spPr>
        <a:xfrm xmlns:a="http://schemas.openxmlformats.org/drawingml/2006/main">
          <a:off x="361849" y="109801"/>
          <a:ext cx="823550" cy="3125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2Q13</a:t>
          </a:r>
          <a:r>
            <a:rPr lang="fr-FR" sz="1200" baseline="0">
              <a:latin typeface="Arial" pitchFamily="34" charset="0"/>
              <a:cs typeface="Arial" pitchFamily="34" charset="0"/>
            </a:rPr>
            <a:t> </a:t>
          </a:r>
          <a:r>
            <a:rPr lang="fr-FR" sz="1200">
              <a:latin typeface="Arial" pitchFamily="34" charset="0"/>
              <a:cs typeface="Arial" pitchFamily="34" charset="0"/>
            </a:rPr>
            <a:t>Adj. D/Ebitda</a:t>
          </a:r>
        </a:p>
      </cdr:txBody>
    </cdr:sp>
  </cdr:relSizeAnchor>
  <cdr:relSizeAnchor xmlns:cdr="http://schemas.openxmlformats.org/drawingml/2006/chartDrawing">
    <cdr:from>
      <cdr:x>0.67416</cdr:x>
      <cdr:y>0.83522</cdr:y>
    </cdr:from>
    <cdr:to>
      <cdr:x>0.9512</cdr:x>
      <cdr:y>0.90649</cdr:y>
    </cdr:to>
    <cdr:sp macro="" textlink="">
      <cdr:nvSpPr>
        <cdr:cNvPr id="3" name="ZoneTexte 2"/>
        <cdr:cNvSpPr txBox="1"/>
      </cdr:nvSpPr>
      <cdr:spPr>
        <a:xfrm xmlns:a="http://schemas.openxmlformats.org/drawingml/2006/main">
          <a:off x="4191848" y="3168044"/>
          <a:ext cx="1722637" cy="2703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1H13 (or last) % Mobile</a:t>
          </a:r>
        </a:p>
      </cdr:txBody>
    </cdr:sp>
  </cdr:relSizeAnchor>
  <cdr:relSizeAnchor xmlns:cdr="http://schemas.openxmlformats.org/drawingml/2006/chartDrawing">
    <cdr:from>
      <cdr:x>0.09355</cdr:x>
      <cdr:y>0.50089</cdr:y>
    </cdr:from>
    <cdr:to>
      <cdr:x>0.83483</cdr:x>
      <cdr:y>0.53987</cdr:y>
    </cdr:to>
    <cdr:sp macro="" textlink="">
      <cdr:nvSpPr>
        <cdr:cNvPr id="14" name="Connecteur droit 13"/>
        <cdr:cNvSpPr/>
      </cdr:nvSpPr>
      <cdr:spPr>
        <a:xfrm xmlns:a="http://schemas.openxmlformats.org/drawingml/2006/main" flipV="1">
          <a:off x="581686" y="1899920"/>
          <a:ext cx="4609228" cy="147843"/>
        </a:xfrm>
        <a:prstGeom xmlns:a="http://schemas.openxmlformats.org/drawingml/2006/main" prst="line">
          <a:avLst/>
        </a:prstGeom>
        <a:ln xmlns:a="http://schemas.openxmlformats.org/drawingml/2006/main">
          <a:solidFill>
            <a:schemeClr val="tx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0.4345</cdr:x>
      <cdr:y>0.60804</cdr:y>
    </cdr:from>
    <cdr:to>
      <cdr:x>0.84164</cdr:x>
      <cdr:y>0.6683</cdr:y>
    </cdr:to>
    <cdr:sp macro="" textlink="">
      <cdr:nvSpPr>
        <cdr:cNvPr id="6" name="Connecteur droit 5"/>
        <cdr:cNvSpPr/>
      </cdr:nvSpPr>
      <cdr:spPr>
        <a:xfrm xmlns:a="http://schemas.openxmlformats.org/drawingml/2006/main" flipV="1">
          <a:off x="2701714" y="2306320"/>
          <a:ext cx="2531533" cy="22859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headEnd type="none" w="med" len="med"/>
          <a:tailEnd type="triangle" w="med" len="me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0.08654</cdr:x>
      <cdr:y>0.03098</cdr:y>
    </cdr:from>
    <cdr:to>
      <cdr:x>0.27817</cdr:x>
      <cdr:y>0.11339</cdr:y>
    </cdr:to>
    <cdr:sp macro="" textlink="">
      <cdr:nvSpPr>
        <cdr:cNvPr id="2" name="ZoneTexte 1"/>
        <cdr:cNvSpPr txBox="1"/>
      </cdr:nvSpPr>
      <cdr:spPr>
        <a:xfrm xmlns:a="http://schemas.openxmlformats.org/drawingml/2006/main">
          <a:off x="535752" y="116351"/>
          <a:ext cx="1186368" cy="3095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sym typeface="Wingdings"/>
            </a:rPr>
            <a:t> </a:t>
          </a:r>
          <a:r>
            <a:rPr lang="fr-FR" sz="1200">
              <a:latin typeface="Arial" pitchFamily="34" charset="0"/>
              <a:cs typeface="Arial" pitchFamily="34" charset="0"/>
            </a:rPr>
            <a:t>Adj. D/Ebitda</a:t>
          </a:r>
        </a:p>
      </cdr:txBody>
    </cdr:sp>
  </cdr:relSizeAnchor>
  <cdr:relSizeAnchor xmlns:cdr="http://schemas.openxmlformats.org/drawingml/2006/chartDrawing">
    <cdr:from>
      <cdr:x>0.78173</cdr:x>
      <cdr:y>0.83522</cdr:y>
    </cdr:from>
    <cdr:to>
      <cdr:x>0.9512</cdr:x>
      <cdr:y>0.90649</cdr:y>
    </cdr:to>
    <cdr:sp macro="" textlink="">
      <cdr:nvSpPr>
        <cdr:cNvPr id="3" name="ZoneTexte 2"/>
        <cdr:cNvSpPr txBox="1"/>
      </cdr:nvSpPr>
      <cdr:spPr>
        <a:xfrm xmlns:a="http://schemas.openxmlformats.org/drawingml/2006/main">
          <a:off x="4860714" y="3168043"/>
          <a:ext cx="10537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Avg. % Mobile</a:t>
          </a:r>
        </a:p>
      </cdr:txBody>
    </cdr:sp>
  </cdr:relSizeAnchor>
  <cdr:relSizeAnchor xmlns:cdr="http://schemas.openxmlformats.org/drawingml/2006/chartDrawing">
    <cdr:from>
      <cdr:x>0.5945</cdr:x>
      <cdr:y>0.04212</cdr:y>
    </cdr:from>
    <cdr:to>
      <cdr:x>0.95849</cdr:x>
      <cdr:y>0.12453</cdr:y>
    </cdr:to>
    <cdr:sp macro="" textlink="">
      <cdr:nvSpPr>
        <cdr:cNvPr id="19" name="ZoneTexte 1"/>
        <cdr:cNvSpPr txBox="1"/>
      </cdr:nvSpPr>
      <cdr:spPr>
        <a:xfrm xmlns:a="http://schemas.openxmlformats.org/drawingml/2006/main">
          <a:off x="3680438" y="158190"/>
          <a:ext cx="2253398" cy="3095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a:latin typeface="Arial" pitchFamily="34" charset="0"/>
              <a:cs typeface="Arial" pitchFamily="34" charset="0"/>
            </a:rPr>
            <a:t>Period of Analysis</a:t>
          </a:r>
        </a:p>
      </cdr:txBody>
    </cdr:sp>
  </cdr:relSizeAnchor>
</c:userShapes>
</file>

<file path=xl/drawings/drawing19.xml><?xml version="1.0" encoding="utf-8"?>
<c:userShapes xmlns:c="http://schemas.openxmlformats.org/drawingml/2006/chart">
  <cdr:relSizeAnchor xmlns:cdr="http://schemas.openxmlformats.org/drawingml/2006/chartDrawing">
    <cdr:from>
      <cdr:x>0.07264</cdr:x>
      <cdr:y>0.02581</cdr:y>
    </cdr:from>
    <cdr:to>
      <cdr:x>0.2298</cdr:x>
      <cdr:y>0.10581</cdr:y>
    </cdr:to>
    <cdr:sp macro="" textlink="">
      <cdr:nvSpPr>
        <cdr:cNvPr id="2" name="ZoneTexte 1"/>
        <cdr:cNvSpPr txBox="1"/>
      </cdr:nvSpPr>
      <cdr:spPr>
        <a:xfrm xmlns:a="http://schemas.openxmlformats.org/drawingml/2006/main">
          <a:off x="435104" y="68438"/>
          <a:ext cx="941415" cy="212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solidFill>
                <a:schemeClr val="tx1">
                  <a:lumMod val="50000"/>
                  <a:lumOff val="50000"/>
                </a:schemeClr>
              </a:solidFill>
              <a:latin typeface="Arial" pitchFamily="34" charset="0"/>
              <a:cs typeface="Arial" pitchFamily="34" charset="0"/>
            </a:rPr>
            <a:t>Adj. D/Ebitda</a:t>
          </a: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440268</xdr:colOff>
      <xdr:row>484</xdr:row>
      <xdr:rowOff>118534</xdr:rowOff>
    </xdr:from>
    <xdr:to>
      <xdr:col>8</xdr:col>
      <xdr:colOff>5401733</xdr:colOff>
      <xdr:row>507</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187779</xdr:colOff>
      <xdr:row>484</xdr:row>
      <xdr:rowOff>125185</xdr:rowOff>
    </xdr:from>
    <xdr:to>
      <xdr:col>20</xdr:col>
      <xdr:colOff>770765</xdr:colOff>
      <xdr:row>506</xdr:row>
      <xdr:rowOff>136072</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178254</xdr:colOff>
      <xdr:row>485</xdr:row>
      <xdr:rowOff>50800</xdr:rowOff>
    </xdr:from>
    <xdr:to>
      <xdr:col>32</xdr:col>
      <xdr:colOff>403678</xdr:colOff>
      <xdr:row>507</xdr:row>
      <xdr:rowOff>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196</xdr:row>
      <xdr:rowOff>0</xdr:rowOff>
    </xdr:from>
    <xdr:to>
      <xdr:col>8</xdr:col>
      <xdr:colOff>5537199</xdr:colOff>
      <xdr:row>218</xdr:row>
      <xdr:rowOff>76201</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73023</xdr:colOff>
      <xdr:row>196</xdr:row>
      <xdr:rowOff>45242</xdr:rowOff>
    </xdr:from>
    <xdr:to>
      <xdr:col>20</xdr:col>
      <xdr:colOff>696646</xdr:colOff>
      <xdr:row>217</xdr:row>
      <xdr:rowOff>79110</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576962</xdr:colOff>
      <xdr:row>196</xdr:row>
      <xdr:rowOff>33866</xdr:rowOff>
    </xdr:from>
    <xdr:to>
      <xdr:col>33</xdr:col>
      <xdr:colOff>14132</xdr:colOff>
      <xdr:row>218</xdr:row>
      <xdr:rowOff>135466</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20</xdr:col>
      <xdr:colOff>55460</xdr:colOff>
      <xdr:row>130</xdr:row>
      <xdr:rowOff>33867</xdr:rowOff>
    </xdr:from>
    <xdr:to>
      <xdr:col>27</xdr:col>
      <xdr:colOff>13127</xdr:colOff>
      <xdr:row>151</xdr:row>
      <xdr:rowOff>206468</xdr:rowOff>
    </xdr:to>
    <xdr:pic>
      <xdr:nvPicPr>
        <xdr:cNvPr id="14" name="Image 13" descr="Dj Stoxx fixed.png"/>
        <xdr:cNvPicPr>
          <a:picLocks noChangeAspect="1"/>
        </xdr:cNvPicPr>
      </xdr:nvPicPr>
      <xdr:blipFill>
        <a:blip xmlns:r="http://schemas.openxmlformats.org/officeDocument/2006/relationships" r:embed="rId7" cstate="print"/>
        <a:srcRect l="14063" t="41050" r="47916" b="13374"/>
        <a:stretch>
          <a:fillRect/>
        </a:stretch>
      </xdr:blipFill>
      <xdr:spPr>
        <a:xfrm>
          <a:off x="19444127" y="20639617"/>
          <a:ext cx="5408083" cy="3538101"/>
        </a:xfrm>
        <a:prstGeom prst="rect">
          <a:avLst/>
        </a:prstGeom>
      </xdr:spPr>
    </xdr:pic>
    <xdr:clientData/>
  </xdr:twoCellAnchor>
  <xdr:twoCellAnchor editAs="oneCell">
    <xdr:from>
      <xdr:col>13</xdr:col>
      <xdr:colOff>41273</xdr:colOff>
      <xdr:row>130</xdr:row>
      <xdr:rowOff>4233</xdr:rowOff>
    </xdr:from>
    <xdr:to>
      <xdr:col>19</xdr:col>
      <xdr:colOff>750992</xdr:colOff>
      <xdr:row>142</xdr:row>
      <xdr:rowOff>6138</xdr:rowOff>
    </xdr:to>
    <xdr:pic>
      <xdr:nvPicPr>
        <xdr:cNvPr id="16" name="Image 15" descr="DJ Stoxx Mobile.png"/>
        <xdr:cNvPicPr>
          <a:picLocks noChangeAspect="1"/>
        </xdr:cNvPicPr>
      </xdr:nvPicPr>
      <xdr:blipFill>
        <a:blip xmlns:r="http://schemas.openxmlformats.org/officeDocument/2006/relationships" r:embed="rId8" cstate="print"/>
        <a:srcRect l="14005" t="45473" r="48206" b="29835"/>
        <a:stretch>
          <a:fillRect/>
        </a:stretch>
      </xdr:blipFill>
      <xdr:spPr>
        <a:xfrm>
          <a:off x="13937190" y="20250150"/>
          <a:ext cx="5419302" cy="1917488"/>
        </a:xfrm>
        <a:prstGeom prst="rect">
          <a:avLst/>
        </a:prstGeom>
      </xdr:spPr>
    </xdr:pic>
    <xdr:clientData/>
  </xdr:twoCellAnchor>
  <xdr:twoCellAnchor editAs="oneCell">
    <xdr:from>
      <xdr:col>27</xdr:col>
      <xdr:colOff>83818</xdr:colOff>
      <xdr:row>129</xdr:row>
      <xdr:rowOff>119141</xdr:rowOff>
    </xdr:from>
    <xdr:to>
      <xdr:col>32</xdr:col>
      <xdr:colOff>571500</xdr:colOff>
      <xdr:row>149</xdr:row>
      <xdr:rowOff>154304</xdr:rowOff>
    </xdr:to>
    <xdr:pic>
      <xdr:nvPicPr>
        <xdr:cNvPr id="2678802" name="Picture 18"/>
        <xdr:cNvPicPr>
          <a:picLocks noChangeAspect="1" noChangeArrowheads="1"/>
        </xdr:cNvPicPr>
      </xdr:nvPicPr>
      <xdr:blipFill>
        <a:blip xmlns:r="http://schemas.openxmlformats.org/officeDocument/2006/relationships" r:embed="rId9" cstate="print"/>
        <a:srcRect r="3935"/>
        <a:stretch>
          <a:fillRect/>
        </a:stretch>
      </xdr:blipFill>
      <xdr:spPr bwMode="auto">
        <a:xfrm>
          <a:off x="24922901" y="20566141"/>
          <a:ext cx="4350599" cy="3241913"/>
        </a:xfrm>
        <a:prstGeom prst="rect">
          <a:avLst/>
        </a:prstGeom>
        <a:noFill/>
      </xdr:spPr>
    </xdr:pic>
    <xdr:clientData/>
  </xdr:twoCellAnchor>
  <xdr:twoCellAnchor>
    <xdr:from>
      <xdr:col>7</xdr:col>
      <xdr:colOff>228600</xdr:colOff>
      <xdr:row>455</xdr:row>
      <xdr:rowOff>76199</xdr:rowOff>
    </xdr:from>
    <xdr:to>
      <xdr:col>8</xdr:col>
      <xdr:colOff>5461000</xdr:colOff>
      <xdr:row>477</xdr:row>
      <xdr:rowOff>27207</xdr:rowOff>
    </xdr:to>
    <xdr:graphicFrame macro="">
      <xdr:nvGraphicFramePr>
        <xdr:cNvPr id="21" name="Graphique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159809</xdr:colOff>
      <xdr:row>455</xdr:row>
      <xdr:rowOff>33564</xdr:rowOff>
    </xdr:from>
    <xdr:to>
      <xdr:col>20</xdr:col>
      <xdr:colOff>589945</xdr:colOff>
      <xdr:row>476</xdr:row>
      <xdr:rowOff>143322</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42334</xdr:colOff>
      <xdr:row>168</xdr:row>
      <xdr:rowOff>169331</xdr:rowOff>
    </xdr:from>
    <xdr:to>
      <xdr:col>8</xdr:col>
      <xdr:colOff>5363339</xdr:colOff>
      <xdr:row>175</xdr:row>
      <xdr:rowOff>156704</xdr:rowOff>
    </xdr:to>
    <xdr:pic>
      <xdr:nvPicPr>
        <xdr:cNvPr id="18" name="Picture 29"/>
        <xdr:cNvPicPr>
          <a:picLocks noChangeAspect="1" noChangeArrowheads="1"/>
        </xdr:cNvPicPr>
      </xdr:nvPicPr>
      <xdr:blipFill>
        <a:blip xmlns:r="http://schemas.openxmlformats.org/officeDocument/2006/relationships" r:embed="rId12" cstate="print"/>
        <a:srcRect t="2073" b="10159"/>
        <a:stretch>
          <a:fillRect/>
        </a:stretch>
      </xdr:blipFill>
      <xdr:spPr bwMode="auto">
        <a:xfrm>
          <a:off x="3793067" y="29548664"/>
          <a:ext cx="6599472" cy="1172707"/>
        </a:xfrm>
        <a:prstGeom prst="rect">
          <a:avLst/>
        </a:prstGeom>
        <a:noFill/>
      </xdr:spPr>
    </xdr:pic>
    <xdr:clientData/>
  </xdr:twoCellAnchor>
  <xdr:twoCellAnchor>
    <xdr:from>
      <xdr:col>37</xdr:col>
      <xdr:colOff>95250</xdr:colOff>
      <xdr:row>195</xdr:row>
      <xdr:rowOff>149679</xdr:rowOff>
    </xdr:from>
    <xdr:to>
      <xdr:col>45</xdr:col>
      <xdr:colOff>416981</xdr:colOff>
      <xdr:row>218</xdr:row>
      <xdr:rowOff>87993</xdr:rowOff>
    </xdr:to>
    <xdr:graphicFrame macro="">
      <xdr:nvGraphicFramePr>
        <xdr:cNvPr id="19" name="Graphique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256116</xdr:colOff>
      <xdr:row>7</xdr:row>
      <xdr:rowOff>74087</xdr:rowOff>
    </xdr:from>
    <xdr:to>
      <xdr:col>9</xdr:col>
      <xdr:colOff>508000</xdr:colOff>
      <xdr:row>30</xdr:row>
      <xdr:rowOff>10584</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251883</xdr:colOff>
      <xdr:row>7</xdr:row>
      <xdr:rowOff>16933</xdr:rowOff>
    </xdr:from>
    <xdr:to>
      <xdr:col>22</xdr:col>
      <xdr:colOff>245533</xdr:colOff>
      <xdr:row>28</xdr:row>
      <xdr:rowOff>76199</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17</xdr:col>
      <xdr:colOff>135467</xdr:colOff>
      <xdr:row>30</xdr:row>
      <xdr:rowOff>101600</xdr:rowOff>
    </xdr:from>
    <xdr:to>
      <xdr:col>21</xdr:col>
      <xdr:colOff>433916</xdr:colOff>
      <xdr:row>42</xdr:row>
      <xdr:rowOff>133350</xdr:rowOff>
    </xdr:to>
    <xdr:pic>
      <xdr:nvPicPr>
        <xdr:cNvPr id="2678820" name="Picture 36"/>
        <xdr:cNvPicPr>
          <a:picLocks noChangeAspect="1" noChangeArrowheads="1"/>
        </xdr:cNvPicPr>
      </xdr:nvPicPr>
      <xdr:blipFill>
        <a:blip xmlns:r="http://schemas.openxmlformats.org/officeDocument/2006/relationships" r:embed="rId16" cstate="print"/>
        <a:srcRect t="10155"/>
        <a:stretch>
          <a:fillRect/>
        </a:stretch>
      </xdr:blipFill>
      <xdr:spPr bwMode="auto">
        <a:xfrm>
          <a:off x="17862550" y="4864100"/>
          <a:ext cx="3431116" cy="1936750"/>
        </a:xfrm>
        <a:prstGeom prst="rect">
          <a:avLst/>
        </a:prstGeom>
        <a:noFill/>
      </xdr:spPr>
    </xdr:pic>
    <xdr:clientData/>
  </xdr:twoCellAnchor>
  <xdr:twoCellAnchor editAs="oneCell">
    <xdr:from>
      <xdr:col>13</xdr:col>
      <xdr:colOff>154516</xdr:colOff>
      <xdr:row>30</xdr:row>
      <xdr:rowOff>139701</xdr:rowOff>
    </xdr:from>
    <xdr:to>
      <xdr:col>17</xdr:col>
      <xdr:colOff>126999</xdr:colOff>
      <xdr:row>42</xdr:row>
      <xdr:rowOff>13419</xdr:rowOff>
    </xdr:to>
    <xdr:pic>
      <xdr:nvPicPr>
        <xdr:cNvPr id="2678821" name="Picture 37"/>
        <xdr:cNvPicPr>
          <a:picLocks noChangeAspect="1" noChangeArrowheads="1"/>
        </xdr:cNvPicPr>
      </xdr:nvPicPr>
      <xdr:blipFill>
        <a:blip xmlns:r="http://schemas.openxmlformats.org/officeDocument/2006/relationships" r:embed="rId17" cstate="print"/>
        <a:srcRect/>
        <a:stretch>
          <a:fillRect/>
        </a:stretch>
      </xdr:blipFill>
      <xdr:spPr bwMode="auto">
        <a:xfrm>
          <a:off x="14748933" y="4902201"/>
          <a:ext cx="3092449" cy="1778718"/>
        </a:xfrm>
        <a:prstGeom prst="rect">
          <a:avLst/>
        </a:prstGeom>
        <a:noFill/>
      </xdr:spPr>
    </xdr:pic>
    <xdr:clientData/>
  </xdr:twoCellAnchor>
  <xdr:twoCellAnchor>
    <xdr:from>
      <xdr:col>13</xdr:col>
      <xdr:colOff>292766</xdr:colOff>
      <xdr:row>354</xdr:row>
      <xdr:rowOff>92176</xdr:rowOff>
    </xdr:from>
    <xdr:to>
      <xdr:col>21</xdr:col>
      <xdr:colOff>266290</xdr:colOff>
      <xdr:row>378</xdr:row>
      <xdr:rowOff>61452</xdr:rowOff>
    </xdr:to>
    <xdr:graphicFrame macro="">
      <xdr:nvGraphicFramePr>
        <xdr:cNvPr id="24" name="Graphique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35</xdr:col>
      <xdr:colOff>35718</xdr:colOff>
      <xdr:row>189</xdr:row>
      <xdr:rowOff>11906</xdr:rowOff>
    </xdr:from>
    <xdr:to>
      <xdr:col>47</xdr:col>
      <xdr:colOff>11906</xdr:colOff>
      <xdr:row>219</xdr:row>
      <xdr:rowOff>119062</xdr:rowOff>
    </xdr:to>
    <xdr:cxnSp macro="">
      <xdr:nvCxnSpPr>
        <xdr:cNvPr id="26" name="Connecteur droit 25"/>
        <xdr:cNvCxnSpPr/>
      </xdr:nvCxnSpPr>
      <xdr:spPr>
        <a:xfrm flipV="1">
          <a:off x="30349031" y="33349406"/>
          <a:ext cx="9263063" cy="49410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479</xdr:row>
      <xdr:rowOff>52917</xdr:rowOff>
    </xdr:from>
    <xdr:to>
      <xdr:col>12</xdr:col>
      <xdr:colOff>0</xdr:colOff>
      <xdr:row>510</xdr:row>
      <xdr:rowOff>127000</xdr:rowOff>
    </xdr:to>
    <xdr:cxnSp macro="">
      <xdr:nvCxnSpPr>
        <xdr:cNvPr id="28" name="Connecteur droit 27"/>
        <xdr:cNvCxnSpPr/>
      </xdr:nvCxnSpPr>
      <xdr:spPr>
        <a:xfrm flipV="1">
          <a:off x="1894417" y="60515500"/>
          <a:ext cx="11599333" cy="499533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10584</xdr:colOff>
      <xdr:row>479</xdr:row>
      <xdr:rowOff>42334</xdr:rowOff>
    </xdr:from>
    <xdr:to>
      <xdr:col>36</xdr:col>
      <xdr:colOff>762000</xdr:colOff>
      <xdr:row>510</xdr:row>
      <xdr:rowOff>105834</xdr:rowOff>
    </xdr:to>
    <xdr:cxnSp macro="">
      <xdr:nvCxnSpPr>
        <xdr:cNvPr id="30" name="Connecteur droit 29"/>
        <xdr:cNvCxnSpPr/>
      </xdr:nvCxnSpPr>
      <xdr:spPr>
        <a:xfrm flipV="1">
          <a:off x="13959417" y="54154917"/>
          <a:ext cx="17864666" cy="4984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21166</xdr:colOff>
      <xdr:row>452</xdr:row>
      <xdr:rowOff>21167</xdr:rowOff>
    </xdr:from>
    <xdr:to>
      <xdr:col>12</xdr:col>
      <xdr:colOff>31750</xdr:colOff>
      <xdr:row>478</xdr:row>
      <xdr:rowOff>10583</xdr:rowOff>
    </xdr:to>
    <xdr:cxnSp macro="">
      <xdr:nvCxnSpPr>
        <xdr:cNvPr id="35" name="Connecteur droit 34"/>
        <xdr:cNvCxnSpPr/>
      </xdr:nvCxnSpPr>
      <xdr:spPr>
        <a:xfrm flipV="1">
          <a:off x="1915583" y="56313917"/>
          <a:ext cx="11609917" cy="411691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31750</xdr:colOff>
      <xdr:row>451</xdr:row>
      <xdr:rowOff>10583</xdr:rowOff>
    </xdr:from>
    <xdr:to>
      <xdr:col>21</xdr:col>
      <xdr:colOff>10584</xdr:colOff>
      <xdr:row>477</xdr:row>
      <xdr:rowOff>137583</xdr:rowOff>
    </xdr:to>
    <xdr:cxnSp macro="">
      <xdr:nvCxnSpPr>
        <xdr:cNvPr id="38" name="Connecteur droit 37"/>
        <xdr:cNvCxnSpPr/>
      </xdr:nvCxnSpPr>
      <xdr:spPr>
        <a:xfrm flipV="1">
          <a:off x="14012333" y="56261000"/>
          <a:ext cx="6233584" cy="4138083"/>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122904</xdr:colOff>
      <xdr:row>393</xdr:row>
      <xdr:rowOff>87056</xdr:rowOff>
    </xdr:from>
    <xdr:to>
      <xdr:col>8</xdr:col>
      <xdr:colOff>5930080</xdr:colOff>
      <xdr:row>405</xdr:row>
      <xdr:rowOff>102759</xdr:rowOff>
    </xdr:to>
    <xdr:graphicFrame macro="">
      <xdr:nvGraphicFramePr>
        <xdr:cNvPr id="29" name="Graphiqu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0</xdr:colOff>
      <xdr:row>354</xdr:row>
      <xdr:rowOff>102418</xdr:rowOff>
    </xdr:from>
    <xdr:to>
      <xdr:col>8</xdr:col>
      <xdr:colOff>5915401</xdr:colOff>
      <xdr:row>376</xdr:row>
      <xdr:rowOff>153628</xdr:rowOff>
    </xdr:to>
    <xdr:graphicFrame macro="">
      <xdr:nvGraphicFramePr>
        <xdr:cNvPr id="31" name="Graphique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0.07617</cdr:x>
      <cdr:y>0.03778</cdr:y>
    </cdr:from>
    <cdr:to>
      <cdr:x>0.31075</cdr:x>
      <cdr:y>0.11111</cdr:y>
    </cdr:to>
    <cdr:sp macro="" textlink="">
      <cdr:nvSpPr>
        <cdr:cNvPr id="2" name="ZoneTexte 1"/>
        <cdr:cNvSpPr txBox="1"/>
      </cdr:nvSpPr>
      <cdr:spPr>
        <a:xfrm xmlns:a="http://schemas.openxmlformats.org/drawingml/2006/main">
          <a:off x="448532" y="118752"/>
          <a:ext cx="1381326" cy="2304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solidFill>
                <a:schemeClr val="tx1">
                  <a:lumMod val="65000"/>
                  <a:lumOff val="35000"/>
                </a:schemeClr>
              </a:solidFill>
              <a:latin typeface="Arial" pitchFamily="34" charset="0"/>
              <a:cs typeface="Arial" pitchFamily="34" charset="0"/>
            </a:rPr>
            <a:t>Adj. Gearing</a:t>
          </a:r>
        </a:p>
        <a:p xmlns:a="http://schemas.openxmlformats.org/drawingml/2006/main">
          <a:endParaRPr lang="fr-FR" sz="1200">
            <a:solidFill>
              <a:schemeClr val="tx1">
                <a:lumMod val="65000"/>
                <a:lumOff val="35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solidFill>
                <a:schemeClr val="tx1">
                  <a:lumMod val="50000"/>
                  <a:lumOff val="50000"/>
                </a:schemeClr>
              </a:solidFill>
              <a:latin typeface="Arial" pitchFamily="34" charset="0"/>
              <a:cs typeface="Arial" pitchFamily="34" charset="0"/>
            </a:rPr>
            <a:t>E/Eb</a:t>
          </a:r>
        </a:p>
      </cdr:txBody>
    </cdr:sp>
  </cdr:relSizeAnchor>
</c:userShapes>
</file>

<file path=xl/drawings/drawing22.xml><?xml version="1.0" encoding="utf-8"?>
<c:userShapes xmlns:c="http://schemas.openxmlformats.org/drawingml/2006/chart">
  <cdr:relSizeAnchor xmlns:cdr="http://schemas.openxmlformats.org/drawingml/2006/chartDrawing">
    <cdr:from>
      <cdr:x>0.11065</cdr:x>
      <cdr:y>0.0594</cdr:y>
    </cdr:from>
    <cdr:to>
      <cdr:x>0.29477</cdr:x>
      <cdr:y>0.13821</cdr:y>
    </cdr:to>
    <cdr:sp macro="" textlink="">
      <cdr:nvSpPr>
        <cdr:cNvPr id="3" name="ZoneTexte 1"/>
        <cdr:cNvSpPr txBox="1"/>
      </cdr:nvSpPr>
      <cdr:spPr>
        <a:xfrm xmlns:a="http://schemas.openxmlformats.org/drawingml/2006/main">
          <a:off x="689750" y="150379"/>
          <a:ext cx="1147728" cy="199510"/>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r>
            <a:rPr lang="fr-FR" sz="1200">
              <a:solidFill>
                <a:schemeClr val="tx1">
                  <a:lumMod val="50000"/>
                  <a:lumOff val="50000"/>
                </a:schemeClr>
              </a:solidFill>
              <a:latin typeface="Arial" pitchFamily="34" charset="0"/>
              <a:cs typeface="Arial" pitchFamily="34" charset="0"/>
            </a:rPr>
            <a:t>Price-to-Book</a:t>
          </a:r>
        </a:p>
      </cdr:txBody>
    </cdr:sp>
  </cdr:relSizeAnchor>
</c:userShapes>
</file>

<file path=xl/drawings/drawing23.xml><?xml version="1.0" encoding="utf-8"?>
<c:userShapes xmlns:c="http://schemas.openxmlformats.org/drawingml/2006/chart">
  <cdr:relSizeAnchor xmlns:cdr="http://schemas.openxmlformats.org/drawingml/2006/chartDrawing">
    <cdr:from>
      <cdr:x>0.05308</cdr:x>
      <cdr:y>0.04017</cdr:y>
    </cdr:from>
    <cdr:to>
      <cdr:x>0.43111</cdr:x>
      <cdr:y>0.17341</cdr:y>
    </cdr:to>
    <cdr:sp macro="" textlink="">
      <cdr:nvSpPr>
        <cdr:cNvPr id="2" name="ZoneTexte 1"/>
        <cdr:cNvSpPr txBox="1"/>
      </cdr:nvSpPr>
      <cdr:spPr>
        <a:xfrm xmlns:a="http://schemas.openxmlformats.org/drawingml/2006/main">
          <a:off x="392224" y="73548"/>
          <a:ext cx="2793360" cy="2439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D*/Ebitda*</a:t>
          </a:r>
          <a:r>
            <a:rPr lang="fr-FR" sz="1200" baseline="0">
              <a:latin typeface="Arial" pitchFamily="34" charset="0"/>
              <a:cs typeface="Arial" pitchFamily="34" charset="0"/>
            </a:rPr>
            <a:t> - D/Ebitda</a:t>
          </a:r>
          <a:endParaRPr lang="fr-FR" sz="12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0.07617</cdr:x>
      <cdr:y>0.02625</cdr:y>
    </cdr:from>
    <cdr:to>
      <cdr:x>0.23333</cdr:x>
      <cdr:y>0.13793</cdr:y>
    </cdr:to>
    <cdr:sp macro="" textlink="">
      <cdr:nvSpPr>
        <cdr:cNvPr id="2" name="ZoneTexte 1"/>
        <cdr:cNvSpPr txBox="1"/>
      </cdr:nvSpPr>
      <cdr:spPr>
        <a:xfrm xmlns:a="http://schemas.openxmlformats.org/drawingml/2006/main">
          <a:off x="469895" y="56396"/>
          <a:ext cx="969524" cy="2399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D/Ebitda</a:t>
          </a:r>
        </a:p>
      </cdr:txBody>
    </cdr:sp>
  </cdr:relSizeAnchor>
</c:userShapes>
</file>

<file path=xl/drawings/drawing25.xml><?xml version="1.0" encoding="utf-8"?>
<c:userShapes xmlns:c="http://schemas.openxmlformats.org/drawingml/2006/chart">
  <cdr:relSizeAnchor xmlns:cdr="http://schemas.openxmlformats.org/drawingml/2006/chartDrawing">
    <cdr:from>
      <cdr:x>0.07617</cdr:x>
      <cdr:y>0.03778</cdr:y>
    </cdr:from>
    <cdr:to>
      <cdr:x>0.23333</cdr:x>
      <cdr:y>0.15166</cdr:y>
    </cdr:to>
    <cdr:sp macro="" textlink="">
      <cdr:nvSpPr>
        <cdr:cNvPr id="2" name="ZoneTexte 1"/>
        <cdr:cNvSpPr txBox="1"/>
      </cdr:nvSpPr>
      <cdr:spPr>
        <a:xfrm xmlns:a="http://schemas.openxmlformats.org/drawingml/2006/main">
          <a:off x="465945" y="84366"/>
          <a:ext cx="961374" cy="2543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D/Ebitda</a:t>
          </a:r>
        </a:p>
      </cdr:txBody>
    </cdr:sp>
  </cdr:relSizeAnchor>
</c:userShapes>
</file>

<file path=xl/drawings/drawing26.xml><?xml version="1.0" encoding="utf-8"?>
<c:userShapes xmlns:c="http://schemas.openxmlformats.org/drawingml/2006/chart">
  <cdr:relSizeAnchor xmlns:cdr="http://schemas.openxmlformats.org/drawingml/2006/chartDrawing">
    <cdr:from>
      <cdr:x>0.07617</cdr:x>
      <cdr:y>0.03778</cdr:y>
    </cdr:from>
    <cdr:to>
      <cdr:x>0.23333</cdr:x>
      <cdr:y>0.15166</cdr:y>
    </cdr:to>
    <cdr:sp macro="" textlink="">
      <cdr:nvSpPr>
        <cdr:cNvPr id="2" name="ZoneTexte 1"/>
        <cdr:cNvSpPr txBox="1"/>
      </cdr:nvSpPr>
      <cdr:spPr>
        <a:xfrm xmlns:a="http://schemas.openxmlformats.org/drawingml/2006/main">
          <a:off x="465945" y="84366"/>
          <a:ext cx="961374" cy="2543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27.xml><?xml version="1.0" encoding="utf-8"?>
<c:userShapes xmlns:c="http://schemas.openxmlformats.org/drawingml/2006/chart">
  <cdr:relSizeAnchor xmlns:cdr="http://schemas.openxmlformats.org/drawingml/2006/chartDrawing">
    <cdr:from>
      <cdr:x>0.07617</cdr:x>
      <cdr:y>0.02625</cdr:y>
    </cdr:from>
    <cdr:to>
      <cdr:x>0.26591</cdr:x>
      <cdr:y>0.1381</cdr:y>
    </cdr:to>
    <cdr:sp macro="" textlink="">
      <cdr:nvSpPr>
        <cdr:cNvPr id="2" name="ZoneTexte 1"/>
        <cdr:cNvSpPr txBox="1"/>
      </cdr:nvSpPr>
      <cdr:spPr>
        <a:xfrm xmlns:a="http://schemas.openxmlformats.org/drawingml/2006/main">
          <a:off x="469895" y="58341"/>
          <a:ext cx="1170522" cy="2485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a:t>
          </a:r>
          <a:r>
            <a:rPr lang="fr-FR" sz="1200" baseline="0">
              <a:latin typeface="Arial" pitchFamily="34" charset="0"/>
              <a:cs typeface="Arial" pitchFamily="34" charset="0"/>
            </a:rPr>
            <a:t> g*</a:t>
          </a:r>
          <a:endParaRPr lang="fr-FR" sz="12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0.07617</cdr:x>
      <cdr:y>0.03778</cdr:y>
    </cdr:from>
    <cdr:to>
      <cdr:x>0.28374</cdr:x>
      <cdr:y>0.14692</cdr:y>
    </cdr:to>
    <cdr:sp macro="" textlink="">
      <cdr:nvSpPr>
        <cdr:cNvPr id="2" name="ZoneTexte 1"/>
        <cdr:cNvSpPr txBox="1"/>
      </cdr:nvSpPr>
      <cdr:spPr>
        <a:xfrm xmlns:a="http://schemas.openxmlformats.org/drawingml/2006/main">
          <a:off x="465945" y="84366"/>
          <a:ext cx="1269722" cy="2437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 g*</a:t>
          </a:r>
        </a:p>
      </cdr:txBody>
    </cdr:sp>
  </cdr:relSizeAnchor>
</c:userShapes>
</file>

<file path=xl/drawings/drawing29.xml><?xml version="1.0" encoding="utf-8"?>
<c:userShapes xmlns:c="http://schemas.openxmlformats.org/drawingml/2006/chart">
  <cdr:relSizeAnchor xmlns:cdr="http://schemas.openxmlformats.org/drawingml/2006/chartDrawing">
    <cdr:from>
      <cdr:x>0.07617</cdr:x>
      <cdr:y>0.03778</cdr:y>
    </cdr:from>
    <cdr:to>
      <cdr:x>0.27682</cdr:x>
      <cdr:y>0.17536</cdr:y>
    </cdr:to>
    <cdr:sp macro="" textlink="">
      <cdr:nvSpPr>
        <cdr:cNvPr id="2" name="ZoneTexte 1"/>
        <cdr:cNvSpPr txBox="1"/>
      </cdr:nvSpPr>
      <cdr:spPr>
        <a:xfrm xmlns:a="http://schemas.openxmlformats.org/drawingml/2006/main">
          <a:off x="465945" y="84366"/>
          <a:ext cx="1227388" cy="307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 g*</a:t>
          </a:r>
        </a:p>
      </cdr:txBody>
    </cdr:sp>
  </cdr:relSizeAnchor>
</c:userShapes>
</file>

<file path=xl/drawings/drawing3.xml><?xml version="1.0" encoding="utf-8"?>
<c:userShapes xmlns:c="http://schemas.openxmlformats.org/drawingml/2006/chart">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EV/Sales</a:t>
          </a:r>
        </a:p>
      </cdr:txBody>
    </cdr:sp>
  </cdr:relSizeAnchor>
  <cdr:relSizeAnchor xmlns:cdr="http://schemas.openxmlformats.org/drawingml/2006/chartDrawing">
    <cdr:from>
      <cdr:x>0.79458</cdr:x>
      <cdr:y>0.82406</cdr:y>
    </cdr:from>
    <cdr:to>
      <cdr:x>0.95823</cdr:x>
      <cdr:y>0.89533</cdr:y>
    </cdr:to>
    <cdr:sp macro="" textlink="">
      <cdr:nvSpPr>
        <cdr:cNvPr id="3" name="ZoneTexte 2"/>
        <cdr:cNvSpPr txBox="1"/>
      </cdr:nvSpPr>
      <cdr:spPr>
        <a:xfrm xmlns:a="http://schemas.openxmlformats.org/drawingml/2006/main">
          <a:off x="5314708" y="3132676"/>
          <a:ext cx="1094557"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Mobile % Rev.</a:t>
          </a:r>
        </a:p>
      </cdr:txBody>
    </cdr:sp>
  </cdr:relSizeAnchor>
</c:userShapes>
</file>

<file path=xl/drawings/drawing30.xml><?xml version="1.0" encoding="utf-8"?>
<c:userShapes xmlns:c="http://schemas.openxmlformats.org/drawingml/2006/chart">
  <cdr:relSizeAnchor xmlns:cdr="http://schemas.openxmlformats.org/drawingml/2006/chartDrawing">
    <cdr:from>
      <cdr:x>0.0669</cdr:x>
      <cdr:y>0.13013</cdr:y>
    </cdr:from>
    <cdr:to>
      <cdr:x>0.25605</cdr:x>
      <cdr:y>0.24011</cdr:y>
    </cdr:to>
    <cdr:sp macro="" textlink="">
      <cdr:nvSpPr>
        <cdr:cNvPr id="2" name="ZoneTexte 1"/>
        <cdr:cNvSpPr txBox="1"/>
      </cdr:nvSpPr>
      <cdr:spPr>
        <a:xfrm xmlns:a="http://schemas.openxmlformats.org/drawingml/2006/main">
          <a:off x="420336" y="298260"/>
          <a:ext cx="1188330" cy="2520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a:t>
          </a:r>
          <a:r>
            <a:rPr lang="fr-FR" sz="1200" baseline="0">
              <a:latin typeface="Arial" pitchFamily="34" charset="0"/>
              <a:cs typeface="Arial" pitchFamily="34" charset="0"/>
            </a:rPr>
            <a:t> </a:t>
          </a:r>
          <a:r>
            <a:rPr lang="fr-FR" sz="1200">
              <a:latin typeface="Arial" pitchFamily="34" charset="0"/>
              <a:cs typeface="Arial" pitchFamily="34" charset="0"/>
            </a:rPr>
            <a:t>Eb/Ebitda</a:t>
          </a: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29</xdr:col>
      <xdr:colOff>162139</xdr:colOff>
      <xdr:row>538</xdr:row>
      <xdr:rowOff>98578</xdr:rowOff>
    </xdr:from>
    <xdr:to>
      <xdr:col>45</xdr:col>
      <xdr:colOff>317322</xdr:colOff>
      <xdr:row>558</xdr:row>
      <xdr:rowOff>29238</xdr:rowOff>
    </xdr:to>
    <xdr:pic>
      <xdr:nvPicPr>
        <xdr:cNvPr id="2700298"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6449889" y="81738411"/>
          <a:ext cx="8791183" cy="3105660"/>
        </a:xfrm>
        <a:prstGeom prst="rect">
          <a:avLst/>
        </a:prstGeom>
        <a:noFill/>
      </xdr:spPr>
    </xdr:pic>
    <xdr:clientData/>
  </xdr:twoCellAnchor>
  <xdr:twoCellAnchor editAs="oneCell">
    <xdr:from>
      <xdr:col>29</xdr:col>
      <xdr:colOff>236222</xdr:colOff>
      <xdr:row>593</xdr:row>
      <xdr:rowOff>72813</xdr:rowOff>
    </xdr:from>
    <xdr:to>
      <xdr:col>45</xdr:col>
      <xdr:colOff>88685</xdr:colOff>
      <xdr:row>615</xdr:row>
      <xdr:rowOff>55033</xdr:rowOff>
    </xdr:to>
    <xdr:pic>
      <xdr:nvPicPr>
        <xdr:cNvPr id="2700299"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6523972" y="90443896"/>
          <a:ext cx="8488463" cy="3474720"/>
        </a:xfrm>
        <a:prstGeom prst="rect">
          <a:avLst/>
        </a:prstGeom>
        <a:noFill/>
      </xdr:spPr>
    </xdr:pic>
    <xdr:clientData/>
  </xdr:twoCellAnchor>
  <xdr:twoCellAnchor editAs="oneCell">
    <xdr:from>
      <xdr:col>29</xdr:col>
      <xdr:colOff>151556</xdr:colOff>
      <xdr:row>516</xdr:row>
      <xdr:rowOff>110064</xdr:rowOff>
    </xdr:from>
    <xdr:to>
      <xdr:col>45</xdr:col>
      <xdr:colOff>287581</xdr:colOff>
      <xdr:row>534</xdr:row>
      <xdr:rowOff>138640</xdr:rowOff>
    </xdr:to>
    <xdr:pic>
      <xdr:nvPicPr>
        <xdr:cNvPr id="2700304" name="Picture 16"/>
        <xdr:cNvPicPr>
          <a:picLocks noChangeAspect="1" noChangeArrowheads="1"/>
        </xdr:cNvPicPr>
      </xdr:nvPicPr>
      <xdr:blipFill>
        <a:blip xmlns:r="http://schemas.openxmlformats.org/officeDocument/2006/relationships" r:embed="rId3" cstate="print"/>
        <a:srcRect/>
        <a:stretch>
          <a:fillRect/>
        </a:stretch>
      </xdr:blipFill>
      <xdr:spPr bwMode="auto">
        <a:xfrm>
          <a:off x="16439306" y="78363231"/>
          <a:ext cx="8772025" cy="2780242"/>
        </a:xfrm>
        <a:prstGeom prst="rect">
          <a:avLst/>
        </a:prstGeom>
        <a:noFill/>
      </xdr:spPr>
    </xdr:pic>
    <xdr:clientData/>
  </xdr:twoCellAnchor>
  <xdr:twoCellAnchor editAs="oneCell">
    <xdr:from>
      <xdr:col>3</xdr:col>
      <xdr:colOff>188385</xdr:colOff>
      <xdr:row>481</xdr:row>
      <xdr:rowOff>33863</xdr:rowOff>
    </xdr:from>
    <xdr:to>
      <xdr:col>16</xdr:col>
      <xdr:colOff>294217</xdr:colOff>
      <xdr:row>491</xdr:row>
      <xdr:rowOff>76199</xdr:rowOff>
    </xdr:to>
    <xdr:pic>
      <xdr:nvPicPr>
        <xdr:cNvPr id="2700305" name="Picture 17"/>
        <xdr:cNvPicPr>
          <a:picLocks noChangeAspect="1" noChangeArrowheads="1"/>
        </xdr:cNvPicPr>
      </xdr:nvPicPr>
      <xdr:blipFill>
        <a:blip xmlns:r="http://schemas.openxmlformats.org/officeDocument/2006/relationships" r:embed="rId4" cstate="print"/>
        <a:srcRect/>
        <a:stretch>
          <a:fillRect/>
        </a:stretch>
      </xdr:blipFill>
      <xdr:spPr bwMode="auto">
        <a:xfrm>
          <a:off x="2135718" y="72942446"/>
          <a:ext cx="7397749" cy="1629836"/>
        </a:xfrm>
        <a:prstGeom prst="rect">
          <a:avLst/>
        </a:prstGeom>
        <a:noFill/>
      </xdr:spPr>
    </xdr:pic>
    <xdr:clientData/>
  </xdr:twoCellAnchor>
  <xdr:twoCellAnchor editAs="oneCell">
    <xdr:from>
      <xdr:col>29</xdr:col>
      <xdr:colOff>236222</xdr:colOff>
      <xdr:row>654</xdr:row>
      <xdr:rowOff>135466</xdr:rowOff>
    </xdr:from>
    <xdr:to>
      <xdr:col>45</xdr:col>
      <xdr:colOff>342056</xdr:colOff>
      <xdr:row>666</xdr:row>
      <xdr:rowOff>144535</xdr:rowOff>
    </xdr:to>
    <xdr:pic>
      <xdr:nvPicPr>
        <xdr:cNvPr id="2700311" name="Picture 23"/>
        <xdr:cNvPicPr>
          <a:picLocks noChangeAspect="1" noChangeArrowheads="1"/>
        </xdr:cNvPicPr>
      </xdr:nvPicPr>
      <xdr:blipFill>
        <a:blip xmlns:r="http://schemas.openxmlformats.org/officeDocument/2006/relationships" r:embed="rId5" cstate="print"/>
        <a:srcRect/>
        <a:stretch>
          <a:fillRect/>
        </a:stretch>
      </xdr:blipFill>
      <xdr:spPr bwMode="auto">
        <a:xfrm>
          <a:off x="16523972" y="100190299"/>
          <a:ext cx="8741834" cy="1914069"/>
        </a:xfrm>
        <a:prstGeom prst="rect">
          <a:avLst/>
        </a:prstGeom>
        <a:noFill/>
      </xdr:spPr>
    </xdr:pic>
    <xdr:clientData/>
  </xdr:twoCellAnchor>
  <xdr:twoCellAnchor editAs="oneCell">
    <xdr:from>
      <xdr:col>3</xdr:col>
      <xdr:colOff>94873</xdr:colOff>
      <xdr:row>292</xdr:row>
      <xdr:rowOff>103715</xdr:rowOff>
    </xdr:from>
    <xdr:to>
      <xdr:col>12</xdr:col>
      <xdr:colOff>262466</xdr:colOff>
      <xdr:row>301</xdr:row>
      <xdr:rowOff>52917</xdr:rowOff>
    </xdr:to>
    <xdr:pic>
      <xdr:nvPicPr>
        <xdr:cNvPr id="2700318" name="Picture 30"/>
        <xdr:cNvPicPr>
          <a:picLocks noChangeAspect="1" noChangeArrowheads="1"/>
        </xdr:cNvPicPr>
      </xdr:nvPicPr>
      <xdr:blipFill>
        <a:blip xmlns:r="http://schemas.openxmlformats.org/officeDocument/2006/relationships" r:embed="rId6" cstate="print"/>
        <a:srcRect r="3601" b="10881"/>
        <a:stretch>
          <a:fillRect/>
        </a:stretch>
      </xdr:blipFill>
      <xdr:spPr bwMode="auto">
        <a:xfrm>
          <a:off x="2042206" y="42373548"/>
          <a:ext cx="5258177" cy="1377952"/>
        </a:xfrm>
        <a:prstGeom prst="rect">
          <a:avLst/>
        </a:prstGeom>
        <a:noFill/>
      </xdr:spPr>
    </xdr:pic>
    <xdr:clientData/>
  </xdr:twoCellAnchor>
  <xdr:twoCellAnchor editAs="oneCell">
    <xdr:from>
      <xdr:col>3</xdr:col>
      <xdr:colOff>160231</xdr:colOff>
      <xdr:row>390</xdr:row>
      <xdr:rowOff>21166</xdr:rowOff>
    </xdr:from>
    <xdr:to>
      <xdr:col>12</xdr:col>
      <xdr:colOff>15663</xdr:colOff>
      <xdr:row>405</xdr:row>
      <xdr:rowOff>88900</xdr:rowOff>
    </xdr:to>
    <xdr:pic>
      <xdr:nvPicPr>
        <xdr:cNvPr id="2700333" name="Picture 45" descr="http://www.standardandpoors.com/spf/fgr_articles/1221924/7875097.gif"/>
        <xdr:cNvPicPr>
          <a:picLocks noChangeAspect="1" noChangeArrowheads="1"/>
        </xdr:cNvPicPr>
      </xdr:nvPicPr>
      <xdr:blipFill>
        <a:blip xmlns:r="http://schemas.openxmlformats.org/officeDocument/2006/relationships" r:embed="rId7" cstate="print"/>
        <a:srcRect t="14309" b="13441"/>
        <a:stretch>
          <a:fillRect/>
        </a:stretch>
      </xdr:blipFill>
      <xdr:spPr bwMode="auto">
        <a:xfrm>
          <a:off x="2107564" y="58589333"/>
          <a:ext cx="4946016" cy="2448984"/>
        </a:xfrm>
        <a:prstGeom prst="rect">
          <a:avLst/>
        </a:prstGeom>
        <a:noFill/>
      </xdr:spPr>
    </xdr:pic>
    <xdr:clientData/>
  </xdr:twoCellAnchor>
  <xdr:twoCellAnchor>
    <xdr:from>
      <xdr:col>11</xdr:col>
      <xdr:colOff>389467</xdr:colOff>
      <xdr:row>399</xdr:row>
      <xdr:rowOff>143933</xdr:rowOff>
    </xdr:from>
    <xdr:to>
      <xdr:col>12</xdr:col>
      <xdr:colOff>228600</xdr:colOff>
      <xdr:row>401</xdr:row>
      <xdr:rowOff>42333</xdr:rowOff>
    </xdr:to>
    <xdr:cxnSp macro="">
      <xdr:nvCxnSpPr>
        <xdr:cNvPr id="19" name="Connecteur droit avec flèche 18"/>
        <xdr:cNvCxnSpPr/>
      </xdr:nvCxnSpPr>
      <xdr:spPr>
        <a:xfrm flipH="1">
          <a:off x="6891867" y="34179933"/>
          <a:ext cx="397933" cy="237067"/>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279402</xdr:colOff>
      <xdr:row>402</xdr:row>
      <xdr:rowOff>110067</xdr:rowOff>
    </xdr:from>
    <xdr:to>
      <xdr:col>12</xdr:col>
      <xdr:colOff>220133</xdr:colOff>
      <xdr:row>404</xdr:row>
      <xdr:rowOff>16933</xdr:rowOff>
    </xdr:to>
    <xdr:cxnSp macro="">
      <xdr:nvCxnSpPr>
        <xdr:cNvPr id="21" name="Connecteur droit avec flèche 20"/>
        <xdr:cNvCxnSpPr/>
      </xdr:nvCxnSpPr>
      <xdr:spPr>
        <a:xfrm flipH="1">
          <a:off x="6781802" y="34654067"/>
          <a:ext cx="499531" cy="245533"/>
        </a:xfrm>
        <a:prstGeom prst="straightConnector1">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127000</xdr:colOff>
      <xdr:row>404</xdr:row>
      <xdr:rowOff>25400</xdr:rowOff>
    </xdr:from>
    <xdr:to>
      <xdr:col>13</xdr:col>
      <xdr:colOff>127001</xdr:colOff>
      <xdr:row>406</xdr:row>
      <xdr:rowOff>25400</xdr:rowOff>
    </xdr:to>
    <xdr:cxnSp macro="">
      <xdr:nvCxnSpPr>
        <xdr:cNvPr id="41" name="Connecteur droit avec flèche 40"/>
        <xdr:cNvCxnSpPr/>
      </xdr:nvCxnSpPr>
      <xdr:spPr>
        <a:xfrm flipH="1">
          <a:off x="7747000" y="34908067"/>
          <a:ext cx="1" cy="338666"/>
        </a:xfrm>
        <a:prstGeom prst="straightConnector1">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25399</xdr:colOff>
      <xdr:row>392</xdr:row>
      <xdr:rowOff>8464</xdr:rowOff>
    </xdr:from>
    <xdr:to>
      <xdr:col>19</xdr:col>
      <xdr:colOff>491065</xdr:colOff>
      <xdr:row>405</xdr:row>
      <xdr:rowOff>0</xdr:rowOff>
    </xdr:to>
    <xdr:grpSp>
      <xdr:nvGrpSpPr>
        <xdr:cNvPr id="49" name="Groupe 48"/>
        <xdr:cNvGrpSpPr/>
      </xdr:nvGrpSpPr>
      <xdr:grpSpPr>
        <a:xfrm>
          <a:off x="8682566" y="56989131"/>
          <a:ext cx="2666999" cy="2055286"/>
          <a:chOff x="8762999" y="32859131"/>
          <a:chExt cx="2700866" cy="2192869"/>
        </a:xfrm>
      </xdr:grpSpPr>
      <xdr:grpSp>
        <xdr:nvGrpSpPr>
          <xdr:cNvPr id="39" name="Groupe 38"/>
          <xdr:cNvGrpSpPr/>
        </xdr:nvGrpSpPr>
        <xdr:grpSpPr>
          <a:xfrm>
            <a:off x="8762999" y="32859131"/>
            <a:ext cx="2700866" cy="2192869"/>
            <a:chOff x="9186332" y="64439797"/>
            <a:chExt cx="2768600" cy="2192869"/>
          </a:xfrm>
        </xdr:grpSpPr>
        <xdr:grpSp>
          <xdr:nvGrpSpPr>
            <xdr:cNvPr id="36" name="Groupe 35"/>
            <xdr:cNvGrpSpPr/>
          </xdr:nvGrpSpPr>
          <xdr:grpSpPr>
            <a:xfrm>
              <a:off x="9186332" y="64439797"/>
              <a:ext cx="2768600" cy="2192869"/>
              <a:chOff x="9160932" y="64634531"/>
              <a:chExt cx="2768600" cy="2192869"/>
            </a:xfrm>
          </xdr:grpSpPr>
          <xdr:pic>
            <xdr:nvPicPr>
              <xdr:cNvPr id="2700335" name="Picture 47"/>
              <xdr:cNvPicPr>
                <a:picLocks noChangeAspect="1" noChangeArrowheads="1"/>
              </xdr:cNvPicPr>
            </xdr:nvPicPr>
            <xdr:blipFill>
              <a:blip xmlns:r="http://schemas.openxmlformats.org/officeDocument/2006/relationships" r:embed="rId8" cstate="print"/>
              <a:srcRect l="23056" t="42178" r="59594" b="31154"/>
              <a:stretch>
                <a:fillRect/>
              </a:stretch>
            </xdr:blipFill>
            <xdr:spPr bwMode="auto">
              <a:xfrm>
                <a:off x="9160932" y="64634531"/>
                <a:ext cx="2761730" cy="2192869"/>
              </a:xfrm>
              <a:prstGeom prst="rect">
                <a:avLst/>
              </a:prstGeom>
              <a:noFill/>
              <a:ln w="1">
                <a:noFill/>
                <a:miter lim="800000"/>
                <a:headEnd/>
                <a:tailEnd type="none" w="med" len="med"/>
              </a:ln>
              <a:effectLst/>
            </xdr:spPr>
          </xdr:pic>
          <xdr:sp macro="" textlink="">
            <xdr:nvSpPr>
              <xdr:cNvPr id="33" name="Triangle rectangle 32"/>
              <xdr:cNvSpPr/>
            </xdr:nvSpPr>
            <xdr:spPr>
              <a:xfrm>
                <a:off x="9584266" y="65574333"/>
                <a:ext cx="2091267" cy="905934"/>
              </a:xfrm>
              <a:prstGeom prst="rtTriangle">
                <a:avLst/>
              </a:prstGeom>
              <a:solidFill>
                <a:srgbClr val="C4BD97">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35" name="Rectangle 34"/>
              <xdr:cNvSpPr/>
            </xdr:nvSpPr>
            <xdr:spPr>
              <a:xfrm>
                <a:off x="9584265" y="66480265"/>
                <a:ext cx="2345267" cy="347135"/>
              </a:xfrm>
              <a:prstGeom prst="rect">
                <a:avLst/>
              </a:prstGeom>
              <a:solidFill>
                <a:srgbClr val="C4BD97">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grpSp>
        <xdr:sp macro="" textlink="">
          <xdr:nvSpPr>
            <xdr:cNvPr id="38" name="Rectangle 37"/>
            <xdr:cNvSpPr/>
          </xdr:nvSpPr>
          <xdr:spPr>
            <a:xfrm>
              <a:off x="10363199" y="64439799"/>
              <a:ext cx="389468" cy="2175934"/>
            </a:xfrm>
            <a:prstGeom prst="rect">
              <a:avLst/>
            </a:prstGeom>
            <a:noFill/>
            <a:ln w="9525">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grpSp>
      <xdr:sp macro="" textlink="">
        <xdr:nvSpPr>
          <xdr:cNvPr id="28" name="Rectangle 27"/>
          <xdr:cNvSpPr/>
        </xdr:nvSpPr>
        <xdr:spPr>
          <a:xfrm>
            <a:off x="9931400" y="33968267"/>
            <a:ext cx="736600" cy="736600"/>
          </a:xfrm>
          <a:prstGeom prst="rect">
            <a:avLst/>
          </a:prstGeom>
          <a:noFill/>
          <a:ln w="12700">
            <a:solidFill>
              <a:srgbClr val="C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grpSp>
    <xdr:clientData/>
  </xdr:twoCellAnchor>
  <xdr:twoCellAnchor>
    <xdr:from>
      <xdr:col>14</xdr:col>
      <xdr:colOff>143933</xdr:colOff>
      <xdr:row>399</xdr:row>
      <xdr:rowOff>42333</xdr:rowOff>
    </xdr:from>
    <xdr:to>
      <xdr:col>17</xdr:col>
      <xdr:colOff>33867</xdr:colOff>
      <xdr:row>399</xdr:row>
      <xdr:rowOff>93134</xdr:rowOff>
    </xdr:to>
    <xdr:cxnSp macro="">
      <xdr:nvCxnSpPr>
        <xdr:cNvPr id="25" name="Connecteur droit avec flèche 24"/>
        <xdr:cNvCxnSpPr/>
      </xdr:nvCxnSpPr>
      <xdr:spPr>
        <a:xfrm flipV="1">
          <a:off x="8144933" y="35771666"/>
          <a:ext cx="1566334" cy="50801"/>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219077</xdr:colOff>
      <xdr:row>449</xdr:row>
      <xdr:rowOff>38102</xdr:rowOff>
    </xdr:from>
    <xdr:to>
      <xdr:col>13</xdr:col>
      <xdr:colOff>58844</xdr:colOff>
      <xdr:row>475</xdr:row>
      <xdr:rowOff>25292</xdr:rowOff>
    </xdr:to>
    <xdr:pic>
      <xdr:nvPicPr>
        <xdr:cNvPr id="2700336" name="Picture 48"/>
        <xdr:cNvPicPr>
          <a:picLocks noChangeAspect="1" noChangeArrowheads="1"/>
        </xdr:cNvPicPr>
      </xdr:nvPicPr>
      <xdr:blipFill>
        <a:blip xmlns:r="http://schemas.openxmlformats.org/officeDocument/2006/relationships" r:embed="rId9" cstate="print"/>
        <a:srcRect/>
        <a:stretch>
          <a:fillRect/>
        </a:stretch>
      </xdr:blipFill>
      <xdr:spPr bwMode="auto">
        <a:xfrm>
          <a:off x="2166410" y="67866685"/>
          <a:ext cx="5470101" cy="4114690"/>
        </a:xfrm>
        <a:prstGeom prst="rect">
          <a:avLst/>
        </a:prstGeom>
        <a:noFill/>
      </xdr:spPr>
    </xdr:pic>
    <xdr:clientData/>
  </xdr:twoCellAnchor>
  <xdr:twoCellAnchor editAs="oneCell">
    <xdr:from>
      <xdr:col>14</xdr:col>
      <xdr:colOff>50799</xdr:colOff>
      <xdr:row>450</xdr:row>
      <xdr:rowOff>127001</xdr:rowOff>
    </xdr:from>
    <xdr:to>
      <xdr:col>22</xdr:col>
      <xdr:colOff>19473</xdr:colOff>
      <xdr:row>453</xdr:row>
      <xdr:rowOff>33867</xdr:rowOff>
    </xdr:to>
    <xdr:pic>
      <xdr:nvPicPr>
        <xdr:cNvPr id="2700337" name="Picture 49"/>
        <xdr:cNvPicPr>
          <a:picLocks noChangeAspect="1" noChangeArrowheads="1"/>
        </xdr:cNvPicPr>
      </xdr:nvPicPr>
      <xdr:blipFill>
        <a:blip xmlns:r="http://schemas.openxmlformats.org/officeDocument/2006/relationships" r:embed="rId10" cstate="print"/>
        <a:srcRect/>
        <a:stretch>
          <a:fillRect/>
        </a:stretch>
      </xdr:blipFill>
      <xdr:spPr bwMode="auto">
        <a:xfrm>
          <a:off x="8229599" y="38735001"/>
          <a:ext cx="4523740" cy="414866"/>
        </a:xfrm>
        <a:prstGeom prst="rect">
          <a:avLst/>
        </a:prstGeom>
        <a:noFill/>
      </xdr:spPr>
    </xdr:pic>
    <xdr:clientData/>
  </xdr:twoCellAnchor>
  <xdr:twoCellAnchor>
    <xdr:from>
      <xdr:col>14</xdr:col>
      <xdr:colOff>33865</xdr:colOff>
      <xdr:row>454</xdr:row>
      <xdr:rowOff>118534</xdr:rowOff>
    </xdr:from>
    <xdr:to>
      <xdr:col>15</xdr:col>
      <xdr:colOff>475826</xdr:colOff>
      <xdr:row>474</xdr:row>
      <xdr:rowOff>149014</xdr:rowOff>
    </xdr:to>
    <xdr:grpSp>
      <xdr:nvGrpSpPr>
        <xdr:cNvPr id="53" name="Groupe 52"/>
        <xdr:cNvGrpSpPr/>
      </xdr:nvGrpSpPr>
      <xdr:grpSpPr>
        <a:xfrm>
          <a:off x="8151282" y="66835867"/>
          <a:ext cx="981711" cy="3205480"/>
          <a:chOff x="8026399" y="39217600"/>
          <a:chExt cx="1000761" cy="3417147"/>
        </a:xfrm>
      </xdr:grpSpPr>
      <xdr:pic>
        <xdr:nvPicPr>
          <xdr:cNvPr id="2700338" name="Picture 50"/>
          <xdr:cNvPicPr>
            <a:picLocks noChangeAspect="1" noChangeArrowheads="1"/>
          </xdr:cNvPicPr>
        </xdr:nvPicPr>
        <xdr:blipFill>
          <a:blip xmlns:r="http://schemas.openxmlformats.org/officeDocument/2006/relationships" r:embed="rId11" cstate="print"/>
          <a:srcRect/>
          <a:stretch>
            <a:fillRect/>
          </a:stretch>
        </xdr:blipFill>
        <xdr:spPr bwMode="auto">
          <a:xfrm>
            <a:off x="8026399" y="39217600"/>
            <a:ext cx="297180" cy="3417147"/>
          </a:xfrm>
          <a:prstGeom prst="rect">
            <a:avLst/>
          </a:prstGeom>
          <a:noFill/>
        </xdr:spPr>
      </xdr:pic>
      <xdr:pic>
        <xdr:nvPicPr>
          <xdr:cNvPr id="2700339" name="Picture 51"/>
          <xdr:cNvPicPr>
            <a:picLocks noChangeAspect="1" noChangeArrowheads="1"/>
          </xdr:cNvPicPr>
        </xdr:nvPicPr>
        <xdr:blipFill>
          <a:blip xmlns:r="http://schemas.openxmlformats.org/officeDocument/2006/relationships" r:embed="rId12" cstate="print"/>
          <a:srcRect/>
          <a:stretch>
            <a:fillRect/>
          </a:stretch>
        </xdr:blipFill>
        <xdr:spPr bwMode="auto">
          <a:xfrm>
            <a:off x="8331200" y="39234534"/>
            <a:ext cx="695960" cy="3386667"/>
          </a:xfrm>
          <a:prstGeom prst="rect">
            <a:avLst/>
          </a:prstGeom>
          <a:noFill/>
        </xdr:spPr>
      </xdr:pic>
    </xdr:grpSp>
    <xdr:clientData/>
  </xdr:twoCellAnchor>
  <xdr:twoCellAnchor editAs="oneCell">
    <xdr:from>
      <xdr:col>29</xdr:col>
      <xdr:colOff>109010</xdr:colOff>
      <xdr:row>450</xdr:row>
      <xdr:rowOff>55033</xdr:rowOff>
    </xdr:from>
    <xdr:to>
      <xdr:col>45</xdr:col>
      <xdr:colOff>500322</xdr:colOff>
      <xdr:row>481</xdr:row>
      <xdr:rowOff>156213</xdr:rowOff>
    </xdr:to>
    <xdr:pic>
      <xdr:nvPicPr>
        <xdr:cNvPr id="2700343" name="Picture 55"/>
        <xdr:cNvPicPr>
          <a:picLocks noChangeAspect="1" noChangeArrowheads="1"/>
        </xdr:cNvPicPr>
      </xdr:nvPicPr>
      <xdr:blipFill>
        <a:blip xmlns:r="http://schemas.openxmlformats.org/officeDocument/2006/relationships" r:embed="rId13" cstate="print"/>
        <a:srcRect/>
        <a:stretch>
          <a:fillRect/>
        </a:stretch>
      </xdr:blipFill>
      <xdr:spPr bwMode="auto">
        <a:xfrm>
          <a:off x="15867593" y="66296116"/>
          <a:ext cx="9027312" cy="5022430"/>
        </a:xfrm>
        <a:prstGeom prst="rect">
          <a:avLst/>
        </a:prstGeom>
        <a:noFill/>
      </xdr:spPr>
    </xdr:pic>
    <xdr:clientData/>
  </xdr:twoCellAnchor>
  <xdr:twoCellAnchor editAs="oneCell">
    <xdr:from>
      <xdr:col>45</xdr:col>
      <xdr:colOff>457198</xdr:colOff>
      <xdr:row>447</xdr:row>
      <xdr:rowOff>0</xdr:rowOff>
    </xdr:from>
    <xdr:to>
      <xdr:col>61</xdr:col>
      <xdr:colOff>361545</xdr:colOff>
      <xdr:row>479</xdr:row>
      <xdr:rowOff>133775</xdr:rowOff>
    </xdr:to>
    <xdr:pic>
      <xdr:nvPicPr>
        <xdr:cNvPr id="2700345" name="Picture 57"/>
        <xdr:cNvPicPr>
          <a:picLocks noChangeAspect="1" noChangeArrowheads="1"/>
        </xdr:cNvPicPr>
      </xdr:nvPicPr>
      <xdr:blipFill>
        <a:blip xmlns:r="http://schemas.openxmlformats.org/officeDocument/2006/relationships" r:embed="rId14" cstate="print"/>
        <a:srcRect/>
        <a:stretch>
          <a:fillRect/>
        </a:stretch>
      </xdr:blipFill>
      <xdr:spPr bwMode="auto">
        <a:xfrm>
          <a:off x="25679398" y="38362467"/>
          <a:ext cx="8845147" cy="5552441"/>
        </a:xfrm>
        <a:prstGeom prst="rect">
          <a:avLst/>
        </a:prstGeom>
        <a:noFill/>
      </xdr:spPr>
    </xdr:pic>
    <xdr:clientData/>
  </xdr:twoCellAnchor>
  <xdr:twoCellAnchor>
    <xdr:from>
      <xdr:col>39</xdr:col>
      <xdr:colOff>491067</xdr:colOff>
      <xdr:row>453</xdr:row>
      <xdr:rowOff>143933</xdr:rowOff>
    </xdr:from>
    <xdr:to>
      <xdr:col>44</xdr:col>
      <xdr:colOff>67733</xdr:colOff>
      <xdr:row>453</xdr:row>
      <xdr:rowOff>143933</xdr:rowOff>
    </xdr:to>
    <xdr:cxnSp macro="">
      <xdr:nvCxnSpPr>
        <xdr:cNvPr id="32" name="Connecteur droit avec flèche 31"/>
        <xdr:cNvCxnSpPr/>
      </xdr:nvCxnSpPr>
      <xdr:spPr>
        <a:xfrm flipH="1">
          <a:off x="22360467" y="39598600"/>
          <a:ext cx="2370666" cy="0"/>
        </a:xfrm>
        <a:prstGeom prst="straightConnector1">
          <a:avLst/>
        </a:prstGeom>
        <a:ln w="28575">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279398</xdr:colOff>
      <xdr:row>473</xdr:row>
      <xdr:rowOff>152401</xdr:rowOff>
    </xdr:from>
    <xdr:to>
      <xdr:col>59</xdr:col>
      <xdr:colOff>414864</xdr:colOff>
      <xdr:row>473</xdr:row>
      <xdr:rowOff>152401</xdr:rowOff>
    </xdr:to>
    <xdr:cxnSp macro="">
      <xdr:nvCxnSpPr>
        <xdr:cNvPr id="34" name="Connecteur droit avec flèche 33"/>
        <xdr:cNvCxnSpPr/>
      </xdr:nvCxnSpPr>
      <xdr:spPr>
        <a:xfrm flipH="1">
          <a:off x="31089598" y="42993734"/>
          <a:ext cx="2370666" cy="0"/>
        </a:xfrm>
        <a:prstGeom prst="straightConnector1">
          <a:avLst/>
        </a:prstGeom>
        <a:ln w="28575">
          <a:solidFill>
            <a:srgbClr val="FFC000"/>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448733</xdr:colOff>
      <xdr:row>454</xdr:row>
      <xdr:rowOff>33867</xdr:rowOff>
    </xdr:from>
    <xdr:to>
      <xdr:col>42</xdr:col>
      <xdr:colOff>68333</xdr:colOff>
      <xdr:row>454</xdr:row>
      <xdr:rowOff>33867</xdr:rowOff>
    </xdr:to>
    <xdr:cxnSp macro="">
      <xdr:nvCxnSpPr>
        <xdr:cNvPr id="37" name="Connecteur droit avec flèche 36"/>
        <xdr:cNvCxnSpPr/>
      </xdr:nvCxnSpPr>
      <xdr:spPr>
        <a:xfrm flipH="1">
          <a:off x="22318133" y="39657867"/>
          <a:ext cx="1296000" cy="0"/>
        </a:xfrm>
        <a:prstGeom prst="straightConnector1">
          <a:avLst/>
        </a:prstGeom>
        <a:ln w="28575">
          <a:solidFill>
            <a:srgbClr val="C0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287867</xdr:colOff>
      <xdr:row>451</xdr:row>
      <xdr:rowOff>93134</xdr:rowOff>
    </xdr:from>
    <xdr:to>
      <xdr:col>53</xdr:col>
      <xdr:colOff>466267</xdr:colOff>
      <xdr:row>451</xdr:row>
      <xdr:rowOff>93134</xdr:rowOff>
    </xdr:to>
    <xdr:cxnSp macro="">
      <xdr:nvCxnSpPr>
        <xdr:cNvPr id="40" name="Connecteur droit avec flèche 39"/>
        <xdr:cNvCxnSpPr/>
      </xdr:nvCxnSpPr>
      <xdr:spPr>
        <a:xfrm flipH="1">
          <a:off x="28862867" y="39209134"/>
          <a:ext cx="1296000" cy="0"/>
        </a:xfrm>
        <a:prstGeom prst="straightConnector1">
          <a:avLst/>
        </a:prstGeom>
        <a:ln w="28575">
          <a:solidFill>
            <a:schemeClr val="tx1"/>
          </a:solidFill>
          <a:prstDash val="solid"/>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160867</xdr:colOff>
      <xdr:row>295</xdr:row>
      <xdr:rowOff>160867</xdr:rowOff>
    </xdr:from>
    <xdr:to>
      <xdr:col>6</xdr:col>
      <xdr:colOff>380999</xdr:colOff>
      <xdr:row>298</xdr:row>
      <xdr:rowOff>8467</xdr:rowOff>
    </xdr:to>
    <xdr:sp macro="" textlink="">
      <xdr:nvSpPr>
        <xdr:cNvPr id="43" name="Rectangle 42"/>
        <xdr:cNvSpPr/>
      </xdr:nvSpPr>
      <xdr:spPr>
        <a:xfrm>
          <a:off x="3132667" y="31318200"/>
          <a:ext cx="778932" cy="355600"/>
        </a:xfrm>
        <a:prstGeom prst="rect">
          <a:avLst/>
        </a:prstGeom>
        <a:noFill/>
        <a:ln w="12700">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5</xdr:col>
      <xdr:colOff>186267</xdr:colOff>
      <xdr:row>298</xdr:row>
      <xdr:rowOff>8467</xdr:rowOff>
    </xdr:from>
    <xdr:to>
      <xdr:col>8</xdr:col>
      <xdr:colOff>93867</xdr:colOff>
      <xdr:row>298</xdr:row>
      <xdr:rowOff>8467</xdr:rowOff>
    </xdr:to>
    <xdr:cxnSp macro="">
      <xdr:nvCxnSpPr>
        <xdr:cNvPr id="45" name="Connecteur droit 44"/>
        <xdr:cNvCxnSpPr/>
      </xdr:nvCxnSpPr>
      <xdr:spPr>
        <a:xfrm flipV="1">
          <a:off x="3200400" y="45762334"/>
          <a:ext cx="1584000" cy="0"/>
        </a:xfrm>
        <a:prstGeom prst="line">
          <a:avLst/>
        </a:prstGeom>
        <a:ln w="127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16933</xdr:colOff>
      <xdr:row>247</xdr:row>
      <xdr:rowOff>152401</xdr:rowOff>
    </xdr:from>
    <xdr:to>
      <xdr:col>12</xdr:col>
      <xdr:colOff>220133</xdr:colOff>
      <xdr:row>264</xdr:row>
      <xdr:rowOff>16934</xdr:rowOff>
    </xdr:to>
    <xdr:graphicFrame macro="">
      <xdr:nvGraphicFramePr>
        <xdr:cNvPr id="46" name="Graphique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16933</xdr:colOff>
      <xdr:row>248</xdr:row>
      <xdr:rowOff>59267</xdr:rowOff>
    </xdr:from>
    <xdr:to>
      <xdr:col>33</xdr:col>
      <xdr:colOff>118533</xdr:colOff>
      <xdr:row>264</xdr:row>
      <xdr:rowOff>93134</xdr:rowOff>
    </xdr:to>
    <xdr:graphicFrame macro="">
      <xdr:nvGraphicFramePr>
        <xdr:cNvPr id="47" name="Graphique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36</xdr:col>
      <xdr:colOff>0</xdr:colOff>
      <xdr:row>248</xdr:row>
      <xdr:rowOff>0</xdr:rowOff>
    </xdr:from>
    <xdr:to>
      <xdr:col>45</xdr:col>
      <xdr:colOff>203200</xdr:colOff>
      <xdr:row>264</xdr:row>
      <xdr:rowOff>33867</xdr:rowOff>
    </xdr:to>
    <xdr:graphicFrame macro="">
      <xdr:nvGraphicFramePr>
        <xdr:cNvPr id="48" name="Graphique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47</xdr:col>
      <xdr:colOff>0</xdr:colOff>
      <xdr:row>248</xdr:row>
      <xdr:rowOff>0</xdr:rowOff>
    </xdr:from>
    <xdr:to>
      <xdr:col>56</xdr:col>
      <xdr:colOff>203200</xdr:colOff>
      <xdr:row>264</xdr:row>
      <xdr:rowOff>33867</xdr:rowOff>
    </xdr:to>
    <xdr:graphicFrame macro="">
      <xdr:nvGraphicFramePr>
        <xdr:cNvPr id="50" name="Graphique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0</xdr:colOff>
      <xdr:row>248</xdr:row>
      <xdr:rowOff>0</xdr:rowOff>
    </xdr:from>
    <xdr:to>
      <xdr:col>22</xdr:col>
      <xdr:colOff>203200</xdr:colOff>
      <xdr:row>264</xdr:row>
      <xdr:rowOff>33867</xdr:rowOff>
    </xdr:to>
    <xdr:graphicFrame macro="">
      <xdr:nvGraphicFramePr>
        <xdr:cNvPr id="42" name="Graphique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186267</xdr:colOff>
      <xdr:row>299</xdr:row>
      <xdr:rowOff>25400</xdr:rowOff>
    </xdr:from>
    <xdr:to>
      <xdr:col>8</xdr:col>
      <xdr:colOff>93867</xdr:colOff>
      <xdr:row>299</xdr:row>
      <xdr:rowOff>25400</xdr:rowOff>
    </xdr:to>
    <xdr:cxnSp macro="">
      <xdr:nvCxnSpPr>
        <xdr:cNvPr id="51" name="Connecteur droit 50"/>
        <xdr:cNvCxnSpPr/>
      </xdr:nvCxnSpPr>
      <xdr:spPr>
        <a:xfrm flipV="1">
          <a:off x="3200400" y="45948600"/>
          <a:ext cx="1584000" cy="0"/>
        </a:xfrm>
        <a:prstGeom prst="line">
          <a:avLst/>
        </a:prstGeom>
        <a:ln w="12700">
          <a:solidFill>
            <a:schemeClr val="bg1">
              <a:lumMod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377826</xdr:colOff>
      <xdr:row>256</xdr:row>
      <xdr:rowOff>136524</xdr:rowOff>
    </xdr:from>
    <xdr:to>
      <xdr:col>11</xdr:col>
      <xdr:colOff>208491</xdr:colOff>
      <xdr:row>275</xdr:row>
      <xdr:rowOff>95250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201083</xdr:colOff>
      <xdr:row>482</xdr:row>
      <xdr:rowOff>84668</xdr:rowOff>
    </xdr:from>
    <xdr:to>
      <xdr:col>24</xdr:col>
      <xdr:colOff>371477</xdr:colOff>
      <xdr:row>496</xdr:row>
      <xdr:rowOff>42333</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44452</xdr:colOff>
      <xdr:row>279</xdr:row>
      <xdr:rowOff>86783</xdr:rowOff>
    </xdr:from>
    <xdr:to>
      <xdr:col>12</xdr:col>
      <xdr:colOff>74084</xdr:colOff>
      <xdr:row>300</xdr:row>
      <xdr:rowOff>30994</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310699</xdr:colOff>
      <xdr:row>495</xdr:row>
      <xdr:rowOff>120953</xdr:rowOff>
    </xdr:from>
    <xdr:to>
      <xdr:col>11</xdr:col>
      <xdr:colOff>444500</xdr:colOff>
      <xdr:row>510</xdr:row>
      <xdr:rowOff>31750</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225425</xdr:colOff>
      <xdr:row>611</xdr:row>
      <xdr:rowOff>70909</xdr:rowOff>
    </xdr:from>
    <xdr:to>
      <xdr:col>11</xdr:col>
      <xdr:colOff>529167</xdr:colOff>
      <xdr:row>628</xdr:row>
      <xdr:rowOff>52917</xdr:rowOff>
    </xdr:to>
    <xdr:graphicFrame macro="">
      <xdr:nvGraphicFramePr>
        <xdr:cNvPr id="19" name="Graphique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95250</xdr:colOff>
      <xdr:row>324</xdr:row>
      <xdr:rowOff>137583</xdr:rowOff>
    </xdr:from>
    <xdr:to>
      <xdr:col>11</xdr:col>
      <xdr:colOff>476250</xdr:colOff>
      <xdr:row>340</xdr:row>
      <xdr:rowOff>137583</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222252</xdr:colOff>
      <xdr:row>374</xdr:row>
      <xdr:rowOff>148164</xdr:rowOff>
    </xdr:from>
    <xdr:to>
      <xdr:col>11</xdr:col>
      <xdr:colOff>252943</xdr:colOff>
      <xdr:row>388</xdr:row>
      <xdr:rowOff>148165</xdr:rowOff>
    </xdr:to>
    <xdr:graphicFrame macro="">
      <xdr:nvGraphicFramePr>
        <xdr:cNvPr id="24" name="Graphique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253999</xdr:colOff>
      <xdr:row>410</xdr:row>
      <xdr:rowOff>116417</xdr:rowOff>
    </xdr:from>
    <xdr:to>
      <xdr:col>11</xdr:col>
      <xdr:colOff>232832</xdr:colOff>
      <xdr:row>424</xdr:row>
      <xdr:rowOff>127001</xdr:rowOff>
    </xdr:to>
    <xdr:graphicFrame macro="">
      <xdr:nvGraphicFramePr>
        <xdr:cNvPr id="27" name="Graphique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254000</xdr:colOff>
      <xdr:row>374</xdr:row>
      <xdr:rowOff>74084</xdr:rowOff>
    </xdr:from>
    <xdr:to>
      <xdr:col>24</xdr:col>
      <xdr:colOff>20109</xdr:colOff>
      <xdr:row>388</xdr:row>
      <xdr:rowOff>74085</xdr:rowOff>
    </xdr:to>
    <xdr:graphicFrame macro="">
      <xdr:nvGraphicFramePr>
        <xdr:cNvPr id="29" name="Graphiqu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306915</xdr:colOff>
      <xdr:row>325</xdr:row>
      <xdr:rowOff>0</xdr:rowOff>
    </xdr:from>
    <xdr:to>
      <xdr:col>24</xdr:col>
      <xdr:colOff>423333</xdr:colOff>
      <xdr:row>341</xdr:row>
      <xdr:rowOff>0</xdr:rowOff>
    </xdr:to>
    <xdr:graphicFrame macro="">
      <xdr:nvGraphicFramePr>
        <xdr:cNvPr id="30" name="Graphique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254000</xdr:colOff>
      <xdr:row>445</xdr:row>
      <xdr:rowOff>116415</xdr:rowOff>
    </xdr:from>
    <xdr:to>
      <xdr:col>11</xdr:col>
      <xdr:colOff>232834</xdr:colOff>
      <xdr:row>459</xdr:row>
      <xdr:rowOff>126999</xdr:rowOff>
    </xdr:to>
    <xdr:graphicFrame macro="">
      <xdr:nvGraphicFramePr>
        <xdr:cNvPr id="32" name="Graphique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275168</xdr:colOff>
      <xdr:row>392</xdr:row>
      <xdr:rowOff>116417</xdr:rowOff>
    </xdr:from>
    <xdr:to>
      <xdr:col>11</xdr:col>
      <xdr:colOff>305859</xdr:colOff>
      <xdr:row>406</xdr:row>
      <xdr:rowOff>116418</xdr:rowOff>
    </xdr:to>
    <xdr:graphicFrame macro="">
      <xdr:nvGraphicFramePr>
        <xdr:cNvPr id="34" name="Graphique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370416</xdr:colOff>
      <xdr:row>392</xdr:row>
      <xdr:rowOff>74084</xdr:rowOff>
    </xdr:from>
    <xdr:to>
      <xdr:col>24</xdr:col>
      <xdr:colOff>136526</xdr:colOff>
      <xdr:row>406</xdr:row>
      <xdr:rowOff>74085</xdr:rowOff>
    </xdr:to>
    <xdr:graphicFrame macro="">
      <xdr:nvGraphicFramePr>
        <xdr:cNvPr id="35" name="Graphique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254000</xdr:colOff>
      <xdr:row>427</xdr:row>
      <xdr:rowOff>105832</xdr:rowOff>
    </xdr:from>
    <xdr:to>
      <xdr:col>11</xdr:col>
      <xdr:colOff>232834</xdr:colOff>
      <xdr:row>441</xdr:row>
      <xdr:rowOff>116416</xdr:rowOff>
    </xdr:to>
    <xdr:graphicFrame macro="">
      <xdr:nvGraphicFramePr>
        <xdr:cNvPr id="36" name="Graphique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285749</xdr:colOff>
      <xdr:row>427</xdr:row>
      <xdr:rowOff>105833</xdr:rowOff>
    </xdr:from>
    <xdr:to>
      <xdr:col>24</xdr:col>
      <xdr:colOff>1</xdr:colOff>
      <xdr:row>441</xdr:row>
      <xdr:rowOff>116417</xdr:rowOff>
    </xdr:to>
    <xdr:graphicFrame macro="">
      <xdr:nvGraphicFramePr>
        <xdr:cNvPr id="37" name="Graphique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285750</xdr:colOff>
      <xdr:row>462</xdr:row>
      <xdr:rowOff>116417</xdr:rowOff>
    </xdr:from>
    <xdr:to>
      <xdr:col>11</xdr:col>
      <xdr:colOff>254000</xdr:colOff>
      <xdr:row>476</xdr:row>
      <xdr:rowOff>127001</xdr:rowOff>
    </xdr:to>
    <xdr:graphicFrame macro="">
      <xdr:nvGraphicFramePr>
        <xdr:cNvPr id="38" name="Graphique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275167</xdr:colOff>
      <xdr:row>462</xdr:row>
      <xdr:rowOff>84666</xdr:rowOff>
    </xdr:from>
    <xdr:to>
      <xdr:col>23</xdr:col>
      <xdr:colOff>571500</xdr:colOff>
      <xdr:row>476</xdr:row>
      <xdr:rowOff>95250</xdr:rowOff>
    </xdr:to>
    <xdr:graphicFrame macro="">
      <xdr:nvGraphicFramePr>
        <xdr:cNvPr id="39" name="Graphique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74084</xdr:colOff>
      <xdr:row>343</xdr:row>
      <xdr:rowOff>84667</xdr:rowOff>
    </xdr:from>
    <xdr:to>
      <xdr:col>11</xdr:col>
      <xdr:colOff>539749</xdr:colOff>
      <xdr:row>355</xdr:row>
      <xdr:rowOff>95250</xdr:rowOff>
    </xdr:to>
    <xdr:graphicFrame macro="">
      <xdr:nvGraphicFramePr>
        <xdr:cNvPr id="40" name="Graphique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190500</xdr:colOff>
      <xdr:row>343</xdr:row>
      <xdr:rowOff>52917</xdr:rowOff>
    </xdr:from>
    <xdr:to>
      <xdr:col>24</xdr:col>
      <xdr:colOff>402166</xdr:colOff>
      <xdr:row>355</xdr:row>
      <xdr:rowOff>63500</xdr:rowOff>
    </xdr:to>
    <xdr:graphicFrame macro="">
      <xdr:nvGraphicFramePr>
        <xdr:cNvPr id="41" name="Graphique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158750</xdr:colOff>
      <xdr:row>611</xdr:row>
      <xdr:rowOff>63500</xdr:rowOff>
    </xdr:from>
    <xdr:to>
      <xdr:col>24</xdr:col>
      <xdr:colOff>208493</xdr:colOff>
      <xdr:row>628</xdr:row>
      <xdr:rowOff>45508</xdr:rowOff>
    </xdr:to>
    <xdr:graphicFrame macro="">
      <xdr:nvGraphicFramePr>
        <xdr:cNvPr id="25" name="Graphique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486832</xdr:colOff>
      <xdr:row>155</xdr:row>
      <xdr:rowOff>31751</xdr:rowOff>
    </xdr:from>
    <xdr:to>
      <xdr:col>23</xdr:col>
      <xdr:colOff>406398</xdr:colOff>
      <xdr:row>184</xdr:row>
      <xdr:rowOff>40216</xdr:rowOff>
    </xdr:to>
    <xdr:graphicFrame macro="">
      <xdr:nvGraphicFramePr>
        <xdr:cNvPr id="26" name="Graphique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423334</xdr:colOff>
      <xdr:row>155</xdr:row>
      <xdr:rowOff>84665</xdr:rowOff>
    </xdr:from>
    <xdr:to>
      <xdr:col>11</xdr:col>
      <xdr:colOff>14816</xdr:colOff>
      <xdr:row>184</xdr:row>
      <xdr:rowOff>93130</xdr:rowOff>
    </xdr:to>
    <xdr:graphicFrame macro="">
      <xdr:nvGraphicFramePr>
        <xdr:cNvPr id="31" name="Graphique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0.07617</cdr:x>
      <cdr:y>0.03778</cdr:y>
    </cdr:from>
    <cdr:to>
      <cdr:x>0.23333</cdr:x>
      <cdr:y>0.15534</cdr:y>
    </cdr:to>
    <cdr:sp macro="" textlink="">
      <cdr:nvSpPr>
        <cdr:cNvPr id="2" name="ZoneTexte 1"/>
        <cdr:cNvSpPr txBox="1"/>
      </cdr:nvSpPr>
      <cdr:spPr>
        <a:xfrm xmlns:a="http://schemas.openxmlformats.org/drawingml/2006/main">
          <a:off x="500689" y="82367"/>
          <a:ext cx="1033061" cy="2562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D*/(D*+E)</a:t>
          </a:r>
        </a:p>
      </cdr:txBody>
    </cdr:sp>
  </cdr:relSizeAnchor>
</c:userShapes>
</file>

<file path=xl/drawings/drawing34.xml><?xml version="1.0" encoding="utf-8"?>
<c:userShapes xmlns:c="http://schemas.openxmlformats.org/drawingml/2006/chart">
  <cdr:relSizeAnchor xmlns:cdr="http://schemas.openxmlformats.org/drawingml/2006/chartDrawing">
    <cdr:from>
      <cdr:x>0.59948</cdr:x>
      <cdr:y>0.0454</cdr:y>
    </cdr:from>
    <cdr:to>
      <cdr:x>0.68825</cdr:x>
      <cdr:y>0.89572</cdr:y>
    </cdr:to>
    <cdr:sp macro="" textlink="">
      <cdr:nvSpPr>
        <cdr:cNvPr id="6" name="Rectangle 5"/>
        <cdr:cNvSpPr/>
      </cdr:nvSpPr>
      <cdr:spPr>
        <a:xfrm xmlns:a="http://schemas.openxmlformats.org/drawingml/2006/main">
          <a:off x="4042711" y="151843"/>
          <a:ext cx="598638" cy="2844000"/>
        </a:xfrm>
        <a:prstGeom xmlns:a="http://schemas.openxmlformats.org/drawingml/2006/main" prst="rect">
          <a:avLst/>
        </a:prstGeom>
        <a:solidFill xmlns:a="http://schemas.openxmlformats.org/drawingml/2006/main">
          <a:srgbClr val="EEECE1">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0.05527</cdr:x>
      <cdr:y>0.03915</cdr:y>
    </cdr:from>
    <cdr:to>
      <cdr:x>0.32072</cdr:x>
      <cdr:y>0.88947</cdr:y>
    </cdr:to>
    <cdr:sp macro="" textlink="">
      <cdr:nvSpPr>
        <cdr:cNvPr id="4" name="Rectangle 3"/>
        <cdr:cNvSpPr/>
      </cdr:nvSpPr>
      <cdr:spPr>
        <a:xfrm xmlns:a="http://schemas.openxmlformats.org/drawingml/2006/main">
          <a:off x="372734" y="130944"/>
          <a:ext cx="1790114" cy="2844000"/>
        </a:xfrm>
        <a:prstGeom xmlns:a="http://schemas.openxmlformats.org/drawingml/2006/main" prst="rect">
          <a:avLst/>
        </a:prstGeom>
        <a:solidFill xmlns:a="http://schemas.openxmlformats.org/drawingml/2006/main">
          <a:srgbClr val="EEECE1">
            <a:alpha val="38824"/>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0.68591</cdr:x>
      <cdr:y>0.0454</cdr:y>
    </cdr:from>
    <cdr:to>
      <cdr:x>0.94793</cdr:x>
      <cdr:y>0.89572</cdr:y>
    </cdr:to>
    <cdr:sp macro="" textlink="">
      <cdr:nvSpPr>
        <cdr:cNvPr id="5" name="Rectangle 4"/>
        <cdr:cNvSpPr/>
      </cdr:nvSpPr>
      <cdr:spPr>
        <a:xfrm xmlns:a="http://schemas.openxmlformats.org/drawingml/2006/main">
          <a:off x="4625587" y="151843"/>
          <a:ext cx="1766984" cy="2844000"/>
        </a:xfrm>
        <a:prstGeom xmlns:a="http://schemas.openxmlformats.org/drawingml/2006/main" prst="rect">
          <a:avLst/>
        </a:prstGeom>
        <a:solidFill xmlns:a="http://schemas.openxmlformats.org/drawingml/2006/main">
          <a:srgbClr val="EEECE1">
            <a:alpha val="38824"/>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0.32265</cdr:x>
      <cdr:y>0.03915</cdr:y>
    </cdr:from>
    <cdr:to>
      <cdr:x>0.41379</cdr:x>
      <cdr:y>0.88947</cdr:y>
    </cdr:to>
    <cdr:sp macro="" textlink="">
      <cdr:nvSpPr>
        <cdr:cNvPr id="7" name="Rectangle 6"/>
        <cdr:cNvSpPr/>
      </cdr:nvSpPr>
      <cdr:spPr>
        <a:xfrm xmlns:a="http://schemas.openxmlformats.org/drawingml/2006/main">
          <a:off x="2175854" y="130944"/>
          <a:ext cx="614621" cy="2844000"/>
        </a:xfrm>
        <a:prstGeom xmlns:a="http://schemas.openxmlformats.org/drawingml/2006/main" prst="rect">
          <a:avLst/>
        </a:prstGeom>
        <a:solidFill xmlns:a="http://schemas.openxmlformats.org/drawingml/2006/main">
          <a:srgbClr val="EEECE1">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0.05618</cdr:x>
      <cdr:y>0.04162</cdr:y>
    </cdr:from>
    <cdr:to>
      <cdr:x>0.1941</cdr:x>
      <cdr:y>0.12403</cdr:y>
    </cdr:to>
    <cdr:sp macro="" textlink="">
      <cdr:nvSpPr>
        <cdr:cNvPr id="2" name="ZoneTexte 1"/>
        <cdr:cNvSpPr txBox="1"/>
      </cdr:nvSpPr>
      <cdr:spPr>
        <a:xfrm xmlns:a="http://schemas.openxmlformats.org/drawingml/2006/main">
          <a:off x="379194" y="136429"/>
          <a:ext cx="931024" cy="2701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EV*/Ebitda*</a:t>
          </a:r>
        </a:p>
      </cdr:txBody>
    </cdr:sp>
  </cdr:relSizeAnchor>
  <cdr:relSizeAnchor xmlns:cdr="http://schemas.openxmlformats.org/drawingml/2006/chartDrawing">
    <cdr:from>
      <cdr:x>0.81697</cdr:x>
      <cdr:y>0.82406</cdr:y>
    </cdr:from>
    <cdr:to>
      <cdr:x>0.94478</cdr:x>
      <cdr:y>0.89533</cdr:y>
    </cdr:to>
    <cdr:sp macro="" textlink="">
      <cdr:nvSpPr>
        <cdr:cNvPr id="3" name="ZoneTexte 2"/>
        <cdr:cNvSpPr txBox="1"/>
      </cdr:nvSpPr>
      <cdr:spPr>
        <a:xfrm xmlns:a="http://schemas.openxmlformats.org/drawingml/2006/main">
          <a:off x="5213686" y="3006233"/>
          <a:ext cx="815640" cy="2599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0.06452</cdr:x>
      <cdr:y>0.12472</cdr:y>
    </cdr:from>
    <cdr:to>
      <cdr:x>0.18857</cdr:x>
      <cdr:y>0.25389</cdr:y>
    </cdr:to>
    <cdr:sp macro="" textlink="">
      <cdr:nvSpPr>
        <cdr:cNvPr id="9" name="Rectangle à coins arrondis 8"/>
        <cdr:cNvSpPr/>
      </cdr:nvSpPr>
      <cdr:spPr>
        <a:xfrm xmlns:a="http://schemas.openxmlformats.org/drawingml/2006/main">
          <a:off x="439184" y="474144"/>
          <a:ext cx="844433" cy="491044"/>
        </a:xfrm>
        <a:prstGeom xmlns:a="http://schemas.openxmlformats.org/drawingml/2006/main" prst="roundRect">
          <a:avLst/>
        </a:prstGeom>
        <a:noFill xmlns:a="http://schemas.openxmlformats.org/drawingml/2006/main"/>
        <a:ln xmlns:a="http://schemas.openxmlformats.org/drawingml/2006/main" w="9525">
          <a:solidFill>
            <a:srgbClr val="FFC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0.3342</cdr:x>
      <cdr:y>0.45212</cdr:y>
    </cdr:from>
    <cdr:to>
      <cdr:x>0.65825</cdr:x>
      <cdr:y>0.59911</cdr:y>
    </cdr:to>
    <cdr:sp macro="" textlink="">
      <cdr:nvSpPr>
        <cdr:cNvPr id="10" name="Rectangle à coins arrondis 9"/>
        <cdr:cNvSpPr/>
      </cdr:nvSpPr>
      <cdr:spPr>
        <a:xfrm xmlns:a="http://schemas.openxmlformats.org/drawingml/2006/main">
          <a:off x="2274940" y="1718750"/>
          <a:ext cx="2205873" cy="558784"/>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0.81768</cdr:x>
      <cdr:y>0.44443</cdr:y>
    </cdr:from>
    <cdr:to>
      <cdr:x>0.94173</cdr:x>
      <cdr:y>0.58919</cdr:y>
    </cdr:to>
    <cdr:sp macro="" textlink="">
      <cdr:nvSpPr>
        <cdr:cNvPr id="11" name="Rectangle à coins arrondis 10"/>
        <cdr:cNvSpPr/>
      </cdr:nvSpPr>
      <cdr:spPr>
        <a:xfrm xmlns:a="http://schemas.openxmlformats.org/drawingml/2006/main">
          <a:off x="5519384" y="1456828"/>
          <a:ext cx="837344" cy="474518"/>
        </a:xfrm>
        <a:prstGeom xmlns:a="http://schemas.openxmlformats.org/drawingml/2006/main" prst="roundRect">
          <a:avLst/>
        </a:prstGeom>
        <a:noFill xmlns:a="http://schemas.openxmlformats.org/drawingml/2006/main"/>
        <a:ln xmlns:a="http://schemas.openxmlformats.org/drawingml/2006/main" w="9525">
          <a:solidFill>
            <a:srgbClr val="C0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0.30378</cdr:x>
      <cdr:y>0.24054</cdr:y>
    </cdr:from>
    <cdr:to>
      <cdr:x>0.75948</cdr:x>
      <cdr:y>0.43876</cdr:y>
    </cdr:to>
    <cdr:sp macro="" textlink="">
      <cdr:nvSpPr>
        <cdr:cNvPr id="12" name="Rectangle à coins arrondis 11"/>
        <cdr:cNvSpPr/>
      </cdr:nvSpPr>
      <cdr:spPr>
        <a:xfrm xmlns:a="http://schemas.openxmlformats.org/drawingml/2006/main" rot="21480000">
          <a:off x="2065291" y="914414"/>
          <a:ext cx="3098182" cy="753540"/>
        </a:xfrm>
        <a:prstGeom xmlns:a="http://schemas.openxmlformats.org/drawingml/2006/main" prst="roundRect">
          <a:avLst/>
        </a:prstGeom>
        <a:noFill xmlns:a="http://schemas.openxmlformats.org/drawingml/2006/main"/>
        <a:ln xmlns:a="http://schemas.openxmlformats.org/drawingml/2006/main" w="9525">
          <a:solidFill>
            <a:schemeClr val="bg2">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0.0908</cdr:x>
      <cdr:y>0.25167</cdr:y>
    </cdr:from>
    <cdr:to>
      <cdr:x>0.83706</cdr:x>
      <cdr:y>0.48998</cdr:y>
    </cdr:to>
    <cdr:sp macro="" textlink="">
      <cdr:nvSpPr>
        <cdr:cNvPr id="14" name="Connecteur droit 13"/>
        <cdr:cNvSpPr/>
      </cdr:nvSpPr>
      <cdr:spPr>
        <a:xfrm xmlns:a="http://schemas.openxmlformats.org/drawingml/2006/main" flipV="1">
          <a:off x="618067" y="956733"/>
          <a:ext cx="5080000" cy="905934"/>
        </a:xfrm>
        <a:prstGeom xmlns:a="http://schemas.openxmlformats.org/drawingml/2006/main" prst="line">
          <a:avLst/>
        </a:prstGeom>
        <a:ln xmlns:a="http://schemas.openxmlformats.org/drawingml/2006/main">
          <a:solidFill>
            <a:schemeClr val="accent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0.46631</cdr:x>
      <cdr:y>0.47914</cdr:y>
    </cdr:from>
    <cdr:to>
      <cdr:x>0.84343</cdr:x>
      <cdr:y>0.48916</cdr:y>
    </cdr:to>
    <cdr:sp macro="" textlink="">
      <cdr:nvSpPr>
        <cdr:cNvPr id="17" name="Connecteur droit avec flèche 16"/>
        <cdr:cNvSpPr/>
      </cdr:nvSpPr>
      <cdr:spPr>
        <a:xfrm xmlns:a="http://schemas.openxmlformats.org/drawingml/2006/main" flipV="1">
          <a:off x="2994933" y="1720546"/>
          <a:ext cx="2422072" cy="36000"/>
        </a:xfrm>
        <a:prstGeom xmlns:a="http://schemas.openxmlformats.org/drawingml/2006/main" prst="straightConnector1">
          <a:avLst/>
        </a:prstGeom>
        <a:ln xmlns:a="http://schemas.openxmlformats.org/drawingml/2006/main">
          <a:solidFill>
            <a:sysClr val="windowText" lastClr="000000"/>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0.45522</cdr:x>
      <cdr:y>0.32739</cdr:y>
    </cdr:from>
    <cdr:to>
      <cdr:x>0.64937</cdr:x>
      <cdr:y>0.42316</cdr:y>
    </cdr:to>
    <cdr:sp macro="" textlink="">
      <cdr:nvSpPr>
        <cdr:cNvPr id="16" name="Rectangle à coins arrondis 15"/>
        <cdr:cNvSpPr/>
      </cdr:nvSpPr>
      <cdr:spPr>
        <a:xfrm xmlns:a="http://schemas.openxmlformats.org/drawingml/2006/main">
          <a:off x="3098800" y="1244585"/>
          <a:ext cx="1321591" cy="364073"/>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0.50275</cdr:x>
      <cdr:y>0.36188</cdr:y>
    </cdr:from>
    <cdr:to>
      <cdr:x>0.83067</cdr:x>
      <cdr:y>0.53854</cdr:y>
    </cdr:to>
    <cdr:sp macro="" textlink="">
      <cdr:nvSpPr>
        <cdr:cNvPr id="18" name="Connecteur droit avec flèche 17"/>
        <cdr:cNvSpPr/>
      </cdr:nvSpPr>
      <cdr:spPr>
        <a:xfrm xmlns:a="http://schemas.openxmlformats.org/drawingml/2006/main">
          <a:off x="3393587" y="1186229"/>
          <a:ext cx="2213463" cy="579071"/>
        </a:xfrm>
        <a:prstGeom xmlns:a="http://schemas.openxmlformats.org/drawingml/2006/main" prst="straightConnector1">
          <a:avLst/>
        </a:prstGeom>
        <a:ln xmlns:a="http://schemas.openxmlformats.org/drawingml/2006/main" w="3175">
          <a:solidFill>
            <a:schemeClr val="bg1">
              <a:lumMod val="75000"/>
            </a:schemeClr>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5.xml><?xml version="1.0" encoding="utf-8"?>
<c:userShapes xmlns:c="http://schemas.openxmlformats.org/drawingml/2006/chart">
  <cdr:relSizeAnchor xmlns:cdr="http://schemas.openxmlformats.org/drawingml/2006/chartDrawing">
    <cdr:from>
      <cdr:x>0.06185</cdr:x>
      <cdr:y>0.03778</cdr:y>
    </cdr:from>
    <cdr:to>
      <cdr:x>0.21901</cdr:x>
      <cdr:y>0.13654</cdr:y>
    </cdr:to>
    <cdr:sp macro="" textlink="">
      <cdr:nvSpPr>
        <cdr:cNvPr id="2" name="ZoneTexte 1"/>
        <cdr:cNvSpPr txBox="1"/>
      </cdr:nvSpPr>
      <cdr:spPr>
        <a:xfrm xmlns:a="http://schemas.openxmlformats.org/drawingml/2006/main">
          <a:off x="398405" y="86594"/>
          <a:ext cx="1012341" cy="226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Eb/Ebitda*</a:t>
          </a:r>
        </a:p>
      </cdr:txBody>
    </cdr:sp>
  </cdr:relSizeAnchor>
</c:userShapes>
</file>

<file path=xl/drawings/drawing36.xml><?xml version="1.0" encoding="utf-8"?>
<c:userShapes xmlns:c="http://schemas.openxmlformats.org/drawingml/2006/chart">
  <cdr:relSizeAnchor xmlns:cdr="http://schemas.openxmlformats.org/drawingml/2006/chartDrawing">
    <cdr:from>
      <cdr:x>0.11906</cdr:x>
      <cdr:y>0.02911</cdr:y>
    </cdr:from>
    <cdr:to>
      <cdr:x>0.34309</cdr:x>
      <cdr:y>0.10911</cdr:y>
    </cdr:to>
    <cdr:sp macro="" textlink="">
      <cdr:nvSpPr>
        <cdr:cNvPr id="2" name="ZoneTexte 1"/>
        <cdr:cNvSpPr txBox="1"/>
      </cdr:nvSpPr>
      <cdr:spPr>
        <a:xfrm xmlns:a="http://schemas.openxmlformats.org/drawingml/2006/main">
          <a:off x="681618" y="85276"/>
          <a:ext cx="1282648" cy="2343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tD*/Ebitda* ajusté</a:t>
          </a:r>
        </a:p>
      </cdr:txBody>
    </cdr:sp>
  </cdr:relSizeAnchor>
</c:userShapes>
</file>

<file path=xl/drawings/drawing37.xml><?xml version="1.0" encoding="utf-8"?>
<c:userShapes xmlns:c="http://schemas.openxmlformats.org/drawingml/2006/chart">
  <cdr:relSizeAnchor xmlns:cdr="http://schemas.openxmlformats.org/drawingml/2006/chartDrawing">
    <cdr:from>
      <cdr:x>0.05308</cdr:x>
      <cdr:y>0.02861</cdr:y>
    </cdr:from>
    <cdr:to>
      <cdr:x>0.20825</cdr:x>
      <cdr:y>0.1107</cdr:y>
    </cdr:to>
    <cdr:sp macro="" textlink="">
      <cdr:nvSpPr>
        <cdr:cNvPr id="2" name="ZoneTexte 1"/>
        <cdr:cNvSpPr txBox="1"/>
      </cdr:nvSpPr>
      <cdr:spPr>
        <a:xfrm xmlns:a="http://schemas.openxmlformats.org/drawingml/2006/main">
          <a:off x="318577" y="73033"/>
          <a:ext cx="931314" cy="2095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EV*/Ebitda* </a:t>
          </a:r>
        </a:p>
      </cdr:txBody>
    </cdr:sp>
  </cdr:relSizeAnchor>
</c:userShapes>
</file>

<file path=xl/drawings/drawing38.xml><?xml version="1.0" encoding="utf-8"?>
<c:userShapes xmlns:c="http://schemas.openxmlformats.org/drawingml/2006/chart">
  <cdr:relSizeAnchor xmlns:cdr="http://schemas.openxmlformats.org/drawingml/2006/chartDrawing">
    <cdr:from>
      <cdr:x>0.07617</cdr:x>
      <cdr:y>0.02625</cdr:y>
    </cdr:from>
    <cdr:to>
      <cdr:x>0.23333</cdr:x>
      <cdr:y>0.13793</cdr:y>
    </cdr:to>
    <cdr:sp macro="" textlink="">
      <cdr:nvSpPr>
        <cdr:cNvPr id="2" name="ZoneTexte 1"/>
        <cdr:cNvSpPr txBox="1"/>
      </cdr:nvSpPr>
      <cdr:spPr>
        <a:xfrm xmlns:a="http://schemas.openxmlformats.org/drawingml/2006/main">
          <a:off x="469895" y="56396"/>
          <a:ext cx="969524" cy="2399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39.xml><?xml version="1.0" encoding="utf-8"?>
<c:userShapes xmlns:c="http://schemas.openxmlformats.org/drawingml/2006/chart">
  <cdr:relSizeAnchor xmlns:cdr="http://schemas.openxmlformats.org/drawingml/2006/chartDrawing">
    <cdr:from>
      <cdr:x>0.07617</cdr:x>
      <cdr:y>0.03778</cdr:y>
    </cdr:from>
    <cdr:to>
      <cdr:x>0.23333</cdr:x>
      <cdr:y>0.15166</cdr:y>
    </cdr:to>
    <cdr:sp macro="" textlink="">
      <cdr:nvSpPr>
        <cdr:cNvPr id="2" name="ZoneTexte 1"/>
        <cdr:cNvSpPr txBox="1"/>
      </cdr:nvSpPr>
      <cdr:spPr>
        <a:xfrm xmlns:a="http://schemas.openxmlformats.org/drawingml/2006/main">
          <a:off x="465945" y="84366"/>
          <a:ext cx="961374" cy="2543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4.xml><?xml version="1.0" encoding="utf-8"?>
<c:userShapes xmlns:c="http://schemas.openxmlformats.org/drawingml/2006/chart">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EV/Sales</a:t>
          </a:r>
        </a:p>
      </cdr:txBody>
    </cdr:sp>
  </cdr:relSizeAnchor>
  <cdr:relSizeAnchor xmlns:cdr="http://schemas.openxmlformats.org/drawingml/2006/chartDrawing">
    <cdr:from>
      <cdr:x>0.80345</cdr:x>
      <cdr:y>0.82851</cdr:y>
    </cdr:from>
    <cdr:to>
      <cdr:x>0.96203</cdr:x>
      <cdr:y>0.89978</cdr:y>
    </cdr:to>
    <cdr:sp macro="" textlink="">
      <cdr:nvSpPr>
        <cdr:cNvPr id="3" name="ZoneTexte 2"/>
        <cdr:cNvSpPr txBox="1"/>
      </cdr:nvSpPr>
      <cdr:spPr>
        <a:xfrm xmlns:a="http://schemas.openxmlformats.org/drawingml/2006/main">
          <a:off x="5373975" y="3149609"/>
          <a:ext cx="1060692"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Mobile % Rev.</a:t>
          </a:r>
        </a:p>
      </cdr:txBody>
    </cdr:sp>
  </cdr:relSizeAnchor>
</c:userShapes>
</file>

<file path=xl/drawings/drawing40.xml><?xml version="1.0" encoding="utf-8"?>
<c:userShapes xmlns:c="http://schemas.openxmlformats.org/drawingml/2006/chart">
  <cdr:relSizeAnchor xmlns:cdr="http://schemas.openxmlformats.org/drawingml/2006/chartDrawing">
    <cdr:from>
      <cdr:x>0.07617</cdr:x>
      <cdr:y>0.02625</cdr:y>
    </cdr:from>
    <cdr:to>
      <cdr:x>0.23333</cdr:x>
      <cdr:y>0.13793</cdr:y>
    </cdr:to>
    <cdr:sp macro="" textlink="">
      <cdr:nvSpPr>
        <cdr:cNvPr id="2" name="ZoneTexte 1"/>
        <cdr:cNvSpPr txBox="1"/>
      </cdr:nvSpPr>
      <cdr:spPr>
        <a:xfrm xmlns:a="http://schemas.openxmlformats.org/drawingml/2006/main">
          <a:off x="469895" y="56396"/>
          <a:ext cx="969524" cy="2399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41.xml><?xml version="1.0" encoding="utf-8"?>
<c:userShapes xmlns:c="http://schemas.openxmlformats.org/drawingml/2006/chart">
  <cdr:relSizeAnchor xmlns:cdr="http://schemas.openxmlformats.org/drawingml/2006/chartDrawing">
    <cdr:from>
      <cdr:x>0.05308</cdr:x>
      <cdr:y>0.02861</cdr:y>
    </cdr:from>
    <cdr:to>
      <cdr:x>0.20825</cdr:x>
      <cdr:y>0.1107</cdr:y>
    </cdr:to>
    <cdr:sp macro="" textlink="">
      <cdr:nvSpPr>
        <cdr:cNvPr id="2" name="ZoneTexte 1"/>
        <cdr:cNvSpPr txBox="1"/>
      </cdr:nvSpPr>
      <cdr:spPr>
        <a:xfrm xmlns:a="http://schemas.openxmlformats.org/drawingml/2006/main">
          <a:off x="318577" y="73033"/>
          <a:ext cx="931314" cy="2095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EV*/Ebitda* </a:t>
          </a:r>
        </a:p>
      </cdr:txBody>
    </cdr:sp>
  </cdr:relSizeAnchor>
</c:userShapes>
</file>

<file path=xl/drawings/drawing42.xml><?xml version="1.0" encoding="utf-8"?>
<c:userShapes xmlns:c="http://schemas.openxmlformats.org/drawingml/2006/chart">
  <cdr:relSizeAnchor xmlns:cdr="http://schemas.openxmlformats.org/drawingml/2006/chartDrawing">
    <cdr:from>
      <cdr:x>0.07617</cdr:x>
      <cdr:y>0.03778</cdr:y>
    </cdr:from>
    <cdr:to>
      <cdr:x>0.23333</cdr:x>
      <cdr:y>0.15166</cdr:y>
    </cdr:to>
    <cdr:sp macro="" textlink="">
      <cdr:nvSpPr>
        <cdr:cNvPr id="2" name="ZoneTexte 1"/>
        <cdr:cNvSpPr txBox="1"/>
      </cdr:nvSpPr>
      <cdr:spPr>
        <a:xfrm xmlns:a="http://schemas.openxmlformats.org/drawingml/2006/main">
          <a:off x="465945" y="84366"/>
          <a:ext cx="961374" cy="2543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43.xml><?xml version="1.0" encoding="utf-8"?>
<c:userShapes xmlns:c="http://schemas.openxmlformats.org/drawingml/2006/chart">
  <cdr:relSizeAnchor xmlns:cdr="http://schemas.openxmlformats.org/drawingml/2006/chartDrawing">
    <cdr:from>
      <cdr:x>0.07617</cdr:x>
      <cdr:y>0.02625</cdr:y>
    </cdr:from>
    <cdr:to>
      <cdr:x>0.26591</cdr:x>
      <cdr:y>0.1381</cdr:y>
    </cdr:to>
    <cdr:sp macro="" textlink="">
      <cdr:nvSpPr>
        <cdr:cNvPr id="2" name="ZoneTexte 1"/>
        <cdr:cNvSpPr txBox="1"/>
      </cdr:nvSpPr>
      <cdr:spPr>
        <a:xfrm xmlns:a="http://schemas.openxmlformats.org/drawingml/2006/main">
          <a:off x="469895" y="58341"/>
          <a:ext cx="1170522" cy="2485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Levier financier</a:t>
          </a:r>
        </a:p>
      </cdr:txBody>
    </cdr:sp>
  </cdr:relSizeAnchor>
</c:userShapes>
</file>

<file path=xl/drawings/drawing44.xml><?xml version="1.0" encoding="utf-8"?>
<c:userShapes xmlns:c="http://schemas.openxmlformats.org/drawingml/2006/chart">
  <cdr:relSizeAnchor xmlns:cdr="http://schemas.openxmlformats.org/drawingml/2006/chartDrawing">
    <cdr:from>
      <cdr:x>0.07617</cdr:x>
      <cdr:y>0.02625</cdr:y>
    </cdr:from>
    <cdr:to>
      <cdr:x>0.26591</cdr:x>
      <cdr:y>0.1381</cdr:y>
    </cdr:to>
    <cdr:sp macro="" textlink="">
      <cdr:nvSpPr>
        <cdr:cNvPr id="2" name="ZoneTexte 1"/>
        <cdr:cNvSpPr txBox="1"/>
      </cdr:nvSpPr>
      <cdr:spPr>
        <a:xfrm xmlns:a="http://schemas.openxmlformats.org/drawingml/2006/main">
          <a:off x="469895" y="58341"/>
          <a:ext cx="1170522" cy="2485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a:t>
          </a:r>
        </a:p>
      </cdr:txBody>
    </cdr:sp>
  </cdr:relSizeAnchor>
</c:userShapes>
</file>

<file path=xl/drawings/drawing45.xml><?xml version="1.0" encoding="utf-8"?>
<c:userShapes xmlns:c="http://schemas.openxmlformats.org/drawingml/2006/chart">
  <cdr:relSizeAnchor xmlns:cdr="http://schemas.openxmlformats.org/drawingml/2006/chartDrawing">
    <cdr:from>
      <cdr:x>0.07617</cdr:x>
      <cdr:y>0.03778</cdr:y>
    </cdr:from>
    <cdr:to>
      <cdr:x>0.28374</cdr:x>
      <cdr:y>0.14692</cdr:y>
    </cdr:to>
    <cdr:sp macro="" textlink="">
      <cdr:nvSpPr>
        <cdr:cNvPr id="2" name="ZoneTexte 1"/>
        <cdr:cNvSpPr txBox="1"/>
      </cdr:nvSpPr>
      <cdr:spPr>
        <a:xfrm xmlns:a="http://schemas.openxmlformats.org/drawingml/2006/main">
          <a:off x="465945" y="84366"/>
          <a:ext cx="1269722" cy="2437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Levier financier</a:t>
          </a:r>
        </a:p>
      </cdr:txBody>
    </cdr:sp>
  </cdr:relSizeAnchor>
</c:userShapes>
</file>

<file path=xl/drawings/drawing46.xml><?xml version="1.0" encoding="utf-8"?>
<c:userShapes xmlns:c="http://schemas.openxmlformats.org/drawingml/2006/chart">
  <cdr:relSizeAnchor xmlns:cdr="http://schemas.openxmlformats.org/drawingml/2006/chartDrawing">
    <cdr:from>
      <cdr:x>0.07617</cdr:x>
      <cdr:y>0.03778</cdr:y>
    </cdr:from>
    <cdr:to>
      <cdr:x>0.28374</cdr:x>
      <cdr:y>0.14692</cdr:y>
    </cdr:to>
    <cdr:sp macro="" textlink="">
      <cdr:nvSpPr>
        <cdr:cNvPr id="2" name="ZoneTexte 1"/>
        <cdr:cNvSpPr txBox="1"/>
      </cdr:nvSpPr>
      <cdr:spPr>
        <a:xfrm xmlns:a="http://schemas.openxmlformats.org/drawingml/2006/main">
          <a:off x="465945" y="84366"/>
          <a:ext cx="1269722" cy="2437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a:t>
          </a:r>
        </a:p>
      </cdr:txBody>
    </cdr:sp>
  </cdr:relSizeAnchor>
</c:userShapes>
</file>

<file path=xl/drawings/drawing47.xml><?xml version="1.0" encoding="utf-8"?>
<c:userShapes xmlns:c="http://schemas.openxmlformats.org/drawingml/2006/chart">
  <cdr:relSizeAnchor xmlns:cdr="http://schemas.openxmlformats.org/drawingml/2006/chartDrawing">
    <cdr:from>
      <cdr:x>0.07617</cdr:x>
      <cdr:y>0.03778</cdr:y>
    </cdr:from>
    <cdr:to>
      <cdr:x>0.27682</cdr:x>
      <cdr:y>0.17536</cdr:y>
    </cdr:to>
    <cdr:sp macro="" textlink="">
      <cdr:nvSpPr>
        <cdr:cNvPr id="2" name="ZoneTexte 1"/>
        <cdr:cNvSpPr txBox="1"/>
      </cdr:nvSpPr>
      <cdr:spPr>
        <a:xfrm xmlns:a="http://schemas.openxmlformats.org/drawingml/2006/main">
          <a:off x="465945" y="84366"/>
          <a:ext cx="1227388" cy="307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Levier</a:t>
          </a:r>
          <a:r>
            <a:rPr lang="fr-FR" sz="1200" baseline="0">
              <a:latin typeface="Arial" pitchFamily="34" charset="0"/>
              <a:cs typeface="Arial" pitchFamily="34" charset="0"/>
            </a:rPr>
            <a:t> financier</a:t>
          </a:r>
          <a:endParaRPr lang="fr-FR" sz="12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0.07617</cdr:x>
      <cdr:y>0.03778</cdr:y>
    </cdr:from>
    <cdr:to>
      <cdr:x>0.27682</cdr:x>
      <cdr:y>0.17536</cdr:y>
    </cdr:to>
    <cdr:sp macro="" textlink="">
      <cdr:nvSpPr>
        <cdr:cNvPr id="2" name="ZoneTexte 1"/>
        <cdr:cNvSpPr txBox="1"/>
      </cdr:nvSpPr>
      <cdr:spPr>
        <a:xfrm xmlns:a="http://schemas.openxmlformats.org/drawingml/2006/main">
          <a:off x="465945" y="84366"/>
          <a:ext cx="1227388" cy="307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a:t>
          </a:r>
        </a:p>
      </cdr:txBody>
    </cdr:sp>
  </cdr:relSizeAnchor>
</c:userShapes>
</file>

<file path=xl/drawings/drawing49.xml><?xml version="1.0" encoding="utf-8"?>
<c:userShapes xmlns:c="http://schemas.openxmlformats.org/drawingml/2006/chart">
  <cdr:relSizeAnchor xmlns:cdr="http://schemas.openxmlformats.org/drawingml/2006/chartDrawing">
    <cdr:from>
      <cdr:x>0.07989</cdr:x>
      <cdr:y>0.07085</cdr:y>
    </cdr:from>
    <cdr:to>
      <cdr:x>0.37382</cdr:x>
      <cdr:y>0.22699</cdr:y>
    </cdr:to>
    <cdr:sp macro="" textlink="">
      <cdr:nvSpPr>
        <cdr:cNvPr id="2" name="ZoneTexte 1"/>
        <cdr:cNvSpPr txBox="1"/>
      </cdr:nvSpPr>
      <cdr:spPr>
        <a:xfrm xmlns:a="http://schemas.openxmlformats.org/drawingml/2006/main">
          <a:off x="536074" y="122214"/>
          <a:ext cx="1972175" cy="26937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EV*/Ebitda*</a:t>
          </a:r>
          <a:r>
            <a:rPr lang="fr-FR" sz="1200" baseline="0">
              <a:latin typeface="Arial" pitchFamily="34" charset="0"/>
              <a:cs typeface="Arial" pitchFamily="34" charset="0"/>
            </a:rPr>
            <a:t> - EV/Ebitda</a:t>
          </a:r>
          <a:endParaRPr lang="fr-FR" sz="12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EV/Sales</a:t>
          </a:r>
        </a:p>
      </cdr:txBody>
    </cdr:sp>
  </cdr:relSizeAnchor>
  <cdr:relSizeAnchor xmlns:cdr="http://schemas.openxmlformats.org/drawingml/2006/chartDrawing">
    <cdr:from>
      <cdr:x>0.79965</cdr:x>
      <cdr:y>0.8196</cdr:y>
    </cdr:from>
    <cdr:to>
      <cdr:x>0.9334</cdr:x>
      <cdr:y>0.89087</cdr:y>
    </cdr:to>
    <cdr:sp macro="" textlink="">
      <cdr:nvSpPr>
        <cdr:cNvPr id="3" name="ZoneTexte 2"/>
        <cdr:cNvSpPr txBox="1"/>
      </cdr:nvSpPr>
      <cdr:spPr>
        <a:xfrm xmlns:a="http://schemas.openxmlformats.org/drawingml/2006/main">
          <a:off x="5348575" y="3115742"/>
          <a:ext cx="894609"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Mobile % Rev</a:t>
          </a:r>
        </a:p>
      </cdr:txBody>
    </cdr:sp>
  </cdr:relSizeAnchor>
</c:userShapes>
</file>

<file path=xl/drawings/drawing50.xml><?xml version="1.0" encoding="utf-8"?>
<c:userShapes xmlns:c="http://schemas.openxmlformats.org/drawingml/2006/chart">
  <cdr:relSizeAnchor xmlns:cdr="http://schemas.openxmlformats.org/drawingml/2006/chartDrawing">
    <cdr:from>
      <cdr:x>0.07989</cdr:x>
      <cdr:y>0.07085</cdr:y>
    </cdr:from>
    <cdr:to>
      <cdr:x>0.37382</cdr:x>
      <cdr:y>0.22699</cdr:y>
    </cdr:to>
    <cdr:sp macro="" textlink="">
      <cdr:nvSpPr>
        <cdr:cNvPr id="2" name="ZoneTexte 1"/>
        <cdr:cNvSpPr txBox="1"/>
      </cdr:nvSpPr>
      <cdr:spPr>
        <a:xfrm xmlns:a="http://schemas.openxmlformats.org/drawingml/2006/main">
          <a:off x="536074" y="122214"/>
          <a:ext cx="1972175" cy="26937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EV*/Ebitda*</a:t>
          </a:r>
          <a:r>
            <a:rPr lang="fr-FR" sz="1200" baseline="0">
              <a:latin typeface="Arial" pitchFamily="34" charset="0"/>
              <a:cs typeface="Arial" pitchFamily="34" charset="0"/>
            </a:rPr>
            <a:t> - EV/Ebitda</a:t>
          </a:r>
          <a:endParaRPr lang="fr-FR" sz="1200">
            <a:latin typeface="Arial" pitchFamily="34" charset="0"/>
            <a:cs typeface="Arial"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0.11906</cdr:x>
      <cdr:y>0.02911</cdr:y>
    </cdr:from>
    <cdr:to>
      <cdr:x>0.34309</cdr:x>
      <cdr:y>0.10911</cdr:y>
    </cdr:to>
    <cdr:sp macro="" textlink="">
      <cdr:nvSpPr>
        <cdr:cNvPr id="2" name="ZoneTexte 1"/>
        <cdr:cNvSpPr txBox="1"/>
      </cdr:nvSpPr>
      <cdr:spPr>
        <a:xfrm xmlns:a="http://schemas.openxmlformats.org/drawingml/2006/main">
          <a:off x="681618" y="85276"/>
          <a:ext cx="1282648" cy="2343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Adjusted</a:t>
          </a:r>
          <a:r>
            <a:rPr lang="fr-FR" sz="1200" baseline="0">
              <a:latin typeface="Arial" pitchFamily="34" charset="0"/>
              <a:cs typeface="Arial" pitchFamily="34" charset="0"/>
            </a:rPr>
            <a:t> </a:t>
          </a:r>
          <a:r>
            <a:rPr lang="fr-FR" sz="1200">
              <a:latin typeface="Arial" pitchFamily="34" charset="0"/>
              <a:cs typeface="Arial" pitchFamily="34" charset="0"/>
            </a:rPr>
            <a:t>tD*/Ebitda*</a:t>
          </a:r>
        </a:p>
      </cdr:txBody>
    </cdr:sp>
  </cdr:relSizeAnchor>
</c:userShapes>
</file>

<file path=xl/drawings/drawing52.xml><?xml version="1.0" encoding="utf-8"?>
<xdr:wsDr xmlns:xdr="http://schemas.openxmlformats.org/drawingml/2006/spreadsheetDrawing" xmlns:a="http://schemas.openxmlformats.org/drawingml/2006/main">
  <xdr:twoCellAnchor>
    <xdr:from>
      <xdr:col>36</xdr:col>
      <xdr:colOff>190041</xdr:colOff>
      <xdr:row>6</xdr:row>
      <xdr:rowOff>151789</xdr:rowOff>
    </xdr:from>
    <xdr:to>
      <xdr:col>44</xdr:col>
      <xdr:colOff>465667</xdr:colOff>
      <xdr:row>28</xdr:row>
      <xdr:rowOff>59267</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67735</xdr:colOff>
      <xdr:row>6</xdr:row>
      <xdr:rowOff>112182</xdr:rowOff>
    </xdr:from>
    <xdr:to>
      <xdr:col>55</xdr:col>
      <xdr:colOff>457202</xdr:colOff>
      <xdr:row>29</xdr:row>
      <xdr:rowOff>52916</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0.31515</cdr:x>
      <cdr:y>0.03497</cdr:y>
    </cdr:from>
    <cdr:to>
      <cdr:x>0.96366</cdr:x>
      <cdr:y>0.62464</cdr:y>
    </cdr:to>
    <cdr:sp macro="" textlink="">
      <cdr:nvSpPr>
        <cdr:cNvPr id="4" name="Rectangle 3"/>
        <cdr:cNvSpPr/>
      </cdr:nvSpPr>
      <cdr:spPr>
        <a:xfrm xmlns:a="http://schemas.openxmlformats.org/drawingml/2006/main">
          <a:off x="2180626" y="136079"/>
          <a:ext cx="4487333" cy="2294466"/>
        </a:xfrm>
        <a:prstGeom xmlns:a="http://schemas.openxmlformats.org/drawingml/2006/main" prst="rect">
          <a:avLst/>
        </a:prstGeom>
        <a:solidFill xmlns:a="http://schemas.openxmlformats.org/drawingml/2006/main">
          <a:srgbClr val="DDD9C3">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0.07219</cdr:x>
      <cdr:y>0.61811</cdr:y>
    </cdr:from>
    <cdr:to>
      <cdr:x>0.31637</cdr:x>
      <cdr:y>0.91403</cdr:y>
    </cdr:to>
    <cdr:sp macro="" textlink="">
      <cdr:nvSpPr>
        <cdr:cNvPr id="5" name="Rectangle 4"/>
        <cdr:cNvSpPr/>
      </cdr:nvSpPr>
      <cdr:spPr>
        <a:xfrm xmlns:a="http://schemas.openxmlformats.org/drawingml/2006/main">
          <a:off x="499536" y="2405145"/>
          <a:ext cx="1689558" cy="1151466"/>
        </a:xfrm>
        <a:prstGeom xmlns:a="http://schemas.openxmlformats.org/drawingml/2006/main" prst="rect">
          <a:avLst/>
        </a:prstGeom>
        <a:solidFill xmlns:a="http://schemas.openxmlformats.org/drawingml/2006/main">
          <a:srgbClr val="DDD9C3">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0.08458</cdr:x>
      <cdr:y>0.04872</cdr:y>
    </cdr:from>
    <cdr:to>
      <cdr:x>0.23509</cdr:x>
      <cdr:y>0.12155</cdr:y>
    </cdr:to>
    <cdr:sp macro="" textlink="">
      <cdr:nvSpPr>
        <cdr:cNvPr id="6" name="ZoneTexte 5"/>
        <cdr:cNvSpPr txBox="1"/>
      </cdr:nvSpPr>
      <cdr:spPr>
        <a:xfrm xmlns:a="http://schemas.openxmlformats.org/drawingml/2006/main">
          <a:off x="580427" y="186877"/>
          <a:ext cx="1032933" cy="279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b="1">
              <a:latin typeface="Arial" pitchFamily="34" charset="0"/>
              <a:cs typeface="Arial" pitchFamily="34" charset="0"/>
              <a:sym typeface="Wingdings"/>
            </a:rPr>
            <a:t> </a:t>
          </a:r>
          <a:r>
            <a:rPr lang="fr-FR" sz="1200" b="1">
              <a:latin typeface="Arial" pitchFamily="34" charset="0"/>
              <a:cs typeface="Arial" pitchFamily="34" charset="0"/>
            </a:rPr>
            <a:t>EV/Ebitda</a:t>
          </a:r>
        </a:p>
      </cdr:txBody>
    </cdr:sp>
  </cdr:relSizeAnchor>
  <cdr:relSizeAnchor xmlns:cdr="http://schemas.openxmlformats.org/drawingml/2006/chartDrawing">
    <cdr:from>
      <cdr:x>0.80809</cdr:x>
      <cdr:y>0.8321</cdr:y>
    </cdr:from>
    <cdr:to>
      <cdr:x>0.9586</cdr:x>
      <cdr:y>0.90493</cdr:y>
    </cdr:to>
    <cdr:sp macro="" textlink="">
      <cdr:nvSpPr>
        <cdr:cNvPr id="7" name="ZoneTexte 1"/>
        <cdr:cNvSpPr txBox="1"/>
      </cdr:nvSpPr>
      <cdr:spPr>
        <a:xfrm xmlns:a="http://schemas.openxmlformats.org/drawingml/2006/main">
          <a:off x="5545667" y="3191933"/>
          <a:ext cx="1032933" cy="279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itchFamily="34" charset="0"/>
              <a:cs typeface="Arial" pitchFamily="34" charset="0"/>
              <a:sym typeface="Wingdings"/>
            </a:rPr>
            <a:t> </a:t>
          </a:r>
          <a:r>
            <a:rPr lang="fr-FR" sz="1200" b="1">
              <a:latin typeface="Arial" pitchFamily="34" charset="0"/>
              <a:cs typeface="Arial" pitchFamily="34" charset="0"/>
            </a:rPr>
            <a:t>Market</a:t>
          </a:r>
          <a:r>
            <a:rPr lang="fr-FR" sz="1200" b="1" baseline="0">
              <a:latin typeface="Arial" pitchFamily="34" charset="0"/>
              <a:cs typeface="Arial" pitchFamily="34" charset="0"/>
            </a:rPr>
            <a:t> Cap</a:t>
          </a:r>
          <a:endParaRPr lang="fr-FR" sz="1200" b="1">
            <a:latin typeface="Arial" pitchFamily="34" charset="0"/>
            <a:cs typeface="Arial" pitchFamily="34" charset="0"/>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0.85521</cdr:x>
      <cdr:y>0.68297</cdr:y>
    </cdr:from>
    <cdr:to>
      <cdr:x>0.96555</cdr:x>
      <cdr:y>0.7558</cdr:y>
    </cdr:to>
    <cdr:sp macro="" textlink="">
      <cdr:nvSpPr>
        <cdr:cNvPr id="6" name="ZoneTexte 5"/>
        <cdr:cNvSpPr txBox="1"/>
      </cdr:nvSpPr>
      <cdr:spPr>
        <a:xfrm xmlns:a="http://schemas.openxmlformats.org/drawingml/2006/main">
          <a:off x="6798734" y="2983009"/>
          <a:ext cx="877219" cy="3180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b="1">
              <a:latin typeface="Arial" pitchFamily="34" charset="0"/>
              <a:cs typeface="Arial" pitchFamily="34" charset="0"/>
              <a:sym typeface="Wingdings"/>
            </a:rPr>
            <a:t> </a:t>
          </a:r>
          <a:r>
            <a:rPr lang="fr-FR" sz="1200" b="1" baseline="0">
              <a:latin typeface="Arial" pitchFamily="34" charset="0"/>
              <a:cs typeface="Arial" pitchFamily="34" charset="0"/>
              <a:sym typeface="Wingdings"/>
            </a:rPr>
            <a:t> </a:t>
          </a:r>
          <a:r>
            <a:rPr lang="fr-FR" sz="1200" b="1">
              <a:latin typeface="Arial" pitchFamily="34" charset="0"/>
              <a:cs typeface="Arial" pitchFamily="34" charset="0"/>
            </a:rPr>
            <a:t>Ebitda</a:t>
          </a:r>
        </a:p>
      </cdr:txBody>
    </cdr:sp>
  </cdr:relSizeAnchor>
  <cdr:relSizeAnchor xmlns:cdr="http://schemas.openxmlformats.org/drawingml/2006/chartDrawing">
    <cdr:from>
      <cdr:x>0.07962</cdr:x>
      <cdr:y>0.0664</cdr:y>
    </cdr:from>
    <cdr:to>
      <cdr:x>0.23013</cdr:x>
      <cdr:y>0.13923</cdr:y>
    </cdr:to>
    <cdr:sp macro="" textlink="">
      <cdr:nvSpPr>
        <cdr:cNvPr id="7" name="ZoneTexte 1"/>
        <cdr:cNvSpPr txBox="1"/>
      </cdr:nvSpPr>
      <cdr:spPr>
        <a:xfrm xmlns:a="http://schemas.openxmlformats.org/drawingml/2006/main">
          <a:off x="632947" y="290006"/>
          <a:ext cx="1196523" cy="3180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itchFamily="34" charset="0"/>
              <a:cs typeface="Arial" pitchFamily="34" charset="0"/>
              <a:sym typeface="Wingdings"/>
            </a:rPr>
            <a:t> </a:t>
          </a:r>
          <a:r>
            <a:rPr lang="fr-FR" sz="1200" b="1">
              <a:latin typeface="Arial" pitchFamily="34" charset="0"/>
              <a:cs typeface="Arial" pitchFamily="34" charset="0"/>
            </a:rPr>
            <a:t>EV</a:t>
          </a: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16</xdr:col>
      <xdr:colOff>238606</xdr:colOff>
      <xdr:row>100</xdr:row>
      <xdr:rowOff>80819</xdr:rowOff>
    </xdr:from>
    <xdr:to>
      <xdr:col>20</xdr:col>
      <xdr:colOff>353630</xdr:colOff>
      <xdr:row>105</xdr:row>
      <xdr:rowOff>131620</xdr:rowOff>
    </xdr:to>
    <xdr:pic>
      <xdr:nvPicPr>
        <xdr:cNvPr id="2" name="Picture 22"/>
        <xdr:cNvPicPr>
          <a:picLocks noChangeAspect="1" noChangeArrowheads="1"/>
        </xdr:cNvPicPr>
      </xdr:nvPicPr>
      <xdr:blipFill>
        <a:blip xmlns:r="http://schemas.openxmlformats.org/officeDocument/2006/relationships" r:embed="rId1" cstate="print"/>
        <a:srcRect l="2630" t="34477"/>
        <a:stretch>
          <a:fillRect/>
        </a:stretch>
      </xdr:blipFill>
      <xdr:spPr bwMode="auto">
        <a:xfrm>
          <a:off x="7824739" y="13288819"/>
          <a:ext cx="2202057" cy="897467"/>
        </a:xfrm>
        <a:prstGeom prst="rect">
          <a:avLst/>
        </a:prstGeom>
        <a:noFill/>
      </xdr:spPr>
    </xdr:pic>
    <xdr:clientData/>
  </xdr:twoCellAnchor>
  <xdr:twoCellAnchor editAs="oneCell">
    <xdr:from>
      <xdr:col>22</xdr:col>
      <xdr:colOff>404094</xdr:colOff>
      <xdr:row>100</xdr:row>
      <xdr:rowOff>18472</xdr:rowOff>
    </xdr:from>
    <xdr:to>
      <xdr:col>27</xdr:col>
      <xdr:colOff>55038</xdr:colOff>
      <xdr:row>106</xdr:row>
      <xdr:rowOff>1934</xdr:rowOff>
    </xdr:to>
    <xdr:pic>
      <xdr:nvPicPr>
        <xdr:cNvPr id="3" name="Picture 23"/>
        <xdr:cNvPicPr>
          <a:picLocks noChangeAspect="1" noChangeArrowheads="1"/>
        </xdr:cNvPicPr>
      </xdr:nvPicPr>
      <xdr:blipFill>
        <a:blip xmlns:r="http://schemas.openxmlformats.org/officeDocument/2006/relationships" r:embed="rId2" cstate="print"/>
        <a:srcRect r="942"/>
        <a:stretch>
          <a:fillRect/>
        </a:stretch>
      </xdr:blipFill>
      <xdr:spPr bwMode="auto">
        <a:xfrm>
          <a:off x="14221694" y="13226472"/>
          <a:ext cx="2106277" cy="995228"/>
        </a:xfrm>
        <a:prstGeom prst="rect">
          <a:avLst/>
        </a:prstGeom>
        <a:noFill/>
      </xdr:spPr>
    </xdr:pic>
    <xdr:clientData/>
  </xdr:twoCellAnchor>
  <xdr:twoCellAnchor editAs="oneCell">
    <xdr:from>
      <xdr:col>22</xdr:col>
      <xdr:colOff>108824</xdr:colOff>
      <xdr:row>116</xdr:row>
      <xdr:rowOff>47625</xdr:rowOff>
    </xdr:from>
    <xdr:to>
      <xdr:col>28</xdr:col>
      <xdr:colOff>48681</xdr:colOff>
      <xdr:row>127</xdr:row>
      <xdr:rowOff>20956</xdr:rowOff>
    </xdr:to>
    <xdr:pic>
      <xdr:nvPicPr>
        <xdr:cNvPr id="4" name="Picture 24"/>
        <xdr:cNvPicPr>
          <a:picLocks noChangeAspect="1" noChangeArrowheads="1"/>
        </xdr:cNvPicPr>
      </xdr:nvPicPr>
      <xdr:blipFill>
        <a:blip xmlns:r="http://schemas.openxmlformats.org/officeDocument/2006/relationships" r:embed="rId3" cstate="print"/>
        <a:srcRect/>
        <a:stretch>
          <a:fillRect/>
        </a:stretch>
      </xdr:blipFill>
      <xdr:spPr bwMode="auto">
        <a:xfrm>
          <a:off x="13215224" y="13123545"/>
          <a:ext cx="2850697" cy="1817370"/>
        </a:xfrm>
        <a:prstGeom prst="rect">
          <a:avLst/>
        </a:prstGeom>
        <a:noFill/>
      </xdr:spPr>
    </xdr:pic>
    <xdr:clientData/>
  </xdr:twoCellAnchor>
  <xdr:twoCellAnchor editAs="oneCell">
    <xdr:from>
      <xdr:col>22</xdr:col>
      <xdr:colOff>108824</xdr:colOff>
      <xdr:row>128</xdr:row>
      <xdr:rowOff>0</xdr:rowOff>
    </xdr:from>
    <xdr:to>
      <xdr:col>28</xdr:col>
      <xdr:colOff>48681</xdr:colOff>
      <xdr:row>138</xdr:row>
      <xdr:rowOff>152399</xdr:rowOff>
    </xdr:to>
    <xdr:pic>
      <xdr:nvPicPr>
        <xdr:cNvPr id="5" name="Picture 25"/>
        <xdr:cNvPicPr>
          <a:picLocks noChangeAspect="1" noChangeArrowheads="1"/>
        </xdr:cNvPicPr>
      </xdr:nvPicPr>
      <xdr:blipFill>
        <a:blip xmlns:r="http://schemas.openxmlformats.org/officeDocument/2006/relationships" r:embed="rId4" cstate="print"/>
        <a:srcRect/>
        <a:stretch>
          <a:fillRect/>
        </a:stretch>
      </xdr:blipFill>
      <xdr:spPr bwMode="auto">
        <a:xfrm>
          <a:off x="13215224" y="15087600"/>
          <a:ext cx="2850697" cy="1828800"/>
        </a:xfrm>
        <a:prstGeom prst="rect">
          <a:avLst/>
        </a:prstGeom>
        <a:noFill/>
      </xdr:spPr>
    </xdr:pic>
    <xdr:clientData/>
  </xdr:twoCellAnchor>
  <xdr:twoCellAnchor editAs="oneCell">
    <xdr:from>
      <xdr:col>16</xdr:col>
      <xdr:colOff>75080</xdr:colOff>
      <xdr:row>116</xdr:row>
      <xdr:rowOff>76200</xdr:rowOff>
    </xdr:from>
    <xdr:to>
      <xdr:col>21</xdr:col>
      <xdr:colOff>324725</xdr:colOff>
      <xdr:row>127</xdr:row>
      <xdr:rowOff>40979</xdr:rowOff>
    </xdr:to>
    <xdr:pic>
      <xdr:nvPicPr>
        <xdr:cNvPr id="6" name="Picture 26"/>
        <xdr:cNvPicPr>
          <a:picLocks noChangeAspect="1" noChangeArrowheads="1"/>
        </xdr:cNvPicPr>
      </xdr:nvPicPr>
      <xdr:blipFill>
        <a:blip xmlns:r="http://schemas.openxmlformats.org/officeDocument/2006/relationships" r:embed="rId5" cstate="print"/>
        <a:srcRect/>
        <a:stretch>
          <a:fillRect/>
        </a:stretch>
      </xdr:blipFill>
      <xdr:spPr bwMode="auto">
        <a:xfrm>
          <a:off x="10232540" y="13152120"/>
          <a:ext cx="2811234" cy="1808818"/>
        </a:xfrm>
        <a:prstGeom prst="rect">
          <a:avLst/>
        </a:prstGeom>
        <a:noFill/>
      </xdr:spPr>
    </xdr:pic>
    <xdr:clientData/>
  </xdr:twoCellAnchor>
  <xdr:twoCellAnchor editAs="oneCell">
    <xdr:from>
      <xdr:col>16</xdr:col>
      <xdr:colOff>61744</xdr:colOff>
      <xdr:row>127</xdr:row>
      <xdr:rowOff>152400</xdr:rowOff>
    </xdr:from>
    <xdr:to>
      <xdr:col>21</xdr:col>
      <xdr:colOff>345680</xdr:colOff>
      <xdr:row>139</xdr:row>
      <xdr:rowOff>9840</xdr:rowOff>
    </xdr:to>
    <xdr:pic>
      <xdr:nvPicPr>
        <xdr:cNvPr id="7" name="Picture 27"/>
        <xdr:cNvPicPr>
          <a:picLocks noChangeAspect="1" noChangeArrowheads="1"/>
        </xdr:cNvPicPr>
      </xdr:nvPicPr>
      <xdr:blipFill>
        <a:blip xmlns:r="http://schemas.openxmlformats.org/officeDocument/2006/relationships" r:embed="rId6" cstate="print"/>
        <a:srcRect/>
        <a:stretch>
          <a:fillRect/>
        </a:stretch>
      </xdr:blipFill>
      <xdr:spPr bwMode="auto">
        <a:xfrm>
          <a:off x="10219204" y="15072360"/>
          <a:ext cx="2845525" cy="1869119"/>
        </a:xfrm>
        <a:prstGeom prst="rect">
          <a:avLst/>
        </a:prstGeom>
        <a:noFill/>
      </xdr:spPr>
    </xdr:pic>
    <xdr:clientData/>
  </xdr:twoCellAnchor>
  <xdr:twoCellAnchor editAs="oneCell">
    <xdr:from>
      <xdr:col>28</xdr:col>
      <xdr:colOff>378246</xdr:colOff>
      <xdr:row>116</xdr:row>
      <xdr:rowOff>32386</xdr:rowOff>
    </xdr:from>
    <xdr:to>
      <xdr:col>34</xdr:col>
      <xdr:colOff>258503</xdr:colOff>
      <xdr:row>127</xdr:row>
      <xdr:rowOff>145467</xdr:rowOff>
    </xdr:to>
    <xdr:pic>
      <xdr:nvPicPr>
        <xdr:cNvPr id="8" name="Picture 28"/>
        <xdr:cNvPicPr>
          <a:picLocks noChangeAspect="1" noChangeArrowheads="1"/>
        </xdr:cNvPicPr>
      </xdr:nvPicPr>
      <xdr:blipFill>
        <a:blip xmlns:r="http://schemas.openxmlformats.org/officeDocument/2006/relationships" r:embed="rId7" cstate="print"/>
        <a:srcRect/>
        <a:stretch>
          <a:fillRect/>
        </a:stretch>
      </xdr:blipFill>
      <xdr:spPr bwMode="auto">
        <a:xfrm>
          <a:off x="17485146" y="16834486"/>
          <a:ext cx="2632982" cy="1999031"/>
        </a:xfrm>
        <a:prstGeom prst="rect">
          <a:avLst/>
        </a:prstGeom>
        <a:noFill/>
      </xdr:spPr>
    </xdr:pic>
    <xdr:clientData/>
  </xdr:twoCellAnchor>
  <xdr:twoCellAnchor editAs="oneCell">
    <xdr:from>
      <xdr:col>28</xdr:col>
      <xdr:colOff>414441</xdr:colOff>
      <xdr:row>128</xdr:row>
      <xdr:rowOff>13335</xdr:rowOff>
    </xdr:from>
    <xdr:to>
      <xdr:col>34</xdr:col>
      <xdr:colOff>88958</xdr:colOff>
      <xdr:row>140</xdr:row>
      <xdr:rowOff>53414</xdr:rowOff>
    </xdr:to>
    <xdr:pic>
      <xdr:nvPicPr>
        <xdr:cNvPr id="9" name="Picture 29"/>
        <xdr:cNvPicPr>
          <a:picLocks noChangeAspect="1" noChangeArrowheads="1"/>
        </xdr:cNvPicPr>
      </xdr:nvPicPr>
      <xdr:blipFill>
        <a:blip xmlns:r="http://schemas.openxmlformats.org/officeDocument/2006/relationships" r:embed="rId8" cstate="print"/>
        <a:srcRect/>
        <a:stretch>
          <a:fillRect/>
        </a:stretch>
      </xdr:blipFill>
      <xdr:spPr bwMode="auto">
        <a:xfrm>
          <a:off x="17521341" y="18872835"/>
          <a:ext cx="2427242" cy="2097480"/>
        </a:xfrm>
        <a:prstGeom prst="rect">
          <a:avLst/>
        </a:prstGeom>
        <a:noFill/>
      </xdr:spPr>
    </xdr:pic>
    <xdr:clientData/>
  </xdr:twoCellAnchor>
  <xdr:twoCellAnchor editAs="oneCell">
    <xdr:from>
      <xdr:col>34</xdr:col>
      <xdr:colOff>367088</xdr:colOff>
      <xdr:row>116</xdr:row>
      <xdr:rowOff>72391</xdr:rowOff>
    </xdr:from>
    <xdr:to>
      <xdr:col>40</xdr:col>
      <xdr:colOff>1328</xdr:colOff>
      <xdr:row>128</xdr:row>
      <xdr:rowOff>72941</xdr:rowOff>
    </xdr:to>
    <xdr:pic>
      <xdr:nvPicPr>
        <xdr:cNvPr id="10" name="Picture 30"/>
        <xdr:cNvPicPr>
          <a:picLocks noChangeAspect="1" noChangeArrowheads="1"/>
        </xdr:cNvPicPr>
      </xdr:nvPicPr>
      <xdr:blipFill>
        <a:blip xmlns:r="http://schemas.openxmlformats.org/officeDocument/2006/relationships" r:embed="rId9" cstate="print"/>
        <a:srcRect/>
        <a:stretch>
          <a:fillRect/>
        </a:stretch>
      </xdr:blipFill>
      <xdr:spPr bwMode="auto">
        <a:xfrm>
          <a:off x="20217188" y="16874491"/>
          <a:ext cx="2434590" cy="2057949"/>
        </a:xfrm>
        <a:prstGeom prst="rect">
          <a:avLst/>
        </a:prstGeom>
        <a:noFill/>
      </xdr:spPr>
    </xdr:pic>
    <xdr:clientData/>
  </xdr:twoCellAnchor>
  <xdr:twoCellAnchor editAs="oneCell">
    <xdr:from>
      <xdr:col>34</xdr:col>
      <xdr:colOff>334703</xdr:colOff>
      <xdr:row>128</xdr:row>
      <xdr:rowOff>15240</xdr:rowOff>
    </xdr:from>
    <xdr:to>
      <xdr:col>40</xdr:col>
      <xdr:colOff>218498</xdr:colOff>
      <xdr:row>141</xdr:row>
      <xdr:rowOff>2374</xdr:rowOff>
    </xdr:to>
    <xdr:pic>
      <xdr:nvPicPr>
        <xdr:cNvPr id="11" name="Picture 31"/>
        <xdr:cNvPicPr>
          <a:picLocks noChangeAspect="1" noChangeArrowheads="1"/>
        </xdr:cNvPicPr>
      </xdr:nvPicPr>
      <xdr:blipFill>
        <a:blip xmlns:r="http://schemas.openxmlformats.org/officeDocument/2006/relationships" r:embed="rId10" cstate="print"/>
        <a:srcRect/>
        <a:stretch>
          <a:fillRect/>
        </a:stretch>
      </xdr:blipFill>
      <xdr:spPr bwMode="auto">
        <a:xfrm>
          <a:off x="20184803" y="18874740"/>
          <a:ext cx="2684145" cy="2201418"/>
        </a:xfrm>
        <a:prstGeom prst="rect">
          <a:avLst/>
        </a:prstGeom>
        <a:noFill/>
      </xdr:spPr>
    </xdr:pic>
    <xdr:clientData/>
  </xdr:twoCellAnchor>
  <xdr:twoCellAnchor editAs="oneCell">
    <xdr:from>
      <xdr:col>15</xdr:col>
      <xdr:colOff>403860</xdr:colOff>
      <xdr:row>361</xdr:row>
      <xdr:rowOff>68580</xdr:rowOff>
    </xdr:from>
    <xdr:to>
      <xdr:col>24</xdr:col>
      <xdr:colOff>170248</xdr:colOff>
      <xdr:row>369</xdr:row>
      <xdr:rowOff>137160</xdr:rowOff>
    </xdr:to>
    <xdr:pic>
      <xdr:nvPicPr>
        <xdr:cNvPr id="12" name="Picture 32"/>
        <xdr:cNvPicPr>
          <a:picLocks noChangeAspect="1" noChangeArrowheads="1"/>
        </xdr:cNvPicPr>
      </xdr:nvPicPr>
      <xdr:blipFill>
        <a:blip xmlns:r="http://schemas.openxmlformats.org/officeDocument/2006/relationships" r:embed="rId11" cstate="print"/>
        <a:srcRect/>
        <a:stretch>
          <a:fillRect/>
        </a:stretch>
      </xdr:blipFill>
      <xdr:spPr bwMode="auto">
        <a:xfrm>
          <a:off x="10043160" y="37010340"/>
          <a:ext cx="4347278" cy="1409701"/>
        </a:xfrm>
        <a:prstGeom prst="rect">
          <a:avLst/>
        </a:prstGeom>
        <a:noFill/>
      </xdr:spPr>
    </xdr:pic>
    <xdr:clientData/>
  </xdr:twoCellAnchor>
  <xdr:twoCellAnchor editAs="oneCell">
    <xdr:from>
      <xdr:col>26</xdr:col>
      <xdr:colOff>403860</xdr:colOff>
      <xdr:row>363</xdr:row>
      <xdr:rowOff>38100</xdr:rowOff>
    </xdr:from>
    <xdr:to>
      <xdr:col>34</xdr:col>
      <xdr:colOff>20955</xdr:colOff>
      <xdr:row>368</xdr:row>
      <xdr:rowOff>15241</xdr:rowOff>
    </xdr:to>
    <xdr:pic>
      <xdr:nvPicPr>
        <xdr:cNvPr id="13" name="Picture 33"/>
        <xdr:cNvPicPr>
          <a:picLocks noChangeAspect="1" noChangeArrowheads="1"/>
        </xdr:cNvPicPr>
      </xdr:nvPicPr>
      <xdr:blipFill>
        <a:blip xmlns:r="http://schemas.openxmlformats.org/officeDocument/2006/relationships" r:embed="rId12" cstate="print"/>
        <a:srcRect/>
        <a:stretch>
          <a:fillRect/>
        </a:stretch>
      </xdr:blipFill>
      <xdr:spPr bwMode="auto">
        <a:xfrm>
          <a:off x="15392400" y="37315140"/>
          <a:ext cx="3284220" cy="815340"/>
        </a:xfrm>
        <a:prstGeom prst="rect">
          <a:avLst/>
        </a:prstGeom>
        <a:noFill/>
      </xdr:spPr>
    </xdr:pic>
    <xdr:clientData/>
  </xdr:twoCellAnchor>
  <xdr:twoCellAnchor editAs="oneCell">
    <xdr:from>
      <xdr:col>15</xdr:col>
      <xdr:colOff>472440</xdr:colOff>
      <xdr:row>369</xdr:row>
      <xdr:rowOff>152400</xdr:rowOff>
    </xdr:from>
    <xdr:to>
      <xdr:col>20</xdr:col>
      <xdr:colOff>261621</xdr:colOff>
      <xdr:row>377</xdr:row>
      <xdr:rowOff>114299</xdr:rowOff>
    </xdr:to>
    <xdr:pic>
      <xdr:nvPicPr>
        <xdr:cNvPr id="14" name="Picture 34"/>
        <xdr:cNvPicPr>
          <a:picLocks noChangeAspect="1" noChangeArrowheads="1"/>
        </xdr:cNvPicPr>
      </xdr:nvPicPr>
      <xdr:blipFill>
        <a:blip xmlns:r="http://schemas.openxmlformats.org/officeDocument/2006/relationships" r:embed="rId13" cstate="print"/>
        <a:srcRect/>
        <a:stretch>
          <a:fillRect/>
        </a:stretch>
      </xdr:blipFill>
      <xdr:spPr bwMode="auto">
        <a:xfrm>
          <a:off x="10111740" y="38435280"/>
          <a:ext cx="2430781" cy="1303019"/>
        </a:xfrm>
        <a:prstGeom prst="rect">
          <a:avLst/>
        </a:prstGeom>
        <a:noFill/>
      </xdr:spPr>
    </xdr:pic>
    <xdr:clientData/>
  </xdr:twoCellAnchor>
  <xdr:twoCellAnchor editAs="oneCell">
    <xdr:from>
      <xdr:col>24</xdr:col>
      <xdr:colOff>327660</xdr:colOff>
      <xdr:row>362</xdr:row>
      <xdr:rowOff>22860</xdr:rowOff>
    </xdr:from>
    <xdr:to>
      <xdr:col>25</xdr:col>
      <xdr:colOff>405765</xdr:colOff>
      <xdr:row>369</xdr:row>
      <xdr:rowOff>121557</xdr:rowOff>
    </xdr:to>
    <xdr:pic>
      <xdr:nvPicPr>
        <xdr:cNvPr id="15" name="Picture 35"/>
        <xdr:cNvPicPr>
          <a:picLocks noChangeAspect="1" noChangeArrowheads="1"/>
        </xdr:cNvPicPr>
      </xdr:nvPicPr>
      <xdr:blipFill>
        <a:blip xmlns:r="http://schemas.openxmlformats.org/officeDocument/2006/relationships" r:embed="rId14" cstate="print"/>
        <a:srcRect t="17622" r="11905"/>
        <a:stretch>
          <a:fillRect/>
        </a:stretch>
      </xdr:blipFill>
      <xdr:spPr bwMode="auto">
        <a:xfrm>
          <a:off x="14401800" y="37132260"/>
          <a:ext cx="563880" cy="1272177"/>
        </a:xfrm>
        <a:prstGeom prst="rect">
          <a:avLst/>
        </a:prstGeom>
        <a:noFill/>
      </xdr:spPr>
    </xdr:pic>
    <xdr:clientData/>
  </xdr:twoCellAnchor>
  <xdr:twoCellAnchor editAs="oneCell">
    <xdr:from>
      <xdr:col>20</xdr:col>
      <xdr:colOff>350520</xdr:colOff>
      <xdr:row>370</xdr:row>
      <xdr:rowOff>137159</xdr:rowOff>
    </xdr:from>
    <xdr:to>
      <xdr:col>21</xdr:col>
      <xdr:colOff>391385</xdr:colOff>
      <xdr:row>377</xdr:row>
      <xdr:rowOff>129540</xdr:rowOff>
    </xdr:to>
    <xdr:pic>
      <xdr:nvPicPr>
        <xdr:cNvPr id="16" name="Picture 36"/>
        <xdr:cNvPicPr>
          <a:picLocks noChangeAspect="1" noChangeArrowheads="1"/>
        </xdr:cNvPicPr>
      </xdr:nvPicPr>
      <xdr:blipFill>
        <a:blip xmlns:r="http://schemas.openxmlformats.org/officeDocument/2006/relationships" r:embed="rId15" cstate="print"/>
        <a:srcRect/>
        <a:stretch>
          <a:fillRect/>
        </a:stretch>
      </xdr:blipFill>
      <xdr:spPr bwMode="auto">
        <a:xfrm>
          <a:off x="12542520" y="38587679"/>
          <a:ext cx="517115" cy="1165861"/>
        </a:xfrm>
        <a:prstGeom prst="rect">
          <a:avLst/>
        </a:prstGeom>
        <a:noFill/>
      </xdr:spPr>
    </xdr:pic>
    <xdr:clientData/>
  </xdr:twoCellAnchor>
  <xdr:twoCellAnchor editAs="oneCell">
    <xdr:from>
      <xdr:col>42</xdr:col>
      <xdr:colOff>229657</xdr:colOff>
      <xdr:row>5</xdr:row>
      <xdr:rowOff>25586</xdr:rowOff>
    </xdr:from>
    <xdr:to>
      <xdr:col>53</xdr:col>
      <xdr:colOff>265047</xdr:colOff>
      <xdr:row>32</xdr:row>
      <xdr:rowOff>25587</xdr:rowOff>
    </xdr:to>
    <xdr:pic>
      <xdr:nvPicPr>
        <xdr:cNvPr id="17" name="Image 16" descr="bgc1.bmp"/>
        <xdr:cNvPicPr>
          <a:picLocks noChangeAspect="1"/>
        </xdr:cNvPicPr>
      </xdr:nvPicPr>
      <xdr:blipFill>
        <a:blip xmlns:r="http://schemas.openxmlformats.org/officeDocument/2006/relationships" r:embed="rId16" cstate="print"/>
        <a:srcRect t="8433" b="12503"/>
        <a:stretch>
          <a:fillRect/>
        </a:stretch>
      </xdr:blipFill>
      <xdr:spPr>
        <a:xfrm>
          <a:off x="24201281" y="877233"/>
          <a:ext cx="8049838" cy="4598895"/>
        </a:xfrm>
        <a:prstGeom prst="rect">
          <a:avLst/>
        </a:prstGeom>
      </xdr:spPr>
    </xdr:pic>
    <xdr:clientData/>
  </xdr:twoCellAnchor>
  <xdr:twoCellAnchor editAs="oneCell">
    <xdr:from>
      <xdr:col>23</xdr:col>
      <xdr:colOff>19050</xdr:colOff>
      <xdr:row>243</xdr:row>
      <xdr:rowOff>76200</xdr:rowOff>
    </xdr:from>
    <xdr:to>
      <xdr:col>30</xdr:col>
      <xdr:colOff>323851</xdr:colOff>
      <xdr:row>264</xdr:row>
      <xdr:rowOff>49530</xdr:rowOff>
    </xdr:to>
    <xdr:pic>
      <xdr:nvPicPr>
        <xdr:cNvPr id="2667572" name="Picture 52"/>
        <xdr:cNvPicPr>
          <a:picLocks noChangeAspect="1" noChangeArrowheads="1"/>
        </xdr:cNvPicPr>
      </xdr:nvPicPr>
      <xdr:blipFill>
        <a:blip xmlns:r="http://schemas.openxmlformats.org/officeDocument/2006/relationships" r:embed="rId17" cstate="print"/>
        <a:srcRect/>
        <a:stretch>
          <a:fillRect/>
        </a:stretch>
      </xdr:blipFill>
      <xdr:spPr bwMode="auto">
        <a:xfrm>
          <a:off x="15163800" y="39843075"/>
          <a:ext cx="3676650" cy="3573780"/>
        </a:xfrm>
        <a:prstGeom prst="rect">
          <a:avLst/>
        </a:prstGeom>
        <a:noFill/>
      </xdr:spPr>
    </xdr:pic>
    <xdr:clientData/>
  </xdr:twoCellAnchor>
  <xdr:twoCellAnchor editAs="oneCell">
    <xdr:from>
      <xdr:col>34</xdr:col>
      <xdr:colOff>66675</xdr:colOff>
      <xdr:row>212</xdr:row>
      <xdr:rowOff>76200</xdr:rowOff>
    </xdr:from>
    <xdr:to>
      <xdr:col>45</xdr:col>
      <xdr:colOff>283845</xdr:colOff>
      <xdr:row>230</xdr:row>
      <xdr:rowOff>41910</xdr:rowOff>
    </xdr:to>
    <xdr:pic>
      <xdr:nvPicPr>
        <xdr:cNvPr id="2667581" name="Picture 61"/>
        <xdr:cNvPicPr>
          <a:picLocks noChangeAspect="1" noChangeArrowheads="1"/>
        </xdr:cNvPicPr>
      </xdr:nvPicPr>
      <xdr:blipFill>
        <a:blip xmlns:r="http://schemas.openxmlformats.org/officeDocument/2006/relationships" r:embed="rId18" cstate="print"/>
        <a:srcRect/>
        <a:stretch>
          <a:fillRect/>
        </a:stretch>
      </xdr:blipFill>
      <xdr:spPr bwMode="auto">
        <a:xfrm>
          <a:off x="20307300" y="36242625"/>
          <a:ext cx="5636895" cy="3051810"/>
        </a:xfrm>
        <a:prstGeom prst="rect">
          <a:avLst/>
        </a:prstGeom>
        <a:noFill/>
      </xdr:spPr>
    </xdr:pic>
    <xdr:clientData/>
  </xdr:twoCellAnchor>
  <xdr:twoCellAnchor editAs="oneCell">
    <xdr:from>
      <xdr:col>34</xdr:col>
      <xdr:colOff>57150</xdr:colOff>
      <xdr:row>230</xdr:row>
      <xdr:rowOff>114300</xdr:rowOff>
    </xdr:from>
    <xdr:to>
      <xdr:col>45</xdr:col>
      <xdr:colOff>255270</xdr:colOff>
      <xdr:row>239</xdr:row>
      <xdr:rowOff>114301</xdr:rowOff>
    </xdr:to>
    <xdr:pic>
      <xdr:nvPicPr>
        <xdr:cNvPr id="2667582" name="Picture 62"/>
        <xdr:cNvPicPr>
          <a:picLocks noChangeAspect="1" noChangeArrowheads="1"/>
        </xdr:cNvPicPr>
      </xdr:nvPicPr>
      <xdr:blipFill>
        <a:blip xmlns:r="http://schemas.openxmlformats.org/officeDocument/2006/relationships" r:embed="rId19" cstate="print"/>
        <a:srcRect/>
        <a:stretch>
          <a:fillRect/>
        </a:stretch>
      </xdr:blipFill>
      <xdr:spPr bwMode="auto">
        <a:xfrm>
          <a:off x="20297775" y="39366825"/>
          <a:ext cx="5617845" cy="1543050"/>
        </a:xfrm>
        <a:prstGeom prst="rect">
          <a:avLst/>
        </a:prstGeom>
        <a:noFill/>
      </xdr:spPr>
    </xdr:pic>
    <xdr:clientData/>
  </xdr:twoCellAnchor>
  <xdr:twoCellAnchor editAs="oneCell">
    <xdr:from>
      <xdr:col>45</xdr:col>
      <xdr:colOff>219075</xdr:colOff>
      <xdr:row>230</xdr:row>
      <xdr:rowOff>114300</xdr:rowOff>
    </xdr:from>
    <xdr:to>
      <xdr:col>53</xdr:col>
      <xdr:colOff>291082</xdr:colOff>
      <xdr:row>239</xdr:row>
      <xdr:rowOff>85726</xdr:rowOff>
    </xdr:to>
    <xdr:pic>
      <xdr:nvPicPr>
        <xdr:cNvPr id="2667583" name="Picture 63"/>
        <xdr:cNvPicPr>
          <a:picLocks noChangeAspect="1" noChangeArrowheads="1"/>
        </xdr:cNvPicPr>
      </xdr:nvPicPr>
      <xdr:blipFill>
        <a:blip xmlns:r="http://schemas.openxmlformats.org/officeDocument/2006/relationships" r:embed="rId20" cstate="print"/>
        <a:srcRect/>
        <a:stretch>
          <a:fillRect/>
        </a:stretch>
      </xdr:blipFill>
      <xdr:spPr bwMode="auto">
        <a:xfrm>
          <a:off x="25879425" y="39366825"/>
          <a:ext cx="6396608" cy="1514475"/>
        </a:xfrm>
        <a:prstGeom prst="rect">
          <a:avLst/>
        </a:prstGeom>
        <a:noFill/>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25</xdr:col>
      <xdr:colOff>528615</xdr:colOff>
      <xdr:row>54</xdr:row>
      <xdr:rowOff>4508</xdr:rowOff>
    </xdr:from>
    <xdr:to>
      <xdr:col>27</xdr:col>
      <xdr:colOff>495824</xdr:colOff>
      <xdr:row>57</xdr:row>
      <xdr:rowOff>1839</xdr:rowOff>
    </xdr:to>
    <xdr:pic>
      <xdr:nvPicPr>
        <xdr:cNvPr id="2" name="Picture 3" descr=" S_n=a \sum_{k=0}^{n-1} q^{k} =a \frac{1-q^{n}}{1-q}"/>
        <xdr:cNvPicPr>
          <a:picLocks noChangeAspect="1" noChangeArrowheads="1"/>
        </xdr:cNvPicPr>
      </xdr:nvPicPr>
      <xdr:blipFill>
        <a:blip xmlns:r="http://schemas.openxmlformats.org/officeDocument/2006/relationships" r:embed="rId1" cstate="print"/>
        <a:srcRect/>
        <a:stretch>
          <a:fillRect/>
        </a:stretch>
      </xdr:blipFill>
      <xdr:spPr bwMode="auto">
        <a:xfrm>
          <a:off x="19011348" y="9173908"/>
          <a:ext cx="1482743" cy="494748"/>
        </a:xfrm>
        <a:prstGeom prst="rect">
          <a:avLst/>
        </a:prstGeom>
        <a:noFill/>
        <a:ln w="9525">
          <a:noFill/>
          <a:miter lim="800000"/>
          <a:headEnd/>
          <a:tailEnd/>
        </a:ln>
      </xdr:spPr>
    </xdr:pic>
    <xdr:clientData/>
  </xdr:twoCellAnchor>
  <xdr:twoCellAnchor>
    <xdr:from>
      <xdr:col>14</xdr:col>
      <xdr:colOff>59267</xdr:colOff>
      <xdr:row>51</xdr:row>
      <xdr:rowOff>93133</xdr:rowOff>
    </xdr:from>
    <xdr:to>
      <xdr:col>22</xdr:col>
      <xdr:colOff>750416</xdr:colOff>
      <xdr:row>51</xdr:row>
      <xdr:rowOff>93133</xdr:rowOff>
    </xdr:to>
    <xdr:cxnSp macro="">
      <xdr:nvCxnSpPr>
        <xdr:cNvPr id="4" name="Connecteur droit avec flèche 3"/>
        <xdr:cNvCxnSpPr/>
      </xdr:nvCxnSpPr>
      <xdr:spPr>
        <a:xfrm>
          <a:off x="13394267" y="9194800"/>
          <a:ext cx="7058082" cy="0"/>
        </a:xfrm>
        <a:prstGeom prst="straightConnector1">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33867</xdr:colOff>
      <xdr:row>65</xdr:row>
      <xdr:rowOff>33866</xdr:rowOff>
    </xdr:from>
    <xdr:to>
      <xdr:col>24</xdr:col>
      <xdr:colOff>245533</xdr:colOff>
      <xdr:row>70</xdr:row>
      <xdr:rowOff>93135</xdr:rowOff>
    </xdr:to>
    <xdr:cxnSp macro="">
      <xdr:nvCxnSpPr>
        <xdr:cNvPr id="9" name="Connecteur en angle 8"/>
        <xdr:cNvCxnSpPr/>
      </xdr:nvCxnSpPr>
      <xdr:spPr>
        <a:xfrm flipV="1">
          <a:off x="11573934" y="11065933"/>
          <a:ext cx="6460066" cy="914402"/>
        </a:xfrm>
        <a:prstGeom prst="bentConnector3">
          <a:avLst>
            <a:gd name="adj1" fmla="val 100066"/>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81678</xdr:colOff>
      <xdr:row>43</xdr:row>
      <xdr:rowOff>89647</xdr:rowOff>
    </xdr:from>
    <xdr:to>
      <xdr:col>22</xdr:col>
      <xdr:colOff>753036</xdr:colOff>
      <xdr:row>43</xdr:row>
      <xdr:rowOff>89647</xdr:rowOff>
    </xdr:to>
    <xdr:cxnSp macro="">
      <xdr:nvCxnSpPr>
        <xdr:cNvPr id="5" name="Connecteur droit avec flèche 4"/>
        <xdr:cNvCxnSpPr/>
      </xdr:nvCxnSpPr>
      <xdr:spPr>
        <a:xfrm flipV="1">
          <a:off x="14227984" y="7888941"/>
          <a:ext cx="4615828" cy="0"/>
        </a:xfrm>
        <a:prstGeom prst="straightConnector1">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7.xml><?xml version="1.0" encoding="utf-8"?>
<xdr:wsDr xmlns:xdr="http://schemas.openxmlformats.org/drawingml/2006/spreadsheetDrawing" xmlns:a="http://schemas.openxmlformats.org/drawingml/2006/main">
  <xdr:twoCellAnchor>
    <xdr:from>
      <xdr:col>170</xdr:col>
      <xdr:colOff>0</xdr:colOff>
      <xdr:row>1</xdr:row>
      <xdr:rowOff>123825</xdr:rowOff>
    </xdr:from>
    <xdr:to>
      <xdr:col>185</xdr:col>
      <xdr:colOff>66675</xdr:colOff>
      <xdr:row>27</xdr:row>
      <xdr:rowOff>38101</xdr:rowOff>
    </xdr:to>
    <xdr:cxnSp macro="">
      <xdr:nvCxnSpPr>
        <xdr:cNvPr id="3" name="Connecteur droit 2"/>
        <xdr:cNvCxnSpPr/>
      </xdr:nvCxnSpPr>
      <xdr:spPr>
        <a:xfrm flipV="1">
          <a:off x="132845175" y="295275"/>
          <a:ext cx="11782425" cy="4371976"/>
        </a:xfrm>
        <a:prstGeom prst="line">
          <a:avLst/>
        </a:prstGeom>
        <a:ln>
          <a:solidFill>
            <a:srgbClr val="FFC00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609600</xdr:colOff>
      <xdr:row>3</xdr:row>
      <xdr:rowOff>133350</xdr:rowOff>
    </xdr:from>
    <xdr:to>
      <xdr:col>151</xdr:col>
      <xdr:colOff>619125</xdr:colOff>
      <xdr:row>27</xdr:row>
      <xdr:rowOff>47625</xdr:rowOff>
    </xdr:to>
    <xdr:cxnSp macro="">
      <xdr:nvCxnSpPr>
        <xdr:cNvPr id="5" name="Connecteur droit 4"/>
        <xdr:cNvCxnSpPr/>
      </xdr:nvCxnSpPr>
      <xdr:spPr>
        <a:xfrm flipV="1">
          <a:off x="94402275" y="647700"/>
          <a:ext cx="11725275" cy="4029075"/>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714375</xdr:colOff>
      <xdr:row>3</xdr:row>
      <xdr:rowOff>123825</xdr:rowOff>
    </xdr:from>
    <xdr:to>
      <xdr:col>54</xdr:col>
      <xdr:colOff>723900</xdr:colOff>
      <xdr:row>27</xdr:row>
      <xdr:rowOff>38100</xdr:rowOff>
    </xdr:to>
    <xdr:cxnSp macro="">
      <xdr:nvCxnSpPr>
        <xdr:cNvPr id="4" name="Connecteur droit 3"/>
        <xdr:cNvCxnSpPr/>
      </xdr:nvCxnSpPr>
      <xdr:spPr>
        <a:xfrm flipV="1">
          <a:off x="31242000" y="638175"/>
          <a:ext cx="11725275" cy="4029075"/>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c:userShapes xmlns:c="http://schemas.openxmlformats.org/drawingml/2006/chart">
  <cdr:relSizeAnchor xmlns:cdr="http://schemas.openxmlformats.org/drawingml/2006/chartDrawing">
    <cdr:from>
      <cdr:x>0.05696</cdr:x>
      <cdr:y>0.03787</cdr:y>
    </cdr:from>
    <cdr:to>
      <cdr:x>0.31899</cdr:x>
      <cdr:y>0.90869</cdr:y>
    </cdr:to>
    <cdr:sp macro="" textlink="">
      <cdr:nvSpPr>
        <cdr:cNvPr id="4" name="Rectangle 3"/>
        <cdr:cNvSpPr/>
      </cdr:nvSpPr>
      <cdr:spPr>
        <a:xfrm xmlns:a="http://schemas.openxmlformats.org/drawingml/2006/main">
          <a:off x="387738" y="143964"/>
          <a:ext cx="1783690" cy="3310453"/>
        </a:xfrm>
        <a:prstGeom xmlns:a="http://schemas.openxmlformats.org/drawingml/2006/main" prst="rect">
          <a:avLst/>
        </a:prstGeom>
        <a:solidFill xmlns:a="http://schemas.openxmlformats.org/drawingml/2006/main">
          <a:srgbClr val="EEECE1">
            <a:alpha val="38824"/>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0.6845</cdr:x>
      <cdr:y>0.03786</cdr:y>
    </cdr:from>
    <cdr:to>
      <cdr:x>0.94652</cdr:x>
      <cdr:y>0.90869</cdr:y>
    </cdr:to>
    <cdr:sp macro="" textlink="">
      <cdr:nvSpPr>
        <cdr:cNvPr id="5" name="Rectangle 4"/>
        <cdr:cNvSpPr/>
      </cdr:nvSpPr>
      <cdr:spPr>
        <a:xfrm xmlns:a="http://schemas.openxmlformats.org/drawingml/2006/main">
          <a:off x="4659510" y="143926"/>
          <a:ext cx="1783623" cy="3310491"/>
        </a:xfrm>
        <a:prstGeom xmlns:a="http://schemas.openxmlformats.org/drawingml/2006/main" prst="rect">
          <a:avLst/>
        </a:prstGeom>
        <a:solidFill xmlns:a="http://schemas.openxmlformats.org/drawingml/2006/main">
          <a:srgbClr val="EEECE1">
            <a:alpha val="38824"/>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0.59367</cdr:x>
      <cdr:y>0.03786</cdr:y>
    </cdr:from>
    <cdr:to>
      <cdr:x>0.68481</cdr:x>
      <cdr:y>0.90869</cdr:y>
    </cdr:to>
    <cdr:sp macro="" textlink="">
      <cdr:nvSpPr>
        <cdr:cNvPr id="7" name="Rectangle 6"/>
        <cdr:cNvSpPr/>
      </cdr:nvSpPr>
      <cdr:spPr>
        <a:xfrm xmlns:a="http://schemas.openxmlformats.org/drawingml/2006/main">
          <a:off x="4041230" y="143926"/>
          <a:ext cx="620408" cy="3310491"/>
        </a:xfrm>
        <a:prstGeom xmlns:a="http://schemas.openxmlformats.org/drawingml/2006/main" prst="rect">
          <a:avLst/>
        </a:prstGeom>
        <a:solidFill xmlns:a="http://schemas.openxmlformats.org/drawingml/2006/main">
          <a:srgbClr val="EEECE1">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0.32025</cdr:x>
      <cdr:y>0.03787</cdr:y>
    </cdr:from>
    <cdr:to>
      <cdr:x>0.41139</cdr:x>
      <cdr:y>0.90869</cdr:y>
    </cdr:to>
    <cdr:sp macro="" textlink="">
      <cdr:nvSpPr>
        <cdr:cNvPr id="6" name="Rectangle 5"/>
        <cdr:cNvSpPr/>
      </cdr:nvSpPr>
      <cdr:spPr>
        <a:xfrm xmlns:a="http://schemas.openxmlformats.org/drawingml/2006/main">
          <a:off x="2142035" y="143964"/>
          <a:ext cx="609605" cy="3310452"/>
        </a:xfrm>
        <a:prstGeom xmlns:a="http://schemas.openxmlformats.org/drawingml/2006/main" prst="rect">
          <a:avLst/>
        </a:prstGeom>
        <a:solidFill xmlns:a="http://schemas.openxmlformats.org/drawingml/2006/main">
          <a:srgbClr val="EEECE1">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EV/Ebitda</a:t>
          </a:r>
        </a:p>
      </cdr:txBody>
    </cdr:sp>
  </cdr:relSizeAnchor>
  <cdr:relSizeAnchor xmlns:cdr="http://schemas.openxmlformats.org/drawingml/2006/chartDrawing">
    <cdr:from>
      <cdr:x>0.79458</cdr:x>
      <cdr:y>0.82406</cdr:y>
    </cdr:from>
    <cdr:to>
      <cdr:x>0.95823</cdr:x>
      <cdr:y>0.89533</cdr:y>
    </cdr:to>
    <cdr:sp macro="" textlink="">
      <cdr:nvSpPr>
        <cdr:cNvPr id="3" name="ZoneTexte 2"/>
        <cdr:cNvSpPr txBox="1"/>
      </cdr:nvSpPr>
      <cdr:spPr>
        <a:xfrm xmlns:a="http://schemas.openxmlformats.org/drawingml/2006/main">
          <a:off x="5314708" y="3132676"/>
          <a:ext cx="1094557"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0.06452</cdr:x>
      <cdr:y>0.12472</cdr:y>
    </cdr:from>
    <cdr:to>
      <cdr:x>0.18857</cdr:x>
      <cdr:y>0.25389</cdr:y>
    </cdr:to>
    <cdr:sp macro="" textlink="">
      <cdr:nvSpPr>
        <cdr:cNvPr id="9" name="Rectangle à coins arrondis 8"/>
        <cdr:cNvSpPr/>
      </cdr:nvSpPr>
      <cdr:spPr>
        <a:xfrm xmlns:a="http://schemas.openxmlformats.org/drawingml/2006/main">
          <a:off x="439184" y="474144"/>
          <a:ext cx="844433" cy="491044"/>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0.3342</cdr:x>
      <cdr:y>0.45212</cdr:y>
    </cdr:from>
    <cdr:to>
      <cdr:x>0.65825</cdr:x>
      <cdr:y>0.59911</cdr:y>
    </cdr:to>
    <cdr:sp macro="" textlink="">
      <cdr:nvSpPr>
        <cdr:cNvPr id="10" name="Rectangle à coins arrondis 9"/>
        <cdr:cNvSpPr/>
      </cdr:nvSpPr>
      <cdr:spPr>
        <a:xfrm xmlns:a="http://schemas.openxmlformats.org/drawingml/2006/main">
          <a:off x="2274940" y="1718750"/>
          <a:ext cx="2205873" cy="558784"/>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0.82552</cdr:x>
      <cdr:y>0.44766</cdr:y>
    </cdr:from>
    <cdr:to>
      <cdr:x>0.94957</cdr:x>
      <cdr:y>0.59242</cdr:y>
    </cdr:to>
    <cdr:sp macro="" textlink="">
      <cdr:nvSpPr>
        <cdr:cNvPr id="11" name="Rectangle à coins arrondis 10"/>
        <cdr:cNvSpPr/>
      </cdr:nvSpPr>
      <cdr:spPr>
        <a:xfrm xmlns:a="http://schemas.openxmlformats.org/drawingml/2006/main">
          <a:off x="5619451" y="1701811"/>
          <a:ext cx="844434" cy="550311"/>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0.30378</cdr:x>
      <cdr:y>0.24054</cdr:y>
    </cdr:from>
    <cdr:to>
      <cdr:x>0.75948</cdr:x>
      <cdr:y>0.43876</cdr:y>
    </cdr:to>
    <cdr:sp macro="" textlink="">
      <cdr:nvSpPr>
        <cdr:cNvPr id="12" name="Rectangle à coins arrondis 11"/>
        <cdr:cNvSpPr/>
      </cdr:nvSpPr>
      <cdr:spPr>
        <a:xfrm xmlns:a="http://schemas.openxmlformats.org/drawingml/2006/main" rot="21480000">
          <a:off x="2065291" y="914414"/>
          <a:ext cx="3098182" cy="753540"/>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0.0908</cdr:x>
      <cdr:y>0.25167</cdr:y>
    </cdr:from>
    <cdr:to>
      <cdr:x>0.83706</cdr:x>
      <cdr:y>0.48998</cdr:y>
    </cdr:to>
    <cdr:sp macro="" textlink="">
      <cdr:nvSpPr>
        <cdr:cNvPr id="14" name="Connecteur droit 13"/>
        <cdr:cNvSpPr/>
      </cdr:nvSpPr>
      <cdr:spPr>
        <a:xfrm xmlns:a="http://schemas.openxmlformats.org/drawingml/2006/main" flipV="1">
          <a:off x="618067" y="956733"/>
          <a:ext cx="5080000" cy="905934"/>
        </a:xfrm>
        <a:prstGeom xmlns:a="http://schemas.openxmlformats.org/drawingml/2006/main" prst="line">
          <a:avLst/>
        </a:prstGeom>
        <a:ln xmlns:a="http://schemas.openxmlformats.org/drawingml/2006/main">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0.44154</cdr:x>
      <cdr:y>0.4824</cdr:y>
    </cdr:from>
    <cdr:to>
      <cdr:x>0.8607</cdr:x>
      <cdr:y>0.49187</cdr:y>
    </cdr:to>
    <cdr:sp macro="" textlink="">
      <cdr:nvSpPr>
        <cdr:cNvPr id="17" name="Connecteur droit avec flèche 16"/>
        <cdr:cNvSpPr/>
      </cdr:nvSpPr>
      <cdr:spPr>
        <a:xfrm xmlns:a="http://schemas.openxmlformats.org/drawingml/2006/main" flipV="1">
          <a:off x="3005668" y="1833872"/>
          <a:ext cx="2853266" cy="36000"/>
        </a:xfrm>
        <a:prstGeom xmlns:a="http://schemas.openxmlformats.org/drawingml/2006/main" prst="straightConnector1">
          <a:avLst/>
        </a:prstGeom>
        <a:ln xmlns:a="http://schemas.openxmlformats.org/drawingml/2006/main">
          <a:solidFill>
            <a:sysClr val="windowText" lastClr="000000"/>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0.45522</cdr:x>
      <cdr:y>0.32739</cdr:y>
    </cdr:from>
    <cdr:to>
      <cdr:x>0.64937</cdr:x>
      <cdr:y>0.42316</cdr:y>
    </cdr:to>
    <cdr:sp macro="" textlink="">
      <cdr:nvSpPr>
        <cdr:cNvPr id="16" name="Rectangle à coins arrondis 15"/>
        <cdr:cNvSpPr/>
      </cdr:nvSpPr>
      <cdr:spPr>
        <a:xfrm xmlns:a="http://schemas.openxmlformats.org/drawingml/2006/main">
          <a:off x="3098800" y="1244585"/>
          <a:ext cx="1321591" cy="364073"/>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xml><?xml version="1.0" encoding="utf-8"?>
<c:userShapes xmlns:c="http://schemas.openxmlformats.org/drawingml/2006/chart">
  <cdr:relSizeAnchor xmlns:cdr="http://schemas.openxmlformats.org/drawingml/2006/chartDrawing">
    <cdr:from>
      <cdr:x>0.32038</cdr:x>
      <cdr:y>0.04148</cdr:y>
    </cdr:from>
    <cdr:to>
      <cdr:x>0.41152</cdr:x>
      <cdr:y>0.90829</cdr:y>
    </cdr:to>
    <cdr:sp macro="" textlink="">
      <cdr:nvSpPr>
        <cdr:cNvPr id="6" name="Rectangle 5"/>
        <cdr:cNvSpPr/>
      </cdr:nvSpPr>
      <cdr:spPr>
        <a:xfrm xmlns:a="http://schemas.openxmlformats.org/drawingml/2006/main">
          <a:off x="2159203" y="160862"/>
          <a:ext cx="614235" cy="3361258"/>
        </a:xfrm>
        <a:prstGeom xmlns:a="http://schemas.openxmlformats.org/drawingml/2006/main" prst="rect">
          <a:avLst/>
        </a:prstGeom>
        <a:solidFill xmlns:a="http://schemas.openxmlformats.org/drawingml/2006/main">
          <a:srgbClr val="EEECE1">
            <a:alpha val="14902"/>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0.06089</cdr:x>
      <cdr:y>0.04148</cdr:y>
    </cdr:from>
    <cdr:to>
      <cdr:x>0.32292</cdr:x>
      <cdr:y>0.90829</cdr:y>
    </cdr:to>
    <cdr:sp macro="" textlink="">
      <cdr:nvSpPr>
        <cdr:cNvPr id="4" name="Rectangle 3"/>
        <cdr:cNvSpPr/>
      </cdr:nvSpPr>
      <cdr:spPr>
        <a:xfrm xmlns:a="http://schemas.openxmlformats.org/drawingml/2006/main">
          <a:off x="407273" y="160848"/>
          <a:ext cx="1752631" cy="3361259"/>
        </a:xfrm>
        <a:prstGeom xmlns:a="http://schemas.openxmlformats.org/drawingml/2006/main" prst="rect">
          <a:avLst/>
        </a:prstGeom>
        <a:solidFill xmlns:a="http://schemas.openxmlformats.org/drawingml/2006/main">
          <a:srgbClr val="EEECE1">
            <a:alpha val="38824"/>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0.59972</cdr:x>
      <cdr:y>0.0393</cdr:y>
    </cdr:from>
    <cdr:to>
      <cdr:x>0.68778</cdr:x>
      <cdr:y>0.90611</cdr:y>
    </cdr:to>
    <cdr:sp macro="" textlink="">
      <cdr:nvSpPr>
        <cdr:cNvPr id="7" name="Rectangle 6"/>
        <cdr:cNvSpPr/>
      </cdr:nvSpPr>
      <cdr:spPr>
        <a:xfrm xmlns:a="http://schemas.openxmlformats.org/drawingml/2006/main">
          <a:off x="4041792" y="152395"/>
          <a:ext cx="593477" cy="3361258"/>
        </a:xfrm>
        <a:prstGeom xmlns:a="http://schemas.openxmlformats.org/drawingml/2006/main" prst="rect">
          <a:avLst/>
        </a:prstGeom>
        <a:solidFill xmlns:a="http://schemas.openxmlformats.org/drawingml/2006/main">
          <a:srgbClr val="EEECE1">
            <a:alpha val="14902"/>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0.68608</cdr:x>
      <cdr:y>0.0393</cdr:y>
    </cdr:from>
    <cdr:to>
      <cdr:x>0.9481</cdr:x>
      <cdr:y>0.90611</cdr:y>
    </cdr:to>
    <cdr:sp macro="" textlink="">
      <cdr:nvSpPr>
        <cdr:cNvPr id="5" name="Rectangle 4"/>
        <cdr:cNvSpPr/>
      </cdr:nvSpPr>
      <cdr:spPr>
        <a:xfrm xmlns:a="http://schemas.openxmlformats.org/drawingml/2006/main">
          <a:off x="4574582" y="149251"/>
          <a:ext cx="1747120" cy="3291761"/>
        </a:xfrm>
        <a:prstGeom xmlns:a="http://schemas.openxmlformats.org/drawingml/2006/main" prst="rect">
          <a:avLst/>
        </a:prstGeom>
        <a:solidFill xmlns:a="http://schemas.openxmlformats.org/drawingml/2006/main">
          <a:srgbClr val="EEECE1">
            <a:alpha val="38824"/>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EV/Ebitda</a:t>
          </a:r>
        </a:p>
      </cdr:txBody>
    </cdr:sp>
  </cdr:relSizeAnchor>
  <cdr:relSizeAnchor xmlns:cdr="http://schemas.openxmlformats.org/drawingml/2006/chartDrawing">
    <cdr:from>
      <cdr:x>0.79458</cdr:x>
      <cdr:y>0.82406</cdr:y>
    </cdr:from>
    <cdr:to>
      <cdr:x>0.95823</cdr:x>
      <cdr:y>0.89533</cdr:y>
    </cdr:to>
    <cdr:sp macro="" textlink="">
      <cdr:nvSpPr>
        <cdr:cNvPr id="3" name="ZoneTexte 2"/>
        <cdr:cNvSpPr txBox="1"/>
      </cdr:nvSpPr>
      <cdr:spPr>
        <a:xfrm xmlns:a="http://schemas.openxmlformats.org/drawingml/2006/main">
          <a:off x="5314708" y="3132676"/>
          <a:ext cx="1094557"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0.09293</cdr:x>
      <cdr:y>0.23303</cdr:y>
    </cdr:from>
    <cdr:to>
      <cdr:x>0.81408</cdr:x>
      <cdr:y>0.45633</cdr:y>
    </cdr:to>
    <cdr:sp macro="" textlink="">
      <cdr:nvSpPr>
        <cdr:cNvPr id="9" name="Connecteur droit 8"/>
        <cdr:cNvSpPr/>
      </cdr:nvSpPr>
      <cdr:spPr>
        <a:xfrm xmlns:a="http://schemas.openxmlformats.org/drawingml/2006/main" flipV="1">
          <a:off x="592444" y="872066"/>
          <a:ext cx="4597622" cy="835636"/>
        </a:xfrm>
        <a:prstGeom xmlns:a="http://schemas.openxmlformats.org/drawingml/2006/main" prst="line">
          <a:avLst/>
        </a:prstGeom>
        <a:noFill xmlns:a="http://schemas.openxmlformats.org/drawingml/2006/main"/>
        <a:ln xmlns:a="http://schemas.openxmlformats.org/drawingml/2006/main" w="9525" cap="flat" cmpd="sng" algn="ctr">
          <a:solidFill>
            <a:srgbClr val="EEECE1">
              <a:lumMod val="50000"/>
            </a:srgbClr>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0.29585</cdr:x>
      <cdr:y>0.49237</cdr:y>
    </cdr:from>
    <cdr:to>
      <cdr:x>0.64533</cdr:x>
      <cdr:y>0.66169</cdr:y>
    </cdr:to>
    <cdr:sp macro="" textlink="">
      <cdr:nvSpPr>
        <cdr:cNvPr id="10" name="Rectangle à coins arrondis 9"/>
        <cdr:cNvSpPr/>
      </cdr:nvSpPr>
      <cdr:spPr>
        <a:xfrm xmlns:a="http://schemas.openxmlformats.org/drawingml/2006/main" rot="21337681">
          <a:off x="1886171" y="1842593"/>
          <a:ext cx="2228058" cy="633632"/>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0.81655</cdr:x>
      <cdr:y>0.5786</cdr:y>
    </cdr:from>
    <cdr:to>
      <cdr:x>0.96354</cdr:x>
      <cdr:y>0.64629</cdr:y>
    </cdr:to>
    <cdr:sp macro="" textlink="">
      <cdr:nvSpPr>
        <cdr:cNvPr id="11" name="Rectangle à coins arrondis 10"/>
        <cdr:cNvSpPr/>
      </cdr:nvSpPr>
      <cdr:spPr>
        <a:xfrm xmlns:a="http://schemas.openxmlformats.org/drawingml/2006/main">
          <a:off x="5461646" y="2243675"/>
          <a:ext cx="983167" cy="262483"/>
        </a:xfrm>
        <a:prstGeom xmlns:a="http://schemas.openxmlformats.org/drawingml/2006/main" prst="roundRect">
          <a:avLst/>
        </a:prstGeom>
        <a:noFill xmlns:a="http://schemas.openxmlformats.org/drawingml/2006/main"/>
        <a:ln xmlns:a="http://schemas.openxmlformats.org/drawingml/2006/main" w="9525" cap="flat" cmpd="sng" algn="ctr">
          <a:solidFill>
            <a:schemeClr val="bg2">
              <a:lumMod val="50000"/>
            </a:scheme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0.13743</cdr:x>
      <cdr:y>0.13894</cdr:y>
    </cdr:from>
    <cdr:to>
      <cdr:x>0.38707</cdr:x>
      <cdr:y>0.20662</cdr:y>
    </cdr:to>
    <cdr:sp macro="" textlink="">
      <cdr:nvSpPr>
        <cdr:cNvPr id="12" name="Rectangle à coins arrondis 11"/>
        <cdr:cNvSpPr/>
      </cdr:nvSpPr>
      <cdr:spPr>
        <a:xfrm xmlns:a="http://schemas.openxmlformats.org/drawingml/2006/main" rot="21396245">
          <a:off x="876167" y="519968"/>
          <a:ext cx="1591554" cy="253276"/>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0.41454</cdr:x>
      <cdr:y>0.54586</cdr:y>
    </cdr:from>
    <cdr:to>
      <cdr:x>0.8668</cdr:x>
      <cdr:y>0.61572</cdr:y>
    </cdr:to>
    <cdr:sp macro="" textlink="">
      <cdr:nvSpPr>
        <cdr:cNvPr id="14" name="Connecteur droit avec flèche 13"/>
        <cdr:cNvSpPr/>
      </cdr:nvSpPr>
      <cdr:spPr>
        <a:xfrm xmlns:a="http://schemas.openxmlformats.org/drawingml/2006/main">
          <a:off x="2772736" y="2116691"/>
          <a:ext cx="3025016" cy="270899"/>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headEnd type="none" w="med" len="med"/>
          <a:tailEnd type="triangle" w="med" len="me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0.27513</cdr:x>
      <cdr:y>0.27828</cdr:y>
    </cdr:from>
    <cdr:to>
      <cdr:x>0.75879</cdr:x>
      <cdr:y>0.49057</cdr:y>
    </cdr:to>
    <cdr:sp macro="" textlink="">
      <cdr:nvSpPr>
        <cdr:cNvPr id="15" name="Rectangle à coins arrondis 14"/>
        <cdr:cNvSpPr/>
      </cdr:nvSpPr>
      <cdr:spPr>
        <a:xfrm xmlns:a="http://schemas.openxmlformats.org/drawingml/2006/main">
          <a:off x="1798323" y="998991"/>
          <a:ext cx="3161330" cy="762077"/>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0.04684</cdr:x>
      <cdr:y>0.0354</cdr:y>
    </cdr:from>
    <cdr:to>
      <cdr:x>0.30886</cdr:x>
      <cdr:y>0.9085</cdr:y>
    </cdr:to>
    <cdr:sp macro="" textlink="">
      <cdr:nvSpPr>
        <cdr:cNvPr id="4" name="Rectangle 3"/>
        <cdr:cNvSpPr/>
      </cdr:nvSpPr>
      <cdr:spPr>
        <a:xfrm xmlns:a="http://schemas.openxmlformats.org/drawingml/2006/main">
          <a:off x="313276" y="135473"/>
          <a:ext cx="1752564" cy="3341296"/>
        </a:xfrm>
        <a:prstGeom xmlns:a="http://schemas.openxmlformats.org/drawingml/2006/main" prst="rect">
          <a:avLst/>
        </a:prstGeom>
        <a:solidFill xmlns:a="http://schemas.openxmlformats.org/drawingml/2006/main">
          <a:srgbClr val="EEECE1">
            <a:alpha val="38824"/>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0.68734</cdr:x>
      <cdr:y>0.0354</cdr:y>
    </cdr:from>
    <cdr:to>
      <cdr:x>0.94937</cdr:x>
      <cdr:y>0.9085</cdr:y>
    </cdr:to>
    <cdr:sp macro="" textlink="">
      <cdr:nvSpPr>
        <cdr:cNvPr id="5" name="Rectangle 4"/>
        <cdr:cNvSpPr/>
      </cdr:nvSpPr>
      <cdr:spPr>
        <a:xfrm xmlns:a="http://schemas.openxmlformats.org/drawingml/2006/main">
          <a:off x="4597387" y="135473"/>
          <a:ext cx="1752631" cy="3341296"/>
        </a:xfrm>
        <a:prstGeom xmlns:a="http://schemas.openxmlformats.org/drawingml/2006/main" prst="rect">
          <a:avLst/>
        </a:prstGeom>
        <a:solidFill xmlns:a="http://schemas.openxmlformats.org/drawingml/2006/main">
          <a:srgbClr val="EEECE1">
            <a:alpha val="38824"/>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0.30633</cdr:x>
      <cdr:y>0.0354</cdr:y>
    </cdr:from>
    <cdr:to>
      <cdr:x>0.39747</cdr:x>
      <cdr:y>0.9085</cdr:y>
    </cdr:to>
    <cdr:sp macro="" textlink="">
      <cdr:nvSpPr>
        <cdr:cNvPr id="6" name="Rectangle 5"/>
        <cdr:cNvSpPr/>
      </cdr:nvSpPr>
      <cdr:spPr>
        <a:xfrm xmlns:a="http://schemas.openxmlformats.org/drawingml/2006/main">
          <a:off x="2048917" y="135473"/>
          <a:ext cx="609605" cy="3341296"/>
        </a:xfrm>
        <a:prstGeom xmlns:a="http://schemas.openxmlformats.org/drawingml/2006/main" prst="rect">
          <a:avLst/>
        </a:prstGeom>
        <a:solidFill xmlns:a="http://schemas.openxmlformats.org/drawingml/2006/main">
          <a:srgbClr val="EEECE1">
            <a:alpha val="14902"/>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0.59494</cdr:x>
      <cdr:y>0.0354</cdr:y>
    </cdr:from>
    <cdr:to>
      <cdr:x>0.68608</cdr:x>
      <cdr:y>0.9085</cdr:y>
    </cdr:to>
    <cdr:sp macro="" textlink="">
      <cdr:nvSpPr>
        <cdr:cNvPr id="7" name="Rectangle 6"/>
        <cdr:cNvSpPr/>
      </cdr:nvSpPr>
      <cdr:spPr>
        <a:xfrm xmlns:a="http://schemas.openxmlformats.org/drawingml/2006/main">
          <a:off x="3979354" y="135473"/>
          <a:ext cx="609605" cy="3341296"/>
        </a:xfrm>
        <a:prstGeom xmlns:a="http://schemas.openxmlformats.org/drawingml/2006/main" prst="rect">
          <a:avLst/>
        </a:prstGeom>
        <a:solidFill xmlns:a="http://schemas.openxmlformats.org/drawingml/2006/main">
          <a:srgbClr val="EEECE1">
            <a:alpha val="14902"/>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EV/Ebitda</a:t>
          </a:r>
        </a:p>
      </cdr:txBody>
    </cdr:sp>
  </cdr:relSizeAnchor>
  <cdr:relSizeAnchor xmlns:cdr="http://schemas.openxmlformats.org/drawingml/2006/chartDrawing">
    <cdr:from>
      <cdr:x>0.79458</cdr:x>
      <cdr:y>0.82406</cdr:y>
    </cdr:from>
    <cdr:to>
      <cdr:x>0.95823</cdr:x>
      <cdr:y>0.89533</cdr:y>
    </cdr:to>
    <cdr:sp macro="" textlink="">
      <cdr:nvSpPr>
        <cdr:cNvPr id="3" name="ZoneTexte 2"/>
        <cdr:cNvSpPr txBox="1"/>
      </cdr:nvSpPr>
      <cdr:spPr>
        <a:xfrm xmlns:a="http://schemas.openxmlformats.org/drawingml/2006/main">
          <a:off x="5314708" y="3132676"/>
          <a:ext cx="1094557"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200">
              <a:latin typeface="Arial" pitchFamily="34" charset="0"/>
              <a:cs typeface="Arial" pitchFamily="34" charset="0"/>
            </a:rPr>
            <a:t>% Mobile</a:t>
          </a:r>
        </a:p>
      </cdr:txBody>
    </cdr:sp>
  </cdr:relSizeAnchor>
  <cdr:relSizeAnchor xmlns:cdr="http://schemas.openxmlformats.org/drawingml/2006/chartDrawing">
    <cdr:from>
      <cdr:x>0.08228</cdr:x>
      <cdr:y>0.18584</cdr:y>
    </cdr:from>
    <cdr:to>
      <cdr:x>0.85443</cdr:x>
      <cdr:y>0.36726</cdr:y>
    </cdr:to>
    <cdr:sp macro="" textlink="">
      <cdr:nvSpPr>
        <cdr:cNvPr id="9" name="Connecteur droit 8"/>
        <cdr:cNvSpPr/>
      </cdr:nvSpPr>
      <cdr:spPr>
        <a:xfrm xmlns:a="http://schemas.openxmlformats.org/drawingml/2006/main" flipV="1">
          <a:off x="550335" y="711200"/>
          <a:ext cx="5164666" cy="694267"/>
        </a:xfrm>
        <a:prstGeom xmlns:a="http://schemas.openxmlformats.org/drawingml/2006/main" prst="line">
          <a:avLst/>
        </a:prstGeom>
        <a:noFill xmlns:a="http://schemas.openxmlformats.org/drawingml/2006/main"/>
        <a:ln xmlns:a="http://schemas.openxmlformats.org/drawingml/2006/main" w="9525" cap="flat" cmpd="sng" algn="ctr">
          <a:solidFill>
            <a:srgbClr val="EEECE1">
              <a:lumMod val="50000"/>
            </a:srgbClr>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0.33283</cdr:x>
      <cdr:y>0.32259</cdr:y>
    </cdr:from>
    <cdr:to>
      <cdr:x>0.64347</cdr:x>
      <cdr:y>0.53702</cdr:y>
    </cdr:to>
    <cdr:sp macro="" textlink="">
      <cdr:nvSpPr>
        <cdr:cNvPr id="10" name="Rectangle à coins arrondis 9"/>
        <cdr:cNvSpPr/>
      </cdr:nvSpPr>
      <cdr:spPr>
        <a:xfrm xmlns:a="http://schemas.openxmlformats.org/drawingml/2006/main" rot="21307703">
          <a:off x="2226174" y="1234536"/>
          <a:ext cx="2077795" cy="820610"/>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0.4519</cdr:x>
      <cdr:y>0.36947</cdr:y>
    </cdr:from>
    <cdr:to>
      <cdr:x>0.85063</cdr:x>
      <cdr:y>0.47345</cdr:y>
    </cdr:to>
    <cdr:sp macro="" textlink="">
      <cdr:nvSpPr>
        <cdr:cNvPr id="11" name="Connecteur droit avec flèche 10"/>
        <cdr:cNvSpPr/>
      </cdr:nvSpPr>
      <cdr:spPr>
        <a:xfrm xmlns:a="http://schemas.openxmlformats.org/drawingml/2006/main" flipV="1">
          <a:off x="3022608" y="1413933"/>
          <a:ext cx="2666992" cy="397928"/>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headEnd type="none" w="med" len="med"/>
          <a:tailEnd type="triangle" w="med" len="me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0.29328</cdr:x>
      <cdr:y>0.11316</cdr:y>
    </cdr:from>
    <cdr:to>
      <cdr:x>0.72459</cdr:x>
      <cdr:y>0.40152</cdr:y>
    </cdr:to>
    <cdr:sp macro="" textlink="">
      <cdr:nvSpPr>
        <cdr:cNvPr id="12" name="Rectangle à coins arrondis 11"/>
        <cdr:cNvSpPr/>
      </cdr:nvSpPr>
      <cdr:spPr>
        <a:xfrm xmlns:a="http://schemas.openxmlformats.org/drawingml/2006/main" rot="491642">
          <a:off x="1961656" y="433070"/>
          <a:ext cx="2884889" cy="1103532"/>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0.53456</cdr:x>
      <cdr:y>0.03815</cdr:y>
    </cdr:from>
    <cdr:to>
      <cdr:x>0.71582</cdr:x>
      <cdr:y>0.82073</cdr:y>
    </cdr:to>
    <cdr:sp macro="" textlink="">
      <cdr:nvSpPr>
        <cdr:cNvPr id="2" name="Rectangle 1"/>
        <cdr:cNvSpPr/>
      </cdr:nvSpPr>
      <cdr:spPr>
        <a:xfrm xmlns:a="http://schemas.openxmlformats.org/drawingml/2006/main">
          <a:off x="3564793" y="147404"/>
          <a:ext cx="1208752" cy="3024000"/>
        </a:xfrm>
        <a:prstGeom xmlns:a="http://schemas.openxmlformats.org/drawingml/2006/main" prst="rect">
          <a:avLst/>
        </a:prstGeom>
        <a:solidFill xmlns:a="http://schemas.openxmlformats.org/drawingml/2006/main">
          <a:srgbClr val="F2F2F2">
            <a:alpha val="47843"/>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0.84025</cdr:x>
      <cdr:y>0.03815</cdr:y>
    </cdr:from>
    <cdr:to>
      <cdr:x>0.94931</cdr:x>
      <cdr:y>0.82073</cdr:y>
    </cdr:to>
    <cdr:sp macro="" textlink="">
      <cdr:nvSpPr>
        <cdr:cNvPr id="3" name="Rectangle 2"/>
        <cdr:cNvSpPr/>
      </cdr:nvSpPr>
      <cdr:spPr>
        <a:xfrm xmlns:a="http://schemas.openxmlformats.org/drawingml/2006/main">
          <a:off x="5603282" y="147404"/>
          <a:ext cx="727300" cy="3024000"/>
        </a:xfrm>
        <a:prstGeom xmlns:a="http://schemas.openxmlformats.org/drawingml/2006/main" prst="rect">
          <a:avLst/>
        </a:prstGeom>
        <a:solidFill xmlns:a="http://schemas.openxmlformats.org/drawingml/2006/main">
          <a:srgbClr val="F2F2F2">
            <a:alpha val="47843"/>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0.52842</cdr:x>
      <cdr:y>0.05047</cdr:y>
    </cdr:from>
    <cdr:to>
      <cdr:x>0.71889</cdr:x>
      <cdr:y>0.14039</cdr:y>
    </cdr:to>
    <cdr:sp macro="" textlink="">
      <cdr:nvSpPr>
        <cdr:cNvPr id="4" name="ZoneTexte 3"/>
        <cdr:cNvSpPr txBox="1"/>
      </cdr:nvSpPr>
      <cdr:spPr>
        <a:xfrm xmlns:a="http://schemas.openxmlformats.org/drawingml/2006/main">
          <a:off x="3523817" y="195030"/>
          <a:ext cx="1270215" cy="3474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a:solidFill>
                <a:schemeClr val="bg1">
                  <a:lumMod val="50000"/>
                </a:schemeClr>
              </a:solidFill>
              <a:latin typeface="Arial" pitchFamily="34" charset="0"/>
              <a:cs typeface="Arial" pitchFamily="34" charset="0"/>
            </a:rPr>
            <a:t>N/a</a:t>
          </a:r>
          <a:r>
            <a:rPr lang="fr-FR" sz="1100" baseline="0">
              <a:solidFill>
                <a:schemeClr val="bg1">
                  <a:lumMod val="50000"/>
                </a:schemeClr>
              </a:solidFill>
              <a:latin typeface="Arial" pitchFamily="34" charset="0"/>
              <a:cs typeface="Arial" pitchFamily="34" charset="0"/>
            </a:rPr>
            <a:t> (interpolation)</a:t>
          </a:r>
          <a:endParaRPr lang="fr-FR" sz="110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0.85561</cdr:x>
      <cdr:y>0.05047</cdr:y>
    </cdr:from>
    <cdr:to>
      <cdr:x>0.94009</cdr:x>
      <cdr:y>0.13222</cdr:y>
    </cdr:to>
    <cdr:sp macro="" textlink="">
      <cdr:nvSpPr>
        <cdr:cNvPr id="5" name="ZoneTexte 1"/>
        <cdr:cNvSpPr txBox="1"/>
      </cdr:nvSpPr>
      <cdr:spPr>
        <a:xfrm xmlns:a="http://schemas.openxmlformats.org/drawingml/2006/main">
          <a:off x="5705721" y="195030"/>
          <a:ext cx="563399" cy="31586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aseline="0">
              <a:solidFill>
                <a:schemeClr val="bg1">
                  <a:lumMod val="50000"/>
                </a:schemeClr>
              </a:solidFill>
              <a:latin typeface="Arial" pitchFamily="34" charset="0"/>
              <a:cs typeface="Arial" pitchFamily="34" charset="0"/>
            </a:rPr>
            <a:t>Idem</a:t>
          </a:r>
          <a:endParaRPr lang="fr-FR" sz="110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0.04571</cdr:x>
      <cdr:y>0.05177</cdr:y>
    </cdr:from>
    <cdr:to>
      <cdr:x>0.34294</cdr:x>
      <cdr:y>0.13064</cdr:y>
    </cdr:to>
    <cdr:sp macro="" textlink="">
      <cdr:nvSpPr>
        <cdr:cNvPr id="6" name="ZoneTexte 5"/>
        <cdr:cNvSpPr txBox="1"/>
      </cdr:nvSpPr>
      <cdr:spPr>
        <a:xfrm xmlns:a="http://schemas.openxmlformats.org/drawingml/2006/main">
          <a:off x="268586" y="190324"/>
          <a:ext cx="1746480" cy="2899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EV/Ebitda (not OL-adj.)</a:t>
          </a:r>
        </a:p>
      </cdr:txBody>
    </cdr:sp>
  </cdr:relSizeAnchor>
</c:userShape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1.bin"/><Relationship Id="rId1" Type="http://schemas.openxmlformats.org/officeDocument/2006/relationships/hyperlink" Target="https://www.fitchratings.com/creditdesk/reports/report_frame.cfm?rpt_id=462222"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7.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brattle.com/system/publications/pdfs/000/004/822/original/The_WACC_for_mobile__fixed-line_and_cable_termination_rates_Harris_Stirzaker_Fischietti_Mar_15_2012.pdf?1378772132" TargetMode="External"/><Relationship Id="rId7" Type="http://schemas.openxmlformats.org/officeDocument/2006/relationships/printerSettings" Target="../printerSettings/printerSettings2.bin"/><Relationship Id="rId2" Type="http://schemas.openxmlformats.org/officeDocument/2006/relationships/hyperlink" Target="http://pages.stern.nyu.edu/~adamodar/New_Home_Page/AccPrimer/lease.htm" TargetMode="External"/><Relationship Id="rId1" Type="http://schemas.openxmlformats.org/officeDocument/2006/relationships/hyperlink" Target="http://www.stern.nyu.edu/~adamodar/pc/datasets/betaEurope.xls" TargetMode="External"/><Relationship Id="rId6" Type="http://schemas.openxmlformats.org/officeDocument/2006/relationships/hyperlink" Target="http://pages.stern.nyu.edu/~adamodar/New_Home_Page/valquestions/mktvalofdebt.htm" TargetMode="External"/><Relationship Id="rId5" Type="http://schemas.openxmlformats.org/officeDocument/2006/relationships/hyperlink" Target="http://www.accountingtoday.com/news/accounting-news/iasb-reverses-stance-on-lease-accounting-71611-1.html" TargetMode="External"/><Relationship Id="rId4" Type="http://schemas.openxmlformats.org/officeDocument/2006/relationships/hyperlink" Target="http://www.investopedia.com/university/ratios/debt/ratio1.asp" TargetMode="External"/><Relationship Id="rId9"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fitchratings.com/creditdesk/reports/report_frame.cfm?rpt_id=723216"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www.filo-fisc.be/Downloads/intnotionnels.pdf" TargetMode="External"/><Relationship Id="rId7" Type="http://schemas.openxmlformats.org/officeDocument/2006/relationships/drawing" Target="../drawings/drawing15.xml"/><Relationship Id="rId2" Type="http://schemas.openxmlformats.org/officeDocument/2006/relationships/hyperlink" Target="mailto:albert.wolss@minfin.fed.be" TargetMode="External"/><Relationship Id="rId1" Type="http://schemas.openxmlformats.org/officeDocument/2006/relationships/hyperlink" Target="http://finances.belgium.be/fr/entreprises/impot_des_societes/avantages_fiscaux/deduction_interet_notionnel/" TargetMode="External"/><Relationship Id="rId6" Type="http://schemas.openxmlformats.org/officeDocument/2006/relationships/printerSettings" Target="../printerSettings/printerSettings4.bin"/><Relationship Id="rId5" Type="http://schemas.openxmlformats.org/officeDocument/2006/relationships/hyperlink" Target="http://www.accountingtools.com/questions-and-answers/what-does-negative-stockholders-equity-mean.html" TargetMode="External"/><Relationship Id="rId4" Type="http://schemas.openxmlformats.org/officeDocument/2006/relationships/hyperlink" Target="http://www.cefip.be/fr/reserve-d-investissement-ou-deduction-des-interets-notionnels" TargetMode="External"/><Relationship Id="rId9"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hyperlink" Target="http://www.standardandpoors.com/prot/ratings/articles/en/eu/?articleType=HTML&amp;assetID=1245360780336" TargetMode="External"/><Relationship Id="rId13" Type="http://schemas.openxmlformats.org/officeDocument/2006/relationships/hyperlink" Target="http://www.wallstreetprep.com/blog/ebitda-vs-cash-flows-from-operations-vs-free-cash-flows/" TargetMode="External"/><Relationship Id="rId18" Type="http://schemas.openxmlformats.org/officeDocument/2006/relationships/hyperlink" Target="http://www.standardandpoors.com/prot/ratings/articles/en/eu/?articleType=HTML&amp;assetID=1245361742085" TargetMode="External"/><Relationship Id="rId3" Type="http://schemas.openxmlformats.org/officeDocument/2006/relationships/hyperlink" Target="http://www.standardandpoors.com/prot/ratings/articles/en/eu/?articleType=HTML&amp;assetID=1245358650210" TargetMode="External"/><Relationship Id="rId21" Type="http://schemas.openxmlformats.org/officeDocument/2006/relationships/vmlDrawing" Target="../drawings/vmlDrawing5.vml"/><Relationship Id="rId7" Type="http://schemas.openxmlformats.org/officeDocument/2006/relationships/hyperlink" Target="http://www.uic.edu/classes/actg/actg516rtr/Readings/Bond-Ratings/S&amp;P-Corporate-Criteria-RR-2003.pdf" TargetMode="External"/><Relationship Id="rId12" Type="http://schemas.openxmlformats.org/officeDocument/2006/relationships/hyperlink" Target="https://www.moodys.com/researchdocumentcontentpage.aspx?docid=PBC_146179" TargetMode="External"/><Relationship Id="rId17" Type="http://schemas.openxmlformats.org/officeDocument/2006/relationships/hyperlink" Target="http://www.standardandpoors.com/prot/ratings/articles/en/eu/?articleType=HTML&amp;assetID=1245360477058" TargetMode="External"/><Relationship Id="rId2" Type="http://schemas.openxmlformats.org/officeDocument/2006/relationships/hyperlink" Target="http://www.ciratings.com/page/rating-definitions/foreign-local-currency-ratings" TargetMode="External"/><Relationship Id="rId16" Type="http://schemas.openxmlformats.org/officeDocument/2006/relationships/hyperlink" Target="http://www.standardandpoors.com/prot/ratings/articles/en/eu/?articleType=HTML&amp;assetID=1245360302817" TargetMode="External"/><Relationship Id="rId20" Type="http://schemas.openxmlformats.org/officeDocument/2006/relationships/drawing" Target="../drawings/drawing31.xml"/><Relationship Id="rId1" Type="http://schemas.openxmlformats.org/officeDocument/2006/relationships/hyperlink" Target="http://countryeconomy.com/ratings" TargetMode="External"/><Relationship Id="rId6" Type="http://schemas.openxmlformats.org/officeDocument/2006/relationships/hyperlink" Target="https://www.fitchratings.com/creditdesk/reports/report_frame.cfm?rpt_id=715139" TargetMode="External"/><Relationship Id="rId11" Type="http://schemas.openxmlformats.org/officeDocument/2006/relationships/hyperlink" Target="https://www.moodys.com/researchdocumentcontentpage.aspx?docid=PBC_126031" TargetMode="External"/><Relationship Id="rId5" Type="http://schemas.openxmlformats.org/officeDocument/2006/relationships/hyperlink" Target="https://www.fitchratings.com/creditdesk/reports/report_frame.cfm?rpt_id=723216" TargetMode="External"/><Relationship Id="rId15" Type="http://schemas.openxmlformats.org/officeDocument/2006/relationships/hyperlink" Target="https://www.moodys.com/researchdocumentcontentpage.aspx?docid=PBC_114838" TargetMode="External"/><Relationship Id="rId10" Type="http://schemas.openxmlformats.org/officeDocument/2006/relationships/hyperlink" Target="https://www.moodys.com/researchdocumentcontentpage.aspx?docid=PBC_129659" TargetMode="External"/><Relationship Id="rId19" Type="http://schemas.openxmlformats.org/officeDocument/2006/relationships/printerSettings" Target="../printerSettings/printerSettings5.bin"/><Relationship Id="rId4" Type="http://schemas.openxmlformats.org/officeDocument/2006/relationships/hyperlink" Target="http://www.standardandpoors.com/prot/ratings/articles/en/eu/?articleType=HTML&amp;assetID=1245360409476" TargetMode="External"/><Relationship Id="rId9" Type="http://schemas.openxmlformats.org/officeDocument/2006/relationships/hyperlink" Target="https://www.moodys.com/researchdocumentcontentpage.aspx?docid=PBC_79004" TargetMode="External"/><Relationship Id="rId14" Type="http://schemas.openxmlformats.org/officeDocument/2006/relationships/hyperlink" Target="https://www.fitchratings.com/creditdesk/reports/report_frame.cfm?rpt_id=462222" TargetMode="External"/><Relationship Id="rId22"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2.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5.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499984740745262"/>
  </sheetPr>
  <dimension ref="B1:U54"/>
  <sheetViews>
    <sheetView showGridLines="0" zoomScaleNormal="100" workbookViewId="0">
      <pane ySplit="3" topLeftCell="A4" activePane="bottomLeft" state="frozen"/>
      <selection activeCell="B1" sqref="B1"/>
      <selection pane="bottomLeft" activeCell="D27" sqref="D27"/>
    </sheetView>
  </sheetViews>
  <sheetFormatPr defaultColWidth="11.5703125" defaultRowHeight="12.75"/>
  <cols>
    <col min="1" max="1" width="1.140625" style="1390" customWidth="1"/>
    <col min="2" max="2" width="2.7109375" style="1390" customWidth="1"/>
    <col min="3" max="3" width="10.140625" style="1391" customWidth="1"/>
    <col min="4" max="4" width="17.28515625" style="1390" customWidth="1"/>
    <col min="5" max="5" width="2.42578125" style="1390" customWidth="1"/>
    <col min="6" max="8" width="11.7109375" style="1390" customWidth="1"/>
    <col min="9" max="9" width="13" style="1390" customWidth="1"/>
    <col min="10" max="14" width="11.7109375" style="1390" customWidth="1"/>
    <col min="15" max="15" width="3.7109375" style="1390" customWidth="1"/>
    <col min="16" max="16" width="1.42578125" style="1390" customWidth="1"/>
    <col min="17" max="21" width="8.5703125" style="2259" hidden="1" customWidth="1"/>
    <col min="22" max="16384" width="11.5703125" style="1390"/>
  </cols>
  <sheetData>
    <row r="1" spans="2:21" s="1404" customFormat="1" ht="4.1500000000000004" customHeight="1">
      <c r="C1" s="1391"/>
      <c r="Q1" s="2259"/>
      <c r="R1" s="2259"/>
      <c r="S1" s="2259"/>
      <c r="T1" s="2259"/>
      <c r="U1" s="2259"/>
    </row>
    <row r="2" spans="2:21" s="1404" customFormat="1" ht="5.45" customHeight="1">
      <c r="B2" s="1376"/>
      <c r="C2" s="1393"/>
      <c r="D2" s="1376"/>
      <c r="E2" s="1376"/>
      <c r="F2" s="1376"/>
      <c r="G2" s="1376"/>
      <c r="H2" s="1376"/>
      <c r="I2" s="1376"/>
      <c r="J2" s="1376"/>
      <c r="K2" s="1376"/>
      <c r="L2" s="1376"/>
      <c r="M2" s="1376"/>
      <c r="N2" s="1376"/>
      <c r="O2" s="1376"/>
      <c r="Q2" s="2260"/>
      <c r="R2" s="2260"/>
      <c r="S2" s="2260"/>
      <c r="T2" s="2260"/>
      <c r="U2" s="2260"/>
    </row>
    <row r="3" spans="2:21" s="1404" customFormat="1">
      <c r="B3" s="1376"/>
      <c r="C3" s="1394" t="s">
        <v>1841</v>
      </c>
      <c r="D3" s="1395"/>
      <c r="E3" s="1376"/>
      <c r="F3" s="1394" t="s">
        <v>1834</v>
      </c>
      <c r="G3" s="1394"/>
      <c r="H3" s="1394"/>
      <c r="I3" s="1394"/>
      <c r="J3" s="1394"/>
      <c r="K3" s="1394"/>
      <c r="L3" s="1395"/>
      <c r="M3" s="1395"/>
      <c r="N3" s="1395"/>
      <c r="O3" s="1376"/>
      <c r="Q3" s="1672" t="s">
        <v>1962</v>
      </c>
      <c r="R3" s="1673"/>
      <c r="S3" s="2256"/>
      <c r="T3" s="2256"/>
      <c r="U3" s="2256"/>
    </row>
    <row r="4" spans="2:21" s="1404" customFormat="1">
      <c r="B4" s="1376"/>
      <c r="C4" s="1393"/>
      <c r="D4" s="1376"/>
      <c r="E4" s="1376"/>
      <c r="F4" s="1376"/>
      <c r="G4" s="1376"/>
      <c r="H4" s="1376"/>
      <c r="I4" s="1376"/>
      <c r="J4" s="1376"/>
      <c r="K4" s="1376"/>
      <c r="L4" s="1376"/>
      <c r="M4" s="1376"/>
      <c r="N4" s="1376"/>
      <c r="O4" s="1376"/>
      <c r="Q4" s="2261"/>
      <c r="R4" s="2261"/>
      <c r="S4" s="2261"/>
      <c r="T4" s="2261"/>
      <c r="U4" s="2261"/>
    </row>
    <row r="5" spans="2:21" s="1404" customFormat="1" ht="13.15" customHeight="1">
      <c r="B5" s="1376"/>
      <c r="C5" s="1396" t="s">
        <v>2775</v>
      </c>
      <c r="D5" s="1397"/>
      <c r="E5" s="1941"/>
      <c r="F5" s="4007" t="s">
        <v>2787</v>
      </c>
      <c r="G5" s="4007"/>
      <c r="H5" s="4007"/>
      <c r="I5" s="4007"/>
      <c r="J5" s="4007"/>
      <c r="K5" s="4007"/>
      <c r="L5" s="4007"/>
      <c r="M5" s="4007"/>
      <c r="N5" s="4007"/>
      <c r="O5" s="1376"/>
      <c r="Q5" s="4009" t="s">
        <v>2799</v>
      </c>
      <c r="R5" s="4009"/>
      <c r="S5" s="4009"/>
      <c r="T5" s="4009"/>
      <c r="U5" s="4009"/>
    </row>
    <row r="6" spans="2:21" s="1404" customFormat="1">
      <c r="B6" s="1376"/>
      <c r="C6" s="1400"/>
      <c r="D6" s="1393"/>
      <c r="E6" s="1398"/>
      <c r="F6" s="4007"/>
      <c r="G6" s="4007"/>
      <c r="H6" s="4007"/>
      <c r="I6" s="4007"/>
      <c r="J6" s="4007"/>
      <c r="K6" s="4007"/>
      <c r="L6" s="4007"/>
      <c r="M6" s="4007"/>
      <c r="N6" s="4007"/>
      <c r="O6" s="1376"/>
      <c r="Q6" s="4009"/>
      <c r="R6" s="4009"/>
      <c r="S6" s="4009"/>
      <c r="T6" s="4009"/>
      <c r="U6" s="4009"/>
    </row>
    <row r="7" spans="2:21" s="1404" customFormat="1">
      <c r="B7" s="1376"/>
      <c r="C7" s="1400"/>
      <c r="D7" s="3991" t="s">
        <v>2786</v>
      </c>
      <c r="E7" s="1398"/>
      <c r="F7" s="4007" t="s">
        <v>2800</v>
      </c>
      <c r="G7" s="4007"/>
      <c r="H7" s="4007"/>
      <c r="I7" s="4007"/>
      <c r="J7" s="4007"/>
      <c r="K7" s="4007"/>
      <c r="L7" s="4007"/>
      <c r="M7" s="4007"/>
      <c r="N7" s="4007"/>
      <c r="O7" s="1376"/>
      <c r="Q7" s="3993" t="s">
        <v>2801</v>
      </c>
      <c r="R7" s="3992"/>
      <c r="S7" s="3992"/>
      <c r="T7" s="3992"/>
      <c r="U7" s="3992"/>
    </row>
    <row r="8" spans="2:21" s="1404" customFormat="1">
      <c r="B8" s="1376"/>
      <c r="C8" s="1400"/>
      <c r="D8" s="1393"/>
      <c r="E8" s="1398"/>
      <c r="F8" s="4007"/>
      <c r="G8" s="4007"/>
      <c r="H8" s="4007"/>
      <c r="I8" s="4007"/>
      <c r="J8" s="4007"/>
      <c r="K8" s="4007"/>
      <c r="L8" s="4007"/>
      <c r="M8" s="4007"/>
      <c r="N8" s="4007"/>
      <c r="O8" s="1376"/>
      <c r="Q8" s="3993"/>
      <c r="R8" s="3993"/>
      <c r="S8" s="3993"/>
      <c r="T8" s="3993"/>
      <c r="U8" s="3993"/>
    </row>
    <row r="9" spans="2:21" s="1404" customFormat="1">
      <c r="B9" s="1376"/>
      <c r="C9" s="1393"/>
      <c r="D9" s="1376"/>
      <c r="E9" s="1376"/>
      <c r="F9" s="1376"/>
      <c r="G9" s="1376"/>
      <c r="H9" s="1376"/>
      <c r="I9" s="1376"/>
      <c r="J9" s="1376"/>
      <c r="K9" s="1376"/>
      <c r="L9" s="1376"/>
      <c r="M9" s="1376"/>
      <c r="N9" s="1376"/>
      <c r="O9" s="1376"/>
      <c r="Q9" s="3993"/>
      <c r="R9" s="3993"/>
      <c r="S9" s="3993"/>
      <c r="T9" s="3993"/>
      <c r="U9" s="3993"/>
    </row>
    <row r="10" spans="2:21" s="1404" customFormat="1" ht="13.15" customHeight="1">
      <c r="B10" s="1376"/>
      <c r="C10" s="1399" t="s">
        <v>1144</v>
      </c>
      <c r="D10" s="2004"/>
      <c r="E10" s="1398"/>
      <c r="F10" s="4007" t="s">
        <v>2789</v>
      </c>
      <c r="G10" s="4007"/>
      <c r="H10" s="4007"/>
      <c r="I10" s="4007"/>
      <c r="J10" s="4007"/>
      <c r="K10" s="4007"/>
      <c r="L10" s="4007"/>
      <c r="M10" s="4007"/>
      <c r="N10" s="4007"/>
      <c r="O10" s="1376"/>
      <c r="Q10" s="3993"/>
      <c r="R10" s="3993"/>
      <c r="S10" s="3993"/>
      <c r="T10" s="3993"/>
      <c r="U10" s="3993"/>
    </row>
    <row r="11" spans="2:21" s="1404" customFormat="1">
      <c r="B11" s="1376"/>
      <c r="C11" s="1400"/>
      <c r="D11" s="1376"/>
      <c r="E11" s="1398"/>
      <c r="F11" s="4007"/>
      <c r="G11" s="4007"/>
      <c r="H11" s="4007"/>
      <c r="I11" s="4007"/>
      <c r="J11" s="4007"/>
      <c r="K11" s="4007"/>
      <c r="L11" s="4007"/>
      <c r="M11" s="4007"/>
      <c r="N11" s="4007"/>
      <c r="O11" s="1376"/>
      <c r="Q11" s="4008"/>
      <c r="R11" s="4008"/>
      <c r="S11" s="4008"/>
      <c r="T11" s="4008"/>
      <c r="U11" s="4008"/>
    </row>
    <row r="12" spans="2:21" s="1404" customFormat="1" ht="13.15" customHeight="1">
      <c r="B12" s="1376"/>
      <c r="C12" s="1400"/>
      <c r="D12" s="1376"/>
      <c r="E12" s="1376"/>
      <c r="F12" s="1376" t="s">
        <v>2788</v>
      </c>
      <c r="G12" s="1376"/>
      <c r="H12" s="1376"/>
      <c r="I12" s="1376"/>
      <c r="J12" s="1376"/>
      <c r="K12" s="1376"/>
      <c r="L12" s="1376"/>
      <c r="M12" s="1376"/>
      <c r="N12" s="1376"/>
      <c r="O12" s="1376"/>
      <c r="Q12" s="4008"/>
      <c r="R12" s="4008"/>
      <c r="S12" s="4008"/>
      <c r="T12" s="4008"/>
      <c r="U12" s="4008"/>
    </row>
    <row r="13" spans="2:21" s="1404" customFormat="1">
      <c r="B13" s="1376"/>
      <c r="C13" s="1400"/>
      <c r="D13" s="1376"/>
      <c r="E13" s="1376"/>
      <c r="F13" s="1376" t="s">
        <v>2803</v>
      </c>
      <c r="G13" s="1376"/>
      <c r="H13" s="1376"/>
      <c r="I13" s="1376"/>
      <c r="J13" s="1376"/>
      <c r="K13" s="1376"/>
      <c r="L13" s="1376"/>
      <c r="M13" s="1376"/>
      <c r="N13" s="1376"/>
      <c r="O13" s="1376"/>
      <c r="Q13" s="2256"/>
      <c r="R13" s="2256"/>
      <c r="S13" s="2256"/>
      <c r="T13" s="2256"/>
      <c r="U13" s="2256"/>
    </row>
    <row r="14" spans="2:21" s="1404" customFormat="1">
      <c r="B14" s="1376"/>
      <c r="C14" s="1400"/>
      <c r="D14" s="1376"/>
      <c r="E14" s="1376"/>
      <c r="F14" s="1376"/>
      <c r="G14" s="1376"/>
      <c r="H14" s="1376"/>
      <c r="I14" s="1376"/>
      <c r="J14" s="1376"/>
      <c r="K14" s="1376"/>
      <c r="L14" s="1376"/>
      <c r="M14" s="1376"/>
      <c r="N14" s="1376"/>
      <c r="O14" s="1376"/>
      <c r="Q14" s="2261"/>
      <c r="R14" s="2261"/>
      <c r="S14" s="2261"/>
      <c r="T14" s="2261"/>
      <c r="U14" s="2261"/>
    </row>
    <row r="15" spans="2:21" s="1404" customFormat="1" ht="13.15" customHeight="1">
      <c r="B15" s="1376"/>
      <c r="C15" s="1399" t="s">
        <v>1198</v>
      </c>
      <c r="D15" s="2004"/>
      <c r="E15" s="1398"/>
      <c r="F15" s="1376" t="s">
        <v>2790</v>
      </c>
      <c r="G15" s="3395"/>
      <c r="H15" s="3395"/>
      <c r="I15" s="3395"/>
      <c r="J15" s="3395"/>
      <c r="K15" s="3395"/>
      <c r="L15" s="3395"/>
      <c r="M15" s="3395"/>
      <c r="N15" s="3395"/>
      <c r="O15" s="1376"/>
      <c r="Q15" s="2256"/>
      <c r="R15" s="2256"/>
      <c r="S15" s="2256"/>
      <c r="T15" s="2256"/>
      <c r="U15" s="2256"/>
    </row>
    <row r="16" spans="2:21" s="1404" customFormat="1">
      <c r="B16" s="1376"/>
      <c r="C16" s="1393"/>
      <c r="D16" s="1376"/>
      <c r="E16" s="1376"/>
      <c r="F16" s="4007" t="s">
        <v>2804</v>
      </c>
      <c r="G16" s="4007"/>
      <c r="H16" s="4007"/>
      <c r="I16" s="4007"/>
      <c r="J16" s="4007"/>
      <c r="K16" s="4007"/>
      <c r="L16" s="4007"/>
      <c r="M16" s="4007"/>
      <c r="N16" s="4007"/>
      <c r="O16" s="1376"/>
      <c r="Q16" s="2256"/>
      <c r="R16" s="2256"/>
      <c r="S16" s="2256"/>
      <c r="T16" s="2256"/>
      <c r="U16" s="2256"/>
    </row>
    <row r="17" spans="2:21" s="1404" customFormat="1">
      <c r="B17" s="1376"/>
      <c r="C17" s="1393"/>
      <c r="D17" s="1376"/>
      <c r="E17" s="1398"/>
      <c r="F17" s="4007"/>
      <c r="G17" s="4007"/>
      <c r="H17" s="4007"/>
      <c r="I17" s="4007"/>
      <c r="J17" s="4007"/>
      <c r="K17" s="4007"/>
      <c r="L17" s="4007"/>
      <c r="M17" s="4007"/>
      <c r="N17" s="4007"/>
      <c r="O17" s="1376"/>
      <c r="Q17" s="2256"/>
      <c r="R17" s="2256"/>
      <c r="S17" s="2256"/>
      <c r="T17" s="2256"/>
      <c r="U17" s="2256"/>
    </row>
    <row r="18" spans="2:21" s="1404" customFormat="1">
      <c r="B18" s="1376"/>
      <c r="C18" s="1393"/>
      <c r="D18" s="1376"/>
      <c r="E18" s="1376"/>
      <c r="F18" s="4007" t="s">
        <v>2793</v>
      </c>
      <c r="G18" s="4007"/>
      <c r="H18" s="4007"/>
      <c r="I18" s="219" t="s">
        <v>738</v>
      </c>
      <c r="J18" s="219" t="s">
        <v>769</v>
      </c>
      <c r="K18" s="219" t="s">
        <v>770</v>
      </c>
      <c r="L18" s="219" t="s">
        <v>37</v>
      </c>
      <c r="M18" s="219" t="s">
        <v>1307</v>
      </c>
      <c r="N18" s="219" t="s">
        <v>38</v>
      </c>
      <c r="O18" s="1376"/>
      <c r="Q18" s="4001" t="s">
        <v>769</v>
      </c>
      <c r="R18" s="4001" t="s">
        <v>770</v>
      </c>
      <c r="S18" s="4004" t="s">
        <v>37</v>
      </c>
      <c r="T18" s="4004" t="s">
        <v>1307</v>
      </c>
      <c r="U18" s="4004" t="s">
        <v>38</v>
      </c>
    </row>
    <row r="19" spans="2:21" s="1404" customFormat="1">
      <c r="B19" s="1376"/>
      <c r="C19" s="1393"/>
      <c r="D19" s="1376"/>
      <c r="E19" s="1376"/>
      <c r="F19" s="4007"/>
      <c r="G19" s="4007"/>
      <c r="H19" s="4007"/>
      <c r="I19" s="3994" t="s">
        <v>2792</v>
      </c>
      <c r="J19" s="1580">
        <f>'OUTPUTS &amp; Inputs'!$I$6</f>
        <v>0.42</v>
      </c>
      <c r="K19" s="1580">
        <f>'OUTPUTS &amp; Inputs'!$O$6</f>
        <v>0.42</v>
      </c>
      <c r="L19" s="1823">
        <f>'OUTPUTS &amp; Inputs'!$C$6</f>
        <v>0.42</v>
      </c>
      <c r="M19" s="1823">
        <f>'OUTPUTS &amp; Inputs'!$L$6</f>
        <v>0.42</v>
      </c>
      <c r="N19" s="1823">
        <f>'OUTPUTS &amp; Inputs'!$F$6</f>
        <v>0.42</v>
      </c>
      <c r="O19" s="1376"/>
      <c r="Q19" s="4002"/>
      <c r="R19" s="4002"/>
      <c r="S19" s="4003"/>
      <c r="T19" s="4003"/>
      <c r="U19" s="4003"/>
    </row>
    <row r="20" spans="2:21" s="1404" customFormat="1">
      <c r="B20" s="1376"/>
      <c r="C20" s="1393"/>
      <c r="D20" s="1376"/>
      <c r="E20" s="1376"/>
      <c r="F20" s="4007"/>
      <c r="G20" s="4007"/>
      <c r="H20" s="4007"/>
      <c r="I20" s="571">
        <v>2010</v>
      </c>
      <c r="J20" s="2262">
        <f>'OUTPUTS &amp; Inputs'!F486</f>
        <v>0.4</v>
      </c>
      <c r="K20" s="2262">
        <f>'OUTPUTS &amp; Inputs'!J486</f>
        <v>0.25</v>
      </c>
      <c r="L20" s="2262">
        <f>'OUTPUTS &amp; Inputs'!H486</f>
        <v>0.32</v>
      </c>
      <c r="M20" s="2262">
        <f>'OUTPUTS &amp; Inputs'!I486</f>
        <v>0.25</v>
      </c>
      <c r="N20" s="133"/>
      <c r="O20" s="1376"/>
      <c r="Q20" s="2277"/>
      <c r="R20" s="2277"/>
      <c r="S20" s="2278"/>
      <c r="T20" s="2277"/>
      <c r="U20" s="2277"/>
    </row>
    <row r="21" spans="2:21" s="1404" customFormat="1">
      <c r="B21" s="1376"/>
      <c r="C21" s="1393"/>
      <c r="D21" s="1376"/>
      <c r="E21" s="1376"/>
      <c r="F21" s="2258"/>
      <c r="G21" s="2258"/>
      <c r="H21" s="2258"/>
      <c r="I21" s="1654"/>
      <c r="J21" s="1655"/>
      <c r="K21" s="1655"/>
      <c r="L21" s="1413"/>
      <c r="M21" s="1413"/>
      <c r="N21" s="1413"/>
      <c r="O21" s="1376"/>
      <c r="Q21" s="2261"/>
      <c r="R21" s="2261"/>
      <c r="S21" s="2261"/>
      <c r="T21" s="2261"/>
      <c r="U21" s="2261"/>
    </row>
    <row r="22" spans="2:21" s="1404" customFormat="1">
      <c r="B22" s="1376"/>
      <c r="C22" s="1399" t="s">
        <v>2776</v>
      </c>
      <c r="D22" s="2004"/>
      <c r="E22" s="1398"/>
      <c r="F22" s="4007" t="s">
        <v>2797</v>
      </c>
      <c r="G22" s="4007"/>
      <c r="H22" s="4007"/>
      <c r="I22" s="4007"/>
      <c r="J22" s="4007"/>
      <c r="K22" s="4007"/>
      <c r="L22" s="4007"/>
      <c r="M22" s="4007"/>
      <c r="N22" s="4007"/>
      <c r="O22" s="1376"/>
      <c r="Q22" s="2256"/>
      <c r="R22" s="2256"/>
      <c r="S22" s="2256"/>
      <c r="T22" s="2256"/>
      <c r="U22" s="2256"/>
    </row>
    <row r="23" spans="2:21" s="1404" customFormat="1">
      <c r="B23" s="1376"/>
      <c r="C23" s="4005" t="s">
        <v>2791</v>
      </c>
      <c r="D23" s="1376"/>
      <c r="E23" s="1376"/>
      <c r="F23" s="4007"/>
      <c r="G23" s="4007"/>
      <c r="H23" s="4007"/>
      <c r="I23" s="4007"/>
      <c r="J23" s="4007"/>
      <c r="K23" s="4007"/>
      <c r="L23" s="4007"/>
      <c r="M23" s="4007"/>
      <c r="N23" s="4007"/>
      <c r="O23" s="1376"/>
      <c r="Q23" s="2256"/>
      <c r="R23" s="2256"/>
      <c r="S23" s="2256"/>
      <c r="T23" s="2256"/>
      <c r="U23" s="2256"/>
    </row>
    <row r="24" spans="2:21" s="1404" customFormat="1">
      <c r="B24" s="1376"/>
      <c r="C24" s="1400"/>
      <c r="D24" s="1376"/>
      <c r="E24" s="1376"/>
      <c r="F24" s="4007" t="s">
        <v>2802</v>
      </c>
      <c r="G24" s="4007"/>
      <c r="H24" s="4007"/>
      <c r="I24" s="2258"/>
      <c r="J24" s="219" t="s">
        <v>769</v>
      </c>
      <c r="K24" s="219" t="s">
        <v>770</v>
      </c>
      <c r="L24" s="219" t="s">
        <v>37</v>
      </c>
      <c r="M24" s="219" t="s">
        <v>1307</v>
      </c>
      <c r="N24" s="219" t="s">
        <v>38</v>
      </c>
      <c r="O24" s="1376"/>
      <c r="Q24" s="2283"/>
      <c r="R24" s="2283"/>
      <c r="S24" s="2279"/>
      <c r="T24" s="2279"/>
      <c r="U24" s="2279"/>
    </row>
    <row r="25" spans="2:21" s="1404" customFormat="1">
      <c r="B25" s="1376"/>
      <c r="C25" s="1400"/>
      <c r="D25" s="1376"/>
      <c r="E25" s="1376"/>
      <c r="F25" s="4007"/>
      <c r="G25" s="4007"/>
      <c r="H25" s="4007"/>
      <c r="I25" s="3998" t="s">
        <v>2794</v>
      </c>
      <c r="J25" s="3999">
        <f>'OUTPUTS &amp; Inputs'!$I$10</f>
        <v>0.27877504700623285</v>
      </c>
      <c r="K25" s="3999">
        <f>'OUTPUTS &amp; Inputs'!$O$10</f>
        <v>0.4201492850448495</v>
      </c>
      <c r="L25" s="4000">
        <f>'OUTPUTS &amp; Inputs'!$C$10</f>
        <v>0.27877504700623285</v>
      </c>
      <c r="M25" s="4000">
        <f>'OUTPUTS &amp; Inputs'!$L$10</f>
        <v>0.4201492850448495</v>
      </c>
      <c r="N25" s="4000">
        <f>'OUTPUTS &amp; Inputs'!$F$10</f>
        <v>0.17155387508075867</v>
      </c>
      <c r="O25" s="1376"/>
      <c r="Q25" s="2282"/>
      <c r="R25" s="2282"/>
      <c r="S25" s="2280"/>
      <c r="T25" s="2280"/>
      <c r="U25" s="2280"/>
    </row>
    <row r="26" spans="2:21" s="1404" customFormat="1">
      <c r="B26" s="1376"/>
      <c r="C26" s="1400"/>
      <c r="D26" s="1376"/>
      <c r="E26" s="1376"/>
      <c r="F26" s="4007"/>
      <c r="G26" s="4007"/>
      <c r="H26" s="4007"/>
      <c r="I26" s="3995" t="s">
        <v>2795</v>
      </c>
      <c r="J26" s="3996">
        <f>'OUTPUTS &amp; Inputs'!F533</f>
        <v>1.8898687247344555E-3</v>
      </c>
      <c r="K26" s="3996">
        <f>'OUTPUTS &amp; Inputs'!J533</f>
        <v>2.8482714003741161E-3</v>
      </c>
      <c r="L26" s="3997">
        <f>'OUTPUTS &amp; Inputs'!H533</f>
        <v>1.8898687247344555E-3</v>
      </c>
      <c r="M26" s="3997">
        <f>'OUTPUTS &amp; Inputs'!I533</f>
        <v>2.8482714003741161E-3</v>
      </c>
      <c r="N26" s="3997">
        <f>'OUTPUTS &amp; Inputs'!G533</f>
        <v>1.1629961382981263E-3</v>
      </c>
      <c r="O26" s="1376"/>
      <c r="Q26" s="2284"/>
      <c r="R26" s="2284"/>
      <c r="S26" s="2281"/>
      <c r="T26" s="2281"/>
      <c r="U26" s="2281"/>
    </row>
    <row r="27" spans="2:21" s="1404" customFormat="1">
      <c r="B27" s="1376"/>
      <c r="C27" s="1400"/>
      <c r="D27" s="1376"/>
      <c r="E27" s="1376"/>
      <c r="F27" s="4007"/>
      <c r="G27" s="4007"/>
      <c r="H27" s="4007"/>
      <c r="I27" s="571" t="s">
        <v>2796</v>
      </c>
      <c r="J27" s="3888">
        <f>'OUTPUTS &amp; Inputs'!F536</f>
        <v>3.2000000000000002E-3</v>
      </c>
      <c r="K27" s="3888">
        <f>'OUTPUTS &amp; Inputs'!J536</f>
        <v>2.3999999999999998E-3</v>
      </c>
      <c r="L27" s="3889">
        <f>'OUTPUTS &amp; Inputs'!H536</f>
        <v>2.8E-3</v>
      </c>
      <c r="M27" s="3889">
        <f>'OUTPUTS &amp; Inputs'!I536</f>
        <v>2.3999999999999998E-3</v>
      </c>
      <c r="N27" s="1376"/>
      <c r="O27" s="1376"/>
      <c r="Q27" s="2256"/>
      <c r="R27" s="2256"/>
      <c r="S27" s="2256"/>
      <c r="T27" s="2256"/>
      <c r="U27" s="2256"/>
    </row>
    <row r="28" spans="2:21" s="1404" customFormat="1">
      <c r="B28" s="1376"/>
      <c r="C28" s="1393"/>
      <c r="D28" s="1376"/>
      <c r="E28" s="1376"/>
      <c r="F28" s="1412"/>
      <c r="G28" s="1413"/>
      <c r="H28" s="1413"/>
      <c r="I28" s="1413"/>
      <c r="J28" s="1413"/>
      <c r="K28" s="1413"/>
      <c r="L28" s="1376"/>
      <c r="M28" s="1376"/>
      <c r="N28" s="1376"/>
      <c r="O28" s="1376"/>
      <c r="Q28" s="2261"/>
      <c r="R28" s="2261"/>
      <c r="S28" s="2261"/>
      <c r="T28" s="2261"/>
      <c r="U28" s="2261"/>
    </row>
    <row r="29" spans="2:21" s="1404" customFormat="1">
      <c r="B29" s="1376"/>
      <c r="C29" s="2242" t="s">
        <v>1199</v>
      </c>
      <c r="D29" s="2004"/>
      <c r="E29" s="1414"/>
      <c r="F29" s="1376" t="s">
        <v>2798</v>
      </c>
      <c r="G29" s="1376"/>
      <c r="H29" s="1376"/>
      <c r="I29" s="1376"/>
      <c r="J29" s="1376"/>
      <c r="K29" s="1376"/>
      <c r="L29" s="1376"/>
      <c r="M29" s="1376"/>
      <c r="N29" s="1376"/>
      <c r="O29" s="1376"/>
      <c r="Q29" s="2256"/>
      <c r="R29" s="2256"/>
      <c r="S29" s="2256"/>
      <c r="T29" s="2256"/>
      <c r="U29" s="2256"/>
    </row>
    <row r="30" spans="2:21" s="1404" customFormat="1">
      <c r="B30" s="1376"/>
      <c r="C30" s="1393"/>
      <c r="D30" s="1376"/>
      <c r="E30" s="1376"/>
      <c r="F30" s="4007" t="s">
        <v>1830</v>
      </c>
      <c r="G30" s="4007"/>
      <c r="H30" s="4007"/>
      <c r="I30" s="4007"/>
      <c r="J30" s="4007"/>
      <c r="K30" s="4007"/>
      <c r="L30" s="4007"/>
      <c r="M30" s="4007"/>
      <c r="N30" s="4007"/>
      <c r="O30" s="1376"/>
      <c r="Q30" s="2256"/>
      <c r="R30" s="2256"/>
      <c r="S30" s="2256"/>
      <c r="T30" s="2256"/>
      <c r="U30" s="2256"/>
    </row>
    <row r="31" spans="2:21" s="1404" customFormat="1">
      <c r="B31" s="1376"/>
      <c r="C31" s="1393"/>
      <c r="D31" s="1376"/>
      <c r="E31" s="1376"/>
      <c r="F31" s="4007"/>
      <c r="G31" s="4007"/>
      <c r="H31" s="4007"/>
      <c r="I31" s="4007"/>
      <c r="J31" s="4007"/>
      <c r="K31" s="4007"/>
      <c r="L31" s="4007"/>
      <c r="M31" s="4007"/>
      <c r="N31" s="4007"/>
      <c r="O31" s="1376"/>
      <c r="Q31" s="2256"/>
      <c r="R31" s="2256"/>
      <c r="S31" s="2256"/>
      <c r="T31" s="2256"/>
      <c r="U31" s="2256"/>
    </row>
    <row r="32" spans="2:21" s="1404" customFormat="1">
      <c r="B32" s="1376"/>
      <c r="C32" s="1393"/>
      <c r="D32" s="1376"/>
      <c r="E32" s="1376"/>
      <c r="F32" s="4007" t="s">
        <v>1831</v>
      </c>
      <c r="G32" s="4007"/>
      <c r="H32" s="4007"/>
      <c r="I32" s="2258"/>
      <c r="J32" s="2243" t="s">
        <v>769</v>
      </c>
      <c r="K32" s="2243" t="s">
        <v>770</v>
      </c>
      <c r="L32" s="2243" t="s">
        <v>37</v>
      </c>
      <c r="M32" s="2243" t="s">
        <v>1307</v>
      </c>
      <c r="N32" s="2243" t="s">
        <v>38</v>
      </c>
      <c r="O32" s="1376"/>
      <c r="Q32" s="2256"/>
      <c r="R32" s="2256"/>
      <c r="S32" s="2256"/>
      <c r="T32" s="2256"/>
      <c r="U32" s="2256"/>
    </row>
    <row r="33" spans="2:21" s="1404" customFormat="1">
      <c r="B33" s="1376"/>
      <c r="C33" s="1393"/>
      <c r="D33" s="1376"/>
      <c r="E33" s="1376"/>
      <c r="F33" s="4007"/>
      <c r="G33" s="4007"/>
      <c r="H33" s="4007"/>
      <c r="I33" s="571" t="s">
        <v>1826</v>
      </c>
      <c r="J33" s="2143" t="s">
        <v>1256</v>
      </c>
      <c r="K33" s="2143" t="s">
        <v>1254</v>
      </c>
      <c r="L33" s="2143" t="s">
        <v>1254</v>
      </c>
      <c r="M33" s="2143"/>
      <c r="N33" s="2143" t="s">
        <v>1833</v>
      </c>
      <c r="O33" s="1376"/>
      <c r="Q33" s="2256"/>
      <c r="R33" s="2256"/>
      <c r="S33" s="2256"/>
      <c r="T33" s="2256"/>
      <c r="U33" s="2256"/>
    </row>
    <row r="34" spans="2:21" s="1404" customFormat="1">
      <c r="B34" s="1376"/>
      <c r="C34" s="1393"/>
      <c r="D34" s="1376"/>
      <c r="E34" s="1376"/>
      <c r="F34" s="4007"/>
      <c r="G34" s="4007"/>
      <c r="H34" s="4007"/>
      <c r="I34" s="571" t="s">
        <v>1829</v>
      </c>
      <c r="J34" s="2143" t="s">
        <v>1827</v>
      </c>
      <c r="K34" s="2143" t="s">
        <v>1828</v>
      </c>
      <c r="L34" s="2143" t="s">
        <v>1284</v>
      </c>
      <c r="M34" s="2143"/>
      <c r="N34" s="2143" t="s">
        <v>1827</v>
      </c>
      <c r="O34" s="1376"/>
      <c r="Q34" s="2256"/>
      <c r="R34" s="2256"/>
      <c r="S34" s="2256"/>
      <c r="T34" s="2256"/>
      <c r="U34" s="2256"/>
    </row>
    <row r="35" spans="2:21" s="1404" customFormat="1">
      <c r="B35" s="1376"/>
      <c r="C35" s="1393"/>
      <c r="D35" s="1376"/>
      <c r="E35" s="1376"/>
      <c r="F35" s="4007"/>
      <c r="G35" s="4007"/>
      <c r="H35" s="4007"/>
      <c r="I35" s="2244" t="s">
        <v>776</v>
      </c>
      <c r="J35" s="1107" t="str">
        <f>RATINGS!E768</f>
        <v>BBB</v>
      </c>
      <c r="K35" s="1107" t="str">
        <f>RATINGS!O768</f>
        <v>BBB-</v>
      </c>
      <c r="L35" s="2143" t="str">
        <f>RATINGS!J764</f>
        <v>A-</v>
      </c>
      <c r="M35" s="2143" t="str">
        <f>RATINGS!O764</f>
        <v>BBB-</v>
      </c>
      <c r="N35" s="2143" t="str">
        <f>RATINGS!E764</f>
        <v>BB-</v>
      </c>
      <c r="O35" s="1376"/>
      <c r="Q35" s="2256"/>
      <c r="R35" s="2256"/>
      <c r="S35" s="2256"/>
      <c r="T35" s="2256"/>
      <c r="U35" s="2256"/>
    </row>
    <row r="36" spans="2:21" s="1404" customFormat="1">
      <c r="B36" s="1376"/>
      <c r="C36" s="1393"/>
      <c r="D36" s="1376"/>
      <c r="E36" s="1376"/>
      <c r="F36" s="1376" t="s">
        <v>1832</v>
      </c>
      <c r="G36" s="1376"/>
      <c r="H36" s="1376"/>
      <c r="I36" s="571">
        <v>2010</v>
      </c>
      <c r="J36" s="2143" t="str">
        <f>RATINGS!E769</f>
        <v>BBB+</v>
      </c>
      <c r="K36" s="2143" t="str">
        <f>RATINGS!O769</f>
        <v>A-</v>
      </c>
      <c r="L36" s="2143" t="str">
        <f>RATINGS!J765</f>
        <v>A</v>
      </c>
      <c r="M36" s="571" t="str">
        <f>RATINGS!O765</f>
        <v>A-</v>
      </c>
      <c r="N36" s="133"/>
      <c r="O36" s="1376"/>
      <c r="Q36" s="2256"/>
      <c r="R36" s="2256"/>
      <c r="S36" s="2256"/>
      <c r="T36" s="2256"/>
      <c r="U36" s="2256"/>
    </row>
    <row r="37" spans="2:21" s="1404" customFormat="1">
      <c r="B37" s="1376"/>
      <c r="C37" s="1393"/>
      <c r="D37" s="1376"/>
      <c r="E37" s="1376"/>
      <c r="F37" s="1376"/>
      <c r="G37" s="1376"/>
      <c r="H37" s="1376"/>
      <c r="I37" s="1376"/>
      <c r="J37" s="1376"/>
      <c r="K37" s="1376"/>
      <c r="L37" s="1376"/>
      <c r="M37" s="1376"/>
      <c r="N37" s="1376"/>
      <c r="O37" s="1376"/>
      <c r="Q37" s="2256"/>
      <c r="R37" s="2256"/>
      <c r="S37" s="2256"/>
      <c r="T37" s="2256"/>
      <c r="U37" s="2256"/>
    </row>
    <row r="38" spans="2:21" s="1404" customFormat="1">
      <c r="B38" s="1376"/>
      <c r="C38" s="1403" t="s">
        <v>1835</v>
      </c>
      <c r="D38" s="2265" t="s">
        <v>1836</v>
      </c>
      <c r="E38" s="1376"/>
      <c r="F38" s="1402" t="s">
        <v>1963</v>
      </c>
      <c r="G38" s="1376"/>
      <c r="H38" s="1376"/>
      <c r="I38" s="1376"/>
      <c r="J38" s="1376"/>
      <c r="K38" s="1376"/>
      <c r="L38" s="1376"/>
      <c r="M38" s="1376"/>
      <c r="N38" s="1376"/>
      <c r="O38" s="1376"/>
      <c r="Q38" s="2256"/>
      <c r="R38" s="2256"/>
      <c r="S38" s="2256"/>
      <c r="T38" s="2256"/>
      <c r="U38" s="2256"/>
    </row>
    <row r="39" spans="2:21" s="1404" customFormat="1" ht="5.45" customHeight="1">
      <c r="B39" s="1376"/>
      <c r="C39" s="1393"/>
      <c r="D39" s="1376"/>
      <c r="E39" s="1376"/>
      <c r="F39" s="1376"/>
      <c r="G39" s="1376"/>
      <c r="H39" s="1376"/>
      <c r="I39" s="1376"/>
      <c r="J39" s="1376"/>
      <c r="K39" s="1376"/>
      <c r="L39" s="1376"/>
      <c r="M39" s="1376"/>
      <c r="N39" s="1376"/>
      <c r="O39" s="1376"/>
      <c r="Q39" s="2261"/>
      <c r="R39" s="2261"/>
      <c r="S39" s="2261"/>
      <c r="T39" s="2261"/>
      <c r="U39" s="2261"/>
    </row>
    <row r="40" spans="2:21" s="1404" customFormat="1">
      <c r="B40" s="1376"/>
      <c r="C40" s="1403" t="s">
        <v>1924</v>
      </c>
      <c r="D40" s="2265"/>
      <c r="E40" s="1376"/>
      <c r="F40" s="1402" t="s">
        <v>1964</v>
      </c>
      <c r="G40" s="1376"/>
      <c r="H40" s="1376"/>
      <c r="I40" s="1376"/>
      <c r="J40" s="1376"/>
      <c r="K40" s="1376"/>
      <c r="L40" s="1376"/>
      <c r="M40" s="1376"/>
      <c r="N40" s="1376"/>
      <c r="O40" s="1376"/>
      <c r="Q40" s="2256"/>
      <c r="R40" s="2256"/>
      <c r="S40" s="2256"/>
      <c r="T40" s="2256"/>
      <c r="U40" s="2256"/>
    </row>
    <row r="41" spans="2:21" s="2264" customFormat="1" ht="17.45" customHeight="1">
      <c r="B41" s="2247"/>
      <c r="C41" s="3988" t="s">
        <v>1147</v>
      </c>
      <c r="D41" s="3989"/>
      <c r="E41" s="3989"/>
      <c r="F41" s="3989" t="s">
        <v>2777</v>
      </c>
      <c r="G41" s="3989"/>
      <c r="H41" s="3989"/>
      <c r="I41" s="3989"/>
      <c r="J41" s="3989"/>
      <c r="K41" s="3989"/>
      <c r="L41" s="3989"/>
      <c r="M41" s="3989"/>
      <c r="N41" s="3989"/>
      <c r="O41" s="2247"/>
      <c r="Q41" s="2256"/>
      <c r="R41" s="2256"/>
      <c r="S41" s="2256"/>
      <c r="T41" s="2256"/>
      <c r="U41" s="2256"/>
    </row>
    <row r="42" spans="2:21" s="1404" customFormat="1" ht="5.45" customHeight="1">
      <c r="B42" s="1376"/>
      <c r="C42" s="3990"/>
      <c r="D42" s="3537"/>
      <c r="E42" s="3537"/>
      <c r="F42" s="3537"/>
      <c r="G42" s="3537"/>
      <c r="H42" s="3537"/>
      <c r="I42" s="3537"/>
      <c r="J42" s="3537"/>
      <c r="K42" s="3537"/>
      <c r="L42" s="3537"/>
      <c r="M42" s="3537"/>
      <c r="N42" s="3537"/>
      <c r="O42" s="1376"/>
      <c r="Q42" s="2261"/>
      <c r="R42" s="2261"/>
      <c r="S42" s="2261"/>
      <c r="T42" s="2261"/>
      <c r="U42" s="2261"/>
    </row>
    <row r="43" spans="2:21" s="1404" customFormat="1">
      <c r="B43" s="1376"/>
      <c r="C43" s="1403" t="s">
        <v>1146</v>
      </c>
      <c r="D43" s="2263"/>
      <c r="E43" s="1376"/>
      <c r="F43" s="1376" t="s">
        <v>2718</v>
      </c>
      <c r="G43" s="1376"/>
      <c r="H43" s="1376"/>
      <c r="I43" s="1376"/>
      <c r="J43" s="1376"/>
      <c r="K43" s="1376"/>
      <c r="L43" s="1376"/>
      <c r="M43" s="1376"/>
      <c r="N43" s="1376"/>
      <c r="O43" s="1376"/>
      <c r="Q43" s="2256"/>
      <c r="R43" s="2256"/>
      <c r="S43" s="2256"/>
      <c r="T43" s="2256"/>
      <c r="U43" s="2256"/>
    </row>
    <row r="44" spans="2:21" s="2264" customFormat="1" ht="17.45" customHeight="1">
      <c r="B44" s="2247"/>
      <c r="C44" s="2246" t="s">
        <v>1166</v>
      </c>
      <c r="D44" s="2247"/>
      <c r="E44" s="2247"/>
      <c r="F44" s="2247" t="s">
        <v>2778</v>
      </c>
      <c r="G44" s="2247"/>
      <c r="H44" s="2247"/>
      <c r="I44" s="2247"/>
      <c r="J44" s="2247"/>
      <c r="K44" s="2247"/>
      <c r="L44" s="2247"/>
      <c r="M44" s="2247"/>
      <c r="N44" s="2247"/>
      <c r="O44" s="2247"/>
      <c r="Q44" s="2256"/>
      <c r="R44" s="2256"/>
      <c r="S44" s="2256"/>
      <c r="T44" s="2256"/>
      <c r="U44" s="2256"/>
    </row>
    <row r="45" spans="2:21" s="1404" customFormat="1" ht="5.45" customHeight="1">
      <c r="B45" s="1376"/>
      <c r="C45" s="1393"/>
      <c r="D45" s="1376"/>
      <c r="E45" s="1376"/>
      <c r="F45" s="1376"/>
      <c r="G45" s="1376"/>
      <c r="H45" s="1376"/>
      <c r="I45" s="1376"/>
      <c r="J45" s="1376"/>
      <c r="K45" s="1376"/>
      <c r="L45" s="1376"/>
      <c r="M45" s="1376"/>
      <c r="N45" s="1376"/>
      <c r="O45" s="1376"/>
      <c r="Q45" s="2261"/>
      <c r="R45" s="2261"/>
      <c r="S45" s="2261"/>
      <c r="T45" s="2261"/>
      <c r="U45" s="2261"/>
    </row>
    <row r="46" spans="2:21" s="1404" customFormat="1">
      <c r="B46" s="1376"/>
      <c r="C46" s="1401" t="s">
        <v>1100</v>
      </c>
      <c r="D46" s="2263"/>
      <c r="E46" s="1376"/>
      <c r="F46" s="1376" t="s">
        <v>1167</v>
      </c>
      <c r="G46" s="1376"/>
      <c r="H46" s="1376"/>
      <c r="I46" s="1376"/>
      <c r="J46" s="1376"/>
      <c r="K46" s="1376"/>
      <c r="L46" s="2247"/>
      <c r="M46" s="2754"/>
      <c r="N46" s="2756"/>
      <c r="O46" s="1376"/>
      <c r="Q46" s="2256"/>
      <c r="R46" s="2256"/>
      <c r="S46" s="2256"/>
      <c r="T46" s="2256"/>
      <c r="U46" s="2256"/>
    </row>
    <row r="47" spans="2:21" s="2264" customFormat="1" ht="17.45" customHeight="1">
      <c r="B47" s="2247"/>
      <c r="C47" s="2246" t="s">
        <v>1168</v>
      </c>
      <c r="D47" s="2247"/>
      <c r="E47" s="2247"/>
      <c r="F47" s="2247" t="s">
        <v>2779</v>
      </c>
      <c r="G47" s="2247"/>
      <c r="H47" s="2247"/>
      <c r="I47" s="2247"/>
      <c r="J47" s="2247"/>
      <c r="K47" s="2247"/>
      <c r="L47" s="2247"/>
      <c r="M47" s="2247"/>
      <c r="N47" s="2754"/>
      <c r="O47" s="2247"/>
      <c r="Q47" s="2256"/>
      <c r="R47" s="2256"/>
      <c r="S47" s="2256"/>
      <c r="T47" s="2256"/>
      <c r="U47" s="2256"/>
    </row>
    <row r="48" spans="2:21" s="2248" customFormat="1" ht="17.45" customHeight="1">
      <c r="B48" s="2249"/>
      <c r="C48" s="2250" t="s">
        <v>1169</v>
      </c>
      <c r="D48" s="2251"/>
      <c r="E48" s="2251"/>
      <c r="F48" s="2251" t="s">
        <v>2780</v>
      </c>
      <c r="G48" s="2251"/>
      <c r="H48" s="2249"/>
      <c r="I48" s="2251"/>
      <c r="J48" s="2251"/>
      <c r="K48" s="2251"/>
      <c r="L48" s="2253"/>
      <c r="M48" s="2728"/>
      <c r="N48" s="2247"/>
      <c r="O48" s="2249"/>
      <c r="Q48" s="2256"/>
      <c r="R48" s="2256"/>
      <c r="S48" s="2256"/>
      <c r="T48" s="2256"/>
      <c r="U48" s="2256"/>
    </row>
    <row r="49" spans="2:21" s="2252" customFormat="1" ht="17.45" customHeight="1">
      <c r="B49" s="2253"/>
      <c r="C49" s="2254" t="s">
        <v>1170</v>
      </c>
      <c r="D49" s="2255"/>
      <c r="E49" s="2255"/>
      <c r="F49" s="2255" t="s">
        <v>1171</v>
      </c>
      <c r="G49" s="2253"/>
      <c r="H49" s="2253"/>
      <c r="I49" s="2253"/>
      <c r="J49" s="2253"/>
      <c r="K49" s="2253"/>
      <c r="L49" s="2253"/>
      <c r="M49" s="2253"/>
      <c r="N49" s="2755"/>
      <c r="O49" s="2253"/>
      <c r="Q49" s="2257"/>
      <c r="R49" s="2257"/>
      <c r="S49" s="2257"/>
      <c r="T49" s="2257"/>
      <c r="U49" s="2257"/>
    </row>
    <row r="50" spans="2:21" ht="8.4499999999999993" customHeight="1">
      <c r="B50" s="1392"/>
      <c r="C50" s="1405"/>
      <c r="D50" s="1392"/>
      <c r="E50" s="1392"/>
      <c r="F50" s="1376"/>
      <c r="G50" s="1392"/>
      <c r="H50" s="1392"/>
      <c r="I50" s="1392"/>
      <c r="J50" s="1392"/>
      <c r="K50" s="1392"/>
      <c r="L50" s="1392"/>
      <c r="M50" s="1392"/>
      <c r="N50" s="1392"/>
      <c r="O50" s="1392"/>
      <c r="Q50" s="2261"/>
      <c r="R50" s="2261"/>
      <c r="S50" s="2261"/>
      <c r="T50" s="2261"/>
      <c r="U50" s="2261"/>
    </row>
    <row r="51" spans="2:21" ht="13.15" customHeight="1">
      <c r="B51" s="1392"/>
      <c r="C51" s="1406"/>
      <c r="D51" s="1407"/>
      <c r="E51" s="1406"/>
      <c r="F51" s="1408" t="s">
        <v>56</v>
      </c>
      <c r="G51" s="1406"/>
      <c r="H51" s="1406"/>
      <c r="I51" s="1407"/>
      <c r="J51" s="1407"/>
      <c r="K51" s="1407"/>
      <c r="L51" s="1407"/>
      <c r="M51" s="1407"/>
      <c r="N51" s="2245" t="s">
        <v>1775</v>
      </c>
      <c r="O51" s="1407"/>
    </row>
    <row r="52" spans="2:21">
      <c r="B52" s="1392"/>
      <c r="C52" s="1409"/>
      <c r="D52" s="1392"/>
      <c r="E52" s="1410"/>
      <c r="F52" s="1410" t="s">
        <v>57</v>
      </c>
      <c r="G52" s="1409"/>
      <c r="H52" s="1409"/>
      <c r="I52" s="1392"/>
      <c r="J52" s="1392"/>
      <c r="K52" s="1392"/>
      <c r="L52" s="1392"/>
      <c r="M52" s="1392"/>
      <c r="N52" s="1392"/>
      <c r="O52" s="1392"/>
    </row>
    <row r="53" spans="2:21">
      <c r="B53" s="1392"/>
      <c r="C53" s="1409"/>
      <c r="D53" s="1392"/>
      <c r="E53" s="1410"/>
      <c r="F53" s="1410" t="s">
        <v>58</v>
      </c>
      <c r="G53" s="1409"/>
      <c r="H53" s="1409"/>
      <c r="I53" s="1392"/>
      <c r="J53" s="1392"/>
      <c r="K53" s="1392"/>
      <c r="L53" s="1392"/>
      <c r="M53" s="1392"/>
      <c r="N53" s="1411"/>
      <c r="O53" s="1392"/>
    </row>
    <row r="54" spans="2:21" ht="9" customHeight="1">
      <c r="B54" s="1392"/>
      <c r="C54" s="1409"/>
      <c r="D54" s="1409"/>
      <c r="E54" s="1409"/>
      <c r="F54" s="1409"/>
      <c r="G54" s="1409"/>
      <c r="H54" s="1409"/>
      <c r="I54" s="1392"/>
      <c r="J54" s="1392"/>
      <c r="K54" s="1392"/>
      <c r="L54" s="1392"/>
      <c r="M54" s="1392"/>
      <c r="N54" s="1392"/>
      <c r="O54" s="1392"/>
    </row>
  </sheetData>
  <mergeCells count="11">
    <mergeCell ref="F24:H27"/>
    <mergeCell ref="Q11:U12"/>
    <mergeCell ref="F30:N31"/>
    <mergeCell ref="F32:H35"/>
    <mergeCell ref="F5:N6"/>
    <mergeCell ref="F10:N11"/>
    <mergeCell ref="F18:H20"/>
    <mergeCell ref="F22:N23"/>
    <mergeCell ref="Q5:U6"/>
    <mergeCell ref="F7:N8"/>
    <mergeCell ref="F16:N17"/>
  </mergeCells>
  <hyperlinks>
    <hyperlink ref="C43" location="'SEGMENTS Data &amp; Estimates'!A1" display="'SEGMENTS Data &amp; Estimates'!A1"/>
    <hyperlink ref="C44" location="Calculations!A1" display="Calculations"/>
    <hyperlink ref="C47" location="'Bloom Cleaner Data'!A1" display="GEARING Cleaner Data"/>
    <hyperlink ref="C48" location="'(Bloom Raw Data)'!A1" display="(Bloomberg Raw Data)"/>
    <hyperlink ref="C5" location="'NOTE 2'!A1" display="'NOTE 2'!A1"/>
    <hyperlink ref="C10" location="PROFILES!A1" display="PROFILES!A1"/>
    <hyperlink ref="C15" location="'GEARINGS, Eb&amp;E'!A8" display="GEARINGS"/>
    <hyperlink ref="C38" location="'OUTPUTS &amp; Inputs'!A1" display="'OUTPUTS &amp; Inputs'!A1"/>
    <hyperlink ref="C41" location="Ranking!A1" display="Ranking!A1"/>
    <hyperlink ref="C46" location="'Operating Leases'!A1" display="'Operating Leases'"/>
    <hyperlink ref="C49" location="'(Bloom Data Not Used or NA)'!A1" display="'(Bloom Data Not Used or NA)'!A1"/>
    <hyperlink ref="C29" location="RATINGS!A1" display="RATINGS"/>
    <hyperlink ref="C22" location="'GEARINGS, Eb&amp;E'!A358" display="Eb/E (and Dnot)"/>
    <hyperlink ref="D38" location="'OUTPUTS &amp; Inputs'!A106" display="&amp; Inputs"/>
    <hyperlink ref="C40" location="'Equity Analysts Forecasts '!A1" display="Equity Analysts Forecasts"/>
    <hyperlink ref="D7" location="'NOTE 2'!D58" display="&amp; Decompositions"/>
  </hyperlink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X103"/>
  <sheetViews>
    <sheetView showGridLines="0" zoomScale="80" zoomScaleNormal="80" workbookViewId="0">
      <pane xSplit="3" ySplit="3" topLeftCell="D4" activePane="bottomRight" state="frozen"/>
      <selection pane="topRight" activeCell="C1" sqref="C1"/>
      <selection pane="bottomLeft" activeCell="A3" sqref="A3"/>
      <selection pane="bottomRight" activeCell="SS40" sqref="SS40"/>
    </sheetView>
  </sheetViews>
  <sheetFormatPr defaultColWidth="11.5703125" defaultRowHeight="12.75"/>
  <cols>
    <col min="1" max="1" width="11.5703125" style="2288"/>
    <col min="2" max="2" width="2.5703125" style="2287" customWidth="1"/>
    <col min="3" max="3" width="16.28515625" style="2313" customWidth="1"/>
    <col min="4" max="4" width="5.85546875" style="2288" customWidth="1"/>
    <col min="5" max="6" width="9.7109375" style="2316" customWidth="1"/>
    <col min="7" max="7" width="11" style="2316" bestFit="1" customWidth="1"/>
    <col min="8" max="12" width="11.5703125" style="2288"/>
    <col min="13" max="13" width="11.5703125" style="2287"/>
    <col min="14" max="14" width="11.5703125" style="2288"/>
    <col min="15" max="15" width="3.140625" style="2288" customWidth="1"/>
    <col min="16" max="17" width="15.7109375" style="2288" bestFit="1" customWidth="1"/>
    <col min="18" max="18" width="13.140625" style="2288" bestFit="1" customWidth="1"/>
    <col min="19" max="19" width="15.28515625" style="2288" customWidth="1"/>
    <col min="20" max="20" width="14.28515625" style="2288" bestFit="1" customWidth="1"/>
    <col min="21" max="22" width="11.5703125" style="2288" customWidth="1"/>
    <col min="23" max="23" width="12.42578125" style="2288" customWidth="1"/>
    <col min="24" max="24" width="11.7109375" style="2288" bestFit="1" customWidth="1"/>
    <col min="25" max="25" width="11.42578125" style="2288" customWidth="1"/>
    <col min="26" max="37" width="11.7109375" style="2288" bestFit="1" customWidth="1"/>
    <col min="38" max="39" width="11.5703125" style="2288" customWidth="1"/>
    <col min="40" max="40" width="12.28515625" style="2288" bestFit="1" customWidth="1"/>
    <col min="41" max="41" width="12.42578125" style="2288" bestFit="1" customWidth="1"/>
    <col min="42" max="49" width="11.5703125" style="2288" customWidth="1"/>
    <col min="50" max="50" width="3.140625" style="2288" customWidth="1"/>
    <col min="51" max="68" width="11.5703125" style="2288" customWidth="1"/>
    <col min="69" max="69" width="3.140625" style="2288" customWidth="1"/>
    <col min="70" max="87" width="11.5703125" style="2288" customWidth="1"/>
    <col min="88" max="88" width="3.140625" style="2288" customWidth="1"/>
    <col min="89" max="89" width="12.140625" style="2288" customWidth="1"/>
    <col min="90" max="90" width="12" style="2288" bestFit="1" customWidth="1"/>
    <col min="91" max="91" width="12.140625" style="2288" bestFit="1" customWidth="1"/>
    <col min="92" max="92" width="11.5703125" style="2288" customWidth="1"/>
    <col min="93" max="107" width="13" style="2288" customWidth="1"/>
    <col min="108" max="108" width="3.140625" style="2288" customWidth="1"/>
    <col min="109" max="109" width="19.42578125" style="2288" bestFit="1" customWidth="1"/>
    <col min="110" max="111" width="11.5703125" style="2288" customWidth="1"/>
    <col min="112" max="112" width="12.28515625" style="2288" bestFit="1" customWidth="1"/>
    <col min="113" max="113" width="12.42578125" style="2288" bestFit="1" customWidth="1"/>
    <col min="114" max="129" width="11.5703125" style="2288" customWidth="1"/>
    <col min="130" max="130" width="3.140625" style="2288" customWidth="1"/>
    <col min="131" max="131" width="12.7109375" style="2288" bestFit="1" customWidth="1"/>
    <col min="132" max="132" width="12" style="2288" customWidth="1"/>
    <col min="133" max="134" width="11.5703125" style="2288" customWidth="1"/>
    <col min="135" max="135" width="11.5703125" style="2287" customWidth="1"/>
    <col min="136" max="139" width="11.5703125" style="3987" customWidth="1"/>
    <col min="140" max="140" width="3.28515625" style="3987" customWidth="1"/>
    <col min="141" max="141" width="14.42578125" style="3987" bestFit="1" customWidth="1"/>
    <col min="142" max="142" width="11.5703125" style="3987" customWidth="1"/>
    <col min="143" max="158" width="11.5703125" style="2288" customWidth="1"/>
    <col min="159" max="159" width="3.28515625" style="2288" customWidth="1"/>
    <col min="160" max="160" width="11.5703125" style="2288" customWidth="1"/>
    <col min="161" max="161" width="12.28515625" style="2288" bestFit="1" customWidth="1"/>
    <col min="162" max="162" width="11.5703125" style="2288" customWidth="1"/>
    <col min="163" max="163" width="11.5703125" style="2287" customWidth="1"/>
    <col min="164" max="164" width="11.42578125" style="2288" customWidth="1"/>
    <col min="165" max="178" width="11.5703125" style="2288" customWidth="1"/>
    <col min="179" max="179" width="3.140625" style="2288" customWidth="1"/>
    <col min="180" max="180" width="12.7109375" style="2288" bestFit="1" customWidth="1"/>
    <col min="181" max="181" width="12.42578125" style="2288" bestFit="1" customWidth="1"/>
    <col min="182" max="182" width="11.5703125" style="2288" customWidth="1"/>
    <col min="183" max="183" width="12.7109375" style="2288" bestFit="1" customWidth="1"/>
    <col min="184" max="184" width="11" style="2288" bestFit="1" customWidth="1"/>
    <col min="185" max="185" width="11.5703125" style="2288" customWidth="1"/>
    <col min="186" max="186" width="12.5703125" style="2288" customWidth="1"/>
    <col min="187" max="201" width="13.28515625" style="2288" bestFit="1" customWidth="1"/>
    <col min="202" max="202" width="3.28515625" style="2288" customWidth="1"/>
    <col min="203" max="203" width="15.5703125" style="2288" bestFit="1" customWidth="1"/>
    <col min="204" max="204" width="13" style="2288" bestFit="1" customWidth="1"/>
    <col min="205" max="205" width="15.5703125" style="2288" bestFit="1" customWidth="1"/>
    <col min="206" max="206" width="11.5703125" style="2288" customWidth="1"/>
    <col min="207" max="221" width="11.5703125" style="2288"/>
    <col min="222" max="222" width="3.28515625" style="2288" customWidth="1"/>
    <col min="223" max="223" width="12.7109375" style="2288" bestFit="1" customWidth="1"/>
    <col min="224" max="224" width="12.28515625" style="2288" bestFit="1" customWidth="1"/>
    <col min="225" max="240" width="11.42578125" style="2288" customWidth="1"/>
    <col min="241" max="241" width="3.28515625" style="2288" customWidth="1"/>
    <col min="242" max="243" width="11.85546875" style="2288" bestFit="1" customWidth="1"/>
    <col min="244" max="244" width="11.42578125" style="2288" customWidth="1"/>
    <col min="245" max="245" width="11.5703125" style="2288" customWidth="1"/>
    <col min="246" max="259" width="11.5703125" style="2288"/>
    <col min="260" max="260" width="3.28515625" style="2288" customWidth="1"/>
    <col min="261" max="261" width="14.140625" style="2288" bestFit="1" customWidth="1"/>
    <col min="262" max="262" width="12.28515625" style="2288" bestFit="1" customWidth="1"/>
    <col min="263" max="263" width="12" style="2288" bestFit="1" customWidth="1"/>
    <col min="264" max="264" width="12.85546875" style="2288" bestFit="1" customWidth="1"/>
    <col min="265" max="280" width="11.5703125" style="2288"/>
    <col min="281" max="281" width="3.28515625" style="2288" customWidth="1"/>
    <col min="282" max="282" width="11.85546875" style="2288" bestFit="1" customWidth="1"/>
    <col min="283" max="283" width="11.5703125" style="2288"/>
    <col min="284" max="284" width="11.85546875" style="2288" bestFit="1" customWidth="1"/>
    <col min="285" max="285" width="14.42578125" style="2288" bestFit="1" customWidth="1"/>
    <col min="286" max="301" width="11.5703125" style="2288"/>
    <col min="302" max="302" width="3.28515625" style="2288" customWidth="1"/>
    <col min="303" max="303" width="10" style="2288" bestFit="1" customWidth="1"/>
    <col min="304" max="304" width="12.42578125" style="2288" bestFit="1" customWidth="1"/>
    <col min="305" max="305" width="12" style="2288" bestFit="1" customWidth="1"/>
    <col min="306" max="306" width="12.28515625" style="2288" bestFit="1" customWidth="1"/>
    <col min="307" max="323" width="11.5703125" style="2288"/>
    <col min="324" max="324" width="3.28515625" style="2288" customWidth="1"/>
    <col min="325" max="325" width="11.42578125" style="2288" bestFit="1" customWidth="1"/>
    <col min="326" max="326" width="12.7109375" style="2288" bestFit="1" customWidth="1"/>
    <col min="327" max="327" width="12.7109375" style="2288" customWidth="1"/>
    <col min="328" max="328" width="12" style="2288" bestFit="1" customWidth="1"/>
    <col min="329" max="329" width="12.28515625" style="2288" bestFit="1" customWidth="1"/>
    <col min="330" max="330" width="11.85546875" style="2288" bestFit="1" customWidth="1"/>
    <col min="331" max="331" width="11.5703125" style="2288"/>
    <col min="332" max="346" width="12.140625" style="2288" bestFit="1" customWidth="1"/>
    <col min="347" max="347" width="3.140625" style="2288" customWidth="1"/>
    <col min="348" max="350" width="14.28515625" style="2288" bestFit="1" customWidth="1"/>
    <col min="351" max="351" width="12.28515625" style="2288" bestFit="1" customWidth="1"/>
    <col min="352" max="352" width="11.5703125" style="2288"/>
    <col min="353" max="367" width="11" style="2288" bestFit="1" customWidth="1"/>
    <col min="368" max="368" width="3.140625" style="2288" customWidth="1"/>
    <col min="369" max="369" width="6.28515625" style="2288" bestFit="1" customWidth="1"/>
    <col min="370" max="370" width="10.28515625" style="2288" bestFit="1" customWidth="1"/>
    <col min="371" max="371" width="11" style="2288" bestFit="1" customWidth="1"/>
    <col min="372" max="372" width="12.42578125" style="2288" bestFit="1" customWidth="1"/>
    <col min="373" max="373" width="11.85546875" style="2288" bestFit="1" customWidth="1"/>
    <col min="374" max="374" width="12.28515625" style="2288" bestFit="1" customWidth="1"/>
    <col min="375" max="375" width="11.85546875" style="2288" bestFit="1" customWidth="1"/>
    <col min="376" max="376" width="11.5703125" style="2825"/>
    <col min="377" max="377" width="13.7109375" style="2288" customWidth="1"/>
    <col min="378" max="378" width="12.42578125" style="2288" customWidth="1"/>
    <col min="379" max="392" width="12.7109375" style="2288" bestFit="1" customWidth="1"/>
    <col min="393" max="393" width="3.28515625" style="2288" customWidth="1"/>
    <col min="394" max="394" width="6.28515625" style="2288" bestFit="1" customWidth="1"/>
    <col min="395" max="395" width="15.7109375" style="2288" bestFit="1" customWidth="1"/>
    <col min="396" max="396" width="10.140625" style="2288" bestFit="1" customWidth="1"/>
    <col min="397" max="397" width="12.42578125" style="2288" bestFit="1" customWidth="1"/>
    <col min="398" max="399" width="11.85546875" style="2288" bestFit="1" customWidth="1"/>
    <col min="400" max="400" width="12" style="2288" bestFit="1" customWidth="1"/>
    <col min="401" max="416" width="11.5703125" style="2288" customWidth="1"/>
    <col min="417" max="418" width="11.5703125" style="2287" customWidth="1"/>
    <col min="419" max="419" width="11" style="2287" bestFit="1" customWidth="1"/>
    <col min="420" max="433" width="11" style="2288" bestFit="1" customWidth="1"/>
    <col min="434" max="434" width="3.140625" style="2288" customWidth="1"/>
    <col min="435" max="437" width="13" style="2288" bestFit="1" customWidth="1"/>
    <col min="438" max="438" width="12.28515625" style="2288" bestFit="1" customWidth="1"/>
    <col min="439" max="439" width="11.5703125" style="2288"/>
    <col min="440" max="440" width="11.7109375" style="2288" bestFit="1" customWidth="1"/>
    <col min="441" max="454" width="11" style="2288" bestFit="1" customWidth="1"/>
    <col min="455" max="455" width="3.140625" style="2288" customWidth="1"/>
    <col min="456" max="456" width="11.85546875" style="2288" bestFit="1" customWidth="1"/>
    <col min="457" max="457" width="12.140625" style="2288" bestFit="1" customWidth="1"/>
    <col min="458" max="458" width="12.5703125" style="2288" bestFit="1" customWidth="1"/>
    <col min="459" max="459" width="11.5703125" style="2288"/>
    <col min="460" max="474" width="11" style="2288" bestFit="1" customWidth="1"/>
    <col min="475" max="475" width="3.140625" style="2288" customWidth="1"/>
    <col min="476" max="476" width="11.85546875" style="2288" bestFit="1" customWidth="1"/>
    <col min="477" max="477" width="11.42578125" style="2288" bestFit="1" customWidth="1"/>
    <col min="478" max="478" width="11.5703125" style="2288"/>
    <col min="479" max="493" width="11" style="2288" bestFit="1" customWidth="1"/>
    <col min="494" max="494" width="3.140625" style="2288" customWidth="1"/>
    <col min="495" max="496" width="15.28515625" style="2288" bestFit="1" customWidth="1"/>
    <col min="497" max="512" width="11.5703125" style="2288"/>
    <col min="513" max="513" width="3.140625" style="2288" customWidth="1"/>
    <col min="514" max="514" width="12" style="2288" customWidth="1"/>
    <col min="515" max="516" width="12.28515625" style="2288" bestFit="1" customWidth="1"/>
    <col min="517" max="517" width="11.5703125" style="2562"/>
    <col min="518" max="518" width="11.5703125" style="2592"/>
    <col min="519" max="16384" width="11.5703125" style="2562"/>
  </cols>
  <sheetData>
    <row r="1" spans="1:518">
      <c r="A1" s="109" t="s">
        <v>1166</v>
      </c>
      <c r="B1" s="3282"/>
      <c r="C1" s="2087"/>
      <c r="D1" s="214"/>
      <c r="E1" s="224"/>
      <c r="F1" s="224"/>
      <c r="G1" s="224"/>
      <c r="H1" s="7"/>
      <c r="I1" s="7"/>
      <c r="J1" s="7"/>
      <c r="K1" s="7"/>
      <c r="L1" s="7"/>
      <c r="M1" s="11"/>
      <c r="N1" s="7"/>
      <c r="O1" s="7"/>
      <c r="P1" s="7"/>
      <c r="Q1" s="7"/>
      <c r="R1" s="7"/>
      <c r="S1" s="7"/>
      <c r="T1" s="7"/>
      <c r="U1" s="7"/>
      <c r="V1" s="7"/>
      <c r="W1" s="11" t="s">
        <v>1118</v>
      </c>
      <c r="X1" s="7"/>
      <c r="Y1" s="11" t="s">
        <v>1126</v>
      </c>
      <c r="Z1" s="7"/>
      <c r="AA1" s="7"/>
      <c r="AB1" s="7"/>
      <c r="AC1" s="7"/>
      <c r="AD1" s="7"/>
      <c r="AE1" s="7"/>
      <c r="AF1" s="7"/>
      <c r="AG1" s="7"/>
      <c r="AH1" s="7"/>
      <c r="AI1" s="7"/>
      <c r="AJ1" s="7"/>
      <c r="AK1" s="7"/>
      <c r="AL1" s="7"/>
      <c r="AM1" s="11" t="s">
        <v>1971</v>
      </c>
      <c r="AN1" s="7"/>
      <c r="AO1" s="11" t="s">
        <v>1973</v>
      </c>
      <c r="AP1" s="7"/>
      <c r="AQ1" s="7"/>
      <c r="AR1" s="7"/>
      <c r="AS1" s="7"/>
      <c r="AT1" s="7"/>
      <c r="AU1" s="7"/>
      <c r="AV1" s="7"/>
      <c r="AW1" s="7"/>
      <c r="AX1" s="7"/>
      <c r="AY1" s="7"/>
      <c r="AZ1" s="7"/>
      <c r="BA1" s="7"/>
      <c r="BB1" s="11" t="s">
        <v>1191</v>
      </c>
      <c r="BC1" s="7"/>
      <c r="BD1" s="7"/>
      <c r="BE1" s="7"/>
      <c r="BF1" s="7"/>
      <c r="BG1" s="7"/>
      <c r="BH1" s="7"/>
      <c r="BI1" s="7"/>
      <c r="BJ1" s="7"/>
      <c r="BK1" s="7"/>
      <c r="BL1" s="7"/>
      <c r="BM1" s="7"/>
      <c r="BN1" s="7"/>
      <c r="BO1" s="7"/>
      <c r="BP1" s="7"/>
      <c r="BQ1" s="7"/>
      <c r="BR1" s="11" t="s">
        <v>1971</v>
      </c>
      <c r="BS1" s="7"/>
      <c r="BT1" s="7"/>
      <c r="BU1" s="11" t="s">
        <v>1118</v>
      </c>
      <c r="BV1" s="7"/>
      <c r="BW1" s="7" t="s">
        <v>1975</v>
      </c>
      <c r="BX1" s="7"/>
      <c r="BY1" s="7"/>
      <c r="BZ1" s="7"/>
      <c r="CA1" s="7"/>
      <c r="CB1" s="7"/>
      <c r="CC1" s="7"/>
      <c r="CD1" s="7"/>
      <c r="CE1" s="7"/>
      <c r="CF1" s="7"/>
      <c r="CG1" s="7"/>
      <c r="CH1" s="7"/>
      <c r="CI1" s="7"/>
      <c r="CJ1" s="7"/>
      <c r="CK1" s="11" t="s">
        <v>1118</v>
      </c>
      <c r="CL1" s="7"/>
      <c r="CM1" s="7"/>
      <c r="CN1" s="7"/>
      <c r="CO1" s="2812">
        <f>'GEARINGS, Eb&amp;E'!AA1</f>
        <v>1</v>
      </c>
      <c r="CP1" s="11"/>
      <c r="CQ1" s="216"/>
      <c r="CR1" s="216"/>
      <c r="CS1" s="7"/>
      <c r="CT1" s="7"/>
      <c r="CU1" s="7"/>
      <c r="CV1" s="7"/>
      <c r="CW1" s="7"/>
      <c r="CX1" s="7"/>
      <c r="CY1" s="7"/>
      <c r="CZ1" s="7"/>
      <c r="DA1" s="7"/>
      <c r="DB1" s="7"/>
      <c r="DC1" s="7"/>
      <c r="DD1" s="7"/>
      <c r="DE1" s="7"/>
      <c r="DF1" s="7"/>
      <c r="DG1" s="21" t="s">
        <v>1971</v>
      </c>
      <c r="DH1" s="21"/>
      <c r="DI1" s="21" t="s">
        <v>1973</v>
      </c>
      <c r="DJ1" s="7"/>
      <c r="DK1" s="11" t="s">
        <v>1971</v>
      </c>
      <c r="DL1" s="7"/>
      <c r="DM1" s="11" t="s">
        <v>1286</v>
      </c>
      <c r="DN1" s="7"/>
      <c r="DO1" s="7"/>
      <c r="DP1" s="7"/>
      <c r="DQ1" s="7"/>
      <c r="DR1" s="7"/>
      <c r="DS1" s="7"/>
      <c r="DT1" s="7"/>
      <c r="DU1" s="7"/>
      <c r="DV1" s="7"/>
      <c r="DW1" s="7"/>
      <c r="DX1" s="7"/>
      <c r="DY1" s="7"/>
      <c r="DZ1" s="7"/>
      <c r="EA1" s="11" t="s">
        <v>1118</v>
      </c>
      <c r="EB1" s="7"/>
      <c r="EC1" s="7"/>
      <c r="ED1" s="7"/>
      <c r="EE1" s="11"/>
      <c r="EF1" s="21"/>
      <c r="EG1" s="21"/>
      <c r="EH1" s="21"/>
      <c r="EI1" s="21"/>
      <c r="EJ1" s="21"/>
      <c r="EK1" s="21"/>
      <c r="EL1" s="21"/>
      <c r="EM1" s="7"/>
      <c r="EN1" s="7"/>
      <c r="EO1" s="7"/>
      <c r="EP1" s="7"/>
      <c r="EQ1" s="7"/>
      <c r="ER1" s="7"/>
      <c r="ES1" s="7"/>
      <c r="ET1" s="7"/>
      <c r="EU1" s="7"/>
      <c r="EV1" s="7"/>
      <c r="EW1" s="7"/>
      <c r="EX1" s="7"/>
      <c r="EY1" s="7"/>
      <c r="EZ1" s="7"/>
      <c r="FA1" s="7"/>
      <c r="FB1" s="7"/>
      <c r="FC1" s="7"/>
      <c r="FD1" s="7"/>
      <c r="FE1" s="7"/>
      <c r="FF1" s="7"/>
      <c r="FG1" s="174"/>
      <c r="FH1" s="7"/>
      <c r="FI1" s="7"/>
      <c r="FJ1" s="7"/>
      <c r="FK1" s="7"/>
      <c r="FL1" s="7"/>
      <c r="FM1" s="7"/>
      <c r="FN1" s="7"/>
      <c r="FO1" s="7"/>
      <c r="FP1" s="7"/>
      <c r="FQ1" s="7"/>
      <c r="FR1" s="7"/>
      <c r="FS1" s="7"/>
      <c r="FT1" s="7"/>
      <c r="FU1" s="7"/>
      <c r="FV1" s="7"/>
      <c r="FW1" s="7"/>
      <c r="FX1" s="7"/>
      <c r="FY1" s="7"/>
      <c r="FZ1" s="7"/>
      <c r="GA1" s="7"/>
      <c r="GB1" s="7"/>
      <c r="GC1" s="7"/>
      <c r="GD1" s="7"/>
      <c r="GE1" s="3906">
        <f>PROFILES!$F$1</f>
        <v>1</v>
      </c>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2677" t="s">
        <v>1951</v>
      </c>
      <c r="HS1" s="174"/>
      <c r="HT1" s="174"/>
      <c r="HU1" s="174"/>
      <c r="HV1" s="174"/>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2677" t="s">
        <v>1802</v>
      </c>
      <c r="JG1" s="2677"/>
      <c r="JH1" s="267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3906">
        <f>'GEARINGS, Eb&amp;E'!AA1</f>
        <v>1</v>
      </c>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2815"/>
      <c r="NM1" s="7"/>
      <c r="NN1" s="7"/>
      <c r="NO1" s="7"/>
      <c r="NP1" s="7"/>
      <c r="NQ1" s="7"/>
      <c r="NR1" s="7"/>
      <c r="NS1" s="7"/>
      <c r="NT1" s="7"/>
      <c r="NU1" s="7"/>
      <c r="NV1" s="7"/>
      <c r="NW1" s="7"/>
      <c r="NX1" s="7"/>
      <c r="NY1" s="7"/>
      <c r="NZ1" s="7"/>
      <c r="OA1" s="7"/>
      <c r="OB1" s="7"/>
      <c r="OC1" s="7"/>
      <c r="OD1" s="7"/>
      <c r="OE1" s="7"/>
      <c r="OF1" s="7"/>
      <c r="OG1" s="7"/>
      <c r="OH1" s="7"/>
      <c r="OI1" s="7"/>
      <c r="OJ1" s="7"/>
      <c r="OK1" s="7"/>
      <c r="OL1" s="11" t="s">
        <v>1971</v>
      </c>
      <c r="OM1" s="7"/>
      <c r="ON1" s="7"/>
      <c r="OO1" s="7"/>
      <c r="OP1" s="7"/>
      <c r="OQ1" s="7"/>
      <c r="OR1" s="7"/>
      <c r="OS1" s="7"/>
      <c r="OT1" s="7"/>
      <c r="OU1" s="7"/>
      <c r="OV1" s="7"/>
      <c r="OW1" s="7"/>
      <c r="OX1" s="7"/>
      <c r="OY1" s="7"/>
      <c r="OZ1" s="7"/>
      <c r="PA1" s="11"/>
      <c r="PB1" s="11"/>
      <c r="PC1" s="11"/>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11"/>
      <c r="QP1" s="7"/>
      <c r="QQ1" s="7"/>
      <c r="QR1" s="7"/>
      <c r="QS1" s="7"/>
      <c r="QT1" s="7"/>
      <c r="QU1" s="7"/>
      <c r="QV1" s="7"/>
      <c r="QW1" s="7"/>
      <c r="QX1" s="7"/>
      <c r="QY1" s="7"/>
      <c r="QZ1" s="7"/>
      <c r="RA1" s="7"/>
      <c r="RB1" s="7"/>
      <c r="RC1" s="7"/>
      <c r="RD1" s="7"/>
      <c r="RE1" s="7"/>
      <c r="RF1" s="7"/>
      <c r="RG1" s="7"/>
      <c r="RH1" s="7"/>
      <c r="RI1" s="7"/>
      <c r="RJ1" s="7"/>
      <c r="RK1" s="2812">
        <f>'GEARINGS, Eb&amp;E'!$AA$1</f>
        <v>1</v>
      </c>
      <c r="RL1" s="11"/>
      <c r="RM1" s="7"/>
      <c r="RN1" s="7"/>
      <c r="RO1" s="7"/>
      <c r="RP1" s="7"/>
      <c r="RQ1" s="7"/>
      <c r="RR1" s="7"/>
      <c r="RS1" s="7"/>
      <c r="RT1" s="7"/>
      <c r="RU1" s="7"/>
      <c r="RV1" s="7"/>
      <c r="RW1" s="7"/>
      <c r="RX1" s="7"/>
      <c r="RY1" s="7"/>
      <c r="RZ1" s="7"/>
      <c r="SA1" s="7"/>
      <c r="SB1" s="7"/>
      <c r="SC1" s="7"/>
      <c r="SD1" s="11" t="s">
        <v>1999</v>
      </c>
      <c r="SE1" s="7"/>
      <c r="SF1" s="7"/>
      <c r="SG1" s="7"/>
      <c r="SH1" s="7"/>
      <c r="SI1" s="7"/>
      <c r="SJ1" s="7"/>
      <c r="SK1" s="7"/>
      <c r="SL1" s="7"/>
      <c r="SM1" s="7"/>
      <c r="SN1" s="7"/>
      <c r="SO1" s="7"/>
      <c r="SP1" s="7"/>
      <c r="SQ1" s="7"/>
      <c r="SR1" s="7"/>
      <c r="SS1" s="7"/>
      <c r="ST1" s="7"/>
      <c r="SU1" s="7"/>
      <c r="SV1" s="7"/>
    </row>
    <row r="2" spans="1:518">
      <c r="A2" s="11" t="s">
        <v>2769</v>
      </c>
      <c r="B2" s="11"/>
      <c r="C2" s="2810"/>
      <c r="D2" s="216"/>
      <c r="E2" s="224" t="s">
        <v>300</v>
      </c>
      <c r="F2" s="224"/>
      <c r="G2" s="5">
        <v>40178</v>
      </c>
      <c r="H2" s="5">
        <v>40359</v>
      </c>
      <c r="I2" s="24">
        <v>40543</v>
      </c>
      <c r="J2" s="5">
        <v>40724</v>
      </c>
      <c r="K2" s="24">
        <v>40908</v>
      </c>
      <c r="L2" s="5">
        <v>41090</v>
      </c>
      <c r="M2" s="24">
        <v>41274</v>
      </c>
      <c r="N2" s="24">
        <v>41455</v>
      </c>
      <c r="O2" s="24"/>
      <c r="P2" s="9" t="s">
        <v>479</v>
      </c>
      <c r="Q2" s="9" t="s">
        <v>1523</v>
      </c>
      <c r="R2" s="9" t="s">
        <v>1972</v>
      </c>
      <c r="S2" s="11" t="s">
        <v>1972</v>
      </c>
      <c r="T2" s="9" t="s">
        <v>1972</v>
      </c>
      <c r="U2" s="9"/>
      <c r="V2" s="11"/>
      <c r="W2" s="5">
        <v>40178</v>
      </c>
      <c r="X2" s="5">
        <v>40268</v>
      </c>
      <c r="Y2" s="5">
        <v>40359</v>
      </c>
      <c r="Z2" s="5">
        <v>40451</v>
      </c>
      <c r="AA2" s="5">
        <v>40543</v>
      </c>
      <c r="AB2" s="5">
        <v>40633</v>
      </c>
      <c r="AC2" s="5">
        <v>40724</v>
      </c>
      <c r="AD2" s="5">
        <v>40816</v>
      </c>
      <c r="AE2" s="5">
        <v>40908</v>
      </c>
      <c r="AF2" s="5">
        <v>40999</v>
      </c>
      <c r="AG2" s="5">
        <v>41090</v>
      </c>
      <c r="AH2" s="5">
        <v>41182</v>
      </c>
      <c r="AI2" s="5">
        <v>41274</v>
      </c>
      <c r="AJ2" s="5">
        <v>41364</v>
      </c>
      <c r="AK2" s="24">
        <v>41455</v>
      </c>
      <c r="AL2" s="11"/>
      <c r="AM2" s="9" t="s">
        <v>479</v>
      </c>
      <c r="AN2" s="9" t="s">
        <v>1972</v>
      </c>
      <c r="AO2" s="11" t="s">
        <v>1972</v>
      </c>
      <c r="AP2" s="24"/>
      <c r="AQ2" s="5">
        <v>40359</v>
      </c>
      <c r="AR2" s="24">
        <v>40543</v>
      </c>
      <c r="AS2" s="5">
        <v>40724</v>
      </c>
      <c r="AT2" s="24">
        <v>40908</v>
      </c>
      <c r="AU2" s="5">
        <v>41090</v>
      </c>
      <c r="AV2" s="24">
        <v>41274</v>
      </c>
      <c r="AW2" s="24">
        <v>41455</v>
      </c>
      <c r="AX2" s="24"/>
      <c r="AY2" s="9" t="s">
        <v>479</v>
      </c>
      <c r="AZ2" s="9" t="s">
        <v>1972</v>
      </c>
      <c r="BA2" s="9"/>
      <c r="BB2" s="5">
        <v>40178</v>
      </c>
      <c r="BC2" s="5">
        <v>40268</v>
      </c>
      <c r="BD2" s="5">
        <v>40359</v>
      </c>
      <c r="BE2" s="5">
        <v>40451</v>
      </c>
      <c r="BF2" s="5">
        <v>40543</v>
      </c>
      <c r="BG2" s="5">
        <v>40633</v>
      </c>
      <c r="BH2" s="5">
        <v>40724</v>
      </c>
      <c r="BI2" s="5">
        <v>40816</v>
      </c>
      <c r="BJ2" s="5">
        <v>40908</v>
      </c>
      <c r="BK2" s="5">
        <v>40999</v>
      </c>
      <c r="BL2" s="5">
        <v>41090</v>
      </c>
      <c r="BM2" s="5">
        <v>41182</v>
      </c>
      <c r="BN2" s="5">
        <v>41274</v>
      </c>
      <c r="BO2" s="5">
        <v>41364</v>
      </c>
      <c r="BP2" s="24">
        <v>41455</v>
      </c>
      <c r="BQ2" s="24"/>
      <c r="BR2" s="9" t="s">
        <v>479</v>
      </c>
      <c r="BS2" s="9" t="s">
        <v>1972</v>
      </c>
      <c r="BT2" s="9"/>
      <c r="BU2" s="5">
        <v>40178</v>
      </c>
      <c r="BV2" s="5">
        <v>40268</v>
      </c>
      <c r="BW2" s="5">
        <v>40359</v>
      </c>
      <c r="BX2" s="5">
        <v>40451</v>
      </c>
      <c r="BY2" s="5">
        <v>40543</v>
      </c>
      <c r="BZ2" s="5">
        <v>40633</v>
      </c>
      <c r="CA2" s="5">
        <v>40724</v>
      </c>
      <c r="CB2" s="5">
        <v>40816</v>
      </c>
      <c r="CC2" s="5">
        <v>40908</v>
      </c>
      <c r="CD2" s="5">
        <v>40999</v>
      </c>
      <c r="CE2" s="5">
        <v>41090</v>
      </c>
      <c r="CF2" s="5">
        <v>41182</v>
      </c>
      <c r="CG2" s="5">
        <v>41274</v>
      </c>
      <c r="CH2" s="5">
        <v>41364</v>
      </c>
      <c r="CI2" s="24">
        <v>41455</v>
      </c>
      <c r="CJ2" s="24"/>
      <c r="CK2" s="9" t="s">
        <v>479</v>
      </c>
      <c r="CL2" s="9" t="s">
        <v>1972</v>
      </c>
      <c r="CM2" s="9" t="s">
        <v>479</v>
      </c>
      <c r="CN2" s="11"/>
      <c r="CO2" s="5">
        <v>40178</v>
      </c>
      <c r="CP2" s="5">
        <v>40268</v>
      </c>
      <c r="CQ2" s="5">
        <v>40359</v>
      </c>
      <c r="CR2" s="5">
        <v>40451</v>
      </c>
      <c r="CS2" s="5">
        <v>40543</v>
      </c>
      <c r="CT2" s="5">
        <v>40633</v>
      </c>
      <c r="CU2" s="5">
        <v>40724</v>
      </c>
      <c r="CV2" s="5">
        <v>40816</v>
      </c>
      <c r="CW2" s="5">
        <v>40908</v>
      </c>
      <c r="CX2" s="5">
        <v>40999</v>
      </c>
      <c r="CY2" s="5">
        <v>41090</v>
      </c>
      <c r="CZ2" s="5">
        <v>41182</v>
      </c>
      <c r="DA2" s="5">
        <v>41274</v>
      </c>
      <c r="DB2" s="5">
        <v>41364</v>
      </c>
      <c r="DC2" s="24">
        <v>41455</v>
      </c>
      <c r="DD2" s="24"/>
      <c r="DE2" s="9" t="s">
        <v>479</v>
      </c>
      <c r="DF2" s="11"/>
      <c r="DG2" s="2125" t="s">
        <v>479</v>
      </c>
      <c r="DH2" s="2125" t="s">
        <v>1972</v>
      </c>
      <c r="DI2" s="2125" t="s">
        <v>1972</v>
      </c>
      <c r="DJ2" s="11"/>
      <c r="DK2" s="5">
        <v>40178</v>
      </c>
      <c r="DL2" s="5">
        <v>40268</v>
      </c>
      <c r="DM2" s="5">
        <v>40359</v>
      </c>
      <c r="DN2" s="5">
        <v>40451</v>
      </c>
      <c r="DO2" s="5">
        <v>40543</v>
      </c>
      <c r="DP2" s="5">
        <v>40633</v>
      </c>
      <c r="DQ2" s="5">
        <v>40724</v>
      </c>
      <c r="DR2" s="5">
        <v>40816</v>
      </c>
      <c r="DS2" s="5">
        <v>40908</v>
      </c>
      <c r="DT2" s="5">
        <v>40999</v>
      </c>
      <c r="DU2" s="5">
        <v>41090</v>
      </c>
      <c r="DV2" s="5">
        <v>41182</v>
      </c>
      <c r="DW2" s="5">
        <v>41274</v>
      </c>
      <c r="DX2" s="5">
        <v>41364</v>
      </c>
      <c r="DY2" s="24">
        <v>41455</v>
      </c>
      <c r="DZ2" s="24"/>
      <c r="EA2" s="9" t="s">
        <v>479</v>
      </c>
      <c r="EB2" s="9" t="s">
        <v>1972</v>
      </c>
      <c r="EC2" s="9" t="s">
        <v>479</v>
      </c>
      <c r="ED2" s="9" t="s">
        <v>1961</v>
      </c>
      <c r="EE2" s="11"/>
      <c r="EF2" s="2633">
        <v>40359</v>
      </c>
      <c r="EG2" s="2633">
        <v>40724</v>
      </c>
      <c r="EH2" s="2633">
        <v>41090</v>
      </c>
      <c r="EI2" s="2633">
        <v>41455</v>
      </c>
      <c r="EJ2" s="2633"/>
      <c r="EK2" s="2125" t="s">
        <v>479</v>
      </c>
      <c r="EL2" s="2125" t="s">
        <v>1972</v>
      </c>
      <c r="EM2" s="11"/>
      <c r="EN2" s="5">
        <v>40178</v>
      </c>
      <c r="EO2" s="5">
        <v>40268</v>
      </c>
      <c r="EP2" s="5">
        <v>40359</v>
      </c>
      <c r="EQ2" s="5">
        <v>40451</v>
      </c>
      <c r="ER2" s="5">
        <v>40543</v>
      </c>
      <c r="ES2" s="5">
        <v>40633</v>
      </c>
      <c r="ET2" s="5">
        <v>40724</v>
      </c>
      <c r="EU2" s="5">
        <v>40816</v>
      </c>
      <c r="EV2" s="5">
        <v>40908</v>
      </c>
      <c r="EW2" s="5">
        <v>40999</v>
      </c>
      <c r="EX2" s="5">
        <v>41090</v>
      </c>
      <c r="EY2" s="5">
        <v>41182</v>
      </c>
      <c r="EZ2" s="5">
        <v>41274</v>
      </c>
      <c r="FA2" s="5">
        <v>41364</v>
      </c>
      <c r="FB2" s="24">
        <v>41455</v>
      </c>
      <c r="FC2" s="24"/>
      <c r="FD2" s="9" t="s">
        <v>479</v>
      </c>
      <c r="FE2" s="9" t="s">
        <v>1972</v>
      </c>
      <c r="FF2" s="9" t="s">
        <v>2772</v>
      </c>
      <c r="FG2" s="465"/>
      <c r="FH2" s="5">
        <v>40178</v>
      </c>
      <c r="FI2" s="5">
        <v>40268</v>
      </c>
      <c r="FJ2" s="5">
        <v>40359</v>
      </c>
      <c r="FK2" s="5">
        <v>40451</v>
      </c>
      <c r="FL2" s="5">
        <v>40543</v>
      </c>
      <c r="FM2" s="5">
        <v>40633</v>
      </c>
      <c r="FN2" s="5">
        <v>40724</v>
      </c>
      <c r="FO2" s="5">
        <v>40816</v>
      </c>
      <c r="FP2" s="5">
        <v>40908</v>
      </c>
      <c r="FQ2" s="5">
        <v>40999</v>
      </c>
      <c r="FR2" s="5">
        <v>41090</v>
      </c>
      <c r="FS2" s="5">
        <v>41182</v>
      </c>
      <c r="FT2" s="5">
        <v>41274</v>
      </c>
      <c r="FU2" s="5">
        <v>41364</v>
      </c>
      <c r="FV2" s="24">
        <v>41455</v>
      </c>
      <c r="FW2" s="24"/>
      <c r="FX2" s="9" t="s">
        <v>479</v>
      </c>
      <c r="FY2" s="9" t="s">
        <v>1972</v>
      </c>
      <c r="FZ2" s="9" t="s">
        <v>479</v>
      </c>
      <c r="GA2" s="9" t="s">
        <v>2772</v>
      </c>
      <c r="GB2" s="9" t="s">
        <v>2772</v>
      </c>
      <c r="GC2" s="9" t="s">
        <v>2773</v>
      </c>
      <c r="GD2" s="9"/>
      <c r="GE2" s="5">
        <v>40178</v>
      </c>
      <c r="GF2" s="5">
        <v>40268</v>
      </c>
      <c r="GG2" s="5">
        <v>40359</v>
      </c>
      <c r="GH2" s="5">
        <v>40451</v>
      </c>
      <c r="GI2" s="5">
        <v>40543</v>
      </c>
      <c r="GJ2" s="5">
        <v>40633</v>
      </c>
      <c r="GK2" s="5">
        <v>40724</v>
      </c>
      <c r="GL2" s="5">
        <v>40816</v>
      </c>
      <c r="GM2" s="5">
        <v>40908</v>
      </c>
      <c r="GN2" s="5">
        <v>40999</v>
      </c>
      <c r="GO2" s="5">
        <v>41090</v>
      </c>
      <c r="GP2" s="5">
        <v>41182</v>
      </c>
      <c r="GQ2" s="5">
        <v>41274</v>
      </c>
      <c r="GR2" s="5">
        <v>41364</v>
      </c>
      <c r="GS2" s="24">
        <v>41455</v>
      </c>
      <c r="GT2" s="24"/>
      <c r="GU2" s="9" t="s">
        <v>479</v>
      </c>
      <c r="GV2" s="9" t="s">
        <v>1972</v>
      </c>
      <c r="GW2" s="9" t="s">
        <v>2772</v>
      </c>
      <c r="GX2" s="9"/>
      <c r="GY2" s="5">
        <v>40178</v>
      </c>
      <c r="GZ2" s="5">
        <v>40268</v>
      </c>
      <c r="HA2" s="5">
        <v>40359</v>
      </c>
      <c r="HB2" s="5">
        <v>40451</v>
      </c>
      <c r="HC2" s="5">
        <v>40543</v>
      </c>
      <c r="HD2" s="5">
        <v>40633</v>
      </c>
      <c r="HE2" s="5">
        <v>40724</v>
      </c>
      <c r="HF2" s="5">
        <v>40816</v>
      </c>
      <c r="HG2" s="5">
        <v>40908</v>
      </c>
      <c r="HH2" s="5">
        <v>40999</v>
      </c>
      <c r="HI2" s="5">
        <v>41090</v>
      </c>
      <c r="HJ2" s="5">
        <v>41182</v>
      </c>
      <c r="HK2" s="5">
        <v>41274</v>
      </c>
      <c r="HL2" s="5">
        <v>41364</v>
      </c>
      <c r="HM2" s="24">
        <v>41455</v>
      </c>
      <c r="HN2" s="24"/>
      <c r="HO2" s="9" t="s">
        <v>479</v>
      </c>
      <c r="HP2" s="9" t="s">
        <v>1972</v>
      </c>
      <c r="HQ2" s="9"/>
      <c r="HR2" s="5">
        <v>40178</v>
      </c>
      <c r="HS2" s="5">
        <v>40268</v>
      </c>
      <c r="HT2" s="5">
        <v>40359</v>
      </c>
      <c r="HU2" s="5">
        <v>40451</v>
      </c>
      <c r="HV2" s="5">
        <v>40543</v>
      </c>
      <c r="HW2" s="5">
        <v>40633</v>
      </c>
      <c r="HX2" s="5">
        <v>40724</v>
      </c>
      <c r="HY2" s="5">
        <v>40816</v>
      </c>
      <c r="HZ2" s="5">
        <v>40908</v>
      </c>
      <c r="IA2" s="5">
        <v>40999</v>
      </c>
      <c r="IB2" s="5">
        <v>41090</v>
      </c>
      <c r="IC2" s="5">
        <v>41182</v>
      </c>
      <c r="ID2" s="5">
        <v>41274</v>
      </c>
      <c r="IE2" s="5">
        <v>41364</v>
      </c>
      <c r="IF2" s="24">
        <v>41455</v>
      </c>
      <c r="IG2" s="24"/>
      <c r="IH2" s="9" t="s">
        <v>479</v>
      </c>
      <c r="II2" s="9" t="s">
        <v>1972</v>
      </c>
      <c r="IJ2" s="9"/>
      <c r="IK2" s="5">
        <v>40178</v>
      </c>
      <c r="IL2" s="5">
        <v>40268</v>
      </c>
      <c r="IM2" s="5">
        <v>40359</v>
      </c>
      <c r="IN2" s="5">
        <v>40451</v>
      </c>
      <c r="IO2" s="5">
        <v>40543</v>
      </c>
      <c r="IP2" s="5">
        <v>40633</v>
      </c>
      <c r="IQ2" s="5">
        <v>40724</v>
      </c>
      <c r="IR2" s="5">
        <v>40816</v>
      </c>
      <c r="IS2" s="5">
        <v>40908</v>
      </c>
      <c r="IT2" s="5">
        <v>40999</v>
      </c>
      <c r="IU2" s="5">
        <v>41090</v>
      </c>
      <c r="IV2" s="5">
        <v>41182</v>
      </c>
      <c r="IW2" s="5">
        <v>41274</v>
      </c>
      <c r="IX2" s="5">
        <v>41364</v>
      </c>
      <c r="IY2" s="24">
        <v>41455</v>
      </c>
      <c r="IZ2" s="24"/>
      <c r="JA2" s="9" t="s">
        <v>479</v>
      </c>
      <c r="JB2" s="9" t="s">
        <v>1972</v>
      </c>
      <c r="JC2" s="9" t="s">
        <v>479</v>
      </c>
      <c r="JD2" s="9" t="s">
        <v>479</v>
      </c>
      <c r="JE2" s="7"/>
      <c r="JF2" s="5">
        <v>40178</v>
      </c>
      <c r="JG2" s="5">
        <v>40268</v>
      </c>
      <c r="JH2" s="5">
        <v>40359</v>
      </c>
      <c r="JI2" s="5">
        <v>40451</v>
      </c>
      <c r="JJ2" s="5">
        <v>40543</v>
      </c>
      <c r="JK2" s="5">
        <v>40633</v>
      </c>
      <c r="JL2" s="5">
        <v>40724</v>
      </c>
      <c r="JM2" s="5">
        <v>40816</v>
      </c>
      <c r="JN2" s="5">
        <v>40908</v>
      </c>
      <c r="JO2" s="5">
        <v>40999</v>
      </c>
      <c r="JP2" s="5">
        <v>41090</v>
      </c>
      <c r="JQ2" s="5">
        <v>41182</v>
      </c>
      <c r="JR2" s="5">
        <v>41274</v>
      </c>
      <c r="JS2" s="5">
        <v>41364</v>
      </c>
      <c r="JT2" s="24">
        <v>41455</v>
      </c>
      <c r="JU2" s="24"/>
      <c r="JV2" s="9" t="s">
        <v>479</v>
      </c>
      <c r="JW2" s="9" t="s">
        <v>1972</v>
      </c>
      <c r="JX2" s="9" t="s">
        <v>479</v>
      </c>
      <c r="JY2" s="9" t="s">
        <v>479</v>
      </c>
      <c r="JZ2" s="7"/>
      <c r="KA2" s="5">
        <v>40178</v>
      </c>
      <c r="KB2" s="5">
        <v>40268</v>
      </c>
      <c r="KC2" s="5">
        <v>40359</v>
      </c>
      <c r="KD2" s="5">
        <v>40451</v>
      </c>
      <c r="KE2" s="5">
        <v>40543</v>
      </c>
      <c r="KF2" s="5">
        <v>40633</v>
      </c>
      <c r="KG2" s="5">
        <v>40724</v>
      </c>
      <c r="KH2" s="5">
        <v>40816</v>
      </c>
      <c r="KI2" s="5">
        <v>40908</v>
      </c>
      <c r="KJ2" s="5">
        <v>40999</v>
      </c>
      <c r="KK2" s="5">
        <v>41090</v>
      </c>
      <c r="KL2" s="5">
        <v>41182</v>
      </c>
      <c r="KM2" s="5">
        <v>41274</v>
      </c>
      <c r="KN2" s="5">
        <v>41364</v>
      </c>
      <c r="KO2" s="24">
        <v>41455</v>
      </c>
      <c r="KP2" s="24"/>
      <c r="KQ2" s="17" t="s">
        <v>363</v>
      </c>
      <c r="KR2" s="9" t="s">
        <v>480</v>
      </c>
      <c r="KS2" s="9" t="s">
        <v>479</v>
      </c>
      <c r="KT2" s="9" t="s">
        <v>1972</v>
      </c>
      <c r="KU2" s="9"/>
      <c r="KV2" s="9"/>
      <c r="KW2" s="5">
        <v>40178</v>
      </c>
      <c r="KX2" s="5">
        <v>40268</v>
      </c>
      <c r="KY2" s="5">
        <v>40359</v>
      </c>
      <c r="KZ2" s="5">
        <v>40451</v>
      </c>
      <c r="LA2" s="5">
        <v>40543</v>
      </c>
      <c r="LB2" s="5">
        <v>40633</v>
      </c>
      <c r="LC2" s="5">
        <v>40724</v>
      </c>
      <c r="LD2" s="5">
        <v>40816</v>
      </c>
      <c r="LE2" s="5">
        <v>40908</v>
      </c>
      <c r="LF2" s="5">
        <v>40999</v>
      </c>
      <c r="LG2" s="5">
        <v>41090</v>
      </c>
      <c r="LH2" s="5">
        <v>41182</v>
      </c>
      <c r="LI2" s="5">
        <v>41274</v>
      </c>
      <c r="LJ2" s="5">
        <v>41364</v>
      </c>
      <c r="LK2" s="24">
        <v>41455</v>
      </c>
      <c r="LL2" s="24"/>
      <c r="LM2" s="17" t="s">
        <v>363</v>
      </c>
      <c r="LN2" s="9" t="s">
        <v>480</v>
      </c>
      <c r="LO2" s="9" t="s">
        <v>480</v>
      </c>
      <c r="LP2" s="9" t="s">
        <v>479</v>
      </c>
      <c r="LQ2" s="9" t="s">
        <v>1972</v>
      </c>
      <c r="LR2" s="9" t="s">
        <v>479</v>
      </c>
      <c r="LS2" s="9"/>
      <c r="LT2" s="5">
        <v>40178</v>
      </c>
      <c r="LU2" s="5">
        <v>40268</v>
      </c>
      <c r="LV2" s="5">
        <v>40359</v>
      </c>
      <c r="LW2" s="5">
        <v>40451</v>
      </c>
      <c r="LX2" s="5">
        <v>40543</v>
      </c>
      <c r="LY2" s="5">
        <v>40633</v>
      </c>
      <c r="LZ2" s="5">
        <v>40724</v>
      </c>
      <c r="MA2" s="5">
        <v>40816</v>
      </c>
      <c r="MB2" s="5">
        <v>40908</v>
      </c>
      <c r="MC2" s="5">
        <v>40999</v>
      </c>
      <c r="MD2" s="5">
        <v>41090</v>
      </c>
      <c r="ME2" s="5">
        <v>41182</v>
      </c>
      <c r="MF2" s="5">
        <v>41274</v>
      </c>
      <c r="MG2" s="5">
        <v>41364</v>
      </c>
      <c r="MH2" s="24">
        <v>41455</v>
      </c>
      <c r="MI2" s="24"/>
      <c r="MJ2" s="17" t="s">
        <v>363</v>
      </c>
      <c r="MK2" s="9" t="s">
        <v>480</v>
      </c>
      <c r="ML2" s="9" t="s">
        <v>479</v>
      </c>
      <c r="MM2" s="9" t="s">
        <v>1972</v>
      </c>
      <c r="MN2" s="9"/>
      <c r="MO2" s="5">
        <v>40178</v>
      </c>
      <c r="MP2" s="5">
        <v>40268</v>
      </c>
      <c r="MQ2" s="5">
        <v>40359</v>
      </c>
      <c r="MR2" s="5">
        <v>40451</v>
      </c>
      <c r="MS2" s="5">
        <v>40543</v>
      </c>
      <c r="MT2" s="5">
        <v>40633</v>
      </c>
      <c r="MU2" s="5">
        <v>40724</v>
      </c>
      <c r="MV2" s="5">
        <v>40816</v>
      </c>
      <c r="MW2" s="5">
        <v>40908</v>
      </c>
      <c r="MX2" s="5">
        <v>40999</v>
      </c>
      <c r="MY2" s="5">
        <v>41090</v>
      </c>
      <c r="MZ2" s="5">
        <v>41182</v>
      </c>
      <c r="NA2" s="5">
        <v>41274</v>
      </c>
      <c r="NB2" s="5">
        <v>41364</v>
      </c>
      <c r="NC2" s="24">
        <v>41455</v>
      </c>
      <c r="ND2" s="24"/>
      <c r="NE2" s="17" t="s">
        <v>1178</v>
      </c>
      <c r="NF2" s="17" t="s">
        <v>363</v>
      </c>
      <c r="NG2" s="17" t="s">
        <v>363</v>
      </c>
      <c r="NH2" s="9" t="s">
        <v>480</v>
      </c>
      <c r="NI2" s="9" t="s">
        <v>479</v>
      </c>
      <c r="NJ2" s="9" t="s">
        <v>1972</v>
      </c>
      <c r="NK2" s="9" t="s">
        <v>479</v>
      </c>
      <c r="NL2" s="2816"/>
      <c r="NM2" s="9"/>
      <c r="NN2" s="5">
        <v>40178</v>
      </c>
      <c r="NO2" s="5">
        <v>40268</v>
      </c>
      <c r="NP2" s="5">
        <v>40359</v>
      </c>
      <c r="NQ2" s="5">
        <v>40451</v>
      </c>
      <c r="NR2" s="5">
        <v>40543</v>
      </c>
      <c r="NS2" s="5">
        <v>40633</v>
      </c>
      <c r="NT2" s="5">
        <v>40724</v>
      </c>
      <c r="NU2" s="5">
        <v>40816</v>
      </c>
      <c r="NV2" s="5">
        <v>40908</v>
      </c>
      <c r="NW2" s="5">
        <v>40999</v>
      </c>
      <c r="NX2" s="5">
        <v>41090</v>
      </c>
      <c r="NY2" s="5">
        <v>41182</v>
      </c>
      <c r="NZ2" s="5">
        <v>41274</v>
      </c>
      <c r="OA2" s="5">
        <v>41364</v>
      </c>
      <c r="OB2" s="24">
        <v>41455</v>
      </c>
      <c r="OC2" s="24"/>
      <c r="OD2" s="17" t="s">
        <v>1178</v>
      </c>
      <c r="OE2" s="17" t="s">
        <v>363</v>
      </c>
      <c r="OF2" s="17" t="s">
        <v>363</v>
      </c>
      <c r="OG2" s="9" t="s">
        <v>480</v>
      </c>
      <c r="OH2" s="9" t="s">
        <v>479</v>
      </c>
      <c r="OI2" s="9" t="s">
        <v>1972</v>
      </c>
      <c r="OJ2" s="9" t="s">
        <v>479</v>
      </c>
      <c r="OK2" s="9"/>
      <c r="OL2" s="5">
        <v>40178</v>
      </c>
      <c r="OM2" s="5">
        <v>40268</v>
      </c>
      <c r="ON2" s="5">
        <v>40359</v>
      </c>
      <c r="OO2" s="5">
        <v>40451</v>
      </c>
      <c r="OP2" s="5">
        <v>40543</v>
      </c>
      <c r="OQ2" s="5">
        <v>40633</v>
      </c>
      <c r="OR2" s="5">
        <v>40724</v>
      </c>
      <c r="OS2" s="5">
        <v>40816</v>
      </c>
      <c r="OT2" s="5">
        <v>40908</v>
      </c>
      <c r="OU2" s="5">
        <v>40999</v>
      </c>
      <c r="OV2" s="5">
        <v>41090</v>
      </c>
      <c r="OW2" s="5">
        <v>41182</v>
      </c>
      <c r="OX2" s="5">
        <v>41274</v>
      </c>
      <c r="OY2" s="5">
        <v>41364</v>
      </c>
      <c r="OZ2" s="24">
        <v>41455</v>
      </c>
      <c r="PA2" s="11"/>
      <c r="PB2" s="11"/>
      <c r="PC2" s="24">
        <v>40178</v>
      </c>
      <c r="PD2" s="5">
        <v>40268</v>
      </c>
      <c r="PE2" s="5">
        <v>40359</v>
      </c>
      <c r="PF2" s="5">
        <v>40451</v>
      </c>
      <c r="PG2" s="5">
        <v>40543</v>
      </c>
      <c r="PH2" s="5">
        <v>40633</v>
      </c>
      <c r="PI2" s="5">
        <v>40724</v>
      </c>
      <c r="PJ2" s="5">
        <v>40816</v>
      </c>
      <c r="PK2" s="5">
        <v>40908</v>
      </c>
      <c r="PL2" s="5">
        <v>40999</v>
      </c>
      <c r="PM2" s="5">
        <v>41090</v>
      </c>
      <c r="PN2" s="5">
        <v>41182</v>
      </c>
      <c r="PO2" s="5">
        <v>41274</v>
      </c>
      <c r="PP2" s="5">
        <v>41364</v>
      </c>
      <c r="PQ2" s="24">
        <v>41455</v>
      </c>
      <c r="PR2" s="24"/>
      <c r="PS2" s="17" t="s">
        <v>363</v>
      </c>
      <c r="PT2" s="9" t="s">
        <v>480</v>
      </c>
      <c r="PU2" s="9" t="s">
        <v>479</v>
      </c>
      <c r="PV2" s="9" t="s">
        <v>1972</v>
      </c>
      <c r="PW2" s="9"/>
      <c r="PX2" s="5">
        <v>40178</v>
      </c>
      <c r="PY2" s="5">
        <v>40268</v>
      </c>
      <c r="PZ2" s="5">
        <v>40359</v>
      </c>
      <c r="QA2" s="5">
        <v>40451</v>
      </c>
      <c r="QB2" s="5">
        <v>40543</v>
      </c>
      <c r="QC2" s="5">
        <v>40633</v>
      </c>
      <c r="QD2" s="5">
        <v>40724</v>
      </c>
      <c r="QE2" s="5">
        <v>40816</v>
      </c>
      <c r="QF2" s="5">
        <v>40908</v>
      </c>
      <c r="QG2" s="5">
        <v>40999</v>
      </c>
      <c r="QH2" s="5">
        <v>41090</v>
      </c>
      <c r="QI2" s="5">
        <v>41182</v>
      </c>
      <c r="QJ2" s="24">
        <v>41274</v>
      </c>
      <c r="QK2" s="5">
        <v>41364</v>
      </c>
      <c r="QL2" s="24">
        <v>41455</v>
      </c>
      <c r="QM2" s="24"/>
      <c r="QN2" s="9" t="s">
        <v>479</v>
      </c>
      <c r="QO2" s="9" t="s">
        <v>1989</v>
      </c>
      <c r="QP2" s="9" t="s">
        <v>1003</v>
      </c>
      <c r="QQ2" s="9"/>
      <c r="QR2" s="5">
        <v>40178</v>
      </c>
      <c r="QS2" s="5">
        <v>40268</v>
      </c>
      <c r="QT2" s="5">
        <v>40359</v>
      </c>
      <c r="QU2" s="5">
        <v>40451</v>
      </c>
      <c r="QV2" s="5">
        <v>40543</v>
      </c>
      <c r="QW2" s="5">
        <v>40633</v>
      </c>
      <c r="QX2" s="5">
        <v>40724</v>
      </c>
      <c r="QY2" s="5">
        <v>40816</v>
      </c>
      <c r="QZ2" s="5">
        <v>40908</v>
      </c>
      <c r="RA2" s="5">
        <v>40999</v>
      </c>
      <c r="RB2" s="5">
        <v>41090</v>
      </c>
      <c r="RC2" s="5">
        <v>41182</v>
      </c>
      <c r="RD2" s="24">
        <v>41274</v>
      </c>
      <c r="RE2" s="5">
        <v>41364</v>
      </c>
      <c r="RF2" s="24">
        <v>41455</v>
      </c>
      <c r="RG2" s="24"/>
      <c r="RH2" s="9" t="s">
        <v>479</v>
      </c>
      <c r="RI2" s="9" t="s">
        <v>1458</v>
      </c>
      <c r="RJ2" s="9"/>
      <c r="RK2" s="5">
        <v>40178</v>
      </c>
      <c r="RL2" s="5">
        <v>40268</v>
      </c>
      <c r="RM2" s="5">
        <v>40359</v>
      </c>
      <c r="RN2" s="5">
        <v>40451</v>
      </c>
      <c r="RO2" s="5">
        <v>40543</v>
      </c>
      <c r="RP2" s="5">
        <v>40633</v>
      </c>
      <c r="RQ2" s="5">
        <v>40724</v>
      </c>
      <c r="RR2" s="5">
        <v>40816</v>
      </c>
      <c r="RS2" s="5">
        <v>40908</v>
      </c>
      <c r="RT2" s="5">
        <v>40999</v>
      </c>
      <c r="RU2" s="5">
        <v>41090</v>
      </c>
      <c r="RV2" s="5">
        <v>41182</v>
      </c>
      <c r="RW2" s="24">
        <v>41274</v>
      </c>
      <c r="RX2" s="5">
        <v>41364</v>
      </c>
      <c r="RY2" s="24">
        <v>41455</v>
      </c>
      <c r="RZ2" s="24"/>
      <c r="SA2" s="9" t="s">
        <v>479</v>
      </c>
      <c r="SB2" s="9" t="s">
        <v>1458</v>
      </c>
      <c r="SC2" s="9"/>
      <c r="SD2" s="5">
        <v>40178</v>
      </c>
      <c r="SE2" s="5">
        <v>40268</v>
      </c>
      <c r="SF2" s="5">
        <v>40359</v>
      </c>
      <c r="SG2" s="5">
        <v>40451</v>
      </c>
      <c r="SH2" s="5">
        <v>40543</v>
      </c>
      <c r="SI2" s="5">
        <v>40633</v>
      </c>
      <c r="SJ2" s="5">
        <v>40724</v>
      </c>
      <c r="SK2" s="5">
        <v>40816</v>
      </c>
      <c r="SL2" s="5">
        <v>40908</v>
      </c>
      <c r="SM2" s="5">
        <v>40999</v>
      </c>
      <c r="SN2" s="5">
        <v>41090</v>
      </c>
      <c r="SO2" s="5">
        <v>41182</v>
      </c>
      <c r="SP2" s="24">
        <v>41274</v>
      </c>
      <c r="SQ2" s="5">
        <v>41364</v>
      </c>
      <c r="SR2" s="24">
        <v>41455</v>
      </c>
      <c r="SS2" s="24"/>
      <c r="ST2" s="9" t="s">
        <v>479</v>
      </c>
      <c r="SU2" s="9" t="s">
        <v>1988</v>
      </c>
      <c r="SV2" s="9" t="s">
        <v>1988</v>
      </c>
      <c r="SX2" s="2563"/>
    </row>
    <row r="3" spans="1:518" s="2679" customFormat="1">
      <c r="A3" s="2152" t="s">
        <v>2770</v>
      </c>
      <c r="B3" s="2152"/>
      <c r="C3" s="2202"/>
      <c r="D3" s="2215"/>
      <c r="E3" s="2216" t="s">
        <v>80</v>
      </c>
      <c r="F3" s="2216"/>
      <c r="G3" s="455" t="s">
        <v>81</v>
      </c>
      <c r="H3" s="455" t="s">
        <v>81</v>
      </c>
      <c r="I3" s="2152" t="s">
        <v>81</v>
      </c>
      <c r="J3" s="455" t="s">
        <v>81</v>
      </c>
      <c r="K3" s="2152" t="s">
        <v>81</v>
      </c>
      <c r="L3" s="455" t="s">
        <v>81</v>
      </c>
      <c r="M3" s="2152" t="s">
        <v>81</v>
      </c>
      <c r="N3" s="2152" t="s">
        <v>81</v>
      </c>
      <c r="O3" s="2152"/>
      <c r="P3" s="2142" t="s">
        <v>83</v>
      </c>
      <c r="Q3" s="2142" t="s">
        <v>83</v>
      </c>
      <c r="R3" s="2142" t="s">
        <v>303</v>
      </c>
      <c r="S3" s="2152" t="s">
        <v>1796</v>
      </c>
      <c r="T3" s="2142" t="s">
        <v>716</v>
      </c>
      <c r="U3" s="2142"/>
      <c r="V3" s="2152"/>
      <c r="W3" s="2152" t="s">
        <v>1119</v>
      </c>
      <c r="X3" s="2152" t="s">
        <v>1119</v>
      </c>
      <c r="Y3" s="2152" t="s">
        <v>1119</v>
      </c>
      <c r="Z3" s="2152" t="s">
        <v>1119</v>
      </c>
      <c r="AA3" s="2152" t="s">
        <v>1119</v>
      </c>
      <c r="AB3" s="2152" t="s">
        <v>1119</v>
      </c>
      <c r="AC3" s="2152" t="s">
        <v>1119</v>
      </c>
      <c r="AD3" s="2152" t="s">
        <v>1119</v>
      </c>
      <c r="AE3" s="2152" t="s">
        <v>1119</v>
      </c>
      <c r="AF3" s="2152" t="s">
        <v>1119</v>
      </c>
      <c r="AG3" s="2152" t="s">
        <v>1119</v>
      </c>
      <c r="AH3" s="2152" t="s">
        <v>1119</v>
      </c>
      <c r="AI3" s="2152" t="s">
        <v>1119</v>
      </c>
      <c r="AJ3" s="2152" t="s">
        <v>1119</v>
      </c>
      <c r="AK3" s="2152" t="s">
        <v>1119</v>
      </c>
      <c r="AL3" s="2152"/>
      <c r="AM3" s="2142" t="s">
        <v>1023</v>
      </c>
      <c r="AN3" s="2142" t="s">
        <v>1024</v>
      </c>
      <c r="AO3" s="2152" t="s">
        <v>1974</v>
      </c>
      <c r="AP3" s="2152"/>
      <c r="AQ3" s="2152" t="s">
        <v>1020</v>
      </c>
      <c r="AR3" s="2152" t="s">
        <v>1020</v>
      </c>
      <c r="AS3" s="2152" t="s">
        <v>1020</v>
      </c>
      <c r="AT3" s="2152" t="s">
        <v>1020</v>
      </c>
      <c r="AU3" s="2152" t="s">
        <v>1020</v>
      </c>
      <c r="AV3" s="2152"/>
      <c r="AW3" s="2152"/>
      <c r="AX3" s="2152"/>
      <c r="AY3" s="2142" t="s">
        <v>1021</v>
      </c>
      <c r="AZ3" s="2142" t="s">
        <v>1022</v>
      </c>
      <c r="BA3" s="2142"/>
      <c r="BB3" s="2152" t="s">
        <v>1192</v>
      </c>
      <c r="BC3" s="2152" t="s">
        <v>1192</v>
      </c>
      <c r="BD3" s="2152" t="s">
        <v>1192</v>
      </c>
      <c r="BE3" s="2152" t="s">
        <v>1192</v>
      </c>
      <c r="BF3" s="2152" t="s">
        <v>1192</v>
      </c>
      <c r="BG3" s="2152" t="s">
        <v>1192</v>
      </c>
      <c r="BH3" s="2152" t="s">
        <v>1192</v>
      </c>
      <c r="BI3" s="2152" t="s">
        <v>1192</v>
      </c>
      <c r="BJ3" s="2152" t="s">
        <v>1192</v>
      </c>
      <c r="BK3" s="2152" t="s">
        <v>1192</v>
      </c>
      <c r="BL3" s="2152" t="s">
        <v>1192</v>
      </c>
      <c r="BM3" s="2152" t="s">
        <v>1192</v>
      </c>
      <c r="BN3" s="2152" t="s">
        <v>1192</v>
      </c>
      <c r="BO3" s="2152" t="s">
        <v>1192</v>
      </c>
      <c r="BP3" s="2152" t="s">
        <v>1192</v>
      </c>
      <c r="BQ3" s="2152"/>
      <c r="BR3" s="2142" t="s">
        <v>1193</v>
      </c>
      <c r="BS3" s="2142" t="s">
        <v>1194</v>
      </c>
      <c r="BT3" s="2142"/>
      <c r="BU3" s="2152" t="s">
        <v>1025</v>
      </c>
      <c r="BV3" s="2152" t="s">
        <v>1025</v>
      </c>
      <c r="BW3" s="2152" t="s">
        <v>1025</v>
      </c>
      <c r="BX3" s="2152" t="s">
        <v>1025</v>
      </c>
      <c r="BY3" s="2152" t="s">
        <v>1025</v>
      </c>
      <c r="BZ3" s="2152" t="s">
        <v>1025</v>
      </c>
      <c r="CA3" s="2152" t="s">
        <v>1025</v>
      </c>
      <c r="CB3" s="2152" t="s">
        <v>1025</v>
      </c>
      <c r="CC3" s="2152" t="s">
        <v>1025</v>
      </c>
      <c r="CD3" s="2152" t="s">
        <v>1025</v>
      </c>
      <c r="CE3" s="2152" t="s">
        <v>1025</v>
      </c>
      <c r="CF3" s="2152" t="s">
        <v>1025</v>
      </c>
      <c r="CG3" s="2152" t="s">
        <v>1025</v>
      </c>
      <c r="CH3" s="2152" t="s">
        <v>1025</v>
      </c>
      <c r="CI3" s="2152" t="s">
        <v>1025</v>
      </c>
      <c r="CJ3" s="2152"/>
      <c r="CK3" s="2142" t="s">
        <v>1027</v>
      </c>
      <c r="CL3" s="2142" t="s">
        <v>1028</v>
      </c>
      <c r="CM3" s="2142" t="s">
        <v>1976</v>
      </c>
      <c r="CN3" s="2152"/>
      <c r="CO3" s="2152" t="s">
        <v>1177</v>
      </c>
      <c r="CP3" s="2152" t="s">
        <v>1177</v>
      </c>
      <c r="CQ3" s="2152" t="s">
        <v>1177</v>
      </c>
      <c r="CR3" s="2152" t="s">
        <v>1177</v>
      </c>
      <c r="CS3" s="2152" t="s">
        <v>1177</v>
      </c>
      <c r="CT3" s="2152" t="s">
        <v>1177</v>
      </c>
      <c r="CU3" s="2152" t="s">
        <v>1177</v>
      </c>
      <c r="CV3" s="2152" t="s">
        <v>1177</v>
      </c>
      <c r="CW3" s="2152" t="s">
        <v>1177</v>
      </c>
      <c r="CX3" s="2152" t="s">
        <v>1177</v>
      </c>
      <c r="CY3" s="2152" t="s">
        <v>1177</v>
      </c>
      <c r="CZ3" s="2152" t="s">
        <v>1177</v>
      </c>
      <c r="DA3" s="2152" t="s">
        <v>1177</v>
      </c>
      <c r="DB3" s="2152" t="s">
        <v>1177</v>
      </c>
      <c r="DC3" s="2152" t="s">
        <v>1177</v>
      </c>
      <c r="DD3" s="2152"/>
      <c r="DE3" s="2142" t="s">
        <v>1797</v>
      </c>
      <c r="DF3" s="2152"/>
      <c r="DG3" s="2217" t="s">
        <v>1086</v>
      </c>
      <c r="DH3" s="2217" t="s">
        <v>1798</v>
      </c>
      <c r="DI3" s="2217" t="s">
        <v>1798</v>
      </c>
      <c r="DJ3" s="2152"/>
      <c r="DK3" s="2152" t="s">
        <v>1083</v>
      </c>
      <c r="DL3" s="2152" t="s">
        <v>1083</v>
      </c>
      <c r="DM3" s="2152" t="s">
        <v>1083</v>
      </c>
      <c r="DN3" s="2152" t="s">
        <v>1083</v>
      </c>
      <c r="DO3" s="2152" t="s">
        <v>1083</v>
      </c>
      <c r="DP3" s="2152" t="s">
        <v>1083</v>
      </c>
      <c r="DQ3" s="2152" t="s">
        <v>1083</v>
      </c>
      <c r="DR3" s="2152" t="s">
        <v>1083</v>
      </c>
      <c r="DS3" s="2152" t="s">
        <v>1083</v>
      </c>
      <c r="DT3" s="2152" t="s">
        <v>1083</v>
      </c>
      <c r="DU3" s="2152" t="s">
        <v>1083</v>
      </c>
      <c r="DV3" s="2152" t="s">
        <v>1083</v>
      </c>
      <c r="DW3" s="2152" t="s">
        <v>1083</v>
      </c>
      <c r="DX3" s="2152" t="s">
        <v>1083</v>
      </c>
      <c r="DY3" s="2152" t="s">
        <v>1083</v>
      </c>
      <c r="DZ3" s="2152"/>
      <c r="EA3" s="2142" t="s">
        <v>1084</v>
      </c>
      <c r="EB3" s="2142" t="s">
        <v>1085</v>
      </c>
      <c r="EC3" s="2142" t="s">
        <v>1978</v>
      </c>
      <c r="ED3" s="2142" t="s">
        <v>1978</v>
      </c>
      <c r="EE3" s="2152"/>
      <c r="EF3" s="3978" t="s">
        <v>718</v>
      </c>
      <c r="EG3" s="3978" t="s">
        <v>718</v>
      </c>
      <c r="EH3" s="3978" t="s">
        <v>718</v>
      </c>
      <c r="EI3" s="3978" t="s">
        <v>718</v>
      </c>
      <c r="EJ3" s="3978"/>
      <c r="EK3" s="2217" t="s">
        <v>719</v>
      </c>
      <c r="EL3" s="2217" t="s">
        <v>2771</v>
      </c>
      <c r="EM3" s="2152"/>
      <c r="EN3" s="2152" t="s">
        <v>87</v>
      </c>
      <c r="EO3" s="2152" t="s">
        <v>87</v>
      </c>
      <c r="EP3" s="2152" t="s">
        <v>87</v>
      </c>
      <c r="EQ3" s="2152" t="s">
        <v>87</v>
      </c>
      <c r="ER3" s="2152" t="s">
        <v>87</v>
      </c>
      <c r="ES3" s="2152" t="s">
        <v>87</v>
      </c>
      <c r="ET3" s="2152" t="s">
        <v>87</v>
      </c>
      <c r="EU3" s="2152" t="s">
        <v>87</v>
      </c>
      <c r="EV3" s="2152" t="s">
        <v>87</v>
      </c>
      <c r="EW3" s="2152" t="s">
        <v>87</v>
      </c>
      <c r="EX3" s="2152" t="s">
        <v>87</v>
      </c>
      <c r="EY3" s="2152" t="s">
        <v>87</v>
      </c>
      <c r="EZ3" s="2152" t="s">
        <v>87</v>
      </c>
      <c r="FA3" s="2152" t="s">
        <v>87</v>
      </c>
      <c r="FB3" s="2152" t="s">
        <v>87</v>
      </c>
      <c r="FC3" s="2152"/>
      <c r="FD3" s="2142" t="s">
        <v>1091</v>
      </c>
      <c r="FE3" s="2142" t="s">
        <v>1092</v>
      </c>
      <c r="FF3" s="2142" t="s">
        <v>1091</v>
      </c>
      <c r="FG3" s="2218"/>
      <c r="FH3" s="2152" t="s">
        <v>1087</v>
      </c>
      <c r="FI3" s="2152" t="s">
        <v>1087</v>
      </c>
      <c r="FJ3" s="2152" t="s">
        <v>1087</v>
      </c>
      <c r="FK3" s="2152" t="s">
        <v>1087</v>
      </c>
      <c r="FL3" s="2152" t="s">
        <v>1087</v>
      </c>
      <c r="FM3" s="2152" t="s">
        <v>1087</v>
      </c>
      <c r="FN3" s="2152" t="s">
        <v>1087</v>
      </c>
      <c r="FO3" s="2152" t="s">
        <v>1087</v>
      </c>
      <c r="FP3" s="2152" t="s">
        <v>1087</v>
      </c>
      <c r="FQ3" s="2152" t="s">
        <v>1087</v>
      </c>
      <c r="FR3" s="2152" t="s">
        <v>1087</v>
      </c>
      <c r="FS3" s="2152" t="s">
        <v>1087</v>
      </c>
      <c r="FT3" s="2152" t="s">
        <v>1087</v>
      </c>
      <c r="FU3" s="2152" t="s">
        <v>1087</v>
      </c>
      <c r="FV3" s="2152" t="s">
        <v>1087</v>
      </c>
      <c r="FW3" s="2152"/>
      <c r="FX3" s="2142" t="s">
        <v>1093</v>
      </c>
      <c r="FY3" s="2142" t="s">
        <v>1094</v>
      </c>
      <c r="FZ3" s="2142" t="s">
        <v>1978</v>
      </c>
      <c r="GA3" s="2142" t="s">
        <v>1093</v>
      </c>
      <c r="GB3" s="2142" t="s">
        <v>1978</v>
      </c>
      <c r="GC3" s="2142" t="s">
        <v>1978</v>
      </c>
      <c r="GD3" s="2142"/>
      <c r="GE3" s="2152" t="s">
        <v>764</v>
      </c>
      <c r="GF3" s="2152" t="s">
        <v>764</v>
      </c>
      <c r="GG3" s="2152" t="s">
        <v>764</v>
      </c>
      <c r="GH3" s="2152" t="s">
        <v>764</v>
      </c>
      <c r="GI3" s="2152" t="s">
        <v>764</v>
      </c>
      <c r="GJ3" s="2152" t="s">
        <v>764</v>
      </c>
      <c r="GK3" s="2152" t="s">
        <v>764</v>
      </c>
      <c r="GL3" s="2152" t="s">
        <v>764</v>
      </c>
      <c r="GM3" s="2152" t="s">
        <v>764</v>
      </c>
      <c r="GN3" s="2152" t="s">
        <v>764</v>
      </c>
      <c r="GO3" s="2152" t="s">
        <v>764</v>
      </c>
      <c r="GP3" s="2152" t="s">
        <v>764</v>
      </c>
      <c r="GQ3" s="2152" t="s">
        <v>764</v>
      </c>
      <c r="GR3" s="2152" t="s">
        <v>764</v>
      </c>
      <c r="GS3" s="2152" t="s">
        <v>764</v>
      </c>
      <c r="GT3" s="2152"/>
      <c r="GU3" s="2142" t="s">
        <v>1095</v>
      </c>
      <c r="GV3" s="2142" t="s">
        <v>1096</v>
      </c>
      <c r="GW3" s="2142" t="s">
        <v>1095</v>
      </c>
      <c r="GX3" s="2142"/>
      <c r="GY3" s="2152" t="s">
        <v>85</v>
      </c>
      <c r="GZ3" s="2152" t="s">
        <v>85</v>
      </c>
      <c r="HA3" s="2152" t="s">
        <v>85</v>
      </c>
      <c r="HB3" s="2152" t="s">
        <v>85</v>
      </c>
      <c r="HC3" s="2152" t="s">
        <v>85</v>
      </c>
      <c r="HD3" s="2152" t="s">
        <v>85</v>
      </c>
      <c r="HE3" s="2152" t="s">
        <v>85</v>
      </c>
      <c r="HF3" s="2152" t="s">
        <v>85</v>
      </c>
      <c r="HG3" s="2152" t="s">
        <v>85</v>
      </c>
      <c r="HH3" s="2152" t="s">
        <v>85</v>
      </c>
      <c r="HI3" s="2152" t="s">
        <v>85</v>
      </c>
      <c r="HJ3" s="2152" t="s">
        <v>85</v>
      </c>
      <c r="HK3" s="2152" t="s">
        <v>85</v>
      </c>
      <c r="HL3" s="2152" t="s">
        <v>85</v>
      </c>
      <c r="HM3" s="2152" t="s">
        <v>85</v>
      </c>
      <c r="HN3" s="2152"/>
      <c r="HO3" s="2142" t="s">
        <v>86</v>
      </c>
      <c r="HP3" s="2142" t="s">
        <v>94</v>
      </c>
      <c r="HQ3" s="2142"/>
      <c r="HR3" s="2219" t="s">
        <v>336</v>
      </c>
      <c r="HS3" s="2219" t="s">
        <v>336</v>
      </c>
      <c r="HT3" s="2219" t="s">
        <v>336</v>
      </c>
      <c r="HU3" s="2219" t="s">
        <v>336</v>
      </c>
      <c r="HV3" s="2219" t="s">
        <v>336</v>
      </c>
      <c r="HW3" s="2219" t="s">
        <v>336</v>
      </c>
      <c r="HX3" s="2219" t="s">
        <v>336</v>
      </c>
      <c r="HY3" s="2219" t="s">
        <v>336</v>
      </c>
      <c r="HZ3" s="2219" t="s">
        <v>336</v>
      </c>
      <c r="IA3" s="2219" t="s">
        <v>336</v>
      </c>
      <c r="IB3" s="2219" t="s">
        <v>336</v>
      </c>
      <c r="IC3" s="2219" t="s">
        <v>336</v>
      </c>
      <c r="ID3" s="2219" t="s">
        <v>336</v>
      </c>
      <c r="IE3" s="2219" t="s">
        <v>336</v>
      </c>
      <c r="IF3" s="2219" t="s">
        <v>336</v>
      </c>
      <c r="IG3" s="2152"/>
      <c r="IH3" s="2142" t="s">
        <v>733</v>
      </c>
      <c r="II3" s="2142" t="s">
        <v>734</v>
      </c>
      <c r="IJ3" s="2142"/>
      <c r="IK3" s="2152" t="s">
        <v>720</v>
      </c>
      <c r="IL3" s="2152" t="s">
        <v>720</v>
      </c>
      <c r="IM3" s="2152" t="s">
        <v>720</v>
      </c>
      <c r="IN3" s="2152" t="s">
        <v>720</v>
      </c>
      <c r="IO3" s="2152" t="s">
        <v>720</v>
      </c>
      <c r="IP3" s="2152" t="s">
        <v>720</v>
      </c>
      <c r="IQ3" s="2152" t="s">
        <v>720</v>
      </c>
      <c r="IR3" s="2152" t="s">
        <v>720</v>
      </c>
      <c r="IS3" s="2152" t="s">
        <v>720</v>
      </c>
      <c r="IT3" s="2152" t="s">
        <v>720</v>
      </c>
      <c r="IU3" s="2152" t="s">
        <v>720</v>
      </c>
      <c r="IV3" s="2152" t="s">
        <v>720</v>
      </c>
      <c r="IW3" s="2152" t="s">
        <v>720</v>
      </c>
      <c r="IX3" s="2152" t="s">
        <v>720</v>
      </c>
      <c r="IY3" s="2152" t="s">
        <v>720</v>
      </c>
      <c r="IZ3" s="2152"/>
      <c r="JA3" s="2142" t="s">
        <v>721</v>
      </c>
      <c r="JB3" s="2142" t="s">
        <v>722</v>
      </c>
      <c r="JC3" s="2142" t="s">
        <v>1978</v>
      </c>
      <c r="JD3" s="2142" t="s">
        <v>737</v>
      </c>
      <c r="JE3" s="455"/>
      <c r="JF3" s="2152" t="s">
        <v>735</v>
      </c>
      <c r="JG3" s="2152" t="s">
        <v>735</v>
      </c>
      <c r="JH3" s="2152" t="s">
        <v>735</v>
      </c>
      <c r="JI3" s="2152" t="s">
        <v>735</v>
      </c>
      <c r="JJ3" s="2152" t="s">
        <v>735</v>
      </c>
      <c r="JK3" s="2152" t="s">
        <v>735</v>
      </c>
      <c r="JL3" s="2152" t="s">
        <v>735</v>
      </c>
      <c r="JM3" s="2152" t="s">
        <v>735</v>
      </c>
      <c r="JN3" s="2152" t="s">
        <v>735</v>
      </c>
      <c r="JO3" s="2152" t="s">
        <v>735</v>
      </c>
      <c r="JP3" s="2152" t="s">
        <v>735</v>
      </c>
      <c r="JQ3" s="2152" t="s">
        <v>735</v>
      </c>
      <c r="JR3" s="2152" t="s">
        <v>735</v>
      </c>
      <c r="JS3" s="2152" t="s">
        <v>735</v>
      </c>
      <c r="JT3" s="2152" t="s">
        <v>735</v>
      </c>
      <c r="JU3" s="2152"/>
      <c r="JV3" s="2142" t="s">
        <v>1097</v>
      </c>
      <c r="JW3" s="2142" t="s">
        <v>736</v>
      </c>
      <c r="JX3" s="2142" t="s">
        <v>1978</v>
      </c>
      <c r="JY3" s="2142" t="s">
        <v>757</v>
      </c>
      <c r="JZ3" s="455"/>
      <c r="KA3" s="2152" t="s">
        <v>95</v>
      </c>
      <c r="KB3" s="2152" t="s">
        <v>95</v>
      </c>
      <c r="KC3" s="2152" t="s">
        <v>95</v>
      </c>
      <c r="KD3" s="2152" t="s">
        <v>95</v>
      </c>
      <c r="KE3" s="2152" t="s">
        <v>95</v>
      </c>
      <c r="KF3" s="2152" t="s">
        <v>95</v>
      </c>
      <c r="KG3" s="2152" t="s">
        <v>95</v>
      </c>
      <c r="KH3" s="2152" t="s">
        <v>95</v>
      </c>
      <c r="KI3" s="2152" t="s">
        <v>95</v>
      </c>
      <c r="KJ3" s="2152" t="s">
        <v>95</v>
      </c>
      <c r="KK3" s="2152" t="s">
        <v>95</v>
      </c>
      <c r="KL3" s="2152" t="s">
        <v>95</v>
      </c>
      <c r="KM3" s="2152" t="s">
        <v>95</v>
      </c>
      <c r="KN3" s="2152" t="s">
        <v>95</v>
      </c>
      <c r="KO3" s="2152" t="s">
        <v>95</v>
      </c>
      <c r="KP3" s="2152"/>
      <c r="KQ3" s="2142" t="s">
        <v>1979</v>
      </c>
      <c r="KR3" s="2142" t="s">
        <v>1979</v>
      </c>
      <c r="KS3" s="2142" t="s">
        <v>1979</v>
      </c>
      <c r="KT3" s="2142" t="s">
        <v>1980</v>
      </c>
      <c r="KU3" s="2142"/>
      <c r="KV3" s="2142"/>
      <c r="KW3" s="2152" t="s">
        <v>1088</v>
      </c>
      <c r="KX3" s="2152" t="s">
        <v>1088</v>
      </c>
      <c r="KY3" s="2152" t="s">
        <v>1088</v>
      </c>
      <c r="KZ3" s="2152" t="s">
        <v>1088</v>
      </c>
      <c r="LA3" s="2152" t="s">
        <v>1088</v>
      </c>
      <c r="LB3" s="2152" t="s">
        <v>1088</v>
      </c>
      <c r="LC3" s="2152" t="s">
        <v>1088</v>
      </c>
      <c r="LD3" s="2152" t="s">
        <v>1088</v>
      </c>
      <c r="LE3" s="2152" t="s">
        <v>1088</v>
      </c>
      <c r="LF3" s="2152" t="s">
        <v>1088</v>
      </c>
      <c r="LG3" s="2152" t="s">
        <v>1088</v>
      </c>
      <c r="LH3" s="2152" t="s">
        <v>1088</v>
      </c>
      <c r="LI3" s="2152" t="s">
        <v>1088</v>
      </c>
      <c r="LJ3" s="2152" t="s">
        <v>1088</v>
      </c>
      <c r="LK3" s="2152" t="s">
        <v>1088</v>
      </c>
      <c r="LL3" s="2152"/>
      <c r="LM3" s="2142" t="s">
        <v>1089</v>
      </c>
      <c r="LN3" s="2142" t="s">
        <v>1089</v>
      </c>
      <c r="LO3" s="2142" t="s">
        <v>1978</v>
      </c>
      <c r="LP3" s="2142" t="s">
        <v>1089</v>
      </c>
      <c r="LQ3" s="2142" t="s">
        <v>1090</v>
      </c>
      <c r="LR3" s="2142" t="s">
        <v>1978</v>
      </c>
      <c r="LS3" s="2142"/>
      <c r="LT3" s="2152" t="s">
        <v>1002</v>
      </c>
      <c r="LU3" s="2152" t="s">
        <v>1002</v>
      </c>
      <c r="LV3" s="2152" t="s">
        <v>1002</v>
      </c>
      <c r="LW3" s="2152" t="s">
        <v>1002</v>
      </c>
      <c r="LX3" s="2152" t="s">
        <v>1002</v>
      </c>
      <c r="LY3" s="2152" t="s">
        <v>1002</v>
      </c>
      <c r="LZ3" s="2152" t="s">
        <v>1002</v>
      </c>
      <c r="MA3" s="2152" t="s">
        <v>1002</v>
      </c>
      <c r="MB3" s="2152" t="s">
        <v>1002</v>
      </c>
      <c r="MC3" s="2152" t="s">
        <v>1002</v>
      </c>
      <c r="MD3" s="2152" t="s">
        <v>1002</v>
      </c>
      <c r="ME3" s="2152" t="s">
        <v>1002</v>
      </c>
      <c r="MF3" s="2152" t="s">
        <v>1002</v>
      </c>
      <c r="MG3" s="2152" t="s">
        <v>1002</v>
      </c>
      <c r="MH3" s="2152" t="s">
        <v>1002</v>
      </c>
      <c r="MI3" s="2152"/>
      <c r="MJ3" s="2142" t="s">
        <v>1098</v>
      </c>
      <c r="MK3" s="2142" t="s">
        <v>1098</v>
      </c>
      <c r="ML3" s="2142" t="s">
        <v>1098</v>
      </c>
      <c r="MM3" s="2142" t="s">
        <v>1099</v>
      </c>
      <c r="MN3" s="2142"/>
      <c r="MO3" s="2152" t="s">
        <v>1267</v>
      </c>
      <c r="MP3" s="2152" t="s">
        <v>1267</v>
      </c>
      <c r="MQ3" s="2152" t="s">
        <v>1267</v>
      </c>
      <c r="MR3" s="2152" t="s">
        <v>1267</v>
      </c>
      <c r="MS3" s="2152" t="s">
        <v>1267</v>
      </c>
      <c r="MT3" s="2152" t="s">
        <v>1267</v>
      </c>
      <c r="MU3" s="2152" t="s">
        <v>1267</v>
      </c>
      <c r="MV3" s="2152" t="s">
        <v>1267</v>
      </c>
      <c r="MW3" s="2152" t="s">
        <v>1267</v>
      </c>
      <c r="MX3" s="2152" t="s">
        <v>1267</v>
      </c>
      <c r="MY3" s="2152" t="s">
        <v>1267</v>
      </c>
      <c r="MZ3" s="2152" t="s">
        <v>1267</v>
      </c>
      <c r="NA3" s="2152" t="s">
        <v>1267</v>
      </c>
      <c r="NB3" s="2152" t="s">
        <v>1267</v>
      </c>
      <c r="NC3" s="2152" t="s">
        <v>1267</v>
      </c>
      <c r="ND3" s="2152"/>
      <c r="NE3" s="2142" t="s">
        <v>1982</v>
      </c>
      <c r="NF3" s="2142" t="s">
        <v>1268</v>
      </c>
      <c r="NG3" s="2142" t="s">
        <v>1983</v>
      </c>
      <c r="NH3" s="2142" t="s">
        <v>1268</v>
      </c>
      <c r="NI3" s="2142" t="s">
        <v>1268</v>
      </c>
      <c r="NJ3" s="2142" t="s">
        <v>1269</v>
      </c>
      <c r="NK3" s="2142" t="s">
        <v>1983</v>
      </c>
      <c r="NL3" s="2817"/>
      <c r="NM3" s="2142"/>
      <c r="NN3" s="2152" t="s">
        <v>1270</v>
      </c>
      <c r="NO3" s="2152" t="s">
        <v>1270</v>
      </c>
      <c r="NP3" s="2152" t="s">
        <v>1270</v>
      </c>
      <c r="NQ3" s="2152" t="s">
        <v>1270</v>
      </c>
      <c r="NR3" s="2152" t="s">
        <v>1270</v>
      </c>
      <c r="NS3" s="2152" t="s">
        <v>1270</v>
      </c>
      <c r="NT3" s="2152" t="s">
        <v>1270</v>
      </c>
      <c r="NU3" s="2152" t="s">
        <v>1270</v>
      </c>
      <c r="NV3" s="2152" t="s">
        <v>1270</v>
      </c>
      <c r="NW3" s="2152" t="s">
        <v>1270</v>
      </c>
      <c r="NX3" s="2152" t="s">
        <v>1270</v>
      </c>
      <c r="NY3" s="2152" t="s">
        <v>1270</v>
      </c>
      <c r="NZ3" s="2152" t="s">
        <v>1270</v>
      </c>
      <c r="OA3" s="2152" t="s">
        <v>1270</v>
      </c>
      <c r="OB3" s="2152" t="s">
        <v>1270</v>
      </c>
      <c r="OC3" s="2152"/>
      <c r="OD3" s="2142" t="s">
        <v>1982</v>
      </c>
      <c r="OE3" s="2142" t="s">
        <v>1271</v>
      </c>
      <c r="OF3" s="2142" t="s">
        <v>1984</v>
      </c>
      <c r="OG3" s="2142" t="s">
        <v>1271</v>
      </c>
      <c r="OH3" s="2142" t="s">
        <v>1271</v>
      </c>
      <c r="OI3" s="2142" t="s">
        <v>1272</v>
      </c>
      <c r="OJ3" s="2142" t="s">
        <v>1984</v>
      </c>
      <c r="OK3" s="2142"/>
      <c r="OL3" s="2152" t="s">
        <v>1417</v>
      </c>
      <c r="OM3" s="2152" t="s">
        <v>1417</v>
      </c>
      <c r="ON3" s="2152" t="s">
        <v>1417</v>
      </c>
      <c r="OO3" s="2152" t="s">
        <v>1417</v>
      </c>
      <c r="OP3" s="2152" t="s">
        <v>1417</v>
      </c>
      <c r="OQ3" s="2152" t="s">
        <v>1417</v>
      </c>
      <c r="OR3" s="2152" t="s">
        <v>1417</v>
      </c>
      <c r="OS3" s="2152" t="s">
        <v>1417</v>
      </c>
      <c r="OT3" s="2152" t="s">
        <v>1417</v>
      </c>
      <c r="OU3" s="2152" t="s">
        <v>1417</v>
      </c>
      <c r="OV3" s="2152" t="s">
        <v>1417</v>
      </c>
      <c r="OW3" s="2152" t="s">
        <v>1417</v>
      </c>
      <c r="OX3" s="2152" t="s">
        <v>1417</v>
      </c>
      <c r="OY3" s="2152" t="s">
        <v>1417</v>
      </c>
      <c r="OZ3" s="2152" t="s">
        <v>1417</v>
      </c>
      <c r="PA3" s="2152"/>
      <c r="PB3" s="2152"/>
      <c r="PC3" s="2152" t="s">
        <v>1418</v>
      </c>
      <c r="PD3" s="2152" t="s">
        <v>1418</v>
      </c>
      <c r="PE3" s="2152" t="s">
        <v>1418</v>
      </c>
      <c r="PF3" s="2152" t="s">
        <v>1418</v>
      </c>
      <c r="PG3" s="2152" t="s">
        <v>1418</v>
      </c>
      <c r="PH3" s="2152" t="s">
        <v>1418</v>
      </c>
      <c r="PI3" s="2152" t="s">
        <v>1418</v>
      </c>
      <c r="PJ3" s="2152" t="s">
        <v>1418</v>
      </c>
      <c r="PK3" s="2152" t="s">
        <v>1418</v>
      </c>
      <c r="PL3" s="2152" t="s">
        <v>1418</v>
      </c>
      <c r="PM3" s="2152" t="s">
        <v>1418</v>
      </c>
      <c r="PN3" s="2152" t="s">
        <v>1418</v>
      </c>
      <c r="PO3" s="2152" t="s">
        <v>1418</v>
      </c>
      <c r="PP3" s="2152" t="s">
        <v>1418</v>
      </c>
      <c r="PQ3" s="2152" t="s">
        <v>1418</v>
      </c>
      <c r="PR3" s="2152"/>
      <c r="PS3" s="2142" t="s">
        <v>1419</v>
      </c>
      <c r="PT3" s="2142" t="s">
        <v>1419</v>
      </c>
      <c r="PU3" s="2142" t="s">
        <v>1419</v>
      </c>
      <c r="PV3" s="2142" t="s">
        <v>1420</v>
      </c>
      <c r="PW3" s="2142"/>
      <c r="PX3" s="2152" t="s">
        <v>997</v>
      </c>
      <c r="PY3" s="2152" t="s">
        <v>997</v>
      </c>
      <c r="PZ3" s="2152" t="s">
        <v>997</v>
      </c>
      <c r="QA3" s="2152" t="s">
        <v>997</v>
      </c>
      <c r="QB3" s="2152" t="s">
        <v>997</v>
      </c>
      <c r="QC3" s="2152" t="s">
        <v>997</v>
      </c>
      <c r="QD3" s="2152" t="s">
        <v>997</v>
      </c>
      <c r="QE3" s="2152" t="s">
        <v>997</v>
      </c>
      <c r="QF3" s="2152" t="s">
        <v>997</v>
      </c>
      <c r="QG3" s="2152" t="s">
        <v>997</v>
      </c>
      <c r="QH3" s="2152" t="s">
        <v>997</v>
      </c>
      <c r="QI3" s="2152" t="s">
        <v>997</v>
      </c>
      <c r="QJ3" s="2152" t="s">
        <v>997</v>
      </c>
      <c r="QK3" s="2152" t="s">
        <v>997</v>
      </c>
      <c r="QL3" s="2152" t="s">
        <v>997</v>
      </c>
      <c r="QM3" s="2152"/>
      <c r="QN3" s="2142" t="s">
        <v>998</v>
      </c>
      <c r="QO3" s="2142" t="s">
        <v>1977</v>
      </c>
      <c r="QP3" s="2142" t="s">
        <v>1004</v>
      </c>
      <c r="QQ3" s="2142"/>
      <c r="QR3" s="2152" t="s">
        <v>1997</v>
      </c>
      <c r="QS3" s="2152" t="s">
        <v>1997</v>
      </c>
      <c r="QT3" s="2152" t="s">
        <v>1997</v>
      </c>
      <c r="QU3" s="2152" t="s">
        <v>1997</v>
      </c>
      <c r="QV3" s="2152" t="s">
        <v>1997</v>
      </c>
      <c r="QW3" s="2152" t="s">
        <v>1997</v>
      </c>
      <c r="QX3" s="2152" t="s">
        <v>1997</v>
      </c>
      <c r="QY3" s="2152" t="s">
        <v>1997</v>
      </c>
      <c r="QZ3" s="2152" t="s">
        <v>1997</v>
      </c>
      <c r="RA3" s="2152" t="s">
        <v>1997</v>
      </c>
      <c r="RB3" s="2152" t="s">
        <v>1997</v>
      </c>
      <c r="RC3" s="2152" t="s">
        <v>1997</v>
      </c>
      <c r="RD3" s="2152" t="s">
        <v>1997</v>
      </c>
      <c r="RE3" s="2152" t="s">
        <v>1997</v>
      </c>
      <c r="RF3" s="2152" t="s">
        <v>1997</v>
      </c>
      <c r="RG3" s="2152"/>
      <c r="RH3" s="2142" t="s">
        <v>2000</v>
      </c>
      <c r="RI3" s="2142" t="s">
        <v>2000</v>
      </c>
      <c r="RJ3" s="2142"/>
      <c r="RK3" s="2152" t="s">
        <v>2001</v>
      </c>
      <c r="RL3" s="2152" t="s">
        <v>2001</v>
      </c>
      <c r="RM3" s="2152" t="s">
        <v>2001</v>
      </c>
      <c r="RN3" s="2152" t="s">
        <v>2001</v>
      </c>
      <c r="RO3" s="2152" t="s">
        <v>2001</v>
      </c>
      <c r="RP3" s="2152" t="s">
        <v>2001</v>
      </c>
      <c r="RQ3" s="2152" t="s">
        <v>2001</v>
      </c>
      <c r="RR3" s="2152" t="s">
        <v>2001</v>
      </c>
      <c r="RS3" s="2152" t="s">
        <v>2001</v>
      </c>
      <c r="RT3" s="2152" t="s">
        <v>2001</v>
      </c>
      <c r="RU3" s="2152" t="s">
        <v>2001</v>
      </c>
      <c r="RV3" s="2152" t="s">
        <v>2001</v>
      </c>
      <c r="RW3" s="2152" t="s">
        <v>2001</v>
      </c>
      <c r="RX3" s="2152" t="s">
        <v>2001</v>
      </c>
      <c r="RY3" s="2152" t="s">
        <v>2001</v>
      </c>
      <c r="RZ3" s="2152"/>
      <c r="SA3" s="2142" t="s">
        <v>2002</v>
      </c>
      <c r="SB3" s="2142" t="s">
        <v>2002</v>
      </c>
      <c r="SC3" s="2142"/>
      <c r="SD3" s="2152" t="s">
        <v>472</v>
      </c>
      <c r="SE3" s="2152" t="s">
        <v>472</v>
      </c>
      <c r="SF3" s="2152" t="s">
        <v>472</v>
      </c>
      <c r="SG3" s="2152" t="s">
        <v>472</v>
      </c>
      <c r="SH3" s="2152" t="s">
        <v>472</v>
      </c>
      <c r="SI3" s="2152" t="s">
        <v>472</v>
      </c>
      <c r="SJ3" s="2152" t="s">
        <v>472</v>
      </c>
      <c r="SK3" s="2152" t="s">
        <v>472</v>
      </c>
      <c r="SL3" s="2152" t="s">
        <v>472</v>
      </c>
      <c r="SM3" s="2152" t="s">
        <v>472</v>
      </c>
      <c r="SN3" s="2152" t="s">
        <v>472</v>
      </c>
      <c r="SO3" s="2152" t="s">
        <v>472</v>
      </c>
      <c r="SP3" s="2152" t="s">
        <v>472</v>
      </c>
      <c r="SQ3" s="2152" t="s">
        <v>472</v>
      </c>
      <c r="SR3" s="2152" t="s">
        <v>472</v>
      </c>
      <c r="SS3" s="2152"/>
      <c r="ST3" s="2142" t="s">
        <v>743</v>
      </c>
      <c r="SU3" s="2142" t="s">
        <v>744</v>
      </c>
      <c r="SV3" s="2142" t="s">
        <v>745</v>
      </c>
    </row>
    <row r="4" spans="1:518">
      <c r="A4" s="7"/>
      <c r="B4" s="174"/>
      <c r="C4" s="2201"/>
      <c r="D4" s="216"/>
      <c r="E4" s="224"/>
      <c r="F4" s="224"/>
      <c r="G4" s="224"/>
      <c r="H4" s="7"/>
      <c r="I4" s="7"/>
      <c r="J4" s="7"/>
      <c r="K4" s="7"/>
      <c r="L4" s="7"/>
      <c r="M4" s="11"/>
      <c r="N4" s="7"/>
      <c r="O4" s="7"/>
      <c r="P4" s="11" t="s">
        <v>1801</v>
      </c>
      <c r="Q4" s="11" t="s">
        <v>1801</v>
      </c>
      <c r="R4" s="7"/>
      <c r="S4" s="7"/>
      <c r="T4" s="7"/>
      <c r="U4" s="7"/>
      <c r="V4" s="7"/>
      <c r="W4" s="7"/>
      <c r="X4" s="7"/>
      <c r="Y4" s="7"/>
      <c r="Z4" s="7"/>
      <c r="AA4" s="7"/>
      <c r="AB4" s="7"/>
      <c r="AC4" s="7"/>
      <c r="AD4" s="7"/>
      <c r="AE4" s="7"/>
      <c r="AF4" s="7"/>
      <c r="AG4" s="7"/>
      <c r="AH4" s="7"/>
      <c r="AI4" s="7"/>
      <c r="AJ4" s="7"/>
      <c r="AK4" s="7"/>
      <c r="AL4" s="7"/>
      <c r="AM4" s="11" t="s">
        <v>88</v>
      </c>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21"/>
      <c r="DH4" s="21"/>
      <c r="DI4" s="21"/>
      <c r="DJ4" s="7"/>
      <c r="DK4" s="7"/>
      <c r="DL4" s="7"/>
      <c r="DM4" s="7"/>
      <c r="DN4" s="7"/>
      <c r="DO4" s="7"/>
      <c r="DP4" s="7"/>
      <c r="DQ4" s="7"/>
      <c r="DR4" s="7"/>
      <c r="DS4" s="7"/>
      <c r="DT4" s="7"/>
      <c r="DU4" s="7"/>
      <c r="DV4" s="7"/>
      <c r="DW4" s="7"/>
      <c r="DX4" s="7"/>
      <c r="DY4" s="7"/>
      <c r="DZ4" s="7"/>
      <c r="EA4" s="7"/>
      <c r="EB4" s="7"/>
      <c r="EC4" s="7"/>
      <c r="ED4" s="7"/>
      <c r="EE4" s="11"/>
      <c r="EF4" s="21"/>
      <c r="EG4" s="21"/>
      <c r="EH4" s="21"/>
      <c r="EI4" s="21"/>
      <c r="EJ4" s="21"/>
      <c r="EK4" s="21" t="s">
        <v>88</v>
      </c>
      <c r="EL4" s="21"/>
      <c r="EM4" s="7"/>
      <c r="EN4" s="7"/>
      <c r="EO4" s="7"/>
      <c r="EP4" s="7"/>
      <c r="EQ4" s="7"/>
      <c r="ER4" s="7"/>
      <c r="ES4" s="7"/>
      <c r="ET4" s="7"/>
      <c r="EU4" s="7"/>
      <c r="EV4" s="7"/>
      <c r="EW4" s="7"/>
      <c r="EX4" s="7"/>
      <c r="EY4" s="7"/>
      <c r="EZ4" s="7"/>
      <c r="FA4" s="7"/>
      <c r="FB4" s="7"/>
      <c r="FC4" s="7"/>
      <c r="FD4" s="11"/>
      <c r="FE4" s="7"/>
      <c r="FF4" s="7"/>
      <c r="FG4" s="174"/>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140"/>
      <c r="GZ4" s="140"/>
      <c r="HA4" s="140"/>
      <c r="HB4" s="140"/>
      <c r="HC4" s="140"/>
      <c r="HD4" s="140"/>
      <c r="HE4" s="140"/>
      <c r="HF4" s="140"/>
      <c r="HG4" s="140"/>
      <c r="HH4" s="140"/>
      <c r="HI4" s="140"/>
      <c r="HJ4" s="140"/>
      <c r="HK4" s="140"/>
      <c r="HL4" s="140"/>
      <c r="HM4" s="140"/>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1180"/>
      <c r="JE4" s="7"/>
      <c r="JF4" s="7"/>
      <c r="JG4" s="7"/>
      <c r="JH4" s="7"/>
      <c r="JI4" s="7"/>
      <c r="JJ4" s="7"/>
      <c r="JK4" s="7"/>
      <c r="JL4" s="7"/>
      <c r="JM4" s="7"/>
      <c r="JN4" s="7"/>
      <c r="JO4" s="7"/>
      <c r="JP4" s="7"/>
      <c r="JQ4" s="7"/>
      <c r="JR4" s="7"/>
      <c r="JS4" s="7"/>
      <c r="JT4" s="7"/>
      <c r="JU4" s="7"/>
      <c r="JV4" s="7"/>
      <c r="JW4" s="7"/>
      <c r="JX4" s="7"/>
      <c r="JY4" s="11"/>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2815"/>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11"/>
      <c r="PB4" s="441">
        <v>1</v>
      </c>
      <c r="PC4" s="441">
        <v>2</v>
      </c>
      <c r="PD4" s="441">
        <v>3</v>
      </c>
      <c r="PE4" s="441">
        <v>4</v>
      </c>
      <c r="PF4" s="441">
        <v>5</v>
      </c>
      <c r="PG4" s="441">
        <v>6</v>
      </c>
      <c r="PH4" s="441">
        <v>7</v>
      </c>
      <c r="PI4" s="441">
        <v>8</v>
      </c>
      <c r="PJ4" s="441">
        <v>9</v>
      </c>
      <c r="PK4" s="441">
        <v>10</v>
      </c>
      <c r="PL4" s="441">
        <v>11</v>
      </c>
      <c r="PM4" s="441">
        <v>12</v>
      </c>
      <c r="PN4" s="441">
        <v>13</v>
      </c>
      <c r="PO4" s="441">
        <v>14</v>
      </c>
      <c r="PP4" s="441">
        <v>15</v>
      </c>
      <c r="PQ4" s="441">
        <v>16</v>
      </c>
      <c r="PR4" s="441"/>
      <c r="PS4" s="441">
        <v>17</v>
      </c>
      <c r="PT4" s="441">
        <v>18</v>
      </c>
      <c r="PU4" s="441">
        <v>19</v>
      </c>
      <c r="PV4" s="441">
        <v>20</v>
      </c>
      <c r="PW4" s="441"/>
      <c r="PX4" s="441"/>
      <c r="PY4" s="441"/>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row>
    <row r="5" spans="1:518">
      <c r="A5" s="11" t="s">
        <v>498</v>
      </c>
      <c r="B5" s="72"/>
      <c r="C5" s="83" t="s">
        <v>52</v>
      </c>
      <c r="D5" s="1133" t="s">
        <v>1042</v>
      </c>
      <c r="E5" s="224"/>
      <c r="F5" s="224"/>
      <c r="G5" s="13">
        <f>'Bloom Cleaner Data'!D5</f>
        <v>44877.982799999998</v>
      </c>
      <c r="H5" s="13">
        <f>'Bloom Cleaner Data'!F5</f>
        <v>42397.642</v>
      </c>
      <c r="I5" s="13">
        <f>'Bloom Cleaner Data'!H5</f>
        <v>41722.336900000002</v>
      </c>
      <c r="J5" s="13">
        <f>'Bloom Cleaner Data'!J5</f>
        <v>46601.985000000001</v>
      </c>
      <c r="K5" s="13">
        <f>'Bloom Cleaner Data'!L5</f>
        <v>38308.4948</v>
      </c>
      <c r="L5" s="13">
        <f>'Bloom Cleaner Data'!N5</f>
        <v>37307.514000000003</v>
      </c>
      <c r="M5" s="13">
        <f>'Bloom Cleaner Data'!P5</f>
        <v>37124.548600000002</v>
      </c>
      <c r="N5" s="13">
        <f>'Bloom Cleaner Data'!R5</f>
        <v>39791.94</v>
      </c>
      <c r="O5" s="13"/>
      <c r="P5" s="13">
        <f t="shared" ref="P5:P25" si="0">AVERAGE(H5:N5)</f>
        <v>40464.923042857146</v>
      </c>
      <c r="Q5" s="13">
        <f>AVERAGE(L5:N5)</f>
        <v>38074.667533333333</v>
      </c>
      <c r="R5" s="10">
        <f t="shared" ref="R5:R30" si="1">(N5-H5)/H5</f>
        <v>-6.1458653761923776E-2</v>
      </c>
      <c r="S5" s="144">
        <f>R5</f>
        <v>-6.1458653761923776E-2</v>
      </c>
      <c r="T5" s="10">
        <f t="shared" ref="T5:T27" si="2">R5-$R$33</f>
        <v>4.0316925143715168E-2</v>
      </c>
      <c r="U5" s="10"/>
      <c r="V5" s="1277" t="s">
        <v>52</v>
      </c>
      <c r="W5" s="1238">
        <f>'Bloom Cleaner Data'!D5/'Bloom Cleaner Data'!$F5</f>
        <v>1.058501857249514</v>
      </c>
      <c r="X5" s="1238">
        <f>'Bloom Cleaner Data'!E5/'Bloom Cleaner Data'!$F5</f>
        <v>1.0357951038880888</v>
      </c>
      <c r="Y5" s="1238">
        <f>'Bloom Cleaner Data'!F5/'Bloom Cleaner Data'!$F5</f>
        <v>1</v>
      </c>
      <c r="Z5" s="1238">
        <f>'Bloom Cleaner Data'!G5/'Bloom Cleaner Data'!$F5</f>
        <v>1.0347665089487761</v>
      </c>
      <c r="AA5" s="1238">
        <f>'Bloom Cleaner Data'!H5/'Bloom Cleaner Data'!$F5</f>
        <v>0.98407210712331605</v>
      </c>
      <c r="AB5" s="1238">
        <f>'Bloom Cleaner Data'!I5/'Bloom Cleaner Data'!$F5</f>
        <v>1.107827411722567</v>
      </c>
      <c r="AC5" s="1238">
        <f>'Bloom Cleaner Data'!J5/'Bloom Cleaner Data'!$F5</f>
        <v>1.0991645478774503</v>
      </c>
      <c r="AD5" s="1238">
        <f>'Bloom Cleaner Data'!K5/'Bloom Cleaner Data'!$F5</f>
        <v>0.89946102662973559</v>
      </c>
      <c r="AE5" s="1238">
        <f>'Bloom Cleaner Data'!L5/'Bloom Cleaner Data'!$F5</f>
        <v>0.90355248530095145</v>
      </c>
      <c r="AF5" s="1238">
        <f>'Bloom Cleaner Data'!M5/'Bloom Cleaner Data'!$F5</f>
        <v>0.92376703402514704</v>
      </c>
      <c r="AG5" s="1238">
        <f>'Bloom Cleaner Data'!N5/'Bloom Cleaner Data'!$F5</f>
        <v>0.87994313457338036</v>
      </c>
      <c r="AH5" s="1238">
        <f>'Bloom Cleaner Data'!O5/'Bloom Cleaner Data'!$F5</f>
        <v>0.97564230105061023</v>
      </c>
      <c r="AI5" s="1238">
        <f>'Bloom Cleaner Data'!P5/'Bloom Cleaner Data'!$F5</f>
        <v>0.87562767287860022</v>
      </c>
      <c r="AJ5" s="1238">
        <f>'Bloom Cleaner Data'!Q5/'Bloom Cleaner Data'!$F5</f>
        <v>0.8458012594190969</v>
      </c>
      <c r="AK5" s="1238">
        <f>'Bloom Cleaner Data'!R5/'Bloom Cleaner Data'!$F5</f>
        <v>0.93854134623807617</v>
      </c>
      <c r="AL5" s="13"/>
      <c r="AM5" s="13">
        <f>AVERAGE('Bloom Cleaner Data'!BW5:CI5)</f>
        <v>88812.913376923054</v>
      </c>
      <c r="AN5" s="18">
        <f>('Bloom Cleaner Data'!CI5-'Bloom Cleaner Data'!BW5)/'Bloom Cleaner Data'!BW5</f>
        <v>-6.2001777195027932E-2</v>
      </c>
      <c r="AO5" s="18">
        <f>('Bloom Cleaner Data'!CI5+'Bloom Cleaner Data'!CH5-'Bloom Cleaner Data'!BW5-'Bloom Cleaner Data'!BV5)/('Bloom Cleaner Data'!BW5+'Bloom Cleaner Data'!BV5)</f>
        <v>-0.1071192557907365</v>
      </c>
      <c r="AP5" s="13"/>
      <c r="AQ5" s="13">
        <f>'Bloom Cleaner Data'!BW5</f>
        <v>95766.642000000007</v>
      </c>
      <c r="AR5" s="13">
        <f>'Bloom Cleaner Data'!BY5</f>
        <v>92100.336899999995</v>
      </c>
      <c r="AS5" s="13">
        <f>'Bloom Cleaner Data'!CA5</f>
        <v>97085.985000000001</v>
      </c>
      <c r="AT5" s="13">
        <f>'Bloom Cleaner Data'!CC5</f>
        <v>85151.4948</v>
      </c>
      <c r="AU5" s="13">
        <f>'Bloom Cleaner Data'!CE5</f>
        <v>84504.513999999996</v>
      </c>
      <c r="AV5" s="13">
        <f>'Bloom Cleaner Data'!CG5</f>
        <v>80315.548599999995</v>
      </c>
      <c r="AW5" s="13">
        <f>'Bloom Cleaner Data'!CI5</f>
        <v>89828.94</v>
      </c>
      <c r="AX5" s="13"/>
      <c r="AY5" s="13">
        <f t="shared" ref="AY5:AY25" si="3">AVERAGE(AQ5:AW5)</f>
        <v>89250.494471428552</v>
      </c>
      <c r="AZ5" s="10">
        <f t="shared" ref="AZ5:AZ33" si="4">(AW5-AQ5)/AQ5</f>
        <v>-6.2001777195027932E-2</v>
      </c>
      <c r="BA5" s="10"/>
      <c r="BB5" s="13">
        <f>'Bloom Cleaner Data'!T5+'OPERATING LEASES'!AU5</f>
        <v>64414.755045418417</v>
      </c>
      <c r="BC5" s="13">
        <f>'Bloom Cleaner Data'!U5+'OPERATING LEASES'!AV5</f>
        <v>62456.098571492781</v>
      </c>
      <c r="BD5" s="13">
        <f>'Bloom Cleaner Data'!V5+'OPERATING LEASES'!AW5</f>
        <v>65734.442097567153</v>
      </c>
      <c r="BE5" s="13">
        <f>'Bloom Cleaner Data'!W5+'OPERATING LEASES'!AX5</f>
        <v>62561.785623641517</v>
      </c>
      <c r="BF5" s="13">
        <f>'Bloom Cleaner Data'!X5+'OPERATING LEASES'!AY5</f>
        <v>59934.129149715882</v>
      </c>
      <c r="BG5" s="13">
        <f>'Bloom Cleaner Data'!Y5+'OPERATING LEASES'!AZ5</f>
        <v>58457.333405421377</v>
      </c>
      <c r="BH5" s="13">
        <f>'Bloom Cleaner Data'!Z5+'OPERATING LEASES'!BA5</f>
        <v>60250.537661126873</v>
      </c>
      <c r="BI5" s="13">
        <f>'Bloom Cleaner Data'!AA5+'OPERATING LEASES'!BB5</f>
        <v>59817.741916832376</v>
      </c>
      <c r="BJ5" s="13">
        <f>'Bloom Cleaner Data'!AB5+'OPERATING LEASES'!BC5</f>
        <v>56604.946172537871</v>
      </c>
      <c r="BK5" s="13">
        <f>'Bloom Cleaner Data'!AC5+'OPERATING LEASES'!BD5</f>
        <v>54631.54443065924</v>
      </c>
      <c r="BL5" s="13">
        <f>'Bloom Cleaner Data'!AD5+'OPERATING LEASES'!BE5</f>
        <v>57154.142688780608</v>
      </c>
      <c r="BM5" s="13">
        <f>'Bloom Cleaner Data'!AE5+'OPERATING LEASES'!BF5</f>
        <v>55255.740946901977</v>
      </c>
      <c r="BN5" s="13">
        <f>'Bloom Cleaner Data'!AF5+'OPERATING LEASES'!BG5</f>
        <v>53003.339205023345</v>
      </c>
      <c r="BO5" s="13">
        <f>'Bloom Cleaner Data'!AG5+'OPERATING LEASES'!BH5</f>
        <v>52953.339205023345</v>
      </c>
      <c r="BP5" s="13">
        <f>'Bloom Cleaner Data'!AH5+'OPERATING LEASES'!BI5</f>
        <v>57439.339205023345</v>
      </c>
      <c r="BQ5" s="13"/>
      <c r="BR5" s="1099">
        <f>AVERAGE(BD5:BP5)</f>
        <v>57984.489362173452</v>
      </c>
      <c r="BS5" s="10">
        <f>(BP5-BD5)/BD5</f>
        <v>-0.12619112032976107</v>
      </c>
      <c r="BT5" s="10"/>
      <c r="BU5" s="13">
        <f>'Bloom Cleaner Data'!BU5+'OPERATING LEASES'!AU5</f>
        <v>114875.73784541842</v>
      </c>
      <c r="BV5" s="13">
        <f>'Bloom Cleaner Data'!BV5+'OPERATING LEASES'!AV5</f>
        <v>112111.36857149279</v>
      </c>
      <c r="BW5" s="13">
        <f>'Bloom Cleaner Data'!BW5+'OPERATING LEASES'!AW5</f>
        <v>113174.08409756716</v>
      </c>
      <c r="BX5" s="13">
        <f>'Bloom Cleaner Data'!BX5+'OPERATING LEASES'!AX5</f>
        <v>111635.44562364151</v>
      </c>
      <c r="BY5" s="13">
        <f>'Bloom Cleaner Data'!BY5+'OPERATING LEASES'!AY5</f>
        <v>106668.46604971588</v>
      </c>
      <c r="BZ5" s="13">
        <f>'Bloom Cleaner Data'!BZ5+'OPERATING LEASES'!AZ5</f>
        <v>110479.60340542138</v>
      </c>
      <c r="CA5" s="13">
        <f>'Bloom Cleaner Data'!CA5+'OPERATING LEASES'!BA5</f>
        <v>111574.52266112687</v>
      </c>
      <c r="CB5" s="13">
        <f>'Bloom Cleaner Data'!CB5+'OPERATING LEASES'!BB5</f>
        <v>102799.76851683238</v>
      </c>
      <c r="CC5" s="13">
        <f>'Bloom Cleaner Data'!CC5+'OPERATING LEASES'!BC5</f>
        <v>99560.440972537879</v>
      </c>
      <c r="CD5" s="13">
        <f>'Bloom Cleaner Data'!CD5+'OPERATING LEASES'!BD5</f>
        <v>98506.088430659234</v>
      </c>
      <c r="CE5" s="13">
        <f>'Bloom Cleaner Data'!CE5+'OPERATING LEASES'!BE5</f>
        <v>98926.656688780611</v>
      </c>
      <c r="CF5" s="13">
        <f>'Bloom Cleaner Data'!CF5+'OPERATING LEASES'!BF5</f>
        <v>101231.67394690198</v>
      </c>
      <c r="CG5" s="13">
        <f>'Bloom Cleaner Data'!CG5+'OPERATING LEASES'!BG5</f>
        <v>94750.887805023347</v>
      </c>
      <c r="CH5" s="13">
        <f>'Bloom Cleaner Data'!CH5+'OPERATING LEASES'!BH5</f>
        <v>93406.318205023359</v>
      </c>
      <c r="CI5" s="13">
        <f>'Bloom Cleaner Data'!CI5+'OPERATING LEASES'!BI5</f>
        <v>104264.27920502335</v>
      </c>
      <c r="CJ5" s="13"/>
      <c r="CK5" s="1099">
        <f>AVERAGE(BW5:CI5)</f>
        <v>103613.71043140421</v>
      </c>
      <c r="CL5" s="10">
        <f>(CI5-BW5)/BW5</f>
        <v>-7.8726547368058925E-2</v>
      </c>
      <c r="CM5" s="18">
        <f>(CK5-AM5)/AM5</f>
        <v>0.16665140790581204</v>
      </c>
      <c r="CN5" s="13"/>
      <c r="CO5" s="18">
        <f>$CO$1*BU5/('Bloom Cleaner Data'!D5+'Bloom Cleaner Data'!T5+'OPERATING LEASES'!AU5)+(1-$CO$1)*'Bloom Cleaner Data'!BU5/('Bloom Cleaner Data'!D5+'Bloom Cleaner Data'!T5)-1</f>
        <v>5.1082991514921128E-2</v>
      </c>
      <c r="CP5" s="18">
        <f>$CO$1*BV5/('Bloom Cleaner Data'!E5+'Bloom Cleaner Data'!U5+'OPERATING LEASES'!AV5)+(1-$CO$1)*'Bloom Cleaner Data'!BV5/('Bloom Cleaner Data'!E5+'Bloom Cleaner Data'!U5)-1</f>
        <v>5.3961889153866904E-2</v>
      </c>
      <c r="CQ5" s="18">
        <f>$CO$1*BW5/('Bloom Cleaner Data'!F5+'Bloom Cleaner Data'!V5+'OPERATING LEASES'!AW5)+(1-$CO$1)*'Bloom Cleaner Data'!BW5/('Bloom Cleaner Data'!F5+'Bloom Cleaner Data'!V5)-1</f>
        <v>4.6628158904721051E-2</v>
      </c>
      <c r="CR5" s="18">
        <f>$CO$1*BX5/('Bloom Cleaner Data'!G5+'Bloom Cleaner Data'!W5+'OPERATING LEASES'!AX5)+(1-$CO$1)*'Bloom Cleaner Data'!BX5/('Bloom Cleaner Data'!G5+'Bloom Cleaner Data'!W5)-1</f>
        <v>4.8875613953105912E-2</v>
      </c>
      <c r="CS5" s="18">
        <f>$CO$1*BY5/('Bloom Cleaner Data'!H5+'Bloom Cleaner Data'!X5+'OPERATING LEASES'!AY5)+(1-$CO$1)*'Bloom Cleaner Data'!BY5/('Bloom Cleaner Data'!H5+'Bloom Cleaner Data'!X5)-1</f>
        <v>4.9303307450692335E-2</v>
      </c>
      <c r="CT5" s="18">
        <f>$CO$1*BZ5/('Bloom Cleaner Data'!I5+'Bloom Cleaner Data'!Y5+'OPERATING LEASES'!AZ5)+(1-$CO$1)*'Bloom Cleaner Data'!BZ5/('Bloom Cleaner Data'!I5+'Bloom Cleaner Data'!Y5)-1</f>
        <v>4.7929078968508065E-2</v>
      </c>
      <c r="CU5" s="18">
        <f>$CO$1*CA5/('Bloom Cleaner Data'!J5+'Bloom Cleaner Data'!Z5+'OPERATING LEASES'!BA5)+(1-$CO$1)*'Bloom Cleaner Data'!CA5/('Bloom Cleaner Data'!J5+'Bloom Cleaner Data'!Z5)-1</f>
        <v>4.4191750296578292E-2</v>
      </c>
      <c r="CV5" s="18">
        <f>$CO$1*CB5/('Bloom Cleaner Data'!K5+'Bloom Cleaner Data'!AA5+'OPERATING LEASES'!BB5)+(1-$CO$1)*'Bloom Cleaner Data'!CB5/('Bloom Cleaner Data'!K5+'Bloom Cleaner Data'!AA5)-1</f>
        <v>4.948303221431738E-2</v>
      </c>
      <c r="CW5" s="18">
        <f>$CO$1*CC5/('Bloom Cleaner Data'!L5+'Bloom Cleaner Data'!AB5+'OPERATING LEASES'!BC5)+(1-$CO$1)*'Bloom Cleaner Data'!CC5/('Bloom Cleaner Data'!L5+'Bloom Cleaner Data'!AB5)-1</f>
        <v>4.8960399627114626E-2</v>
      </c>
      <c r="CX5" s="18">
        <f>$CO$1*CD5/('Bloom Cleaner Data'!M5+'Bloom Cleaner Data'!AC5+'OPERATING LEASES'!BD5)+(1-$CO$1)*'Bloom Cleaner Data'!CD5/('Bloom Cleaner Data'!M5+'Bloom Cleaner Data'!AC5)-1</f>
        <v>5.0204116980466784E-2</v>
      </c>
      <c r="CY5" s="18">
        <f>$CO$1*CE5/('Bloom Cleaner Data'!N5+'Bloom Cleaner Data'!AD5+'OPERATING LEASES'!BE5)+(1-$CO$1)*'Bloom Cleaner Data'!CE5/('Bloom Cleaner Data'!N5+'Bloom Cleaner Data'!AD5)-1</f>
        <v>4.7267856149407539E-2</v>
      </c>
      <c r="CZ5" s="18">
        <f>$CO$1*CF5/('Bloom Cleaner Data'!O5+'Bloom Cleaner Data'!AE5+'OPERATING LEASES'!BF5)+(1-$CO$1)*'Bloom Cleaner Data'!CF5/('Bloom Cleaner Data'!O5+'Bloom Cleaner Data'!AE5)-1</f>
        <v>4.7722705831404033E-2</v>
      </c>
      <c r="DA5" s="18">
        <f>$CO$1*CG5/('Bloom Cleaner Data'!P5+'Bloom Cleaner Data'!AF5+'OPERATING LEASES'!BG5)+(1-$CO$1)*'Bloom Cleaner Data'!CG5/('Bloom Cleaner Data'!P5+'Bloom Cleaner Data'!AF5)-1</f>
        <v>5.1293779457042943E-2</v>
      </c>
      <c r="DB5" s="18">
        <f>$CO$1*CH5/('Bloom Cleaner Data'!Q5+'Bloom Cleaner Data'!AG5+'OPERATING LEASES'!BH5)+(1-$CO$1)*'Bloom Cleaner Data'!CH5/('Bloom Cleaner Data'!Q5+'Bloom Cleaner Data'!AG5)-1</f>
        <v>5.1715216735818803E-2</v>
      </c>
      <c r="DC5" s="18">
        <f>$CO$1*CI5/('Bloom Cleaner Data'!R5+'Bloom Cleaner Data'!AH5+'OPERATING LEASES'!BI5)+(1-$CO$1)*'Bloom Cleaner Data'!CI5/('Bloom Cleaner Data'!R5+'Bloom Cleaner Data'!AH5)-1</f>
        <v>7.2332690236133868E-2</v>
      </c>
      <c r="DD5" s="18"/>
      <c r="DE5" s="18">
        <f>AVERAGE(CQ5:DC5)</f>
        <v>5.0454438985023969E-2</v>
      </c>
      <c r="DF5" s="13"/>
      <c r="DG5" s="2203">
        <f>AVERAGE('Bloom Cleaner Data'!GX5:HJ5)</f>
        <v>18594.986312043202</v>
      </c>
      <c r="DH5" s="2124">
        <f>('Bloom Cleaner Data'!HJ5-'Bloom Cleaner Data'!GX5)/'Bloom Cleaner Data'!GX5</f>
        <v>-0.19010247532864813</v>
      </c>
      <c r="DI5" s="2124">
        <f>('Bloom Cleaner Data'!HJ5+'Bloom Cleaner Data'!HI5-'Bloom Cleaner Data'!GX5-'Bloom Cleaner Data'!GW5)/('Bloom Cleaner Data'!GX5+'Bloom Cleaner Data'!GW5)</f>
        <v>-0.19590347661227198</v>
      </c>
      <c r="DJ5" s="13"/>
      <c r="DK5" s="13">
        <f>'Bloom Cleaner Data'!GV5+'OPERATING LEASES'!BL5</f>
        <v>25911.673602749175</v>
      </c>
      <c r="DL5" s="13">
        <f>'Bloom Cleaner Data'!GW5+'OPERATING LEASES'!BM5</f>
        <v>25335.159649129135</v>
      </c>
      <c r="DM5" s="13">
        <f>'Bloom Cleaner Data'!GX5+'OPERATING LEASES'!BN5</f>
        <v>24462.438038220072</v>
      </c>
      <c r="DN5" s="13">
        <f>'Bloom Cleaner Data'!GY5+'OPERATING LEASES'!BO5</f>
        <v>23504.765162635595</v>
      </c>
      <c r="DO5" s="13">
        <f>'Bloom Cleaner Data'!GZ5+'OPERATING LEASES'!BP5</f>
        <v>20011.922341967907</v>
      </c>
      <c r="DP5" s="13">
        <f>'Bloom Cleaner Data'!HA5+'OPERATING LEASES'!BQ5</f>
        <v>19613.971286021486</v>
      </c>
      <c r="DQ5" s="13">
        <f>'Bloom Cleaner Data'!HB5+'OPERATING LEASES'!BR5</f>
        <v>18941.704765765146</v>
      </c>
      <c r="DR5" s="13">
        <f>'Bloom Cleaner Data'!HC5+'OPERATING LEASES'!BS5</f>
        <v>18842.819022835225</v>
      </c>
      <c r="DS5" s="13">
        <f>'Bloom Cleaner Data'!HD5+'OPERATING LEASES'!BT5</f>
        <v>21187.810704800591</v>
      </c>
      <c r="DT5" s="13">
        <f>'Bloom Cleaner Data'!HE5+'OPERATING LEASES'!BU5</f>
        <v>21343.699215101045</v>
      </c>
      <c r="DU5" s="13">
        <f>'Bloom Cleaner Data'!HF5+'OPERATING LEASES'!BV5</f>
        <v>21777.819461188908</v>
      </c>
      <c r="DV5" s="13">
        <f>'Bloom Cleaner Data'!HG5+'OPERATING LEASES'!BW5</f>
        <v>21796.584632328028</v>
      </c>
      <c r="DW5" s="13">
        <f>'Bloom Cleaner Data'!HH5+'OPERATING LEASES'!BX5</f>
        <v>20179.58436379928</v>
      </c>
      <c r="DX5" s="13">
        <f>'Bloom Cleaner Data'!HI5+'OPERATING LEASES'!BY5</f>
        <v>19875.607862790337</v>
      </c>
      <c r="DY5" s="13">
        <f>'Bloom Cleaner Data'!HJ5+'OPERATING LEASES'!BZ5</f>
        <v>19685.644306250852</v>
      </c>
      <c r="DZ5" s="13"/>
      <c r="EA5" s="1099">
        <f>AVERAGE(DM5:DY5)</f>
        <v>20863.413166438811</v>
      </c>
      <c r="EB5" s="10">
        <f>(DY5-DM5)/DM5</f>
        <v>-0.19527055007787722</v>
      </c>
      <c r="EC5" s="18">
        <f>(EA5-DG5)/DG5</f>
        <v>0.1219913161714157</v>
      </c>
      <c r="ED5" s="18">
        <f>(AVERAGE(DV5:DY5)-AVERAGE('Bloom Cleaner Data'!HG5:HJ5))/AVERAGE('Bloom Cleaner Data'!HG5:HJ5)</f>
        <v>0.12021307885252024</v>
      </c>
      <c r="EE5" s="165"/>
      <c r="EF5" s="22">
        <f>'Bloom Cleaner Data'!DT5</f>
        <v>1.5009000000000001</v>
      </c>
      <c r="EG5" s="22">
        <f>'Bloom Cleaner Data'!DX5</f>
        <v>1.6141000000000001</v>
      </c>
      <c r="EH5" s="22">
        <f>'Bloom Cleaner Data'!EB5</f>
        <v>1.4472</v>
      </c>
      <c r="EI5" s="22">
        <f>'Bloom Cleaner Data'!EF5</f>
        <v>1.5407999999999999</v>
      </c>
      <c r="EJ5" s="22"/>
      <c r="EK5" s="22">
        <f>AVERAGE('Bloom Cleaner Data'!DT5:EF5)</f>
        <v>1.4833076923076924</v>
      </c>
      <c r="EL5" s="2124">
        <f t="shared" ref="EL5:EL32" si="5">(EI5-EF5)/EF5</f>
        <v>2.6584049570257725E-2</v>
      </c>
      <c r="EM5" s="13"/>
      <c r="EN5" s="15">
        <f>'Bloom Cleaner Data'!DA5</f>
        <v>4.2236000000000002</v>
      </c>
      <c r="EO5" s="15">
        <f>'Bloom Cleaner Data'!DB5</f>
        <v>4.2108999999999996</v>
      </c>
      <c r="EP5" s="15">
        <f>'Bloom Cleaner Data'!DC5</f>
        <v>4.4325999999999999</v>
      </c>
      <c r="EQ5" s="15">
        <f>'Bloom Cleaner Data'!DD5</f>
        <v>4.5606999999999998</v>
      </c>
      <c r="ER5" s="15">
        <f>'Bloom Cleaner Data'!DE5</f>
        <v>5.173</v>
      </c>
      <c r="ES5" s="15">
        <f>'Bloom Cleaner Data'!DF5</f>
        <v>5.5106000000000002</v>
      </c>
      <c r="ET5" s="15">
        <f>'Bloom Cleaner Data'!DG5</f>
        <v>5.7976000000000001</v>
      </c>
      <c r="EU5" s="15">
        <f>'Bloom Cleaner Data'!DH5</f>
        <v>5.3053999999999997</v>
      </c>
      <c r="EV5" s="15">
        <f>'Bloom Cleaner Data'!DI5</f>
        <v>4.4806999999999997</v>
      </c>
      <c r="EW5" s="15">
        <f>'Bloom Cleaner Data'!DJ5</f>
        <v>4.3891</v>
      </c>
      <c r="EX5" s="15">
        <f>'Bloom Cleaner Data'!DK5</f>
        <v>4.3132000000000001</v>
      </c>
      <c r="EY5" s="15">
        <f>'Bloom Cleaner Data'!DL5</f>
        <v>4.4264999999999999</v>
      </c>
      <c r="EZ5" s="15">
        <f>'Bloom Cleaner Data'!DM5</f>
        <v>4.4640000000000004</v>
      </c>
      <c r="FA5" s="15">
        <f>'Bloom Cleaner Data'!DN5</f>
        <v>4.4646999999999997</v>
      </c>
      <c r="FB5" s="15">
        <f>'Bloom Cleaner Data'!DO5</f>
        <v>5.1337000000000002</v>
      </c>
      <c r="FC5" s="15"/>
      <c r="FD5" s="15">
        <f>AVERAGE(EP5:FB5)</f>
        <v>4.8039846153846151</v>
      </c>
      <c r="FE5" s="18">
        <f t="shared" ref="FE5:FE27" si="6">(FB5-EP5)/EP5</f>
        <v>0.15816902043947126</v>
      </c>
      <c r="FF5" s="15">
        <f>AVERAGE(ES5:FB5)</f>
        <v>4.828549999999999</v>
      </c>
      <c r="FG5" s="2206"/>
      <c r="FH5" s="15">
        <f>('Bloom Cleaner Data'!BU5+'OPERATING LEASES'!AU5)/DK5</f>
        <v>4.4333584779807635</v>
      </c>
      <c r="FI5" s="15">
        <f>('Bloom Cleaner Data'!BV5+'OPERATING LEASES'!AV5)/DL5</f>
        <v>4.4251297455450009</v>
      </c>
      <c r="FJ5" s="15">
        <f>('Bloom Cleaner Data'!BW5+'OPERATING LEASES'!AW5)/DM5</f>
        <v>4.6264433627075174</v>
      </c>
      <c r="FK5" s="15">
        <f>('Bloom Cleaner Data'!BX5+'OPERATING LEASES'!AX5)/DN5</f>
        <v>4.7494814286042333</v>
      </c>
      <c r="FL5" s="15">
        <f>('Bloom Cleaner Data'!BY5+'OPERATING LEASES'!AY5)/DO5</f>
        <v>5.3302458517948876</v>
      </c>
      <c r="FM5" s="15">
        <f>('Bloom Cleaner Data'!BZ5+'OPERATING LEASES'!AZ5)/DP5</f>
        <v>5.6326993546767428</v>
      </c>
      <c r="FN5" s="15">
        <f>('Bloom Cleaner Data'!CA5+'OPERATING LEASES'!BA5)/DQ5</f>
        <v>5.8904160972239632</v>
      </c>
      <c r="FO5" s="15">
        <f>('Bloom Cleaner Data'!CB5+'OPERATING LEASES'!BB5)/DR5</f>
        <v>5.455646970458691</v>
      </c>
      <c r="FP5" s="15">
        <f>('Bloom Cleaner Data'!CC5+'OPERATING LEASES'!BC5)/DS5</f>
        <v>4.6989489551169221</v>
      </c>
      <c r="FQ5" s="15">
        <f>('Bloom Cleaner Data'!CD5+'OPERATING LEASES'!BD5)/DT5</f>
        <v>4.6152303514924178</v>
      </c>
      <c r="FR5" s="15">
        <f>('Bloom Cleaner Data'!CE5+'OPERATING LEASES'!BE5)/DU5</f>
        <v>4.5425418676595068</v>
      </c>
      <c r="FS5" s="15">
        <f>('Bloom Cleaner Data'!CF5+'OPERATING LEASES'!BF5)/DV5</f>
        <v>4.6443823954308083</v>
      </c>
      <c r="FT5" s="15">
        <f>('Bloom Cleaner Data'!CG5+'OPERATING LEASES'!BG5)/DW5</f>
        <v>4.6953835171649825</v>
      </c>
      <c r="FU5" s="15">
        <f>('Bloom Cleaner Data'!CH5+'OPERATING LEASES'!BH5)/DX5</f>
        <v>4.6995452340298911</v>
      </c>
      <c r="FV5" s="15">
        <f>('Bloom Cleaner Data'!CI5+'OPERATING LEASES'!BI5)/DY5</f>
        <v>5.2964626193065953</v>
      </c>
      <c r="FW5" s="15"/>
      <c r="FX5" s="506">
        <f>AVERAGE(FJ5:FV5)</f>
        <v>4.9905713850513198</v>
      </c>
      <c r="FY5" s="10">
        <f>(FV5-FJ5)/FJ5</f>
        <v>0.1448238320606966</v>
      </c>
      <c r="FZ5" s="15">
        <f t="shared" ref="FZ5:FZ27" si="7">FX5-FD5</f>
        <v>0.18658676966670473</v>
      </c>
      <c r="GA5" s="15">
        <f>AVERAGE(FM5:FV5)</f>
        <v>5.0171257362560526</v>
      </c>
      <c r="GB5" s="15">
        <f>GA5-FF5</f>
        <v>0.18857573625605362</v>
      </c>
      <c r="GC5" s="15">
        <f t="shared" ref="GC5:GC27" si="8">AVERAGE(FR5:FV5)-AVERAGE(EX5:FB5)</f>
        <v>0.21524312671835677</v>
      </c>
      <c r="GD5" s="13"/>
      <c r="GE5" s="15">
        <f t="shared" ref="GE5:GE27" si="9">$GE$1*FH5+(1-$GE$1)*EN5</f>
        <v>4.4333584779807635</v>
      </c>
      <c r="GF5" s="15">
        <f t="shared" ref="GF5:GF27" si="10">$GE$1*FI5+(1-$GE$1)*EO5</f>
        <v>4.4251297455450009</v>
      </c>
      <c r="GG5" s="15">
        <f t="shared" ref="GG5:GG27" si="11">$GE$1*FJ5+(1-$GE$1)*EP5</f>
        <v>4.6264433627075174</v>
      </c>
      <c r="GH5" s="15">
        <f t="shared" ref="GH5:GH27" si="12">$GE$1*FK5+(1-$GE$1)*EQ5</f>
        <v>4.7494814286042333</v>
      </c>
      <c r="GI5" s="15">
        <f t="shared" ref="GI5:GI27" si="13">$GE$1*FL5+(1-$GE$1)*ER5</f>
        <v>5.3302458517948876</v>
      </c>
      <c r="GJ5" s="15">
        <f t="shared" ref="GJ5:GJ27" si="14">$GE$1*FM5+(1-$GE$1)*ES5</f>
        <v>5.6326993546767428</v>
      </c>
      <c r="GK5" s="15">
        <f t="shared" ref="GK5:GK27" si="15">$GE$1*FN5+(1-$GE$1)*ET5</f>
        <v>5.8904160972239632</v>
      </c>
      <c r="GL5" s="15">
        <f t="shared" ref="GL5:GL27" si="16">$GE$1*FO5+(1-$GE$1)*EU5</f>
        <v>5.455646970458691</v>
      </c>
      <c r="GM5" s="15">
        <f t="shared" ref="GM5:GM27" si="17">$GE$1*FP5+(1-$GE$1)*EV5</f>
        <v>4.6989489551169221</v>
      </c>
      <c r="GN5" s="15">
        <f t="shared" ref="GN5:GN27" si="18">$GE$1*FQ5+(1-$GE$1)*EW5</f>
        <v>4.6152303514924178</v>
      </c>
      <c r="GO5" s="15">
        <f t="shared" ref="GO5:GO27" si="19">$GE$1*FR5+(1-$GE$1)*EX5</f>
        <v>4.5425418676595068</v>
      </c>
      <c r="GP5" s="15">
        <f t="shared" ref="GP5:GP27" si="20">$GE$1*FS5+(1-$GE$1)*EY5</f>
        <v>4.6443823954308083</v>
      </c>
      <c r="GQ5" s="15">
        <f t="shared" ref="GQ5:GQ27" si="21">$GE$1*FT5+(1-$GE$1)*EZ5</f>
        <v>4.6953835171649825</v>
      </c>
      <c r="GR5" s="15">
        <f t="shared" ref="GR5:GR27" si="22">$GE$1*FU5+(1-$GE$1)*FA5</f>
        <v>4.6995452340298911</v>
      </c>
      <c r="GS5" s="15">
        <f t="shared" ref="GS5:GS27" si="23">$GE$1*FV5+(1-$GE$1)*FB5</f>
        <v>5.2964626193065953</v>
      </c>
      <c r="GT5" s="15"/>
      <c r="GU5" s="15">
        <f>AVERAGE(GE5:GS5)</f>
        <v>4.9157277486128619</v>
      </c>
      <c r="GV5" s="10">
        <f>(GS5-GG5)/GG5</f>
        <v>0.1448238320606966</v>
      </c>
      <c r="GW5" s="506">
        <f>AVERAGE(GJ5:GS5)</f>
        <v>5.0171257362560526</v>
      </c>
      <c r="GX5" s="2057"/>
      <c r="GY5" s="10">
        <f>'Bloom Cleaner Data'!T5/('Bloom Cleaner Data'!T5+'Bloom Cleaner Data'!D5)</f>
        <v>0.4960133923076876</v>
      </c>
      <c r="GZ5" s="10">
        <f>'Bloom Cleaner Data'!U5/('Bloom Cleaner Data'!U5+'Bloom Cleaner Data'!E5)</f>
        <v>0.49836499864582806</v>
      </c>
      <c r="HA5" s="10">
        <f>'Bloom Cleaner Data'!V5/('Bloom Cleaner Data'!V5+'Bloom Cleaner Data'!F5)</f>
        <v>0.53267777016965256</v>
      </c>
      <c r="HB5" s="10">
        <f>'Bloom Cleaner Data'!W5/('Bloom Cleaner Data'!W5+'Bloom Cleaner Data'!G5)</f>
        <v>0.51493902526666291</v>
      </c>
      <c r="HC5" s="10">
        <f>'Bloom Cleaner Data'!X5/('Bloom Cleaner Data'!X5+'Bloom Cleaner Data'!H5)</f>
        <v>0.52091935171631465</v>
      </c>
      <c r="HD5" s="10">
        <f>'Bloom Cleaner Data'!Y5/('Bloom Cleaner Data'!Y5+'Bloom Cleaner Data'!I5)</f>
        <v>0.48327652440469993</v>
      </c>
      <c r="HE5" s="10">
        <f>'Bloom Cleaner Data'!Z5/('Bloom Cleaner Data'!Z5+'Bloom Cleaner Data'!J5)</f>
        <v>0.49545285426998414</v>
      </c>
      <c r="HF5" s="10">
        <f>'Bloom Cleaner Data'!AA5/('Bloom Cleaner Data'!AA5+'Bloom Cleaner Data'!K5)</f>
        <v>0.5433151172137608</v>
      </c>
      <c r="HG5" s="10">
        <f>'Bloom Cleaner Data'!AB5/('Bloom Cleaner Data'!AB5+'Bloom Cleaner Data'!L5)</f>
        <v>0.52414464688995233</v>
      </c>
      <c r="HH5" s="10">
        <f>'Bloom Cleaner Data'!AC5/('Bloom Cleaner Data'!AC5+'Bloom Cleaner Data'!M5)</f>
        <v>0.50661650017792548</v>
      </c>
      <c r="HI5" s="10">
        <f>'Bloom Cleaner Data'!AD5/('Bloom Cleaner Data'!AD5+'Bloom Cleaner Data'!N5)</f>
        <v>0.53388630020916916</v>
      </c>
      <c r="HJ5" s="10">
        <f>'Bloom Cleaner Data'!AE5/('Bloom Cleaner Data'!AE5+'Bloom Cleaner Data'!O5)</f>
        <v>0.49672758030888514</v>
      </c>
      <c r="HK5" s="10">
        <f>'Bloom Cleaner Data'!AF5/('Bloom Cleaner Data'!AF5+'Bloom Cleaner Data'!P5)</f>
        <v>0.50953496365691131</v>
      </c>
      <c r="HL5" s="10">
        <f>'Bloom Cleaner Data'!AG5/('Bloom Cleaner Data'!AG5+'Bloom Cleaner Data'!Q5)</f>
        <v>0.51786833304518809</v>
      </c>
      <c r="HM5" s="10">
        <f>'Bloom Cleaner Data'!AH5/('Bloom Cleaner Data'!AH5+'Bloom Cleaner Data'!R5)</f>
        <v>0.51939744871548044</v>
      </c>
      <c r="HN5" s="15"/>
      <c r="HO5" s="10">
        <f>AVERAGE(HA5:HM5)</f>
        <v>0.51528895508035288</v>
      </c>
      <c r="HP5" s="10">
        <f>(HM5-HA5)/HA5</f>
        <v>-2.4931247740904369E-2</v>
      </c>
      <c r="HQ5" s="10"/>
      <c r="HR5" s="476">
        <f t="shared" ref="HR5:HR27" si="24">GY5/(1-GY5)</f>
        <v>0.98417970782768793</v>
      </c>
      <c r="HS5" s="477">
        <f t="shared" ref="HS5:HS27" si="25">GZ5/(1-GZ5)</f>
        <v>0.99348131071492929</v>
      </c>
      <c r="HT5" s="477">
        <f t="shared" ref="HT5:HT27" si="26">HA5/(1-HA5)</f>
        <v>1.1398511266263349</v>
      </c>
      <c r="HU5" s="477">
        <f t="shared" ref="HU5:HU27" si="27">HB5/(1-HB5)</f>
        <v>1.0615964839260699</v>
      </c>
      <c r="HV5" s="477">
        <f t="shared" ref="HV5:HV27" si="28">HC5/(1-HC5)</f>
        <v>1.0873312323979629</v>
      </c>
      <c r="HW5" s="477">
        <f t="shared" ref="HW5:HW27" si="29">HD5/(1-HD5)</f>
        <v>0.93527108256100222</v>
      </c>
      <c r="HX5" s="477">
        <f t="shared" ref="HX5:HX27" si="30">HE5/(1-HE5)</f>
        <v>0.98197533860413877</v>
      </c>
      <c r="HY5" s="477">
        <f t="shared" ref="HY5:HY27" si="31">HF5/(1-HF5)</f>
        <v>1.1896936765215209</v>
      </c>
      <c r="HZ5" s="477">
        <f t="shared" ref="HZ5:HZ27" si="32">HG5/(1-HG5)</f>
        <v>1.1014789335967334</v>
      </c>
      <c r="IA5" s="477">
        <f t="shared" ref="IA5:IA27" si="33">HH5/(1-HH5)</f>
        <v>1.0268209219818318</v>
      </c>
      <c r="IB5" s="477">
        <f t="shared" ref="IB5:IB27" si="34">HI5/(1-HI5)</f>
        <v>1.1453992887330953</v>
      </c>
      <c r="IC5" s="477">
        <f t="shared" ref="IC5:IC27" si="35">HJ5/(1-HJ5)</f>
        <v>0.98699543403104284</v>
      </c>
      <c r="ID5" s="477">
        <f t="shared" ref="ID5:ID27" si="36">HK5/(1-HK5)</f>
        <v>1.0388813185461867</v>
      </c>
      <c r="IE5" s="477">
        <f t="shared" ref="IE5:IE27" si="37">HL5/(1-HL5)</f>
        <v>1.0741222129550052</v>
      </c>
      <c r="IF5" s="478">
        <f t="shared" ref="IF5:IF27" si="38">HM5/(1-HM5)</f>
        <v>1.0807213722175895</v>
      </c>
      <c r="IG5" s="15"/>
      <c r="IH5" s="10">
        <f>AVERAGE(HT5:IF5)</f>
        <v>1.065395263284501</v>
      </c>
      <c r="II5" s="10">
        <f>(IF5-HT5)/HT5</f>
        <v>-5.1874980010551262E-2</v>
      </c>
      <c r="IJ5" s="10"/>
      <c r="IK5" s="18">
        <f>('Bloom Cleaner Data'!T5+'OPERATING LEASES'!AU5)/('Bloom Cleaner Data'!T5+'OPERATING LEASES'!AU5+'Bloom Cleaner Data'!D5)</f>
        <v>0.58937818116081442</v>
      </c>
      <c r="IL5" s="18">
        <f>('Bloom Cleaner Data'!U5+'OPERATING LEASES'!AV5)/('Bloom Cleaner Data'!U5+'OPERATING LEASES'!AV5+'Bloom Cleaner Data'!E5)</f>
        <v>0.58715140559196333</v>
      </c>
      <c r="IM5" s="18">
        <f>('Bloom Cleaner Data'!V5+'OPERATING LEASES'!AW5)/('Bloom Cleaner Data'!V5+'OPERATING LEASES'!AW5+'Bloom Cleaner Data'!F5)</f>
        <v>0.60790876867087129</v>
      </c>
      <c r="IN5" s="18">
        <f>('Bloom Cleaner Data'!W5+'OPERATING LEASES'!AX5)/('Bloom Cleaner Data'!W5+'OPERATING LEASES'!AX5+'Bloom Cleaner Data'!G5)</f>
        <v>0.58780193816956527</v>
      </c>
      <c r="IO5" s="18">
        <f>('Bloom Cleaner Data'!X5+'OPERATING LEASES'!AY5)/('Bloom Cleaner Data'!X5+'OPERATING LEASES'!AY5+'Bloom Cleaner Data'!H5)</f>
        <v>0.58957517882241384</v>
      </c>
      <c r="IP5" s="18">
        <f>('Bloom Cleaner Data'!Y5+'OPERATING LEASES'!AZ5)/('Bloom Cleaner Data'!Y5+'OPERATING LEASES'!AZ5+'Bloom Cleaner Data'!I5)</f>
        <v>0.55448370256814439</v>
      </c>
      <c r="IQ5" s="18">
        <f>('Bloom Cleaner Data'!Z5+'OPERATING LEASES'!BA5)/('Bloom Cleaner Data'!Z5+'OPERATING LEASES'!BA5+'Bloom Cleaner Data'!J5)</f>
        <v>0.56386630994390285</v>
      </c>
      <c r="IR5" s="18">
        <f>('Bloom Cleaner Data'!AA5+'OPERATING LEASES'!BB5)/('Bloom Cleaner Data'!AA5+'OPERATING LEASES'!BB5+'Bloom Cleaner Data'!K5)</f>
        <v>0.61067944094457305</v>
      </c>
      <c r="IS5" s="18">
        <f>('Bloom Cleaner Data'!AB5+'OPERATING LEASES'!BC5)/('Bloom Cleaner Data'!AB5+'OPERATING LEASES'!BC5+'Bloom Cleaner Data'!L5)</f>
        <v>0.59638493339332066</v>
      </c>
      <c r="IT5" s="18">
        <f>('Bloom Cleaner Data'!AC5+'OPERATING LEASES'!BD5)/('Bloom Cleaner Data'!AC5+'OPERATING LEASES'!BD5+'Bloom Cleaner Data'!M5)</f>
        <v>0.58244392597587236</v>
      </c>
      <c r="IU5" s="18">
        <f>('Bloom Cleaner Data'!AD5+'OPERATING LEASES'!BE5)/('Bloom Cleaner Data'!AD5+'OPERATING LEASES'!BE5+'Bloom Cleaner Data'!N5)</f>
        <v>0.60505124187144299</v>
      </c>
      <c r="IV5" s="18">
        <f>('Bloom Cleaner Data'!AE5+'OPERATING LEASES'!BF5)/('Bloom Cleaner Data'!AE5+'OPERATING LEASES'!BF5+'Bloom Cleaner Data'!O5)</f>
        <v>0.57188320770012269</v>
      </c>
      <c r="IW5" s="18">
        <f>('Bloom Cleaner Data'!AF5+'OPERATING LEASES'!BG5)/('Bloom Cleaner Data'!AF5+'OPERATING LEASES'!BG5+'Bloom Cleaner Data'!P5)</f>
        <v>0.58809032915191828</v>
      </c>
      <c r="IX5" s="18">
        <f>('Bloom Cleaner Data'!AG5+'OPERATING LEASES'!BH5)/('Bloom Cleaner Data'!AG5+'OPERATING LEASES'!BH5+'Bloom Cleaner Data'!Q5)</f>
        <v>0.59623196470130613</v>
      </c>
      <c r="IY5" s="18">
        <f>('Bloom Cleaner Data'!AH5+'OPERATING LEASES'!BI5)/('Bloom Cleaner Data'!AH5+'OPERATING LEASES'!BI5+'Bloom Cleaner Data'!R5)</f>
        <v>0.59074959904524027</v>
      </c>
      <c r="IZ5" s="15"/>
      <c r="JA5" s="10">
        <f>AVERAGE(IM5:IY5)</f>
        <v>0.58808850315066874</v>
      </c>
      <c r="JB5" s="10">
        <f>(IY5-IM5)/IM5</f>
        <v>-2.8226553900756759E-2</v>
      </c>
      <c r="JC5" s="10">
        <f t="shared" ref="JC5:JC27" si="39">JA5-HO5</f>
        <v>7.2799548070315856E-2</v>
      </c>
      <c r="JD5" s="10">
        <f t="shared" ref="JD5:JD27" si="40">JC5/HO5</f>
        <v>0.14127907721011346</v>
      </c>
      <c r="JE5" s="7"/>
      <c r="JF5" s="482">
        <f>IK5/(1-IK5)</f>
        <v>1.4353308911517835</v>
      </c>
      <c r="JG5" s="483">
        <f t="shared" ref="JG5:JT20" si="41">IL5/(1-IL5)</f>
        <v>1.4221954816967486</v>
      </c>
      <c r="JH5" s="483">
        <f t="shared" si="41"/>
        <v>1.550426839718283</v>
      </c>
      <c r="JI5" s="483">
        <f t="shared" si="41"/>
        <v>1.4260181999869967</v>
      </c>
      <c r="JJ5" s="483">
        <f t="shared" si="41"/>
        <v>1.4364998128787911</v>
      </c>
      <c r="JK5" s="483">
        <f t="shared" si="41"/>
        <v>1.2445867991012294</v>
      </c>
      <c r="JL5" s="483">
        <f t="shared" si="41"/>
        <v>1.2928749206954782</v>
      </c>
      <c r="JM5" s="483">
        <f t="shared" si="41"/>
        <v>1.5685774273678457</v>
      </c>
      <c r="JN5" s="483">
        <f t="shared" si="41"/>
        <v>1.4776082032995426</v>
      </c>
      <c r="JO5" s="483">
        <f t="shared" si="41"/>
        <v>1.3948879257405247</v>
      </c>
      <c r="JP5" s="483">
        <f t="shared" si="41"/>
        <v>1.5319740331339313</v>
      </c>
      <c r="JQ5" s="483">
        <f t="shared" si="41"/>
        <v>1.3358112038257617</v>
      </c>
      <c r="JR5" s="483">
        <f t="shared" si="41"/>
        <v>1.4277167320230617</v>
      </c>
      <c r="JS5" s="483">
        <f t="shared" si="41"/>
        <v>1.4766695542410482</v>
      </c>
      <c r="JT5" s="484">
        <f t="shared" si="41"/>
        <v>1.4434918027375232</v>
      </c>
      <c r="JU5" s="15"/>
      <c r="JV5" s="10">
        <f>AVERAGE(JH5:JT5)</f>
        <v>1.4313187272884629</v>
      </c>
      <c r="JW5" s="10">
        <f>(JT5-JH5)/JH5</f>
        <v>-6.8971353076027891E-2</v>
      </c>
      <c r="JX5" s="10">
        <f>JV5-IH5</f>
        <v>0.36592346400396192</v>
      </c>
      <c r="JY5" s="10">
        <f>JX5/IH5</f>
        <v>0.34346263458677162</v>
      </c>
      <c r="JZ5" s="7"/>
      <c r="KA5" s="15">
        <f>'Bloom Cleaner Data'!T5/'Bloom Cleaner Data'!BU5*'Bloom Cleaner Data'!DA5</f>
        <v>1.9713618310182239</v>
      </c>
      <c r="KB5" s="15">
        <f>'Bloom Cleaner Data'!U5/'Bloom Cleaner Data'!BV5*'Bloom Cleaner Data'!DB5</f>
        <v>1.9694355339865979</v>
      </c>
      <c r="KC5" s="15">
        <f>'Bloom Cleaner Data'!V5/'Bloom Cleaner Data'!BW5*'Bloom Cleaner Data'!DC5</f>
        <v>2.2368358723489541</v>
      </c>
      <c r="KD5" s="15">
        <f>'Bloom Cleaner Data'!W5/'Bloom Cleaner Data'!BX5*'Bloom Cleaner Data'!DD5</f>
        <v>2.2207552364584768</v>
      </c>
      <c r="KE5" s="15">
        <f>'Bloom Cleaner Data'!X5/'Bloom Cleaner Data'!BY5*'Bloom Cleaner Data'!DE5</f>
        <v>2.5480723078657923</v>
      </c>
      <c r="KF5" s="15">
        <f>'Bloom Cleaner Data'!Y5/'Bloom Cleaner Data'!BZ5*'Bloom Cleaner Data'!DF5</f>
        <v>2.5228967516532093</v>
      </c>
      <c r="KG5" s="15">
        <f>'Bloom Cleaner Data'!Z5/'Bloom Cleaner Data'!CA5*'Bloom Cleaner Data'!DG5</f>
        <v>2.7327298703309237</v>
      </c>
      <c r="KH5" s="15">
        <f>'Bloom Cleaner Data'!AA5/'Bloom Cleaner Data'!CB5*'Bloom Cleaner Data'!DH5</f>
        <v>2.7243678071761082</v>
      </c>
      <c r="KI5" s="15">
        <f>'Bloom Cleaner Data'!AB5/'Bloom Cleaner Data'!CC5*'Bloom Cleaner Data'!DI5</f>
        <v>2.2203675654088459</v>
      </c>
      <c r="KJ5" s="15">
        <f>'Bloom Cleaner Data'!AC5/'Bloom Cleaner Data'!CD5*'Bloom Cleaner Data'!DJ5</f>
        <v>2.0990712772651348</v>
      </c>
      <c r="KK5" s="15">
        <f>'Bloom Cleaner Data'!AD5/'Bloom Cleaner Data'!CE5*'Bloom Cleaner Data'!DK5</f>
        <v>2.1810865914216135</v>
      </c>
      <c r="KL5" s="15">
        <f>'Bloom Cleaner Data'!AE5/'Bloom Cleaner Data'!CF5*'Bloom Cleaner Data'!DL5</f>
        <v>2.0819655425698573</v>
      </c>
      <c r="KM5" s="15">
        <f>'Bloom Cleaner Data'!AF5/'Bloom Cleaner Data'!CG5*'Bloom Cleaner Data'!DM5</f>
        <v>2.1436391209559642</v>
      </c>
      <c r="KN5" s="15">
        <f>'Bloom Cleaner Data'!AG5/'Bloom Cleaner Data'!CH5*'Bloom Cleaner Data'!DN5</f>
        <v>2.1776520536740462</v>
      </c>
      <c r="KO5" s="15">
        <f>'Bloom Cleaner Data'!AH5/'Bloom Cleaner Data'!CI5*'Bloom Cleaner Data'!DO5</f>
        <v>2.4576671482486603</v>
      </c>
      <c r="KP5" s="15"/>
      <c r="KQ5" s="15">
        <f>AVERAGE(KM5:KO5)</f>
        <v>2.2596527742928902</v>
      </c>
      <c r="KR5" s="15">
        <f>AVERAGE(KL5:KO5)</f>
        <v>2.2152309663621321</v>
      </c>
      <c r="KS5" s="15">
        <f>AVERAGE(KC5:KO5)</f>
        <v>2.3343928573367374</v>
      </c>
      <c r="KT5" s="18">
        <f>(KO5-KC5)/KC5</f>
        <v>9.8724845496959091E-2</v>
      </c>
      <c r="KU5" s="18"/>
      <c r="KV5" s="1694" t="s">
        <v>52</v>
      </c>
      <c r="KW5" s="506">
        <f>('Bloom Cleaner Data'!T5+'OPERATING LEASES'!AU5)/DK5</f>
        <v>2.4859357227540926</v>
      </c>
      <c r="KX5" s="506">
        <f>('Bloom Cleaner Data'!U5+'OPERATING LEASES'!AV5)/DL5</f>
        <v>2.4651945926711236</v>
      </c>
      <c r="KY5" s="506">
        <f>('Bloom Cleaner Data'!V5+'OPERATING LEASES'!AW5)/DM5</f>
        <v>2.6871582462411872</v>
      </c>
      <c r="KZ5" s="506">
        <f>('Bloom Cleaner Data'!W5+'OPERATING LEASES'!AX5)/DN5</f>
        <v>2.661663930303503</v>
      </c>
      <c r="LA5" s="506">
        <f>('Bloom Cleaner Data'!X5+'OPERATING LEASES'!AY5)/DO5</f>
        <v>2.9949211337895965</v>
      </c>
      <c r="LB5" s="506">
        <f>('Bloom Cleaner Data'!Y5+'OPERATING LEASES'!AZ5)/DP5</f>
        <v>2.9803925249489294</v>
      </c>
      <c r="LC5" s="506">
        <f>('Bloom Cleaner Data'!Z5+'OPERATING LEASES'!BA5)/DQ5</f>
        <v>3.1808402889914364</v>
      </c>
      <c r="LD5" s="506">
        <f>('Bloom Cleaner Data'!AA5+'OPERATING LEASES'!BB5)/DR5</f>
        <v>3.1745643708799878</v>
      </c>
      <c r="LE5" s="506">
        <f>('Bloom Cleaner Data'!AB5+'OPERATING LEASES'!BC5)/DS5</f>
        <v>2.671580700865555</v>
      </c>
      <c r="LF5" s="506">
        <f>('Bloom Cleaner Data'!AC5+'OPERATING LEASES'!BD5)/DT5</f>
        <v>2.5596099289108447</v>
      </c>
      <c r="LG5" s="506">
        <f>('Bloom Cleaner Data'!AD5+'OPERATING LEASES'!BE5)/DU5</f>
        <v>2.6244198961533871</v>
      </c>
      <c r="LH5" s="506">
        <f>('Bloom Cleaner Data'!AE5+'OPERATING LEASES'!BF5)/DV5</f>
        <v>2.5350641799609446</v>
      </c>
      <c r="LI5" s="506">
        <f>('Bloom Cleaner Data'!AF5+'OPERATING LEASES'!BG5)/DW5</f>
        <v>2.6265823046438714</v>
      </c>
      <c r="LJ5" s="506">
        <f>('Bloom Cleaner Data'!AG5+'OPERATING LEASES'!BH5)/DX5</f>
        <v>2.6642374698968943</v>
      </c>
      <c r="LK5" s="506">
        <f>('Bloom Cleaner Data'!AH5+'OPERATING LEASES'!BI5)/DY5</f>
        <v>2.9178287645268703</v>
      </c>
      <c r="LL5" s="15"/>
      <c r="LM5" s="15">
        <f>AVERAGE(LI5:LK5)</f>
        <v>2.7362161796892117</v>
      </c>
      <c r="LN5" s="15">
        <f>AVERAGE(LH5:LK5)</f>
        <v>2.6859281797571453</v>
      </c>
      <c r="LO5" s="15">
        <f>LN5-KR5</f>
        <v>0.47069721339501314</v>
      </c>
      <c r="LP5" s="15">
        <f>AVERAGE(KY5:LK5)</f>
        <v>2.7906818261625395</v>
      </c>
      <c r="LQ5" s="18">
        <f>(LK5-KY5)/KY5</f>
        <v>8.5841806528642844E-2</v>
      </c>
      <c r="LR5" s="15">
        <f>LP5-KS5</f>
        <v>0.45628896882580205</v>
      </c>
      <c r="LS5" s="18"/>
      <c r="LT5" s="15">
        <f t="shared" ref="LT5:MH5" si="42">$LT$1*KW5+(1-$LT$1)*KA5</f>
        <v>2.4859357227540926</v>
      </c>
      <c r="LU5" s="15">
        <f t="shared" si="42"/>
        <v>2.4651945926711236</v>
      </c>
      <c r="LV5" s="15">
        <f t="shared" si="42"/>
        <v>2.6871582462411872</v>
      </c>
      <c r="LW5" s="15">
        <f t="shared" si="42"/>
        <v>2.661663930303503</v>
      </c>
      <c r="LX5" s="15">
        <f t="shared" si="42"/>
        <v>2.9949211337895965</v>
      </c>
      <c r="LY5" s="15">
        <f t="shared" si="42"/>
        <v>2.9803925249489294</v>
      </c>
      <c r="LZ5" s="15">
        <f t="shared" si="42"/>
        <v>3.1808402889914364</v>
      </c>
      <c r="MA5" s="15">
        <f t="shared" si="42"/>
        <v>3.1745643708799878</v>
      </c>
      <c r="MB5" s="15">
        <f t="shared" si="42"/>
        <v>2.671580700865555</v>
      </c>
      <c r="MC5" s="15">
        <f t="shared" si="42"/>
        <v>2.5596099289108447</v>
      </c>
      <c r="MD5" s="15">
        <f t="shared" si="42"/>
        <v>2.6244198961533871</v>
      </c>
      <c r="ME5" s="15">
        <f t="shared" si="42"/>
        <v>2.5350641799609446</v>
      </c>
      <c r="MF5" s="15">
        <f t="shared" si="42"/>
        <v>2.6265823046438714</v>
      </c>
      <c r="MG5" s="15">
        <f t="shared" si="42"/>
        <v>2.6642374698968943</v>
      </c>
      <c r="MH5" s="15">
        <f t="shared" si="42"/>
        <v>2.9178287645268703</v>
      </c>
      <c r="MI5" s="15"/>
      <c r="MJ5" s="15">
        <f>AVERAGE(MF5:MH5)</f>
        <v>2.7362161796892117</v>
      </c>
      <c r="MK5" s="15">
        <f>AVERAGE(ME5:MH5)</f>
        <v>2.6859281797571453</v>
      </c>
      <c r="ML5" s="506">
        <f>AVERAGE(LV5:MH5)</f>
        <v>2.7906818261625395</v>
      </c>
      <c r="MM5" s="10">
        <f>(MH5-LV5)/LV5</f>
        <v>8.5841806528642844E-2</v>
      </c>
      <c r="MN5" s="18"/>
      <c r="MO5" s="15">
        <f>('Bloom Cleaner Data'!T5+'Bloom Cleaner Data'!EY5)/'Bloom Cleaner Data'!GV5</f>
        <v>2.2192103242179204</v>
      </c>
      <c r="MP5" s="15">
        <f>('Bloom Cleaner Data'!U5+'Bloom Cleaner Data'!EZ5)/'Bloom Cleaner Data'!GW5</f>
        <v>2.220100814424554</v>
      </c>
      <c r="MQ5" s="15">
        <f>('Bloom Cleaner Data'!V5+'Bloom Cleaner Data'!FA5)/'Bloom Cleaner Data'!GX5</f>
        <v>2.3219547741895346</v>
      </c>
      <c r="MR5" s="15">
        <f>('Bloom Cleaner Data'!W5+'Bloom Cleaner Data'!FB5)/'Bloom Cleaner Data'!GY5</f>
        <v>2.3196483175856049</v>
      </c>
      <c r="MS5" s="15">
        <f>('Bloom Cleaner Data'!X5+'Bloom Cleaner Data'!FC5)/'Bloom Cleaner Data'!GZ5</f>
        <v>2.7057892553702487</v>
      </c>
      <c r="MT5" s="15">
        <f>('Bloom Cleaner Data'!Y5+'Bloom Cleaner Data'!FD5)/'Bloom Cleaner Data'!HA5</f>
        <v>2.6191515026325343</v>
      </c>
      <c r="MU5" s="15">
        <f>('Bloom Cleaner Data'!Z5+'Bloom Cleaner Data'!FE5)/'Bloom Cleaner Data'!HB5</f>
        <v>2.8965909507948031</v>
      </c>
      <c r="MV5" s="15">
        <f>('Bloom Cleaner Data'!AA5+'Bloom Cleaner Data'!FF5)/'Bloom Cleaner Data'!HC5</f>
        <v>2.8522723990623104</v>
      </c>
      <c r="MW5" s="15">
        <f>('Bloom Cleaner Data'!AB5+'Bloom Cleaner Data'!FG5)/'Bloom Cleaner Data'!HD5</f>
        <v>2.4176411933052755</v>
      </c>
      <c r="MX5" s="15">
        <f>('Bloom Cleaner Data'!AC5+'Bloom Cleaner Data'!FH5)/'Bloom Cleaner Data'!HE5</f>
        <v>2.2710013744232644</v>
      </c>
      <c r="MY5" s="15">
        <f>('Bloom Cleaner Data'!AD5+'Bloom Cleaner Data'!FI5)/'Bloom Cleaner Data'!HF5</f>
        <v>2.331657719491766</v>
      </c>
      <c r="MZ5" s="15">
        <f>('Bloom Cleaner Data'!AE5+'Bloom Cleaner Data'!FJ5)/'Bloom Cleaner Data'!HG5</f>
        <v>2.2109314439870364</v>
      </c>
      <c r="NA5" s="15">
        <f>('Bloom Cleaner Data'!AF5+'Bloom Cleaner Data'!FK5)/'Bloom Cleaner Data'!HH5</f>
        <v>2.3674072992635953</v>
      </c>
      <c r="NB5" s="15">
        <f>('Bloom Cleaner Data'!AG5+'Bloom Cleaner Data'!FL5)/'Bloom Cleaner Data'!HI5</f>
        <v>2.4343253057556744</v>
      </c>
      <c r="NC5" s="15">
        <f>('Bloom Cleaner Data'!AH5+'Bloom Cleaner Data'!FM5)/'Bloom Cleaner Data'!HJ5</f>
        <v>2.7573032020638339</v>
      </c>
      <c r="ND5" s="15"/>
      <c r="NE5" s="15">
        <f t="shared" ref="NE5:NE27" si="43">NC5-KO5</f>
        <v>0.29963605381517366</v>
      </c>
      <c r="NF5" s="15">
        <f>AVERAGE(NA5:NC5)</f>
        <v>2.5196786023610347</v>
      </c>
      <c r="NG5" s="15">
        <f t="shared" ref="NG5:NG27" si="44">NF5-KQ5</f>
        <v>0.26002582806814445</v>
      </c>
      <c r="NH5" s="15">
        <f>AVERAGE(MZ5:NC5)</f>
        <v>2.442491812767535</v>
      </c>
      <c r="NI5" s="15">
        <f>AVERAGE(MQ5:NC5)</f>
        <v>2.5004365183019601</v>
      </c>
      <c r="NJ5" s="18">
        <f>(NC5-MQ5)/MQ5</f>
        <v>0.18749220816596454</v>
      </c>
      <c r="NK5" s="15">
        <f t="shared" ref="NK5:NK27" si="45">NI5-KS5</f>
        <v>0.16604366096522272</v>
      </c>
      <c r="NL5" s="2818"/>
      <c r="NM5" s="1694" t="s">
        <v>52</v>
      </c>
      <c r="NN5" s="15">
        <f>KW5+'Bloom Cleaner Data'!EY5/CALCULATIONS!DK5</f>
        <v>2.7002406760015294</v>
      </c>
      <c r="NO5" s="15">
        <f>KX5+'Bloom Cleaner Data'!EZ5/CALCULATIONS!DL5</f>
        <v>2.6843761599832869</v>
      </c>
      <c r="NP5" s="15">
        <f>KY5+'Bloom Cleaner Data'!FA5/CALCULATIONS!DM5</f>
        <v>2.7623347268980516</v>
      </c>
      <c r="NQ5" s="15">
        <f>KZ5+'Bloom Cleaner Data'!FB5/CALCULATIONS!DN5</f>
        <v>2.749901357295411</v>
      </c>
      <c r="NR5" s="15">
        <f>LA5+'Bloom Cleaner Data'!FC5/CALCULATIONS!DO5</f>
        <v>3.1352374888111836</v>
      </c>
      <c r="NS5" s="15">
        <f>LB5+'Bloom Cleaner Data'!FD5/CALCULATIONS!DP5</f>
        <v>3.0658418190036452</v>
      </c>
      <c r="NT5" s="15">
        <f>LC5+'Bloom Cleaner Data'!FE5/CALCULATIONS!DQ5</f>
        <v>3.325705813712287</v>
      </c>
      <c r="NU5" s="15">
        <f>LD5+'Bloom Cleaner Data'!FF5/CALCULATIONS!DR5</f>
        <v>3.2876047815222966</v>
      </c>
      <c r="NV5" s="15">
        <f>LE5+'Bloom Cleaner Data'!FG5/CALCULATIONS!DS5</f>
        <v>2.8485220589054667</v>
      </c>
      <c r="NW5" s="15">
        <f>LF5+'Bloom Cleaner Data'!FH5/CALCULATIONS!DT5</f>
        <v>2.7139411892422047</v>
      </c>
      <c r="NX5" s="15">
        <f>LG5+'Bloom Cleaner Data'!FI5/CALCULATIONS!DU5</f>
        <v>2.7598788205538445</v>
      </c>
      <c r="NY5" s="15">
        <f>LH5+'Bloom Cleaner Data'!FJ5/CALCULATIONS!DV5</f>
        <v>2.6510915320741315</v>
      </c>
      <c r="NZ5" s="15">
        <f>LI5+'Bloom Cleaner Data'!FK5/CALCULATIONS!DW5</f>
        <v>2.8260908736718022</v>
      </c>
      <c r="OA5" s="15">
        <f>LJ5+'Bloom Cleaner Data'!FL5/CALCULATIONS!DX5</f>
        <v>2.8926581567680341</v>
      </c>
      <c r="OB5" s="15">
        <f>LK5+'Bloom Cleaner Data'!FM5/CALCULATIONS!DY5</f>
        <v>3.1841649798132132</v>
      </c>
      <c r="OC5" s="15"/>
      <c r="OD5" s="15">
        <f t="shared" ref="OD5:OD27" si="46">OB5-LK5</f>
        <v>0.26633621528634288</v>
      </c>
      <c r="OE5" s="15">
        <f>AVERAGE(NZ5:OB5)</f>
        <v>2.967638003417683</v>
      </c>
      <c r="OF5" s="15">
        <f t="shared" ref="OF5:OF27" si="47">OE5-LM5</f>
        <v>0.23142182372847131</v>
      </c>
      <c r="OG5" s="15">
        <f>AVERAGE(NY5:OB5)</f>
        <v>2.8885013855817951</v>
      </c>
      <c r="OH5" s="15">
        <f>AVERAGE(NP5:OB5)</f>
        <v>2.9386902767901208</v>
      </c>
      <c r="OI5" s="18">
        <f>(OB5-NP5)/NP5</f>
        <v>0.15270787019676416</v>
      </c>
      <c r="OJ5" s="15">
        <f t="shared" ref="OJ5:OJ27" si="48">OH5-LP5</f>
        <v>0.14800845062758139</v>
      </c>
      <c r="OK5" s="15"/>
      <c r="OL5" s="13">
        <f>'Bloom Cleaner Data'!GF5+('Bloom Cleaner Data'!T5+'Bloom Cleaner Data'!EY5)+'Bloom Cleaner Data'!CK5</f>
        <v>97241</v>
      </c>
      <c r="OM5" s="13">
        <f>'Bloom Cleaner Data'!GG5+('Bloom Cleaner Data'!U5+'Bloom Cleaner Data'!EZ5)+'Bloom Cleaner Data'!CL5</f>
        <v>99201</v>
      </c>
      <c r="ON5" s="13">
        <f>'Bloom Cleaner Data'!GH5+('Bloom Cleaner Data'!V5+'Bloom Cleaner Data'!FA5)+'Bloom Cleaner Data'!CM5</f>
        <v>99995</v>
      </c>
      <c r="OO5" s="13">
        <f>'Bloom Cleaner Data'!GI5+('Bloom Cleaner Data'!W5+'Bloom Cleaner Data'!FB5)+'Bloom Cleaner Data'!CN5</f>
        <v>97210</v>
      </c>
      <c r="OP5" s="13">
        <f>'Bloom Cleaner Data'!GJ5+('Bloom Cleaner Data'!X5+'Bloom Cleaner Data'!FC5)+'Bloom Cleaner Data'!CO5</f>
        <v>96214</v>
      </c>
      <c r="OQ5" s="13">
        <f>'Bloom Cleaner Data'!GK5+('Bloom Cleaner Data'!Y5+'Bloom Cleaner Data'!FD5)+'Bloom Cleaner Data'!CP5</f>
        <v>93314</v>
      </c>
      <c r="OR5" s="13">
        <f>'Bloom Cleaner Data'!GL5+('Bloom Cleaner Data'!Z5+'Bloom Cleaner Data'!FE5)+'Bloom Cleaner Data'!CQ5</f>
        <v>92508</v>
      </c>
      <c r="OS5" s="13">
        <f>'Bloom Cleaner Data'!GM5+('Bloom Cleaner Data'!AA5+'Bloom Cleaner Data'!FF5)+'Bloom Cleaner Data'!CR5</f>
        <v>93036</v>
      </c>
      <c r="OT5" s="13">
        <f>'Bloom Cleaner Data'!GN5+('Bloom Cleaner Data'!AB5+'Bloom Cleaner Data'!FG5)+'Bloom Cleaner Data'!CS5</f>
        <v>90533</v>
      </c>
      <c r="OU5" s="13">
        <f>'Bloom Cleaner Data'!GO5+('Bloom Cleaner Data'!AC5+'Bloom Cleaner Data'!FH5)+'Bloom Cleaner Data'!CT5</f>
        <v>88037</v>
      </c>
      <c r="OV5" s="13">
        <f>'Bloom Cleaner Data'!GP5+('Bloom Cleaner Data'!AD5+'Bloom Cleaner Data'!FI5)+'Bloom Cleaner Data'!CU5</f>
        <v>88021</v>
      </c>
      <c r="OW5" s="13">
        <f>'Bloom Cleaner Data'!GQ5+('Bloom Cleaner Data'!AE5+'Bloom Cleaner Data'!FJ5)+'Bloom Cleaner Data'!CV5</f>
        <v>78226</v>
      </c>
      <c r="OX5" s="13">
        <f>'Bloom Cleaner Data'!GR5+('Bloom Cleaner Data'!AF5+'Bloom Cleaner Data'!FK5)+'Bloom Cleaner Data'!CW5</f>
        <v>77760</v>
      </c>
      <c r="OY5" s="13">
        <f>'Bloom Cleaner Data'!GS5+('Bloom Cleaner Data'!AG5+'Bloom Cleaner Data'!FL5)+'Bloom Cleaner Data'!CX5</f>
        <v>78664</v>
      </c>
      <c r="OZ5" s="13">
        <f>'Bloom Cleaner Data'!GT5+('Bloom Cleaner Data'!AH5+'Bloom Cleaner Data'!FM5)+'Bloom Cleaner Data'!CY5</f>
        <v>86530</v>
      </c>
      <c r="PA5" s="166"/>
      <c r="PB5" s="1694" t="s">
        <v>52</v>
      </c>
      <c r="PC5" s="947">
        <f>('Bloom Cleaner Data'!T5+'Bloom Cleaner Data'!EY5+'OPERATING LEASES'!BL5)/CALCULATIONS!OL5</f>
        <v>0.5473808079190583</v>
      </c>
      <c r="PD5" s="947">
        <f>('Bloom Cleaner Data'!U5+'Bloom Cleaner Data'!EZ5+'OPERATING LEASES'!BM5)/CALCULATIONS!OM5</f>
        <v>0.52785870714148908</v>
      </c>
      <c r="PE5" s="947">
        <f>('Bloom Cleaner Data'!V5+'Bloom Cleaner Data'!FA5+'OPERATING LEASES'!BN5)/CALCULATIONS!ON5</f>
        <v>0.53026017372297185</v>
      </c>
      <c r="PF5" s="947">
        <f>('Bloom Cleaner Data'!W5+'Bloom Cleaner Data'!FB5+'OPERATING LEASES'!BO5)/CALCULATIONS!OO5</f>
        <v>0.52649542779255509</v>
      </c>
      <c r="PG5" s="947">
        <f>('Bloom Cleaner Data'!X5+'Bloom Cleaner Data'!FC5+'OPERATING LEASES'!BP5)/CALCULATIONS!OP5</f>
        <v>0.52364390837092312</v>
      </c>
      <c r="PH5" s="947">
        <f>('Bloom Cleaner Data'!Y5+'Bloom Cleaner Data'!FD5+'OPERATING LEASES'!BQ5)/CALCULATIONS!OQ5</f>
        <v>0.51232230694215231</v>
      </c>
      <c r="PI5" s="947">
        <f>('Bloom Cleaner Data'!Z5+'Bloom Cleaner Data'!FE5+'OPERATING LEASES'!BR5)/CALCULATIONS!OR5</f>
        <v>0.54808030116314266</v>
      </c>
      <c r="PJ5" s="947">
        <f>('Bloom Cleaner Data'!AA5+'Bloom Cleaner Data'!FF5+'OPERATING LEASES'!BS5)/CALCULATIONS!OS5</f>
        <v>0.53408122930908464</v>
      </c>
      <c r="PK5" s="947">
        <f>('Bloom Cleaner Data'!AB5+'Bloom Cleaner Data'!FG5+'OPERATING LEASES'!BT5)/CALCULATIONS!OT5</f>
        <v>0.53161554350347384</v>
      </c>
      <c r="PL5" s="947">
        <f>('Bloom Cleaner Data'!AC5+'Bloom Cleaner Data'!FH5+'OPERATING LEASES'!BU5)/CALCULATIONS!OU5</f>
        <v>0.51904028987811945</v>
      </c>
      <c r="PM5" s="947">
        <f>('Bloom Cleaner Data'!AD5+'Bloom Cleaner Data'!FI5+'OPERATING LEASES'!BV5)/CALCULATIONS!OV5</f>
        <v>0.54382192885788616</v>
      </c>
      <c r="PN5" s="947">
        <f>('Bloom Cleaner Data'!AE5+'Bloom Cleaner Data'!FJ5+'OPERATING LEASES'!BW5)/CALCULATIONS!OW5</f>
        <v>0.58219453890010997</v>
      </c>
      <c r="PO5" s="947">
        <f>('Bloom Cleaner Data'!AF5+'Bloom Cleaner Data'!FK5+'OPERATING LEASES'!BX5)/CALCULATIONS!OX5</f>
        <v>0.57589699074074074</v>
      </c>
      <c r="PP5" s="947">
        <f>('Bloom Cleaner Data'!AG5+'Bloom Cleaner Data'!FL5+'OPERATING LEASES'!BY5)/CALCULATIONS!OY5</f>
        <v>0.57517733651988201</v>
      </c>
      <c r="PQ5" s="947">
        <f>('Bloom Cleaner Data'!AH5+'Bloom Cleaner Data'!FM5+'OPERATING LEASES'!BZ5)/CALCULATIONS!OZ5</f>
        <v>0.58285854616895871</v>
      </c>
      <c r="PR5" s="947"/>
      <c r="PS5" s="18">
        <f>AVERAGE(PO5:PQ5)</f>
        <v>0.57797762447652712</v>
      </c>
      <c r="PT5" s="18">
        <f>AVERAGE(PN5:PQ5)</f>
        <v>0.57903185308242289</v>
      </c>
      <c r="PU5" s="18">
        <f>AVERAGE(PE5:PQ5)</f>
        <v>0.54503757860538471</v>
      </c>
      <c r="PV5" s="10">
        <f>(PQ5-PE5)/PE5</f>
        <v>9.9193518677241369E-2</v>
      </c>
      <c r="PW5" s="10"/>
      <c r="PX5" s="506">
        <f>'Bloom Cleaner Data'!D5/'Bloom Cleaner Data'!GF5</f>
        <v>1.070128592889334</v>
      </c>
      <c r="PY5" s="506">
        <f>'Bloom Cleaner Data'!E5/'Bloom Cleaner Data'!GG5</f>
        <v>0.9917854965107612</v>
      </c>
      <c r="PZ5" s="506">
        <f>'Bloom Cleaner Data'!F5/'Bloom Cleaner Data'!GH5</f>
        <v>0.94665063522897264</v>
      </c>
      <c r="QA5" s="506">
        <f>'Bloom Cleaner Data'!G5/'Bloom Cleaner Data'!GI5</f>
        <v>1.0118002767527676</v>
      </c>
      <c r="QB5" s="506">
        <f>'Bloom Cleaner Data'!H5/'Bloom Cleaner Data'!GJ5</f>
        <v>0.96965550106907139</v>
      </c>
      <c r="QC5" s="506">
        <f>'Bloom Cleaner Data'!I5/'Bloom Cleaner Data'!GK5</f>
        <v>1.1011175450112527</v>
      </c>
      <c r="QD5" s="506">
        <f>'Bloom Cleaner Data'!J5/'Bloom Cleaner Data'!GL5</f>
        <v>1.1864049134419552</v>
      </c>
      <c r="QE5" s="506">
        <f>'Bloom Cleaner Data'!K5/'Bloom Cleaner Data'!GM5</f>
        <v>0.93720881297616121</v>
      </c>
      <c r="QF5" s="506">
        <f>'Bloom Cleaner Data'!L5/'Bloom Cleaner Data'!GN5</f>
        <v>0.95912708244660871</v>
      </c>
      <c r="QG5" s="506">
        <f>'Bloom Cleaner Data'!M5/'Bloom Cleaner Data'!GO5</f>
        <v>0.98361404389974383</v>
      </c>
      <c r="QH5" s="506">
        <f>'Bloom Cleaner Data'!N5/'Bloom Cleaner Data'!GP5</f>
        <v>0.98504287901990817</v>
      </c>
      <c r="QI5" s="506">
        <f>'Bloom Cleaner Data'!O5/'Bloom Cleaner Data'!GQ5</f>
        <v>1.3670290822565185</v>
      </c>
      <c r="QJ5" s="506">
        <f>'Bloom Cleaner Data'!P5/'Bloom Cleaner Data'!GR5</f>
        <v>1.2154846806142161</v>
      </c>
      <c r="QK5" s="506">
        <f>'Bloom Cleaner Data'!Q5/'Bloom Cleaner Data'!GS5</f>
        <v>1.1562886209009124</v>
      </c>
      <c r="QL5" s="506">
        <f>'Bloom Cleaner Data'!R5/'Bloom Cleaner Data'!GT5</f>
        <v>1.2733420800000002</v>
      </c>
      <c r="QM5" s="506"/>
      <c r="QN5" s="506">
        <f>AVERAGE(PZ5:QL5)</f>
        <v>1.0840589348936991</v>
      </c>
      <c r="QO5" s="10">
        <f>(QL5-PZ5)/PZ5</f>
        <v>0.34510244076687119</v>
      </c>
      <c r="QP5" s="506">
        <f>AVERAGE(QB5,QF5,QJ5)</f>
        <v>1.0480890880432987</v>
      </c>
      <c r="QQ5" s="18"/>
      <c r="QR5" s="506">
        <f>'Bloom Cleaner Data'!GF5/CALCULATIONS!DK5</f>
        <v>1.6184597198519268</v>
      </c>
      <c r="QS5" s="506">
        <f>'Bloom Cleaner Data'!GG5/CALCULATIONS!DL5</f>
        <v>1.7477292668855171</v>
      </c>
      <c r="QT5" s="506">
        <f>'Bloom Cleaner Data'!GH5/CALCULATIONS!DM5</f>
        <v>1.8308477646432815</v>
      </c>
      <c r="QU5" s="506">
        <f>'Bloom Cleaner Data'!GI5/CALCULATIONS!DN5</f>
        <v>1.8447323212965907</v>
      </c>
      <c r="QV5" s="506">
        <f>'Bloom Cleaner Data'!GJ5/CALCULATIONS!DO5</f>
        <v>2.1501182777310719</v>
      </c>
      <c r="QW5" s="506">
        <f>'Bloom Cleaner Data'!GK5/CALCULATIONS!DP5</f>
        <v>2.1747763050107114</v>
      </c>
      <c r="QX5" s="506">
        <f>'Bloom Cleaner Data'!GL5/CALCULATIONS!DQ5</f>
        <v>2.0737309806978872</v>
      </c>
      <c r="QY5" s="506">
        <f>'Bloom Cleaner Data'!GM5/CALCULATIONS!DR5</f>
        <v>2.1594433375753717</v>
      </c>
      <c r="QZ5" s="506">
        <f>'Bloom Cleaner Data'!GN5/CALCULATIONS!DS5</f>
        <v>1.8850932999392163</v>
      </c>
      <c r="RA5" s="506">
        <f>'Bloom Cleaner Data'!GO5/CALCULATIONS!DT5</f>
        <v>1.8655622719714893</v>
      </c>
      <c r="RB5" s="506">
        <f>'Bloom Cleaner Data'!GP5/CALCULATIONS!DU5</f>
        <v>1.739108916184043</v>
      </c>
      <c r="RC5" s="506">
        <f>'Bloom Cleaner Data'!GQ5/CALCULATIONS!DV5</f>
        <v>1.3882450168418026</v>
      </c>
      <c r="RD5" s="506">
        <f>'Bloom Cleaner Data'!GR5/CALCULATIONS!DW5</f>
        <v>1.5135594197267979</v>
      </c>
      <c r="RE5" s="506">
        <f>'Bloom Cleaner Data'!GS5/CALCULATIONS!DX5</f>
        <v>1.5603547933776796</v>
      </c>
      <c r="RF5" s="506">
        <f>'Bloom Cleaner Data'!GT5/CALCULATIONS!DY5</f>
        <v>1.5874512164215564</v>
      </c>
      <c r="RG5" s="506"/>
      <c r="RH5" s="506">
        <f>AVERAGE(QT5:RF5)</f>
        <v>1.8286941478013459</v>
      </c>
      <c r="RI5" s="506">
        <f>AVERAGE(QX5:RF5)</f>
        <v>1.7525054725262048</v>
      </c>
      <c r="RJ5" s="18"/>
      <c r="RK5" s="506">
        <f>'Bloom Cleaner Data'!GF5/($RK$1*DK5+(1-$RK$1)*'Bloom Cleaner Data'!GV5)</f>
        <v>1.6184597198519268</v>
      </c>
      <c r="RL5" s="506">
        <f>'Bloom Cleaner Data'!GG5/($RK$1*DL5+(1-$RK$1)*'Bloom Cleaner Data'!GW5)</f>
        <v>1.7477292668855171</v>
      </c>
      <c r="RM5" s="506">
        <f>'Bloom Cleaner Data'!GH5/($RK$1*DM5+(1-$RK$1)*'Bloom Cleaner Data'!GX5)</f>
        <v>1.8308477646432815</v>
      </c>
      <c r="RN5" s="506">
        <f>'Bloom Cleaner Data'!GI5/($RK$1*DN5+(1-$RK$1)*'Bloom Cleaner Data'!GY5)</f>
        <v>1.8447323212965907</v>
      </c>
      <c r="RO5" s="506">
        <f>'Bloom Cleaner Data'!GJ5/($RK$1*DO5+(1-$RK$1)*'Bloom Cleaner Data'!GZ5)</f>
        <v>2.1501182777310719</v>
      </c>
      <c r="RP5" s="506">
        <f>'Bloom Cleaner Data'!GK5/($RK$1*DP5+(1-$RK$1)*'Bloom Cleaner Data'!HA5)</f>
        <v>2.1747763050107114</v>
      </c>
      <c r="RQ5" s="506">
        <f>'Bloom Cleaner Data'!GL5/($RK$1*DQ5+(1-$RK$1)*'Bloom Cleaner Data'!HB5)</f>
        <v>2.0737309806978872</v>
      </c>
      <c r="RR5" s="506">
        <f>'Bloom Cleaner Data'!GM5/($RK$1*DR5+(1-$RK$1)*'Bloom Cleaner Data'!HC5)</f>
        <v>2.1594433375753717</v>
      </c>
      <c r="RS5" s="506">
        <f>'Bloom Cleaner Data'!GN5/($RK$1*DS5+(1-$RK$1)*'Bloom Cleaner Data'!HD5)</f>
        <v>1.8850932999392163</v>
      </c>
      <c r="RT5" s="506">
        <f>'Bloom Cleaner Data'!GO5/($RK$1*DT5+(1-$RK$1)*'Bloom Cleaner Data'!HE5)</f>
        <v>1.8655622719714893</v>
      </c>
      <c r="RU5" s="506">
        <f>'Bloom Cleaner Data'!GP5/($RK$1*DU5+(1-$RK$1)*'Bloom Cleaner Data'!HF5)</f>
        <v>1.739108916184043</v>
      </c>
      <c r="RV5" s="506">
        <f>'Bloom Cleaner Data'!GQ5/($RK$1*DV5+(1-$RK$1)*'Bloom Cleaner Data'!HG5)</f>
        <v>1.3882450168418026</v>
      </c>
      <c r="RW5" s="506">
        <f>'Bloom Cleaner Data'!GR5/($RK$1*DW5+(1-$RK$1)*'Bloom Cleaner Data'!HH5)</f>
        <v>1.5135594197267979</v>
      </c>
      <c r="RX5" s="506">
        <f>'Bloom Cleaner Data'!GS5/($RK$1*DX5+(1-$RK$1)*'Bloom Cleaner Data'!HI5)</f>
        <v>1.5603547933776796</v>
      </c>
      <c r="RY5" s="506">
        <f>'Bloom Cleaner Data'!GT5/($RK$1*DY5+(1-$RK$1)*'Bloom Cleaner Data'!HJ5)</f>
        <v>1.5874512164215564</v>
      </c>
      <c r="RZ5" s="506"/>
      <c r="SA5" s="506">
        <f>AVERAGE(RM5:RY5)</f>
        <v>1.8286941478013459</v>
      </c>
      <c r="SB5" s="506">
        <f>AVERAGE(RQ5:RY5)</f>
        <v>1.7525054725262048</v>
      </c>
      <c r="SC5" s="18"/>
      <c r="SD5" s="15">
        <f>'Bloom Cleaner Data'!HM5</f>
        <v>4.6195000000000004</v>
      </c>
      <c r="SE5" s="15">
        <f>'Bloom Cleaner Data'!HN5</f>
        <v>5.6878000000000002</v>
      </c>
      <c r="SF5" s="15">
        <f>'Bloom Cleaner Data'!HO5</f>
        <v>6.3822999999999999</v>
      </c>
      <c r="SG5" s="15">
        <f>'Bloom Cleaner Data'!HP5</f>
        <v>7.4030000000000005</v>
      </c>
      <c r="SH5" s="15">
        <f>'Bloom Cleaner Data'!HQ5</f>
        <v>6.6543000000000001</v>
      </c>
      <c r="SI5" s="15">
        <f>'Bloom Cleaner Data'!HR5</f>
        <v>7.2379999999999995</v>
      </c>
      <c r="SJ5" s="15">
        <f>'Bloom Cleaner Data'!HS5</f>
        <v>7.0167000000000002</v>
      </c>
      <c r="SK5" s="15">
        <f>'Bloom Cleaner Data'!HT5</f>
        <v>6.5442</v>
      </c>
      <c r="SL5" s="15">
        <f>'Bloom Cleaner Data'!HU5</f>
        <v>5.3388999999999998</v>
      </c>
      <c r="SM5" s="15">
        <f>'Bloom Cleaner Data'!HV5</f>
        <v>5.2583000000000002</v>
      </c>
      <c r="SN5" s="15">
        <f>'Bloom Cleaner Data'!HW5</f>
        <v>5.5208000000000004</v>
      </c>
      <c r="SO5" s="15">
        <f>'Bloom Cleaner Data'!HX5</f>
        <v>5.7710999999999997</v>
      </c>
      <c r="SP5" s="15">
        <f>'Bloom Cleaner Data'!HY5</f>
        <v>4.9032999999999998</v>
      </c>
      <c r="SQ5" s="15">
        <f>'Bloom Cleaner Data'!HZ5</f>
        <v>4.5873999999999997</v>
      </c>
      <c r="SR5" s="15">
        <f>'Bloom Cleaner Data'!IA5</f>
        <v>5.2995000000000001</v>
      </c>
      <c r="SS5" s="15"/>
      <c r="ST5" s="15">
        <f>AVERAGE(SD5:SR5)</f>
        <v>5.8816733333333335</v>
      </c>
      <c r="SU5" s="487">
        <f>(SR5-SF5)/SF5</f>
        <v>-0.1696567068298262</v>
      </c>
      <c r="SV5" s="15">
        <f>SR5-SF5</f>
        <v>-1.0827999999999998</v>
      </c>
    </row>
    <row r="6" spans="1:518">
      <c r="A6" s="11" t="s">
        <v>385</v>
      </c>
      <c r="B6" s="72">
        <v>1</v>
      </c>
      <c r="C6" s="83" t="s">
        <v>276</v>
      </c>
      <c r="D6" s="1133" t="s">
        <v>1042</v>
      </c>
      <c r="E6" s="224"/>
      <c r="F6" s="224"/>
      <c r="G6" s="13">
        <f>'Bloom Cleaner Data'!D6</f>
        <v>4403.5114999999996</v>
      </c>
      <c r="H6" s="13">
        <f>'Bloom Cleaner Data'!F6</f>
        <v>4042.8218999999999</v>
      </c>
      <c r="I6" s="13">
        <f>'Bloom Cleaner Data'!H6</f>
        <v>4655.7730000000001</v>
      </c>
      <c r="J6" s="13">
        <f>'Bloom Cleaner Data'!J6</f>
        <v>3894.5628999999999</v>
      </c>
      <c r="K6" s="13">
        <f>'Bloom Cleaner Data'!L6</f>
        <v>4088.4059000000002</v>
      </c>
      <c r="L6" s="13">
        <f>'Bloom Cleaner Data'!N6</f>
        <v>3433.8537999999999</v>
      </c>
      <c r="M6" s="13">
        <f>'Bloom Cleaner Data'!P6</f>
        <v>2540.3172</v>
      </c>
      <c r="N6" s="13">
        <f>'Bloom Cleaner Data'!R6</f>
        <v>2152.6311000000001</v>
      </c>
      <c r="O6" s="13"/>
      <c r="P6" s="13">
        <f t="shared" si="0"/>
        <v>3544.0522571428578</v>
      </c>
      <c r="Q6" s="13">
        <f t="shared" ref="Q6:Q27" si="49">AVERAGE(L6:N6)</f>
        <v>2708.9340333333334</v>
      </c>
      <c r="R6" s="10">
        <f t="shared" si="1"/>
        <v>-0.4675424361384804</v>
      </c>
      <c r="S6" s="144">
        <f>R6</f>
        <v>-0.4675424361384804</v>
      </c>
      <c r="T6" s="10">
        <f t="shared" si="2"/>
        <v>-0.36576685723284147</v>
      </c>
      <c r="U6" s="10"/>
      <c r="V6" s="1277" t="s">
        <v>276</v>
      </c>
      <c r="W6" s="1238">
        <f>'Bloom Cleaner Data'!D6/'Bloom Cleaner Data'!$F6</f>
        <v>1.089217286569067</v>
      </c>
      <c r="X6" s="1238">
        <f>'Bloom Cleaner Data'!E6/'Bloom Cleaner Data'!$F6</f>
        <v>1.1330049191630231</v>
      </c>
      <c r="Y6" s="1238">
        <f>'Bloom Cleaner Data'!F6/'Bloom Cleaner Data'!$F6</f>
        <v>1</v>
      </c>
      <c r="Z6" s="1238">
        <f>'Bloom Cleaner Data'!G6/'Bloom Cleaner Data'!$F6</f>
        <v>1.2085385705464791</v>
      </c>
      <c r="AA6" s="1238">
        <f>'Bloom Cleaner Data'!H6/'Bloom Cleaner Data'!$F6</f>
        <v>1.1516146679624943</v>
      </c>
      <c r="AB6" s="1238">
        <f>'Bloom Cleaner Data'!I6/'Bloom Cleaner Data'!$F6</f>
        <v>1.1297208516655162</v>
      </c>
      <c r="AC6" s="1238">
        <f>'Bloom Cleaner Data'!J6/'Bloom Cleaner Data'!$F6</f>
        <v>0.96332784286144291</v>
      </c>
      <c r="AD6" s="1238">
        <f>'Bloom Cleaner Data'!K6/'Bloom Cleaner Data'!$F6</f>
        <v>0.82966610525187867</v>
      </c>
      <c r="AE6" s="1238">
        <f>'Bloom Cleaner Data'!L6/'Bloom Cleaner Data'!$F6</f>
        <v>1.0112752926365616</v>
      </c>
      <c r="AF6" s="1238">
        <f>'Bloom Cleaner Data'!M6/'Bloom Cleaner Data'!$F6</f>
        <v>0.95588395818277339</v>
      </c>
      <c r="AG6" s="1238">
        <f>'Bloom Cleaner Data'!N6/'Bloom Cleaner Data'!$F6</f>
        <v>0.84937053497211934</v>
      </c>
      <c r="AH6" s="1238">
        <f>'Bloom Cleaner Data'!O6/'Bloom Cleaner Data'!$F6</f>
        <v>0.60207989869650202</v>
      </c>
      <c r="AI6" s="1238">
        <f>'Bloom Cleaner Data'!P6/'Bloom Cleaner Data'!$F6</f>
        <v>0.62835248814695499</v>
      </c>
      <c r="AJ6" s="1238">
        <f>'Bloom Cleaner Data'!Q6/'Bloom Cleaner Data'!$F6</f>
        <v>0.56037219942832506</v>
      </c>
      <c r="AK6" s="1238">
        <f>'Bloom Cleaner Data'!R6/'Bloom Cleaner Data'!$F6</f>
        <v>0.53245756386151966</v>
      </c>
      <c r="AL6" s="13"/>
      <c r="AM6" s="13">
        <f>AVERAGE('Bloom Cleaner Data'!BW6:CI6)</f>
        <v>6857.3513769230776</v>
      </c>
      <c r="AN6" s="18">
        <f>('Bloom Cleaner Data'!CI6-'Bloom Cleaner Data'!BW6)/'Bloom Cleaner Data'!BW6</f>
        <v>-0.21303533858973753</v>
      </c>
      <c r="AO6" s="18">
        <f>('Bloom Cleaner Data'!CI6+'Bloom Cleaner Data'!CH6-'Bloom Cleaner Data'!BW6-'Bloom Cleaner Data'!BV6)/('Bloom Cleaner Data'!BW6+'Bloom Cleaner Data'!BV6)</f>
        <v>-0.22424914248692834</v>
      </c>
      <c r="AP6" s="13"/>
      <c r="AQ6" s="13">
        <f>'Bloom Cleaner Data'!BW6</f>
        <v>7151.8218999999999</v>
      </c>
      <c r="AR6" s="13">
        <f>'Bloom Cleaner Data'!BY6</f>
        <v>8008.34</v>
      </c>
      <c r="AS6" s="13">
        <f>'Bloom Cleaner Data'!CA6</f>
        <v>7433.3629000000001</v>
      </c>
      <c r="AT6" s="13">
        <f>'Bloom Cleaner Data'!CC6</f>
        <v>7412.6539000000002</v>
      </c>
      <c r="AU6" s="13">
        <f>'Bloom Cleaner Data'!CE6</f>
        <v>6805.8537999999999</v>
      </c>
      <c r="AV6" s="13">
        <f>'Bloom Cleaner Data'!CG6</f>
        <v>5736.8901999999998</v>
      </c>
      <c r="AW6" s="13">
        <f>'Bloom Cleaner Data'!CI6</f>
        <v>5628.2311</v>
      </c>
      <c r="AX6" s="13"/>
      <c r="AY6" s="13">
        <f t="shared" si="3"/>
        <v>6882.4505428571429</v>
      </c>
      <c r="AZ6" s="10">
        <f t="shared" si="4"/>
        <v>-0.21303533858973753</v>
      </c>
      <c r="BA6" s="10"/>
      <c r="BB6" s="13">
        <f>'Bloom Cleaner Data'!T6+'OPERATING LEASES'!AU6</f>
        <v>3244.9096692836506</v>
      </c>
      <c r="BC6" s="13">
        <f>'Bloom Cleaner Data'!U6+'OPERATING LEASES'!AV6</f>
        <v>3062.2029158229102</v>
      </c>
      <c r="BD6" s="13">
        <f>'Bloom Cleaner Data'!V6+'OPERATING LEASES'!AW6</f>
        <v>3200.8061623621702</v>
      </c>
      <c r="BE6" s="13">
        <f>'Bloom Cleaner Data'!W6+'OPERATING LEASES'!AX6</f>
        <v>2915.10940890143</v>
      </c>
      <c r="BF6" s="13">
        <f>'Bloom Cleaner Data'!X6+'OPERATING LEASES'!AY6</f>
        <v>3439.2336554406897</v>
      </c>
      <c r="BG6" s="13">
        <f>'Bloom Cleaner Data'!Y6+'OPERATING LEASES'!AZ6</f>
        <v>3416.1003173634404</v>
      </c>
      <c r="BH6" s="13">
        <f>'Bloom Cleaner Data'!Z6+'OPERATING LEASES'!BA6</f>
        <v>3625.4879792861916</v>
      </c>
      <c r="BI6" s="13">
        <f>'Bloom Cleaner Data'!AA6+'OPERATING LEASES'!BB6</f>
        <v>3526.8756412089424</v>
      </c>
      <c r="BJ6" s="13">
        <f>'Bloom Cleaner Data'!AB6+'OPERATING LEASES'!BC6</f>
        <v>3412.0773031316935</v>
      </c>
      <c r="BK6" s="13">
        <f>'Bloom Cleaner Data'!AC6+'OPERATING LEASES'!BD6</f>
        <v>3367.5138418798665</v>
      </c>
      <c r="BL6" s="13">
        <f>'Bloom Cleaner Data'!AD6+'OPERATING LEASES'!BE6</f>
        <v>3458.2643806280398</v>
      </c>
      <c r="BM6" s="13">
        <f>'Bloom Cleaner Data'!AE6+'OPERATING LEASES'!BF6</f>
        <v>3296.7149193762125</v>
      </c>
      <c r="BN6" s="13">
        <f>'Bloom Cleaner Data'!AF6+'OPERATING LEASES'!BG6</f>
        <v>3281.2864581243862</v>
      </c>
      <c r="BO6" s="13">
        <f>'Bloom Cleaner Data'!AG6+'OPERATING LEASES'!BH6</f>
        <v>3594.765458124386</v>
      </c>
      <c r="BP6" s="13">
        <f>'Bloom Cleaner Data'!AH6+'OPERATING LEASES'!BI6</f>
        <v>3560.1654581243861</v>
      </c>
      <c r="BQ6" s="13"/>
      <c r="BR6" s="1099">
        <f t="shared" ref="BR6:BR25" si="50">AVERAGE(BD6:BP6)</f>
        <v>3391.8769987655251</v>
      </c>
      <c r="BS6" s="10">
        <f t="shared" ref="BS6:BS27" si="51">(BP6-BD6)/BD6</f>
        <v>0.11227149584622503</v>
      </c>
      <c r="BT6" s="10"/>
      <c r="BU6" s="13">
        <f>'Bloom Cleaner Data'!BU6+'OPERATING LEASES'!AU6</f>
        <v>7651.1441692836506</v>
      </c>
      <c r="BV6" s="13">
        <f>'Bloom Cleaner Data'!BV6+'OPERATING LEASES'!AV6</f>
        <v>7645.5400158229104</v>
      </c>
      <c r="BW6" s="13">
        <f>'Bloom Cleaner Data'!BW6+'OPERATING LEASES'!AW6</f>
        <v>7246.22806236217</v>
      </c>
      <c r="BX6" s="13">
        <f>'Bloom Cleaner Data'!BX6+'OPERATING LEASES'!AX6</f>
        <v>7803.7156089014297</v>
      </c>
      <c r="BY6" s="13">
        <f>'Bloom Cleaner Data'!BY6+'OPERATING LEASES'!AY6</f>
        <v>8097.5526554406897</v>
      </c>
      <c r="BZ6" s="13">
        <f>'Bloom Cleaner Data'!BZ6+'OPERATING LEASES'!AZ6</f>
        <v>7985.5605173634412</v>
      </c>
      <c r="CA6" s="13">
        <f>'Bloom Cleaner Data'!CA6+'OPERATING LEASES'!BA6</f>
        <v>7522.3508792861912</v>
      </c>
      <c r="CB6" s="13">
        <f>'Bloom Cleaner Data'!CB6+'OPERATING LEASES'!BB6</f>
        <v>6883.1679412089425</v>
      </c>
      <c r="CC6" s="13">
        <f>'Bloom Cleaner Data'!CC6+'OPERATING LEASES'!BC6</f>
        <v>7501.4172031316939</v>
      </c>
      <c r="CD6" s="13">
        <f>'Bloom Cleaner Data'!CD6+'OPERATING LEASES'!BD6</f>
        <v>7232.8824418798667</v>
      </c>
      <c r="CE6" s="13">
        <f>'Bloom Cleaner Data'!CE6+'OPERATING LEASES'!BE6</f>
        <v>6893.1181806280392</v>
      </c>
      <c r="CF6" s="13">
        <f>'Bloom Cleaner Data'!CF6+'OPERATING LEASES'!BF6</f>
        <v>5731.8167193762129</v>
      </c>
      <c r="CG6" s="13">
        <f>'Bloom Cleaner Data'!CG6+'OPERATING LEASES'!BG6</f>
        <v>5822.6556581243858</v>
      </c>
      <c r="CH6" s="13">
        <f>'Bloom Cleaner Data'!CH6+'OPERATING LEASES'!BH6</f>
        <v>5861.350458124386</v>
      </c>
      <c r="CI6" s="13">
        <f>'Bloom Cleaner Data'!CI6+'OPERATING LEASES'!BI6</f>
        <v>5713.996558124386</v>
      </c>
      <c r="CJ6" s="13"/>
      <c r="CK6" s="1099">
        <f t="shared" ref="CK6:CK25" si="52">AVERAGE(BW6:CI6)</f>
        <v>6945.8317603039895</v>
      </c>
      <c r="CL6" s="10">
        <f t="shared" ref="CL6:CL27" si="53">(CI6-BW6)/BW6</f>
        <v>-0.21145228814924957</v>
      </c>
      <c r="CM6" s="18">
        <f t="shared" ref="CM6:CM27" si="54">(CK6-AM6)/AM6</f>
        <v>1.2902996874080768E-2</v>
      </c>
      <c r="CN6" s="13"/>
      <c r="CO6" s="18">
        <f>$CO$1*BU6/('Bloom Cleaner Data'!D6+'Bloom Cleaner Data'!T6+'OPERATING LEASES'!AU6)+(1-$CO$1)*'Bloom Cleaner Data'!BU6/('Bloom Cleaner Data'!D6+'Bloom Cleaner Data'!T6)-1</f>
        <v>3.5602118917510417E-4</v>
      </c>
      <c r="CP6" s="18">
        <f>$CO$1*BV6/('Bloom Cleaner Data'!E6+'Bloom Cleaner Data'!U6+'OPERATING LEASES'!AV6)+(1-$CO$1)*'Bloom Cleaner Data'!BV6/('Bloom Cleaner Data'!E6+'Bloom Cleaner Data'!U6)-1</f>
        <v>3.6636075467733065E-4</v>
      </c>
      <c r="CQ6" s="18">
        <f>$CO$1*BW6/('Bloom Cleaner Data'!F6+'Bloom Cleaner Data'!V6+'OPERATING LEASES'!AW6)+(1-$CO$1)*'Bloom Cleaner Data'!BW6/('Bloom Cleaner Data'!F6+'Bloom Cleaner Data'!V6)-1</f>
        <v>3.5893615431592529E-4</v>
      </c>
      <c r="CR6" s="18">
        <f>$CO$1*BX6/('Bloom Cleaner Data'!G6+'Bloom Cleaner Data'!W6+'OPERATING LEASES'!AX6)+(1-$CO$1)*'Bloom Cleaner Data'!BX6/('Bloom Cleaner Data'!G6+'Bloom Cleaner Data'!W6)-1</f>
        <v>3.4610878062069084E-4</v>
      </c>
      <c r="CS6" s="18">
        <f>$CO$1*BY6/('Bloom Cleaner Data'!H6+'Bloom Cleaner Data'!X6+'OPERATING LEASES'!AY6)+(1-$CO$1)*'Bloom Cleaner Data'!BY6/('Bloom Cleaner Data'!H6+'Bloom Cleaner Data'!X6)-1</f>
        <v>3.1451487421430002E-4</v>
      </c>
      <c r="CT6" s="18">
        <f>$CO$1*BZ6/('Bloom Cleaner Data'!I6+'Bloom Cleaner Data'!Y6+'OPERATING LEASES'!AZ6)+(1-$CO$1)*'Bloom Cleaner Data'!BZ6/('Bloom Cleaner Data'!I6+'Bloom Cleaner Data'!Y6)-1</f>
        <v>2.7557317438131612E-4</v>
      </c>
      <c r="CU6" s="18">
        <f>$CO$1*CA6/('Bloom Cleaner Data'!J6+'Bloom Cleaner Data'!Z6+'OPERATING LEASES'!BA6)+(1-$CO$1)*'Bloom Cleaner Data'!CA6/('Bloom Cleaner Data'!J6+'Bloom Cleaner Data'!Z6)-1</f>
        <v>3.0584899449759284E-4</v>
      </c>
      <c r="CV6" s="18">
        <f>$CO$1*CB6/('Bloom Cleaner Data'!K6+'Bloom Cleaner Data'!AA6+'OPERATING LEASES'!BB6)+(1-$CO$1)*'Bloom Cleaner Data'!CB6/('Bloom Cleaner Data'!K6+'Bloom Cleaner Data'!AA6)-1</f>
        <v>3.0518518607025591E-4</v>
      </c>
      <c r="CW6" s="18">
        <f>$CO$1*CC6/('Bloom Cleaner Data'!L6+'Bloom Cleaner Data'!AB6+'OPERATING LEASES'!BC6)+(1-$CO$1)*'Bloom Cleaner Data'!CC6/('Bloom Cleaner Data'!L6+'Bloom Cleaner Data'!AB6)-1</f>
        <v>1.245253105306432E-4</v>
      </c>
      <c r="CX6" s="18">
        <f>$CO$1*CD6/('Bloom Cleaner Data'!M6+'Bloom Cleaner Data'!AC6+'OPERATING LEASES'!BD6)+(1-$CO$1)*'Bloom Cleaner Data'!CD6/('Bloom Cleaner Data'!M6+'Bloom Cleaner Data'!AC6)-1</f>
        <v>1.2444720479232174E-4</v>
      </c>
      <c r="CY6" s="18">
        <f>$CO$1*CE6/('Bloom Cleaner Data'!N6+'Bloom Cleaner Data'!AD6+'OPERATING LEASES'!BE6)+(1-$CO$1)*'Bloom Cleaner Data'!CE6/('Bloom Cleaner Data'!N6+'Bloom Cleaner Data'!AD6)-1</f>
        <v>1.450932752156131E-4</v>
      </c>
      <c r="CZ6" s="18">
        <f>$CO$1*CF6/('Bloom Cleaner Data'!O6+'Bloom Cleaner Data'!AE6+'OPERATING LEASES'!BF6)+(1-$CO$1)*'Bloom Cleaner Data'!CF6/('Bloom Cleaner Data'!O6+'Bloom Cleaner Data'!AE6)-1</f>
        <v>1.7449519832313243E-4</v>
      </c>
      <c r="DA6" s="18">
        <f>$CO$1*CG6/('Bloom Cleaner Data'!P6+'Bloom Cleaner Data'!AF6+'OPERATING LEASES'!BG6)+(1-$CO$1)*'Bloom Cleaner Data'!CG6/('Bloom Cleaner Data'!P6+'Bloom Cleaner Data'!AF6)-1</f>
        <v>1.8070622147758897E-4</v>
      </c>
      <c r="DB6" s="18">
        <f>$CO$1*CH6/('Bloom Cleaner Data'!Q6+'Bloom Cleaner Data'!AG6+'OPERATING LEASES'!BH6)+(1-$CO$1)*'Bloom Cleaner Data'!CH6/('Bloom Cleaner Data'!Q6+'Bloom Cleaner Data'!AG6)-1</f>
        <v>1.8770528800082786E-4</v>
      </c>
      <c r="DC6" s="18">
        <f>$CO$1*CI6/('Bloom Cleaner Data'!R6+'Bloom Cleaner Data'!AH6+'OPERATING LEASES'!BI6)+(1-$CO$1)*'Bloom Cleaner Data'!CI6/('Bloom Cleaner Data'!R6+'Bloom Cleaner Data'!AH6)-1</f>
        <v>2.1005474075441732E-4</v>
      </c>
      <c r="DD6" s="18"/>
      <c r="DE6" s="18">
        <f t="shared" ref="DE6:DE32" si="55">AVERAGE(CQ6:DC6)</f>
        <v>2.3486110793804812E-4</v>
      </c>
      <c r="DF6" s="13"/>
      <c r="DG6" s="2203">
        <f>AVERAGE('Bloom Cleaner Data'!GX6:HJ6)</f>
        <v>1543.3192170509947</v>
      </c>
      <c r="DH6" s="2124">
        <f>('Bloom Cleaner Data'!HJ6-'Bloom Cleaner Data'!GX6)/'Bloom Cleaner Data'!GX6</f>
        <v>-0.18749316049731515</v>
      </c>
      <c r="DI6" s="2124">
        <f>('Bloom Cleaner Data'!HJ6+'Bloom Cleaner Data'!HI6-'Bloom Cleaner Data'!GX6-'Bloom Cleaner Data'!GW6)/('Bloom Cleaner Data'!GX6+'Bloom Cleaner Data'!GW6)</f>
        <v>-0.18840898197484937</v>
      </c>
      <c r="DJ6" s="13"/>
      <c r="DK6" s="13">
        <f>'Bloom Cleaner Data'!GV6+'OPERATING LEASES'!BL6</f>
        <v>1811.5990895453497</v>
      </c>
      <c r="DL6" s="13">
        <f>'Bloom Cleaner Data'!GW6+'OPERATING LEASES'!BM6</f>
        <v>1781.7140954400918</v>
      </c>
      <c r="DM6" s="13">
        <f>'Bloom Cleaner Data'!GX6+'OPERATING LEASES'!BN6</f>
        <v>1734.5027911579502</v>
      </c>
      <c r="DN6" s="13">
        <f>'Bloom Cleaner Data'!GY6+'OPERATING LEASES'!BO6</f>
        <v>1692.8400139300675</v>
      </c>
      <c r="DO6" s="13">
        <f>'Bloom Cleaner Data'!GZ6+'OPERATING LEASES'!BP6</f>
        <v>1659.6925156587195</v>
      </c>
      <c r="DP6" s="13">
        <f>'Bloom Cleaner Data'!HA6+'OPERATING LEASES'!BQ6</f>
        <v>1630.4669498612875</v>
      </c>
      <c r="DQ6" s="13">
        <f>'Bloom Cleaner Data'!HB6+'OPERATING LEASES'!BR6</f>
        <v>1607.5565532827306</v>
      </c>
      <c r="DR6" s="13">
        <f>'Bloom Cleaner Data'!HC6+'OPERATING LEASES'!BS6</f>
        <v>1571.4132429714905</v>
      </c>
      <c r="DS6" s="13">
        <f>'Bloom Cleaner Data'!HD6+'OPERATING LEASES'!BT6</f>
        <v>1541.053870178439</v>
      </c>
      <c r="DT6" s="13">
        <f>'Bloom Cleaner Data'!HE6+'OPERATING LEASES'!BU6</f>
        <v>1505.6218042486323</v>
      </c>
      <c r="DU6" s="13">
        <f>'Bloom Cleaner Data'!HF6+'OPERATING LEASES'!BV6</f>
        <v>1489.4202255345795</v>
      </c>
      <c r="DV6" s="13">
        <f>'Bloom Cleaner Data'!HG6+'OPERATING LEASES'!BW6</f>
        <v>1486.8018802984627</v>
      </c>
      <c r="DW6" s="13">
        <f>'Bloom Cleaner Data'!HH6+'OPERATING LEASES'!BX6</f>
        <v>1468.6898227369595</v>
      </c>
      <c r="DX6" s="13">
        <f>'Bloom Cleaner Data'!HI6+'OPERATING LEASES'!BY6</f>
        <v>1444.1990156927477</v>
      </c>
      <c r="DY6" s="13">
        <f>'Bloom Cleaner Data'!HJ6+'OPERATING LEASES'!BZ6</f>
        <v>1409.8007745037219</v>
      </c>
      <c r="DZ6" s="13"/>
      <c r="EA6" s="1099">
        <f t="shared" ref="EA6:EA27" si="56">AVERAGE(DM6:DY6)</f>
        <v>1557.0814969273681</v>
      </c>
      <c r="EB6" s="10">
        <f t="shared" ref="EB6:EB27" si="57">(DY6-DM6)/DM6</f>
        <v>-0.18720178388266417</v>
      </c>
      <c r="EC6" s="18">
        <f t="shared" ref="EC6:EC27" si="58">(EA6-DG6)/DG6</f>
        <v>8.9173255437528225E-3</v>
      </c>
      <c r="ED6" s="18">
        <f>(AVERAGE(DV6:DY6)-AVERAGE('Bloom Cleaner Data'!HG6:HJ6))/AVERAGE('Bloom Cleaner Data'!HG6:HJ6)</f>
        <v>9.2043672776703604E-3</v>
      </c>
      <c r="EE6" s="165"/>
      <c r="EF6" s="22">
        <f>'Bloom Cleaner Data'!DT6</f>
        <v>1.5190999999999999</v>
      </c>
      <c r="EG6" s="22">
        <f>'Bloom Cleaner Data'!DX6</f>
        <v>1.6217999999999999</v>
      </c>
      <c r="EH6" s="22">
        <f>'Bloom Cleaner Data'!EB6</f>
        <v>1.5662</v>
      </c>
      <c r="EI6" s="22">
        <f>'Bloom Cleaner Data'!EF6</f>
        <v>1.3078000000000001</v>
      </c>
      <c r="EJ6" s="22"/>
      <c r="EK6" s="22">
        <f>AVERAGE('Bloom Cleaner Data'!DT6:EF6)</f>
        <v>1.5272923076923075</v>
      </c>
      <c r="EL6" s="2124">
        <f t="shared" si="5"/>
        <v>-0.13909551708248294</v>
      </c>
      <c r="EM6" s="13"/>
      <c r="EN6" s="15">
        <f>'Bloom Cleaner Data'!DA6</f>
        <v>4.2092000000000001</v>
      </c>
      <c r="EO6" s="15">
        <f>'Bloom Cleaner Data'!DB6</f>
        <v>4.2765000000000004</v>
      </c>
      <c r="EP6" s="15">
        <f>'Bloom Cleaner Data'!DC6</f>
        <v>4.1608000000000001</v>
      </c>
      <c r="EQ6" s="15">
        <f>'Bloom Cleaner Data'!DD6</f>
        <v>4.5955000000000004</v>
      </c>
      <c r="ER6" s="15">
        <f>'Bloom Cleaner Data'!DE6</f>
        <v>4.8654999999999999</v>
      </c>
      <c r="ES6" s="15">
        <f>'Bloom Cleaner Data'!DF6</f>
        <v>4.8841999999999999</v>
      </c>
      <c r="ET6" s="15">
        <f>'Bloom Cleaner Data'!DG6</f>
        <v>4.6638000000000002</v>
      </c>
      <c r="EU6" s="15">
        <f>'Bloom Cleaner Data'!DH6</f>
        <v>4.3616999999999999</v>
      </c>
      <c r="EV6" s="15">
        <f>'Bloom Cleaner Data'!DI6</f>
        <v>4.8532000000000002</v>
      </c>
      <c r="EW6" s="15">
        <f>'Bloom Cleaner Data'!DJ6</f>
        <v>4.7885999999999997</v>
      </c>
      <c r="EX6" s="15">
        <f>'Bloom Cleaner Data'!DK6</f>
        <v>4.6111000000000004</v>
      </c>
      <c r="EY6" s="15">
        <f>'Bloom Cleaner Data'!DL6</f>
        <v>3.8313000000000001</v>
      </c>
      <c r="EZ6" s="15">
        <f>'Bloom Cleaner Data'!DM6</f>
        <v>3.9416000000000002</v>
      </c>
      <c r="FA6" s="15">
        <f>'Bloom Cleaner Data'!DN6</f>
        <v>4.0361000000000002</v>
      </c>
      <c r="FB6" s="15">
        <f>'Bloom Cleaner Data'!DO6</f>
        <v>4.03</v>
      </c>
      <c r="FC6" s="15"/>
      <c r="FD6" s="15">
        <f t="shared" ref="FD6:FD32" si="59">AVERAGE(EP6:FB6)</f>
        <v>4.4325692307692313</v>
      </c>
      <c r="FE6" s="18">
        <f t="shared" si="6"/>
        <v>-3.1436262257258173E-2</v>
      </c>
      <c r="FF6" s="15">
        <f t="shared" ref="FF6:FF32" si="60">AVERAGE(ES6:FB6)</f>
        <v>4.4001599999999996</v>
      </c>
      <c r="FG6" s="2206"/>
      <c r="FH6" s="15">
        <f>('Bloom Cleaner Data'!BU6+'OPERATING LEASES'!AU6)/DK6</f>
        <v>4.2234201890683387</v>
      </c>
      <c r="FI6" s="15">
        <f>('Bloom Cleaner Data'!BV6+'OPERATING LEASES'!AV6)/DL6</f>
        <v>4.2911149636128494</v>
      </c>
      <c r="FJ6" s="15">
        <f>('Bloom Cleaner Data'!BW6+'OPERATING LEASES'!AW6)/DM6</f>
        <v>4.1776975507341811</v>
      </c>
      <c r="FK6" s="15">
        <f>('Bloom Cleaner Data'!BX6+'OPERATING LEASES'!AX6)/DN6</f>
        <v>4.6098364551204467</v>
      </c>
      <c r="FL6" s="15">
        <f>('Bloom Cleaner Data'!BY6+'OPERATING LEASES'!AY6)/DO6</f>
        <v>4.8789475032529337</v>
      </c>
      <c r="FM6" s="15">
        <f>('Bloom Cleaner Data'!BZ6+'OPERATING LEASES'!AZ6)/DP6</f>
        <v>4.8977138224376864</v>
      </c>
      <c r="FN6" s="15">
        <f>('Bloom Cleaner Data'!CA6+'OPERATING LEASES'!BA6)/DQ6</f>
        <v>4.679369359619157</v>
      </c>
      <c r="FO6" s="15">
        <f>('Bloom Cleaner Data'!CB6+'OPERATING LEASES'!BB6)/DR6</f>
        <v>4.380240507705726</v>
      </c>
      <c r="FP6" s="15">
        <f>('Bloom Cleaner Data'!CC6+'OPERATING LEASES'!BC6)/DS6</f>
        <v>4.8677189995072032</v>
      </c>
      <c r="FQ6" s="15">
        <f>('Bloom Cleaner Data'!CD6+'OPERATING LEASES'!BD6)/DT6</f>
        <v>4.8039171732700661</v>
      </c>
      <c r="FR6" s="15">
        <f>('Bloom Cleaner Data'!CE6+'OPERATING LEASES'!BE6)/DU6</f>
        <v>4.628054636597926</v>
      </c>
      <c r="FS6" s="15">
        <f>('Bloom Cleaner Data'!CF6+'OPERATING LEASES'!BF6)/DV6</f>
        <v>3.8551314706607713</v>
      </c>
      <c r="FT6" s="15">
        <f>('Bloom Cleaner Data'!CG6+'OPERATING LEASES'!BG6)/DW6</f>
        <v>3.9645237326378724</v>
      </c>
      <c r="FU6" s="15">
        <f>('Bloom Cleaner Data'!CH6+'OPERATING LEASES'!BH6)/DX6</f>
        <v>4.0585476062749128</v>
      </c>
      <c r="FV6" s="15">
        <f>('Bloom Cleaner Data'!CI6+'OPERATING LEASES'!BI6)/DY6</f>
        <v>4.0530525032062261</v>
      </c>
      <c r="FW6" s="15"/>
      <c r="FX6" s="506">
        <f t="shared" ref="FX6:FX25" si="61">AVERAGE(FJ6:FV6)</f>
        <v>4.4503654862327</v>
      </c>
      <c r="FY6" s="10">
        <f t="shared" ref="FY6:FY27" si="62">(FV6-FJ6)/FJ6</f>
        <v>-2.9835823683801648E-2</v>
      </c>
      <c r="FZ6" s="15">
        <f t="shared" si="7"/>
        <v>1.7796255463468746E-2</v>
      </c>
      <c r="GA6" s="15">
        <f t="shared" ref="GA6:GA27" si="63">AVERAGE(FM6:FV6)</f>
        <v>4.4188269811917547</v>
      </c>
      <c r="GB6" s="15">
        <f t="shared" ref="GB6:GB32" si="64">GA6-FF6</f>
        <v>1.8666981191755028E-2</v>
      </c>
      <c r="GC6" s="15">
        <f t="shared" si="8"/>
        <v>2.184198987553998E-2</v>
      </c>
      <c r="GD6" s="13"/>
      <c r="GE6" s="15">
        <f t="shared" si="9"/>
        <v>4.2234201890683387</v>
      </c>
      <c r="GF6" s="15">
        <f t="shared" si="10"/>
        <v>4.2911149636128494</v>
      </c>
      <c r="GG6" s="15">
        <f t="shared" si="11"/>
        <v>4.1776975507341811</v>
      </c>
      <c r="GH6" s="15">
        <f t="shared" si="12"/>
        <v>4.6098364551204467</v>
      </c>
      <c r="GI6" s="15">
        <f t="shared" si="13"/>
        <v>4.8789475032529337</v>
      </c>
      <c r="GJ6" s="15">
        <f t="shared" si="14"/>
        <v>4.8977138224376864</v>
      </c>
      <c r="GK6" s="15">
        <f t="shared" si="15"/>
        <v>4.679369359619157</v>
      </c>
      <c r="GL6" s="15">
        <f t="shared" si="16"/>
        <v>4.380240507705726</v>
      </c>
      <c r="GM6" s="15">
        <f t="shared" si="17"/>
        <v>4.8677189995072032</v>
      </c>
      <c r="GN6" s="15">
        <f t="shared" si="18"/>
        <v>4.8039171732700661</v>
      </c>
      <c r="GO6" s="15">
        <f t="shared" si="19"/>
        <v>4.628054636597926</v>
      </c>
      <c r="GP6" s="15">
        <f t="shared" si="20"/>
        <v>3.8551314706607713</v>
      </c>
      <c r="GQ6" s="15">
        <f t="shared" si="21"/>
        <v>3.9645237326378724</v>
      </c>
      <c r="GR6" s="15">
        <f t="shared" si="22"/>
        <v>4.0585476062749128</v>
      </c>
      <c r="GS6" s="15">
        <f t="shared" si="23"/>
        <v>4.0530525032062261</v>
      </c>
      <c r="GT6" s="15"/>
      <c r="GU6" s="15">
        <f t="shared" ref="GU6:GU37" si="65">AVERAGE(GE6:GS6)</f>
        <v>4.4246190982470868</v>
      </c>
      <c r="GV6" s="10">
        <f t="shared" ref="GV6:GV27" si="66">(GS6-GG6)/GG6</f>
        <v>-2.9835823683801648E-2</v>
      </c>
      <c r="GW6" s="506">
        <f t="shared" ref="GW6:GW27" si="67">AVERAGE(GJ6:GS6)</f>
        <v>4.4188269811917547</v>
      </c>
      <c r="GX6" s="2057"/>
      <c r="GY6" s="10">
        <f>'Bloom Cleaner Data'!T6/('Bloom Cleaner Data'!T6+'Bloom Cleaner Data'!D6)</f>
        <v>0.41666238895700475</v>
      </c>
      <c r="GZ6" s="10">
        <f>'Bloom Cleaner Data'!U6/('Bloom Cleaner Data'!U6+'Bloom Cleaner Data'!E6)</f>
        <v>0.39296359794989411</v>
      </c>
      <c r="HA6" s="10">
        <f>'Bloom Cleaner Data'!V6/('Bloom Cleaner Data'!V6+'Bloom Cleaner Data'!F6)</f>
        <v>0.43450882396026902</v>
      </c>
      <c r="HB6" s="10">
        <f>'Bloom Cleaner Data'!W6/('Bloom Cleaner Data'!W6+'Bloom Cleaner Data'!G6)</f>
        <v>0.36622447587405305</v>
      </c>
      <c r="HC6" s="10">
        <f>'Bloom Cleaner Data'!X6/('Bloom Cleaner Data'!X6+'Bloom Cleaner Data'!H6)</f>
        <v>0.41844956290406676</v>
      </c>
      <c r="HD6" s="10">
        <f>'Bloom Cleaner Data'!Y6/('Bloom Cleaner Data'!Y6+'Bloom Cleaner Data'!I6)</f>
        <v>0.42144544462823763</v>
      </c>
      <c r="HE6" s="10">
        <f>'Bloom Cleaner Data'!Z6/('Bloom Cleaner Data'!Z6+'Bloom Cleaner Data'!J6)</f>
        <v>0.47590769282816864</v>
      </c>
      <c r="HF6" s="10">
        <f>'Bloom Cleaner Data'!AA6/('Bloom Cleaner Data'!AA6+'Bloom Cleaner Data'!K6)</f>
        <v>0.50616941454970288</v>
      </c>
      <c r="HG6" s="10">
        <f>'Bloom Cleaner Data'!AB6/('Bloom Cleaner Data'!AB6+'Bloom Cleaner Data'!L6)</f>
        <v>0.44838634552285223</v>
      </c>
      <c r="HH6" s="10">
        <f>'Bloom Cleaner Data'!AC6/('Bloom Cleaner Data'!AC6+'Bloom Cleaner Data'!M6)</f>
        <v>0.45905856865048372</v>
      </c>
      <c r="HI6" s="10">
        <f>'Bloom Cleaner Data'!AD6/('Bloom Cleaner Data'!AD6+'Bloom Cleaner Data'!N6)</f>
        <v>0.49538169357878048</v>
      </c>
      <c r="HJ6" s="10">
        <f>'Bloom Cleaner Data'!AE6/('Bloom Cleaner Data'!AE6+'Bloom Cleaner Data'!O6)</f>
        <v>0.56875059374039849</v>
      </c>
      <c r="HK6" s="10">
        <f>'Bloom Cleaner Data'!AF6/('Bloom Cleaner Data'!AF6+'Bloom Cleaner Data'!P6)</f>
        <v>0.55711491303921368</v>
      </c>
      <c r="HL6" s="10">
        <f>'Bloom Cleaner Data'!AG6/('Bloom Cleaner Data'!AG6+'Bloom Cleaner Data'!Q6)</f>
        <v>0.60767323839268772</v>
      </c>
      <c r="HM6" s="10">
        <f>'Bloom Cleaner Data'!AH6/('Bloom Cleaner Data'!AH6+'Bloom Cleaner Data'!R6)</f>
        <v>0.61744816018521742</v>
      </c>
      <c r="HN6" s="15"/>
      <c r="HO6" s="10">
        <f t="shared" ref="HO6:HO25" si="68">AVERAGE(HA6:HM6)</f>
        <v>0.49050145598877937</v>
      </c>
      <c r="HP6" s="10">
        <f t="shared" ref="HP6:HP32" si="69">(HM6-HA6)/HA6</f>
        <v>0.42102559519407173</v>
      </c>
      <c r="HQ6" s="10"/>
      <c r="HR6" s="479">
        <f t="shared" si="24"/>
        <v>0.71427314314950685</v>
      </c>
      <c r="HS6" s="480">
        <f t="shared" si="25"/>
        <v>0.64734766584468884</v>
      </c>
      <c r="HT6" s="480">
        <f t="shared" si="26"/>
        <v>0.76837418932553025</v>
      </c>
      <c r="HU6" s="480">
        <f t="shared" si="27"/>
        <v>0.57784572286713165</v>
      </c>
      <c r="HV6" s="480">
        <f t="shared" si="28"/>
        <v>0.71954130925197612</v>
      </c>
      <c r="HW6" s="480">
        <f t="shared" si="29"/>
        <v>0.7284454693428678</v>
      </c>
      <c r="HX6" s="480">
        <f t="shared" si="30"/>
        <v>0.90806082500298058</v>
      </c>
      <c r="HY6" s="480">
        <f t="shared" si="31"/>
        <v>1.0249859556352805</v>
      </c>
      <c r="HZ6" s="480">
        <f t="shared" si="32"/>
        <v>0.81286302810589328</v>
      </c>
      <c r="IA6" s="480">
        <f t="shared" si="33"/>
        <v>0.84862896802939491</v>
      </c>
      <c r="IB6" s="480">
        <f t="shared" si="34"/>
        <v>0.98169584272923904</v>
      </c>
      <c r="IC6" s="480">
        <f t="shared" si="35"/>
        <v>1.3188437722695081</v>
      </c>
      <c r="ID6" s="480">
        <f t="shared" si="36"/>
        <v>1.2579220421764652</v>
      </c>
      <c r="IE6" s="480">
        <f t="shared" si="37"/>
        <v>1.5488957110729042</v>
      </c>
      <c r="IF6" s="481">
        <f t="shared" si="38"/>
        <v>1.6140248089884051</v>
      </c>
      <c r="IG6" s="15"/>
      <c r="IH6" s="10">
        <f t="shared" ref="IH6:IH27" si="70">AVERAGE(HT6:IF6)</f>
        <v>1.0084713572921213</v>
      </c>
      <c r="II6" s="10">
        <f t="shared" ref="II6:II27" si="71">(IF6-HT6)/HT6</f>
        <v>1.1005713510564128</v>
      </c>
      <c r="IJ6" s="10"/>
      <c r="IK6" s="18">
        <f>('Bloom Cleaner Data'!T6+'OPERATING LEASES'!AU6)/('Bloom Cleaner Data'!T6+'OPERATING LEASES'!AU6+'Bloom Cleaner Data'!D6)</f>
        <v>0.42425875843701322</v>
      </c>
      <c r="IL6" s="18">
        <f>('Bloom Cleaner Data'!U6+'OPERATING LEASES'!AV6)/('Bloom Cleaner Data'!U6+'OPERATING LEASES'!AV6+'Bloom Cleaner Data'!E6)</f>
        <v>0.40066820400578501</v>
      </c>
      <c r="IM6" s="18">
        <f>('Bloom Cleaner Data'!V6+'OPERATING LEASES'!AW6)/('Bloom Cleaner Data'!V6+'OPERATING LEASES'!AW6+'Bloom Cleaner Data'!F6)</f>
        <v>0.44187886716513403</v>
      </c>
      <c r="IN6" s="18">
        <f>('Bloom Cleaner Data'!W6+'OPERATING LEASES'!AX6)/('Bloom Cleaner Data'!W6+'OPERATING LEASES'!AX6+'Bloom Cleaner Data'!G6)</f>
        <v>0.37368331958919732</v>
      </c>
      <c r="IO6" s="18">
        <f>('Bloom Cleaner Data'!X6+'OPERATING LEASES'!AY6)/('Bloom Cleaner Data'!X6+'OPERATING LEASES'!AY6+'Bloom Cleaner Data'!H6)</f>
        <v>0.4248586569263863</v>
      </c>
      <c r="IP6" s="18">
        <f>('Bloom Cleaner Data'!Y6+'OPERATING LEASES'!AZ6)/('Bloom Cleaner Data'!Y6+'OPERATING LEASES'!AZ6+'Bloom Cleaner Data'!I6)</f>
        <v>0.42790254930033284</v>
      </c>
      <c r="IQ6" s="18">
        <f>('Bloom Cleaner Data'!Z6+'OPERATING LEASES'!BA6)/('Bloom Cleaner Data'!Z6+'OPERATING LEASES'!BA6+'Bloom Cleaner Data'!J6)</f>
        <v>0.48210950131634289</v>
      </c>
      <c r="IR6" s="18">
        <f>('Bloom Cleaner Data'!AA6+'OPERATING LEASES'!BB6)/('Bloom Cleaner Data'!AA6+'OPERATING LEASES'!BB6+'Bloom Cleaner Data'!K6)</f>
        <v>0.51254771371859198</v>
      </c>
      <c r="IS6" s="18">
        <f>('Bloom Cleaner Data'!AB6+'OPERATING LEASES'!BC6)/('Bloom Cleaner Data'!AB6+'OPERATING LEASES'!BC6+'Bloom Cleaner Data'!L6)</f>
        <v>0.45491433161360073</v>
      </c>
      <c r="IT6" s="18">
        <f>('Bloom Cleaner Data'!AC6+'OPERATING LEASES'!BD6)/('Bloom Cleaner Data'!AC6+'OPERATING LEASES'!BD6+'Bloom Cleaner Data'!M6)</f>
        <v>0.465641871913135</v>
      </c>
      <c r="IU6" s="18">
        <f>('Bloom Cleaner Data'!AD6+'OPERATING LEASES'!BE6)/('Bloom Cleaner Data'!AD6+'OPERATING LEASES'!BE6+'Bloom Cleaner Data'!N6)</f>
        <v>0.50177090554661785</v>
      </c>
      <c r="IV6" s="18">
        <f>('Bloom Cleaner Data'!AE6+'OPERATING LEASES'!BF6)/('Bloom Cleaner Data'!AE6+'OPERATING LEASES'!BF6+'Bloom Cleaner Data'!O6)</f>
        <v>0.57526092367076309</v>
      </c>
      <c r="IW6" s="18">
        <f>('Bloom Cleaner Data'!AF6+'OPERATING LEASES'!BG6)/('Bloom Cleaner Data'!AF6+'OPERATING LEASES'!BG6+'Bloom Cleaner Data'!P6)</f>
        <v>0.56363961733210066</v>
      </c>
      <c r="IX6" s="18">
        <f>('Bloom Cleaner Data'!AG6+'OPERATING LEASES'!BH6)/('Bloom Cleaner Data'!AG6+'OPERATING LEASES'!BH6+'Bloom Cleaner Data'!Q6)</f>
        <v>0.61341498692103946</v>
      </c>
      <c r="IY6" s="18">
        <f>('Bloom Cleaner Data'!AH6+'OPERATING LEASES'!BI6)/('Bloom Cleaner Data'!AH6+'OPERATING LEASES'!BI6+'Bloom Cleaner Data'!R6)</f>
        <v>0.62319136029119382</v>
      </c>
      <c r="IZ6" s="15"/>
      <c r="JA6" s="10">
        <f t="shared" ref="JA6:JA27" si="72">AVERAGE(IM6:IY6)</f>
        <v>0.49698573886957192</v>
      </c>
      <c r="JB6" s="10">
        <f t="shared" ref="JB6:JB27" si="73">(IY6-IM6)/IM6</f>
        <v>0.41032171167013903</v>
      </c>
      <c r="JC6" s="10">
        <f t="shared" si="39"/>
        <v>6.4842828807925579E-3</v>
      </c>
      <c r="JD6" s="10">
        <f t="shared" si="40"/>
        <v>1.3219701596443154E-2</v>
      </c>
      <c r="JE6" s="7"/>
      <c r="JF6" s="485">
        <f t="shared" ref="JF6:JF27" si="74">IK6/(1-IK6)</f>
        <v>0.73689138072732419</v>
      </c>
      <c r="JG6" s="452">
        <f t="shared" si="41"/>
        <v>0.66852485832347264</v>
      </c>
      <c r="JH6" s="452">
        <f t="shared" si="41"/>
        <v>0.79172574046909439</v>
      </c>
      <c r="JI6" s="452">
        <f t="shared" si="41"/>
        <v>0.59663638423951515</v>
      </c>
      <c r="JJ6" s="452">
        <f t="shared" si="41"/>
        <v>0.73870303716282781</v>
      </c>
      <c r="JK6" s="452">
        <f t="shared" si="41"/>
        <v>0.74795395221043892</v>
      </c>
      <c r="JL6" s="452">
        <f t="shared" si="41"/>
        <v>0.93091011042245375</v>
      </c>
      <c r="JM6" s="452">
        <f t="shared" si="41"/>
        <v>1.0514828387176673</v>
      </c>
      <c r="JN6" s="452">
        <f t="shared" si="41"/>
        <v>0.83457400918330871</v>
      </c>
      <c r="JO6" s="452">
        <f t="shared" si="41"/>
        <v>0.87140411540149809</v>
      </c>
      <c r="JP6" s="452">
        <f t="shared" si="41"/>
        <v>1.0071088002139288</v>
      </c>
      <c r="JQ6" s="452">
        <f t="shared" si="41"/>
        <v>1.354386624000776</v>
      </c>
      <c r="JR6" s="452">
        <f t="shared" si="41"/>
        <v>1.2916837543454758</v>
      </c>
      <c r="JS6" s="452">
        <f t="shared" si="41"/>
        <v>1.5867531491598423</v>
      </c>
      <c r="JT6" s="486">
        <f t="shared" si="41"/>
        <v>1.6538669622140025</v>
      </c>
      <c r="JU6" s="15"/>
      <c r="JV6" s="10">
        <f t="shared" ref="JV6:JV27" si="75">AVERAGE(JH6:JT6)</f>
        <v>1.035168421364679</v>
      </c>
      <c r="JW6" s="10">
        <f t="shared" ref="JW6:JW27" si="76">(JT6-JH6)/JH6</f>
        <v>1.0889392344804816</v>
      </c>
      <c r="JX6" s="10">
        <f t="shared" ref="JX6:JX27" si="77">JV6-IH6</f>
        <v>2.6697064072557675E-2</v>
      </c>
      <c r="JY6" s="10">
        <f t="shared" ref="JY6:JY27" si="78">JX6/IH6</f>
        <v>2.647280349562214E-2</v>
      </c>
      <c r="JZ6" s="7"/>
      <c r="KA6" s="15">
        <f>'Bloom Cleaner Data'!T6/'Bloom Cleaner Data'!BU6*'Bloom Cleaner Data'!DA6</f>
        <v>1.7531829219837081</v>
      </c>
      <c r="KB6" s="15">
        <f>'Bloom Cleaner Data'!U6/'Bloom Cleaner Data'!BV6*'Bloom Cleaner Data'!DB6</f>
        <v>1.6798854707887707</v>
      </c>
      <c r="KC6" s="15">
        <f>'Bloom Cleaner Data'!V6/'Bloom Cleaner Data'!BW6*'Bloom Cleaner Data'!DC6</f>
        <v>1.8072470624583088</v>
      </c>
      <c r="KD6" s="15">
        <f>'Bloom Cleaner Data'!W6/'Bloom Cleaner Data'!BX6*'Bloom Cleaner Data'!DD6</f>
        <v>1.6823953525264612</v>
      </c>
      <c r="KE6" s="15">
        <f>'Bloom Cleaner Data'!X6/'Bloom Cleaner Data'!BY6*'Bloom Cleaner Data'!DE6</f>
        <v>2.0353190767999361</v>
      </c>
      <c r="KF6" s="15">
        <f>'Bloom Cleaner Data'!Y6/'Bloom Cleaner Data'!BZ6*'Bloom Cleaner Data'!DF6</f>
        <v>2.0578503517310196</v>
      </c>
      <c r="KG6" s="15">
        <f>'Bloom Cleaner Data'!Z6/'Bloom Cleaner Data'!CA6*'Bloom Cleaner Data'!DG6</f>
        <v>2.2188515375725837</v>
      </c>
      <c r="KH6" s="15">
        <f>'Bloom Cleaner Data'!AA6/'Bloom Cleaner Data'!CB6*'Bloom Cleaner Data'!DH6</f>
        <v>2.2070767547048278</v>
      </c>
      <c r="KI6" s="15">
        <f>'Bloom Cleaner Data'!AB6/'Bloom Cleaner Data'!CC6*'Bloom Cleaner Data'!DI6</f>
        <v>2.1758344207598848</v>
      </c>
      <c r="KJ6" s="15">
        <f>'Bloom Cleaner Data'!AC6/'Bloom Cleaner Data'!CD6*'Bloom Cleaner Data'!DJ6</f>
        <v>2.1979709605856153</v>
      </c>
      <c r="KK6" s="15">
        <f>'Bloom Cleaner Data'!AD6/'Bloom Cleaner Data'!CE6*'Bloom Cleaner Data'!DK6</f>
        <v>2.2839188964065027</v>
      </c>
      <c r="KL6" s="15">
        <f>'Bloom Cleaner Data'!AE6/'Bloom Cleaner Data'!CF6*'Bloom Cleaner Data'!DL6</f>
        <v>2.1786681555271321</v>
      </c>
      <c r="KM6" s="15">
        <f>'Bloom Cleaner Data'!AF6/'Bloom Cleaner Data'!CG6*'Bloom Cleaner Data'!DM6</f>
        <v>2.195521464503539</v>
      </c>
      <c r="KN6" s="15">
        <f>'Bloom Cleaner Data'!AG6/'Bloom Cleaner Data'!CH6*'Bloom Cleaner Data'!DN6</f>
        <v>2.4521628371844586</v>
      </c>
      <c r="KO6" s="15">
        <f>'Bloom Cleaner Data'!AH6/'Bloom Cleaner Data'!CI6*'Bloom Cleaner Data'!DO6</f>
        <v>2.4877855495308285</v>
      </c>
      <c r="KP6" s="15"/>
      <c r="KQ6" s="15">
        <f t="shared" ref="KQ6:KQ25" si="79">AVERAGE(KM6:KO6)</f>
        <v>2.3784899504062751</v>
      </c>
      <c r="KR6" s="15">
        <f t="shared" ref="KR6:KR25" si="80">AVERAGE(KL6:KO6)</f>
        <v>2.3285345016864896</v>
      </c>
      <c r="KS6" s="15">
        <f t="shared" ref="KS6:KS25" si="81">AVERAGE(KC6:KO6)</f>
        <v>2.1523540323300847</v>
      </c>
      <c r="KT6" s="18">
        <f t="shared" ref="KT6:KT25" si="82">(KO6-KC6)/KC6</f>
        <v>0.37656084838052906</v>
      </c>
      <c r="KU6" s="18"/>
      <c r="KV6" s="1694" t="s">
        <v>276</v>
      </c>
      <c r="KW6" s="506">
        <f>('Bloom Cleaner Data'!T6+'OPERATING LEASES'!AU6)/DK6</f>
        <v>1.7911853058493277</v>
      </c>
      <c r="KX6" s="506">
        <f>('Bloom Cleaner Data'!U6+'OPERATING LEASES'!AV6)/DL6</f>
        <v>1.7186836674076666</v>
      </c>
      <c r="KY6" s="506">
        <f>('Bloom Cleaner Data'!V6+'OPERATING LEASES'!AW6)/DM6</f>
        <v>1.8453738896697416</v>
      </c>
      <c r="KZ6" s="506">
        <f>('Bloom Cleaner Data'!W6+'OPERATING LEASES'!AX6)/DN6</f>
        <v>1.7220229820381925</v>
      </c>
      <c r="LA6" s="506">
        <f>('Bloom Cleaner Data'!X6+'OPERATING LEASES'!AY6)/DO6</f>
        <v>2.0722113421567632</v>
      </c>
      <c r="LB6" s="506">
        <f>('Bloom Cleaner Data'!Y6+'OPERATING LEASES'!AZ6)/DP6</f>
        <v>2.0951668585824854</v>
      </c>
      <c r="LC6" s="506">
        <f>('Bloom Cleaner Data'!Z6+'OPERATING LEASES'!BA6)/DQ6</f>
        <v>2.255278653732411</v>
      </c>
      <c r="LD6" s="506">
        <f>('Bloom Cleaner Data'!AA6+'OPERATING LEASES'!BB6)/DR6</f>
        <v>2.2443973009542271</v>
      </c>
      <c r="LE6" s="506">
        <f>('Bloom Cleaner Data'!AB6+'OPERATING LEASES'!BC6)/DS6</f>
        <v>2.2141194212351629</v>
      </c>
      <c r="LF6" s="506">
        <f>('Bloom Cleaner Data'!AC6+'OPERATING LEASES'!BD6)/DT6</f>
        <v>2.2366266431432265</v>
      </c>
      <c r="LG6" s="506">
        <f>('Bloom Cleaner Data'!AD6+'OPERATING LEASES'!BE6)/DU6</f>
        <v>2.3218862758405252</v>
      </c>
      <c r="LH6" s="506">
        <f>('Bloom Cleaner Data'!AE6+'OPERATING LEASES'!BF6)/DV6</f>
        <v>2.2173195790648483</v>
      </c>
      <c r="LI6" s="506">
        <f>('Bloom Cleaner Data'!AF6+'OPERATING LEASES'!BG6)/DW6</f>
        <v>2.2341589131526653</v>
      </c>
      <c r="LJ6" s="506">
        <f>('Bloom Cleaner Data'!AG6+'OPERATING LEASES'!BH6)/DX6</f>
        <v>2.4891067083299894</v>
      </c>
      <c r="LK6" s="506">
        <f>('Bloom Cleaner Data'!AH6+'OPERATING LEASES'!BI6)/DY6</f>
        <v>2.5252968522290931</v>
      </c>
      <c r="LL6" s="15"/>
      <c r="LM6" s="15">
        <f t="shared" ref="LM6:LM25" si="83">AVERAGE(LI6:LK6)</f>
        <v>2.4161874912372494</v>
      </c>
      <c r="LN6" s="15">
        <f t="shared" ref="LN6:LN25" si="84">AVERAGE(LH6:LK6)</f>
        <v>2.366470513194149</v>
      </c>
      <c r="LO6" s="15">
        <f t="shared" ref="LO6:LO32" si="85">LN6-KR6</f>
        <v>3.7936011507659462E-2</v>
      </c>
      <c r="LP6" s="15">
        <f t="shared" ref="LP6:LP25" si="86">AVERAGE(KY6:LK6)</f>
        <v>2.1902281092407181</v>
      </c>
      <c r="LQ6" s="18">
        <f t="shared" ref="LQ6:LQ25" si="87">(LK6-KY6)/KY6</f>
        <v>0.36844726500440206</v>
      </c>
      <c r="LR6" s="15">
        <f t="shared" ref="LR6:LR27" si="88">LP6-KS6</f>
        <v>3.7874076910633381E-2</v>
      </c>
      <c r="LS6" s="18"/>
      <c r="LT6" s="15">
        <f t="shared" ref="LT6:LT27" si="89">$LT$1*KW6+(1-$LT$1)*KA6</f>
        <v>1.7911853058493277</v>
      </c>
      <c r="LU6" s="15">
        <f t="shared" ref="LU6:LU20" si="90">$LT$1*KX6+(1-$LT$1)*KB6</f>
        <v>1.7186836674076666</v>
      </c>
      <c r="LV6" s="15">
        <f t="shared" ref="LV6:LV20" si="91">$LT$1*KY6+(1-$LT$1)*KC6</f>
        <v>1.8453738896697416</v>
      </c>
      <c r="LW6" s="15">
        <f t="shared" ref="LW6:LW20" si="92">$LT$1*KZ6+(1-$LT$1)*KD6</f>
        <v>1.7220229820381925</v>
      </c>
      <c r="LX6" s="15">
        <f t="shared" ref="LX6:LX20" si="93">$LT$1*LA6+(1-$LT$1)*KE6</f>
        <v>2.0722113421567632</v>
      </c>
      <c r="LY6" s="15">
        <f t="shared" ref="LY6:LY20" si="94">$LT$1*LB6+(1-$LT$1)*KF6</f>
        <v>2.0951668585824854</v>
      </c>
      <c r="LZ6" s="15">
        <f t="shared" ref="LZ6:LZ20" si="95">$LT$1*LC6+(1-$LT$1)*KG6</f>
        <v>2.255278653732411</v>
      </c>
      <c r="MA6" s="15">
        <f t="shared" ref="MA6:MA20" si="96">$LT$1*LD6+(1-$LT$1)*KH6</f>
        <v>2.2443973009542271</v>
      </c>
      <c r="MB6" s="15">
        <f t="shared" ref="MB6:MB20" si="97">$LT$1*LE6+(1-$LT$1)*KI6</f>
        <v>2.2141194212351629</v>
      </c>
      <c r="MC6" s="15">
        <f t="shared" ref="MC6:MC20" si="98">$LT$1*LF6+(1-$LT$1)*KJ6</f>
        <v>2.2366266431432265</v>
      </c>
      <c r="MD6" s="15">
        <f t="shared" ref="MD6:MD20" si="99">$LT$1*LG6+(1-$LT$1)*KK6</f>
        <v>2.3218862758405252</v>
      </c>
      <c r="ME6" s="15">
        <f t="shared" ref="ME6:ME20" si="100">$LT$1*LH6+(1-$LT$1)*KL6</f>
        <v>2.2173195790648483</v>
      </c>
      <c r="MF6" s="15">
        <f t="shared" ref="MF6:MF20" si="101">$LT$1*LI6+(1-$LT$1)*KM6</f>
        <v>2.2341589131526653</v>
      </c>
      <c r="MG6" s="15">
        <f t="shared" ref="MG6:MG20" si="102">$LT$1*LJ6+(1-$LT$1)*KN6</f>
        <v>2.4891067083299894</v>
      </c>
      <c r="MH6" s="15">
        <f t="shared" ref="MH6:MH20" si="103">$LT$1*LK6+(1-$LT$1)*KO6</f>
        <v>2.5252968522290931</v>
      </c>
      <c r="MI6" s="15"/>
      <c r="MJ6" s="15">
        <f t="shared" ref="MJ6:MJ25" si="104">AVERAGE(MF6:MH6)</f>
        <v>2.4161874912372494</v>
      </c>
      <c r="MK6" s="15">
        <f t="shared" ref="MK6:MK25" si="105">AVERAGE(ME6:MH6)</f>
        <v>2.366470513194149</v>
      </c>
      <c r="ML6" s="506">
        <f t="shared" ref="ML6:ML25" si="106">AVERAGE(LV6:MH6)</f>
        <v>2.1902281092407181</v>
      </c>
      <c r="MM6" s="10">
        <f t="shared" ref="MM6:MM27" si="107">(MH6-LV6)/LV6</f>
        <v>0.36844726500440206</v>
      </c>
      <c r="MN6" s="18"/>
      <c r="MO6" s="15">
        <f>('Bloom Cleaner Data'!T6+'Bloom Cleaner Data'!EY6)/'Bloom Cleaner Data'!GV6</f>
        <v>2.1601120338759841</v>
      </c>
      <c r="MP6" s="15">
        <f>('Bloom Cleaner Data'!U6+'Bloom Cleaner Data'!EZ6)/'Bloom Cleaner Data'!GW6</f>
        <v>1.8111513090397344</v>
      </c>
      <c r="MQ6" s="15">
        <f>('Bloom Cleaner Data'!V6+'Bloom Cleaner Data'!FA6)/'Bloom Cleaner Data'!GX6</f>
        <v>1.9080698528021234</v>
      </c>
      <c r="MR6" s="15">
        <f>('Bloom Cleaner Data'!W6+'Bloom Cleaner Data'!FB6)/'Bloom Cleaner Data'!GY6</f>
        <v>2.1748444437770784</v>
      </c>
      <c r="MS6" s="15">
        <f>('Bloom Cleaner Data'!X6+'Bloom Cleaner Data'!FC6)/'Bloom Cleaner Data'!GZ6</f>
        <v>2.1083446523873861</v>
      </c>
      <c r="MT6" s="15">
        <f>('Bloom Cleaner Data'!Y6+'Bloom Cleaner Data'!FD6)/'Bloom Cleaner Data'!HA6</f>
        <v>2.2764389643855862</v>
      </c>
      <c r="MU6" s="15">
        <f>('Bloom Cleaner Data'!Z6+'Bloom Cleaner Data'!FE6)/'Bloom Cleaner Data'!HB6</f>
        <v>2.3245081469115414</v>
      </c>
      <c r="MV6" s="15">
        <f>('Bloom Cleaner Data'!AA6+'Bloom Cleaner Data'!FF6)/'Bloom Cleaner Data'!HC6</f>
        <v>2.4116711007561449</v>
      </c>
      <c r="MW6" s="15">
        <f>('Bloom Cleaner Data'!AB6+'Bloom Cleaner Data'!FG6)/'Bloom Cleaner Data'!HD6</f>
        <v>2.4769734023599832</v>
      </c>
      <c r="MX6" s="15">
        <f>('Bloom Cleaner Data'!AC6+'Bloom Cleaner Data'!FH6)/'Bloom Cleaner Data'!HE6</f>
        <v>2.6168555010234895</v>
      </c>
      <c r="MY6" s="15">
        <f>('Bloom Cleaner Data'!AD6+'Bloom Cleaner Data'!FI6)/'Bloom Cleaner Data'!HF6</f>
        <v>2.4916464353083811</v>
      </c>
      <c r="MZ6" s="15">
        <f>('Bloom Cleaner Data'!AE6+'Bloom Cleaner Data'!FJ6)/'Bloom Cleaner Data'!HG6</f>
        <v>2.5222790480395574</v>
      </c>
      <c r="NA6" s="15">
        <f>('Bloom Cleaner Data'!AF6+'Bloom Cleaner Data'!FK6)/'Bloom Cleaner Data'!HH6</f>
        <v>2.6082829708680846</v>
      </c>
      <c r="NB6" s="15">
        <f>('Bloom Cleaner Data'!AG6+'Bloom Cleaner Data'!FL6)/'Bloom Cleaner Data'!HI6</f>
        <v>2.7460170614751584</v>
      </c>
      <c r="NC6" s="15">
        <f>('Bloom Cleaner Data'!AH6+'Bloom Cleaner Data'!FM6)/'Bloom Cleaner Data'!HJ6</f>
        <v>2.8678559414520133</v>
      </c>
      <c r="ND6" s="15"/>
      <c r="NE6" s="15">
        <f t="shared" si="43"/>
        <v>0.38007039192118475</v>
      </c>
      <c r="NF6" s="15">
        <f t="shared" ref="NF6:NF25" si="108">AVERAGE(NA6:NC6)</f>
        <v>2.7407186579317524</v>
      </c>
      <c r="NG6" s="15">
        <f t="shared" si="44"/>
        <v>0.36222870752547731</v>
      </c>
      <c r="NH6" s="15">
        <f t="shared" ref="NH6:NH25" si="109">AVERAGE(MZ6:NC6)</f>
        <v>2.6861087554587035</v>
      </c>
      <c r="NI6" s="15">
        <f t="shared" ref="NI6:NI25" si="110">AVERAGE(MQ6:NC6)</f>
        <v>2.4256759631958866</v>
      </c>
      <c r="NJ6" s="18">
        <f t="shared" ref="NJ6:NJ25" si="111">(NC6-MQ6)/MQ6</f>
        <v>0.50301412563087367</v>
      </c>
      <c r="NK6" s="15">
        <f t="shared" si="45"/>
        <v>0.27332193086580192</v>
      </c>
      <c r="NL6" s="2818"/>
      <c r="NM6" s="1694" t="s">
        <v>276</v>
      </c>
      <c r="NN6" s="15">
        <f>KW6+'Bloom Cleaner Data'!EY6/CALCULATIONS!DK6</f>
        <v>2.1941740268158516</v>
      </c>
      <c r="NO6" s="15">
        <f>KX6+'Bloom Cleaner Data'!EZ6/CALCULATIONS!DL6</f>
        <v>1.8487269782805982</v>
      </c>
      <c r="NP6" s="15">
        <f>KY6+'Bloom Cleaner Data'!FA6/CALCULATIONS!DM6</f>
        <v>1.9452872486354573</v>
      </c>
      <c r="NQ6" s="15">
        <f>KZ6+'Bloom Cleaner Data'!FB6/CALCULATIONS!DN6</f>
        <v>2.2101966979237502</v>
      </c>
      <c r="NR6" s="15">
        <f>LA6+'Bloom Cleaner Data'!FC6/CALCULATIONS!DO6</f>
        <v>2.1446319856590899</v>
      </c>
      <c r="NS6" s="15">
        <f>LB6+'Bloom Cleaner Data'!FD6/CALCULATIONS!DP6</f>
        <v>2.3119145823128351</v>
      </c>
      <c r="NT6" s="15">
        <f>LC6+'Bloom Cleaner Data'!FE6/CALCULATIONS!DQ6</f>
        <v>2.3600339108063326</v>
      </c>
      <c r="NU6" s="15">
        <f>LD6+'Bloom Cleaner Data'!FF6/CALCULATIONS!DR6</f>
        <v>2.4472083701783536</v>
      </c>
      <c r="NV6" s="15">
        <f>LE6+'Bloom Cleaner Data'!FG6/CALCULATIONS!DS6</f>
        <v>2.5125853015659665</v>
      </c>
      <c r="NW6" s="15">
        <f>LF6+'Bloom Cleaner Data'!FH6/CALCULATIONS!DT6</f>
        <v>2.6517375283843583</v>
      </c>
      <c r="NX6" s="15">
        <f>LG6+'Bloom Cleaner Data'!FI6/CALCULATIONS!DU6</f>
        <v>2.5277381870363436</v>
      </c>
      <c r="NY6" s="15">
        <f>LH6+'Bloom Cleaner Data'!FJ6/CALCULATIONS!DV6</f>
        <v>2.5578491457199326</v>
      </c>
      <c r="NZ6" s="15">
        <f>LI6+'Bloom Cleaner Data'!FK6/CALCULATIONS!DW6</f>
        <v>2.6432058001804895</v>
      </c>
      <c r="OA6" s="15">
        <f>LJ6+'Bloom Cleaner Data'!FL6/CALCULATIONS!DX6</f>
        <v>2.780271565410505</v>
      </c>
      <c r="OB6" s="15">
        <f>LK6+'Bloom Cleaner Data'!FM6/CALCULATIONS!DY6</f>
        <v>2.9018039513877327</v>
      </c>
      <c r="OC6" s="15"/>
      <c r="OD6" s="15">
        <f t="shared" si="46"/>
        <v>0.37650709915863967</v>
      </c>
      <c r="OE6" s="15">
        <f t="shared" ref="OE6:OE25" si="112">AVERAGE(NZ6:OB6)</f>
        <v>2.7750937723262421</v>
      </c>
      <c r="OF6" s="15">
        <f t="shared" si="47"/>
        <v>0.3589062810889927</v>
      </c>
      <c r="OG6" s="15">
        <f t="shared" ref="OG6:OG25" si="113">AVERAGE(NY6:OB6)</f>
        <v>2.7207826156746648</v>
      </c>
      <c r="OH6" s="15">
        <f t="shared" ref="OH6:OH25" si="114">AVERAGE(NP6:OB6)</f>
        <v>2.4611126365539344</v>
      </c>
      <c r="OI6" s="18">
        <f t="shared" ref="OI6:OI25" si="115">(OB6-NP6)/NP6</f>
        <v>0.4917097479681905</v>
      </c>
      <c r="OJ6" s="15">
        <f t="shared" si="48"/>
        <v>0.27088452731321633</v>
      </c>
      <c r="OK6" s="15"/>
      <c r="OL6" s="13">
        <f>'Bloom Cleaner Data'!GF6+('Bloom Cleaner Data'!T6+'Bloom Cleaner Data'!EY6)+'Bloom Cleaner Data'!CK6</f>
        <v>5492.2330000000002</v>
      </c>
      <c r="OM6" s="13">
        <f>'Bloom Cleaner Data'!GG6+('Bloom Cleaner Data'!U6+'Bloom Cleaner Data'!EZ6)+'Bloom Cleaner Data'!CL6</f>
        <v>4909.7</v>
      </c>
      <c r="ON6" s="13">
        <f>'Bloom Cleaner Data'!GH6+('Bloom Cleaner Data'!V6+'Bloom Cleaner Data'!FA6)+'Bloom Cleaner Data'!CM6</f>
        <v>4784.8999999999996</v>
      </c>
      <c r="OO6" s="13">
        <f>'Bloom Cleaner Data'!GI6+('Bloom Cleaner Data'!W6+'Bloom Cleaner Data'!FB6)+'Bloom Cleaner Data'!CN6</f>
        <v>5169</v>
      </c>
      <c r="OP6" s="13">
        <f>'Bloom Cleaner Data'!GJ6+('Bloom Cleaner Data'!X6+'Bloom Cleaner Data'!FC6)+'Bloom Cleaner Data'!CO6</f>
        <v>4949.6880000000001</v>
      </c>
      <c r="OQ6" s="13">
        <f>'Bloom Cleaner Data'!GK6+('Bloom Cleaner Data'!Y6+'Bloom Cleaner Data'!FD6)+'Bloom Cleaner Data'!CP6</f>
        <v>5040.1000000000004</v>
      </c>
      <c r="OR6" s="13">
        <f>'Bloom Cleaner Data'!GL6+('Bloom Cleaner Data'!Z6+'Bloom Cleaner Data'!FE6)+'Bloom Cleaner Data'!CQ6</f>
        <v>4462</v>
      </c>
      <c r="OS6" s="13">
        <f>'Bloom Cleaner Data'!GM6+('Bloom Cleaner Data'!AA6+'Bloom Cleaner Data'!FF6)+'Bloom Cleaner Data'!CR6</f>
        <v>4526.2999999999993</v>
      </c>
      <c r="OT6" s="13">
        <f>'Bloom Cleaner Data'!GN6+('Bloom Cleaner Data'!AB6+'Bloom Cleaner Data'!FG6)+'Bloom Cleaner Data'!CS6</f>
        <v>4667.3099999999995</v>
      </c>
      <c r="OU6" s="13">
        <f>'Bloom Cleaner Data'!GO6+('Bloom Cleaner Data'!AC6+'Bloom Cleaner Data'!FH6)+'Bloom Cleaner Data'!CT6</f>
        <v>4836</v>
      </c>
      <c r="OV6" s="13">
        <f>'Bloom Cleaner Data'!GP6+('Bloom Cleaner Data'!AD6+'Bloom Cleaner Data'!FI6)+'Bloom Cleaner Data'!CU6</f>
        <v>4493.7</v>
      </c>
      <c r="OW6" s="13">
        <f>'Bloom Cleaner Data'!GQ6+('Bloom Cleaner Data'!AE6+'Bloom Cleaner Data'!FJ6)+'Bloom Cleaner Data'!CV6</f>
        <v>4632.3000000000011</v>
      </c>
      <c r="OX6" s="13">
        <f>'Bloom Cleaner Data'!GR6+('Bloom Cleaner Data'!AF6+'Bloom Cleaner Data'!FK6)+'Bloom Cleaner Data'!CW6</f>
        <v>4633.4830000000002</v>
      </c>
      <c r="OY6" s="13">
        <f>'Bloom Cleaner Data'!GS6+('Bloom Cleaner Data'!AG6+'Bloom Cleaner Data'!FL6)+'Bloom Cleaner Data'!CX6</f>
        <v>4845.8999999999996</v>
      </c>
      <c r="OZ6" s="13">
        <f>'Bloom Cleaner Data'!GT6+('Bloom Cleaner Data'!AH6+'Bloom Cleaner Data'!FM6)+'Bloom Cleaner Data'!CY6</f>
        <v>4943.8999999999996</v>
      </c>
      <c r="PA6" s="166"/>
      <c r="PB6" s="1694" t="s">
        <v>276</v>
      </c>
      <c r="PC6" s="947">
        <f>('Bloom Cleaner Data'!T6+'Bloom Cleaner Data'!EY6+'OPERATING LEASES'!BL6)/CALCULATIONS!OL6</f>
        <v>0.70880207428511188</v>
      </c>
      <c r="PD6" s="947">
        <f>('Bloom Cleaner Data'!U6+'Bloom Cleaner Data'!EZ6+'OPERATING LEASES'!BM6)/CALCULATIONS!OM6</f>
        <v>0.65451937254676595</v>
      </c>
      <c r="PE6" s="947">
        <f>('Bloom Cleaner Data'!V6+'Bloom Cleaner Data'!FA6+'OPERATING LEASES'!BN6)/CALCULATIONS!ON6</f>
        <v>0.68869681371158686</v>
      </c>
      <c r="PF6" s="947">
        <f>('Bloom Cleaner Data'!W6+'Bloom Cleaner Data'!FB6+'OPERATING LEASES'!BO6)/CALCULATIONS!OO6</f>
        <v>0.70891797339220086</v>
      </c>
      <c r="PG6" s="947">
        <f>('Bloom Cleaner Data'!X6+'Bloom Cleaner Data'!FC6+'OPERATING LEASES'!BP6)/CALCULATIONS!OP6</f>
        <v>0.70387580489921797</v>
      </c>
      <c r="PH6" s="947">
        <f>('Bloom Cleaner Data'!Y6+'Bloom Cleaner Data'!FD6+'OPERATING LEASES'!BQ6)/CALCULATIONS!OQ6</f>
        <v>0.73294801938453602</v>
      </c>
      <c r="PI6" s="947">
        <f>('Bloom Cleaner Data'!Z6+'Bloom Cleaner Data'!FE6+'OPERATING LEASES'!BR6)/CALCULATIONS!OR6</f>
        <v>0.83339623487225456</v>
      </c>
      <c r="PJ6" s="947">
        <f>('Bloom Cleaner Data'!AA6+'Bloom Cleaner Data'!FF6+'OPERATING LEASES'!BS6)/CALCULATIONS!OS6</f>
        <v>0.83299752281112616</v>
      </c>
      <c r="PK6" s="947">
        <f>('Bloom Cleaner Data'!AB6+'Bloom Cleaner Data'!FG6+'OPERATING LEASES'!BT6)/CALCULATIONS!OT6</f>
        <v>0.81351900238038621</v>
      </c>
      <c r="PL6" s="947">
        <f>('Bloom Cleaner Data'!AC6+'Bloom Cleaner Data'!FH6+'OPERATING LEASES'!BU6)/CALCULATIONS!OU6</f>
        <v>0.8101869055004135</v>
      </c>
      <c r="PM6" s="947">
        <f>('Bloom Cleaner Data'!AD6+'Bloom Cleaner Data'!FI6+'OPERATING LEASES'!BV6)/CALCULATIONS!OV6</f>
        <v>0.82138290829383354</v>
      </c>
      <c r="PN6" s="947">
        <f>('Bloom Cleaner Data'!AE6+'Bloom Cleaner Data'!FJ6+'OPERATING LEASES'!BW6)/CALCULATIONS!OW6</f>
        <v>0.80517947347969676</v>
      </c>
      <c r="PO6" s="947">
        <f>('Bloom Cleaner Data'!AF6+'Bloom Cleaner Data'!FK6+'OPERATING LEASES'!BX6)/CALCULATIONS!OX6</f>
        <v>0.82216798356657406</v>
      </c>
      <c r="PP6" s="947">
        <f>('Bloom Cleaner Data'!AG6+'Bloom Cleaner Data'!FL6+'OPERATING LEASES'!BY6)/CALCULATIONS!OY6</f>
        <v>0.81361921934006076</v>
      </c>
      <c r="PQ6" s="947">
        <f>('Bloom Cleaner Data'!AH6+'Bloom Cleaner Data'!FM6+'OPERATING LEASES'!BZ6)/CALCULATIONS!OZ6</f>
        <v>0.81280312607455663</v>
      </c>
      <c r="PR6" s="947"/>
      <c r="PS6" s="18">
        <f t="shared" ref="PS6:PS25" si="116">AVERAGE(PO6:PQ6)</f>
        <v>0.81619677632706378</v>
      </c>
      <c r="PT6" s="18">
        <f t="shared" ref="PT6:PT25" si="117">AVERAGE(PN6:PQ6)</f>
        <v>0.81344245061522213</v>
      </c>
      <c r="PU6" s="18">
        <f t="shared" ref="PU6:PU25" si="118">AVERAGE(PE6:PQ6)</f>
        <v>0.78459161443895709</v>
      </c>
      <c r="PV6" s="10">
        <f t="shared" ref="PV6:PV27" si="119">(PQ6-PE6)/PE6</f>
        <v>0.18020456882053054</v>
      </c>
      <c r="PW6" s="10"/>
      <c r="PX6" s="506">
        <f>'Bloom Cleaner Data'!D6/'Bloom Cleaner Data'!GF6</f>
        <v>2.7280750935788953</v>
      </c>
      <c r="PY6" s="506">
        <f>'Bloom Cleaner Data'!E6/'Bloom Cleaner Data'!GG6</f>
        <v>2.6786766666666666</v>
      </c>
      <c r="PZ6" s="506">
        <f>'Bloom Cleaner Data'!F6/'Bloom Cleaner Data'!GH6</f>
        <v>2.6905509783042727</v>
      </c>
      <c r="QA6" s="506">
        <f>'Bloom Cleaner Data'!G6/'Bloom Cleaner Data'!GI6</f>
        <v>3.2216182249769223</v>
      </c>
      <c r="QB6" s="506">
        <f>'Bloom Cleaner Data'!H6/'Bloom Cleaner Data'!GJ6</f>
        <v>3.1523421974710972</v>
      </c>
      <c r="QC6" s="506">
        <f>'Bloom Cleaner Data'!I6/'Bloom Cleaner Data'!GK6</f>
        <v>3.3644642357274401</v>
      </c>
      <c r="QD6" s="506">
        <f>'Bloom Cleaner Data'!J6/'Bloom Cleaner Data'!GL6</f>
        <v>5.1597282723900371</v>
      </c>
      <c r="QE6" s="506">
        <f>'Bloom Cleaner Data'!K6/'Bloom Cleaner Data'!GM6</f>
        <v>4.3702831270358304</v>
      </c>
      <c r="QF6" s="506">
        <f>'Bloom Cleaner Data'!L6/'Bloom Cleaner Data'!GN6</f>
        <v>4.6295545288808873</v>
      </c>
      <c r="QG6" s="506">
        <f>'Bloom Cleaner Data'!M6/'Bloom Cleaner Data'!GO6</f>
        <v>4.1526634429400389</v>
      </c>
      <c r="QH6" s="506">
        <f>'Bloom Cleaner Data'!N6/'Bloom Cleaner Data'!GP6</f>
        <v>4.2128006379585328</v>
      </c>
      <c r="QI6" s="506">
        <f>'Bloom Cleaner Data'!O6/'Bloom Cleaner Data'!GQ6</f>
        <v>2.6608021425448185</v>
      </c>
      <c r="QJ6" s="506">
        <f>'Bloom Cleaner Data'!P6/'Bloom Cleaner Data'!GR6</f>
        <v>3.0381227224399536</v>
      </c>
      <c r="QK6" s="506">
        <f>'Bloom Cleaner Data'!Q6/'Bloom Cleaner Data'!GS6</f>
        <v>2.4751283732109695</v>
      </c>
      <c r="QL6" s="506">
        <f>'Bloom Cleaner Data'!R6/'Bloom Cleaner Data'!GT6</f>
        <v>2.2961398399999999</v>
      </c>
      <c r="QM6" s="506"/>
      <c r="QN6" s="506">
        <f t="shared" ref="QN6:QN25" si="120">AVERAGE(PZ6:QL6)</f>
        <v>3.4941691326062152</v>
      </c>
      <c r="QO6" s="10">
        <f t="shared" ref="QO6:QO27" si="121">(QL6-PZ6)/PZ6</f>
        <v>-0.14659121551112608</v>
      </c>
      <c r="QP6" s="506">
        <f t="shared" ref="QP6:QP27" si="122">AVERAGE(PX6,QB6,QF6,QJ6)</f>
        <v>3.3870236355927084</v>
      </c>
      <c r="QQ6" s="18"/>
      <c r="QR6" s="506">
        <f>'Bloom Cleaner Data'!GF6/CALCULATIONS!DK6</f>
        <v>0.89100618857403835</v>
      </c>
      <c r="QS6" s="506">
        <f>'Bloom Cleaner Data'!GG6/CALCULATIONS!DL6</f>
        <v>0.95974994213514486</v>
      </c>
      <c r="QT6" s="506">
        <f>'Bloom Cleaner Data'!GH6/CALCULATIONS!DM6</f>
        <v>0.86630013376736481</v>
      </c>
      <c r="QU6" s="506">
        <f>'Bloom Cleaner Data'!GI6/CALCULATIONS!DN6</f>
        <v>0.89589092148116711</v>
      </c>
      <c r="QV6" s="506">
        <f>'Bloom Cleaner Data'!GJ6/CALCULATIONS!DO6</f>
        <v>0.88987868901356082</v>
      </c>
      <c r="QW6" s="506">
        <f>'Bloom Cleaner Data'!GK6/CALCULATIONS!DP6</f>
        <v>0.83258357375197933</v>
      </c>
      <c r="QX6" s="506">
        <f>'Bloom Cleaner Data'!GL6/CALCULATIONS!DQ6</f>
        <v>0.46953247054273228</v>
      </c>
      <c r="QY6" s="506">
        <f>'Bloom Cleaner Data'!GM6/CALCULATIONS!DR6</f>
        <v>0.48841385512870111</v>
      </c>
      <c r="QZ6" s="506">
        <f>'Bloom Cleaner Data'!GN6/CALCULATIONS!DS6</f>
        <v>0.57305589187336103</v>
      </c>
      <c r="RA6" s="506">
        <f>'Bloom Cleaner Data'!GO6/CALCULATIONS!DT6</f>
        <v>0.61808350368863585</v>
      </c>
      <c r="RB6" s="506">
        <f>'Bloom Cleaner Data'!GP6/CALCULATIONS!DU6</f>
        <v>0.54725992438262083</v>
      </c>
      <c r="RC6" s="506">
        <f>'Bloom Cleaner Data'!GQ6/CALCULATIONS!DV6</f>
        <v>0.61528036258358898</v>
      </c>
      <c r="RD6" s="506">
        <f>'Bloom Cleaner Data'!GR6/CALCULATIONS!DW6</f>
        <v>0.5693149002978779</v>
      </c>
      <c r="RE6" s="506">
        <f>'Bloom Cleaner Data'!GS6/CALCULATIONS!DX6</f>
        <v>0.63377691720759999</v>
      </c>
      <c r="RF6" s="506">
        <f>'Bloom Cleaner Data'!GT6/CALCULATIONS!DY6</f>
        <v>0.66498757622687421</v>
      </c>
      <c r="RG6" s="506"/>
      <c r="RH6" s="506">
        <f t="shared" ref="RH6:RH25" si="123">AVERAGE(QT6:RF6)</f>
        <v>0.66648913230354334</v>
      </c>
      <c r="RI6" s="506">
        <f t="shared" ref="RI6:RI27" si="124">AVERAGE(QX6:RF6)</f>
        <v>0.57552282243688813</v>
      </c>
      <c r="RJ6" s="18"/>
      <c r="RK6" s="506">
        <f>'Bloom Cleaner Data'!GF6/($RK$1*DK6+(1-$RK$1)*'Bloom Cleaner Data'!GV6)</f>
        <v>0.89100618857403835</v>
      </c>
      <c r="RL6" s="506">
        <f>'Bloom Cleaner Data'!GG6/($RK$1*DL6+(1-$RK$1)*'Bloom Cleaner Data'!GW6)</f>
        <v>0.95974994213514486</v>
      </c>
      <c r="RM6" s="506">
        <f>'Bloom Cleaner Data'!GH6/($RK$1*DM6+(1-$RK$1)*'Bloom Cleaner Data'!GX6)</f>
        <v>0.86630013376736481</v>
      </c>
      <c r="RN6" s="506">
        <f>'Bloom Cleaner Data'!GI6/($RK$1*DN6+(1-$RK$1)*'Bloom Cleaner Data'!GY6)</f>
        <v>0.89589092148116711</v>
      </c>
      <c r="RO6" s="506">
        <f>'Bloom Cleaner Data'!GJ6/($RK$1*DO6+(1-$RK$1)*'Bloom Cleaner Data'!GZ6)</f>
        <v>0.88987868901356082</v>
      </c>
      <c r="RP6" s="506">
        <f>'Bloom Cleaner Data'!GK6/($RK$1*DP6+(1-$RK$1)*'Bloom Cleaner Data'!HA6)</f>
        <v>0.83258357375197933</v>
      </c>
      <c r="RQ6" s="506">
        <f>'Bloom Cleaner Data'!GL6/($RK$1*DQ6+(1-$RK$1)*'Bloom Cleaner Data'!HB6)</f>
        <v>0.46953247054273228</v>
      </c>
      <c r="RR6" s="506">
        <f>'Bloom Cleaner Data'!GM6/($RK$1*DR6+(1-$RK$1)*'Bloom Cleaner Data'!HC6)</f>
        <v>0.48841385512870111</v>
      </c>
      <c r="RS6" s="506">
        <f>'Bloom Cleaner Data'!GN6/($RK$1*DS6+(1-$RK$1)*'Bloom Cleaner Data'!HD6)</f>
        <v>0.57305589187336103</v>
      </c>
      <c r="RT6" s="506">
        <f>'Bloom Cleaner Data'!GO6/($RK$1*DT6+(1-$RK$1)*'Bloom Cleaner Data'!HE6)</f>
        <v>0.61808350368863585</v>
      </c>
      <c r="RU6" s="506">
        <f>'Bloom Cleaner Data'!GP6/($RK$1*DU6+(1-$RK$1)*'Bloom Cleaner Data'!HF6)</f>
        <v>0.54725992438262083</v>
      </c>
      <c r="RV6" s="506">
        <f>'Bloom Cleaner Data'!GQ6/($RK$1*DV6+(1-$RK$1)*'Bloom Cleaner Data'!HG6)</f>
        <v>0.61528036258358898</v>
      </c>
      <c r="RW6" s="506">
        <f>'Bloom Cleaner Data'!GR6/($RK$1*DW6+(1-$RK$1)*'Bloom Cleaner Data'!HH6)</f>
        <v>0.5693149002978779</v>
      </c>
      <c r="RX6" s="506">
        <f>'Bloom Cleaner Data'!GS6/($RK$1*DX6+(1-$RK$1)*'Bloom Cleaner Data'!HI6)</f>
        <v>0.63377691720759999</v>
      </c>
      <c r="RY6" s="506">
        <f>'Bloom Cleaner Data'!GT6/($RK$1*DY6+(1-$RK$1)*'Bloom Cleaner Data'!HJ6)</f>
        <v>0.66498757622687421</v>
      </c>
      <c r="RZ6" s="506"/>
      <c r="SA6" s="506">
        <f t="shared" ref="SA6:SA27" si="125">AVERAGE(RM6:RY6)</f>
        <v>0.66648913230354334</v>
      </c>
      <c r="SB6" s="506">
        <f t="shared" ref="SB6:SB27" si="126">AVERAGE(RQ6:RY6)</f>
        <v>0.57552282243688813</v>
      </c>
      <c r="SC6" s="18"/>
      <c r="SD6" s="15">
        <f>'Bloom Cleaner Data'!HM6</f>
        <v>7.4924999999999997</v>
      </c>
      <c r="SE6" s="15">
        <f>'Bloom Cleaner Data'!HN6</f>
        <v>7.0602</v>
      </c>
      <c r="SF6" s="15">
        <f>'Bloom Cleaner Data'!HO6</f>
        <v>8.5809999999999995</v>
      </c>
      <c r="SG6" s="15">
        <f>'Bloom Cleaner Data'!HP6</f>
        <v>7.4513999999999996</v>
      </c>
      <c r="SH6" s="15">
        <f>'Bloom Cleaner Data'!HQ6</f>
        <v>8.8432999999999993</v>
      </c>
      <c r="SI6" s="15">
        <f>'Bloom Cleaner Data'!HR6</f>
        <v>10.1328</v>
      </c>
      <c r="SJ6" s="15">
        <f>'Bloom Cleaner Data'!HS6</f>
        <v>8.0869</v>
      </c>
      <c r="SK6" s="15">
        <f>'Bloom Cleaner Data'!HT6</f>
        <v>8.3938000000000006</v>
      </c>
      <c r="SL6" s="15">
        <f>'Bloom Cleaner Data'!HU6</f>
        <v>7.3704000000000001</v>
      </c>
      <c r="SM6" s="15">
        <f>'Bloom Cleaner Data'!HV6</f>
        <v>7.0548999999999999</v>
      </c>
      <c r="SN6" s="15">
        <f>'Bloom Cleaner Data'!HW6</f>
        <v>6.7568999999999999</v>
      </c>
      <c r="SO6" s="15">
        <f>'Bloom Cleaner Data'!HX6</f>
        <v>5.4363000000000001</v>
      </c>
      <c r="SP6" s="15">
        <f>'Bloom Cleaner Data'!HY6</f>
        <v>5.5948000000000002</v>
      </c>
      <c r="SQ6" s="15">
        <f>'Bloom Cleaner Data'!HZ6</f>
        <v>4.8295000000000003</v>
      </c>
      <c r="SR6" s="15">
        <f>'Bloom Cleaner Data'!IA6</f>
        <v>4.8882000000000003</v>
      </c>
      <c r="SS6" s="15"/>
      <c r="ST6" s="15">
        <f t="shared" ref="ST6:ST27" si="127">AVERAGE(SD6:SR6)</f>
        <v>7.1981933333333341</v>
      </c>
      <c r="SU6" s="487">
        <f t="shared" ref="SU6:SU27" si="128">(SR6-SF6)/SF6</f>
        <v>-0.43034611350658425</v>
      </c>
      <c r="SV6" s="15">
        <f t="shared" ref="SV6:SV27" si="129">SR6-SF6</f>
        <v>-3.6927999999999992</v>
      </c>
    </row>
    <row r="7" spans="1:518">
      <c r="A7" s="690" t="s">
        <v>319</v>
      </c>
      <c r="B7" s="2673"/>
      <c r="C7" s="1370" t="s">
        <v>750</v>
      </c>
      <c r="D7" s="1134" t="s">
        <v>1042</v>
      </c>
      <c r="E7" s="693"/>
      <c r="F7" s="693"/>
      <c r="G7" s="694">
        <f>'Bloom Cleaner Data'!D7</f>
        <v>8197.4082999999991</v>
      </c>
      <c r="H7" s="694">
        <f>'Bloom Cleaner Data'!F7</f>
        <v>8743.0166000000008</v>
      </c>
      <c r="I7" s="694">
        <f>'Bloom Cleaner Data'!H7</f>
        <v>8077.2514000000001</v>
      </c>
      <c r="J7" s="694">
        <f>'Bloom Cleaner Data'!J7</f>
        <v>8313.7248999999993</v>
      </c>
      <c r="K7" s="694">
        <f>'Bloom Cleaner Data'!L7</f>
        <v>7699.8073999999997</v>
      </c>
      <c r="L7" s="694">
        <f>'Bloom Cleaner Data'!N7</f>
        <v>7590.3544000000002</v>
      </c>
      <c r="M7" s="694">
        <f>'Bloom Cleaner Data'!P7</f>
        <v>7068.3325999999997</v>
      </c>
      <c r="N7" s="694">
        <f>'Bloom Cleaner Data'!R7</f>
        <v>5825.8631999999998</v>
      </c>
      <c r="O7" s="694"/>
      <c r="P7" s="694">
        <f t="shared" si="0"/>
        <v>7616.907214285714</v>
      </c>
      <c r="Q7" s="694">
        <f t="shared" si="49"/>
        <v>6828.183399999999</v>
      </c>
      <c r="R7" s="695">
        <f t="shared" si="1"/>
        <v>-0.33365525120929096</v>
      </c>
      <c r="S7" s="1095">
        <f>R7</f>
        <v>-0.33365525120929096</v>
      </c>
      <c r="T7" s="695">
        <f t="shared" si="2"/>
        <v>-0.23187967230365203</v>
      </c>
      <c r="U7" s="695"/>
      <c r="V7" s="1278" t="s">
        <v>37</v>
      </c>
      <c r="W7" s="1239">
        <f>'Bloom Cleaner Data'!D7/'Bloom Cleaner Data'!$F7</f>
        <v>0.9375949600736202</v>
      </c>
      <c r="X7" s="1239">
        <f>'Bloom Cleaner Data'!E7/'Bloom Cleaner Data'!$F7</f>
        <v>1.0596053311851197</v>
      </c>
      <c r="Y7" s="1239">
        <f>'Bloom Cleaner Data'!F7/'Bloom Cleaner Data'!$F7</f>
        <v>1</v>
      </c>
      <c r="Z7" s="1239">
        <f>'Bloom Cleaner Data'!G7/'Bloom Cleaner Data'!$F7</f>
        <v>1.1059346610413616</v>
      </c>
      <c r="AA7" s="1239">
        <f>'Bloom Cleaner Data'!H7/'Bloom Cleaner Data'!$F7</f>
        <v>0.92385177445505473</v>
      </c>
      <c r="AB7" s="1239">
        <f>'Bloom Cleaner Data'!I7/'Bloom Cleaner Data'!$F7</f>
        <v>1.0051339717232151</v>
      </c>
      <c r="AC7" s="1239">
        <f>'Bloom Cleaner Data'!J7/'Bloom Cleaner Data'!$F7</f>
        <v>0.95089890370332808</v>
      </c>
      <c r="AD7" s="1239">
        <f>'Bloom Cleaner Data'!K7/'Bloom Cleaner Data'!$F7</f>
        <v>0.87608737926907276</v>
      </c>
      <c r="AE7" s="1239">
        <f>'Bloom Cleaner Data'!L7/'Bloom Cleaner Data'!$F7</f>
        <v>0.88068086248400801</v>
      </c>
      <c r="AF7" s="1239">
        <f>'Bloom Cleaner Data'!M7/'Bloom Cleaner Data'!$F7</f>
        <v>0.93188545472966378</v>
      </c>
      <c r="AG7" s="1239">
        <f>'Bloom Cleaner Data'!N7/'Bloom Cleaner Data'!$F7</f>
        <v>0.86816195682391817</v>
      </c>
      <c r="AH7" s="1239">
        <f>'Bloom Cleaner Data'!O7/'Bloom Cleaner Data'!$F7</f>
        <v>0.91816135863221393</v>
      </c>
      <c r="AI7" s="1239">
        <f>'Bloom Cleaner Data'!P7/'Bloom Cleaner Data'!$F7</f>
        <v>0.80845466998198301</v>
      </c>
      <c r="AJ7" s="1239">
        <f>'Bloom Cleaner Data'!Q7/'Bloom Cleaner Data'!$F7</f>
        <v>0.74979956002828585</v>
      </c>
      <c r="AK7" s="1239">
        <f>'Bloom Cleaner Data'!R7/'Bloom Cleaner Data'!$F7</f>
        <v>0.66634474879070904</v>
      </c>
      <c r="AL7" s="694"/>
      <c r="AM7" s="694">
        <f>AVERAGE('Bloom Cleaner Data'!BW7:CI7)</f>
        <v>9713.3542384615375</v>
      </c>
      <c r="AN7" s="696">
        <f>('Bloom Cleaner Data'!CI7-'Bloom Cleaner Data'!BW7)/'Bloom Cleaner Data'!BW7</f>
        <v>-0.24787711680043312</v>
      </c>
      <c r="AO7" s="696">
        <f>('Bloom Cleaner Data'!CI7+'Bloom Cleaner Data'!CH7-'Bloom Cleaner Data'!BW7-'Bloom Cleaner Data'!BV7)/('Bloom Cleaner Data'!BW7+'Bloom Cleaner Data'!BV7)</f>
        <v>-0.24170472635175672</v>
      </c>
      <c r="AP7" s="694"/>
      <c r="AQ7" s="694">
        <f>'Bloom Cleaner Data'!BW7</f>
        <v>10764.016600000001</v>
      </c>
      <c r="AR7" s="694">
        <f>'Bloom Cleaner Data'!BY7</f>
        <v>9874.2513999999992</v>
      </c>
      <c r="AS7" s="694">
        <f>'Bloom Cleaner Data'!CA7</f>
        <v>10268.724899999999</v>
      </c>
      <c r="AT7" s="694">
        <f>'Bloom Cleaner Data'!CC7</f>
        <v>9540.8073999999997</v>
      </c>
      <c r="AU7" s="694">
        <f>'Bloom Cleaner Data'!CE7</f>
        <v>9669.3544000000002</v>
      </c>
      <c r="AV7" s="694">
        <f>'Bloom Cleaner Data'!CG7</f>
        <v>8971.3325999999997</v>
      </c>
      <c r="AW7" s="694">
        <f>'Bloom Cleaner Data'!CI7</f>
        <v>8095.8631999999998</v>
      </c>
      <c r="AX7" s="694"/>
      <c r="AY7" s="694">
        <f t="shared" si="3"/>
        <v>9597.764357142858</v>
      </c>
      <c r="AZ7" s="695">
        <f t="shared" si="4"/>
        <v>-0.24787711680043312</v>
      </c>
      <c r="BA7" s="695"/>
      <c r="BB7" s="694">
        <f>'Bloom Cleaner Data'!T7+'OPERATING LEASES'!AU7</f>
        <v>2051.3840034037871</v>
      </c>
      <c r="BC7" s="694">
        <f>'Bloom Cleaner Data'!U7+'OPERATING LEASES'!AV7</f>
        <v>1717.2221080296447</v>
      </c>
      <c r="BD7" s="694">
        <f>'Bloom Cleaner Data'!V7+'OPERATING LEASES'!AW7</f>
        <v>2073.0602126555027</v>
      </c>
      <c r="BE7" s="694">
        <f>'Bloom Cleaner Data'!W7+'OPERATING LEASES'!AX7</f>
        <v>1801.8983172813605</v>
      </c>
      <c r="BF7" s="694">
        <f>'Bloom Cleaner Data'!X7+'OPERATING LEASES'!AY7</f>
        <v>1837.7364219072183</v>
      </c>
      <c r="BG7" s="694">
        <f>'Bloom Cleaner Data'!Y7+'OPERATING LEASES'!AZ7</f>
        <v>1563.9459480636826</v>
      </c>
      <c r="BH7" s="694">
        <f>'Bloom Cleaner Data'!Z7+'OPERATING LEASES'!BA7</f>
        <v>1991.155474220147</v>
      </c>
      <c r="BI7" s="694">
        <f>'Bloom Cleaner Data'!AA7+'OPERATING LEASES'!BB7</f>
        <v>1724.3650003766115</v>
      </c>
      <c r="BJ7" s="694">
        <f>'Bloom Cleaner Data'!AB7+'OPERATING LEASES'!BC7</f>
        <v>1892.5745265330761</v>
      </c>
      <c r="BK7" s="694">
        <f>'Bloom Cleaner Data'!AC7+'OPERATING LEASES'!BD7</f>
        <v>1672.0602126555027</v>
      </c>
      <c r="BL7" s="694">
        <f>'Bloom Cleaner Data'!AD7+'OPERATING LEASES'!BE7</f>
        <v>2117.5458987779293</v>
      </c>
      <c r="BM7" s="694">
        <f>'Bloom Cleaner Data'!AE7+'OPERATING LEASES'!BF7</f>
        <v>1867.0315849003557</v>
      </c>
      <c r="BN7" s="694">
        <f>'Bloom Cleaner Data'!AF7+'OPERATING LEASES'!BG7</f>
        <v>1957.5172710227823</v>
      </c>
      <c r="BO7" s="694">
        <f>'Bloom Cleaner Data'!AG7+'OPERATING LEASES'!BH7</f>
        <v>1852.5172710227823</v>
      </c>
      <c r="BP7" s="694">
        <f>'Bloom Cleaner Data'!AH7+'OPERATING LEASES'!BI7</f>
        <v>2351.5172710227826</v>
      </c>
      <c r="BQ7" s="694"/>
      <c r="BR7" s="1100">
        <f t="shared" si="50"/>
        <v>1900.2250315722872</v>
      </c>
      <c r="BS7" s="695">
        <f t="shared" si="51"/>
        <v>0.13432174167801333</v>
      </c>
      <c r="BT7" s="695"/>
      <c r="BU7" s="694">
        <f>'Bloom Cleaner Data'!BU7+'OPERATING LEASES'!AU7</f>
        <v>10255.792303403787</v>
      </c>
      <c r="BV7" s="694">
        <f>'Bloom Cleaner Data'!BV7+'OPERATING LEASES'!AV7</f>
        <v>11208.369108029645</v>
      </c>
      <c r="BW7" s="694">
        <f>'Bloom Cleaner Data'!BW7+'OPERATING LEASES'!AW7</f>
        <v>11038.076812655503</v>
      </c>
      <c r="BX7" s="694">
        <f>'Bloom Cleaner Data'!BX7+'OPERATING LEASES'!AX7</f>
        <v>11700.10341728136</v>
      </c>
      <c r="BY7" s="694">
        <f>'Bloom Cleaner Data'!BY7+'OPERATING LEASES'!AY7</f>
        <v>10149.987821907218</v>
      </c>
      <c r="BZ7" s="694">
        <f>'Bloom Cleaner Data'!BZ7+'OPERATING LEASES'!AZ7</f>
        <v>10587.848948063684</v>
      </c>
      <c r="CA7" s="694">
        <f>'Bloom Cleaner Data'!CA7+'OPERATING LEASES'!BA7</f>
        <v>10544.880374220147</v>
      </c>
      <c r="CB7" s="694">
        <f>'Bloom Cleaner Data'!CB7+'OPERATING LEASES'!BB7</f>
        <v>9632.0115003766114</v>
      </c>
      <c r="CC7" s="694">
        <f>'Bloom Cleaner Data'!CC7+'OPERATING LEASES'!BC7</f>
        <v>9817.3819265330749</v>
      </c>
      <c r="CD7" s="694">
        <f>'Bloom Cleaner Data'!CD7+'OPERATING LEASES'!BD7</f>
        <v>10047.550212655502</v>
      </c>
      <c r="CE7" s="694">
        <f>'Bloom Cleaner Data'!CE7+'OPERATING LEASES'!BE7</f>
        <v>9940.9002987779295</v>
      </c>
      <c r="CF7" s="694">
        <f>'Bloom Cleaner Data'!CF7+'OPERATING LEASES'!BF7</f>
        <v>10133.531584900356</v>
      </c>
      <c r="CG7" s="694">
        <f>'Bloom Cleaner Data'!CG7+'OPERATING LEASES'!BG7</f>
        <v>9237.8498710227814</v>
      </c>
      <c r="CH7" s="694">
        <f>'Bloom Cleaner Data'!CH7+'OPERATING LEASES'!BH7</f>
        <v>8625.0272710227819</v>
      </c>
      <c r="CI7" s="694">
        <f>'Bloom Cleaner Data'!CI7+'OPERATING LEASES'!BI7</f>
        <v>8362.3804710227814</v>
      </c>
      <c r="CJ7" s="694"/>
      <c r="CK7" s="1100">
        <f t="shared" si="52"/>
        <v>9985.9638854184414</v>
      </c>
      <c r="CL7" s="695">
        <f t="shared" si="53"/>
        <v>-0.24240602661551977</v>
      </c>
      <c r="CM7" s="696">
        <f t="shared" si="54"/>
        <v>2.8065448892769039E-2</v>
      </c>
      <c r="CN7" s="694"/>
      <c r="CO7" s="696">
        <f>$CO$1*BU7/('Bloom Cleaner Data'!D7+'Bloom Cleaner Data'!T7+'OPERATING LEASES'!AU7)+(1-$CO$1)*'Bloom Cleaner Data'!BU7/('Bloom Cleaner Data'!D7+'Bloom Cleaner Data'!T7)-1</f>
        <v>6.8300730396053666E-4</v>
      </c>
      <c r="CP7" s="696">
        <f>$CO$1*BV7/('Bloom Cleaner Data'!E7+'Bloom Cleaner Data'!U7+'OPERATING LEASES'!AV7)+(1-$CO$1)*'Bloom Cleaner Data'!BV7/('Bloom Cleaner Data'!E7+'Bloom Cleaner Data'!U7)-1</f>
        <v>2.0671375105132839E-2</v>
      </c>
      <c r="CQ7" s="696">
        <f>$CO$1*BW7/('Bloom Cleaner Data'!F7+'Bloom Cleaner Data'!V7+'OPERATING LEASES'!AW7)+(1-$CO$1)*'Bloom Cleaner Data'!BW7/('Bloom Cleaner Data'!F7+'Bloom Cleaner Data'!V7)-1</f>
        <v>2.0525002165318051E-2</v>
      </c>
      <c r="CR7" s="696">
        <f>$CO$1*BX7/('Bloom Cleaner Data'!G7+'Bloom Cleaner Data'!W7+'OPERATING LEASES'!AX7)+(1-$CO$1)*'Bloom Cleaner Data'!BX7/('Bloom Cleaner Data'!G7+'Bloom Cleaner Data'!W7)-1</f>
        <v>1.9963205950615848E-2</v>
      </c>
      <c r="CS7" s="696">
        <f>$CO$1*BY7/('Bloom Cleaner Data'!H7+'Bloom Cleaner Data'!X7+'OPERATING LEASES'!AY7)+(1-$CO$1)*'Bloom Cleaner Data'!BY7/('Bloom Cleaner Data'!H7+'Bloom Cleaner Data'!X7)-1</f>
        <v>2.3701491542003073E-2</v>
      </c>
      <c r="CT7" s="696">
        <f>$CO$1*BZ7/('Bloom Cleaner Data'!I7+'Bloom Cleaner Data'!Y7+'OPERATING LEASES'!AZ7)+(1-$CO$1)*'Bloom Cleaner Data'!BZ7/('Bloom Cleaner Data'!I7+'Bloom Cleaner Data'!Y7)-1</f>
        <v>2.2797859704487333E-2</v>
      </c>
      <c r="CU7" s="696">
        <f>$CO$1*CA7/('Bloom Cleaner Data'!J7+'Bloom Cleaner Data'!Z7+'OPERATING LEASES'!BA7)+(1-$CO$1)*'Bloom Cleaner Data'!CA7/('Bloom Cleaner Data'!J7+'Bloom Cleaner Data'!Z7)-1</f>
        <v>2.3289935572703202E-2</v>
      </c>
      <c r="CV7" s="696">
        <f>$CO$1*CB7/('Bloom Cleaner Data'!K7+'Bloom Cleaner Data'!AA7+'OPERATING LEASES'!BB7)+(1-$CO$1)*'Bloom Cleaner Data'!CB7/('Bloom Cleaner Data'!K7+'Bloom Cleaner Data'!AA7)-1</f>
        <v>2.6427930101113661E-2</v>
      </c>
      <c r="CW7" s="696">
        <f>$CO$1*CC7/('Bloom Cleaner Data'!L7+'Bloom Cleaner Data'!AB7+'OPERATING LEASES'!BC7)+(1-$CO$1)*'Bloom Cleaner Data'!CC7/('Bloom Cleaner Data'!L7+'Bloom Cleaner Data'!AB7)-1</f>
        <v>2.3456113582971172E-2</v>
      </c>
      <c r="CX7" s="696">
        <f>$CO$1*CD7/('Bloom Cleaner Data'!M7+'Bloom Cleaner Data'!AC7+'OPERATING LEASES'!BD7)+(1-$CO$1)*'Bloom Cleaner Data'!CD7/('Bloom Cleaner Data'!M7+'Bloom Cleaner Data'!AC7)-1</f>
        <v>2.3218986110601358E-2</v>
      </c>
      <c r="CY7" s="696">
        <f>$CO$1*CE7/('Bloom Cleaner Data'!N7+'Bloom Cleaner Data'!AD7+'OPERATING LEASES'!BE7)+(1-$CO$1)*'Bloom Cleaner Data'!CE7/('Bloom Cleaner Data'!N7+'Bloom Cleaner Data'!AD7)-1</f>
        <v>2.400107055377676E-2</v>
      </c>
      <c r="CZ7" s="696">
        <f>$CO$1*CF7/('Bloom Cleaner Data'!O7+'Bloom Cleaner Data'!AE7+'OPERATING LEASES'!BF7)+(1-$CO$1)*'Bloom Cleaner Data'!CF7/('Bloom Cleaner Data'!O7+'Bloom Cleaner Data'!AE7)-1</f>
        <v>2.4154756387329002E-2</v>
      </c>
      <c r="DA7" s="696">
        <f>$CO$1*CG7/('Bloom Cleaner Data'!P7+'Bloom Cleaner Data'!AF7+'OPERATING LEASES'!BG7)+(1-$CO$1)*'Bloom Cleaner Data'!CG7/('Bloom Cleaner Data'!P7+'Bloom Cleaner Data'!AF7)-1</f>
        <v>2.3488092869860422E-2</v>
      </c>
      <c r="DB7" s="696">
        <f>$CO$1*CH7/('Bloom Cleaner Data'!Q7+'Bloom Cleaner Data'!AG7+'OPERATING LEASES'!BH7)+(1-$CO$1)*'Bloom Cleaner Data'!CH7/('Bloom Cleaner Data'!Q7+'Bloom Cleaner Data'!AG7)-1</f>
        <v>2.5808669858607969E-2</v>
      </c>
      <c r="DC7" s="696">
        <f>$CO$1*CI7/('Bloom Cleaner Data'!R7+'Bloom Cleaner Data'!AH7+'OPERATING LEASES'!BI7)+(1-$CO$1)*'Bloom Cleaner Data'!CI7/('Bloom Cleaner Data'!R7+'Bloom Cleaner Data'!AH7)-1</f>
        <v>2.2623381736432746E-2</v>
      </c>
      <c r="DD7" s="696"/>
      <c r="DE7" s="696">
        <f t="shared" si="55"/>
        <v>2.3342807395063121E-2</v>
      </c>
      <c r="DF7" s="694"/>
      <c r="DG7" s="2204">
        <f>AVERAGE('Bloom Cleaner Data'!GX7:HJ7)</f>
        <v>2050.4550648632621</v>
      </c>
      <c r="DH7" s="2205">
        <f>('Bloom Cleaner Data'!HJ7-'Bloom Cleaner Data'!GX7)/'Bloom Cleaner Data'!GX7</f>
        <v>-0.37043092672187389</v>
      </c>
      <c r="DI7" s="2205">
        <f>('Bloom Cleaner Data'!HJ7+'Bloom Cleaner Data'!HI7-'Bloom Cleaner Data'!GX7-'Bloom Cleaner Data'!GW7)/('Bloom Cleaner Data'!GX7+'Bloom Cleaner Data'!GW7)</f>
        <v>-0.36858359461916135</v>
      </c>
      <c r="DJ7" s="694"/>
      <c r="DK7" s="694">
        <f>'Bloom Cleaner Data'!GV7+'OPERATING LEASES'!BL7</f>
        <v>2391.4379200767758</v>
      </c>
      <c r="DL7" s="694">
        <f>'Bloom Cleaner Data'!GW7+'OPERATING LEASES'!BM7</f>
        <v>2829.0704476083183</v>
      </c>
      <c r="DM7" s="694">
        <f>'Bloom Cleaner Data'!GX7+'OPERATING LEASES'!BN7</f>
        <v>2829.7837740153523</v>
      </c>
      <c r="DN7" s="694">
        <f>'Bloom Cleaner Data'!GY7+'OPERATING LEASES'!BO7</f>
        <v>2825.4209079592029</v>
      </c>
      <c r="DO7" s="694">
        <f>'Bloom Cleaner Data'!GZ7+'OPERATING LEASES'!BP7</f>
        <v>2461.1067170306101</v>
      </c>
      <c r="DP7" s="694">
        <f>'Bloom Cleaner Data'!HA7+'OPERATING LEASES'!BQ7</f>
        <v>2010.1663891991752</v>
      </c>
      <c r="DQ7" s="694">
        <f>'Bloom Cleaner Data'!HB7+'OPERATING LEASES'!BR7</f>
        <v>2019.1755381392661</v>
      </c>
      <c r="DR7" s="694">
        <f>'Bloom Cleaner Data'!HC7+'OPERATING LEASES'!BS7</f>
        <v>1999.2042884872967</v>
      </c>
      <c r="DS7" s="694">
        <f>'Bloom Cleaner Data'!HD7+'OPERATING LEASES'!BT7</f>
        <v>1952.2397448223369</v>
      </c>
      <c r="DT7" s="694">
        <f>'Bloom Cleaner Data'!HE7+'OPERATING LEASES'!BU7</f>
        <v>1941.8883820897845</v>
      </c>
      <c r="DU7" s="694">
        <f>'Bloom Cleaner Data'!HF7+'OPERATING LEASES'!BV7</f>
        <v>1866.4913132152435</v>
      </c>
      <c r="DV7" s="694">
        <f>'Bloom Cleaner Data'!HG7+'OPERATING LEASES'!BW7</f>
        <v>1854.1191154836338</v>
      </c>
      <c r="DW7" s="694">
        <f>'Bloom Cleaner Data'!HH7+'OPERATING LEASES'!BX7</f>
        <v>1832.7614120115918</v>
      </c>
      <c r="DX7" s="694">
        <f>'Bloom Cleaner Data'!HI7+'OPERATING LEASES'!BY7</f>
        <v>1802.7396015692559</v>
      </c>
      <c r="DY7" s="694">
        <f>'Bloom Cleaner Data'!HJ7+'OPERATING LEASES'!BZ7</f>
        <v>1793.7338377710855</v>
      </c>
      <c r="DZ7" s="694"/>
      <c r="EA7" s="1100">
        <f t="shared" si="56"/>
        <v>2091.448540137987</v>
      </c>
      <c r="EB7" s="695">
        <f t="shared" si="57"/>
        <v>-0.36612335746563157</v>
      </c>
      <c r="EC7" s="696">
        <f t="shared" si="58"/>
        <v>1.9992379241658063E-2</v>
      </c>
      <c r="ED7" s="696">
        <f>(AVERAGE(DV7:DY7)-AVERAGE('Bloom Cleaner Data'!HG7:HJ7))/AVERAGE('Bloom Cleaner Data'!HG7:HJ7)</f>
        <v>2.2371626971660407E-2</v>
      </c>
      <c r="EE7" s="704"/>
      <c r="EF7" s="3979">
        <f>'Bloom Cleaner Data'!DT7</f>
        <v>1.7244000000000002</v>
      </c>
      <c r="EG7" s="3979">
        <f>'Bloom Cleaner Data'!DX7</f>
        <v>1.5928</v>
      </c>
      <c r="EH7" s="3979">
        <f>'Bloom Cleaner Data'!EB7</f>
        <v>1.5194000000000001</v>
      </c>
      <c r="EI7" s="3979">
        <f>'Bloom Cleaner Data'!EF7</f>
        <v>1.2703</v>
      </c>
      <c r="EJ7" s="3979"/>
      <c r="EK7" s="3979">
        <f>AVERAGE('Bloom Cleaner Data'!DT7:EF7)</f>
        <v>1.5174769230769232</v>
      </c>
      <c r="EL7" s="2205">
        <f t="shared" si="5"/>
        <v>-0.26333797262816061</v>
      </c>
      <c r="EM7" s="694"/>
      <c r="EN7" s="697">
        <f>'Bloom Cleaner Data'!DA7</f>
        <v>4.2572999999999999</v>
      </c>
      <c r="EO7" s="697">
        <f>'Bloom Cleaner Data'!DB7</f>
        <v>3.9279000000000002</v>
      </c>
      <c r="EP7" s="697">
        <f>'Bloom Cleaner Data'!DC7</f>
        <v>3.8635999999999999</v>
      </c>
      <c r="EQ7" s="697">
        <f>'Bloom Cleaner Data'!DD7</f>
        <v>4.1054000000000004</v>
      </c>
      <c r="ER7" s="697">
        <f>'Bloom Cleaner Data'!DE7</f>
        <v>4.0803000000000003</v>
      </c>
      <c r="ES7" s="697">
        <f>'Bloom Cleaner Data'!DF7</f>
        <v>5.2370999999999999</v>
      </c>
      <c r="ET7" s="697">
        <f>'Bloom Cleaner Data'!DG7</f>
        <v>5.1914999999999996</v>
      </c>
      <c r="EU7" s="697">
        <f>'Bloom Cleaner Data'!DH7</f>
        <v>4.7782</v>
      </c>
      <c r="EV7" s="697">
        <f>'Bloom Cleaner Data'!DI7</f>
        <v>4.9926000000000004</v>
      </c>
      <c r="EW7" s="697">
        <f>'Bloom Cleaner Data'!DJ7</f>
        <v>5.1411999999999995</v>
      </c>
      <c r="EX7" s="697">
        <f>'Bloom Cleaner Data'!DK7</f>
        <v>5.2953999999999999</v>
      </c>
      <c r="EY7" s="697">
        <f>'Bloom Cleaner Data'!DL7</f>
        <v>5.4379999999999997</v>
      </c>
      <c r="EZ7" s="697">
        <f>'Bloom Cleaner Data'!DM7</f>
        <v>5.0034999999999998</v>
      </c>
      <c r="FA7" s="697">
        <f>'Bloom Cleaner Data'!DN7</f>
        <v>4.7411000000000003</v>
      </c>
      <c r="FB7" s="697">
        <f>'Bloom Cleaner Data'!DO7</f>
        <v>4.6157000000000004</v>
      </c>
      <c r="FC7" s="697"/>
      <c r="FD7" s="697">
        <f t="shared" si="59"/>
        <v>4.8064307692307704</v>
      </c>
      <c r="FE7" s="696">
        <f t="shared" si="6"/>
        <v>0.19466300859302216</v>
      </c>
      <c r="FF7" s="697">
        <f t="shared" si="60"/>
        <v>5.0434300000000007</v>
      </c>
      <c r="FG7" s="1220"/>
      <c r="FH7" s="697">
        <f>('Bloom Cleaner Data'!BU7+'OPERATING LEASES'!AU7)/DK7</f>
        <v>4.2885463249133933</v>
      </c>
      <c r="FI7" s="697">
        <f>('Bloom Cleaner Data'!BV7+'OPERATING LEASES'!AV7)/DL7</f>
        <v>3.9618557811118289</v>
      </c>
      <c r="FJ7" s="697">
        <f>('Bloom Cleaner Data'!BW7+'OPERATING LEASES'!AW7)/DM7</f>
        <v>3.9006785302867524</v>
      </c>
      <c r="FK7" s="697">
        <f>('Bloom Cleaner Data'!BX7+'OPERATING LEASES'!AX7)/DN7</f>
        <v>4.1410125423515485</v>
      </c>
      <c r="FL7" s="697">
        <f>('Bloom Cleaner Data'!BY7+'OPERATING LEASES'!AY7)/DO7</f>
        <v>4.1241559139513644</v>
      </c>
      <c r="FM7" s="697">
        <f>('Bloom Cleaner Data'!BZ7+'OPERATING LEASES'!AZ7)/DP7</f>
        <v>5.2671505229384259</v>
      </c>
      <c r="FN7" s="697">
        <f>('Bloom Cleaner Data'!CA7+'OPERATING LEASES'!BA7)/DQ7</f>
        <v>5.2223693161108651</v>
      </c>
      <c r="FO7" s="697">
        <f>('Bloom Cleaner Data'!CB7+'OPERATING LEASES'!BB7)/DR7</f>
        <v>4.8179225884237669</v>
      </c>
      <c r="FP7" s="697">
        <f>('Bloom Cleaner Data'!CC7+'OPERATING LEASES'!BC7)/DS7</f>
        <v>5.0287788436693788</v>
      </c>
      <c r="FQ7" s="697">
        <f>('Bloom Cleaner Data'!CD7+'OPERATING LEASES'!BD7)/DT7</f>
        <v>5.1741131495120847</v>
      </c>
      <c r="FR7" s="697">
        <f>('Bloom Cleaner Data'!CE7+'OPERATING LEASES'!BE7)/DU7</f>
        <v>5.3259826222569435</v>
      </c>
      <c r="FS7" s="697">
        <f>('Bloom Cleaner Data'!CF7+'OPERATING LEASES'!BF7)/DV7</f>
        <v>5.4654156252831125</v>
      </c>
      <c r="FT7" s="697">
        <f>('Bloom Cleaner Data'!CG7+'OPERATING LEASES'!BG7)/DW7</f>
        <v>5.0403995907375387</v>
      </c>
      <c r="FU7" s="697">
        <f>('Bloom Cleaner Data'!CH7+'OPERATING LEASES'!BH7)/DX7</f>
        <v>4.7843999563302617</v>
      </c>
      <c r="FV7" s="697">
        <f>('Bloom Cleaner Data'!CI7+'OPERATING LEASES'!BI7)/DY7</f>
        <v>4.6619962755533297</v>
      </c>
      <c r="FW7" s="697"/>
      <c r="FX7" s="698">
        <f t="shared" si="61"/>
        <v>4.8426442674927213</v>
      </c>
      <c r="FY7" s="695">
        <f t="shared" si="62"/>
        <v>0.1951757211867983</v>
      </c>
      <c r="FZ7" s="697">
        <f t="shared" si="7"/>
        <v>3.6213498261950861E-2</v>
      </c>
      <c r="GA7" s="697">
        <f t="shared" si="63"/>
        <v>5.0788528490815699</v>
      </c>
      <c r="GB7" s="697">
        <f t="shared" si="64"/>
        <v>3.5422849081569119E-2</v>
      </c>
      <c r="GC7" s="697">
        <f t="shared" si="8"/>
        <v>3.6898814032237937E-2</v>
      </c>
      <c r="GD7" s="694"/>
      <c r="GE7" s="697">
        <f t="shared" si="9"/>
        <v>4.2885463249133933</v>
      </c>
      <c r="GF7" s="697">
        <f t="shared" si="10"/>
        <v>3.9618557811118289</v>
      </c>
      <c r="GG7" s="697">
        <f t="shared" si="11"/>
        <v>3.9006785302867524</v>
      </c>
      <c r="GH7" s="697">
        <f t="shared" si="12"/>
        <v>4.1410125423515485</v>
      </c>
      <c r="GI7" s="697">
        <f t="shared" si="13"/>
        <v>4.1241559139513644</v>
      </c>
      <c r="GJ7" s="697">
        <f t="shared" si="14"/>
        <v>5.2671505229384259</v>
      </c>
      <c r="GK7" s="697">
        <f t="shared" si="15"/>
        <v>5.2223693161108651</v>
      </c>
      <c r="GL7" s="697">
        <f t="shared" si="16"/>
        <v>4.8179225884237669</v>
      </c>
      <c r="GM7" s="697">
        <f t="shared" si="17"/>
        <v>5.0287788436693788</v>
      </c>
      <c r="GN7" s="697">
        <f t="shared" si="18"/>
        <v>5.1741131495120847</v>
      </c>
      <c r="GO7" s="697">
        <f t="shared" si="19"/>
        <v>5.3259826222569435</v>
      </c>
      <c r="GP7" s="697">
        <f t="shared" si="20"/>
        <v>5.4654156252831125</v>
      </c>
      <c r="GQ7" s="697">
        <f t="shared" si="21"/>
        <v>5.0403995907375387</v>
      </c>
      <c r="GR7" s="697">
        <f t="shared" si="22"/>
        <v>4.7843999563302617</v>
      </c>
      <c r="GS7" s="697">
        <f t="shared" si="23"/>
        <v>4.6619962755533297</v>
      </c>
      <c r="GT7" s="697"/>
      <c r="GU7" s="697">
        <f t="shared" si="65"/>
        <v>4.7469851722287064</v>
      </c>
      <c r="GV7" s="695">
        <f t="shared" si="66"/>
        <v>0.1951757211867983</v>
      </c>
      <c r="GW7" s="698">
        <f t="shared" si="67"/>
        <v>5.0788528490815699</v>
      </c>
      <c r="GX7" s="2099"/>
      <c r="GY7" s="695">
        <f>'Bloom Cleaner Data'!T7/('Bloom Cleaner Data'!T7+'Bloom Cleaner Data'!D7)</f>
        <v>0.17832068881944219</v>
      </c>
      <c r="GZ7" s="695">
        <f>'Bloom Cleaner Data'!U7/('Bloom Cleaner Data'!U7+'Bloom Cleaner Data'!E7)</f>
        <v>0.13485059553254169</v>
      </c>
      <c r="HA7" s="695">
        <f>'Bloom Cleaner Data'!V7/('Bloom Cleaner Data'!V7+'Bloom Cleaner Data'!F7)</f>
        <v>0.17065046169629441</v>
      </c>
      <c r="HB7" s="695">
        <f>'Bloom Cleaner Data'!W7/('Bloom Cleaner Data'!W7+'Bloom Cleaner Data'!G7)</f>
        <v>0.13638549726103177</v>
      </c>
      <c r="HC7" s="695">
        <f>'Bloom Cleaner Data'!X7/('Bloom Cleaner Data'!X7+'Bloom Cleaner Data'!H7)</f>
        <v>0.1620457787831947</v>
      </c>
      <c r="HD7" s="695">
        <f>'Bloom Cleaner Data'!Y7/('Bloom Cleaner Data'!Y7+'Bloom Cleaner Data'!I7)</f>
        <v>0.12782973397024563</v>
      </c>
      <c r="HE7" s="695">
        <f>'Bloom Cleaner Data'!Z7/('Bloom Cleaner Data'!Z7+'Bloom Cleaner Data'!J7)</f>
        <v>0.17100877899243205</v>
      </c>
      <c r="HF7" s="695">
        <f>'Bloom Cleaner Data'!AA7/('Bloom Cleaner Data'!AA7+'Bloom Cleaner Data'!K7)</f>
        <v>0.15898728612271021</v>
      </c>
      <c r="HG7" s="695">
        <f>'Bloom Cleaner Data'!AB7/('Bloom Cleaner Data'!AB7+'Bloom Cleaner Data'!L7)</f>
        <v>0.17346859274913734</v>
      </c>
      <c r="HH7" s="695">
        <f>'Bloom Cleaner Data'!AC7/('Bloom Cleaner Data'!AC7+'Bloom Cleaner Data'!M7)</f>
        <v>0.1464565988754899</v>
      </c>
      <c r="HI7" s="695">
        <f>'Bloom Cleaner Data'!AD7/('Bloom Cleaner Data'!AD7+'Bloom Cleaner Data'!N7)</f>
        <v>0.19562639571909254</v>
      </c>
      <c r="HJ7" s="695">
        <f>'Bloom Cleaner Data'!AE7/('Bloom Cleaner Data'!AE7+'Bloom Cleaner Data'!O7)</f>
        <v>0.16601734974806504</v>
      </c>
      <c r="HK7" s="695">
        <f>'Bloom Cleaner Data'!AF7/('Bloom Cleaner Data'!AF7+'Bloom Cleaner Data'!P7)</f>
        <v>0.19305123771644428</v>
      </c>
      <c r="HL7" s="695">
        <f>'Bloom Cleaner Data'!AG7/('Bloom Cleaner Data'!AG7+'Bloom Cleaner Data'!Q7)</f>
        <v>0.19480415795104347</v>
      </c>
      <c r="HM7" s="695">
        <f>'Bloom Cleaner Data'!AH7/('Bloom Cleaner Data'!AH7+'Bloom Cleaner Data'!R7)</f>
        <v>0.26356163003804695</v>
      </c>
      <c r="HN7" s="697"/>
      <c r="HO7" s="695">
        <f t="shared" si="68"/>
        <v>0.17383796150947908</v>
      </c>
      <c r="HP7" s="695">
        <f t="shared" si="69"/>
        <v>0.54445307336528614</v>
      </c>
      <c r="HQ7" s="695"/>
      <c r="HR7" s="699">
        <f t="shared" si="24"/>
        <v>0.21701981100538817</v>
      </c>
      <c r="HS7" s="700">
        <f t="shared" si="25"/>
        <v>0.15586972011562419</v>
      </c>
      <c r="HT7" s="700">
        <f t="shared" si="26"/>
        <v>0.20576422101268799</v>
      </c>
      <c r="HU7" s="700">
        <f t="shared" si="27"/>
        <v>0.15792404693122084</v>
      </c>
      <c r="HV7" s="700">
        <f t="shared" si="28"/>
        <v>0.19338261527925202</v>
      </c>
      <c r="HW7" s="700">
        <f t="shared" si="29"/>
        <v>0.14656511342922196</v>
      </c>
      <c r="HX7" s="700">
        <f t="shared" si="30"/>
        <v>0.20628539200280735</v>
      </c>
      <c r="HY7" s="700">
        <f t="shared" si="31"/>
        <v>0.18904266665570013</v>
      </c>
      <c r="HZ7" s="700">
        <f t="shared" si="32"/>
        <v>0.20987537948027113</v>
      </c>
      <c r="IA7" s="700">
        <f t="shared" si="33"/>
        <v>0.17158658678930566</v>
      </c>
      <c r="IB7" s="700">
        <f t="shared" si="34"/>
        <v>0.24320340035769611</v>
      </c>
      <c r="IC7" s="700">
        <f t="shared" si="35"/>
        <v>0.19906571161631889</v>
      </c>
      <c r="ID7" s="700">
        <f t="shared" si="36"/>
        <v>0.23923605405891624</v>
      </c>
      <c r="IE7" s="700">
        <f t="shared" si="37"/>
        <v>0.24193388462529991</v>
      </c>
      <c r="IF7" s="701">
        <f t="shared" si="38"/>
        <v>0.35788687932116231</v>
      </c>
      <c r="IG7" s="697"/>
      <c r="IH7" s="695">
        <f t="shared" si="70"/>
        <v>0.21244245781229701</v>
      </c>
      <c r="II7" s="695">
        <f t="shared" si="71"/>
        <v>0.73930568472880431</v>
      </c>
      <c r="IJ7" s="695"/>
      <c r="IK7" s="696">
        <f>('Bloom Cleaner Data'!T7+'OPERATING LEASES'!AU7)/('Bloom Cleaner Data'!T7+'OPERATING LEASES'!AU7+'Bloom Cleaner Data'!D7)</f>
        <v>0.20015860822181847</v>
      </c>
      <c r="IL7" s="696">
        <f>('Bloom Cleaner Data'!U7+'OPERATING LEASES'!AV7)/('Bloom Cleaner Data'!U7+'OPERATING LEASES'!AV7+'Bloom Cleaner Data'!E7)</f>
        <v>0.15637595741809657</v>
      </c>
      <c r="IM7" s="696">
        <f>('Bloom Cleaner Data'!V7+'OPERATING LEASES'!AW7)/('Bloom Cleaner Data'!V7+'OPERATING LEASES'!AW7+'Bloom Cleaner Data'!F7)</f>
        <v>0.19166470879994948</v>
      </c>
      <c r="IN7" s="696">
        <f>('Bloom Cleaner Data'!W7+'OPERATING LEASES'!AX7)/('Bloom Cleaner Data'!W7+'OPERATING LEASES'!AX7+'Bloom Cleaner Data'!G7)</f>
        <v>0.15708151620068025</v>
      </c>
      <c r="IO7" s="696">
        <f>('Bloom Cleaner Data'!X7+'OPERATING LEASES'!AY7)/('Bloom Cleaner Data'!X7+'OPERATING LEASES'!AY7+'Bloom Cleaner Data'!H7)</f>
        <v>0.18534933727772515</v>
      </c>
      <c r="IP7" s="696">
        <f>('Bloom Cleaner Data'!Y7+'OPERATING LEASES'!AZ7)/('Bloom Cleaner Data'!Y7+'OPERATING LEASES'!AZ7+'Bloom Cleaner Data'!I7)</f>
        <v>0.15107889961592022</v>
      </c>
      <c r="IQ7" s="696">
        <f>('Bloom Cleaner Data'!Z7+'OPERATING LEASES'!BA7)/('Bloom Cleaner Data'!Z7+'OPERATING LEASES'!BA7+'Bloom Cleaner Data'!J7)</f>
        <v>0.19322451129092647</v>
      </c>
      <c r="IR7" s="696">
        <f>('Bloom Cleaner Data'!AA7+'OPERATING LEASES'!BB7)/('Bloom Cleaner Data'!AA7+'OPERATING LEASES'!BB7+'Bloom Cleaner Data'!K7)</f>
        <v>0.18375563588209659</v>
      </c>
      <c r="IS7" s="696">
        <f>('Bloom Cleaner Data'!AB7+'OPERATING LEASES'!BC7)/('Bloom Cleaner Data'!AB7+'OPERATING LEASES'!BC7+'Bloom Cleaner Data'!L7)</f>
        <v>0.19729974692710131</v>
      </c>
      <c r="IT7" s="696">
        <f>('Bloom Cleaner Data'!AC7+'OPERATING LEASES'!BD7)/('Bloom Cleaner Data'!AC7+'OPERATING LEASES'!BD7+'Bloom Cleaner Data'!M7)</f>
        <v>0.17027869672691731</v>
      </c>
      <c r="IU7" s="696">
        <f>('Bloom Cleaner Data'!AD7+'OPERATING LEASES'!BE7)/('Bloom Cleaner Data'!AD7+'OPERATING LEASES'!BE7+'Bloom Cleaner Data'!N7)</f>
        <v>0.21812604513918368</v>
      </c>
      <c r="IV7" s="696">
        <f>('Bloom Cleaner Data'!AE7+'OPERATING LEASES'!BF7)/('Bloom Cleaner Data'!AE7+'OPERATING LEASES'!BF7+'Bloom Cleaner Data'!O7)</f>
        <v>0.18869327657203672</v>
      </c>
      <c r="IW7" s="696">
        <f>('Bloom Cleaner Data'!AF7+'OPERATING LEASES'!BG7)/('Bloom Cleaner Data'!AF7+'OPERATING LEASES'!BG7+'Bloom Cleaner Data'!P7)</f>
        <v>0.21687899743461636</v>
      </c>
      <c r="IX7" s="696">
        <f>('Bloom Cleaner Data'!AG7+'OPERATING LEASES'!BH7)/('Bloom Cleaner Data'!AG7+'OPERATING LEASES'!BH7+'Bloom Cleaner Data'!Q7)</f>
        <v>0.2203272196092004</v>
      </c>
      <c r="IY7" s="696">
        <f>('Bloom Cleaner Data'!AH7+'OPERATING LEASES'!BI7)/('Bloom Cleaner Data'!AH7+'OPERATING LEASES'!BI7+'Bloom Cleaner Data'!R7)</f>
        <v>0.28756363720088318</v>
      </c>
      <c r="IZ7" s="697"/>
      <c r="JA7" s="695">
        <f t="shared" si="72"/>
        <v>0.19702478682132593</v>
      </c>
      <c r="JB7" s="695">
        <f t="shared" si="73"/>
        <v>0.50034734616182497</v>
      </c>
      <c r="JC7" s="695">
        <f t="shared" si="39"/>
        <v>2.3186825311846848E-2</v>
      </c>
      <c r="JD7" s="695">
        <f t="shared" si="40"/>
        <v>0.13338182932260462</v>
      </c>
      <c r="JE7" s="692"/>
      <c r="JF7" s="699">
        <f t="shared" si="74"/>
        <v>0.25024787449025654</v>
      </c>
      <c r="JG7" s="700">
        <f t="shared" si="41"/>
        <v>0.18536213944248128</v>
      </c>
      <c r="JH7" s="700">
        <f t="shared" si="41"/>
        <v>0.2371104056528387</v>
      </c>
      <c r="JI7" s="700">
        <f t="shared" si="41"/>
        <v>0.18635433819491123</v>
      </c>
      <c r="JJ7" s="700">
        <f t="shared" si="41"/>
        <v>0.22752002270317084</v>
      </c>
      <c r="JK7" s="700">
        <f t="shared" si="41"/>
        <v>0.17796577272913486</v>
      </c>
      <c r="JL7" s="700">
        <f t="shared" si="41"/>
        <v>0.23950220847699055</v>
      </c>
      <c r="JM7" s="700">
        <f t="shared" si="41"/>
        <v>0.22512331350756351</v>
      </c>
      <c r="JN7" s="700">
        <f t="shared" si="41"/>
        <v>0.24579504761808413</v>
      </c>
      <c r="JO7" s="700">
        <f t="shared" si="41"/>
        <v>0.205223966234448</v>
      </c>
      <c r="JP7" s="700">
        <f t="shared" si="41"/>
        <v>0.27897852816700225</v>
      </c>
      <c r="JQ7" s="700">
        <f t="shared" si="41"/>
        <v>0.23257945623174781</v>
      </c>
      <c r="JR7" s="700">
        <f t="shared" si="41"/>
        <v>0.27694187325350006</v>
      </c>
      <c r="JS7" s="700">
        <f t="shared" si="41"/>
        <v>0.28258934408196806</v>
      </c>
      <c r="JT7" s="701">
        <f t="shared" si="41"/>
        <v>0.40363413803173109</v>
      </c>
      <c r="JU7" s="697"/>
      <c r="JV7" s="695">
        <f t="shared" si="75"/>
        <v>0.24763987806793006</v>
      </c>
      <c r="JW7" s="695">
        <f t="shared" si="76"/>
        <v>0.70230461594631732</v>
      </c>
      <c r="JX7" s="695">
        <f t="shared" si="77"/>
        <v>3.519742025563305E-2</v>
      </c>
      <c r="JY7" s="695">
        <f t="shared" si="78"/>
        <v>0.16567978274254216</v>
      </c>
      <c r="JZ7" s="692"/>
      <c r="KA7" s="697">
        <f>'Bloom Cleaner Data'!T7/'Bloom Cleaner Data'!BU7*'Bloom Cleaner Data'!DA7</f>
        <v>0.75863237006944817</v>
      </c>
      <c r="KB7" s="697">
        <f>'Bloom Cleaner Data'!U7/'Bloom Cleaner Data'!BV7*'Bloom Cleaner Data'!DB7</f>
        <v>0.5186841658370025</v>
      </c>
      <c r="KC7" s="697">
        <f>'Bloom Cleaner Data'!V7/'Bloom Cleaner Data'!BW7*'Bloom Cleaner Data'!DC7</f>
        <v>0.64572702349790123</v>
      </c>
      <c r="KD7" s="697">
        <f>'Bloom Cleaner Data'!W7/'Bloom Cleaner Data'!BX7*'Bloom Cleaner Data'!DD7</f>
        <v>0.54869437748649275</v>
      </c>
      <c r="KE7" s="697">
        <f>'Bloom Cleaner Data'!X7/'Bloom Cleaner Data'!BY7*'Bloom Cleaner Data'!DE7</f>
        <v>0.64545942186564143</v>
      </c>
      <c r="KF7" s="697">
        <f>'Bloom Cleaner Data'!Y7/'Bloom Cleaner Data'!BZ7*'Bloom Cleaner Data'!DF7</f>
        <v>0.65413578851546605</v>
      </c>
      <c r="KG7" s="697">
        <f>'Bloom Cleaner Data'!Z7/'Bloom Cleaner Data'!CA7*'Bloom Cleaner Data'!DG7</f>
        <v>0.86704265492592947</v>
      </c>
      <c r="KH7" s="697">
        <f>'Bloom Cleaner Data'!AA7/'Bloom Cleaner Data'!CB7*'Bloom Cleaner Data'!DH7</f>
        <v>0.73953559489448417</v>
      </c>
      <c r="KI7" s="697">
        <f>'Bloom Cleaner Data'!AB7/'Bloom Cleaner Data'!CC7*'Bloom Cleaner Data'!DI7</f>
        <v>0.84563509792682756</v>
      </c>
      <c r="KJ7" s="697">
        <f>'Bloom Cleaner Data'!AC7/'Bloom Cleaner Data'!CD7*'Bloom Cleaner Data'!DJ7</f>
        <v>0.73539724295006181</v>
      </c>
      <c r="KK7" s="697">
        <f>'Bloom Cleaner Data'!AD7/'Bloom Cleaner Data'!CE7*'Bloom Cleaner Data'!DK7</f>
        <v>1.0109577119233524</v>
      </c>
      <c r="KL7" s="697">
        <f>'Bloom Cleaner Data'!AE7/'Bloom Cleaner Data'!CF7*'Bloom Cleaner Data'!DL7</f>
        <v>0.88092898778447959</v>
      </c>
      <c r="KM7" s="697">
        <f>'Bloom Cleaner Data'!AF7/'Bloom Cleaner Data'!CG7*'Bloom Cleaner Data'!DM7</f>
        <v>0.94310609997894845</v>
      </c>
      <c r="KN7" s="697">
        <f>'Bloom Cleaner Data'!AG7/'Bloom Cleaner Data'!CH7*'Bloom Cleaner Data'!DN7</f>
        <v>0.89960825553836754</v>
      </c>
      <c r="KO7" s="697">
        <f>'Bloom Cleaner Data'!AH7/'Bloom Cleaner Data'!CI7*'Bloom Cleaner Data'!DO7</f>
        <v>1.1887224700140686</v>
      </c>
      <c r="KP7" s="697"/>
      <c r="KQ7" s="697">
        <f t="shared" si="79"/>
        <v>1.0104789418437949</v>
      </c>
      <c r="KR7" s="697">
        <f t="shared" si="80"/>
        <v>0.97809145332896597</v>
      </c>
      <c r="KS7" s="697">
        <f t="shared" si="81"/>
        <v>0.81576544056169398</v>
      </c>
      <c r="KT7" s="696">
        <f t="shared" si="82"/>
        <v>0.84090556342951661</v>
      </c>
      <c r="KU7" s="696"/>
      <c r="KV7" s="1695" t="s">
        <v>37</v>
      </c>
      <c r="KW7" s="698">
        <f>('Bloom Cleaner Data'!T7+'OPERATING LEASES'!AU7)/DK7</f>
        <v>0.85780357758060832</v>
      </c>
      <c r="KX7" s="698">
        <f>('Bloom Cleaner Data'!U7+'OPERATING LEASES'!AV7)/DL7</f>
        <v>0.60699163906695064</v>
      </c>
      <c r="KY7" s="698">
        <f>('Bloom Cleaner Data'!V7+'OPERATING LEASES'!AW7)/DM7</f>
        <v>0.73258608367589573</v>
      </c>
      <c r="KZ7" s="698">
        <f>('Bloom Cleaner Data'!W7+'OPERATING LEASES'!AX7)/DN7</f>
        <v>0.63774509214022523</v>
      </c>
      <c r="LA7" s="698">
        <f>('Bloom Cleaner Data'!X7+'OPERATING LEASES'!AY7)/DO7</f>
        <v>0.74671139174513146</v>
      </c>
      <c r="LB7" s="698">
        <f>('Bloom Cleaner Data'!Y7+'OPERATING LEASES'!AZ7)/DP7</f>
        <v>0.7780181563411469</v>
      </c>
      <c r="LC7" s="698">
        <f>('Bloom Cleaner Data'!Z7+'OPERATING LEASES'!BA7)/DQ7</f>
        <v>0.98612301734551489</v>
      </c>
      <c r="LD7" s="698">
        <f>('Bloom Cleaner Data'!AA7+'OPERATING LEASES'!BB7)/DR7</f>
        <v>0.8625256609875307</v>
      </c>
      <c r="LE7" s="698">
        <f>('Bloom Cleaner Data'!AB7+'OPERATING LEASES'!BC7)/DS7</f>
        <v>0.96943755578816437</v>
      </c>
      <c r="LF7" s="698">
        <f>('Bloom Cleaner Data'!AC7+'OPERATING LEASES'!BD7)/DT7</f>
        <v>0.86104856905117111</v>
      </c>
      <c r="LG7" s="698">
        <f>('Bloom Cleaner Data'!AD7+'OPERATING LEASES'!BE7)/DU7</f>
        <v>1.1345061634014335</v>
      </c>
      <c r="LH7" s="698">
        <f>('Bloom Cleaner Data'!AE7+'OPERATING LEASES'!BF7)/DV7</f>
        <v>1.00696420705061</v>
      </c>
      <c r="LI7" s="698">
        <f>('Bloom Cleaner Data'!AF7+'OPERATING LEASES'!BG7)/DW7</f>
        <v>1.0680698852526918</v>
      </c>
      <c r="LJ7" s="698">
        <f>('Bloom Cleaner Data'!AG7+'OPERATING LEASES'!BH7)/DX7</f>
        <v>1.0276122349618302</v>
      </c>
      <c r="LK7" s="698">
        <f>('Bloom Cleaner Data'!AH7+'OPERATING LEASES'!BI7)/DY7</f>
        <v>1.3109622071604587</v>
      </c>
      <c r="LL7" s="697"/>
      <c r="LM7" s="697">
        <f t="shared" si="83"/>
        <v>1.1355481091249935</v>
      </c>
      <c r="LN7" s="697">
        <f t="shared" si="84"/>
        <v>1.1034021336063975</v>
      </c>
      <c r="LO7" s="697">
        <f t="shared" si="85"/>
        <v>0.12531068027743153</v>
      </c>
      <c r="LP7" s="697">
        <f t="shared" si="86"/>
        <v>0.93248540191552354</v>
      </c>
      <c r="LQ7" s="696">
        <f t="shared" si="87"/>
        <v>0.78949919521054279</v>
      </c>
      <c r="LR7" s="697">
        <f t="shared" si="88"/>
        <v>0.11671996135382956</v>
      </c>
      <c r="LS7" s="696"/>
      <c r="LT7" s="697">
        <f t="shared" si="89"/>
        <v>0.85780357758060832</v>
      </c>
      <c r="LU7" s="697">
        <f t="shared" si="90"/>
        <v>0.60699163906695064</v>
      </c>
      <c r="LV7" s="697">
        <f t="shared" si="91"/>
        <v>0.73258608367589573</v>
      </c>
      <c r="LW7" s="697">
        <f t="shared" si="92"/>
        <v>0.63774509214022523</v>
      </c>
      <c r="LX7" s="697">
        <f t="shared" si="93"/>
        <v>0.74671139174513146</v>
      </c>
      <c r="LY7" s="697">
        <f t="shared" si="94"/>
        <v>0.7780181563411469</v>
      </c>
      <c r="LZ7" s="697">
        <f t="shared" si="95"/>
        <v>0.98612301734551489</v>
      </c>
      <c r="MA7" s="697">
        <f t="shared" si="96"/>
        <v>0.8625256609875307</v>
      </c>
      <c r="MB7" s="697">
        <f t="shared" si="97"/>
        <v>0.96943755578816437</v>
      </c>
      <c r="MC7" s="697">
        <f t="shared" si="98"/>
        <v>0.86104856905117111</v>
      </c>
      <c r="MD7" s="697">
        <f t="shared" si="99"/>
        <v>1.1345061634014335</v>
      </c>
      <c r="ME7" s="697">
        <f t="shared" si="100"/>
        <v>1.00696420705061</v>
      </c>
      <c r="MF7" s="697">
        <f t="shared" si="101"/>
        <v>1.0680698852526918</v>
      </c>
      <c r="MG7" s="697">
        <f t="shared" si="102"/>
        <v>1.0276122349618302</v>
      </c>
      <c r="MH7" s="697">
        <f t="shared" si="103"/>
        <v>1.3109622071604587</v>
      </c>
      <c r="MI7" s="697"/>
      <c r="MJ7" s="697">
        <f t="shared" si="104"/>
        <v>1.1355481091249935</v>
      </c>
      <c r="MK7" s="697">
        <f t="shared" si="105"/>
        <v>1.1034021336063975</v>
      </c>
      <c r="ML7" s="698">
        <f t="shared" si="106"/>
        <v>0.93248540191552354</v>
      </c>
      <c r="MM7" s="695">
        <f t="shared" si="107"/>
        <v>0.78949919521054279</v>
      </c>
      <c r="MN7" s="696"/>
      <c r="MO7" s="697">
        <f>('Bloom Cleaner Data'!T7+'Bloom Cleaner Data'!EY7)/'Bloom Cleaner Data'!GV7</f>
        <v>0.9002096308131563</v>
      </c>
      <c r="MP7" s="697">
        <f>('Bloom Cleaner Data'!U7+'Bloom Cleaner Data'!EZ7)/'Bloom Cleaner Data'!GW7</f>
        <v>0.74821268520670092</v>
      </c>
      <c r="MQ7" s="697">
        <f>('Bloom Cleaner Data'!V7+'Bloom Cleaner Data'!FA7)/'Bloom Cleaner Data'!GX7</f>
        <v>0.77386740559281553</v>
      </c>
      <c r="MR7" s="697">
        <f>('Bloom Cleaner Data'!W7+'Bloom Cleaner Data'!FB7)/'Bloom Cleaner Data'!GY7</f>
        <v>0.76968130751543373</v>
      </c>
      <c r="MS7" s="697">
        <f>('Bloom Cleaner Data'!X7+'Bloom Cleaner Data'!FC7)/'Bloom Cleaner Data'!GZ7</f>
        <v>0.88678355910606055</v>
      </c>
      <c r="MT7" s="697">
        <f>('Bloom Cleaner Data'!Y7+'Bloom Cleaner Data'!FD7)/'Bloom Cleaner Data'!HA7</f>
        <v>1.1218835068561059</v>
      </c>
      <c r="MU7" s="697">
        <f>('Bloom Cleaner Data'!Z7+'Bloom Cleaner Data'!FE7)/'Bloom Cleaner Data'!HB7</f>
        <v>1.1172969489132969</v>
      </c>
      <c r="MV7" s="697">
        <f>('Bloom Cleaner Data'!AA7+'Bloom Cleaner Data'!FF7)/'Bloom Cleaner Data'!HC7</f>
        <v>1.1557797315236311</v>
      </c>
      <c r="MW7" s="697">
        <f>('Bloom Cleaner Data'!AB7+'Bloom Cleaner Data'!FG7)/'Bloom Cleaner Data'!HD7</f>
        <v>1.0130875925658032</v>
      </c>
      <c r="MX7" s="697">
        <f>('Bloom Cleaner Data'!AC7+'Bloom Cleaner Data'!FH7)/'Bloom Cleaner Data'!HE7</f>
        <v>1.0063053832356712</v>
      </c>
      <c r="MY7" s="697">
        <f>('Bloom Cleaner Data'!AD7+'Bloom Cleaner Data'!FI7)/'Bloom Cleaner Data'!HF7</f>
        <v>1.1538937697846714</v>
      </c>
      <c r="MZ7" s="697">
        <f>('Bloom Cleaner Data'!AE7+'Bloom Cleaner Data'!FJ7)/'Bloom Cleaner Data'!HG7</f>
        <v>1.0821424299254903</v>
      </c>
      <c r="NA7" s="697">
        <f>('Bloom Cleaner Data'!AF7+'Bloom Cleaner Data'!FK7)/'Bloom Cleaner Data'!HH7</f>
        <v>1.0557657287168241</v>
      </c>
      <c r="NB7" s="697">
        <f>('Bloom Cleaner Data'!AG7+'Bloom Cleaner Data'!FL7)/'Bloom Cleaner Data'!HI7</f>
        <v>1.1066429423425947</v>
      </c>
      <c r="NC7" s="697">
        <f>('Bloom Cleaner Data'!AH7+'Bloom Cleaner Data'!FM7)/'Bloom Cleaner Data'!HJ7</f>
        <v>1.3135810891666253</v>
      </c>
      <c r="ND7" s="697"/>
      <c r="NE7" s="697">
        <f t="shared" si="43"/>
        <v>0.12485861915255669</v>
      </c>
      <c r="NF7" s="697">
        <f t="shared" si="108"/>
        <v>1.1586632534086814</v>
      </c>
      <c r="NG7" s="697">
        <f t="shared" si="44"/>
        <v>0.14818431156488643</v>
      </c>
      <c r="NH7" s="697">
        <f t="shared" si="109"/>
        <v>1.1395330475378835</v>
      </c>
      <c r="NI7" s="697">
        <f t="shared" si="110"/>
        <v>1.0428239534803863</v>
      </c>
      <c r="NJ7" s="696">
        <f t="shared" si="111"/>
        <v>0.6974239768637962</v>
      </c>
      <c r="NK7" s="697">
        <f t="shared" si="45"/>
        <v>0.22705851291869228</v>
      </c>
      <c r="NL7" s="2819"/>
      <c r="NM7" s="1695" t="s">
        <v>37</v>
      </c>
      <c r="NN7" s="697">
        <f>KW7+'Bloom Cleaner Data'!EY7/CALCULATIONS!DK7</f>
        <v>0.9966321865997968</v>
      </c>
      <c r="NO7" s="697">
        <f>KX7+'Bloom Cleaner Data'!EZ7/CALCULATIONS!DL7</f>
        <v>0.8328608819273422</v>
      </c>
      <c r="NP7" s="697">
        <f>KY7+'Bloom Cleaner Data'!FA7/CALCULATIONS!DM7</f>
        <v>0.85874413266825078</v>
      </c>
      <c r="NQ7" s="697">
        <f>KZ7+'Bloom Cleaner Data'!FB7/CALCULATIONS!DN7</f>
        <v>0.85541177616154984</v>
      </c>
      <c r="NR7" s="697">
        <f>LA7+'Bloom Cleaner Data'!FC7/CALCULATIONS!DO7</f>
        <v>0.98400301179507843</v>
      </c>
      <c r="NS7" s="697">
        <f>LB7+'Bloom Cleaner Data'!FD7/CALCULATIONS!DP7</f>
        <v>1.2361891838484342</v>
      </c>
      <c r="NT7" s="697">
        <f>LC7+'Bloom Cleaner Data'!FE7/CALCULATIONS!DQ7</f>
        <v>1.231272579951725</v>
      </c>
      <c r="NU7" s="697">
        <f>LD7+'Bloom Cleaner Data'!FF7/CALCULATIONS!DR7</f>
        <v>1.2701878517367673</v>
      </c>
      <c r="NV7" s="697">
        <f>LE7+'Bloom Cleaner Data'!FG7/CALCULATIONS!DS7</f>
        <v>1.1333518500487403</v>
      </c>
      <c r="NW7" s="697">
        <f>LF7+'Bloom Cleaner Data'!FH7/CALCULATIONS!DT7</f>
        <v>1.1262543371838261</v>
      </c>
      <c r="NX7" s="697">
        <f>LG7+'Bloom Cleaner Data'!FI7/CALCULATIONS!DU7</f>
        <v>1.2743407279408194</v>
      </c>
      <c r="NY7" s="697">
        <f>LH7+'Bloom Cleaner Data'!FJ7/CALCULATIONS!DV7</f>
        <v>1.2038231881979957</v>
      </c>
      <c r="NZ7" s="697">
        <f>LI7+'Bloom Cleaner Data'!FK7/CALCULATIONS!DW7</f>
        <v>1.1782860861592188</v>
      </c>
      <c r="OA7" s="697">
        <f>LJ7+'Bloom Cleaner Data'!FL7/CALCULATIONS!DX7</f>
        <v>1.2300818538032166</v>
      </c>
      <c r="OB7" s="697">
        <f>LK7+'Bloom Cleaner Data'!FM7/CALCULATIONS!DY7</f>
        <v>1.4330538995779536</v>
      </c>
      <c r="OC7" s="697"/>
      <c r="OD7" s="697">
        <f t="shared" si="46"/>
        <v>0.12209169241749485</v>
      </c>
      <c r="OE7" s="697">
        <f t="shared" si="112"/>
        <v>1.2804739465134629</v>
      </c>
      <c r="OF7" s="697">
        <f t="shared" si="47"/>
        <v>0.14492583738846943</v>
      </c>
      <c r="OG7" s="697">
        <f t="shared" si="113"/>
        <v>1.2613112569345961</v>
      </c>
      <c r="OH7" s="697">
        <f t="shared" si="114"/>
        <v>1.1550000368518134</v>
      </c>
      <c r="OI7" s="696">
        <f t="shared" si="115"/>
        <v>0.66877867930839141</v>
      </c>
      <c r="OJ7" s="697">
        <f t="shared" si="48"/>
        <v>0.22251463493628987</v>
      </c>
      <c r="OK7" s="697"/>
      <c r="OL7" s="694">
        <f>'Bloom Cleaner Data'!GF7+('Bloom Cleaner Data'!T7+'Bloom Cleaner Data'!EY7)+'Bloom Cleaner Data'!CK7</f>
        <v>4642</v>
      </c>
      <c r="OM7" s="694">
        <f>'Bloom Cleaner Data'!GG7+('Bloom Cleaner Data'!U7+'Bloom Cleaner Data'!EZ7)+'Bloom Cleaner Data'!CL7</f>
        <v>5701</v>
      </c>
      <c r="ON7" s="694">
        <f>'Bloom Cleaner Data'!GH7+('Bloom Cleaner Data'!V7+'Bloom Cleaner Data'!FA7)+'Bloom Cleaner Data'!CM7</f>
        <v>5438</v>
      </c>
      <c r="OO7" s="694">
        <f>'Bloom Cleaner Data'!GI7+('Bloom Cleaner Data'!W7+'Bloom Cleaner Data'!FB7)+'Bloom Cleaner Data'!CN7</f>
        <v>5638</v>
      </c>
      <c r="OP7" s="694">
        <f>'Bloom Cleaner Data'!GJ7+('Bloom Cleaner Data'!X7+'Bloom Cleaner Data'!FC7)+'Bloom Cleaner Data'!CO7</f>
        <v>5722.9999999999991</v>
      </c>
      <c r="OQ7" s="694">
        <f>'Bloom Cleaner Data'!GK7+('Bloom Cleaner Data'!Y7+'Bloom Cleaner Data'!FD7)+'Bloom Cleaner Data'!CP7</f>
        <v>5983</v>
      </c>
      <c r="OR7" s="694">
        <f>'Bloom Cleaner Data'!GL7+('Bloom Cleaner Data'!Z7+'Bloom Cleaner Data'!FE7)+'Bloom Cleaner Data'!CQ7</f>
        <v>5624</v>
      </c>
      <c r="OS7" s="694">
        <f>'Bloom Cleaner Data'!GM7+('Bloom Cleaner Data'!AA7+'Bloom Cleaner Data'!FF7)+'Bloom Cleaner Data'!CR7</f>
        <v>5822.0000000000009</v>
      </c>
      <c r="OT7" s="694">
        <f>'Bloom Cleaner Data'!GN7+('Bloom Cleaner Data'!AB7+'Bloom Cleaner Data'!FG7)+'Bloom Cleaner Data'!CS7</f>
        <v>5463</v>
      </c>
      <c r="OU7" s="694">
        <f>'Bloom Cleaner Data'!GO7+('Bloom Cleaner Data'!AC7+'Bloom Cleaner Data'!FH7)+'Bloom Cleaner Data'!CT7</f>
        <v>5651</v>
      </c>
      <c r="OV7" s="694">
        <f>'Bloom Cleaner Data'!GP7+('Bloom Cleaner Data'!AD7+'Bloom Cleaner Data'!FI7)+'Bloom Cleaner Data'!CU7</f>
        <v>5488</v>
      </c>
      <c r="OW7" s="694">
        <f>'Bloom Cleaner Data'!GQ7+('Bloom Cleaner Data'!AE7+'Bloom Cleaner Data'!FJ7)+'Bloom Cleaner Data'!CV7</f>
        <v>5546</v>
      </c>
      <c r="OX7" s="694">
        <f>'Bloom Cleaner Data'!GR7+('Bloom Cleaner Data'!AF7+'Bloom Cleaner Data'!FK7)+'Bloom Cleaner Data'!CW7</f>
        <v>5332</v>
      </c>
      <c r="OY7" s="694">
        <f>'Bloom Cleaner Data'!GS7+('Bloom Cleaner Data'!AG7+'Bloom Cleaner Data'!FL7)+'Bloom Cleaner Data'!CX7</f>
        <v>5443</v>
      </c>
      <c r="OZ7" s="694">
        <f>'Bloom Cleaner Data'!GT7+('Bloom Cleaner Data'!AH7+'Bloom Cleaner Data'!FM7)+'Bloom Cleaner Data'!CY7</f>
        <v>5355</v>
      </c>
      <c r="PA7" s="705"/>
      <c r="PB7" s="1695" t="s">
        <v>37</v>
      </c>
      <c r="PC7" s="1220">
        <f>('Bloom Cleaner Data'!T7+'Bloom Cleaner Data'!EY7+'OPERATING LEASES'!BL7)/CALCULATIONS!OL7</f>
        <v>0.46476272542623254</v>
      </c>
      <c r="PD7" s="1220">
        <f>('Bloom Cleaner Data'!U7+'Bloom Cleaner Data'!EZ7+'OPERATING LEASES'!BM7)/CALCULATIONS!OM7</f>
        <v>0.37328585837071188</v>
      </c>
      <c r="PE7" s="1220">
        <f>('Bloom Cleaner Data'!V7+'Bloom Cleaner Data'!FA7+'OPERATING LEASES'!BN7)/CALCULATIONS!ON7</f>
        <v>0.40451945305521991</v>
      </c>
      <c r="PF7" s="1220">
        <f>('Bloom Cleaner Data'!W7+'Bloom Cleaner Data'!FB7+'OPERATING LEASES'!BO7)/CALCULATIONS!OO7</f>
        <v>0.38745138220240205</v>
      </c>
      <c r="PG7" s="1220">
        <f>('Bloom Cleaner Data'!X7+'Bloom Cleaner Data'!FC7+'OPERATING LEASES'!BP7)/CALCULATIONS!OP7</f>
        <v>0.38216407478595149</v>
      </c>
      <c r="PH7" s="1220">
        <f>('Bloom Cleaner Data'!Y7+'Bloom Cleaner Data'!FD7+'OPERATING LEASES'!BQ7)/CALCULATIONS!OQ7</f>
        <v>0.37609163463145578</v>
      </c>
      <c r="PI7" s="1220">
        <f>('Bloom Cleaner Data'!Z7+'Bloom Cleaner Data'!FE7+'OPERATING LEASES'!BR7)/CALCULATIONS!OR7</f>
        <v>0.40028227240398295</v>
      </c>
      <c r="PJ7" s="1220">
        <f>('Bloom Cleaner Data'!AA7+'Bloom Cleaner Data'!FF7+'OPERATING LEASES'!BS7)/CALCULATIONS!OS7</f>
        <v>0.39577786843009272</v>
      </c>
      <c r="PK7" s="1220">
        <f>('Bloom Cleaner Data'!AB7+'Bloom Cleaner Data'!FG7+'OPERATING LEASES'!BT7)/CALCULATIONS!OT7</f>
        <v>0.36193483434010615</v>
      </c>
      <c r="PL7" s="1220">
        <f>('Bloom Cleaner Data'!AC7+'Bloom Cleaner Data'!FH7+'OPERATING LEASES'!BU7)/CALCULATIONS!OU7</f>
        <v>0.34575738807290746</v>
      </c>
      <c r="PM7" s="1220">
        <f>('Bloom Cleaner Data'!AD7+'Bloom Cleaner Data'!FI7+'OPERATING LEASES'!BV7)/CALCULATIONS!OV7</f>
        <v>0.39130830903790087</v>
      </c>
      <c r="PN7" s="1220">
        <f>('Bloom Cleaner Data'!AE7+'Bloom Cleaner Data'!FJ7+'OPERATING LEASES'!BW7)/CALCULATIONS!OW7</f>
        <v>0.36118373602596465</v>
      </c>
      <c r="PO7" s="1220">
        <f>('Bloom Cleaner Data'!AF7+'Bloom Cleaner Data'!FK7+'OPERATING LEASES'!BX7)/CALCULATIONS!OX7</f>
        <v>0.3624812453113278</v>
      </c>
      <c r="PP7" s="1220">
        <f>('Bloom Cleaner Data'!AG7+'Bloom Cleaner Data'!FL7+'OPERATING LEASES'!BY7)/CALCULATIONS!OY7</f>
        <v>0.36574499356972257</v>
      </c>
      <c r="PQ7" s="1220">
        <f>('Bloom Cleaner Data'!AH7+'Bloom Cleaner Data'!FM7+'OPERATING LEASES'!BZ7)/CALCULATIONS!OZ7</f>
        <v>0.4376750700280112</v>
      </c>
      <c r="PR7" s="1220"/>
      <c r="PS7" s="696">
        <f t="shared" si="116"/>
        <v>0.38863376963635382</v>
      </c>
      <c r="PT7" s="696">
        <f t="shared" si="117"/>
        <v>0.38177126123375654</v>
      </c>
      <c r="PU7" s="696">
        <f t="shared" si="118"/>
        <v>0.38249017399192664</v>
      </c>
      <c r="PV7" s="695">
        <f t="shared" si="119"/>
        <v>8.1962972911132914E-2</v>
      </c>
      <c r="PW7" s="695"/>
      <c r="PX7" s="698">
        <f>'Bloom Cleaner Data'!D7/'Bloom Cleaner Data'!GF7</f>
        <v>3.2477845879556257</v>
      </c>
      <c r="PY7" s="698">
        <f>'Bloom Cleaner Data'!E7/'Bloom Cleaner Data'!GG7</f>
        <v>2.7319808316130936</v>
      </c>
      <c r="PZ7" s="698">
        <f>'Bloom Cleaner Data'!F7/'Bloom Cleaner Data'!GH7</f>
        <v>2.8571949673202619</v>
      </c>
      <c r="QA7" s="698">
        <f>'Bloom Cleaner Data'!G7/'Bloom Cleaner Data'!GI7</f>
        <v>2.9596587389041931</v>
      </c>
      <c r="QB7" s="698">
        <f>'Bloom Cleaner Data'!H7/'Bloom Cleaner Data'!GJ7</f>
        <v>2.4168915020945541</v>
      </c>
      <c r="QC7" s="698">
        <f>'Bloom Cleaner Data'!I7/'Bloom Cleaner Data'!GK7</f>
        <v>2.483861786319955</v>
      </c>
      <c r="QD7" s="698">
        <f>'Bloom Cleaner Data'!J7/'Bloom Cleaner Data'!GL7</f>
        <v>2.6193210144927535</v>
      </c>
      <c r="QE7" s="698">
        <f>'Bloom Cleaner Data'!K7/'Bloom Cleaner Data'!GM7</f>
        <v>2.3133936877076411</v>
      </c>
      <c r="QF7" s="698">
        <f>'Bloom Cleaner Data'!L7/'Bloom Cleaner Data'!GN7</f>
        <v>2.3318617201695941</v>
      </c>
      <c r="QG7" s="698">
        <f>'Bloom Cleaner Data'!M7/'Bloom Cleaner Data'!GO7</f>
        <v>2.3212222222222221</v>
      </c>
      <c r="QH7" s="698">
        <f>'Bloom Cleaner Data'!N7/'Bloom Cleaner Data'!GP7</f>
        <v>2.4111672172808132</v>
      </c>
      <c r="QI7" s="698">
        <f>'Bloom Cleaner Data'!O7/'Bloom Cleaner Data'!GQ7</f>
        <v>2.4005681818181817</v>
      </c>
      <c r="QJ7" s="698">
        <f>'Bloom Cleaner Data'!P7/'Bloom Cleaner Data'!GR7</f>
        <v>2.190372668112798</v>
      </c>
      <c r="QK7" s="698">
        <f>'Bloom Cleaner Data'!Q7/'Bloom Cleaner Data'!GS7</f>
        <v>2.0016824427480917</v>
      </c>
      <c r="QL7" s="698">
        <f>'Bloom Cleaner Data'!R7/'Bloom Cleaner Data'!GT7</f>
        <v>2.0327505931612002</v>
      </c>
      <c r="QM7" s="698"/>
      <c r="QN7" s="698">
        <f t="shared" si="120"/>
        <v>2.4107651340270966</v>
      </c>
      <c r="QO7" s="695">
        <f t="shared" si="121"/>
        <v>-0.28855026821368823</v>
      </c>
      <c r="QP7" s="698">
        <f t="shared" si="122"/>
        <v>2.5467276195831428</v>
      </c>
      <c r="QQ7" s="696"/>
      <c r="QR7" s="698">
        <f>'Bloom Cleaner Data'!GF7/CALCULATIONS!DK7</f>
        <v>1.0554319553145532</v>
      </c>
      <c r="QS7" s="698">
        <f>'Bloom Cleaner Data'!GG7/CALCULATIONS!DL7</f>
        <v>1.1986269210322189</v>
      </c>
      <c r="QT7" s="698">
        <f>'Bloom Cleaner Data'!GH7/CALCULATIONS!DM7</f>
        <v>1.0813547056487569</v>
      </c>
      <c r="QU7" s="698">
        <f>'Bloom Cleaner Data'!GI7/CALCULATIONS!DN7</f>
        <v>1.1562878970693782</v>
      </c>
      <c r="QV7" s="698">
        <f>'Bloom Cleaner Data'!GJ7/CALCULATIONS!DO7</f>
        <v>1.3579256750118545</v>
      </c>
      <c r="QW7" s="698">
        <f>'Bloom Cleaner Data'!GK7/CALCULATIONS!DP7</f>
        <v>1.7600533065372237</v>
      </c>
      <c r="QX7" s="698">
        <f>'Bloom Cleaner Data'!GL7/CALCULATIONS!DQ7</f>
        <v>1.571928710529517</v>
      </c>
      <c r="QY7" s="698">
        <f>'Bloom Cleaner Data'!GM7/CALCULATIONS!DR7</f>
        <v>1.6561589123567142</v>
      </c>
      <c r="QZ7" s="698">
        <f>'Bloom Cleaner Data'!GN7/CALCULATIONS!DS7</f>
        <v>1.6913906239013168</v>
      </c>
      <c r="RA7" s="698">
        <f>'Bloom Cleaner Data'!GO7/CALCULATIONS!DT7</f>
        <v>1.8075189245546004</v>
      </c>
      <c r="RB7" s="698">
        <f>'Bloom Cleaner Data'!GP7/CALCULATIONS!DU7</f>
        <v>1.686587008314125</v>
      </c>
      <c r="RC7" s="698">
        <f>'Bloom Cleaner Data'!GQ7/CALCULATIONS!DV7</f>
        <v>1.8035518711146783</v>
      </c>
      <c r="RD7" s="698">
        <f>'Bloom Cleaner Data'!GR7/CALCULATIONS!DW7</f>
        <v>1.7607310907196194</v>
      </c>
      <c r="RE7" s="698">
        <f>'Bloom Cleaner Data'!GS7/CALCULATIONS!DX7</f>
        <v>1.816679456727508</v>
      </c>
      <c r="RF7" s="698">
        <f>'Bloom Cleaner Data'!GT7/CALCULATIONS!DY7</f>
        <v>1.5977844313631977</v>
      </c>
      <c r="RG7" s="698"/>
      <c r="RH7" s="698">
        <f t="shared" si="123"/>
        <v>1.595996354911422</v>
      </c>
      <c r="RI7" s="698">
        <f t="shared" si="124"/>
        <v>1.7102590032868088</v>
      </c>
      <c r="RJ7" s="696"/>
      <c r="RK7" s="698">
        <f>'Bloom Cleaner Data'!GF7/($RK$1*DK7+(1-$RK$1)*'Bloom Cleaner Data'!GV7)</f>
        <v>1.0554319553145532</v>
      </c>
      <c r="RL7" s="698">
        <f>'Bloom Cleaner Data'!GG7/($RK$1*DL7+(1-$RK$1)*'Bloom Cleaner Data'!GW7)</f>
        <v>1.1986269210322189</v>
      </c>
      <c r="RM7" s="698">
        <f>'Bloom Cleaner Data'!GH7/($RK$1*DM7+(1-$RK$1)*'Bloom Cleaner Data'!GX7)</f>
        <v>1.0813547056487569</v>
      </c>
      <c r="RN7" s="698">
        <f>'Bloom Cleaner Data'!GI7/($RK$1*DN7+(1-$RK$1)*'Bloom Cleaner Data'!GY7)</f>
        <v>1.1562878970693782</v>
      </c>
      <c r="RO7" s="698">
        <f>'Bloom Cleaner Data'!GJ7/($RK$1*DO7+(1-$RK$1)*'Bloom Cleaner Data'!GZ7)</f>
        <v>1.3579256750118545</v>
      </c>
      <c r="RP7" s="698">
        <f>'Bloom Cleaner Data'!GK7/($RK$1*DP7+(1-$RK$1)*'Bloom Cleaner Data'!HA7)</f>
        <v>1.7600533065372237</v>
      </c>
      <c r="RQ7" s="698">
        <f>'Bloom Cleaner Data'!GL7/($RK$1*DQ7+(1-$RK$1)*'Bloom Cleaner Data'!HB7)</f>
        <v>1.571928710529517</v>
      </c>
      <c r="RR7" s="698">
        <f>'Bloom Cleaner Data'!GM7/($RK$1*DR7+(1-$RK$1)*'Bloom Cleaner Data'!HC7)</f>
        <v>1.6561589123567142</v>
      </c>
      <c r="RS7" s="698">
        <f>'Bloom Cleaner Data'!GN7/($RK$1*DS7+(1-$RK$1)*'Bloom Cleaner Data'!HD7)</f>
        <v>1.6913906239013168</v>
      </c>
      <c r="RT7" s="698">
        <f>'Bloom Cleaner Data'!GO7/($RK$1*DT7+(1-$RK$1)*'Bloom Cleaner Data'!HE7)</f>
        <v>1.8075189245546004</v>
      </c>
      <c r="RU7" s="698">
        <f>'Bloom Cleaner Data'!GP7/($RK$1*DU7+(1-$RK$1)*'Bloom Cleaner Data'!HF7)</f>
        <v>1.686587008314125</v>
      </c>
      <c r="RV7" s="698">
        <f>'Bloom Cleaner Data'!GQ7/($RK$1*DV7+(1-$RK$1)*'Bloom Cleaner Data'!HG7)</f>
        <v>1.8035518711146783</v>
      </c>
      <c r="RW7" s="698">
        <f>'Bloom Cleaner Data'!GR7/($RK$1*DW7+(1-$RK$1)*'Bloom Cleaner Data'!HH7)</f>
        <v>1.7607310907196194</v>
      </c>
      <c r="RX7" s="698">
        <f>'Bloom Cleaner Data'!GS7/($RK$1*DX7+(1-$RK$1)*'Bloom Cleaner Data'!HI7)</f>
        <v>1.816679456727508</v>
      </c>
      <c r="RY7" s="698">
        <f>'Bloom Cleaner Data'!GT7/($RK$1*DY7+(1-$RK$1)*'Bloom Cleaner Data'!HJ7)</f>
        <v>1.5977844313631977</v>
      </c>
      <c r="RZ7" s="698"/>
      <c r="SA7" s="698">
        <f t="shared" si="125"/>
        <v>1.595996354911422</v>
      </c>
      <c r="SB7" s="698">
        <f t="shared" si="126"/>
        <v>1.7102590032868088</v>
      </c>
      <c r="SC7" s="696"/>
      <c r="SD7" s="697">
        <f>'Bloom Cleaner Data'!HM7</f>
        <v>6.6604999999999999</v>
      </c>
      <c r="SE7" s="697">
        <f>'Bloom Cleaner Data'!HN7</f>
        <v>6.1635</v>
      </c>
      <c r="SF7" s="697">
        <f>'Bloom Cleaner Data'!HO7</f>
        <v>7.3255999999999997</v>
      </c>
      <c r="SG7" s="697">
        <f>'Bloom Cleaner Data'!HP7</f>
        <v>6.8700999999999999</v>
      </c>
      <c r="SH7" s="697">
        <f>'Bloom Cleaner Data'!HQ7</f>
        <v>7.0331000000000001</v>
      </c>
      <c r="SI7" s="697">
        <f>'Bloom Cleaner Data'!HR7</f>
        <v>7.5785</v>
      </c>
      <c r="SJ7" s="697">
        <f>'Bloom Cleaner Data'!HS7</f>
        <v>8.8399000000000001</v>
      </c>
      <c r="SK7" s="697">
        <f>'Bloom Cleaner Data'!HT7</f>
        <v>9.2369000000000003</v>
      </c>
      <c r="SL7" s="697">
        <f>'Bloom Cleaner Data'!HU7</f>
        <v>8.2431999999999999</v>
      </c>
      <c r="SM7" s="697">
        <f>'Bloom Cleaner Data'!HV7</f>
        <v>8.3777000000000008</v>
      </c>
      <c r="SN7" s="697">
        <f>'Bloom Cleaner Data'!HW7</f>
        <v>7.2497999999999996</v>
      </c>
      <c r="SO7" s="697">
        <f>'Bloom Cleaner Data'!HX7</f>
        <v>7.9025999999999996</v>
      </c>
      <c r="SP7" s="697">
        <f>'Bloom Cleaner Data'!HY7</f>
        <v>7.1531000000000002</v>
      </c>
      <c r="SQ7" s="697">
        <f>'Bloom Cleaner Data'!HZ7</f>
        <v>6.5510000000000002</v>
      </c>
      <c r="SR7" s="697">
        <f>'Bloom Cleaner Data'!IA7</f>
        <v>6.0462999999999996</v>
      </c>
      <c r="SS7" s="697"/>
      <c r="ST7" s="697">
        <f t="shared" si="127"/>
        <v>7.4154533333333319</v>
      </c>
      <c r="SU7" s="702">
        <f t="shared" si="128"/>
        <v>-0.17463415965927709</v>
      </c>
      <c r="SV7" s="697">
        <f t="shared" si="129"/>
        <v>-1.2793000000000001</v>
      </c>
    </row>
    <row r="8" spans="1:518">
      <c r="A8" s="690" t="s">
        <v>319</v>
      </c>
      <c r="B8" s="2673"/>
      <c r="C8" s="1370" t="s">
        <v>751</v>
      </c>
      <c r="D8" s="1134" t="s">
        <v>1038</v>
      </c>
      <c r="E8" s="693"/>
      <c r="F8" s="693"/>
      <c r="G8" s="694">
        <f>'Bloom Cleaner Data'!D8</f>
        <v>2874.3904000000002</v>
      </c>
      <c r="H8" s="694">
        <f>'Bloom Cleaner Data'!F8</f>
        <v>2618.6714999999999</v>
      </c>
      <c r="I8" s="694">
        <f>'Bloom Cleaner Data'!H8</f>
        <v>2911.2991999999999</v>
      </c>
      <c r="J8" s="694">
        <f>'Bloom Cleaner Data'!J8</f>
        <v>3143.5549999999998</v>
      </c>
      <c r="K8" s="694">
        <f>'Bloom Cleaner Data'!L8</f>
        <v>2429.9836</v>
      </c>
      <c r="L8" s="694">
        <f>'Bloom Cleaner Data'!N8</f>
        <v>1622.7898</v>
      </c>
      <c r="M8" s="694">
        <f>'Bloom Cleaner Data'!P8</f>
        <v>1163.6795</v>
      </c>
      <c r="N8" s="694">
        <f>'Bloom Cleaner Data'!R8</f>
        <v>960.23059999999998</v>
      </c>
      <c r="O8" s="694"/>
      <c r="P8" s="694">
        <f t="shared" si="0"/>
        <v>2121.4584571428572</v>
      </c>
      <c r="Q8" s="694">
        <f t="shared" si="49"/>
        <v>1248.8999666666666</v>
      </c>
      <c r="R8" s="695">
        <f t="shared" si="1"/>
        <v>-0.63331383871554725</v>
      </c>
      <c r="S8" s="1095">
        <f>R8</f>
        <v>-0.63331383871554725</v>
      </c>
      <c r="T8" s="695">
        <f t="shared" si="2"/>
        <v>-0.53153825980990832</v>
      </c>
      <c r="U8" s="695"/>
      <c r="V8" s="1278" t="s">
        <v>36</v>
      </c>
      <c r="W8" s="1239">
        <f>'Bloom Cleaner Data'!D8/'Bloom Cleaner Data'!$F8</f>
        <v>1.0976521491909161</v>
      </c>
      <c r="X8" s="1239">
        <f>'Bloom Cleaner Data'!E8/'Bloom Cleaner Data'!$F8</f>
        <v>1.0488260745954583</v>
      </c>
      <c r="Y8" s="1239">
        <f>'Bloom Cleaner Data'!F8/'Bloom Cleaner Data'!$F8</f>
        <v>1</v>
      </c>
      <c r="Z8" s="1239">
        <f>'Bloom Cleaner Data'!G8/'Bloom Cleaner Data'!$F8</f>
        <v>1.0558733120973747</v>
      </c>
      <c r="AA8" s="1239">
        <f>'Bloom Cleaner Data'!H8/'Bloom Cleaner Data'!$F8</f>
        <v>1.1117466241947491</v>
      </c>
      <c r="AB8" s="1239">
        <f>'Bloom Cleaner Data'!I8/'Bloom Cleaner Data'!$F8</f>
        <v>1.1560927363359628</v>
      </c>
      <c r="AC8" s="1239">
        <f>'Bloom Cleaner Data'!J8/'Bloom Cleaner Data'!$F8</f>
        <v>1.2004388484771762</v>
      </c>
      <c r="AD8" s="1239">
        <f>'Bloom Cleaner Data'!K8/'Bloom Cleaner Data'!$F8</f>
        <v>1.0641920149205428</v>
      </c>
      <c r="AE8" s="1239">
        <f>'Bloom Cleaner Data'!L8/'Bloom Cleaner Data'!$F8</f>
        <v>0.92794518136390913</v>
      </c>
      <c r="AF8" s="1239">
        <f>'Bloom Cleaner Data'!M8/'Bloom Cleaner Data'!$F8</f>
        <v>0.77382241338785718</v>
      </c>
      <c r="AG8" s="1239">
        <f>'Bloom Cleaner Data'!N8/'Bloom Cleaner Data'!$F8</f>
        <v>0.61969964541180522</v>
      </c>
      <c r="AH8" s="1239">
        <f>'Bloom Cleaner Data'!O8/'Bloom Cleaner Data'!$F8</f>
        <v>0.53203872650693296</v>
      </c>
      <c r="AI8" s="1239">
        <f>'Bloom Cleaner Data'!P8/'Bloom Cleaner Data'!$F8</f>
        <v>0.4443778076020608</v>
      </c>
      <c r="AJ8" s="1239">
        <f>'Bloom Cleaner Data'!Q8/'Bloom Cleaner Data'!$F8</f>
        <v>0.40553198444325683</v>
      </c>
      <c r="AK8" s="1239">
        <f>'Bloom Cleaner Data'!R8/'Bloom Cleaner Data'!$F8</f>
        <v>0.36668616128445281</v>
      </c>
      <c r="AL8" s="694"/>
      <c r="AM8" s="694">
        <f>AVERAGE('Bloom Cleaner Data'!BW8:CI8)</f>
        <v>2503.091180769231</v>
      </c>
      <c r="AN8" s="696">
        <f>('Bloom Cleaner Data'!CI8-'Bloom Cleaner Data'!BW8)/'Bloom Cleaner Data'!BW8</f>
        <v>-0.51288558222765523</v>
      </c>
      <c r="AO8" s="696">
        <f>('Bloom Cleaner Data'!CI8+'Bloom Cleaner Data'!CH8-'Bloom Cleaner Data'!BW8-'Bloom Cleaner Data'!BV8)/('Bloom Cleaner Data'!BW8+'Bloom Cleaner Data'!BV8)</f>
        <v>-0.51144797283872656</v>
      </c>
      <c r="AP8" s="694"/>
      <c r="AQ8" s="694">
        <f>'Bloom Cleaner Data'!BW8</f>
        <v>2941.6714999999999</v>
      </c>
      <c r="AR8" s="694">
        <f>'Bloom Cleaner Data'!BY8</f>
        <v>3199.1442000000002</v>
      </c>
      <c r="AS8" s="694">
        <f>'Bloom Cleaner Data'!CA8</f>
        <v>3465.9549999999999</v>
      </c>
      <c r="AT8" s="694">
        <f>'Bloom Cleaner Data'!CC8</f>
        <v>2734.5086000000001</v>
      </c>
      <c r="AU8" s="694">
        <f>'Bloom Cleaner Data'!CE8</f>
        <v>2031.8897999999999</v>
      </c>
      <c r="AV8" s="694">
        <f>'Bloom Cleaner Data'!CG8</f>
        <v>1557.6434999999999</v>
      </c>
      <c r="AW8" s="694">
        <f>'Bloom Cleaner Data'!CI8</f>
        <v>1432.9305999999999</v>
      </c>
      <c r="AX8" s="694"/>
      <c r="AY8" s="694">
        <f t="shared" si="3"/>
        <v>2480.5347428571436</v>
      </c>
      <c r="AZ8" s="695">
        <f t="shared" si="4"/>
        <v>-0.51288558222765523</v>
      </c>
      <c r="BA8" s="695"/>
      <c r="BB8" s="694">
        <f>'Bloom Cleaner Data'!T8+'OPERATING LEASES'!AU8</f>
        <v>621.68373061864008</v>
      </c>
      <c r="BC8" s="694">
        <f>'Bloom Cleaner Data'!U8+'OPERATING LEASES'!AV8</f>
        <v>649.83847863794358</v>
      </c>
      <c r="BD8" s="694">
        <f>'Bloom Cleaner Data'!V8+'OPERATING LEASES'!AW8</f>
        <v>677.99322665724708</v>
      </c>
      <c r="BE8" s="694">
        <f>'Bloom Cleaner Data'!W8+'OPERATING LEASES'!AX8</f>
        <v>671.03397467655054</v>
      </c>
      <c r="BF8" s="694">
        <f>'Bloom Cleaner Data'!X8+'OPERATING LEASES'!AY8</f>
        <v>664.07472269585412</v>
      </c>
      <c r="BG8" s="694">
        <f>'Bloom Cleaner Data'!Y8+'OPERATING LEASES'!AZ8</f>
        <v>675.92027670459106</v>
      </c>
      <c r="BH8" s="694">
        <f>'Bloom Cleaner Data'!Z8+'OPERATING LEASES'!BA8</f>
        <v>687.76583071332789</v>
      </c>
      <c r="BI8" s="694">
        <f>'Bloom Cleaner Data'!AA8+'OPERATING LEASES'!BB8</f>
        <v>673.39638472206479</v>
      </c>
      <c r="BJ8" s="694">
        <f>'Bloom Cleaner Data'!AB8+'OPERATING LEASES'!BC8</f>
        <v>659.0269387308017</v>
      </c>
      <c r="BK8" s="694">
        <f>'Bloom Cleaner Data'!AC8+'OPERATING LEASES'!BD8</f>
        <v>705.8934085802116</v>
      </c>
      <c r="BL8" s="694">
        <f>'Bloom Cleaner Data'!AD8+'OPERATING LEASES'!BE8</f>
        <v>752.75987842962149</v>
      </c>
      <c r="BM8" s="694">
        <f>'Bloom Cleaner Data'!AE8+'OPERATING LEASES'!BF8</f>
        <v>739.77084827903127</v>
      </c>
      <c r="BN8" s="694">
        <f>'Bloom Cleaner Data'!AF8+'OPERATING LEASES'!BG8</f>
        <v>726.78181812844105</v>
      </c>
      <c r="BO8" s="694">
        <f>'Bloom Cleaner Data'!AG8+'OPERATING LEASES'!BH8</f>
        <v>766.1498181284411</v>
      </c>
      <c r="BP8" s="694">
        <f>'Bloom Cleaner Data'!AH8+'OPERATING LEASES'!BI8</f>
        <v>805.51781812844115</v>
      </c>
      <c r="BQ8" s="694"/>
      <c r="BR8" s="1100">
        <f t="shared" si="50"/>
        <v>708.16038035189422</v>
      </c>
      <c r="BS8" s="695">
        <f t="shared" si="51"/>
        <v>0.18809124701722557</v>
      </c>
      <c r="BT8" s="695"/>
      <c r="BU8" s="694">
        <f>'Bloom Cleaner Data'!BU8+'OPERATING LEASES'!AU8</f>
        <v>3496.0741306186401</v>
      </c>
      <c r="BV8" s="694">
        <f>'Bloom Cleaner Data'!BV8+'OPERATING LEASES'!AV8</f>
        <v>3396.3694286379437</v>
      </c>
      <c r="BW8" s="694">
        <f>'Bloom Cleaner Data'!BW8+'OPERATING LEASES'!AW8</f>
        <v>3296.6647266572472</v>
      </c>
      <c r="BX8" s="694">
        <f>'Bloom Cleaner Data'!BX8+'OPERATING LEASES'!AX8</f>
        <v>3436.0193246765507</v>
      </c>
      <c r="BY8" s="694">
        <f>'Bloom Cleaner Data'!BY8+'OPERATING LEASES'!AY8</f>
        <v>3575.3739226958542</v>
      </c>
      <c r="BZ8" s="694">
        <f>'Bloom Cleaner Data'!BZ8+'OPERATING LEASES'!AZ8</f>
        <v>3703.3473767045912</v>
      </c>
      <c r="CA8" s="694">
        <f>'Bloom Cleaner Data'!CA8+'OPERATING LEASES'!BA8</f>
        <v>3831.3208307133277</v>
      </c>
      <c r="CB8" s="694">
        <f>'Bloom Cleaner Data'!CB8+'OPERATING LEASES'!BB8</f>
        <v>3460.1656847220647</v>
      </c>
      <c r="CC8" s="694">
        <f>'Bloom Cleaner Data'!CC8+'OPERATING LEASES'!BC8</f>
        <v>3089.0105387308017</v>
      </c>
      <c r="CD8" s="694">
        <f>'Bloom Cleaner Data'!CD8+'OPERATING LEASES'!BD8</f>
        <v>2732.2801085802116</v>
      </c>
      <c r="CE8" s="694">
        <f>'Bloom Cleaner Data'!CE8+'OPERATING LEASES'!BE8</f>
        <v>2375.5496784296215</v>
      </c>
      <c r="CF8" s="694">
        <f>'Bloom Cleaner Data'!CF8+'OPERATING LEASES'!BF8</f>
        <v>2133.0054982790311</v>
      </c>
      <c r="CG8" s="694">
        <f>'Bloom Cleaner Data'!CG8+'OPERATING LEASES'!BG8</f>
        <v>1890.461318128441</v>
      </c>
      <c r="CH8" s="694">
        <f>'Bloom Cleaner Data'!CH8+'OPERATING LEASES'!BH8</f>
        <v>1828.104868128441</v>
      </c>
      <c r="CI8" s="694">
        <f>'Bloom Cleaner Data'!CI8+'OPERATING LEASES'!BI8</f>
        <v>1765.748418128441</v>
      </c>
      <c r="CJ8" s="694"/>
      <c r="CK8" s="1100">
        <f t="shared" si="52"/>
        <v>2855.1578688134332</v>
      </c>
      <c r="CL8" s="695">
        <f t="shared" si="53"/>
        <v>-0.46438338001120455</v>
      </c>
      <c r="CM8" s="696">
        <f t="shared" si="54"/>
        <v>0.14065276197250146</v>
      </c>
      <c r="CN8" s="694"/>
      <c r="CO8" s="696">
        <f>$CO$1*BU8/('Bloom Cleaner Data'!D8+'Bloom Cleaner Data'!T8+'OPERATING LEASES'!AU8)+(1-$CO$1)*'Bloom Cleaner Data'!BU8/('Bloom Cleaner Data'!D8+'Bloom Cleaner Data'!T8)-1</f>
        <v>0</v>
      </c>
      <c r="CP8" s="696">
        <f>$CO$1*BV8/('Bloom Cleaner Data'!E8+'Bloom Cleaner Data'!U8+'OPERATING LEASES'!AV8)+(1-$CO$1)*'Bloom Cleaner Data'!BV8/('Bloom Cleaner Data'!E8+'Bloom Cleaner Data'!U8)-1</f>
        <v>0</v>
      </c>
      <c r="CQ8" s="696">
        <f>$CO$1*BW8/('Bloom Cleaner Data'!F8+'Bloom Cleaner Data'!V8+'OPERATING LEASES'!AW8)+(1-$CO$1)*'Bloom Cleaner Data'!BW8/('Bloom Cleaner Data'!F8+'Bloom Cleaner Data'!V8)-1</f>
        <v>0</v>
      </c>
      <c r="CR8" s="696">
        <f>$CO$1*BX8/('Bloom Cleaner Data'!G8+'Bloom Cleaner Data'!W8+'OPERATING LEASES'!AX8)+(1-$CO$1)*'Bloom Cleaner Data'!BX8/('Bloom Cleaner Data'!G8+'Bloom Cleaner Data'!W8)-1</f>
        <v>0</v>
      </c>
      <c r="CS8" s="696">
        <f>$CO$1*BY8/('Bloom Cleaner Data'!H8+'Bloom Cleaner Data'!X8+'OPERATING LEASES'!AY8)+(1-$CO$1)*'Bloom Cleaner Data'!BY8/('Bloom Cleaner Data'!H8+'Bloom Cleaner Data'!X8)-1</f>
        <v>0</v>
      </c>
      <c r="CT8" s="696">
        <f>$CO$1*BZ8/('Bloom Cleaner Data'!I8+'Bloom Cleaner Data'!Y8+'OPERATING LEASES'!AZ8)+(1-$CO$1)*'Bloom Cleaner Data'!BZ8/('Bloom Cleaner Data'!I8+'Bloom Cleaner Data'!Y8)-1</f>
        <v>0</v>
      </c>
      <c r="CU8" s="696">
        <f>$CO$1*CA8/('Bloom Cleaner Data'!J8+'Bloom Cleaner Data'!Z8+'OPERATING LEASES'!BA8)+(1-$CO$1)*'Bloom Cleaner Data'!CA8/('Bloom Cleaner Data'!J8+'Bloom Cleaner Data'!Z8)-1</f>
        <v>0</v>
      </c>
      <c r="CV8" s="696">
        <f>$CO$1*CB8/('Bloom Cleaner Data'!K8+'Bloom Cleaner Data'!AA8+'OPERATING LEASES'!BB8)+(1-$CO$1)*'Bloom Cleaner Data'!CB8/('Bloom Cleaner Data'!K8+'Bloom Cleaner Data'!AA8)-1</f>
        <v>0</v>
      </c>
      <c r="CW8" s="696">
        <f>$CO$1*CC8/('Bloom Cleaner Data'!L8+'Bloom Cleaner Data'!AB8+'OPERATING LEASES'!BC8)+(1-$CO$1)*'Bloom Cleaner Data'!CC8/('Bloom Cleaner Data'!L8+'Bloom Cleaner Data'!AB8)-1</f>
        <v>0</v>
      </c>
      <c r="CX8" s="696">
        <f>$CO$1*CD8/('Bloom Cleaner Data'!M8+'Bloom Cleaner Data'!AC8+'OPERATING LEASES'!BD8)+(1-$CO$1)*'Bloom Cleaner Data'!CD8/('Bloom Cleaner Data'!M8+'Bloom Cleaner Data'!AC8)-1</f>
        <v>0</v>
      </c>
      <c r="CY8" s="696">
        <f>$CO$1*CE8/('Bloom Cleaner Data'!N8+'Bloom Cleaner Data'!AD8+'OPERATING LEASES'!BE8)+(1-$CO$1)*'Bloom Cleaner Data'!CE8/('Bloom Cleaner Data'!N8+'Bloom Cleaner Data'!AD8)-1</f>
        <v>0</v>
      </c>
      <c r="CZ8" s="696">
        <f>$CO$1*CF8/('Bloom Cleaner Data'!O8+'Bloom Cleaner Data'!AE8+'OPERATING LEASES'!BF8)+(1-$CO$1)*'Bloom Cleaner Data'!CF8/('Bloom Cleaner Data'!O8+'Bloom Cleaner Data'!AE8)-1</f>
        <v>0</v>
      </c>
      <c r="DA8" s="696">
        <f>$CO$1*CG8/('Bloom Cleaner Data'!P8+'Bloom Cleaner Data'!AF8+'OPERATING LEASES'!BG8)+(1-$CO$1)*'Bloom Cleaner Data'!CG8/('Bloom Cleaner Data'!P8+'Bloom Cleaner Data'!AF8)-1</f>
        <v>0</v>
      </c>
      <c r="DB8" s="696">
        <f>$CO$1*CH8/('Bloom Cleaner Data'!Q8+'Bloom Cleaner Data'!AG8+'OPERATING LEASES'!BH8)+(1-$CO$1)*'Bloom Cleaner Data'!CH8/('Bloom Cleaner Data'!Q8+'Bloom Cleaner Data'!AG8)-1</f>
        <v>0</v>
      </c>
      <c r="DC8" s="696">
        <f>$CO$1*CI8/('Bloom Cleaner Data'!R8+'Bloom Cleaner Data'!AH8+'OPERATING LEASES'!BI8)+(1-$CO$1)*'Bloom Cleaner Data'!CI8/('Bloom Cleaner Data'!R8+'Bloom Cleaner Data'!AH8)-1</f>
        <v>0</v>
      </c>
      <c r="DD8" s="696"/>
      <c r="DE8" s="696">
        <f t="shared" si="55"/>
        <v>0</v>
      </c>
      <c r="DF8" s="694"/>
      <c r="DG8" s="2204">
        <f>AVERAGE('Bloom Cleaner Data'!GX8:HJ8)</f>
        <v>517.93876086341709</v>
      </c>
      <c r="DH8" s="2205">
        <f>('Bloom Cleaner Data'!HJ8-'Bloom Cleaner Data'!GX8)/'Bloom Cleaner Data'!GX8</f>
        <v>-0.25438426261348018</v>
      </c>
      <c r="DI8" s="2205">
        <f>('Bloom Cleaner Data'!HJ8+'Bloom Cleaner Data'!HI8-'Bloom Cleaner Data'!GX8-'Bloom Cleaner Data'!GW8)/('Bloom Cleaner Data'!GX8+'Bloom Cleaner Data'!GW8)</f>
        <v>-0.22405114665014861</v>
      </c>
      <c r="DJ8" s="694"/>
      <c r="DK8" s="694">
        <f>'Bloom Cleaner Data'!GV8+'OPERATING LEASES'!BL8</f>
        <v>627.07190221074711</v>
      </c>
      <c r="DL8" s="694">
        <f>'Bloom Cleaner Data'!GW8+'OPERATING LEASES'!BM8</f>
        <v>628.4064756666636</v>
      </c>
      <c r="DM8" s="694">
        <f>'Bloom Cleaner Data'!GX8+'OPERATING LEASES'!BN8</f>
        <v>629.86588020934289</v>
      </c>
      <c r="DN8" s="694">
        <f>'Bloom Cleaner Data'!GY8+'OPERATING LEASES'!BO8</f>
        <v>618.24836257336551</v>
      </c>
      <c r="DO8" s="694">
        <f>'Bloom Cleaner Data'!GZ8+'OPERATING LEASES'!BP8</f>
        <v>607.94522716748145</v>
      </c>
      <c r="DP8" s="694">
        <f>'Bloom Cleaner Data'!HA8+'OPERATING LEASES'!BQ8</f>
        <v>601.36683478611531</v>
      </c>
      <c r="DQ8" s="694">
        <f>'Bloom Cleaner Data'!HB8+'OPERATING LEASES'!BR8</f>
        <v>595.33393222442896</v>
      </c>
      <c r="DR8" s="694">
        <f>'Bloom Cleaner Data'!HC8+'OPERATING LEASES'!BS8</f>
        <v>591.05359959149905</v>
      </c>
      <c r="DS8" s="694">
        <f>'Bloom Cleaner Data'!HD8+'OPERATING LEASES'!BT8</f>
        <v>585.91934928081264</v>
      </c>
      <c r="DT8" s="694">
        <f>'Bloom Cleaner Data'!HE8+'OPERATING LEASES'!BU8</f>
        <v>576.62650703586962</v>
      </c>
      <c r="DU8" s="694">
        <f>'Bloom Cleaner Data'!HF8+'OPERATING LEASES'!BV8</f>
        <v>564.66456917209621</v>
      </c>
      <c r="DV8" s="694">
        <f>'Bloom Cleaner Data'!HG8+'OPERATING LEASES'!BW8</f>
        <v>557.81172553257954</v>
      </c>
      <c r="DW8" s="694">
        <f>'Bloom Cleaner Data'!HH8+'OPERATING LEASES'!BX8</f>
        <v>549.18446869449372</v>
      </c>
      <c r="DX8" s="694">
        <f>'Bloom Cleaner Data'!HI8+'OPERATING LEASES'!BY8</f>
        <v>513.58562708486636</v>
      </c>
      <c r="DY8" s="694">
        <f>'Bloom Cleaner Data'!HJ8+'OPERATING LEASES'!BZ8</f>
        <v>480.28512037146925</v>
      </c>
      <c r="DZ8" s="694"/>
      <c r="EA8" s="1100">
        <f t="shared" si="56"/>
        <v>574.76086182495533</v>
      </c>
      <c r="EB8" s="695">
        <f t="shared" si="57"/>
        <v>-0.23748033436603808</v>
      </c>
      <c r="EC8" s="696">
        <f t="shared" si="58"/>
        <v>0.1097081455475824</v>
      </c>
      <c r="ED8" s="696">
        <f>(AVERAGE(DV8:DY8)-AVERAGE('Bloom Cleaner Data'!HG8:HJ8))/AVERAGE('Bloom Cleaner Data'!HG8:HJ8)</f>
        <v>0.11738859798000174</v>
      </c>
      <c r="EE8" s="704"/>
      <c r="EF8" s="3979">
        <f>'Bloom Cleaner Data'!DT8</f>
        <v>1.8109999999999999</v>
      </c>
      <c r="EG8" s="3979">
        <f>'Bloom Cleaner Data'!DX8</f>
        <v>2.0808</v>
      </c>
      <c r="EH8" s="3979">
        <f>'Bloom Cleaner Data'!EB8</f>
        <v>1.2387999999999999</v>
      </c>
      <c r="EI8" s="3979">
        <f>'Bloom Cleaner Data'!EF8</f>
        <v>0.89280000000000004</v>
      </c>
      <c r="EJ8" s="3979"/>
      <c r="EK8" s="3979">
        <f>AVERAGE('Bloom Cleaner Data'!DT8:EF8)</f>
        <v>1.5173461538461537</v>
      </c>
      <c r="EL8" s="2205">
        <f t="shared" si="5"/>
        <v>-0.50701270016565425</v>
      </c>
      <c r="EM8" s="694"/>
      <c r="EN8" s="697">
        <f>'Bloom Cleaner Data'!DA8</f>
        <v>5.5773000000000001</v>
      </c>
      <c r="EO8" s="697">
        <f>'Bloom Cleaner Data'!DB8</f>
        <v>5.36815</v>
      </c>
      <c r="EP8" s="697">
        <f>'Bloom Cleaner Data'!DC8</f>
        <v>5.1589999999999998</v>
      </c>
      <c r="EQ8" s="697">
        <f>'Bloom Cleaner Data'!DD8</f>
        <v>5.4947499999999998</v>
      </c>
      <c r="ER8" s="697">
        <f>'Bloom Cleaner Data'!DE8</f>
        <v>5.8304999999999998</v>
      </c>
      <c r="ES8" s="697">
        <f>'Bloom Cleaner Data'!DF8</f>
        <v>6.1376499999999998</v>
      </c>
      <c r="ET8" s="697">
        <f>'Bloom Cleaner Data'!DG8</f>
        <v>6.4447999999999999</v>
      </c>
      <c r="EU8" s="697">
        <f>'Bloom Cleaner Data'!DH8</f>
        <v>5.8017000000000003</v>
      </c>
      <c r="EV8" s="697">
        <f>'Bloom Cleaner Data'!DI8</f>
        <v>5.1585999999999999</v>
      </c>
      <c r="EW8" s="697">
        <f>'Bloom Cleaner Data'!DJ8</f>
        <v>4.5745500000000003</v>
      </c>
      <c r="EX8" s="697">
        <f>'Bloom Cleaner Data'!DK8</f>
        <v>3.9904999999999999</v>
      </c>
      <c r="EY8" s="697">
        <f>'Bloom Cleaner Data'!DL8</f>
        <v>3.57165</v>
      </c>
      <c r="EZ8" s="697">
        <f>'Bloom Cleaner Data'!DM8</f>
        <v>3.1528</v>
      </c>
      <c r="FA8" s="697">
        <f>'Bloom Cleaner Data'!DN8</f>
        <v>3.2616000000000001</v>
      </c>
      <c r="FB8" s="697">
        <f>'Bloom Cleaner Data'!DO8</f>
        <v>3.3704000000000001</v>
      </c>
      <c r="FC8" s="697"/>
      <c r="FD8" s="697">
        <f t="shared" si="59"/>
        <v>4.7652692307692304</v>
      </c>
      <c r="FE8" s="696">
        <f t="shared" si="6"/>
        <v>-0.34669509594882725</v>
      </c>
      <c r="FF8" s="697">
        <f t="shared" si="60"/>
        <v>4.5464249999999993</v>
      </c>
      <c r="FG8" s="1220"/>
      <c r="FH8" s="697">
        <f>('Bloom Cleaner Data'!BU8+'OPERATING LEASES'!AU8)/DK8</f>
        <v>5.5752364574033733</v>
      </c>
      <c r="FI8" s="697">
        <f>('Bloom Cleaner Data'!BV8+'OPERATING LEASES'!AV8)/DL8</f>
        <v>5.4047333376614315</v>
      </c>
      <c r="FJ8" s="697">
        <f>('Bloom Cleaner Data'!BW8+'OPERATING LEASES'!AW8)/DM8</f>
        <v>5.2339153941178145</v>
      </c>
      <c r="FK8" s="697">
        <f>('Bloom Cleaner Data'!BX8+'OPERATING LEASES'!AX8)/DN8</f>
        <v>5.5576682975344065</v>
      </c>
      <c r="FL8" s="697">
        <f>('Bloom Cleaner Data'!BY8+'OPERATING LEASES'!AY8)/DO8</f>
        <v>5.8810790231121963</v>
      </c>
      <c r="FM8" s="697">
        <f>('Bloom Cleaner Data'!BZ8+'OPERATING LEASES'!AZ8)/DP8</f>
        <v>6.1582168528162011</v>
      </c>
      <c r="FN8" s="697">
        <f>('Bloom Cleaner Data'!CA8+'OPERATING LEASES'!BA8)/DQ8</f>
        <v>6.4355828272677673</v>
      </c>
      <c r="FO8" s="697">
        <f>('Bloom Cleaner Data'!CB8+'OPERATING LEASES'!BB8)/DR8</f>
        <v>5.8542333336833154</v>
      </c>
      <c r="FP8" s="697">
        <f>('Bloom Cleaner Data'!CC8+'OPERATING LEASES'!BC8)/DS8</f>
        <v>5.2720746336887681</v>
      </c>
      <c r="FQ8" s="697">
        <f>('Bloom Cleaner Data'!CD8+'OPERATING LEASES'!BD8)/DT8</f>
        <v>4.7383879777317404</v>
      </c>
      <c r="FR8" s="697">
        <f>('Bloom Cleaner Data'!CE8+'OPERATING LEASES'!BE8)/DU8</f>
        <v>4.207010335202404</v>
      </c>
      <c r="FS8" s="697">
        <f>('Bloom Cleaner Data'!CF8+'OPERATING LEASES'!BF8)/DV8</f>
        <v>3.8238807121569747</v>
      </c>
      <c r="FT8" s="697">
        <f>('Bloom Cleaner Data'!CG8+'OPERATING LEASES'!BG8)/DW8</f>
        <v>3.442306594398771</v>
      </c>
      <c r="FU8" s="697">
        <f>('Bloom Cleaner Data'!CH8+'OPERATING LEASES'!BH8)/DX8</f>
        <v>3.5594938248269159</v>
      </c>
      <c r="FV8" s="697">
        <f>('Bloom Cleaner Data'!CI8+'OPERATING LEASES'!BI8)/DY8</f>
        <v>3.6764587184436395</v>
      </c>
      <c r="FW8" s="697"/>
      <c r="FX8" s="698">
        <f t="shared" si="61"/>
        <v>4.9107929634600707</v>
      </c>
      <c r="FY8" s="695">
        <f t="shared" si="62"/>
        <v>-0.2975700901517318</v>
      </c>
      <c r="FZ8" s="697">
        <f t="shared" si="7"/>
        <v>0.14552373269084029</v>
      </c>
      <c r="GA8" s="697">
        <f t="shared" si="63"/>
        <v>4.7167645810216499</v>
      </c>
      <c r="GB8" s="697">
        <f t="shared" si="64"/>
        <v>0.17033958102165059</v>
      </c>
      <c r="GC8" s="697">
        <f t="shared" si="8"/>
        <v>0.27244003700574115</v>
      </c>
      <c r="GD8" s="694"/>
      <c r="GE8" s="697">
        <f t="shared" si="9"/>
        <v>5.5752364574033733</v>
      </c>
      <c r="GF8" s="697">
        <f t="shared" si="10"/>
        <v>5.4047333376614315</v>
      </c>
      <c r="GG8" s="697">
        <f t="shared" si="11"/>
        <v>5.2339153941178145</v>
      </c>
      <c r="GH8" s="697">
        <f t="shared" si="12"/>
        <v>5.5576682975344065</v>
      </c>
      <c r="GI8" s="697">
        <f t="shared" si="13"/>
        <v>5.8810790231121963</v>
      </c>
      <c r="GJ8" s="697">
        <f t="shared" si="14"/>
        <v>6.1582168528162011</v>
      </c>
      <c r="GK8" s="697">
        <f t="shared" si="15"/>
        <v>6.4355828272677673</v>
      </c>
      <c r="GL8" s="697">
        <f t="shared" si="16"/>
        <v>5.8542333336833154</v>
      </c>
      <c r="GM8" s="697">
        <f t="shared" si="17"/>
        <v>5.2720746336887681</v>
      </c>
      <c r="GN8" s="697">
        <f t="shared" si="18"/>
        <v>4.7383879777317404</v>
      </c>
      <c r="GO8" s="697">
        <f t="shared" si="19"/>
        <v>4.207010335202404</v>
      </c>
      <c r="GP8" s="697">
        <f t="shared" si="20"/>
        <v>3.8238807121569747</v>
      </c>
      <c r="GQ8" s="697">
        <f t="shared" si="21"/>
        <v>3.442306594398771</v>
      </c>
      <c r="GR8" s="697">
        <f t="shared" si="22"/>
        <v>3.5594938248269159</v>
      </c>
      <c r="GS8" s="697">
        <f t="shared" si="23"/>
        <v>3.6764587184436395</v>
      </c>
      <c r="GT8" s="697"/>
      <c r="GU8" s="697">
        <f t="shared" si="65"/>
        <v>4.988018554669714</v>
      </c>
      <c r="GV8" s="695">
        <f t="shared" si="66"/>
        <v>-0.2975700901517318</v>
      </c>
      <c r="GW8" s="698">
        <f t="shared" si="67"/>
        <v>4.7167645810216499</v>
      </c>
      <c r="GX8" s="2099"/>
      <c r="GY8" s="695">
        <f>'Bloom Cleaner Data'!T8/('Bloom Cleaner Data'!T8+'Bloom Cleaner Data'!D8)</f>
        <v>9.10493677832592E-2</v>
      </c>
      <c r="GZ8" s="695">
        <f>'Bloom Cleaner Data'!U8/('Bloom Cleaner Data'!U8+'Bloom Cleaner Data'!E8)</f>
        <v>0.1000865188336106</v>
      </c>
      <c r="HA8" s="695">
        <f>'Bloom Cleaner Data'!V8/('Bloom Cleaner Data'!V8+'Bloom Cleaner Data'!F8)</f>
        <v>0.10980151930628557</v>
      </c>
      <c r="HB8" s="695">
        <f>'Bloom Cleaner Data'!W8/('Bloom Cleaner Data'!W8+'Bloom Cleaner Data'!G8)</f>
        <v>9.9472941355331676E-2</v>
      </c>
      <c r="HC8" s="695">
        <f>'Bloom Cleaner Data'!X8/('Bloom Cleaner Data'!X8+'Bloom Cleaner Data'!H8)</f>
        <v>8.9975625356306238E-2</v>
      </c>
      <c r="HD8" s="695">
        <f>'Bloom Cleaner Data'!Y8/('Bloom Cleaner Data'!Y8+'Bloom Cleaner Data'!I8)</f>
        <v>9.1558277182131068E-2</v>
      </c>
      <c r="HE8" s="695">
        <f>'Bloom Cleaner Data'!Z8/('Bloom Cleaner Data'!Z8+'Bloom Cleaner Data'!J8)</f>
        <v>9.3019095747059605E-2</v>
      </c>
      <c r="HF8" s="695">
        <f>'Bloom Cleaner Data'!AA8/('Bloom Cleaner Data'!AA8+'Bloom Cleaner Data'!K8)</f>
        <v>0.10110937511188679</v>
      </c>
      <c r="HG8" s="695">
        <f>'Bloom Cleaner Data'!AB8/('Bloom Cleaner Data'!AB8+'Bloom Cleaner Data'!L8)</f>
        <v>0.11136370169031466</v>
      </c>
      <c r="HH8" s="695">
        <f>'Bloom Cleaner Data'!AC8/('Bloom Cleaner Data'!AC8+'Bloom Cleaner Data'!M8)</f>
        <v>0.14971996465926976</v>
      </c>
      <c r="HI8" s="695">
        <f>'Bloom Cleaner Data'!AD8/('Bloom Cleaner Data'!AD8+'Bloom Cleaner Data'!N8)</f>
        <v>0.20133965926695435</v>
      </c>
      <c r="HJ8" s="695">
        <f>'Bloom Cleaner Data'!AE8/('Bloom Cleaner Data'!AE8+'Bloom Cleaner Data'!O8)</f>
        <v>0.22372379161380118</v>
      </c>
      <c r="HK8" s="695">
        <f>'Bloom Cleaner Data'!AF8/('Bloom Cleaner Data'!AF8+'Bloom Cleaner Data'!P8)</f>
        <v>0.25292308541717023</v>
      </c>
      <c r="HL8" s="695">
        <f>'Bloom Cleaner Data'!AG8/('Bloom Cleaner Data'!AG8+'Bloom Cleaner Data'!Q8)</f>
        <v>0.28979853734438482</v>
      </c>
      <c r="HM8" s="695">
        <f>'Bloom Cleaner Data'!AH8/('Bloom Cleaner Data'!AH8+'Bloom Cleaner Data'!R8)</f>
        <v>0.32988338723452482</v>
      </c>
      <c r="HN8" s="697"/>
      <c r="HO8" s="695">
        <f t="shared" si="68"/>
        <v>0.16489915086810925</v>
      </c>
      <c r="HP8" s="695">
        <f t="shared" si="69"/>
        <v>2.0043608623878186</v>
      </c>
      <c r="HQ8" s="695"/>
      <c r="HR8" s="699">
        <f t="shared" si="24"/>
        <v>0.10016976121267313</v>
      </c>
      <c r="HS8" s="700">
        <f t="shared" si="25"/>
        <v>0.11121793475511355</v>
      </c>
      <c r="HT8" s="700">
        <f t="shared" si="26"/>
        <v>0.12334498618860748</v>
      </c>
      <c r="HU8" s="700">
        <f t="shared" si="27"/>
        <v>0.11046080226067022</v>
      </c>
      <c r="HV8" s="700">
        <f t="shared" si="28"/>
        <v>9.887166526889439E-2</v>
      </c>
      <c r="HW8" s="700">
        <f t="shared" si="29"/>
        <v>0.10078607673162469</v>
      </c>
      <c r="HX8" s="700">
        <f t="shared" si="30"/>
        <v>0.10255904541196192</v>
      </c>
      <c r="HY8" s="700">
        <f t="shared" si="31"/>
        <v>0.1124824003192514</v>
      </c>
      <c r="HZ8" s="700">
        <f t="shared" si="32"/>
        <v>0.12531977582070922</v>
      </c>
      <c r="IA8" s="700">
        <f t="shared" si="33"/>
        <v>0.17608312371967302</v>
      </c>
      <c r="IB8" s="700">
        <f t="shared" si="34"/>
        <v>0.25209672873221167</v>
      </c>
      <c r="IC8" s="700">
        <f t="shared" si="35"/>
        <v>0.28820127320261524</v>
      </c>
      <c r="ID8" s="700">
        <f t="shared" si="36"/>
        <v>0.33855026233597824</v>
      </c>
      <c r="IE8" s="700">
        <f t="shared" si="37"/>
        <v>0.40805116939742408</v>
      </c>
      <c r="IF8" s="701">
        <f t="shared" si="38"/>
        <v>0.49227758415530598</v>
      </c>
      <c r="IG8" s="697"/>
      <c r="IH8" s="695">
        <f t="shared" si="70"/>
        <v>0.20992960719576367</v>
      </c>
      <c r="II8" s="695">
        <f t="shared" si="71"/>
        <v>2.9910627854995395</v>
      </c>
      <c r="IJ8" s="695"/>
      <c r="IK8" s="696">
        <f>('Bloom Cleaner Data'!T8+'OPERATING LEASES'!AU8)/('Bloom Cleaner Data'!T8+'OPERATING LEASES'!AU8+'Bloom Cleaner Data'!D8)</f>
        <v>0.17782338342712184</v>
      </c>
      <c r="IL8" s="696">
        <f>('Bloom Cleaner Data'!U8+'OPERATING LEASES'!AV8)/('Bloom Cleaner Data'!U8+'OPERATING LEASES'!AV8+'Bloom Cleaner Data'!E8)</f>
        <v>0.19133327286441576</v>
      </c>
      <c r="IM8" s="696">
        <f>('Bloom Cleaner Data'!V8+'OPERATING LEASES'!AW8)/('Bloom Cleaner Data'!V8+'OPERATING LEASES'!AW8+'Bloom Cleaner Data'!F8)</f>
        <v>0.20566035155923143</v>
      </c>
      <c r="IN8" s="696">
        <f>('Bloom Cleaner Data'!W8+'OPERATING LEASES'!AX8)/('Bloom Cleaner Data'!W8+'OPERATING LEASES'!AX8+'Bloom Cleaner Data'!G8)</f>
        <v>0.19529400485537676</v>
      </c>
      <c r="IO8" s="696">
        <f>('Bloom Cleaner Data'!X8+'OPERATING LEASES'!AY8)/('Bloom Cleaner Data'!X8+'OPERATING LEASES'!AY8+'Bloom Cleaner Data'!H8)</f>
        <v>0.1857357403879977</v>
      </c>
      <c r="IP8" s="696">
        <f>('Bloom Cleaner Data'!Y8+'OPERATING LEASES'!AZ8)/('Bloom Cleaner Data'!Y8+'OPERATING LEASES'!AZ8+'Bloom Cleaner Data'!I8)</f>
        <v>0.18251603426575017</v>
      </c>
      <c r="IQ8" s="696">
        <f>('Bloom Cleaner Data'!Z8+'OPERATING LEASES'!BA8)/('Bloom Cleaner Data'!Z8+'OPERATING LEASES'!BA8+'Bloom Cleaner Data'!J8)</f>
        <v>0.17951141684610042</v>
      </c>
      <c r="IR8" s="696">
        <f>('Bloom Cleaner Data'!AA8+'OPERATING LEASES'!BB8)/('Bloom Cleaner Data'!AA8+'OPERATING LEASES'!BB8+'Bloom Cleaner Data'!K8)</f>
        <v>0.19461391334390823</v>
      </c>
      <c r="IS8" s="696">
        <f>('Bloom Cleaner Data'!AB8+'OPERATING LEASES'!BC8)/('Bloom Cleaner Data'!AB8+'OPERATING LEASES'!BC8+'Bloom Cleaner Data'!L8)</f>
        <v>0.21334564271236822</v>
      </c>
      <c r="IT8" s="696">
        <f>('Bloom Cleaner Data'!AC8+'OPERATING LEASES'!BD8)/('Bloom Cleaner Data'!AC8+'OPERATING LEASES'!BD8+'Bloom Cleaner Data'!M8)</f>
        <v>0.25835323631844559</v>
      </c>
      <c r="IU8" s="696">
        <f>('Bloom Cleaner Data'!AD8+'OPERATING LEASES'!BE8)/('Bloom Cleaner Data'!AD8+'OPERATING LEASES'!BE8+'Bloom Cleaner Data'!N8)</f>
        <v>0.31687818834722925</v>
      </c>
      <c r="IV8" s="696">
        <f>('Bloom Cleaner Data'!AE8+'OPERATING LEASES'!BF8)/('Bloom Cleaner Data'!AE8+'OPERATING LEASES'!BF8+'Bloom Cleaner Data'!O8)</f>
        <v>0.3468208820258078</v>
      </c>
      <c r="IW8" s="696">
        <f>('Bloom Cleaner Data'!AF8+'OPERATING LEASES'!BG8)/('Bloom Cleaner Data'!AF8+'OPERATING LEASES'!BG8+'Bloom Cleaner Data'!P8)</f>
        <v>0.38444680732634928</v>
      </c>
      <c r="IX8" s="696">
        <f>('Bloom Cleaner Data'!AG8+'OPERATING LEASES'!BH8)/('Bloom Cleaner Data'!AG8+'OPERATING LEASES'!BH8+'Bloom Cleaner Data'!Q8)</f>
        <v>0.41909511400886007</v>
      </c>
      <c r="IY8" s="696">
        <f>('Bloom Cleaner Data'!AH8+'OPERATING LEASES'!BI8)/('Bloom Cleaner Data'!AH8+'OPERATING LEASES'!BI8+'Bloom Cleaner Data'!R8)</f>
        <v>0.4561905930983241</v>
      </c>
      <c r="IZ8" s="697"/>
      <c r="JA8" s="695">
        <f t="shared" si="72"/>
        <v>0.27218937885351913</v>
      </c>
      <c r="JB8" s="695">
        <f t="shared" si="73"/>
        <v>1.2181747217666232</v>
      </c>
      <c r="JC8" s="695">
        <f t="shared" si="39"/>
        <v>0.10729022798540988</v>
      </c>
      <c r="JD8" s="695">
        <f t="shared" si="40"/>
        <v>0.65064148250965514</v>
      </c>
      <c r="JE8" s="692"/>
      <c r="JF8" s="699">
        <f t="shared" si="74"/>
        <v>0.21628367900847431</v>
      </c>
      <c r="JG8" s="700">
        <f t="shared" si="41"/>
        <v>0.23660337002135129</v>
      </c>
      <c r="JH8" s="700">
        <f t="shared" si="41"/>
        <v>0.25890732253253113</v>
      </c>
      <c r="JI8" s="700">
        <f t="shared" si="41"/>
        <v>0.2426898842977778</v>
      </c>
      <c r="JJ8" s="700">
        <f t="shared" si="41"/>
        <v>0.22810253329367661</v>
      </c>
      <c r="JK8" s="700">
        <f t="shared" si="41"/>
        <v>0.22326558307699337</v>
      </c>
      <c r="JL8" s="700">
        <f t="shared" si="41"/>
        <v>0.2187860020624191</v>
      </c>
      <c r="JM8" s="700">
        <f t="shared" si="41"/>
        <v>0.24164052069974534</v>
      </c>
      <c r="JN8" s="700">
        <f t="shared" si="41"/>
        <v>0.27120633189903082</v>
      </c>
      <c r="JO8" s="700">
        <f t="shared" si="41"/>
        <v>0.34835079038971756</v>
      </c>
      <c r="JP8" s="700">
        <f t="shared" si="41"/>
        <v>0.46386776551690273</v>
      </c>
      <c r="JQ8" s="700">
        <f t="shared" si="41"/>
        <v>0.530973621908579</v>
      </c>
      <c r="JR8" s="700">
        <f t="shared" si="41"/>
        <v>0.62455497250612479</v>
      </c>
      <c r="JS8" s="700">
        <f t="shared" si="41"/>
        <v>0.72145221036280327</v>
      </c>
      <c r="JT8" s="701">
        <f t="shared" si="41"/>
        <v>0.83887955469075981</v>
      </c>
      <c r="JU8" s="697"/>
      <c r="JV8" s="695">
        <f t="shared" si="75"/>
        <v>0.40097516101823544</v>
      </c>
      <c r="JW8" s="695">
        <f t="shared" si="76"/>
        <v>2.2400765898977482</v>
      </c>
      <c r="JX8" s="695">
        <f t="shared" si="77"/>
        <v>0.19104555382247176</v>
      </c>
      <c r="JY8" s="695">
        <f t="shared" si="78"/>
        <v>0.91004578331972896</v>
      </c>
      <c r="JZ8" s="692"/>
      <c r="KA8" s="697">
        <f>'Bloom Cleaner Data'!T8/'Bloom Cleaner Data'!BU8*'Bloom Cleaner Data'!DA8</f>
        <v>0.50780963893757158</v>
      </c>
      <c r="KB8" s="697">
        <f>'Bloom Cleaner Data'!U8/'Bloom Cleaner Data'!BV8*'Bloom Cleaner Data'!DB8</f>
        <v>0.53727944607664668</v>
      </c>
      <c r="KC8" s="697">
        <f>'Bloom Cleaner Data'!V8/'Bloom Cleaner Data'!BW8*'Bloom Cleaner Data'!DC8</f>
        <v>0.56646603810112717</v>
      </c>
      <c r="KD8" s="697">
        <f>'Bloom Cleaner Data'!W8/'Bloom Cleaner Data'!BX8*'Bloom Cleaner Data'!DD8</f>
        <v>0.54657894451220868</v>
      </c>
      <c r="KE8" s="697">
        <f>'Bloom Cleaner Data'!X8/'Bloom Cleaner Data'!BY8*'Bloom Cleaner Data'!DE8</f>
        <v>0.52460288363994345</v>
      </c>
      <c r="KF8" s="697">
        <f>'Bloom Cleaner Data'!Y8/'Bloom Cleaner Data'!BZ8*'Bloom Cleaner Data'!DF8</f>
        <v>0.56195265994690669</v>
      </c>
      <c r="KG8" s="697">
        <f>'Bloom Cleaner Data'!Z8/'Bloom Cleaner Data'!CA8*'Bloom Cleaner Data'!DG8</f>
        <v>0.59948946827064975</v>
      </c>
      <c r="KH8" s="697">
        <f>'Bloom Cleaner Data'!AA8/'Bloom Cleaner Data'!CB8*'Bloom Cleaner Data'!DH8</f>
        <v>0.58660626158663365</v>
      </c>
      <c r="KI8" s="697">
        <f>'Bloom Cleaner Data'!AB8/'Bloom Cleaner Data'!CC8*'Bloom Cleaner Data'!DI8</f>
        <v>0.57448079153965725</v>
      </c>
      <c r="KJ8" s="697">
        <f>'Bloom Cleaner Data'!AC8/'Bloom Cleaner Data'!CD8*'Bloom Cleaner Data'!DJ8</f>
        <v>0.68490146433206256</v>
      </c>
      <c r="KK8" s="697">
        <f>'Bloom Cleaner Data'!AD8/'Bloom Cleaner Data'!CE8*'Bloom Cleaner Data'!DK8</f>
        <v>0.8034459103047813</v>
      </c>
      <c r="KL8" s="697">
        <f>'Bloom Cleaner Data'!AE8/'Bloom Cleaner Data'!CF8*'Bloom Cleaner Data'!DL8</f>
        <v>0.79906308031743301</v>
      </c>
      <c r="KM8" s="697">
        <f>'Bloom Cleaner Data'!AF8/'Bloom Cleaner Data'!CG8*'Bloom Cleaner Data'!DM8</f>
        <v>0.79741590370325433</v>
      </c>
      <c r="KN8" s="697">
        <f>'Bloom Cleaner Data'!AG8/'Bloom Cleaner Data'!CH8*'Bloom Cleaner Data'!DN8</f>
        <v>0.94520690940244556</v>
      </c>
      <c r="KO8" s="697">
        <f>'Bloom Cleaner Data'!AH8/'Bloom Cleaner Data'!CI8*'Bloom Cleaner Data'!DO8</f>
        <v>1.1118389683352425</v>
      </c>
      <c r="KP8" s="697"/>
      <c r="KQ8" s="697">
        <f t="shared" si="79"/>
        <v>0.95148726048031429</v>
      </c>
      <c r="KR8" s="697">
        <f t="shared" si="80"/>
        <v>0.91338121543959394</v>
      </c>
      <c r="KS8" s="697">
        <f t="shared" si="81"/>
        <v>0.70015763723018054</v>
      </c>
      <c r="KT8" s="696">
        <f t="shared" si="82"/>
        <v>0.96276368493737274</v>
      </c>
      <c r="KU8" s="696"/>
      <c r="KV8" s="1695" t="s">
        <v>36</v>
      </c>
      <c r="KW8" s="698">
        <f>('Bloom Cleaner Data'!T8+'OPERATING LEASES'!AU8)/DK8</f>
        <v>0.99140741026170842</v>
      </c>
      <c r="KX8" s="698">
        <f>('Bloom Cleaner Data'!U8+'OPERATING LEASES'!AV8)/DL8</f>
        <v>1.0341053184541793</v>
      </c>
      <c r="KY8" s="698">
        <f>('Bloom Cleaner Data'!V8+'OPERATING LEASES'!AW8)/DM8</f>
        <v>1.0764088799855431</v>
      </c>
      <c r="KZ8" s="698">
        <f>('Bloom Cleaner Data'!W8+'OPERATING LEASES'!AX8)/DN8</f>
        <v>1.0853792994832576</v>
      </c>
      <c r="LA8" s="698">
        <f>('Bloom Cleaner Data'!X8+'OPERATING LEASES'!AY8)/DO8</f>
        <v>1.0923265666380659</v>
      </c>
      <c r="LB8" s="698">
        <f>('Bloom Cleaner Data'!Y8+'OPERATING LEASES'!AZ8)/DP8</f>
        <v>1.1239733181245217</v>
      </c>
      <c r="LC8" s="698">
        <f>('Bloom Cleaner Data'!Z8+'OPERATING LEASES'!BA8)/DQ8</f>
        <v>1.1552605915532697</v>
      </c>
      <c r="LD8" s="698">
        <f>('Bloom Cleaner Data'!AA8+'OPERATING LEASES'!BB8)/DR8</f>
        <v>1.1393152586964637</v>
      </c>
      <c r="LE8" s="698">
        <f>('Bloom Cleaner Data'!AB8+'OPERATING LEASES'!BC8)/DS8</f>
        <v>1.1247741511519036</v>
      </c>
      <c r="LF8" s="698">
        <f>('Bloom Cleaner Data'!AC8+'OPERATING LEASES'!BD8)/DT8</f>
        <v>1.2241778689794098</v>
      </c>
      <c r="LG8" s="698">
        <f>('Bloom Cleaner Data'!AD8+'OPERATING LEASES'!BE8)/DU8</f>
        <v>1.3331098133770074</v>
      </c>
      <c r="LH8" s="698">
        <f>('Bloom Cleaner Data'!AE8+'OPERATING LEASES'!BF8)/DV8</f>
        <v>1.3262016813517561</v>
      </c>
      <c r="LI8" s="698">
        <f>('Bloom Cleaner Data'!AF8+'OPERATING LEASES'!BG8)/DW8</f>
        <v>1.3233837800550459</v>
      </c>
      <c r="LJ8" s="698">
        <f>('Bloom Cleaner Data'!AG8+'OPERATING LEASES'!BH8)/DX8</f>
        <v>1.4917664703296698</v>
      </c>
      <c r="LK8" s="698">
        <f>('Bloom Cleaner Data'!AH8+'OPERATING LEASES'!BI8)/DY8</f>
        <v>1.6771658832683087</v>
      </c>
      <c r="LL8" s="697"/>
      <c r="LM8" s="697">
        <f t="shared" si="83"/>
        <v>1.4974387112176748</v>
      </c>
      <c r="LN8" s="697">
        <f t="shared" si="84"/>
        <v>1.454629453751195</v>
      </c>
      <c r="LO8" s="697">
        <f t="shared" si="85"/>
        <v>0.54124823831160107</v>
      </c>
      <c r="LP8" s="697">
        <f t="shared" si="86"/>
        <v>1.2440956586918632</v>
      </c>
      <c r="LQ8" s="696">
        <f t="shared" si="87"/>
        <v>0.5581122698382367</v>
      </c>
      <c r="LR8" s="697">
        <f t="shared" si="88"/>
        <v>0.54393802146168269</v>
      </c>
      <c r="LS8" s="696"/>
      <c r="LT8" s="697">
        <f t="shared" si="89"/>
        <v>0.99140741026170842</v>
      </c>
      <c r="LU8" s="697">
        <f t="shared" si="90"/>
        <v>1.0341053184541793</v>
      </c>
      <c r="LV8" s="697">
        <f t="shared" si="91"/>
        <v>1.0764088799855431</v>
      </c>
      <c r="LW8" s="697">
        <f t="shared" si="92"/>
        <v>1.0853792994832576</v>
      </c>
      <c r="LX8" s="697">
        <f t="shared" si="93"/>
        <v>1.0923265666380659</v>
      </c>
      <c r="LY8" s="697">
        <f t="shared" si="94"/>
        <v>1.1239733181245217</v>
      </c>
      <c r="LZ8" s="697">
        <f t="shared" si="95"/>
        <v>1.1552605915532697</v>
      </c>
      <c r="MA8" s="697">
        <f t="shared" si="96"/>
        <v>1.1393152586964637</v>
      </c>
      <c r="MB8" s="697">
        <f t="shared" si="97"/>
        <v>1.1247741511519036</v>
      </c>
      <c r="MC8" s="697">
        <f t="shared" si="98"/>
        <v>1.2241778689794098</v>
      </c>
      <c r="MD8" s="697">
        <f t="shared" si="99"/>
        <v>1.3331098133770074</v>
      </c>
      <c r="ME8" s="697">
        <f t="shared" si="100"/>
        <v>1.3262016813517561</v>
      </c>
      <c r="MF8" s="697">
        <f t="shared" si="101"/>
        <v>1.3233837800550459</v>
      </c>
      <c r="MG8" s="697">
        <f t="shared" si="102"/>
        <v>1.4917664703296698</v>
      </c>
      <c r="MH8" s="697">
        <f t="shared" si="103"/>
        <v>1.6771658832683087</v>
      </c>
      <c r="MI8" s="697"/>
      <c r="MJ8" s="697">
        <f t="shared" si="104"/>
        <v>1.4974387112176748</v>
      </c>
      <c r="MK8" s="697">
        <f t="shared" si="105"/>
        <v>1.454629453751195</v>
      </c>
      <c r="ML8" s="698">
        <f t="shared" si="106"/>
        <v>1.2440956586918632</v>
      </c>
      <c r="MM8" s="695">
        <f t="shared" si="107"/>
        <v>0.5581122698382367</v>
      </c>
      <c r="MN8" s="696"/>
      <c r="MO8" s="697">
        <f>('Bloom Cleaner Data'!T8+'Bloom Cleaner Data'!EY8)/'Bloom Cleaner Data'!GV8</f>
        <v>0.52546226156805143</v>
      </c>
      <c r="MP8" s="697">
        <f>('Bloom Cleaner Data'!U8+'Bloom Cleaner Data'!EZ8)/'Bloom Cleaner Data'!GW8</f>
        <v>0.55100677335766457</v>
      </c>
      <c r="MQ8" s="697">
        <f>('Bloom Cleaner Data'!V8+'Bloom Cleaner Data'!FA8)/'Bloom Cleaner Data'!GX8</f>
        <v>0.5762871211146452</v>
      </c>
      <c r="MR8" s="697">
        <f>('Bloom Cleaner Data'!W8+'Bloom Cleaner Data'!FB8)/'Bloom Cleaner Data'!GY8</f>
        <v>0.56318538089329073</v>
      </c>
      <c r="MS8" s="697">
        <f>('Bloom Cleaner Data'!X8+'Bloom Cleaner Data'!FC8)/'Bloom Cleaner Data'!GZ8</f>
        <v>0.5482209029527334</v>
      </c>
      <c r="MT8" s="697">
        <f>('Bloom Cleaner Data'!Y8+'Bloom Cleaner Data'!FD8)/'Bloom Cleaner Data'!HA8</f>
        <v>0.58134513520819009</v>
      </c>
      <c r="MU8" s="697">
        <f>('Bloom Cleaner Data'!Z8+'Bloom Cleaner Data'!FE8)/'Bloom Cleaner Data'!HB8</f>
        <v>0.6145510833233554</v>
      </c>
      <c r="MV8" s="697">
        <f>('Bloom Cleaner Data'!AA8+'Bloom Cleaner Data'!FF8)/'Bloom Cleaner Data'!HC8</f>
        <v>0.60084649876825336</v>
      </c>
      <c r="MW8" s="697">
        <f>('Bloom Cleaner Data'!AB8+'Bloom Cleaner Data'!FG8)/'Bloom Cleaner Data'!HD8</f>
        <v>0.58791065363626938</v>
      </c>
      <c r="MX8" s="697">
        <f>('Bloom Cleaner Data'!AC8+'Bloom Cleaner Data'!FH8)/'Bloom Cleaner Data'!HE8</f>
        <v>0.69816424707594738</v>
      </c>
      <c r="MY8" s="697">
        <f>('Bloom Cleaner Data'!AD8+'Bloom Cleaner Data'!FI8)/'Bloom Cleaner Data'!HF8</f>
        <v>0.81660427647208034</v>
      </c>
      <c r="MZ8" s="697">
        <f>('Bloom Cleaner Data'!AE8+'Bloom Cleaner Data'!FJ8)/'Bloom Cleaner Data'!HG8</f>
        <v>0.8179345904104024</v>
      </c>
      <c r="NA8" s="697">
        <f>('Bloom Cleaner Data'!AF8+'Bloom Cleaner Data'!FK8)/'Bloom Cleaner Data'!HH8</f>
        <v>0.8222433079199446</v>
      </c>
      <c r="NB8" s="697">
        <f>('Bloom Cleaner Data'!AG8+'Bloom Cleaner Data'!FL8)/'Bloom Cleaner Data'!HI8</f>
        <v>0.97134486920086682</v>
      </c>
      <c r="NC8" s="697">
        <f>('Bloom Cleaner Data'!AH8+'Bloom Cleaner Data'!FM8)/'Bloom Cleaner Data'!HJ8</f>
        <v>1.1393585704708937</v>
      </c>
      <c r="ND8" s="697"/>
      <c r="NE8" s="697">
        <f t="shared" si="43"/>
        <v>2.7519602135651189E-2</v>
      </c>
      <c r="NF8" s="697">
        <f t="shared" si="108"/>
        <v>0.97764891586390179</v>
      </c>
      <c r="NG8" s="697">
        <f t="shared" si="44"/>
        <v>2.6161655383587501E-2</v>
      </c>
      <c r="NH8" s="697">
        <f t="shared" si="109"/>
        <v>0.93772033450052683</v>
      </c>
      <c r="NI8" s="697">
        <f t="shared" si="110"/>
        <v>0.71830743364975946</v>
      </c>
      <c r="NJ8" s="696">
        <f t="shared" si="111"/>
        <v>0.9770675566498257</v>
      </c>
      <c r="NK8" s="697">
        <f t="shared" si="45"/>
        <v>1.8149796419578923E-2</v>
      </c>
      <c r="NL8" s="2819"/>
      <c r="NM8" s="1695" t="s">
        <v>36</v>
      </c>
      <c r="NN8" s="697">
        <f>KW8+'Bloom Cleaner Data'!EY8/CALCULATIONS!DK8</f>
        <v>1.0073688972374655</v>
      </c>
      <c r="NO8" s="697">
        <f>KX8+'Bloom Cleaner Data'!EZ8/CALCULATIONS!DL8</f>
        <v>1.0465248276448196</v>
      </c>
      <c r="NP8" s="697">
        <f>KY8+'Bloom Cleaner Data'!FA8/CALCULATIONS!DM8</f>
        <v>1.0852996616201012</v>
      </c>
      <c r="NQ8" s="697">
        <f>KZ8+'Bloom Cleaner Data'!FB8/CALCULATIONS!DN8</f>
        <v>1.1003886396800928</v>
      </c>
      <c r="NR8" s="697">
        <f>LA8+'Bloom Cleaner Data'!FC8/CALCULATIONS!DO8</f>
        <v>1.1136426316730332</v>
      </c>
      <c r="NS8" s="697">
        <f>LB8+'Bloom Cleaner Data'!FD8/CALCULATIONS!DP8</f>
        <v>1.1414825976373253</v>
      </c>
      <c r="NT8" s="697">
        <f>LC8+'Bloom Cleaner Data'!FE8/CALCULATIONS!DQ8</f>
        <v>1.1688664009344598</v>
      </c>
      <c r="NU8" s="697">
        <f>LD8+'Bloom Cleaner Data'!FF8/CALCULATIONS!DR8</f>
        <v>1.1521897255895834</v>
      </c>
      <c r="NV8" s="697">
        <f>LE8+'Bloom Cleaner Data'!FG8/CALCULATIONS!DS8</f>
        <v>1.1369242875294412</v>
      </c>
      <c r="NW8" s="697">
        <f>LF8+'Bloom Cleaner Data'!FH8/CALCULATIONS!DT8</f>
        <v>1.2361604953687482</v>
      </c>
      <c r="NX8" s="697">
        <f>LG8+'Bloom Cleaner Data'!FI8/CALCULATIONS!DU8</f>
        <v>1.344975264772025</v>
      </c>
      <c r="NY8" s="697">
        <f>LH8+'Bloom Cleaner Data'!FJ8/CALCULATIONS!DV8</f>
        <v>1.343202041089526</v>
      </c>
      <c r="NZ8" s="697">
        <f>LI8+'Bloom Cleaner Data'!FK8/CALCULATIONS!DW8</f>
        <v>1.345718716126997</v>
      </c>
      <c r="OA8" s="697">
        <f>LJ8+'Bloom Cleaner Data'!FL8/CALCULATIONS!DX8</f>
        <v>1.515098509561406</v>
      </c>
      <c r="OB8" s="697">
        <f>LK8+'Bloom Cleaner Data'!FM8/CALCULATIONS!DY8</f>
        <v>1.7015264130947394</v>
      </c>
      <c r="OC8" s="697"/>
      <c r="OD8" s="697">
        <f t="shared" si="46"/>
        <v>2.4360529826430666E-2</v>
      </c>
      <c r="OE8" s="697">
        <f t="shared" si="112"/>
        <v>1.5207812129277141</v>
      </c>
      <c r="OF8" s="697">
        <f t="shared" si="47"/>
        <v>2.3342501710039265E-2</v>
      </c>
      <c r="OG8" s="697">
        <f t="shared" si="113"/>
        <v>1.4763864199681669</v>
      </c>
      <c r="OH8" s="697">
        <f t="shared" si="114"/>
        <v>1.2604211834367289</v>
      </c>
      <c r="OI8" s="696">
        <f t="shared" si="115"/>
        <v>0.56779410633442406</v>
      </c>
      <c r="OJ8" s="697">
        <f t="shared" si="48"/>
        <v>1.6325524744865705E-2</v>
      </c>
      <c r="OK8" s="697"/>
      <c r="OL8" s="694">
        <f>'Bloom Cleaner Data'!GF8+('Bloom Cleaner Data'!T8+'Bloom Cleaner Data'!EY8)+'Bloom Cleaner Data'!CK8</f>
        <v>738.76300000000003</v>
      </c>
      <c r="OM8" s="694">
        <f>'Bloom Cleaner Data'!GG8+('Bloom Cleaner Data'!U8+'Bloom Cleaner Data'!EZ8)+'Bloom Cleaner Data'!CL8</f>
        <v>683.68150000000003</v>
      </c>
      <c r="ON8" s="694">
        <f>'Bloom Cleaner Data'!GH8+('Bloom Cleaner Data'!V8+'Bloom Cleaner Data'!FA8)+'Bloom Cleaner Data'!CM8</f>
        <v>628.6</v>
      </c>
      <c r="OO8" s="694">
        <f>'Bloom Cleaner Data'!GI8+('Bloom Cleaner Data'!W8+'Bloom Cleaner Data'!FB8)+'Bloom Cleaner Data'!CN8</f>
        <v>680.28700000000003</v>
      </c>
      <c r="OP8" s="694">
        <f>'Bloom Cleaner Data'!GJ8+('Bloom Cleaner Data'!X8+'Bloom Cleaner Data'!FC8)+'Bloom Cleaner Data'!CO8</f>
        <v>731.97400000000005</v>
      </c>
      <c r="OQ8" s="694">
        <f>'Bloom Cleaner Data'!GK8+('Bloom Cleaner Data'!Y8+'Bloom Cleaner Data'!FD8)+'Bloom Cleaner Data'!CP8</f>
        <v>675.83699999999999</v>
      </c>
      <c r="OR8" s="694">
        <f>'Bloom Cleaner Data'!GL8+('Bloom Cleaner Data'!Z8+'Bloom Cleaner Data'!FE8)+'Bloom Cleaner Data'!CQ8</f>
        <v>619.70000000000005</v>
      </c>
      <c r="OS8" s="694">
        <f>'Bloom Cleaner Data'!GM8+('Bloom Cleaner Data'!AA8+'Bloom Cleaner Data'!FF8)+'Bloom Cleaner Data'!CR8</f>
        <v>662.65800000000002</v>
      </c>
      <c r="OT8" s="694">
        <f>'Bloom Cleaner Data'!GN8+('Bloom Cleaner Data'!AB8+'Bloom Cleaner Data'!FG8)+'Bloom Cleaner Data'!CS8</f>
        <v>705.61599999999999</v>
      </c>
      <c r="OU8" s="694">
        <f>'Bloom Cleaner Data'!GO8+('Bloom Cleaner Data'!AC8+'Bloom Cleaner Data'!FH8)+'Bloom Cleaner Data'!CT8</f>
        <v>693.20799999999997</v>
      </c>
      <c r="OV8" s="694">
        <f>'Bloom Cleaner Data'!GP8+('Bloom Cleaner Data'!AD8+'Bloom Cleaner Data'!FI8)+'Bloom Cleaner Data'!CU8</f>
        <v>680.8</v>
      </c>
      <c r="OW8" s="694">
        <f>'Bloom Cleaner Data'!GQ8+('Bloom Cleaner Data'!AE8+'Bloom Cleaner Data'!FJ8)+'Bloom Cleaner Data'!CV8</f>
        <v>722.41450000000009</v>
      </c>
      <c r="OX8" s="694">
        <f>'Bloom Cleaner Data'!GR8+('Bloom Cleaner Data'!AF8+'Bloom Cleaner Data'!FK8)+'Bloom Cleaner Data'!CW8</f>
        <v>764.029</v>
      </c>
      <c r="OY8" s="694">
        <f>'Bloom Cleaner Data'!GS8+('Bloom Cleaner Data'!AG8+'Bloom Cleaner Data'!FL8)+'Bloom Cleaner Data'!CX8</f>
        <v>777.7645</v>
      </c>
      <c r="OZ8" s="694">
        <f>'Bloom Cleaner Data'!GT8+('Bloom Cleaner Data'!AH8+'Bloom Cleaner Data'!FM8)+'Bloom Cleaner Data'!CY8</f>
        <v>791.5</v>
      </c>
      <c r="PA8" s="705"/>
      <c r="PB8" s="1695" t="s">
        <v>36</v>
      </c>
      <c r="PC8" s="1220">
        <f>('Bloom Cleaner Data'!T8+'Bloom Cleaner Data'!EY8+'OPERATING LEASES'!BL8)/CALCULATIONS!OL8</f>
        <v>0.48460737746746929</v>
      </c>
      <c r="PD8" s="1220">
        <f>('Bloom Cleaner Data'!U8+'Bloom Cleaner Data'!EZ8+'OPERATING LEASES'!BM8)/CALCULATIONS!OM8</f>
        <v>0.54577606677963353</v>
      </c>
      <c r="PE8" s="1220">
        <f>('Bloom Cleaner Data'!V8+'Bloom Cleaner Data'!FA8+'OPERATING LEASES'!BN8)/CALCULATIONS!ON8</f>
        <v>0.61766465160674511</v>
      </c>
      <c r="PF8" s="1220">
        <f>('Bloom Cleaner Data'!W8+'Bloom Cleaner Data'!FB8+'OPERATING LEASES'!BO8)/CALCULATIONS!OO8</f>
        <v>0.55000463039864056</v>
      </c>
      <c r="PG8" s="1220">
        <f>('Bloom Cleaner Data'!X8+'Bloom Cleaner Data'!FC8+'OPERATING LEASES'!BP8)/CALCULATIONS!OP8</f>
        <v>0.49189998551861136</v>
      </c>
      <c r="PH8" s="1220">
        <f>('Bloom Cleaner Data'!Y8+'Bloom Cleaner Data'!FD8+'OPERATING LEASES'!BQ8)/CALCULATIONS!OQ8</f>
        <v>0.55346259527075314</v>
      </c>
      <c r="PI8" s="1220">
        <f>('Bloom Cleaner Data'!Z8+'Bloom Cleaner Data'!FE8+'OPERATING LEASES'!BR8)/CALCULATIONS!OR8</f>
        <v>0.62617879619170558</v>
      </c>
      <c r="PJ8" s="1220">
        <f>('Bloom Cleaner Data'!AA8+'Bloom Cleaner Data'!FF8+'OPERATING LEASES'!BS8)/CALCULATIONS!OS8</f>
        <v>0.57006706325133027</v>
      </c>
      <c r="PK8" s="1220">
        <f>('Bloom Cleaner Data'!AB8+'Bloom Cleaner Data'!FG8+'OPERATING LEASES'!BT8)/CALCULATIONS!OT8</f>
        <v>0.52078751048729055</v>
      </c>
      <c r="PL8" s="1220">
        <f>('Bloom Cleaner Data'!AC8+'Bloom Cleaner Data'!FH8+'OPERATING LEASES'!BU8)/CALCULATIONS!OU8</f>
        <v>0.60498350603282136</v>
      </c>
      <c r="PM8" s="1220">
        <f>('Bloom Cleaner Data'!AD8+'Bloom Cleaner Data'!FI8+'OPERATING LEASES'!BV8)/CALCULATIONS!OV8</f>
        <v>0.69224854950058767</v>
      </c>
      <c r="PN8" s="1220">
        <f>('Bloom Cleaner Data'!AE8+'Bloom Cleaner Data'!FJ8+'OPERATING LEASES'!BW8)/CALCULATIONS!OW8</f>
        <v>0.64550644920609979</v>
      </c>
      <c r="PO8" s="1220">
        <f>('Bloom Cleaner Data'!AF8+'Bloom Cleaner Data'!FK8+'OPERATING LEASES'!BX8)/CALCULATIONS!OX8</f>
        <v>0.60385616907211637</v>
      </c>
      <c r="PP8" s="1220">
        <f>('Bloom Cleaner Data'!AG8+'Bloom Cleaner Data'!FL8+'OPERATING LEASES'!BY8)/CALCULATIONS!OY8</f>
        <v>0.64344493095274979</v>
      </c>
      <c r="PQ8" s="1220">
        <f>('Bloom Cleaner Data'!AH8+'Bloom Cleaner Data'!FM8+'OPERATING LEASES'!BZ8)/CALCULATIONS!OZ8</f>
        <v>0.68165966519267218</v>
      </c>
      <c r="PR8" s="1220"/>
      <c r="PS8" s="696">
        <f t="shared" si="116"/>
        <v>0.64298692173917937</v>
      </c>
      <c r="PT8" s="696">
        <f t="shared" si="117"/>
        <v>0.64361680360590956</v>
      </c>
      <c r="PU8" s="696">
        <f t="shared" si="118"/>
        <v>0.60013573097554807</v>
      </c>
      <c r="PV8" s="695">
        <f t="shared" si="119"/>
        <v>0.10360802325251314</v>
      </c>
      <c r="PW8" s="695"/>
      <c r="PX8" s="698">
        <f>'Bloom Cleaner Data'!D8/'Bloom Cleaner Data'!GF8</f>
        <v>6.5204499724381675</v>
      </c>
      <c r="PY8" s="698">
        <f>'Bloom Cleaner Data'!E8/'Bloom Cleaner Data'!GG8</f>
        <v>7.4147701150201071</v>
      </c>
      <c r="PZ8" s="698">
        <f>'Bloom Cleaner Data'!F8/'Bloom Cleaner Data'!GH8</f>
        <v>8.7289049999999992</v>
      </c>
      <c r="QA8" s="698">
        <f>'Bloom Cleaner Data'!G8/'Bloom Cleaner Data'!GI8</f>
        <v>7.5631805188943737</v>
      </c>
      <c r="QB8" s="698">
        <f>'Bloom Cleaner Data'!H8/'Bloom Cleaner Data'!GJ8</f>
        <v>6.7520912864995237</v>
      </c>
      <c r="QC8" s="698">
        <f>'Bloom Cleaner Data'!I8/'Bloom Cleaner Data'!GK8</f>
        <v>8.4052003831364441</v>
      </c>
      <c r="QD8" s="698">
        <f>'Bloom Cleaner Data'!J8/'Bloom Cleaner Data'!GL8</f>
        <v>10.869830567081605</v>
      </c>
      <c r="QE8" s="698">
        <f>'Bloom Cleaner Data'!K8/'Bloom Cleaner Data'!GM8</f>
        <v>8.1583241116439194</v>
      </c>
      <c r="QF8" s="698">
        <f>'Bloom Cleaner Data'!L8/'Bloom Cleaner Data'!GN8</f>
        <v>6.1679093945762649</v>
      </c>
      <c r="QG8" s="698">
        <f>'Bloom Cleaner Data'!M8/'Bloom Cleaner Data'!GO8</f>
        <v>6.150145074449294</v>
      </c>
      <c r="QH8" s="698">
        <f>'Bloom Cleaner Data'!N8/'Bloom Cleaner Data'!GP8</f>
        <v>6.1237350943396223</v>
      </c>
      <c r="QI8" s="698">
        <f>'Bloom Cleaner Data'!O8/'Bloom Cleaner Data'!GQ8</f>
        <v>4.4741068948408715</v>
      </c>
      <c r="QJ8" s="698">
        <f>'Bloom Cleaner Data'!P8/'Bloom Cleaner Data'!GR8</f>
        <v>3.2523274240565234</v>
      </c>
      <c r="QK8" s="698">
        <f>'Bloom Cleaner Data'!Q8/'Bloom Cleaner Data'!GS8</f>
        <v>3.1943349290644143</v>
      </c>
      <c r="QL8" s="698">
        <f>'Bloom Cleaner Data'!R8/'Bloom Cleaner Data'!GT8</f>
        <v>3.126768479322696</v>
      </c>
      <c r="QM8" s="698"/>
      <c r="QN8" s="698">
        <f t="shared" si="120"/>
        <v>6.3820660890696566</v>
      </c>
      <c r="QO8" s="695">
        <f t="shared" si="121"/>
        <v>-0.6417914412721073</v>
      </c>
      <c r="QP8" s="698">
        <f t="shared" si="122"/>
        <v>5.6731945193926201</v>
      </c>
      <c r="QQ8" s="696"/>
      <c r="QR8" s="698">
        <f>'Bloom Cleaner Data'!GF8/CALCULATIONS!DK8</f>
        <v>0.70299274843261328</v>
      </c>
      <c r="QS8" s="698">
        <f>'Bloom Cleaner Data'!GG8/CALCULATIONS!DL8</f>
        <v>0.58944889071525863</v>
      </c>
      <c r="QT8" s="698">
        <f>'Bloom Cleaner Data'!GH8/CALCULATIONS!DM8</f>
        <v>0.47629187327989836</v>
      </c>
      <c r="QU8" s="698">
        <f>'Bloom Cleaner Data'!GI8/CALCULATIONS!DN8</f>
        <v>0.59132384674390026</v>
      </c>
      <c r="QV8" s="698">
        <f>'Bloom Cleaner Data'!GJ8/CALCULATIONS!DO8</f>
        <v>0.70922507609590624</v>
      </c>
      <c r="QW8" s="698">
        <f>'Bloom Cleaner Data'!GK8/CALCULATIONS!DP8</f>
        <v>0.59894390439423706</v>
      </c>
      <c r="QX8" s="698">
        <f>'Bloom Cleaner Data'!GL8/CALCULATIONS!DQ8</f>
        <v>0.48577778679508793</v>
      </c>
      <c r="QY8" s="698">
        <f>'Bloom Cleaner Data'!GM8/CALCULATIONS!DR8</f>
        <v>0.57792728144466743</v>
      </c>
      <c r="QZ8" s="698">
        <f>'Bloom Cleaner Data'!GN8/CALCULATIONS!DS8</f>
        <v>0.67239970907870061</v>
      </c>
      <c r="RA8" s="698">
        <f>'Bloom Cleaner Data'!GO8/CALCULATIONS!DT8</f>
        <v>0.57140279883023826</v>
      </c>
      <c r="RB8" s="698">
        <f>'Bloom Cleaner Data'!GP8/CALCULATIONS!DU8</f>
        <v>0.4693051671163635</v>
      </c>
      <c r="RC8" s="698">
        <f>'Bloom Cleaner Data'!GQ8/CALCULATIONS!DV8</f>
        <v>0.55825197955938699</v>
      </c>
      <c r="RD8" s="698">
        <f>'Bloom Cleaner Data'!GR8/CALCULATIONS!DW8</f>
        <v>0.65150968462482195</v>
      </c>
      <c r="RE8" s="698">
        <f>'Bloom Cleaner Data'!GS8/CALCULATIONS!DX8</f>
        <v>0.64731075495043999</v>
      </c>
      <c r="RF8" s="698">
        <f>'Bloom Cleaner Data'!GT8/CALCULATIONS!DY8</f>
        <v>0.63941185552964497</v>
      </c>
      <c r="RG8" s="698"/>
      <c r="RH8" s="698">
        <f t="shared" si="123"/>
        <v>0.58839090141871486</v>
      </c>
      <c r="RI8" s="698">
        <f t="shared" si="124"/>
        <v>0.58592189088103919</v>
      </c>
      <c r="RJ8" s="696"/>
      <c r="RK8" s="698">
        <f>'Bloom Cleaner Data'!GF8/($RK$1*DK8+(1-$RK$1)*'Bloom Cleaner Data'!GV8)</f>
        <v>0.70299274843261328</v>
      </c>
      <c r="RL8" s="698">
        <f>'Bloom Cleaner Data'!GG8/($RK$1*DL8+(1-$RK$1)*'Bloom Cleaner Data'!GW8)</f>
        <v>0.58944889071525863</v>
      </c>
      <c r="RM8" s="698">
        <f>'Bloom Cleaner Data'!GH8/($RK$1*DM8+(1-$RK$1)*'Bloom Cleaner Data'!GX8)</f>
        <v>0.47629187327989836</v>
      </c>
      <c r="RN8" s="698">
        <f>'Bloom Cleaner Data'!GI8/($RK$1*DN8+(1-$RK$1)*'Bloom Cleaner Data'!GY8)</f>
        <v>0.59132384674390026</v>
      </c>
      <c r="RO8" s="698">
        <f>'Bloom Cleaner Data'!GJ8/($RK$1*DO8+(1-$RK$1)*'Bloom Cleaner Data'!GZ8)</f>
        <v>0.70922507609590624</v>
      </c>
      <c r="RP8" s="698">
        <f>'Bloom Cleaner Data'!GK8/($RK$1*DP8+(1-$RK$1)*'Bloom Cleaner Data'!HA8)</f>
        <v>0.59894390439423706</v>
      </c>
      <c r="RQ8" s="698">
        <f>'Bloom Cleaner Data'!GL8/($RK$1*DQ8+(1-$RK$1)*'Bloom Cleaner Data'!HB8)</f>
        <v>0.48577778679508793</v>
      </c>
      <c r="RR8" s="698">
        <f>'Bloom Cleaner Data'!GM8/($RK$1*DR8+(1-$RK$1)*'Bloom Cleaner Data'!HC8)</f>
        <v>0.57792728144466743</v>
      </c>
      <c r="RS8" s="698">
        <f>'Bloom Cleaner Data'!GN8/($RK$1*DS8+(1-$RK$1)*'Bloom Cleaner Data'!HD8)</f>
        <v>0.67239970907870061</v>
      </c>
      <c r="RT8" s="698">
        <f>'Bloom Cleaner Data'!GO8/($RK$1*DT8+(1-$RK$1)*'Bloom Cleaner Data'!HE8)</f>
        <v>0.57140279883023826</v>
      </c>
      <c r="RU8" s="698">
        <f>'Bloom Cleaner Data'!GP8/($RK$1*DU8+(1-$RK$1)*'Bloom Cleaner Data'!HF8)</f>
        <v>0.4693051671163635</v>
      </c>
      <c r="RV8" s="698">
        <f>'Bloom Cleaner Data'!GQ8/($RK$1*DV8+(1-$RK$1)*'Bloom Cleaner Data'!HG8)</f>
        <v>0.55825197955938699</v>
      </c>
      <c r="RW8" s="698">
        <f>'Bloom Cleaner Data'!GR8/($RK$1*DW8+(1-$RK$1)*'Bloom Cleaner Data'!HH8)</f>
        <v>0.65150968462482195</v>
      </c>
      <c r="RX8" s="698">
        <f>'Bloom Cleaner Data'!GS8/($RK$1*DX8+(1-$RK$1)*'Bloom Cleaner Data'!HI8)</f>
        <v>0.64731075495043999</v>
      </c>
      <c r="RY8" s="698">
        <f>'Bloom Cleaner Data'!GT8/($RK$1*DY8+(1-$RK$1)*'Bloom Cleaner Data'!HJ8)</f>
        <v>0.63941185552964497</v>
      </c>
      <c r="RZ8" s="698"/>
      <c r="SA8" s="698">
        <f t="shared" si="125"/>
        <v>0.58839090141871486</v>
      </c>
      <c r="SB8" s="698">
        <f t="shared" si="126"/>
        <v>0.58592189088103919</v>
      </c>
      <c r="SC8" s="696"/>
      <c r="SD8" s="697">
        <f>'Bloom Cleaner Data'!HM8</f>
        <v>6.6317000000000004</v>
      </c>
      <c r="SE8" s="697">
        <f>'Bloom Cleaner Data'!HN8</f>
        <v>6.9982500000000005</v>
      </c>
      <c r="SF8" s="697">
        <f>'Bloom Cleaner Data'!HO8</f>
        <v>7.3647999999999998</v>
      </c>
      <c r="SG8" s="697">
        <f>'Bloom Cleaner Data'!HP8</f>
        <v>7.55905</v>
      </c>
      <c r="SH8" s="697">
        <f>'Bloom Cleaner Data'!HQ8</f>
        <v>7.7533000000000003</v>
      </c>
      <c r="SI8" s="697">
        <f>'Bloom Cleaner Data'!HR8</f>
        <v>8.3099500000000006</v>
      </c>
      <c r="SJ8" s="697">
        <f>'Bloom Cleaner Data'!HS8</f>
        <v>8.8666</v>
      </c>
      <c r="SK8" s="697">
        <f>'Bloom Cleaner Data'!HT8</f>
        <v>8.669550000000001</v>
      </c>
      <c r="SL8" s="697">
        <f>'Bloom Cleaner Data'!HU8</f>
        <v>8.4725000000000001</v>
      </c>
      <c r="SM8" s="697">
        <f>'Bloom Cleaner Data'!HV8</f>
        <v>7.9193999999999996</v>
      </c>
      <c r="SN8" s="697">
        <f>'Bloom Cleaner Data'!HW8</f>
        <v>7.3662999999999998</v>
      </c>
      <c r="SO8" s="697">
        <f>'Bloom Cleaner Data'!HX8</f>
        <v>7.12575</v>
      </c>
      <c r="SP8" s="697">
        <f>'Bloom Cleaner Data'!HY8</f>
        <v>6.8852000000000002</v>
      </c>
      <c r="SQ8" s="697">
        <f>'Bloom Cleaner Data'!HZ8</f>
        <v>6.569</v>
      </c>
      <c r="SR8" s="697">
        <f>'Bloom Cleaner Data'!IA8</f>
        <v>6.2527999999999997</v>
      </c>
      <c r="SS8" s="697"/>
      <c r="ST8" s="697">
        <f t="shared" si="127"/>
        <v>7.5162766666666654</v>
      </c>
      <c r="SU8" s="702">
        <f t="shared" si="128"/>
        <v>-0.15098848577014992</v>
      </c>
      <c r="SV8" s="697">
        <f t="shared" si="129"/>
        <v>-1.1120000000000001</v>
      </c>
    </row>
    <row r="9" spans="1:518">
      <c r="A9" s="690" t="s">
        <v>319</v>
      </c>
      <c r="B9" s="2673"/>
      <c r="C9" s="1370" t="s">
        <v>752</v>
      </c>
      <c r="D9" s="1134" t="s">
        <v>1039</v>
      </c>
      <c r="E9" s="693"/>
      <c r="F9" s="693"/>
      <c r="G9" s="694">
        <f>'Bloom Cleaner Data'!D9</f>
        <v>2227.41</v>
      </c>
      <c r="H9" s="694">
        <f>'Bloom Cleaner Data'!F9</f>
        <v>2419.8022999999998</v>
      </c>
      <c r="I9" s="694">
        <f>'Bloom Cleaner Data'!H9</f>
        <v>3314.3786</v>
      </c>
      <c r="J9" s="694">
        <f>'Bloom Cleaner Data'!J9</f>
        <v>3698.5880000000002</v>
      </c>
      <c r="K9" s="694">
        <f>'Bloom Cleaner Data'!L9</f>
        <v>3347.6120999999998</v>
      </c>
      <c r="L9" s="694">
        <f>'Bloom Cleaner Data'!N9</f>
        <v>3918.9821999999999</v>
      </c>
      <c r="M9" s="694">
        <f>'Bloom Cleaner Data'!P9</f>
        <v>4043.0142999999998</v>
      </c>
      <c r="N9" s="694">
        <f>'Bloom Cleaner Data'!R9</f>
        <v>4048.9897999999998</v>
      </c>
      <c r="O9" s="694"/>
      <c r="P9" s="694">
        <f t="shared" si="0"/>
        <v>3541.6238999999996</v>
      </c>
      <c r="Q9" s="694">
        <f t="shared" si="49"/>
        <v>4003.6620999999996</v>
      </c>
      <c r="R9" s="695">
        <f t="shared" si="1"/>
        <v>0.67327297771392325</v>
      </c>
      <c r="S9" s="1095">
        <f>R9</f>
        <v>0.67327297771392325</v>
      </c>
      <c r="T9" s="695">
        <f t="shared" si="2"/>
        <v>0.77504855661956218</v>
      </c>
      <c r="U9" s="695"/>
      <c r="V9" s="1278" t="s">
        <v>38</v>
      </c>
      <c r="W9" s="1239">
        <f>'Bloom Cleaner Data'!D9/'Bloom Cleaner Data'!$F9</f>
        <v>0.92049255428842269</v>
      </c>
      <c r="X9" s="1239">
        <f>'Bloom Cleaner Data'!E9/'Bloom Cleaner Data'!$F9</f>
        <v>1.0324871994707998</v>
      </c>
      <c r="Y9" s="1239">
        <f>'Bloom Cleaner Data'!F9/'Bloom Cleaner Data'!$F9</f>
        <v>1</v>
      </c>
      <c r="Z9" s="1239">
        <f>'Bloom Cleaner Data'!G9/'Bloom Cleaner Data'!$F9</f>
        <v>1.1389156874509956</v>
      </c>
      <c r="AA9" s="1239">
        <f>'Bloom Cleaner Data'!H9/'Bloom Cleaner Data'!$F9</f>
        <v>1.3696898296195521</v>
      </c>
      <c r="AB9" s="1239">
        <f>'Bloom Cleaner Data'!I9/'Bloom Cleaner Data'!$F9</f>
        <v>1.5451635036465585</v>
      </c>
      <c r="AC9" s="1239">
        <f>'Bloom Cleaner Data'!J9/'Bloom Cleaner Data'!$F9</f>
        <v>1.5284670156731401</v>
      </c>
      <c r="AD9" s="1239">
        <f>'Bloom Cleaner Data'!K9/'Bloom Cleaner Data'!$F9</f>
        <v>1.2906282881043631</v>
      </c>
      <c r="AE9" s="1239">
        <f>'Bloom Cleaner Data'!L9/'Bloom Cleaner Data'!$F9</f>
        <v>1.3834238028453811</v>
      </c>
      <c r="AF9" s="1239">
        <f>'Bloom Cleaner Data'!M9/'Bloom Cleaner Data'!$F9</f>
        <v>1.4578695953797549</v>
      </c>
      <c r="AG9" s="1239">
        <f>'Bloom Cleaner Data'!N9/'Bloom Cleaner Data'!$F9</f>
        <v>1.6195464398062602</v>
      </c>
      <c r="AH9" s="1239">
        <f>'Bloom Cleaner Data'!O9/'Bloom Cleaner Data'!$F9</f>
        <v>1.6313402545323641</v>
      </c>
      <c r="AI9" s="1239">
        <f>'Bloom Cleaner Data'!P9/'Bloom Cleaner Data'!$F9</f>
        <v>1.6708035611008387</v>
      </c>
      <c r="AJ9" s="1239">
        <f>'Bloom Cleaner Data'!Q9/'Bloom Cleaner Data'!$F9</f>
        <v>1.8130204273299517</v>
      </c>
      <c r="AK9" s="1239">
        <f>'Bloom Cleaner Data'!R9/'Bloom Cleaner Data'!$F9</f>
        <v>1.6732729777139232</v>
      </c>
      <c r="AL9" s="694"/>
      <c r="AM9" s="694">
        <f>AVERAGE('Bloom Cleaner Data'!BW9:CI9)</f>
        <v>6182.643138461538</v>
      </c>
      <c r="AN9" s="696">
        <f>('Bloom Cleaner Data'!CI9-'Bloom Cleaner Data'!BW9)/'Bloom Cleaner Data'!BW9</f>
        <v>0.74258786035182556</v>
      </c>
      <c r="AO9" s="696">
        <f>('Bloom Cleaner Data'!CI9+'Bloom Cleaner Data'!CH9-'Bloom Cleaner Data'!BW9-'Bloom Cleaner Data'!BV9)/('Bloom Cleaner Data'!BW9+'Bloom Cleaner Data'!BV9)</f>
        <v>0.66504312360335338</v>
      </c>
      <c r="AP9" s="694"/>
      <c r="AQ9" s="694">
        <f>'Bloom Cleaner Data'!BW9</f>
        <v>4484.3293000000003</v>
      </c>
      <c r="AR9" s="694">
        <f>'Bloom Cleaner Data'!BY9</f>
        <v>5552.4935999999998</v>
      </c>
      <c r="AS9" s="694">
        <f>'Bloom Cleaner Data'!CA9</f>
        <v>5818.09</v>
      </c>
      <c r="AT9" s="694">
        <f>'Bloom Cleaner Data'!CC9</f>
        <v>5960.5571</v>
      </c>
      <c r="AU9" s="694">
        <f>'Bloom Cleaner Data'!CE9</f>
        <v>6588.7061999999996</v>
      </c>
      <c r="AV9" s="694">
        <f>'Bloom Cleaner Data'!CG9</f>
        <v>6985.9123</v>
      </c>
      <c r="AW9" s="694">
        <f>'Bloom Cleaner Data'!CI9</f>
        <v>7814.3378000000002</v>
      </c>
      <c r="AX9" s="694"/>
      <c r="AY9" s="694">
        <f t="shared" si="3"/>
        <v>6172.0608999999995</v>
      </c>
      <c r="AZ9" s="695">
        <f t="shared" si="4"/>
        <v>0.74258786035182556</v>
      </c>
      <c r="BA9" s="695"/>
      <c r="BB9" s="694">
        <f>'Bloom Cleaner Data'!T9+'OPERATING LEASES'!AU9</f>
        <v>2250.8417498458416</v>
      </c>
      <c r="BC9" s="694">
        <f>'Bloom Cleaner Data'!U9+'OPERATING LEASES'!AV9</f>
        <v>2152.6899653770961</v>
      </c>
      <c r="BD9" s="694">
        <f>'Bloom Cleaner Data'!V9+'OPERATING LEASES'!AW9</f>
        <v>2095.3301809083496</v>
      </c>
      <c r="BE9" s="694">
        <f>'Bloom Cleaner Data'!W9+'OPERATING LEASES'!AX9</f>
        <v>2275.2163964396036</v>
      </c>
      <c r="BF9" s="694">
        <f>'Bloom Cleaner Data'!X9+'OPERATING LEASES'!AY9</f>
        <v>2272.7446119708575</v>
      </c>
      <c r="BG9" s="694">
        <f>'Bloom Cleaner Data'!Y9+'OPERATING LEASES'!AZ9</f>
        <v>2212.7999764372184</v>
      </c>
      <c r="BH9" s="694">
        <f>'Bloom Cleaner Data'!Z9+'OPERATING LEASES'!BA9</f>
        <v>2152.8723409035792</v>
      </c>
      <c r="BI9" s="694">
        <f>'Bloom Cleaner Data'!AA9+'OPERATING LEASES'!BB9</f>
        <v>2719.3407053699398</v>
      </c>
      <c r="BJ9" s="694">
        <f>'Bloom Cleaner Data'!AB9+'OPERATING LEASES'!BC9</f>
        <v>2645.047069836301</v>
      </c>
      <c r="BK9" s="694">
        <f>'Bloom Cleaner Data'!AC9+'OPERATING LEASES'!BD9</f>
        <v>2616.3549499474602</v>
      </c>
      <c r="BL9" s="694">
        <f>'Bloom Cleaner Data'!AD9+'OPERATING LEASES'!BE9</f>
        <v>2695.7988300586198</v>
      </c>
      <c r="BM9" s="694">
        <f>'Bloom Cleaner Data'!AE9+'OPERATING LEASES'!BF9</f>
        <v>3056.1427101697791</v>
      </c>
      <c r="BN9" s="694">
        <f>'Bloom Cleaner Data'!AF9+'OPERATING LEASES'!BG9</f>
        <v>2964.2185902809383</v>
      </c>
      <c r="BO9" s="694">
        <f>'Bloom Cleaner Data'!AG9+'OPERATING LEASES'!BH9</f>
        <v>2982.6865902809382</v>
      </c>
      <c r="BP9" s="694">
        <f>'Bloom Cleaner Data'!AH9+'OPERATING LEASES'!BI9</f>
        <v>3786.7345902809384</v>
      </c>
      <c r="BQ9" s="694"/>
      <c r="BR9" s="1100">
        <f t="shared" si="50"/>
        <v>2651.9451956065018</v>
      </c>
      <c r="BS9" s="695">
        <f t="shared" si="51"/>
        <v>0.80722571782903718</v>
      </c>
      <c r="BT9" s="695"/>
      <c r="BU9" s="694">
        <f>'Bloom Cleaner Data'!BU9+'OPERATING LEASES'!AU9</f>
        <v>4478.251749845841</v>
      </c>
      <c r="BV9" s="694">
        <f>'Bloom Cleaner Data'!BV9+'OPERATING LEASES'!AV9</f>
        <v>4651.1048653770958</v>
      </c>
      <c r="BW9" s="694">
        <f>'Bloom Cleaner Data'!BW9+'OPERATING LEASES'!AW9</f>
        <v>4515.1324809083499</v>
      </c>
      <c r="BX9" s="694">
        <f>'Bloom Cleaner Data'!BX9+'OPERATING LEASES'!AX9</f>
        <v>5031.1672964396039</v>
      </c>
      <c r="BY9" s="694">
        <f>'Bloom Cleaner Data'!BY9+'OPERATING LEASES'!AY9</f>
        <v>5587.1232119708575</v>
      </c>
      <c r="BZ9" s="694">
        <f>'Bloom Cleaner Data'!BZ9+'OPERATING LEASES'!AZ9</f>
        <v>5951.7901764372191</v>
      </c>
      <c r="CA9" s="694">
        <f>'Bloom Cleaner Data'!CA9+'OPERATING LEASES'!BA9</f>
        <v>5851.460340903579</v>
      </c>
      <c r="CB9" s="694">
        <f>'Bloom Cleaner Data'!CB9+'OPERATING LEASES'!BB9</f>
        <v>5842.4060053699395</v>
      </c>
      <c r="CC9" s="694">
        <f>'Bloom Cleaner Data'!CC9+'OPERATING LEASES'!BC9</f>
        <v>5992.6681698363009</v>
      </c>
      <c r="CD9" s="694">
        <f>'Bloom Cleaner Data'!CD9+'OPERATING LEASES'!BD9</f>
        <v>6147.8111499474608</v>
      </c>
      <c r="CE9" s="694">
        <f>'Bloom Cleaner Data'!CE9+'OPERATING LEASES'!BE9</f>
        <v>6618.505030058619</v>
      </c>
      <c r="CF9" s="694">
        <f>'Bloom Cleaner Data'!CF9+'OPERATING LEASES'!BF9</f>
        <v>7007.3636101697793</v>
      </c>
      <c r="CG9" s="694">
        <f>'Bloom Cleaner Data'!CG9+'OPERATING LEASES'!BG9</f>
        <v>7013.3988902809388</v>
      </c>
      <c r="CH9" s="694">
        <f>'Bloom Cleaner Data'!CH9+'OPERATING LEASES'!BH9</f>
        <v>7375.9375902809388</v>
      </c>
      <c r="CI9" s="694">
        <f>'Bloom Cleaner Data'!CI9+'OPERATING LEASES'!BI9</f>
        <v>7841.824390280939</v>
      </c>
      <c r="CJ9" s="694"/>
      <c r="CK9" s="1100">
        <f t="shared" si="52"/>
        <v>6213.5837186834251</v>
      </c>
      <c r="CL9" s="695">
        <f t="shared" si="53"/>
        <v>0.73678722018436293</v>
      </c>
      <c r="CM9" s="696">
        <f t="shared" si="54"/>
        <v>5.0044260244310693E-3</v>
      </c>
      <c r="CN9" s="694"/>
      <c r="CO9" s="696">
        <f>$CO$1*BU9/('Bloom Cleaner Data'!D9+'Bloom Cleaner Data'!T9+'OPERATING LEASES'!AU9)+(1-$CO$1)*'Bloom Cleaner Data'!BU9/('Bloom Cleaner Data'!D9+'Bloom Cleaner Data'!T9)-1</f>
        <v>0</v>
      </c>
      <c r="CP9" s="696">
        <f>$CO$1*BV9/('Bloom Cleaner Data'!E9+'Bloom Cleaner Data'!U9+'OPERATING LEASES'!AV9)+(1-$CO$1)*'Bloom Cleaner Data'!BV9/('Bloom Cleaner Data'!E9+'Bloom Cleaner Data'!U9)-1</f>
        <v>0</v>
      </c>
      <c r="CQ9" s="696">
        <f>$CO$1*BW9/('Bloom Cleaner Data'!F9+'Bloom Cleaner Data'!V9+'OPERATING LEASES'!AW9)+(1-$CO$1)*'Bloom Cleaner Data'!BW9/('Bloom Cleaner Data'!F9+'Bloom Cleaner Data'!V9)-1</f>
        <v>0</v>
      </c>
      <c r="CR9" s="696">
        <f>$CO$1*BX9/('Bloom Cleaner Data'!G9+'Bloom Cleaner Data'!W9+'OPERATING LEASES'!AX9)+(1-$CO$1)*'Bloom Cleaner Data'!BX9/('Bloom Cleaner Data'!G9+'Bloom Cleaner Data'!W9)-1</f>
        <v>1.9876103429794512E-8</v>
      </c>
      <c r="CS9" s="696">
        <f>$CO$1*BY9/('Bloom Cleaner Data'!H9+'Bloom Cleaner Data'!X9+'OPERATING LEASES'!AY9)+(1-$CO$1)*'Bloom Cleaner Data'!BY9/('Bloom Cleaner Data'!H9+'Bloom Cleaner Data'!X9)-1</f>
        <v>0</v>
      </c>
      <c r="CT9" s="696">
        <f>$CO$1*BZ9/('Bloom Cleaner Data'!I9+'Bloom Cleaner Data'!Y9+'OPERATING LEASES'!AZ9)+(1-$CO$1)*'Bloom Cleaner Data'!BZ9/('Bloom Cleaner Data'!I9+'Bloom Cleaner Data'!Y9)-1</f>
        <v>0</v>
      </c>
      <c r="CU9" s="696">
        <f>$CO$1*CA9/('Bloom Cleaner Data'!J9+'Bloom Cleaner Data'!Z9+'OPERATING LEASES'!BA9)+(1-$CO$1)*'Bloom Cleaner Data'!CA9/('Bloom Cleaner Data'!J9+'Bloom Cleaner Data'!Z9)-1</f>
        <v>0</v>
      </c>
      <c r="CV9" s="696">
        <f>$CO$1*CB9/('Bloom Cleaner Data'!K9+'Bloom Cleaner Data'!AA9+'OPERATING LEASES'!BB9)+(1-$CO$1)*'Bloom Cleaner Data'!CB9/('Bloom Cleaner Data'!K9+'Bloom Cleaner Data'!AA9)-1</f>
        <v>0</v>
      </c>
      <c r="CW9" s="696">
        <f>$CO$1*CC9/('Bloom Cleaner Data'!L9+'Bloom Cleaner Data'!AB9+'OPERATING LEASES'!BC9)+(1-$CO$1)*'Bloom Cleaner Data'!CC9/('Bloom Cleaner Data'!L9+'Bloom Cleaner Data'!AB9)-1</f>
        <v>1.5018374555086922E-6</v>
      </c>
      <c r="CX9" s="696">
        <f>$CO$1*CD9/('Bloom Cleaner Data'!M9+'Bloom Cleaner Data'!AC9+'OPERATING LEASES'!BD9)+(1-$CO$1)*'Bloom Cleaner Data'!CD9/('Bloom Cleaner Data'!M9+'Bloom Cleaner Data'!AC9)-1</f>
        <v>6.0220264733201745E-4</v>
      </c>
      <c r="CY9" s="696">
        <f>$CO$1*CE9/('Bloom Cleaner Data'!N9+'Bloom Cleaner Data'!AD9+'OPERATING LEASES'!BE9)+(1-$CO$1)*'Bloom Cleaner Data'!CE9/('Bloom Cleaner Data'!N9+'Bloom Cleaner Data'!AD9)-1</f>
        <v>5.6298159879775156E-4</v>
      </c>
      <c r="CZ9" s="696">
        <f>$CO$1*CF9/('Bloom Cleaner Data'!O9+'Bloom Cleaner Data'!AE9+'OPERATING LEASES'!BF9)+(1-$CO$1)*'Bloom Cleaner Data'!CF9/('Bloom Cleaner Data'!O9+'Bloom Cleaner Data'!AE9)-1</f>
        <v>5.2829493333006461E-4</v>
      </c>
      <c r="DA9" s="696">
        <f>$CO$1*CG9/('Bloom Cleaner Data'!P9+'Bloom Cleaner Data'!AF9+'OPERATING LEASES'!BG9)+(1-$CO$1)*'Bloom Cleaner Data'!CG9/('Bloom Cleaner Data'!P9+'Bloom Cleaner Data'!AF9)-1</f>
        <v>8.7994791903556191E-4</v>
      </c>
      <c r="DB9" s="696">
        <f>$CO$1*CH9/('Bloom Cleaner Data'!Q9+'Bloom Cleaner Data'!AG9+'OPERATING LEASES'!BH9)+(1-$CO$1)*'Bloom Cleaner Data'!CH9/('Bloom Cleaner Data'!Q9+'Bloom Cleaner Data'!AG9)-1</f>
        <v>8.2769802255144853E-4</v>
      </c>
      <c r="DC9" s="696">
        <f>$CO$1*CI9/('Bloom Cleaner Data'!R9+'Bloom Cleaner Data'!AH9+'OPERATING LEASES'!BI9)+(1-$CO$1)*'Bloom Cleaner Data'!CI9/('Bloom Cleaner Data'!R9+'Bloom Cleaner Data'!AH9)-1</f>
        <v>7.7848577823469434E-4</v>
      </c>
      <c r="DD9" s="696"/>
      <c r="DE9" s="696">
        <f t="shared" si="55"/>
        <v>3.2162558560311361E-4</v>
      </c>
      <c r="DF9" s="694"/>
      <c r="DG9" s="2204">
        <f>AVERAGE('Bloom Cleaner Data'!GX9:HJ9)</f>
        <v>706.53721311602669</v>
      </c>
      <c r="DH9" s="2205">
        <f>('Bloom Cleaner Data'!HJ9-'Bloom Cleaner Data'!GX9)/'Bloom Cleaner Data'!GX9</f>
        <v>0.38080019558250627</v>
      </c>
      <c r="DI9" s="2205">
        <f>('Bloom Cleaner Data'!HJ9+'Bloom Cleaner Data'!HI9-'Bloom Cleaner Data'!GX9-'Bloom Cleaner Data'!GW9)/('Bloom Cleaner Data'!GX9+'Bloom Cleaner Data'!GW9)</f>
        <v>0.3233382549853614</v>
      </c>
      <c r="DJ9" s="694"/>
      <c r="DK9" s="694">
        <f>'Bloom Cleaner Data'!GV9+'OPERATING LEASES'!BL9</f>
        <v>606.1291736772522</v>
      </c>
      <c r="DL9" s="694">
        <f>'Bloom Cleaner Data'!GW9+'OPERATING LEASES'!BM9</f>
        <v>619.20144666175645</v>
      </c>
      <c r="DM9" s="694">
        <f>'Bloom Cleaner Data'!GX9+'OPERATING LEASES'!BN9</f>
        <v>629.65582536751924</v>
      </c>
      <c r="DN9" s="694">
        <f>'Bloom Cleaner Data'!GY9+'OPERATING LEASES'!BO9</f>
        <v>652.92886307613674</v>
      </c>
      <c r="DO9" s="694">
        <f>'Bloom Cleaner Data'!GZ9+'OPERATING LEASES'!BP9</f>
        <v>664.63668543109168</v>
      </c>
      <c r="DP9" s="694">
        <f>'Bloom Cleaner Data'!HA9+'OPERATING LEASES'!BQ9</f>
        <v>670.52220781157052</v>
      </c>
      <c r="DQ9" s="694">
        <f>'Bloom Cleaner Data'!HB9+'OPERATING LEASES'!BR9</f>
        <v>682.18919164420026</v>
      </c>
      <c r="DR9" s="694">
        <f>'Bloom Cleaner Data'!HC9+'OPERATING LEASES'!BS9</f>
        <v>660.77131133770069</v>
      </c>
      <c r="DS9" s="694">
        <f>'Bloom Cleaner Data'!HD9+'OPERATING LEASES'!BT9</f>
        <v>684.81802064585952</v>
      </c>
      <c r="DT9" s="694">
        <f>'Bloom Cleaner Data'!HE9+'OPERATING LEASES'!BU9</f>
        <v>705.66781948779317</v>
      </c>
      <c r="DU9" s="694">
        <f>'Bloom Cleaner Data'!HF9+'OPERATING LEASES'!BV9</f>
        <v>720.66604078210469</v>
      </c>
      <c r="DV9" s="694">
        <f>'Bloom Cleaner Data'!HG9+'OPERATING LEASES'!BW9</f>
        <v>767.01131294198535</v>
      </c>
      <c r="DW9" s="694">
        <f>'Bloom Cleaner Data'!HH9+'OPERATING LEASES'!BX9</f>
        <v>773.55612309737478</v>
      </c>
      <c r="DX9" s="694">
        <f>'Bloom Cleaner Data'!HI9+'OPERATING LEASES'!BY9</f>
        <v>781.15498053643262</v>
      </c>
      <c r="DY9" s="694">
        <f>'Bloom Cleaner Data'!HJ9+'OPERATING LEASES'!BZ9</f>
        <v>866.43607584857841</v>
      </c>
      <c r="DZ9" s="694"/>
      <c r="EA9" s="1100">
        <f t="shared" si="56"/>
        <v>712.30880446218055</v>
      </c>
      <c r="EB9" s="695">
        <f t="shared" si="57"/>
        <v>0.37604710532592089</v>
      </c>
      <c r="EC9" s="696">
        <f t="shared" si="58"/>
        <v>8.1688426865720535E-3</v>
      </c>
      <c r="ED9" s="696">
        <f>(AVERAGE(DV9:DY9)-AVERAGE('Bloom Cleaner Data'!HG9:HJ9))/AVERAGE('Bloom Cleaner Data'!HG9:HJ9)</f>
        <v>6.6876532321837193E-3</v>
      </c>
      <c r="EE9" s="704"/>
      <c r="EF9" s="3979">
        <f>'Bloom Cleaner Data'!DT9</f>
        <v>3.5629</v>
      </c>
      <c r="EG9" s="3979">
        <f>'Bloom Cleaner Data'!DX9</f>
        <v>4.3735999999999997</v>
      </c>
      <c r="EH9" s="3979">
        <f>'Bloom Cleaner Data'!EB9</f>
        <v>4.5966000000000005</v>
      </c>
      <c r="EI9" s="3979">
        <f>'Bloom Cleaner Data'!EF9</f>
        <v>4.9602000000000004</v>
      </c>
      <c r="EJ9" s="3979"/>
      <c r="EK9" s="3979">
        <f>AVERAGE('Bloom Cleaner Data'!DT9:EF9)</f>
        <v>4.4188461538461548</v>
      </c>
      <c r="EL9" s="2205">
        <f t="shared" si="5"/>
        <v>0.39218052709871187</v>
      </c>
      <c r="EM9" s="694"/>
      <c r="EN9" s="697">
        <f>'Bloom Cleaner Data'!DA9</f>
        <v>7.4126000000000003</v>
      </c>
      <c r="EO9" s="697">
        <f>'Bloom Cleaner Data'!DB9</f>
        <v>7.5354000000000001</v>
      </c>
      <c r="EP9" s="697">
        <f>'Bloom Cleaner Data'!DC9</f>
        <v>7.1901000000000002</v>
      </c>
      <c r="EQ9" s="697">
        <f>'Bloom Cleaner Data'!DD9</f>
        <v>7.7282000000000002</v>
      </c>
      <c r="ER9" s="697">
        <f>'Bloom Cleaner Data'!DE9</f>
        <v>8.4344000000000001</v>
      </c>
      <c r="ES9" s="697">
        <f>'Bloom Cleaner Data'!DF9</f>
        <v>8.9080999999999992</v>
      </c>
      <c r="ET9" s="697">
        <f>'Bloom Cleaner Data'!DG9</f>
        <v>8.6053999999999995</v>
      </c>
      <c r="EU9" s="697">
        <f>'Bloom Cleaner Data'!DH9</f>
        <v>8.8725000000000005</v>
      </c>
      <c r="EV9" s="697">
        <f>'Bloom Cleaner Data'!DI9</f>
        <v>8.7789999999999999</v>
      </c>
      <c r="EW9" s="697">
        <f>'Bloom Cleaner Data'!DJ9</f>
        <v>8.7388999999999992</v>
      </c>
      <c r="EX9" s="697">
        <f>'Bloom Cleaner Data'!DK9</f>
        <v>9.2135999999999996</v>
      </c>
      <c r="EY9" s="697">
        <f>'Bloom Cleaner Data'!DL9</f>
        <v>9.1631999999999998</v>
      </c>
      <c r="EZ9" s="697">
        <f>'Bloom Cleaner Data'!DM9</f>
        <v>9.0927000000000007</v>
      </c>
      <c r="FA9" s="697">
        <f>'Bloom Cleaner Data'!DN9</f>
        <v>9.4709000000000003</v>
      </c>
      <c r="FB9" s="697">
        <f>'Bloom Cleaner Data'!DO9</f>
        <v>9.0739999999999998</v>
      </c>
      <c r="FC9" s="697"/>
      <c r="FD9" s="697">
        <f t="shared" si="59"/>
        <v>8.7131538461538458</v>
      </c>
      <c r="FE9" s="696">
        <f t="shared" si="6"/>
        <v>0.26201304571563672</v>
      </c>
      <c r="FF9" s="697">
        <f t="shared" si="60"/>
        <v>8.9918300000000002</v>
      </c>
      <c r="FG9" s="1220"/>
      <c r="FH9" s="697">
        <f>('Bloom Cleaner Data'!BU9+'OPERATING LEASES'!AU9)/DK9</f>
        <v>7.3882795026632264</v>
      </c>
      <c r="FI9" s="697">
        <f>('Bloom Cleaner Data'!BV9+'OPERATING LEASES'!AV9)/DL9</f>
        <v>7.511456716472753</v>
      </c>
      <c r="FJ9" s="697">
        <f>('Bloom Cleaner Data'!BW9+'OPERATING LEASES'!AW9)/DM9</f>
        <v>7.1707944229261198</v>
      </c>
      <c r="FK9" s="697">
        <f>('Bloom Cleaner Data'!BX9+'OPERATING LEASES'!AX9)/DN9</f>
        <v>7.7055366686292892</v>
      </c>
      <c r="FL9" s="697">
        <f>('Bloom Cleaner Data'!BY9+'OPERATING LEASES'!AY9)/DO9</f>
        <v>8.4062817091520898</v>
      </c>
      <c r="FM9" s="697">
        <f>('Bloom Cleaner Data'!BZ9+'OPERATING LEASES'!AZ9)/DP9</f>
        <v>8.8763505624407077</v>
      </c>
      <c r="FN9" s="697">
        <f>('Bloom Cleaner Data'!CA9+'OPERATING LEASES'!BA9)/DQ9</f>
        <v>8.5774744199633144</v>
      </c>
      <c r="FO9" s="697">
        <f>('Bloom Cleaner Data'!CB9+'OPERATING LEASES'!BB9)/DR9</f>
        <v>8.8417973134188603</v>
      </c>
      <c r="FP9" s="697">
        <f>('Bloom Cleaner Data'!CC9+'OPERATING LEASES'!BC9)/DS9</f>
        <v>8.7507454377216138</v>
      </c>
      <c r="FQ9" s="697">
        <f>('Bloom Cleaner Data'!CD9+'OPERATING LEASES'!BD9)/DT9</f>
        <v>8.7120469152324826</v>
      </c>
      <c r="FR9" s="697">
        <f>('Bloom Cleaner Data'!CE9+'OPERATING LEASES'!BE9)/DU9</f>
        <v>9.1838724950545316</v>
      </c>
      <c r="FS9" s="697">
        <f>('Bloom Cleaner Data'!CF9+'OPERATING LEASES'!BF9)/DV9</f>
        <v>9.135932537020869</v>
      </c>
      <c r="FT9" s="697">
        <f>('Bloom Cleaner Data'!CG9+'OPERATING LEASES'!BG9)/DW9</f>
        <v>9.0664383370126806</v>
      </c>
      <c r="FU9" s="697">
        <f>('Bloom Cleaner Data'!CH9+'OPERATING LEASES'!BH9)/DX9</f>
        <v>9.4423485403827989</v>
      </c>
      <c r="FV9" s="697">
        <f>('Bloom Cleaner Data'!CI9+'OPERATING LEASES'!BI9)/DY9</f>
        <v>9.0506669895995948</v>
      </c>
      <c r="FW9" s="697"/>
      <c r="FX9" s="698">
        <f t="shared" si="61"/>
        <v>8.6861758729657641</v>
      </c>
      <c r="FY9" s="695">
        <f t="shared" si="62"/>
        <v>0.26215680659638446</v>
      </c>
      <c r="FZ9" s="697">
        <f t="shared" si="7"/>
        <v>-2.6977973188081705E-2</v>
      </c>
      <c r="GA9" s="697">
        <f t="shared" si="63"/>
        <v>8.9637673547847445</v>
      </c>
      <c r="GB9" s="697">
        <f t="shared" si="64"/>
        <v>-2.8062645215255699E-2</v>
      </c>
      <c r="GC9" s="697">
        <f t="shared" si="8"/>
        <v>-2.7028220185902896E-2</v>
      </c>
      <c r="GD9" s="694"/>
      <c r="GE9" s="697">
        <f t="shared" si="9"/>
        <v>7.3882795026632264</v>
      </c>
      <c r="GF9" s="697">
        <f t="shared" si="10"/>
        <v>7.511456716472753</v>
      </c>
      <c r="GG9" s="697">
        <f t="shared" si="11"/>
        <v>7.1707944229261198</v>
      </c>
      <c r="GH9" s="697">
        <f t="shared" si="12"/>
        <v>7.7055366686292892</v>
      </c>
      <c r="GI9" s="697">
        <f t="shared" si="13"/>
        <v>8.4062817091520898</v>
      </c>
      <c r="GJ9" s="697">
        <f t="shared" si="14"/>
        <v>8.8763505624407077</v>
      </c>
      <c r="GK9" s="697">
        <f t="shared" si="15"/>
        <v>8.5774744199633144</v>
      </c>
      <c r="GL9" s="697">
        <f t="shared" si="16"/>
        <v>8.8417973134188603</v>
      </c>
      <c r="GM9" s="697">
        <f t="shared" si="17"/>
        <v>8.7507454377216138</v>
      </c>
      <c r="GN9" s="697">
        <f t="shared" si="18"/>
        <v>8.7120469152324826</v>
      </c>
      <c r="GO9" s="697">
        <f t="shared" si="19"/>
        <v>9.1838724950545316</v>
      </c>
      <c r="GP9" s="697">
        <f t="shared" si="20"/>
        <v>9.135932537020869</v>
      </c>
      <c r="GQ9" s="697">
        <f t="shared" si="21"/>
        <v>9.0664383370126806</v>
      </c>
      <c r="GR9" s="697">
        <f t="shared" si="22"/>
        <v>9.4423485403827989</v>
      </c>
      <c r="GS9" s="697">
        <f t="shared" si="23"/>
        <v>9.0506669895995948</v>
      </c>
      <c r="GT9" s="697"/>
      <c r="GU9" s="697">
        <f t="shared" si="65"/>
        <v>8.5213348378460623</v>
      </c>
      <c r="GV9" s="695">
        <f t="shared" si="66"/>
        <v>0.26215680659638446</v>
      </c>
      <c r="GW9" s="698">
        <f t="shared" si="67"/>
        <v>8.9637673547847445</v>
      </c>
      <c r="GX9" s="2099"/>
      <c r="GY9" s="695">
        <f>'Bloom Cleaner Data'!T9/('Bloom Cleaner Data'!T9+'Bloom Cleaner Data'!D9)</f>
        <v>0.49960179948441735</v>
      </c>
      <c r="GZ9" s="695">
        <f>'Bloom Cleaner Data'!U9/('Bloom Cleaner Data'!U9+'Bloom Cleaner Data'!E9)</f>
        <v>0.45947668941139014</v>
      </c>
      <c r="HA9" s="695">
        <f>'Bloom Cleaner Data'!V9/('Bloom Cleaner Data'!V9+'Bloom Cleaner Data'!F9)</f>
        <v>0.46038701930297588</v>
      </c>
      <c r="HB9" s="695">
        <f>'Bloom Cleaner Data'!W9/('Bloom Cleaner Data'!W9+'Bloom Cleaner Data'!G9)</f>
        <v>0.44863900630971493</v>
      </c>
      <c r="HC9" s="695">
        <f>'Bloom Cleaner Data'!X9/('Bloom Cleaner Data'!X9+'Bloom Cleaner Data'!H9)</f>
        <v>0.40308285992441306</v>
      </c>
      <c r="HD9" s="695">
        <f>'Bloom Cleaner Data'!Y9/('Bloom Cleaner Data'!Y9+'Bloom Cleaner Data'!I9)</f>
        <v>0.36817797291968885</v>
      </c>
      <c r="HE9" s="695">
        <f>'Bloom Cleaner Data'!Z9/('Bloom Cleaner Data'!Z9+'Bloom Cleaner Data'!J9)</f>
        <v>0.36429515528291928</v>
      </c>
      <c r="HF9" s="695">
        <f>'Bloom Cleaner Data'!AA9/('Bloom Cleaner Data'!AA9+'Bloom Cleaner Data'!K9)</f>
        <v>0.46243627838595103</v>
      </c>
      <c r="HG9" s="695">
        <f>'Bloom Cleaner Data'!AB9/('Bloom Cleaner Data'!AB9+'Bloom Cleaner Data'!L9)</f>
        <v>0.43837176651590148</v>
      </c>
      <c r="HH9" s="695">
        <f>'Bloom Cleaner Data'!AC9/('Bloom Cleaner Data'!AC9+'Bloom Cleaner Data'!M9)</f>
        <v>0.42292392267025669</v>
      </c>
      <c r="HI9" s="695">
        <f>'Bloom Cleaner Data'!AD9/('Bloom Cleaner Data'!AD9+'Bloom Cleaner Data'!N9)</f>
        <v>0.40486062361717545</v>
      </c>
      <c r="HJ9" s="695">
        <f>'Bloom Cleaner Data'!AE9/('Bloom Cleaner Data'!AE9+'Bloom Cleaner Data'!O9)</f>
        <v>0.43404887862056446</v>
      </c>
      <c r="HK9" s="695">
        <f>'Bloom Cleaner Data'!AF9/('Bloom Cleaner Data'!AF9+'Bloom Cleaner Data'!P9)</f>
        <v>0.42075053644858124</v>
      </c>
      <c r="HL9" s="695">
        <f>'Bloom Cleaner Data'!AG9/('Bloom Cleaner Data'!AG9+'Bloom Cleaner Data'!Q9)</f>
        <v>0.40248688737435734</v>
      </c>
      <c r="HM9" s="695">
        <f>'Bloom Cleaner Data'!AH9/('Bloom Cleaner Data'!AH9+'Bloom Cleaner Data'!R9)</f>
        <v>0.48144640266975475</v>
      </c>
      <c r="HN9" s="697"/>
      <c r="HO9" s="695">
        <f t="shared" si="68"/>
        <v>0.42399287000325037</v>
      </c>
      <c r="HP9" s="695">
        <f t="shared" si="69"/>
        <v>4.5742782667206161E-2</v>
      </c>
      <c r="HQ9" s="695"/>
      <c r="HR9" s="699">
        <f t="shared" si="24"/>
        <v>0.99840846543743611</v>
      </c>
      <c r="HS9" s="700">
        <f t="shared" si="25"/>
        <v>0.85005897139022013</v>
      </c>
      <c r="HT9" s="700">
        <f t="shared" si="26"/>
        <v>0.85318003045124824</v>
      </c>
      <c r="HU9" s="700">
        <f t="shared" si="27"/>
        <v>0.81369377131115672</v>
      </c>
      <c r="HV9" s="700">
        <f t="shared" si="28"/>
        <v>0.67527439381849741</v>
      </c>
      <c r="HW9" s="700">
        <f t="shared" si="29"/>
        <v>0.58272418044850716</v>
      </c>
      <c r="HX9" s="700">
        <f t="shared" si="30"/>
        <v>0.57305706934646394</v>
      </c>
      <c r="HY9" s="700">
        <f t="shared" si="31"/>
        <v>0.86024458086098921</v>
      </c>
      <c r="HZ9" s="700">
        <f t="shared" si="32"/>
        <v>0.78053726714633409</v>
      </c>
      <c r="IA9" s="700">
        <f t="shared" si="33"/>
        <v>0.73287377398698939</v>
      </c>
      <c r="IB9" s="700">
        <f t="shared" si="34"/>
        <v>0.68027867031394018</v>
      </c>
      <c r="IC9" s="700">
        <f t="shared" si="35"/>
        <v>0.76693704142263075</v>
      </c>
      <c r="ID9" s="700">
        <f t="shared" si="36"/>
        <v>0.72637190523911832</v>
      </c>
      <c r="IE9" s="700">
        <f t="shared" si="37"/>
        <v>0.67360343876926054</v>
      </c>
      <c r="IF9" s="701">
        <f t="shared" si="38"/>
        <v>0.92844096569470225</v>
      </c>
      <c r="IG9" s="697"/>
      <c r="IH9" s="695">
        <f t="shared" si="70"/>
        <v>0.7420936222161415</v>
      </c>
      <c r="II9" s="695">
        <f t="shared" si="71"/>
        <v>8.8212255980309781E-2</v>
      </c>
      <c r="IJ9" s="695"/>
      <c r="IK9" s="696">
        <f>('Bloom Cleaner Data'!T9+'OPERATING LEASES'!AU9)/('Bloom Cleaner Data'!T9+'OPERATING LEASES'!AU9+'Bloom Cleaner Data'!D9)</f>
        <v>0.50261617157260619</v>
      </c>
      <c r="IL9" s="696">
        <f>('Bloom Cleaner Data'!U9+'OPERATING LEASES'!AV9)/('Bloom Cleaner Data'!U9+'OPERATING LEASES'!AV9+'Bloom Cleaner Data'!E9)</f>
        <v>0.46283410666608638</v>
      </c>
      <c r="IM9" s="696">
        <f>('Bloom Cleaner Data'!V9+'OPERATING LEASES'!AW9)/('Bloom Cleaner Data'!V9+'OPERATING LEASES'!AW9+'Bloom Cleaner Data'!F9)</f>
        <v>0.4640683722500239</v>
      </c>
      <c r="IN9" s="696">
        <f>('Bloom Cleaner Data'!W9+'OPERATING LEASES'!AX9)/('Bloom Cleaner Data'!W9+'OPERATING LEASES'!AX9+'Bloom Cleaner Data'!G9)</f>
        <v>0.45222436615696288</v>
      </c>
      <c r="IO9" s="696">
        <f>('Bloom Cleaner Data'!X9+'OPERATING LEASES'!AY9)/('Bloom Cleaner Data'!X9+'OPERATING LEASES'!AY9+'Bloom Cleaner Data'!H9)</f>
        <v>0.40678261884422395</v>
      </c>
      <c r="IP9" s="696">
        <f>('Bloom Cleaner Data'!Y9+'OPERATING LEASES'!AZ9)/('Bloom Cleaner Data'!Y9+'OPERATING LEASES'!AZ9+'Bloom Cleaner Data'!I9)</f>
        <v>0.37178729606389038</v>
      </c>
      <c r="IQ9" s="696">
        <f>('Bloom Cleaner Data'!Z9+'OPERATING LEASES'!BA9)/('Bloom Cleaner Data'!Z9+'OPERATING LEASES'!BA9+'Bloom Cleaner Data'!J9)</f>
        <v>0.36792052162676608</v>
      </c>
      <c r="IR9" s="696">
        <f>('Bloom Cleaner Data'!AA9+'OPERATING LEASES'!BB9)/('Bloom Cleaner Data'!AA9+'OPERATING LEASES'!BB9+'Bloom Cleaner Data'!K9)</f>
        <v>0.46544877279506219</v>
      </c>
      <c r="IS9" s="696">
        <f>('Bloom Cleaner Data'!AB9+'OPERATING LEASES'!BC9)/('Bloom Cleaner Data'!AB9+'OPERATING LEASES'!BC9+'Bloom Cleaner Data'!L9)</f>
        <v>0.44138119570523726</v>
      </c>
      <c r="IT9" s="696">
        <f>('Bloom Cleaner Data'!AC9+'OPERATING LEASES'!BD9)/('Bloom Cleaner Data'!AC9+'OPERATING LEASES'!BD9+'Bloom Cleaner Data'!M9)</f>
        <v>0.42583131816712549</v>
      </c>
      <c r="IU9" s="696">
        <f>('Bloom Cleaner Data'!AD9+'OPERATING LEASES'!BE9)/('Bloom Cleaner Data'!AD9+'OPERATING LEASES'!BE9+'Bloom Cleaner Data'!N9)</f>
        <v>0.40754165826630995</v>
      </c>
      <c r="IV9" s="696">
        <f>('Bloom Cleaner Data'!AE9+'OPERATING LEASES'!BF9)/('Bloom Cleaner Data'!AE9+'OPERATING LEASES'!BF9+'Bloom Cleaner Data'!O9)</f>
        <v>0.4363634349502537</v>
      </c>
      <c r="IW9" s="696">
        <f>('Bloom Cleaner Data'!AF9+'OPERATING LEASES'!BG9)/('Bloom Cleaner Data'!AF9+'OPERATING LEASES'!BG9+'Bloom Cleaner Data'!P9)</f>
        <v>0.42302270192736452</v>
      </c>
      <c r="IX9" s="696">
        <f>('Bloom Cleaner Data'!AG9+'OPERATING LEASES'!BH9)/('Bloom Cleaner Data'!AG9+'OPERATING LEASES'!BH9+'Bloom Cleaner Data'!Q9)</f>
        <v>0.40471537584686967</v>
      </c>
      <c r="IY9" s="696">
        <f>('Bloom Cleaner Data'!AH9+'OPERATING LEASES'!BI9)/('Bloom Cleaner Data'!AH9+'OPERATING LEASES'!BI9+'Bloom Cleaner Data'!R9)</f>
        <v>0.4832654138496531</v>
      </c>
      <c r="IZ9" s="697"/>
      <c r="JA9" s="695">
        <f t="shared" si="72"/>
        <v>0.42695023434228802</v>
      </c>
      <c r="JB9" s="695">
        <f t="shared" si="73"/>
        <v>4.1366838913311048E-2</v>
      </c>
      <c r="JC9" s="695">
        <f t="shared" si="39"/>
        <v>2.9573643390376492E-3</v>
      </c>
      <c r="JD9" s="695">
        <f t="shared" si="40"/>
        <v>6.9750331863245195E-3</v>
      </c>
      <c r="JE9" s="692"/>
      <c r="JF9" s="699">
        <f t="shared" si="74"/>
        <v>1.0105197291229908</v>
      </c>
      <c r="JG9" s="700">
        <f t="shared" si="41"/>
        <v>0.8616222891470493</v>
      </c>
      <c r="JH9" s="700">
        <f t="shared" si="41"/>
        <v>0.86590965754034943</v>
      </c>
      <c r="JI9" s="700">
        <f t="shared" si="41"/>
        <v>0.8255649543669662</v>
      </c>
      <c r="JJ9" s="700">
        <f t="shared" si="41"/>
        <v>0.68572269081476012</v>
      </c>
      <c r="JK9" s="700">
        <f t="shared" si="41"/>
        <v>0.5918175384458666</v>
      </c>
      <c r="JL9" s="700">
        <f t="shared" si="41"/>
        <v>0.5820795235650954</v>
      </c>
      <c r="JM9" s="700">
        <f t="shared" si="41"/>
        <v>0.87072809696612508</v>
      </c>
      <c r="JN9" s="700">
        <f t="shared" si="41"/>
        <v>0.79012949852711456</v>
      </c>
      <c r="JO9" s="700">
        <f t="shared" si="41"/>
        <v>0.74164845913883171</v>
      </c>
      <c r="JP9" s="700">
        <f t="shared" si="41"/>
        <v>0.68788238692653914</v>
      </c>
      <c r="JQ9" s="700">
        <f t="shared" si="41"/>
        <v>0.77419291438578053</v>
      </c>
      <c r="JR9" s="700">
        <f t="shared" si="41"/>
        <v>0.73317044421063216</v>
      </c>
      <c r="JS9" s="700">
        <f t="shared" si="41"/>
        <v>0.67986868705475112</v>
      </c>
      <c r="JT9" s="701">
        <f t="shared" si="41"/>
        <v>0.93522947138096968</v>
      </c>
      <c r="JU9" s="697"/>
      <c r="JV9" s="695">
        <f t="shared" si="75"/>
        <v>0.75107264025567555</v>
      </c>
      <c r="JW9" s="695">
        <f t="shared" si="76"/>
        <v>8.0054325802908721E-2</v>
      </c>
      <c r="JX9" s="695">
        <f t="shared" si="77"/>
        <v>8.979018039534048E-3</v>
      </c>
      <c r="JY9" s="695">
        <f t="shared" si="78"/>
        <v>1.209957580920811E-2</v>
      </c>
      <c r="JZ9" s="692"/>
      <c r="KA9" s="697">
        <f>'Bloom Cleaner Data'!T9/'Bloom Cleaner Data'!BU9*'Bloom Cleaner Data'!DA9</f>
        <v>3.7033482988581921</v>
      </c>
      <c r="KB9" s="697">
        <f>'Bloom Cleaner Data'!U9/'Bloom Cleaner Data'!BV9*'Bloom Cleaner Data'!DB9</f>
        <v>3.4623406453905901</v>
      </c>
      <c r="KC9" s="697">
        <f>'Bloom Cleaner Data'!V9/'Bloom Cleaner Data'!BW9*'Bloom Cleaner Data'!DC9</f>
        <v>3.3102287074903263</v>
      </c>
      <c r="KD9" s="697">
        <f>'Bloom Cleaner Data'!W9/'Bloom Cleaner Data'!BX9*'Bloom Cleaner Data'!DD9</f>
        <v>3.4671718991978095</v>
      </c>
      <c r="KE9" s="697">
        <f>'Bloom Cleaner Data'!X9/'Bloom Cleaner Data'!BY9*'Bloom Cleaner Data'!DE9</f>
        <v>3.3997620737464698</v>
      </c>
      <c r="KF9" s="697">
        <f>'Bloom Cleaner Data'!Y9/'Bloom Cleaner Data'!BZ9*'Bloom Cleaner Data'!DF9</f>
        <v>3.2797662005658799</v>
      </c>
      <c r="KG9" s="697">
        <f>'Bloom Cleaner Data'!Z9/'Bloom Cleaner Data'!CA9*'Bloom Cleaner Data'!DG9</f>
        <v>3.1349055292716335</v>
      </c>
      <c r="KH9" s="697">
        <f>'Bloom Cleaner Data'!AA9/'Bloom Cleaner Data'!CB9*'Bloom Cleaner Data'!DH9</f>
        <v>4.1029658799793509</v>
      </c>
      <c r="KI9" s="697">
        <f>'Bloom Cleaner Data'!AB9/'Bloom Cleaner Data'!CC9*'Bloom Cleaner Data'!DI9</f>
        <v>3.8484599273447109</v>
      </c>
      <c r="KJ9" s="697">
        <f>'Bloom Cleaner Data'!AC9/'Bloom Cleaner Data'!CD9*'Bloom Cleaner Data'!DJ9</f>
        <v>3.6936542761950162</v>
      </c>
      <c r="KK9" s="697">
        <f>'Bloom Cleaner Data'!AD9/'Bloom Cleaner Data'!CE9*'Bloom Cleaner Data'!DK9</f>
        <v>3.7281154834313299</v>
      </c>
      <c r="KL9" s="697">
        <f>'Bloom Cleaner Data'!AE9/'Bloom Cleaner Data'!CF9*'Bloom Cleaner Data'!DL9</f>
        <v>3.9751679996258336</v>
      </c>
      <c r="KM9" s="697">
        <f>'Bloom Cleaner Data'!AF9/'Bloom Cleaner Data'!CG9*'Bloom Cleaner Data'!DM9</f>
        <v>3.8223816603595209</v>
      </c>
      <c r="KN9" s="697">
        <f>'Bloom Cleaner Data'!AG9/'Bloom Cleaner Data'!CH9*'Bloom Cleaner Data'!DN9</f>
        <v>3.8087487662365849</v>
      </c>
      <c r="KO9" s="697">
        <f>'Bloom Cleaner Data'!AH9/'Bloom Cleaner Data'!CI9*'Bloom Cleaner Data'!DO9</f>
        <v>4.3652344222948738</v>
      </c>
      <c r="KP9" s="697"/>
      <c r="KQ9" s="697">
        <f t="shared" si="79"/>
        <v>3.9987882829636603</v>
      </c>
      <c r="KR9" s="697">
        <f t="shared" si="80"/>
        <v>3.9928832121292035</v>
      </c>
      <c r="KS9" s="697">
        <f t="shared" si="81"/>
        <v>3.6874279096722566</v>
      </c>
      <c r="KT9" s="696">
        <f t="shared" si="82"/>
        <v>0.31871082273478551</v>
      </c>
      <c r="KU9" s="696"/>
      <c r="KV9" s="1695" t="s">
        <v>38</v>
      </c>
      <c r="KW9" s="698">
        <f>('Bloom Cleaner Data'!T9+'OPERATING LEASES'!AU9)/DK9</f>
        <v>3.7134687581369503</v>
      </c>
      <c r="KX9" s="698">
        <f>('Bloom Cleaner Data'!U9+'OPERATING LEASES'!AV9)/DL9</f>
        <v>3.4765583591296414</v>
      </c>
      <c r="KY9" s="698">
        <f>('Bloom Cleaner Data'!V9+'OPERATING LEASES'!AW9)/DM9</f>
        <v>3.3277388955868732</v>
      </c>
      <c r="KZ9" s="698">
        <f>('Bloom Cleaner Data'!W9+'OPERATING LEASES'!AX9)/DN9</f>
        <v>3.4846313666092215</v>
      </c>
      <c r="LA9" s="698">
        <f>('Bloom Cleaner Data'!X9+'OPERATING LEASES'!AY9)/DO9</f>
        <v>3.4195292883911859</v>
      </c>
      <c r="LB9" s="698">
        <f>('Bloom Cleaner Data'!Y9+'OPERATING LEASES'!AZ9)/DP9</f>
        <v>3.3001143745250228</v>
      </c>
      <c r="LC9" s="698">
        <f>('Bloom Cleaner Data'!Z9+'OPERATING LEASES'!BA9)/DQ9</f>
        <v>3.1558288628331455</v>
      </c>
      <c r="LD9" s="698">
        <f>('Bloom Cleaner Data'!AA9+'OPERATING LEASES'!BB9)/DR9</f>
        <v>4.1154037088334867</v>
      </c>
      <c r="LE9" s="698">
        <f>('Bloom Cleaner Data'!AB9+'OPERATING LEASES'!BC9)/DS9</f>
        <v>3.8624086839036851</v>
      </c>
      <c r="LF9" s="698">
        <f>('Bloom Cleaner Data'!AC9+'OPERATING LEASES'!BD9)/DT9</f>
        <v>3.707629677440206</v>
      </c>
      <c r="LG9" s="698">
        <f>('Bloom Cleaner Data'!AD9+'OPERATING LEASES'!BE9)/DU9</f>
        <v>3.7407046780406041</v>
      </c>
      <c r="LH9" s="698">
        <f>('Bloom Cleaner Data'!AE9+'OPERATING LEASES'!BF9)/DV9</f>
        <v>3.9844819217170233</v>
      </c>
      <c r="LI9" s="698">
        <f>('Bloom Cleaner Data'!AF9+'OPERATING LEASES'!BG9)/DW9</f>
        <v>3.8319373368954697</v>
      </c>
      <c r="LJ9" s="698">
        <f>('Bloom Cleaner Data'!AG9+'OPERATING LEASES'!BH9)/DX9</f>
        <v>3.8183032363599292</v>
      </c>
      <c r="LK9" s="698">
        <f>('Bloom Cleaner Data'!AH9+'OPERATING LEASES'!BI9)/DY9</f>
        <v>4.3704719780651446</v>
      </c>
      <c r="LL9" s="697"/>
      <c r="LM9" s="697">
        <f t="shared" si="83"/>
        <v>4.0069041837735142</v>
      </c>
      <c r="LN9" s="697">
        <f t="shared" si="84"/>
        <v>4.0012986182593915</v>
      </c>
      <c r="LO9" s="697">
        <f t="shared" si="85"/>
        <v>8.4154061301879857E-3</v>
      </c>
      <c r="LP9" s="697">
        <f t="shared" si="86"/>
        <v>3.7014756930154613</v>
      </c>
      <c r="LQ9" s="696">
        <f t="shared" si="87"/>
        <v>0.31334582285320112</v>
      </c>
      <c r="LR9" s="697">
        <f t="shared" si="88"/>
        <v>1.4047783343204667E-2</v>
      </c>
      <c r="LS9" s="696"/>
      <c r="LT9" s="697">
        <f t="shared" si="89"/>
        <v>3.7134687581369503</v>
      </c>
      <c r="LU9" s="697">
        <f t="shared" si="90"/>
        <v>3.4765583591296414</v>
      </c>
      <c r="LV9" s="697">
        <f t="shared" si="91"/>
        <v>3.3277388955868732</v>
      </c>
      <c r="LW9" s="697">
        <f t="shared" si="92"/>
        <v>3.4846313666092215</v>
      </c>
      <c r="LX9" s="697">
        <f t="shared" si="93"/>
        <v>3.4195292883911859</v>
      </c>
      <c r="LY9" s="697">
        <f t="shared" si="94"/>
        <v>3.3001143745250228</v>
      </c>
      <c r="LZ9" s="697">
        <f t="shared" si="95"/>
        <v>3.1558288628331455</v>
      </c>
      <c r="MA9" s="697">
        <f t="shared" si="96"/>
        <v>4.1154037088334867</v>
      </c>
      <c r="MB9" s="697">
        <f t="shared" si="97"/>
        <v>3.8624086839036851</v>
      </c>
      <c r="MC9" s="697">
        <f t="shared" si="98"/>
        <v>3.707629677440206</v>
      </c>
      <c r="MD9" s="697">
        <f t="shared" si="99"/>
        <v>3.7407046780406041</v>
      </c>
      <c r="ME9" s="697">
        <f t="shared" si="100"/>
        <v>3.9844819217170233</v>
      </c>
      <c r="MF9" s="697">
        <f t="shared" si="101"/>
        <v>3.8319373368954697</v>
      </c>
      <c r="MG9" s="697">
        <f t="shared" si="102"/>
        <v>3.8183032363599292</v>
      </c>
      <c r="MH9" s="697">
        <f t="shared" si="103"/>
        <v>4.3704719780651446</v>
      </c>
      <c r="MI9" s="697"/>
      <c r="MJ9" s="697">
        <f t="shared" si="104"/>
        <v>4.0069041837735142</v>
      </c>
      <c r="MK9" s="697">
        <f t="shared" si="105"/>
        <v>4.0012986182593915</v>
      </c>
      <c r="ML9" s="698">
        <f t="shared" si="106"/>
        <v>3.7014756930154613</v>
      </c>
      <c r="MM9" s="695">
        <f t="shared" si="107"/>
        <v>0.31334582285320112</v>
      </c>
      <c r="MN9" s="696"/>
      <c r="MO9" s="697">
        <f>('Bloom Cleaner Data'!T9+'Bloom Cleaner Data'!EY9)/'Bloom Cleaner Data'!GV9</f>
        <v>3.7702973769987254</v>
      </c>
      <c r="MP9" s="697">
        <f>('Bloom Cleaner Data'!U9+'Bloom Cleaner Data'!EZ9)/'Bloom Cleaner Data'!GW9</f>
        <v>3.7882290976994608</v>
      </c>
      <c r="MQ9" s="697">
        <f>('Bloom Cleaner Data'!V9+'Bloom Cleaner Data'!FA9)/'Bloom Cleaner Data'!GX9</f>
        <v>3.4296583373794602</v>
      </c>
      <c r="MR9" s="697">
        <f>('Bloom Cleaner Data'!W9+'Bloom Cleaner Data'!FB9)/'Bloom Cleaner Data'!GY9</f>
        <v>3.8029889500365002</v>
      </c>
      <c r="MS9" s="697">
        <f>('Bloom Cleaner Data'!X9+'Bloom Cleaner Data'!FC9)/'Bloom Cleaner Data'!GZ9</f>
        <v>3.5480816054249931</v>
      </c>
      <c r="MT9" s="697">
        <f>('Bloom Cleaner Data'!Y9+'Bloom Cleaner Data'!FD9)/'Bloom Cleaner Data'!HA9</f>
        <v>4.371867530890162</v>
      </c>
      <c r="MU9" s="697">
        <f>('Bloom Cleaner Data'!Z9+'Bloom Cleaner Data'!FE9)/'Bloom Cleaner Data'!HB9</f>
        <v>3.3211582333377447</v>
      </c>
      <c r="MV9" s="697">
        <f>('Bloom Cleaner Data'!AA9+'Bloom Cleaner Data'!FF9)/'Bloom Cleaner Data'!HC9</f>
        <v>4.5353151841638795</v>
      </c>
      <c r="MW9" s="697">
        <f>('Bloom Cleaner Data'!AB9+'Bloom Cleaner Data'!FG9)/'Bloom Cleaner Data'!HD9</f>
        <v>3.9447179675537374</v>
      </c>
      <c r="MX9" s="697">
        <f>('Bloom Cleaner Data'!AC9+'Bloom Cleaner Data'!FH9)/'Bloom Cleaner Data'!HE9</f>
        <v>4.3111205785743332</v>
      </c>
      <c r="MY9" s="697">
        <f>('Bloom Cleaner Data'!AD9+'Bloom Cleaner Data'!FI9)/'Bloom Cleaner Data'!HF9</f>
        <v>4.0143958772361099</v>
      </c>
      <c r="MZ9" s="697">
        <f>('Bloom Cleaner Data'!AE9+'Bloom Cleaner Data'!FJ9)/'Bloom Cleaner Data'!HG9</f>
        <v>5.0429158500951079</v>
      </c>
      <c r="NA9" s="697">
        <f>('Bloom Cleaner Data'!AF9+'Bloom Cleaner Data'!FK9)/'Bloom Cleaner Data'!HH9</f>
        <v>5.0020005356208097</v>
      </c>
      <c r="NB9" s="697">
        <f>('Bloom Cleaner Data'!AG9+'Bloom Cleaner Data'!FL9)/'Bloom Cleaner Data'!HI9</f>
        <v>4.9671486684744854</v>
      </c>
      <c r="NC9" s="697">
        <f>('Bloom Cleaner Data'!AH9+'Bloom Cleaner Data'!FM9)/'Bloom Cleaner Data'!HJ9</f>
        <v>4.4976714725590696</v>
      </c>
      <c r="ND9" s="697"/>
      <c r="NE9" s="697">
        <f t="shared" si="43"/>
        <v>0.13243705026419583</v>
      </c>
      <c r="NF9" s="697">
        <f t="shared" si="108"/>
        <v>4.8222735588847883</v>
      </c>
      <c r="NG9" s="697">
        <f t="shared" si="44"/>
        <v>0.82348527592112797</v>
      </c>
      <c r="NH9" s="697">
        <f t="shared" si="109"/>
        <v>4.8774341316873686</v>
      </c>
      <c r="NI9" s="697">
        <f t="shared" si="110"/>
        <v>4.2145415993343374</v>
      </c>
      <c r="NJ9" s="696">
        <f t="shared" si="111"/>
        <v>0.31140511098130519</v>
      </c>
      <c r="NK9" s="697">
        <f t="shared" si="45"/>
        <v>0.52711368966208072</v>
      </c>
      <c r="NL9" s="2819"/>
      <c r="NM9" s="1695" t="s">
        <v>38</v>
      </c>
      <c r="NN9" s="697">
        <f>KW9+'Bloom Cleaner Data'!EY9/CALCULATIONS!DK9</f>
        <v>3.779796204077388</v>
      </c>
      <c r="NO9" s="697">
        <f>KX9+'Bloom Cleaner Data'!EZ9/CALCULATIONS!DL9</f>
        <v>3.7993935221895834</v>
      </c>
      <c r="NP9" s="697">
        <f>KY9+'Bloom Cleaner Data'!FA9/CALCULATIONS!DM9</f>
        <v>3.4460352679844823</v>
      </c>
      <c r="NQ9" s="697">
        <f>KZ9+'Bloom Cleaner Data'!FB9/CALCULATIONS!DN9</f>
        <v>3.8172862885814376</v>
      </c>
      <c r="NR9" s="697">
        <f>LA9+'Bloom Cleaner Data'!FC9/CALCULATIONS!DO9</f>
        <v>3.56643812165348</v>
      </c>
      <c r="NS9" s="697">
        <f>LB9+'Bloom Cleaner Data'!FD9/CALCULATIONS!DP9</f>
        <v>4.382106874621126</v>
      </c>
      <c r="NT9" s="697">
        <f>LC9+'Bloom Cleaner Data'!FE9/CALCULATIONS!DQ9</f>
        <v>3.3404184188425243</v>
      </c>
      <c r="NU9" s="697">
        <f>LD9+'Bloom Cleaner Data'!FF9/CALCULATIONS!DR9</f>
        <v>4.5438424063714855</v>
      </c>
      <c r="NV9" s="697">
        <f>LE9+'Bloom Cleaner Data'!FG9/CALCULATIONS!DS9</f>
        <v>3.9578427963681366</v>
      </c>
      <c r="NW9" s="697">
        <f>LF9+'Bloom Cleaner Data'!FH9/CALCULATIONS!DT9</f>
        <v>4.3200991539620501</v>
      </c>
      <c r="NX9" s="697">
        <f>LG9+'Bloom Cleaner Data'!FI9/CALCULATIONS!DU9</f>
        <v>4.0247766176283584</v>
      </c>
      <c r="NY9" s="697">
        <f>LH9+'Bloom Cleaner Data'!FJ9/CALCULATIONS!DV9</f>
        <v>5.0447009644855729</v>
      </c>
      <c r="NZ9" s="697">
        <f>LI9+'Bloom Cleaner Data'!FK9/CALCULATIONS!DW9</f>
        <v>5.0035394649622855</v>
      </c>
      <c r="OA9" s="697">
        <f>LJ9+'Bloom Cleaner Data'!FL9/CALCULATIONS!DX9</f>
        <v>4.9689071784647068</v>
      </c>
      <c r="OB9" s="697">
        <f>LK9+'Bloom Cleaner Data'!FM9/CALCULATIONS!DY9</f>
        <v>4.5021054628416168</v>
      </c>
      <c r="OC9" s="697"/>
      <c r="OD9" s="697">
        <f t="shared" si="46"/>
        <v>0.13163348477647219</v>
      </c>
      <c r="OE9" s="697">
        <f t="shared" si="112"/>
        <v>4.8248507020895355</v>
      </c>
      <c r="OF9" s="697">
        <f t="shared" si="47"/>
        <v>0.81794651831602128</v>
      </c>
      <c r="OG9" s="697">
        <f t="shared" si="113"/>
        <v>4.8798132676885455</v>
      </c>
      <c r="OH9" s="697">
        <f t="shared" si="114"/>
        <v>4.2244691551359432</v>
      </c>
      <c r="OI9" s="696">
        <f t="shared" si="115"/>
        <v>0.3064594853884966</v>
      </c>
      <c r="OJ9" s="697">
        <f t="shared" si="48"/>
        <v>0.52299346212048192</v>
      </c>
      <c r="OK9" s="697"/>
      <c r="OL9" s="694">
        <f>'Bloom Cleaner Data'!GF9+('Bloom Cleaner Data'!T9+'Bloom Cleaner Data'!EY9)+'Bloom Cleaner Data'!CK9</f>
        <v>2624.1239999999998</v>
      </c>
      <c r="OM9" s="694">
        <f>'Bloom Cleaner Data'!GG9+('Bloom Cleaner Data'!U9+'Bloom Cleaner Data'!EZ9)+'Bloom Cleaner Data'!CL9</f>
        <v>2700.1000000000004</v>
      </c>
      <c r="ON9" s="694">
        <f>'Bloom Cleaner Data'!GH9+('Bloom Cleaner Data'!V9+'Bloom Cleaner Data'!FA9)+'Bloom Cleaner Data'!CM9</f>
        <v>2277.3119999999999</v>
      </c>
      <c r="OO9" s="694">
        <f>'Bloom Cleaner Data'!GI9+('Bloom Cleaner Data'!W9+'Bloom Cleaner Data'!FB9)+'Bloom Cleaner Data'!CN9</f>
        <v>2624.3000999999995</v>
      </c>
      <c r="OP9" s="694">
        <f>'Bloom Cleaner Data'!GJ9+('Bloom Cleaner Data'!X9+'Bloom Cleaner Data'!FC9)+'Bloom Cleaner Data'!CO9</f>
        <v>2553.2280000000001</v>
      </c>
      <c r="OQ9" s="694">
        <f>'Bloom Cleaner Data'!GK9+('Bloom Cleaner Data'!Y9+'Bloom Cleaner Data'!FD9)+'Bloom Cleaner Data'!CP9</f>
        <v>3180.2000000000003</v>
      </c>
      <c r="OR9" s="694">
        <f>'Bloom Cleaner Data'!GL9+('Bloom Cleaner Data'!Z9+'Bloom Cleaner Data'!FE9)+'Bloom Cleaner Data'!CQ9</f>
        <v>2035.4270000000001</v>
      </c>
      <c r="OS9" s="694">
        <f>'Bloom Cleaner Data'!GM9+('Bloom Cleaner Data'!AA9+'Bloom Cleaner Data'!FF9)+'Bloom Cleaner Data'!CR9</f>
        <v>2711.7</v>
      </c>
      <c r="OT9" s="694">
        <f>'Bloom Cleaner Data'!GN9+('Bloom Cleaner Data'!AB9+'Bloom Cleaner Data'!FG9)+'Bloom Cleaner Data'!CS9</f>
        <v>2430.067</v>
      </c>
      <c r="OU9" s="694">
        <f>'Bloom Cleaner Data'!GO9+('Bloom Cleaner Data'!AC9+'Bloom Cleaner Data'!FH9)+'Bloom Cleaner Data'!CT9</f>
        <v>2741.3</v>
      </c>
      <c r="OV9" s="694">
        <f>'Bloom Cleaner Data'!GP9+('Bloom Cleaner Data'!AD9+'Bloom Cleaner Data'!FI9)+'Bloom Cleaner Data'!CU9</f>
        <v>2133.6169999999997</v>
      </c>
      <c r="OW9" s="694">
        <f>'Bloom Cleaner Data'!GQ9+('Bloom Cleaner Data'!AE9+'Bloom Cleaner Data'!FJ9)+'Bloom Cleaner Data'!CV9</f>
        <v>3123.1</v>
      </c>
      <c r="OX9" s="694">
        <f>'Bloom Cleaner Data'!GR9+('Bloom Cleaner Data'!AF9+'Bloom Cleaner Data'!FK9)+'Bloom Cleaner Data'!CW9</f>
        <v>3134.9820000000004</v>
      </c>
      <c r="OY9" s="694">
        <f>'Bloom Cleaner Data'!GS9+('Bloom Cleaner Data'!AG9+'Bloom Cleaner Data'!FL9)+'Bloom Cleaner Data'!CX9</f>
        <v>3188.7000000000003</v>
      </c>
      <c r="OZ9" s="694">
        <f>'Bloom Cleaner Data'!GT9+('Bloom Cleaner Data'!AH9+'Bloom Cleaner Data'!FM9)+'Bloom Cleaner Data'!CY9</f>
        <v>2387.9000000000005</v>
      </c>
      <c r="PA9" s="705"/>
      <c r="PB9" s="1695" t="s">
        <v>38</v>
      </c>
      <c r="PC9" s="1220">
        <f>('Bloom Cleaner Data'!T9+'Bloom Cleaner Data'!EY9+'OPERATING LEASES'!BL9)/CALCULATIONS!OL9</f>
        <v>0.86493473631581441</v>
      </c>
      <c r="PD9" s="1220">
        <f>('Bloom Cleaner Data'!U9+'Bloom Cleaner Data'!EZ9+'OPERATING LEASES'!BM9)/CALCULATIONS!OM9</f>
        <v>0.86274633346913077</v>
      </c>
      <c r="PE9" s="1220">
        <f>('Bloom Cleaner Data'!V9+'Bloom Cleaner Data'!FA9+'OPERATING LEASES'!BN9)/CALCULATIONS!ON9</f>
        <v>0.94189454497231817</v>
      </c>
      <c r="PF9" s="1220">
        <f>('Bloom Cleaner Data'!W9+'Bloom Cleaner Data'!FB9+'OPERATING LEASES'!BO9)/CALCULATIONS!OO9</f>
        <v>0.93962124415572768</v>
      </c>
      <c r="PG9" s="1220">
        <f>('Bloom Cleaner Data'!X9+'Bloom Cleaner Data'!FC9+'OPERATING LEASES'!BP9)/CALCULATIONS!OP9</f>
        <v>0.91730057010184751</v>
      </c>
      <c r="PH9" s="1220">
        <f>('Bloom Cleaner Data'!Y9+'Bloom Cleaner Data'!FD9+'OPERATING LEASES'!BQ9)/CALCULATIONS!OQ9</f>
        <v>0.91519607650462231</v>
      </c>
      <c r="PI9" s="1220">
        <f>('Bloom Cleaner Data'!Z9+'Bloom Cleaner Data'!FE9+'OPERATING LEASES'!BR9)/CALCULATIONS!OR9</f>
        <v>1.1061652542685148</v>
      </c>
      <c r="PJ9" s="1220">
        <f>('Bloom Cleaner Data'!AA9+'Bloom Cleaner Data'!FF9+'OPERATING LEASES'!BS9)/CALCULATIONS!OS9</f>
        <v>1.0973473051960025</v>
      </c>
      <c r="PK9" s="1220">
        <f>('Bloom Cleaner Data'!AB9+'Bloom Cleaner Data'!FG9+'OPERATING LEASES'!BT9)/CALCULATIONS!OT9</f>
        <v>1.1045591541303184</v>
      </c>
      <c r="PL9" s="1220">
        <f>('Bloom Cleaner Data'!AC9+'Bloom Cleaner Data'!FH9+'OPERATING LEASES'!BU9)/CALCULATIONS!OU9</f>
        <v>1.1028747651661619</v>
      </c>
      <c r="PM9" s="1220">
        <f>('Bloom Cleaner Data'!AD9+'Bloom Cleaner Data'!FI9+'OPERATING LEASES'!BV9)/CALCULATIONS!OV9</f>
        <v>1.3480772029375472</v>
      </c>
      <c r="PN9" s="1220">
        <f>('Bloom Cleaner Data'!AE9+'Bloom Cleaner Data'!FJ9+'OPERATING LEASES'!BW9)/CALCULATIONS!OW9</f>
        <v>1.2315034040696744</v>
      </c>
      <c r="PO9" s="1220">
        <f>('Bloom Cleaner Data'!AF9+'Bloom Cleaner Data'!FK9+'OPERATING LEASES'!BX9)/CALCULATIONS!OX9</f>
        <v>1.2275314898139764</v>
      </c>
      <c r="PP9" s="1220">
        <f>('Bloom Cleaner Data'!AG9+'Bloom Cleaner Data'!FL9+'OPERATING LEASES'!BY9)/CALCULATIONS!OY9</f>
        <v>1.2102916941073163</v>
      </c>
      <c r="PQ9" s="1220">
        <f>('Bloom Cleaner Data'!AH9+'Bloom Cleaner Data'!FM9+'OPERATING LEASES'!BZ9)/CALCULATIONS!OZ9</f>
        <v>1.6242544181079608</v>
      </c>
      <c r="PR9" s="1220"/>
      <c r="PS9" s="696">
        <f t="shared" si="116"/>
        <v>1.3540258673430845</v>
      </c>
      <c r="PT9" s="696">
        <f t="shared" si="117"/>
        <v>1.3233952515247318</v>
      </c>
      <c r="PU9" s="696">
        <f t="shared" si="118"/>
        <v>1.1358936248870761</v>
      </c>
      <c r="PV9" s="695">
        <f t="shared" si="119"/>
        <v>0.72445463961753476</v>
      </c>
      <c r="PW9" s="695"/>
      <c r="PX9" s="698">
        <f>'Bloom Cleaner Data'!D9/'Bloom Cleaner Data'!GF9</f>
        <v>6.1862876885817757</v>
      </c>
      <c r="PY9" s="698">
        <f>'Bloom Cleaner Data'!E9/'Bloom Cleaner Data'!GG9</f>
        <v>6.6376591392136035</v>
      </c>
      <c r="PZ9" s="698">
        <f>'Bloom Cleaner Data'!F9/'Bloom Cleaner Data'!GH9</f>
        <v>17.496889348440696</v>
      </c>
      <c r="QA9" s="698">
        <f>'Bloom Cleaner Data'!G9/'Bloom Cleaner Data'!GI9</f>
        <v>16.7433219927096</v>
      </c>
      <c r="QB9" s="698">
        <f>'Bloom Cleaner Data'!H9/'Bloom Cleaner Data'!GJ9</f>
        <v>15.240484292230724</v>
      </c>
      <c r="QC9" s="698">
        <f>'Bloom Cleaner Data'!I9/'Bloom Cleaner Data'!GK9</f>
        <v>13.551976078289236</v>
      </c>
      <c r="QD9" s="698">
        <f>'Bloom Cleaner Data'!J9/'Bloom Cleaner Data'!GL9</f>
        <v>-17.612323809523811</v>
      </c>
      <c r="QE9" s="698">
        <f>'Bloom Cleaner Data'!K9/'Bloom Cleaner Data'!GM9</f>
        <v>-12.104904263565892</v>
      </c>
      <c r="QF9" s="698">
        <f>'Bloom Cleaner Data'!L9/'Bloom Cleaner Data'!GN9</f>
        <v>-13.485765792622253</v>
      </c>
      <c r="QG9" s="698">
        <f>'Bloom Cleaner Data'!M9/'Bloom Cleaner Data'!GO9</f>
        <v>-12.599129285714286</v>
      </c>
      <c r="QH9" s="698">
        <f>'Bloom Cleaner Data'!N9/'Bloom Cleaner Data'!GP9</f>
        <v>-5.2900028076692562</v>
      </c>
      <c r="QI9" s="698">
        <f>'Bloom Cleaner Data'!O9/'Bloom Cleaner Data'!GQ9</f>
        <v>-5.472786496603355</v>
      </c>
      <c r="QJ9" s="698">
        <f>'Bloom Cleaner Data'!P9/'Bloom Cleaner Data'!GR9</f>
        <v>-5.6607725113971119</v>
      </c>
      <c r="QK9" s="698">
        <f>'Bloom Cleaner Data'!Q9/'Bloom Cleaner Data'!GS9</f>
        <v>-6.5343327375633002</v>
      </c>
      <c r="QL9" s="698">
        <f>'Bloom Cleaner Data'!R9/'Bloom Cleaner Data'!GT9</f>
        <v>-2.7147098893731143</v>
      </c>
      <c r="QM9" s="698"/>
      <c r="QN9" s="698">
        <f t="shared" si="120"/>
        <v>-1.4186196832586249</v>
      </c>
      <c r="QO9" s="695">
        <f t="shared" si="121"/>
        <v>-1.1551538582265222</v>
      </c>
      <c r="QP9" s="698">
        <f t="shared" si="122"/>
        <v>0.57005841919828382</v>
      </c>
      <c r="QQ9" s="696"/>
      <c r="QR9" s="698">
        <f>'Bloom Cleaner Data'!GF9/CALCULATIONS!DK9</f>
        <v>0.59402519402855913</v>
      </c>
      <c r="QS9" s="698">
        <f>'Bloom Cleaner Data'!GG9/CALCULATIONS!DL9</f>
        <v>0.607879716737179</v>
      </c>
      <c r="QT9" s="698">
        <f>'Bloom Cleaner Data'!GH9/CALCULATIONS!DM9</f>
        <v>0.21964221472782733</v>
      </c>
      <c r="QU9" s="698">
        <f>'Bloom Cleaner Data'!GI9/CALCULATIONS!DN9</f>
        <v>0.25209484418336447</v>
      </c>
      <c r="QV9" s="698">
        <f>'Bloom Cleaner Data'!GJ9/CALCULATIONS!DO9</f>
        <v>0.32720432796896387</v>
      </c>
      <c r="QW9" s="698">
        <f>'Bloom Cleaner Data'!GK9/CALCULATIONS!DP9</f>
        <v>0.41147033876845601</v>
      </c>
      <c r="QX9" s="698">
        <f>'Bloom Cleaner Data'!GL9/CALCULATIONS!DQ9</f>
        <v>-0.3078324936427998</v>
      </c>
      <c r="QY9" s="698">
        <f>'Bloom Cleaner Data'!GM9/CALCULATIONS!DR9</f>
        <v>-0.39045278687673507</v>
      </c>
      <c r="QZ9" s="698">
        <f>'Bloom Cleaner Data'!GN9/CALCULATIONS!DS9</f>
        <v>-0.36248023929903112</v>
      </c>
      <c r="RA9" s="698">
        <f>'Bloom Cleaner Data'!GO9/CALCULATIONS!DT9</f>
        <v>-0.39678725919971403</v>
      </c>
      <c r="RB9" s="698">
        <f>'Bloom Cleaner Data'!GP9/CALCULATIONS!DU9</f>
        <v>-1.0279768409734062</v>
      </c>
      <c r="RC9" s="698">
        <f>'Bloom Cleaner Data'!GQ9/CALCULATIONS!DV9</f>
        <v>-0.94040333933713061</v>
      </c>
      <c r="RD9" s="698">
        <f>'Bloom Cleaner Data'!GR9/CALCULATIONS!DW9</f>
        <v>-0.92328918183754705</v>
      </c>
      <c r="RE9" s="698">
        <f>'Bloom Cleaner Data'!GS9/CALCULATIONS!DX9</f>
        <v>-0.85949653619175292</v>
      </c>
      <c r="RF9" s="698">
        <f>'Bloom Cleaner Data'!GT9/CALCULATIONS!DY9</f>
        <v>-1.7214195502411884</v>
      </c>
      <c r="RG9" s="698"/>
      <c r="RH9" s="698">
        <f t="shared" si="123"/>
        <v>-0.43997896168851486</v>
      </c>
      <c r="RI9" s="698">
        <f t="shared" si="124"/>
        <v>-0.7700153586221451</v>
      </c>
      <c r="RJ9" s="696"/>
      <c r="RK9" s="698">
        <f>'Bloom Cleaner Data'!GF9/($RK$1*DK9+(1-$RK$1)*'Bloom Cleaner Data'!GV9)</f>
        <v>0.59402519402855913</v>
      </c>
      <c r="RL9" s="698">
        <f>'Bloom Cleaner Data'!GG9/($RK$1*DL9+(1-$RK$1)*'Bloom Cleaner Data'!GW9)</f>
        <v>0.607879716737179</v>
      </c>
      <c r="RM9" s="698">
        <f>'Bloom Cleaner Data'!GH9/($RK$1*DM9+(1-$RK$1)*'Bloom Cleaner Data'!GX9)</f>
        <v>0.21964221472782733</v>
      </c>
      <c r="RN9" s="698">
        <f>'Bloom Cleaner Data'!GI9/($RK$1*DN9+(1-$RK$1)*'Bloom Cleaner Data'!GY9)</f>
        <v>0.25209484418336447</v>
      </c>
      <c r="RO9" s="698">
        <f>'Bloom Cleaner Data'!GJ9/($RK$1*DO9+(1-$RK$1)*'Bloom Cleaner Data'!GZ9)</f>
        <v>0.32720432796896387</v>
      </c>
      <c r="RP9" s="698">
        <f>'Bloom Cleaner Data'!GK9/($RK$1*DP9+(1-$RK$1)*'Bloom Cleaner Data'!HA9)</f>
        <v>0.41147033876845601</v>
      </c>
      <c r="RQ9" s="698">
        <f>'Bloom Cleaner Data'!GL9/($RK$1*DQ9+(1-$RK$1)*'Bloom Cleaner Data'!HB9)</f>
        <v>-0.3078324936427998</v>
      </c>
      <c r="RR9" s="698">
        <f>'Bloom Cleaner Data'!GM9/($RK$1*DR9+(1-$RK$1)*'Bloom Cleaner Data'!HC9)</f>
        <v>-0.39045278687673507</v>
      </c>
      <c r="RS9" s="698">
        <f>'Bloom Cleaner Data'!GN9/($RK$1*DS9+(1-$RK$1)*'Bloom Cleaner Data'!HD9)</f>
        <v>-0.36248023929903112</v>
      </c>
      <c r="RT9" s="698">
        <f>'Bloom Cleaner Data'!GO9/($RK$1*DT9+(1-$RK$1)*'Bloom Cleaner Data'!HE9)</f>
        <v>-0.39678725919971403</v>
      </c>
      <c r="RU9" s="698">
        <f>'Bloom Cleaner Data'!GP9/($RK$1*DU9+(1-$RK$1)*'Bloom Cleaner Data'!HF9)</f>
        <v>-1.0279768409734062</v>
      </c>
      <c r="RV9" s="698">
        <f>'Bloom Cleaner Data'!GQ9/($RK$1*DV9+(1-$RK$1)*'Bloom Cleaner Data'!HG9)</f>
        <v>-0.94040333933713061</v>
      </c>
      <c r="RW9" s="698">
        <f>'Bloom Cleaner Data'!GR9/($RK$1*DW9+(1-$RK$1)*'Bloom Cleaner Data'!HH9)</f>
        <v>-0.92328918183754705</v>
      </c>
      <c r="RX9" s="698">
        <f>'Bloom Cleaner Data'!GS9/($RK$1*DX9+(1-$RK$1)*'Bloom Cleaner Data'!HI9)</f>
        <v>-0.85949653619175292</v>
      </c>
      <c r="RY9" s="698">
        <f>'Bloom Cleaner Data'!GT9/($RK$1*DY9+(1-$RK$1)*'Bloom Cleaner Data'!HJ9)</f>
        <v>-1.7214195502411884</v>
      </c>
      <c r="RZ9" s="698"/>
      <c r="SA9" s="698">
        <f t="shared" si="125"/>
        <v>-0.43997896168851486</v>
      </c>
      <c r="SB9" s="698">
        <f t="shared" si="126"/>
        <v>-0.7700153586221451</v>
      </c>
      <c r="SC9" s="696"/>
      <c r="SD9" s="697">
        <f>'Bloom Cleaner Data'!HM9</f>
        <v>6.7294</v>
      </c>
      <c r="SE9" s="697">
        <f>'Bloom Cleaner Data'!HN9</f>
        <v>5.7431000000000001</v>
      </c>
      <c r="SF9" s="697">
        <f>'Bloom Cleaner Data'!HO9</f>
        <v>5.7416999999999998</v>
      </c>
      <c r="SG9" s="697">
        <f>'Bloom Cleaner Data'!HP9</f>
        <v>5.7271000000000001</v>
      </c>
      <c r="SH9" s="697">
        <f>'Bloom Cleaner Data'!HQ9</f>
        <v>5.5990000000000002</v>
      </c>
      <c r="SI9" s="697">
        <f>'Bloom Cleaner Data'!HR9</f>
        <v>6.3922999999999996</v>
      </c>
      <c r="SJ9" s="697">
        <f>'Bloom Cleaner Data'!HS9</f>
        <v>6.8342999999999998</v>
      </c>
      <c r="SK9" s="697">
        <f>'Bloom Cleaner Data'!HT9</f>
        <v>7.4036999999999997</v>
      </c>
      <c r="SL9" s="697">
        <f>'Bloom Cleaner Data'!HU9</f>
        <v>6.3003</v>
      </c>
      <c r="SM9" s="697">
        <f>'Bloom Cleaner Data'!HV9</f>
        <v>6.3733000000000004</v>
      </c>
      <c r="SN9" s="697">
        <f>'Bloom Cleaner Data'!HW9</f>
        <v>5.8521999999999998</v>
      </c>
      <c r="SO9" s="697">
        <f>'Bloom Cleaner Data'!HX9</f>
        <v>5.6871999999999998</v>
      </c>
      <c r="SP9" s="697">
        <f>'Bloom Cleaner Data'!HY9</f>
        <v>5.2569999999999997</v>
      </c>
      <c r="SQ9" s="697">
        <f>'Bloom Cleaner Data'!HZ9</f>
        <v>5.3704999999999998</v>
      </c>
      <c r="SR9" s="697">
        <f>'Bloom Cleaner Data'!IA9</f>
        <v>5.3070000000000004</v>
      </c>
      <c r="SS9" s="697"/>
      <c r="ST9" s="697">
        <f t="shared" si="127"/>
        <v>6.021206666666667</v>
      </c>
      <c r="SU9" s="702">
        <f t="shared" si="128"/>
        <v>-7.5709284706619889E-2</v>
      </c>
      <c r="SV9" s="697">
        <f t="shared" si="129"/>
        <v>-0.43469999999999942</v>
      </c>
    </row>
    <row r="10" spans="1:518">
      <c r="A10" s="11" t="s">
        <v>539</v>
      </c>
      <c r="B10" s="72">
        <v>1</v>
      </c>
      <c r="C10" s="2200" t="s">
        <v>39</v>
      </c>
      <c r="D10" s="1133" t="s">
        <v>1040</v>
      </c>
      <c r="E10" s="224" t="s">
        <v>298</v>
      </c>
      <c r="F10" s="224"/>
      <c r="G10" s="13">
        <f>'Bloom Cleaner Data'!D10*'Bloom Cleaner Data'!D43</f>
        <v>6509.4404255999989</v>
      </c>
      <c r="H10" s="13">
        <f>'Bloom Cleaner Data'!F10*'Bloom Cleaner Data'!F43</f>
        <v>5838.1933594600005</v>
      </c>
      <c r="I10" s="13">
        <f>'Bloom Cleaner Data'!H10*'Bloom Cleaner Data'!H43</f>
        <v>5310.5547371800012</v>
      </c>
      <c r="J10" s="13">
        <f>'Bloom Cleaner Data'!J10*'Bloom Cleaner Data'!J43</f>
        <v>5193.0895499999997</v>
      </c>
      <c r="K10" s="13">
        <f>'Bloom Cleaner Data'!L10*'Bloom Cleaner Data'!L43</f>
        <v>5063.760110261258</v>
      </c>
      <c r="L10" s="13">
        <f>'Bloom Cleaner Data'!N10*'Bloom Cleaner Data'!N43</f>
        <v>4526.777019006</v>
      </c>
      <c r="M10" s="13">
        <f>'Bloom Cleaner Data'!P10*'Bloom Cleaner Data'!P43</f>
        <v>4426.4220000000005</v>
      </c>
      <c r="N10" s="13">
        <f>'Bloom Cleaner Data'!R10*'Bloom Cleaner Data'!R43</f>
        <v>5057.8123335929276</v>
      </c>
      <c r="O10" s="13"/>
      <c r="P10" s="13">
        <f t="shared" si="0"/>
        <v>5059.5155870714543</v>
      </c>
      <c r="Q10" s="13">
        <f t="shared" si="49"/>
        <v>4670.3371175329767</v>
      </c>
      <c r="R10" s="10">
        <f t="shared" si="1"/>
        <v>-0.13366823909704381</v>
      </c>
      <c r="S10" s="18">
        <f>('Bloom Cleaner Data'!R10-'Bloom Cleaner Data'!F10)/'Bloom Cleaner Data'!F10</f>
        <v>-0.13319325612948257</v>
      </c>
      <c r="T10" s="10">
        <f t="shared" si="2"/>
        <v>-3.1892660191404867E-2</v>
      </c>
      <c r="U10" s="10"/>
      <c r="V10" s="1277" t="s">
        <v>39</v>
      </c>
      <c r="W10" s="1238">
        <f>'Bloom Cleaner Data'!D10/'Bloom Cleaner Data'!$F10</f>
        <v>1.11331594520898</v>
      </c>
      <c r="X10" s="1238">
        <f>'Bloom Cleaner Data'!E10/'Bloom Cleaner Data'!$F10</f>
        <v>1.111087708235821</v>
      </c>
      <c r="Y10" s="1238">
        <f>'Bloom Cleaner Data'!F10/'Bloom Cleaner Data'!$F10</f>
        <v>1</v>
      </c>
      <c r="Z10" s="1238">
        <f>'Bloom Cleaner Data'!G10/'Bloom Cleaner Data'!$F10</f>
        <v>1.0427831360082092</v>
      </c>
      <c r="AA10" s="1238">
        <f>'Bloom Cleaner Data'!H10/'Bloom Cleaner Data'!$F10</f>
        <v>0.90962296214032845</v>
      </c>
      <c r="AB10" s="1238">
        <f>'Bloom Cleaner Data'!I10/'Bloom Cleaner Data'!$F10</f>
        <v>0.80900059473824282</v>
      </c>
      <c r="AC10" s="1238">
        <f>'Bloom Cleaner Data'!J10/'Bloom Cleaner Data'!$F10</f>
        <v>0.89016614901577873</v>
      </c>
      <c r="AD10" s="1238">
        <f>'Bloom Cleaner Data'!K10/'Bloom Cleaner Data'!$F10</f>
        <v>0.86342702949911387</v>
      </c>
      <c r="AE10" s="1238">
        <f>'Bloom Cleaner Data'!L10/'Bloom Cleaner Data'!$F10</f>
        <v>0.86461912185568557</v>
      </c>
      <c r="AF10" s="1238">
        <f>'Bloom Cleaner Data'!M10/'Bloom Cleaner Data'!$F10</f>
        <v>0.76955565247252455</v>
      </c>
      <c r="AG10" s="1238">
        <f>'Bloom Cleaner Data'!N10/'Bloom Cleaner Data'!$F10</f>
        <v>0.7737277136737063</v>
      </c>
      <c r="AH10" s="1238">
        <f>'Bloom Cleaner Data'!O10/'Bloom Cleaner Data'!$F10</f>
        <v>0.80141502891791239</v>
      </c>
      <c r="AI10" s="1238">
        <f>'Bloom Cleaner Data'!P10/'Bloom Cleaner Data'!$F10</f>
        <v>0.75931513861507838</v>
      </c>
      <c r="AJ10" s="1238">
        <f>'Bloom Cleaner Data'!Q10/'Bloom Cleaner Data'!$F10</f>
        <v>0.84749734127641996</v>
      </c>
      <c r="AK10" s="1238">
        <f>'Bloom Cleaner Data'!R10/'Bloom Cleaner Data'!$F10</f>
        <v>0.86680674387051748</v>
      </c>
      <c r="AL10" s="13"/>
      <c r="AM10" s="13">
        <f>AVERAGE('Bloom Cleaner Data'!BW10:CI10)</f>
        <v>61518.954584615385</v>
      </c>
      <c r="AN10" s="18">
        <f>('Bloom Cleaner Data'!CI10-'Bloom Cleaner Data'!BW10)/'Bloom Cleaner Data'!BW10</f>
        <v>-0.20531030063876343</v>
      </c>
      <c r="AO10" s="18">
        <f>('Bloom Cleaner Data'!CI10+'Bloom Cleaner Data'!CH10-'Bloom Cleaner Data'!BW10-'Bloom Cleaner Data'!BV10)/('Bloom Cleaner Data'!BW10+'Bloom Cleaner Data'!BV10)</f>
        <v>-0.23481453117049869</v>
      </c>
      <c r="AP10" s="13"/>
      <c r="AQ10" s="13">
        <f>'Bloom Cleaner Data'!BW10*'Bloom Cleaner Data'!BW43</f>
        <v>10261.827959460003</v>
      </c>
      <c r="AR10" s="13">
        <f>'Bloom Cleaner Data'!BY10*'Bloom Cleaner Data'!BY43</f>
        <v>8372.0593371800005</v>
      </c>
      <c r="AS10" s="13">
        <f>'Bloom Cleaner Data'!CA10*'Bloom Cleaner Data'!CA43</f>
        <v>8049.8218500000003</v>
      </c>
      <c r="AT10" s="13">
        <f>'Bloom Cleaner Data'!CC10*'Bloom Cleaner Data'!CC43</f>
        <v>7989.2731633650574</v>
      </c>
      <c r="AU10" s="13">
        <f>'Bloom Cleaner Data'!CE10*'Bloom Cleaner Data'!CE43</f>
        <v>7628.1437699061007</v>
      </c>
      <c r="AV10" s="13">
        <f>'Bloom Cleaner Data'!CG10*'Bloom Cleaner Data'!CG43</f>
        <v>7504.5360000000001</v>
      </c>
      <c r="AW10" s="13">
        <f>'Bloom Cleaner Data'!CI10*'Bloom Cleaner Data'!CI43</f>
        <v>8150.5003082237272</v>
      </c>
      <c r="AX10" s="13"/>
      <c r="AY10" s="13">
        <f t="shared" si="3"/>
        <v>8279.4517697335541</v>
      </c>
      <c r="AZ10" s="10">
        <f t="shared" si="4"/>
        <v>-0.20574576572294997</v>
      </c>
      <c r="BA10" s="10"/>
      <c r="BB10" s="13">
        <f>'Bloom Cleaner Data'!T10+'OPERATING LEASES'!AU10</f>
        <v>40786.514997141159</v>
      </c>
      <c r="BC10" s="13">
        <f>'Bloom Cleaner Data'!U10+'OPERATING LEASES'!AV10</f>
        <v>40779.148629345516</v>
      </c>
      <c r="BD10" s="13">
        <f>'Bloom Cleaner Data'!V10+'OPERATING LEASES'!AW10</f>
        <v>40031.782261549874</v>
      </c>
      <c r="BE10" s="13">
        <f>'Bloom Cleaner Data'!W10+'OPERATING LEASES'!AX10</f>
        <v>38254.415893754231</v>
      </c>
      <c r="BF10" s="13">
        <f>'Bloom Cleaner Data'!X10+'OPERATING LEASES'!AY10</f>
        <v>29799.049525958584</v>
      </c>
      <c r="BG10" s="13">
        <f>'Bloom Cleaner Data'!Y10+'OPERATING LEASES'!AZ10</f>
        <v>28716.563671231928</v>
      </c>
      <c r="BH10" s="13">
        <f>'Bloom Cleaner Data'!Z10+'OPERATING LEASES'!BA10</f>
        <v>28218.077816505269</v>
      </c>
      <c r="BI10" s="13">
        <f>'Bloom Cleaner Data'!AA10+'OPERATING LEASES'!BB10</f>
        <v>28640.591961778613</v>
      </c>
      <c r="BJ10" s="13">
        <f>'Bloom Cleaner Data'!AB10+'OPERATING LEASES'!BC10</f>
        <v>28575.106107051957</v>
      </c>
      <c r="BK10" s="13">
        <f>'Bloom Cleaner Data'!AC10+'OPERATING LEASES'!BD10</f>
        <v>29303.829003199033</v>
      </c>
      <c r="BL10" s="13">
        <f>'Bloom Cleaner Data'!AD10+'OPERATING LEASES'!BE10</f>
        <v>29718.551899346108</v>
      </c>
      <c r="BM10" s="13">
        <f>'Bloom Cleaner Data'!AE10+'OPERATING LEASES'!BF10</f>
        <v>30328.274795493187</v>
      </c>
      <c r="BN10" s="13">
        <f>'Bloom Cleaner Data'!AF10+'OPERATING LEASES'!BG10</f>
        <v>29441.997691640263</v>
      </c>
      <c r="BO10" s="13">
        <f>'Bloom Cleaner Data'!AG10+'OPERATING LEASES'!BH10</f>
        <v>30094.997691640263</v>
      </c>
      <c r="BP10" s="13">
        <f>'Bloom Cleaner Data'!AH10+'OPERATING LEASES'!BI10</f>
        <v>29528.997691640263</v>
      </c>
      <c r="BQ10" s="13"/>
      <c r="BR10" s="1099">
        <f t="shared" si="50"/>
        <v>30819.402770060737</v>
      </c>
      <c r="BS10" s="10">
        <f t="shared" si="51"/>
        <v>-0.26236115347773137</v>
      </c>
      <c r="BT10" s="10"/>
      <c r="BU10" s="13">
        <f>'Bloom Cleaner Data'!BU10+'OPERATING LEASES'!AU10</f>
        <v>89219.851497141164</v>
      </c>
      <c r="BV10" s="13">
        <f>'Bloom Cleaner Data'!BV10+'OPERATING LEASES'!AV10</f>
        <v>89115.548629345518</v>
      </c>
      <c r="BW10" s="13">
        <f>'Bloom Cleaner Data'!BW10+'OPERATING LEASES'!AW10</f>
        <v>83535.45856154988</v>
      </c>
      <c r="BX10" s="13">
        <f>'Bloom Cleaner Data'!BX10+'OPERATING LEASES'!AX10</f>
        <v>83619.315893754218</v>
      </c>
      <c r="BY10" s="13">
        <f>'Bloom Cleaner Data'!BY10+'OPERATING LEASES'!AY10</f>
        <v>69370.992425958582</v>
      </c>
      <c r="BZ10" s="13">
        <f>'Bloom Cleaner Data'!BZ10+'OPERATING LEASES'!AZ10</f>
        <v>63911.063671231925</v>
      </c>
      <c r="CA10" s="13">
        <f>'Bloom Cleaner Data'!CA10+'OPERATING LEASES'!BA10</f>
        <v>66943.577816505276</v>
      </c>
      <c r="CB10" s="13">
        <f>'Bloom Cleaner Data'!CB10+'OPERATING LEASES'!BB10</f>
        <v>66202.841961778613</v>
      </c>
      <c r="CC10" s="13">
        <f>'Bloom Cleaner Data'!CC10+'OPERATING LEASES'!BC10</f>
        <v>66189.216507051955</v>
      </c>
      <c r="CD10" s="13">
        <f>'Bloom Cleaner Data'!CD10+'OPERATING LEASES'!BD10</f>
        <v>62782.329003199033</v>
      </c>
      <c r="CE10" s="13">
        <f>'Bloom Cleaner Data'!CE10+'OPERATING LEASES'!BE10</f>
        <v>63378.551899346108</v>
      </c>
      <c r="CF10" s="13">
        <f>'Bloom Cleaner Data'!CF10+'OPERATING LEASES'!BF10</f>
        <v>65192.774795493184</v>
      </c>
      <c r="CG10" s="13">
        <f>'Bloom Cleaner Data'!CG10+'OPERATING LEASES'!BG10</f>
        <v>62474.997691640259</v>
      </c>
      <c r="CH10" s="13">
        <f>'Bloom Cleaner Data'!CH10+'OPERATING LEASES'!BH10</f>
        <v>66964.247691640267</v>
      </c>
      <c r="CI10" s="13">
        <f>'Bloom Cleaner Data'!CI10+'OPERATING LEASES'!BI10</f>
        <v>67238.277691640265</v>
      </c>
      <c r="CJ10" s="13"/>
      <c r="CK10" s="1099">
        <f t="shared" si="52"/>
        <v>68292.588123906884</v>
      </c>
      <c r="CL10" s="10">
        <f t="shared" si="53"/>
        <v>-0.19509297190128747</v>
      </c>
      <c r="CM10" s="18">
        <f t="shared" si="54"/>
        <v>0.11010644743604671</v>
      </c>
      <c r="CN10" s="13"/>
      <c r="CO10" s="18">
        <f>$CO$1*BU10/('Bloom Cleaner Data'!D10+'Bloom Cleaner Data'!T10+'OPERATING LEASES'!AU10)+(1-$CO$1)*'Bloom Cleaner Data'!BU10/('Bloom Cleaner Data'!D10+'Bloom Cleaner Data'!T10)-1</f>
        <v>0</v>
      </c>
      <c r="CP10" s="18">
        <f>$CO$1*BV10/('Bloom Cleaner Data'!E10+'Bloom Cleaner Data'!U10+'OPERATING LEASES'!AV10)+(1-$CO$1)*'Bloom Cleaner Data'!BV10/('Bloom Cleaner Data'!E10+'Bloom Cleaner Data'!U10)-1</f>
        <v>0</v>
      </c>
      <c r="CQ10" s="18">
        <f>$CO$1*BW10/('Bloom Cleaner Data'!F10+'Bloom Cleaner Data'!V10+'OPERATING LEASES'!AW10)+(1-$CO$1)*'Bloom Cleaner Data'!BW10/('Bloom Cleaner Data'!F10+'Bloom Cleaner Data'!V10)-1</f>
        <v>0</v>
      </c>
      <c r="CR10" s="18">
        <f>$CO$1*BX10/('Bloom Cleaner Data'!G10+'Bloom Cleaner Data'!W10+'OPERATING LEASES'!AX10)+(1-$CO$1)*'Bloom Cleaner Data'!BX10/('Bloom Cleaner Data'!G10+'Bloom Cleaner Data'!W10)-1</f>
        <v>0</v>
      </c>
      <c r="CS10" s="18">
        <f>$CO$1*BY10/('Bloom Cleaner Data'!H10+'Bloom Cleaner Data'!X10+'OPERATING LEASES'!AY10)+(1-$CO$1)*'Bloom Cleaner Data'!BY10/('Bloom Cleaner Data'!H10+'Bloom Cleaner Data'!X10)-1</f>
        <v>0</v>
      </c>
      <c r="CT10" s="18">
        <f>$CO$1*BZ10/('Bloom Cleaner Data'!I10+'Bloom Cleaner Data'!Y10+'OPERATING LEASES'!AZ10)+(1-$CO$1)*'Bloom Cleaner Data'!BZ10/('Bloom Cleaner Data'!I10+'Bloom Cleaner Data'!Y10)-1</f>
        <v>0</v>
      </c>
      <c r="CU10" s="18">
        <f>$CO$1*CA10/('Bloom Cleaner Data'!J10+'Bloom Cleaner Data'!Z10+'OPERATING LEASES'!BA10)+(1-$CO$1)*'Bloom Cleaner Data'!CA10/('Bloom Cleaner Data'!J10+'Bloom Cleaner Data'!Z10)-1</f>
        <v>0</v>
      </c>
      <c r="CV10" s="18">
        <f>$CO$1*CB10/('Bloom Cleaner Data'!K10+'Bloom Cleaner Data'!AA10+'OPERATING LEASES'!BB10)+(1-$CO$1)*'Bloom Cleaner Data'!CB10/('Bloom Cleaner Data'!K10+'Bloom Cleaner Data'!AA10)-1</f>
        <v>0</v>
      </c>
      <c r="CW10" s="18">
        <f>$CO$1*CC10/('Bloom Cleaner Data'!L10+'Bloom Cleaner Data'!AB10+'OPERATING LEASES'!BC10)+(1-$CO$1)*'Bloom Cleaner Data'!CC10/('Bloom Cleaner Data'!L10+'Bloom Cleaner Data'!AB10)-1</f>
        <v>0</v>
      </c>
      <c r="CX10" s="18">
        <f>$CO$1*CD10/('Bloom Cleaner Data'!M10+'Bloom Cleaner Data'!AC10+'OPERATING LEASES'!BD10)+(1-$CO$1)*'Bloom Cleaner Data'!CD10/('Bloom Cleaner Data'!M10+'Bloom Cleaner Data'!AC10)-1</f>
        <v>0</v>
      </c>
      <c r="CY10" s="18">
        <f>$CO$1*CE10/('Bloom Cleaner Data'!N10+'Bloom Cleaner Data'!AD10+'OPERATING LEASES'!BE10)+(1-$CO$1)*'Bloom Cleaner Data'!CE10/('Bloom Cleaner Data'!N10+'Bloom Cleaner Data'!AD10)-1</f>
        <v>0</v>
      </c>
      <c r="CZ10" s="18">
        <f>$CO$1*CF10/('Bloom Cleaner Data'!O10+'Bloom Cleaner Data'!AE10+'OPERATING LEASES'!BF10)+(1-$CO$1)*'Bloom Cleaner Data'!CF10/('Bloom Cleaner Data'!O10+'Bloom Cleaner Data'!AE10)-1</f>
        <v>0</v>
      </c>
      <c r="DA10" s="18">
        <f>$CO$1*CG10/('Bloom Cleaner Data'!P10+'Bloom Cleaner Data'!AF10+'OPERATING LEASES'!BG10)+(1-$CO$1)*'Bloom Cleaner Data'!CG10/('Bloom Cleaner Data'!P10+'Bloom Cleaner Data'!AF10)-1</f>
        <v>0</v>
      </c>
      <c r="DB10" s="18">
        <f>$CO$1*CH10/('Bloom Cleaner Data'!Q10+'Bloom Cleaner Data'!AG10+'OPERATING LEASES'!BH10)+(1-$CO$1)*'Bloom Cleaner Data'!CH10/('Bloom Cleaner Data'!Q10+'Bloom Cleaner Data'!AG10)-1</f>
        <v>0</v>
      </c>
      <c r="DC10" s="18">
        <f>$CO$1*CI10/('Bloom Cleaner Data'!R10+'Bloom Cleaner Data'!AH10+'OPERATING LEASES'!BI10)+(1-$CO$1)*'Bloom Cleaner Data'!CI10/('Bloom Cleaner Data'!R10+'Bloom Cleaner Data'!AH10)-1</f>
        <v>0</v>
      </c>
      <c r="DD10" s="18"/>
      <c r="DE10" s="18">
        <f t="shared" si="55"/>
        <v>0</v>
      </c>
      <c r="DF10" s="13"/>
      <c r="DG10" s="2203">
        <f>AVERAGE('Bloom Cleaner Data'!GX10:HJ10)</f>
        <v>10551.378548462661</v>
      </c>
      <c r="DH10" s="2124">
        <f>('Bloom Cleaner Data'!HJ10-'Bloom Cleaner Data'!GX10)/'Bloom Cleaner Data'!GX10</f>
        <v>1.0114028723743828E-2</v>
      </c>
      <c r="DI10" s="2124">
        <f>('Bloom Cleaner Data'!HJ10+'Bloom Cleaner Data'!HI10-'Bloom Cleaner Data'!GX10-'Bloom Cleaner Data'!GW10)/('Bloom Cleaner Data'!GX10+'Bloom Cleaner Data'!GW10)</f>
        <v>2.0227739352926408E-2</v>
      </c>
      <c r="DJ10" s="13"/>
      <c r="DK10" s="13">
        <f>'Bloom Cleaner Data'!GV10+'OPERATING LEASES'!BL10</f>
        <v>11808.607573924079</v>
      </c>
      <c r="DL10" s="13">
        <f>'Bloom Cleaner Data'!GW10+'OPERATING LEASES'!BM10</f>
        <v>11347.842063059295</v>
      </c>
      <c r="DM10" s="13">
        <f>'Bloom Cleaner Data'!GX10+'OPERATING LEASES'!BN10</f>
        <v>11453.065705005034</v>
      </c>
      <c r="DN10" s="13">
        <f>'Bloom Cleaner Data'!GY10+'OPERATING LEASES'!BO10</f>
        <v>11437.352247251672</v>
      </c>
      <c r="DO10" s="13">
        <f>'Bloom Cleaner Data'!GZ10+'OPERATING LEASES'!BP10</f>
        <v>11852.715461549091</v>
      </c>
      <c r="DP10" s="13">
        <f>'Bloom Cleaner Data'!HA10+'OPERATING LEASES'!BQ10</f>
        <v>11880.215589241323</v>
      </c>
      <c r="DQ10" s="13">
        <f>'Bloom Cleaner Data'!HB10+'OPERATING LEASES'!BR10</f>
        <v>11157.733699626771</v>
      </c>
      <c r="DR10" s="13">
        <f>'Bloom Cleaner Data'!HC10+'OPERATING LEASES'!BS10</f>
        <v>11189.171420400218</v>
      </c>
      <c r="DS10" s="13">
        <f>'Bloom Cleaner Data'!HD10+'OPERATING LEASES'!BT10</f>
        <v>11994.747492902703</v>
      </c>
      <c r="DT10" s="13">
        <f>'Bloom Cleaner Data'!HE10+'OPERATING LEASES'!BU10</f>
        <v>11924.293338804608</v>
      </c>
      <c r="DU10" s="13">
        <f>'Bloom Cleaner Data'!HF10+'OPERATING LEASES'!BV10</f>
        <v>11876.917299561916</v>
      </c>
      <c r="DV10" s="13">
        <f>'Bloom Cleaner Data'!HG10+'OPERATING LEASES'!BW10</f>
        <v>11728.639587065403</v>
      </c>
      <c r="DW10" s="13">
        <f>'Bloom Cleaner Data'!HH10+'OPERATING LEASES'!BX10</f>
        <v>11535.212178944397</v>
      </c>
      <c r="DX10" s="13">
        <f>'Bloom Cleaner Data'!HI10+'OPERATING LEASES'!BY10</f>
        <v>11440.264483746785</v>
      </c>
      <c r="DY10" s="13">
        <f>'Bloom Cleaner Data'!HJ10+'OPERATING LEASES'!BZ10</f>
        <v>11386.239947343227</v>
      </c>
      <c r="DZ10" s="13"/>
      <c r="EA10" s="1099">
        <f t="shared" si="56"/>
        <v>11604.35141934178</v>
      </c>
      <c r="EB10" s="10">
        <f t="shared" si="57"/>
        <v>-5.8347484754762173E-3</v>
      </c>
      <c r="EC10" s="18">
        <f t="shared" si="58"/>
        <v>9.979481506068584E-2</v>
      </c>
      <c r="ED10" s="18">
        <f>(AVERAGE(DV10:DY10)-AVERAGE('Bloom Cleaner Data'!HG10:HJ10))/AVERAGE('Bloom Cleaner Data'!HG10:HJ10)</f>
        <v>9.5121457660543016E-2</v>
      </c>
      <c r="EE10" s="165"/>
      <c r="EF10" s="22">
        <f>'Bloom Cleaner Data'!DT10</f>
        <v>3.1909000000000001</v>
      </c>
      <c r="EG10" s="22">
        <f>'Bloom Cleaner Data'!DX10</f>
        <v>2.2894000000000001</v>
      </c>
      <c r="EH10" s="22">
        <f>'Bloom Cleaner Data'!EB10</f>
        <v>2.1507000000000001</v>
      </c>
      <c r="EI10" s="22">
        <f>'Bloom Cleaner Data'!EF10</f>
        <v>2.4035000000000002</v>
      </c>
      <c r="EJ10" s="22"/>
      <c r="EK10" s="22">
        <f>AVERAGE('Bloom Cleaner Data'!DT10:EF10)</f>
        <v>2.362423076923077</v>
      </c>
      <c r="EL10" s="2124">
        <f t="shared" si="5"/>
        <v>-0.24676423579554355</v>
      </c>
      <c r="EM10" s="13"/>
      <c r="EN10" s="15">
        <f>'Bloom Cleaner Data'!DA10</f>
        <v>7.7797000000000001</v>
      </c>
      <c r="EO10" s="15">
        <f>'Bloom Cleaner Data'!DB10</f>
        <v>8.0921000000000003</v>
      </c>
      <c r="EP10" s="15">
        <f>'Bloom Cleaner Data'!DC10</f>
        <v>7.4348000000000001</v>
      </c>
      <c r="EQ10" s="15">
        <f>'Bloom Cleaner Data'!DD10</f>
        <v>7.4253</v>
      </c>
      <c r="ER10" s="15">
        <f>'Bloom Cleaner Data'!DE10</f>
        <v>5.7892000000000001</v>
      </c>
      <c r="ES10" s="15">
        <f>'Bloom Cleaner Data'!DF10</f>
        <v>5.2697000000000003</v>
      </c>
      <c r="ET10" s="15">
        <f>'Bloom Cleaner Data'!DG10</f>
        <v>5.9481000000000002</v>
      </c>
      <c r="EU10" s="15">
        <f>'Bloom Cleaner Data'!DH10</f>
        <v>5.8567999999999998</v>
      </c>
      <c r="EV10" s="15">
        <f>'Bloom Cleaner Data'!DI10</f>
        <v>5.4245999999999999</v>
      </c>
      <c r="EW10" s="15">
        <f>'Bloom Cleaner Data'!DJ10</f>
        <v>5.1481000000000003</v>
      </c>
      <c r="EX10" s="15">
        <f>'Bloom Cleaner Data'!DK10</f>
        <v>5.2272999999999996</v>
      </c>
      <c r="EY10" s="15">
        <f>'Bloom Cleaner Data'!DL10</f>
        <v>5.4706000000000001</v>
      </c>
      <c r="EZ10" s="15">
        <f>'Bloom Cleaner Data'!DM10</f>
        <v>5.3144999999999998</v>
      </c>
      <c r="FA10" s="15">
        <f>'Bloom Cleaner Data'!DN10</f>
        <v>5.7927</v>
      </c>
      <c r="FB10" s="15">
        <f>'Bloom Cleaner Data'!DO10</f>
        <v>5.8491999999999997</v>
      </c>
      <c r="FC10" s="15"/>
      <c r="FD10" s="15">
        <f t="shared" si="59"/>
        <v>5.8423769230769222</v>
      </c>
      <c r="FE10" s="18">
        <f t="shared" si="6"/>
        <v>-0.21326733738634535</v>
      </c>
      <c r="FF10" s="15">
        <f t="shared" si="60"/>
        <v>5.5301599999999995</v>
      </c>
      <c r="FG10" s="2206"/>
      <c r="FH10" s="15">
        <f>('Bloom Cleaner Data'!BU10+'OPERATING LEASES'!AU10)/DK10</f>
        <v>7.555492968888017</v>
      </c>
      <c r="FI10" s="15">
        <f>('Bloom Cleaner Data'!BV10+'OPERATING LEASES'!AV10)/DL10</f>
        <v>7.853083267649974</v>
      </c>
      <c r="FJ10" s="15">
        <f>('Bloom Cleaner Data'!BW10+'OPERATING LEASES'!AW10)/DM10</f>
        <v>7.293720363888645</v>
      </c>
      <c r="FK10" s="15">
        <f>('Bloom Cleaner Data'!BX10+'OPERATING LEASES'!AX10)/DN10</f>
        <v>7.3110728852342062</v>
      </c>
      <c r="FL10" s="15">
        <f>('Bloom Cleaner Data'!BY10+'OPERATING LEASES'!AY10)/DO10</f>
        <v>5.8527510131329974</v>
      </c>
      <c r="FM10" s="15">
        <f>('Bloom Cleaner Data'!BZ10+'OPERATING LEASES'!AZ10)/DP10</f>
        <v>5.3796215389482942</v>
      </c>
      <c r="FN10" s="15">
        <f>('Bloom Cleaner Data'!CA10+'OPERATING LEASES'!BA10)/DQ10</f>
        <v>5.9997468678379153</v>
      </c>
      <c r="FO10" s="15">
        <f>('Bloom Cleaner Data'!CB10+'OPERATING LEASES'!BB10)/DR10</f>
        <v>5.9166885084159917</v>
      </c>
      <c r="FP10" s="15">
        <f>('Bloom Cleaner Data'!CC10+'OPERATING LEASES'!BC10)/DS10</f>
        <v>5.518183400377219</v>
      </c>
      <c r="FQ10" s="15">
        <f>('Bloom Cleaner Data'!CD10+'OPERATING LEASES'!BD10)/DT10</f>
        <v>5.2650775370385903</v>
      </c>
      <c r="FR10" s="15">
        <f>('Bloom Cleaner Data'!CE10+'OPERATING LEASES'!BE10)/DU10</f>
        <v>5.336279633915094</v>
      </c>
      <c r="FS10" s="15">
        <f>('Bloom Cleaner Data'!CF10+'OPERATING LEASES'!BF10)/DV10</f>
        <v>5.5584259633478021</v>
      </c>
      <c r="FT10" s="15">
        <f>('Bloom Cleaner Data'!CG10+'OPERATING LEASES'!BG10)/DW10</f>
        <v>5.4160250130186531</v>
      </c>
      <c r="FU10" s="15">
        <f>('Bloom Cleaner Data'!CH10+'OPERATING LEASES'!BH10)/DX10</f>
        <v>5.8533828292848087</v>
      </c>
      <c r="FV10" s="15">
        <f>('Bloom Cleaner Data'!CI10+'OPERATING LEASES'!BI10)/DY10</f>
        <v>5.9052222685092017</v>
      </c>
      <c r="FW10" s="15"/>
      <c r="FX10" s="506">
        <f t="shared" si="61"/>
        <v>5.8927844479191869</v>
      </c>
      <c r="FY10" s="10">
        <f t="shared" si="62"/>
        <v>-0.19036897853308513</v>
      </c>
      <c r="FZ10" s="15">
        <f t="shared" si="7"/>
        <v>5.0407524842264628E-2</v>
      </c>
      <c r="GA10" s="15">
        <f t="shared" si="63"/>
        <v>5.6148653560693571</v>
      </c>
      <c r="GB10" s="15">
        <f t="shared" si="64"/>
        <v>8.4705356069357585E-2</v>
      </c>
      <c r="GC10" s="15">
        <f t="shared" si="8"/>
        <v>8.3007141615111912E-2</v>
      </c>
      <c r="GD10" s="13"/>
      <c r="GE10" s="15">
        <f t="shared" si="9"/>
        <v>7.555492968888017</v>
      </c>
      <c r="GF10" s="15">
        <f t="shared" si="10"/>
        <v>7.853083267649974</v>
      </c>
      <c r="GG10" s="15">
        <f t="shared" si="11"/>
        <v>7.293720363888645</v>
      </c>
      <c r="GH10" s="15">
        <f t="shared" si="12"/>
        <v>7.3110728852342062</v>
      </c>
      <c r="GI10" s="15">
        <f t="shared" si="13"/>
        <v>5.8527510131329974</v>
      </c>
      <c r="GJ10" s="15">
        <f t="shared" si="14"/>
        <v>5.3796215389482942</v>
      </c>
      <c r="GK10" s="15">
        <f t="shared" si="15"/>
        <v>5.9997468678379153</v>
      </c>
      <c r="GL10" s="15">
        <f t="shared" si="16"/>
        <v>5.9166885084159917</v>
      </c>
      <c r="GM10" s="15">
        <f t="shared" si="17"/>
        <v>5.518183400377219</v>
      </c>
      <c r="GN10" s="15">
        <f t="shared" si="18"/>
        <v>5.2650775370385903</v>
      </c>
      <c r="GO10" s="15">
        <f t="shared" si="19"/>
        <v>5.336279633915094</v>
      </c>
      <c r="GP10" s="15">
        <f t="shared" si="20"/>
        <v>5.5584259633478021</v>
      </c>
      <c r="GQ10" s="15">
        <f t="shared" si="21"/>
        <v>5.4160250130186531</v>
      </c>
      <c r="GR10" s="15">
        <f t="shared" si="22"/>
        <v>5.8533828292848087</v>
      </c>
      <c r="GS10" s="15">
        <f t="shared" si="23"/>
        <v>5.9052222685092017</v>
      </c>
      <c r="GT10" s="15"/>
      <c r="GU10" s="15">
        <f t="shared" si="65"/>
        <v>6.1343182706324946</v>
      </c>
      <c r="GV10" s="10">
        <f t="shared" si="66"/>
        <v>-0.19036897853308513</v>
      </c>
      <c r="GW10" s="506">
        <f t="shared" si="67"/>
        <v>5.6148653560693571</v>
      </c>
      <c r="GX10" s="2057"/>
      <c r="GY10" s="10">
        <f>'Bloom Cleaner Data'!T10/('Bloom Cleaner Data'!T10+'Bloom Cleaner Data'!D10)</f>
        <v>0.40984137652162594</v>
      </c>
      <c r="GZ10" s="10">
        <f>'Bloom Cleaner Data'!U10/('Bloom Cleaner Data'!U10+'Bloom Cleaner Data'!E10)</f>
        <v>0.4105705234045563</v>
      </c>
      <c r="HA10" s="10">
        <f>'Bloom Cleaner Data'!V10/('Bloom Cleaner Data'!V10+'Bloom Cleaner Data'!F10)</f>
        <v>0.43107666757578167</v>
      </c>
      <c r="HB10" s="10">
        <f>'Bloom Cleaner Data'!W10/('Bloom Cleaner Data'!W10+'Bloom Cleaner Data'!G10)</f>
        <v>0.40770629792445418</v>
      </c>
      <c r="HC10" s="10">
        <f>'Bloom Cleaner Data'!X10/('Bloom Cleaner Data'!X10+'Bloom Cleaner Data'!H10)</f>
        <v>0.36568118747128003</v>
      </c>
      <c r="HD10" s="10">
        <f>'Bloom Cleaner Data'!Y10/('Bloom Cleaner Data'!Y10+'Bloom Cleaner Data'!I10)</f>
        <v>0.38212445466595274</v>
      </c>
      <c r="HE10" s="10">
        <f>'Bloom Cleaner Data'!Z10/('Bloom Cleaner Data'!Z10+'Bloom Cleaner Data'!J10)</f>
        <v>0.35488143132012295</v>
      </c>
      <c r="HF10" s="10">
        <f>'Bloom Cleaner Data'!AA10/('Bloom Cleaner Data'!AA10+'Bloom Cleaner Data'!K10)</f>
        <v>0.36682076588858498</v>
      </c>
      <c r="HG10" s="10">
        <f>'Bloom Cleaner Data'!AB10/('Bloom Cleaner Data'!AB10+'Bloom Cleaner Data'!L10)</f>
        <v>0.36618012593671073</v>
      </c>
      <c r="HH10" s="10">
        <f>'Bloom Cleaner Data'!AC10/('Bloom Cleaner Data'!AC10+'Bloom Cleaner Data'!M10)</f>
        <v>0.40250573338211543</v>
      </c>
      <c r="HI10" s="10">
        <f>'Bloom Cleaner Data'!AD10/('Bloom Cleaner Data'!AD10+'Bloom Cleaner Data'!N10)</f>
        <v>0.40656899561009152</v>
      </c>
      <c r="HJ10" s="10">
        <f>'Bloom Cleaner Data'!AE10/('Bloom Cleaner Data'!AE10+'Bloom Cleaner Data'!O10)</f>
        <v>0.40533187784098179</v>
      </c>
      <c r="HK10" s="10">
        <f>'Bloom Cleaner Data'!AF10/('Bloom Cleaner Data'!AF10+'Bloom Cleaner Data'!P10)</f>
        <v>0.41016713091922008</v>
      </c>
      <c r="HL10" s="10">
        <f>'Bloom Cleaner Data'!AG10/('Bloom Cleaner Data'!AG10+'Bloom Cleaner Data'!Q10)</f>
        <v>0.39052290958082098</v>
      </c>
      <c r="HM10" s="10">
        <f>'Bloom Cleaner Data'!AH10/('Bloom Cleaner Data'!AH10+'Bloom Cleaner Data'!R10)</f>
        <v>0.37944762378701169</v>
      </c>
      <c r="HN10" s="15"/>
      <c r="HO10" s="10">
        <f t="shared" si="68"/>
        <v>0.3899242463002407</v>
      </c>
      <c r="HP10" s="10">
        <f t="shared" si="69"/>
        <v>-0.1197676600756727</v>
      </c>
      <c r="HQ10" s="10"/>
      <c r="HR10" s="479">
        <f t="shared" si="24"/>
        <v>0.69445969306698496</v>
      </c>
      <c r="HS10" s="480">
        <f t="shared" si="25"/>
        <v>0.69655580473514778</v>
      </c>
      <c r="HT10" s="480">
        <f t="shared" si="26"/>
        <v>0.75770607919864474</v>
      </c>
      <c r="HU10" s="480">
        <f t="shared" si="27"/>
        <v>0.68835156696035926</v>
      </c>
      <c r="HV10" s="480">
        <f t="shared" si="28"/>
        <v>0.57649431208493929</v>
      </c>
      <c r="HW10" s="480">
        <f t="shared" si="29"/>
        <v>0.61844890536873665</v>
      </c>
      <c r="HX10" s="480">
        <f t="shared" si="30"/>
        <v>0.55010264554363408</v>
      </c>
      <c r="HY10" s="480">
        <f t="shared" si="31"/>
        <v>0.5793316428062748</v>
      </c>
      <c r="HZ10" s="480">
        <f t="shared" si="32"/>
        <v>0.57773531711652559</v>
      </c>
      <c r="IA10" s="480">
        <f t="shared" si="33"/>
        <v>0.67365622713084516</v>
      </c>
      <c r="IB10" s="480">
        <f t="shared" si="34"/>
        <v>0.68511586452762929</v>
      </c>
      <c r="IC10" s="480">
        <f t="shared" si="35"/>
        <v>0.68161023390554865</v>
      </c>
      <c r="ID10" s="480">
        <f t="shared" si="36"/>
        <v>0.69539551357733187</v>
      </c>
      <c r="IE10" s="480">
        <f t="shared" si="37"/>
        <v>0.64075076113563456</v>
      </c>
      <c r="IF10" s="481">
        <f t="shared" si="38"/>
        <v>0.61146752205292698</v>
      </c>
      <c r="IG10" s="15"/>
      <c r="IH10" s="10">
        <f t="shared" si="70"/>
        <v>0.64124358395454084</v>
      </c>
      <c r="II10" s="10">
        <f t="shared" si="71"/>
        <v>-0.1930016944042216</v>
      </c>
      <c r="IJ10" s="10"/>
      <c r="IK10" s="18">
        <f>('Bloom Cleaner Data'!T10+'OPERATING LEASES'!AU10)/('Bloom Cleaner Data'!T10+'OPERATING LEASES'!AU10+'Bloom Cleaner Data'!D10)</f>
        <v>0.45714618790245432</v>
      </c>
      <c r="IL10" s="18">
        <f>('Bloom Cleaner Data'!U10+'OPERATING LEASES'!AV10)/('Bloom Cleaner Data'!U10+'OPERATING LEASES'!AV10+'Bloom Cleaner Data'!E10)</f>
        <v>0.45759858135370385</v>
      </c>
      <c r="IM10" s="18">
        <f>('Bloom Cleaner Data'!V10+'OPERATING LEASES'!AW10)/('Bloom Cleaner Data'!V10+'OPERATING LEASES'!AW10+'Bloom Cleaner Data'!F10)</f>
        <v>0.47921904004458188</v>
      </c>
      <c r="IN10" s="18">
        <f>('Bloom Cleaner Data'!W10+'OPERATING LEASES'!AX10)/('Bloom Cleaner Data'!W10+'OPERATING LEASES'!AX10+'Bloom Cleaner Data'!G10)</f>
        <v>0.45748300479233606</v>
      </c>
      <c r="IO10" s="18">
        <f>('Bloom Cleaner Data'!X10+'OPERATING LEASES'!AY10)/('Bloom Cleaner Data'!X10+'OPERATING LEASES'!AY10+'Bloom Cleaner Data'!H10)</f>
        <v>0.42956066338194404</v>
      </c>
      <c r="IP10" s="18">
        <f>('Bloom Cleaner Data'!Y10+'OPERATING LEASES'!AZ10)/('Bloom Cleaner Data'!Y10+'OPERATING LEASES'!AZ10+'Bloom Cleaner Data'!I10)</f>
        <v>0.44932069694465154</v>
      </c>
      <c r="IQ10" s="18">
        <f>('Bloom Cleaner Data'!Z10+'OPERATING LEASES'!BA10)/('Bloom Cleaner Data'!Z10+'OPERATING LEASES'!BA10+'Bloom Cleaner Data'!J10)</f>
        <v>0.42152031213288332</v>
      </c>
      <c r="IR10" s="18">
        <f>('Bloom Cleaner Data'!AA10+'OPERATING LEASES'!BB10)/('Bloom Cleaner Data'!AA10+'OPERATING LEASES'!BB10+'Bloom Cleaner Data'!K10)</f>
        <v>0.43261876851622022</v>
      </c>
      <c r="IS10" s="18">
        <f>('Bloom Cleaner Data'!AB10+'OPERATING LEASES'!BC10)/('Bloom Cleaner Data'!AB10+'OPERATING LEASES'!BC10+'Bloom Cleaner Data'!L10)</f>
        <v>0.4317184522649169</v>
      </c>
      <c r="IT10" s="18">
        <f>('Bloom Cleaner Data'!AC10+'OPERATING LEASES'!BD10)/('Bloom Cleaner Data'!AC10+'OPERATING LEASES'!BD10+'Bloom Cleaner Data'!M10)</f>
        <v>0.46675281832417964</v>
      </c>
      <c r="IU10" s="18">
        <f>('Bloom Cleaner Data'!AD10+'OPERATING LEASES'!BE10)/('Bloom Cleaner Data'!AD10+'OPERATING LEASES'!BE10+'Bloom Cleaner Data'!N10)</f>
        <v>0.46890550523374647</v>
      </c>
      <c r="IV10" s="18">
        <f>('Bloom Cleaner Data'!AE10+'OPERATING LEASES'!BF10)/('Bloom Cleaner Data'!AE10+'OPERATING LEASES'!BF10+'Bloom Cleaner Data'!O10)</f>
        <v>0.46520914151348258</v>
      </c>
      <c r="IW10" s="18">
        <f>('Bloom Cleaner Data'!AF10+'OPERATING LEASES'!BG10)/('Bloom Cleaner Data'!AF10+'OPERATING LEASES'!BG10+'Bloom Cleaner Data'!P10)</f>
        <v>0.47126048466553006</v>
      </c>
      <c r="IX10" s="18">
        <f>('Bloom Cleaner Data'!AG10+'OPERATING LEASES'!BH10)/('Bloom Cleaner Data'!AG10+'OPERATING LEASES'!BH10+'Bloom Cleaner Data'!Q10)</f>
        <v>0.44941888737738012</v>
      </c>
      <c r="IY10" s="18">
        <f>('Bloom Cleaner Data'!AH10+'OPERATING LEASES'!BI10)/('Bloom Cleaner Data'!AH10+'OPERATING LEASES'!BI10+'Bloom Cleaner Data'!R10)</f>
        <v>0.43916945384982109</v>
      </c>
      <c r="IZ10" s="15"/>
      <c r="JA10" s="10">
        <f t="shared" si="72"/>
        <v>0.45093517146474416</v>
      </c>
      <c r="JB10" s="10">
        <f t="shared" si="73"/>
        <v>-8.3572610535330494E-2</v>
      </c>
      <c r="JC10" s="10">
        <f t="shared" si="39"/>
        <v>6.101092516450346E-2</v>
      </c>
      <c r="JD10" s="10">
        <f t="shared" si="40"/>
        <v>0.15646866216553562</v>
      </c>
      <c r="JE10" s="7"/>
      <c r="JF10" s="485">
        <f t="shared" si="74"/>
        <v>0.84211656566631876</v>
      </c>
      <c r="JG10" s="452">
        <f t="shared" si="41"/>
        <v>0.84365299503780822</v>
      </c>
      <c r="JH10" s="452">
        <f t="shared" si="41"/>
        <v>0.92019308863673865</v>
      </c>
      <c r="JI10" s="452">
        <f t="shared" si="41"/>
        <v>0.84326022748323548</v>
      </c>
      <c r="JJ10" s="452">
        <f t="shared" si="41"/>
        <v>0.75303478530892609</v>
      </c>
      <c r="JK10" s="452">
        <f t="shared" si="41"/>
        <v>0.81593895839497443</v>
      </c>
      <c r="JL10" s="452">
        <f t="shared" si="41"/>
        <v>0.72866916673781523</v>
      </c>
      <c r="JM10" s="452">
        <f t="shared" si="41"/>
        <v>0.7624833965425023</v>
      </c>
      <c r="JN10" s="452">
        <f t="shared" si="41"/>
        <v>0.7596911319495665</v>
      </c>
      <c r="JO10" s="452">
        <f t="shared" si="41"/>
        <v>0.87530292585387726</v>
      </c>
      <c r="JP10" s="452">
        <f t="shared" si="41"/>
        <v>0.88290409683143534</v>
      </c>
      <c r="JQ10" s="452">
        <f t="shared" si="41"/>
        <v>0.86988985344672065</v>
      </c>
      <c r="JR10" s="452">
        <f t="shared" si="41"/>
        <v>0.89129045777374927</v>
      </c>
      <c r="JS10" s="452">
        <f t="shared" si="41"/>
        <v>0.81626281227961672</v>
      </c>
      <c r="JT10" s="486">
        <f t="shared" si="41"/>
        <v>0.78306978260100069</v>
      </c>
      <c r="JU10" s="15"/>
      <c r="JV10" s="10">
        <f t="shared" si="75"/>
        <v>0.82323005260308912</v>
      </c>
      <c r="JW10" s="10">
        <f t="shared" si="76"/>
        <v>-0.14901579649862992</v>
      </c>
      <c r="JX10" s="10">
        <f t="shared" si="77"/>
        <v>0.18198646864854828</v>
      </c>
      <c r="JY10" s="10">
        <f t="shared" si="78"/>
        <v>0.28380240083844599</v>
      </c>
      <c r="JZ10" s="7"/>
      <c r="KA10" s="15">
        <f>'Bloom Cleaner Data'!T10/'Bloom Cleaner Data'!BU10*'Bloom Cleaner Data'!DA10</f>
        <v>3.1884429569252934</v>
      </c>
      <c r="KB10" s="15">
        <f>'Bloom Cleaner Data'!U10/'Bloom Cleaner Data'!BV10*'Bloom Cleaner Data'!DB10</f>
        <v>3.3223777324420101</v>
      </c>
      <c r="KC10" s="15">
        <f>'Bloom Cleaner Data'!V10/'Bloom Cleaner Data'!BW10*'Bloom Cleaner Data'!DC10</f>
        <v>3.204968808092421</v>
      </c>
      <c r="KD10" s="15">
        <f>'Bloom Cleaner Data'!W10/'Bloom Cleaner Data'!BX10*'Bloom Cleaner Data'!DD10</f>
        <v>3.0273415739784495</v>
      </c>
      <c r="KE10" s="15">
        <f>'Bloom Cleaner Data'!X10/'Bloom Cleaner Data'!BY10*'Bloom Cleaner Data'!DE10</f>
        <v>2.1170015305087344</v>
      </c>
      <c r="KF10" s="15">
        <f>'Bloom Cleaner Data'!Y10/'Bloom Cleaner Data'!BZ10*'Bloom Cleaner Data'!DF10</f>
        <v>2.0136812387531711</v>
      </c>
      <c r="KG10" s="15">
        <f>'Bloom Cleaner Data'!Z10/'Bloom Cleaner Data'!CA10*'Bloom Cleaner Data'!DG10</f>
        <v>2.1108702416352232</v>
      </c>
      <c r="KH10" s="15">
        <f>'Bloom Cleaner Data'!AA10/'Bloom Cleaner Data'!CB10*'Bloom Cleaner Data'!DH10</f>
        <v>2.1483958616562644</v>
      </c>
      <c r="KI10" s="15">
        <f>'Bloom Cleaner Data'!AB10/'Bloom Cleaner Data'!CC10*'Bloom Cleaner Data'!DI10</f>
        <v>1.986380711156281</v>
      </c>
      <c r="KJ10" s="15">
        <f>'Bloom Cleaner Data'!AC10/'Bloom Cleaner Data'!CD10*'Bloom Cleaner Data'!DJ10</f>
        <v>2.0721397660244687</v>
      </c>
      <c r="KK10" s="15">
        <f>'Bloom Cleaner Data'!AD10/'Bloom Cleaner Data'!CE10*'Bloom Cleaner Data'!DK10</f>
        <v>2.1252581107526312</v>
      </c>
      <c r="KL10" s="15">
        <f>'Bloom Cleaner Data'!AE10/'Bloom Cleaner Data'!CF10*'Bloom Cleaner Data'!DL10</f>
        <v>2.2174085709168749</v>
      </c>
      <c r="KM10" s="15">
        <f>'Bloom Cleaner Data'!AF10/'Bloom Cleaner Data'!CG10*'Bloom Cleaner Data'!DM10</f>
        <v>2.1798332172701951</v>
      </c>
      <c r="KN10" s="15">
        <f>'Bloom Cleaner Data'!AG10/'Bloom Cleaner Data'!CH10*'Bloom Cleaner Data'!DN10</f>
        <v>2.2621820583288215</v>
      </c>
      <c r="KO10" s="15">
        <f>'Bloom Cleaner Data'!AH10/'Bloom Cleaner Data'!CI10*'Bloom Cleaner Data'!DO10</f>
        <v>2.2194650410549888</v>
      </c>
      <c r="KP10" s="15"/>
      <c r="KQ10" s="15">
        <f t="shared" si="79"/>
        <v>2.2204934388846684</v>
      </c>
      <c r="KR10" s="15">
        <f t="shared" si="80"/>
        <v>2.2197222218927202</v>
      </c>
      <c r="KS10" s="15">
        <f t="shared" si="81"/>
        <v>2.2834559023175789</v>
      </c>
      <c r="KT10" s="18">
        <f t="shared" si="82"/>
        <v>-0.30749246749268627</v>
      </c>
      <c r="KU10" s="18"/>
      <c r="KV10" s="1694" t="s">
        <v>39</v>
      </c>
      <c r="KW10" s="506">
        <f>('Bloom Cleaner Data'!T10+'OPERATING LEASES'!AU10)/DK10</f>
        <v>3.4539648084509533</v>
      </c>
      <c r="KX10" s="506">
        <f>('Bloom Cleaner Data'!U10+'OPERATING LEASES'!AV10)/DL10</f>
        <v>3.5935597625291371</v>
      </c>
      <c r="KY10" s="506">
        <f>('Bloom Cleaner Data'!V10+'OPERATING LEASES'!AW10)/DM10</f>
        <v>3.4952896711363342</v>
      </c>
      <c r="KZ10" s="506">
        <f>('Bloom Cleaner Data'!W10+'OPERATING LEASES'!AX10)/DN10</f>
        <v>3.3446915917927194</v>
      </c>
      <c r="LA10" s="506">
        <f>('Bloom Cleaner Data'!X10+'OPERATING LEASES'!AY10)/DO10</f>
        <v>2.5141116078107553</v>
      </c>
      <c r="LB10" s="506">
        <f>('Bloom Cleaner Data'!Y10+'OPERATING LEASES'!AZ10)/DP10</f>
        <v>2.4171752991787065</v>
      </c>
      <c r="LC10" s="506">
        <f>('Bloom Cleaner Data'!Z10+'OPERATING LEASES'!BA10)/DQ10</f>
        <v>2.5290151724493271</v>
      </c>
      <c r="LD10" s="506">
        <f>('Bloom Cleaner Data'!AA10+'OPERATING LEASES'!BB10)/DR10</f>
        <v>2.5596704962049985</v>
      </c>
      <c r="LE10" s="506">
        <f>('Bloom Cleaner Data'!AB10+'OPERATING LEASES'!BC10)/DS10</f>
        <v>2.3823015969248087</v>
      </c>
      <c r="LF10" s="506">
        <f>('Bloom Cleaner Data'!AC10+'OPERATING LEASES'!BD10)/DT10</f>
        <v>2.4574897791080925</v>
      </c>
      <c r="LG10" s="506">
        <f>('Bloom Cleaner Data'!AD10+'OPERATING LEASES'!BE10)/DU10</f>
        <v>2.5022108978095088</v>
      </c>
      <c r="LH10" s="506">
        <f>('Bloom Cleaner Data'!AE10+'OPERATING LEASES'!BF10)/DV10</f>
        <v>2.5858305705752835</v>
      </c>
      <c r="LI10" s="506">
        <f>('Bloom Cleaner Data'!AF10+'OPERATING LEASES'!BG10)/DW10</f>
        <v>2.5523585725958045</v>
      </c>
      <c r="LJ10" s="506">
        <f>('Bloom Cleaner Data'!AG10+'OPERATING LEASES'!BH10)/DX10</f>
        <v>2.6306207985310399</v>
      </c>
      <c r="LK10" s="506">
        <f>('Bloom Cleaner Data'!AH10+'OPERATING LEASES'!BI10)/DY10</f>
        <v>2.5933932385229874</v>
      </c>
      <c r="LL10" s="15"/>
      <c r="LM10" s="15">
        <f t="shared" si="83"/>
        <v>2.5921242032166103</v>
      </c>
      <c r="LN10" s="15">
        <f t="shared" si="84"/>
        <v>2.5905507950562789</v>
      </c>
      <c r="LO10" s="15">
        <f t="shared" si="85"/>
        <v>0.37082857316355877</v>
      </c>
      <c r="LP10" s="15">
        <f t="shared" si="86"/>
        <v>2.6587814840492587</v>
      </c>
      <c r="LQ10" s="18">
        <f t="shared" si="87"/>
        <v>-0.25803195656746131</v>
      </c>
      <c r="LR10" s="15">
        <f t="shared" si="88"/>
        <v>0.37532558173167985</v>
      </c>
      <c r="LS10" s="18"/>
      <c r="LT10" s="15">
        <f t="shared" si="89"/>
        <v>3.4539648084509533</v>
      </c>
      <c r="LU10" s="15">
        <f t="shared" si="90"/>
        <v>3.5935597625291371</v>
      </c>
      <c r="LV10" s="15">
        <f t="shared" si="91"/>
        <v>3.4952896711363342</v>
      </c>
      <c r="LW10" s="15">
        <f t="shared" si="92"/>
        <v>3.3446915917927194</v>
      </c>
      <c r="LX10" s="15">
        <f t="shared" si="93"/>
        <v>2.5141116078107553</v>
      </c>
      <c r="LY10" s="15">
        <f t="shared" si="94"/>
        <v>2.4171752991787065</v>
      </c>
      <c r="LZ10" s="15">
        <f t="shared" si="95"/>
        <v>2.5290151724493271</v>
      </c>
      <c r="MA10" s="15">
        <f t="shared" si="96"/>
        <v>2.5596704962049985</v>
      </c>
      <c r="MB10" s="15">
        <f t="shared" si="97"/>
        <v>2.3823015969248087</v>
      </c>
      <c r="MC10" s="15">
        <f t="shared" si="98"/>
        <v>2.4574897791080925</v>
      </c>
      <c r="MD10" s="15">
        <f t="shared" si="99"/>
        <v>2.5022108978095088</v>
      </c>
      <c r="ME10" s="15">
        <f t="shared" si="100"/>
        <v>2.5858305705752835</v>
      </c>
      <c r="MF10" s="15">
        <f t="shared" si="101"/>
        <v>2.5523585725958045</v>
      </c>
      <c r="MG10" s="15">
        <f t="shared" si="102"/>
        <v>2.6306207985310399</v>
      </c>
      <c r="MH10" s="15">
        <f t="shared" si="103"/>
        <v>2.5933932385229874</v>
      </c>
      <c r="MI10" s="15"/>
      <c r="MJ10" s="15">
        <f t="shared" si="104"/>
        <v>2.5921242032166103</v>
      </c>
      <c r="MK10" s="15">
        <f t="shared" si="105"/>
        <v>2.5905507950562789</v>
      </c>
      <c r="ML10" s="506">
        <f t="shared" si="106"/>
        <v>2.6587814840492587</v>
      </c>
      <c r="MM10" s="10">
        <f t="shared" si="107"/>
        <v>-0.25803195656746131</v>
      </c>
      <c r="MN10" s="18"/>
      <c r="MO10" s="15">
        <f>('Bloom Cleaner Data'!T10+'Bloom Cleaner Data'!EY10)/'Bloom Cleaner Data'!GV10</f>
        <v>3.2607718398191241</v>
      </c>
      <c r="MP10" s="15">
        <f>('Bloom Cleaner Data'!U10+'Bloom Cleaner Data'!EZ10)/'Bloom Cleaner Data'!GW10</f>
        <v>3.3761570506332514</v>
      </c>
      <c r="MQ10" s="15">
        <f>('Bloom Cleaner Data'!V10+'Bloom Cleaner Data'!FA10)/'Bloom Cleaner Data'!GX10</f>
        <v>3.2449300428139569</v>
      </c>
      <c r="MR10" s="15">
        <f>('Bloom Cleaner Data'!W10+'Bloom Cleaner Data'!FB10)/'Bloom Cleaner Data'!GY10</f>
        <v>3.0849276659803455</v>
      </c>
      <c r="MS10" s="15">
        <f>('Bloom Cleaner Data'!X10+'Bloom Cleaner Data'!FC10)/'Bloom Cleaner Data'!GZ10</f>
        <v>2.1941166960657745</v>
      </c>
      <c r="MT10" s="15">
        <f>('Bloom Cleaner Data'!Y10+'Bloom Cleaner Data'!FD10)/'Bloom Cleaner Data'!HA10</f>
        <v>2.0605863379008262</v>
      </c>
      <c r="MU10" s="15">
        <f>('Bloom Cleaner Data'!Z10+'Bloom Cleaner Data'!FE10)/'Bloom Cleaner Data'!HB10</f>
        <v>2.2165970663934633</v>
      </c>
      <c r="MV10" s="15">
        <f>('Bloom Cleaner Data'!AA10+'Bloom Cleaner Data'!FF10)/'Bloom Cleaner Data'!HC10</f>
        <v>2.2382373319061246</v>
      </c>
      <c r="MW10" s="15">
        <f>('Bloom Cleaner Data'!AB10+'Bloom Cleaner Data'!FG10)/'Bloom Cleaner Data'!HD10</f>
        <v>2.1224867752541918</v>
      </c>
      <c r="MX10" s="15">
        <f>('Bloom Cleaner Data'!AC10+'Bloom Cleaner Data'!FH10)/'Bloom Cleaner Data'!HE10</f>
        <v>2.4443402800210596</v>
      </c>
      <c r="MY10" s="15">
        <f>('Bloom Cleaner Data'!AD10+'Bloom Cleaner Data'!FI10)/'Bloom Cleaner Data'!HF10</f>
        <v>2.2092141464360644</v>
      </c>
      <c r="MZ10" s="15">
        <f>('Bloom Cleaner Data'!AE10+'Bloom Cleaner Data'!FJ10)/'Bloom Cleaner Data'!HG10</f>
        <v>2.2418556776994127</v>
      </c>
      <c r="NA10" s="15">
        <f>('Bloom Cleaner Data'!AF10+'Bloom Cleaner Data'!FK10)/'Bloom Cleaner Data'!HH10</f>
        <v>2.2721660595671738</v>
      </c>
      <c r="NB10" s="15">
        <f>('Bloom Cleaner Data'!AG10+'Bloom Cleaner Data'!FL10)/'Bloom Cleaner Data'!HI10</f>
        <v>2.2833445301748543</v>
      </c>
      <c r="NC10" s="15">
        <f>('Bloom Cleaner Data'!AH10+'Bloom Cleaner Data'!FM10)/'Bloom Cleaner Data'!HJ10</f>
        <v>2.2609512685116067</v>
      </c>
      <c r="ND10" s="15"/>
      <c r="NE10" s="15">
        <f t="shared" si="43"/>
        <v>4.1486227456617897E-2</v>
      </c>
      <c r="NF10" s="15">
        <f t="shared" si="108"/>
        <v>2.2721539527512111</v>
      </c>
      <c r="NG10" s="15">
        <f t="shared" si="44"/>
        <v>5.166051386654269E-2</v>
      </c>
      <c r="NH10" s="15">
        <f t="shared" si="109"/>
        <v>2.264579383988262</v>
      </c>
      <c r="NI10" s="15">
        <f t="shared" si="110"/>
        <v>2.3749041445172967</v>
      </c>
      <c r="NJ10" s="18">
        <f t="shared" si="111"/>
        <v>-0.30323574355059374</v>
      </c>
      <c r="NK10" s="15">
        <f t="shared" si="45"/>
        <v>9.1448242199717811E-2</v>
      </c>
      <c r="NL10" s="2818"/>
      <c r="NM10" s="1694" t="s">
        <v>39</v>
      </c>
      <c r="NN10" s="15">
        <f>KW10+'Bloom Cleaner Data'!EY10/CALCULATIONS!DK10</f>
        <v>3.5185786924523885</v>
      </c>
      <c r="NO10" s="15">
        <f>KX10+'Bloom Cleaner Data'!EZ10/CALCULATIONS!DL10</f>
        <v>3.6415865148377669</v>
      </c>
      <c r="NP10" s="15">
        <f>KY10+'Bloom Cleaner Data'!FA10/CALCULATIONS!DM10</f>
        <v>3.5311752593784753</v>
      </c>
      <c r="NQ10" s="15">
        <f>KZ10+'Bloom Cleaner Data'!FB10/CALCULATIONS!DN10</f>
        <v>3.3966266889339947</v>
      </c>
      <c r="NR10" s="15">
        <f>LA10+'Bloom Cleaner Data'!FC10/CALCULATIONS!DO10</f>
        <v>2.5842221240629857</v>
      </c>
      <c r="NS10" s="15">
        <f>LB10+'Bloom Cleaner Data'!FD10/CALCULATIONS!DP10</f>
        <v>2.4598512924038749</v>
      </c>
      <c r="NT10" s="15">
        <f>LC10+'Bloom Cleaner Data'!FE10/CALCULATIONS!DQ10</f>
        <v>2.6246439111093736</v>
      </c>
      <c r="NU10" s="15">
        <f>LD10+'Bloom Cleaner Data'!FF10/CALCULATIONS!DR10</f>
        <v>2.6409991277729157</v>
      </c>
      <c r="NV10" s="15">
        <f>LE10+'Bloom Cleaner Data'!FG10/CALCULATIONS!DS10</f>
        <v>2.5064392664239827</v>
      </c>
      <c r="NW10" s="15">
        <f>LF10+'Bloom Cleaner Data'!FH10/CALCULATIONS!DT10</f>
        <v>2.7972164098524939</v>
      </c>
      <c r="NX10" s="15">
        <f>LG10+'Bloom Cleaner Data'!FI10/CALCULATIONS!DU10</f>
        <v>2.5789143029964423</v>
      </c>
      <c r="NY10" s="15">
        <f>LH10+'Bloom Cleaner Data'!FJ10/CALCULATIONS!DV10</f>
        <v>2.6081690522086469</v>
      </c>
      <c r="NZ10" s="15">
        <f>LI10+'Bloom Cleaner Data'!FK10/CALCULATIONS!DW10</f>
        <v>2.6367089932821313</v>
      </c>
      <c r="OA10" s="15">
        <f>LJ10+'Bloom Cleaner Data'!FL10/CALCULATIONS!DX10</f>
        <v>2.6499385337384713</v>
      </c>
      <c r="OB10" s="15">
        <f>LK10+'Bloom Cleaner Data'!FM10/CALCULATIONS!DY10</f>
        <v>2.6312459451226378</v>
      </c>
      <c r="OC10" s="15"/>
      <c r="OD10" s="15">
        <f t="shared" si="46"/>
        <v>3.7852706599650343E-2</v>
      </c>
      <c r="OE10" s="15">
        <f t="shared" si="112"/>
        <v>2.6392978240477469</v>
      </c>
      <c r="OF10" s="15">
        <f t="shared" si="47"/>
        <v>4.7173620831136631E-2</v>
      </c>
      <c r="OG10" s="15">
        <f t="shared" si="113"/>
        <v>2.6315156310879719</v>
      </c>
      <c r="OH10" s="15">
        <f t="shared" si="114"/>
        <v>2.7420116082528021</v>
      </c>
      <c r="OI10" s="18">
        <f t="shared" si="115"/>
        <v>-0.25485263351506227</v>
      </c>
      <c r="OJ10" s="15">
        <f t="shared" si="48"/>
        <v>8.3230124203543365E-2</v>
      </c>
      <c r="OK10" s="15"/>
      <c r="OL10" s="13">
        <f>'Bloom Cleaner Data'!GF10+('Bloom Cleaner Data'!T10+'Bloom Cleaner Data'!EY10)+'Bloom Cleaner Data'!CK10</f>
        <v>61476</v>
      </c>
      <c r="OM10" s="13">
        <f>'Bloom Cleaner Data'!GG10+('Bloom Cleaner Data'!U10+'Bloom Cleaner Data'!EZ10)+'Bloom Cleaner Data'!CL10</f>
        <v>61598</v>
      </c>
      <c r="ON10" s="13">
        <f>'Bloom Cleaner Data'!GH10+('Bloom Cleaner Data'!V10+'Bloom Cleaner Data'!FA10)+'Bloom Cleaner Data'!CM10</f>
        <v>62429</v>
      </c>
      <c r="OO10" s="13">
        <f>'Bloom Cleaner Data'!GI10+('Bloom Cleaner Data'!W10+'Bloom Cleaner Data'!FB10)+'Bloom Cleaner Data'!CN10</f>
        <v>60529</v>
      </c>
      <c r="OP10" s="13">
        <f>'Bloom Cleaner Data'!GJ10+('Bloom Cleaner Data'!X10+'Bloom Cleaner Data'!FC10)+'Bloom Cleaner Data'!CO10</f>
        <v>44499</v>
      </c>
      <c r="OQ10" s="13">
        <f>'Bloom Cleaner Data'!GK10+('Bloom Cleaner Data'!Y10+'Bloom Cleaner Data'!FD10)+'Bloom Cleaner Data'!CP10</f>
        <v>44542</v>
      </c>
      <c r="OR10" s="13">
        <f>'Bloom Cleaner Data'!GL10+('Bloom Cleaner Data'!Z10+'Bloom Cleaner Data'!FE10)+'Bloom Cleaner Data'!CQ10</f>
        <v>42972</v>
      </c>
      <c r="OS10" s="13">
        <f>'Bloom Cleaner Data'!GM10+('Bloom Cleaner Data'!AA10+'Bloom Cleaner Data'!FF10)+'Bloom Cleaner Data'!CR10</f>
        <v>43017</v>
      </c>
      <c r="OT10" s="13">
        <f>'Bloom Cleaner Data'!GN10+('Bloom Cleaner Data'!AB10+'Bloom Cleaner Data'!FG10)+'Bloom Cleaner Data'!CS10</f>
        <v>45464</v>
      </c>
      <c r="OU10" s="13">
        <f>'Bloom Cleaner Data'!GO10+('Bloom Cleaner Data'!AC10+'Bloom Cleaner Data'!FH10)+'Bloom Cleaner Data'!CT10</f>
        <v>47229</v>
      </c>
      <c r="OV10" s="13">
        <f>'Bloom Cleaner Data'!GP10+('Bloom Cleaner Data'!AD10+'Bloom Cleaner Data'!FI10)+'Bloom Cleaner Data'!CU10</f>
        <v>45240</v>
      </c>
      <c r="OW10" s="13">
        <f>'Bloom Cleaner Data'!GQ10+('Bloom Cleaner Data'!AE10+'Bloom Cleaner Data'!FJ10)+'Bloom Cleaner Data'!CV10</f>
        <v>45372</v>
      </c>
      <c r="OX10" s="13">
        <f>'Bloom Cleaner Data'!GR10+('Bloom Cleaner Data'!AF10+'Bloom Cleaner Data'!FK10)+'Bloom Cleaner Data'!CW10</f>
        <v>45457</v>
      </c>
      <c r="OY10" s="13">
        <f>'Bloom Cleaner Data'!GS10+('Bloom Cleaner Data'!AG10+'Bloom Cleaner Data'!FL10)+'Bloom Cleaner Data'!CX10</f>
        <v>44339</v>
      </c>
      <c r="OZ10" s="13">
        <f>'Bloom Cleaner Data'!GT10+('Bloom Cleaner Data'!AH10+'Bloom Cleaner Data'!FM10)+'Bloom Cleaner Data'!CY10</f>
        <v>44790</v>
      </c>
      <c r="PA10" s="166"/>
      <c r="PB10" s="1694" t="s">
        <v>39</v>
      </c>
      <c r="PC10" s="947">
        <f>('Bloom Cleaner Data'!T10+'Bloom Cleaner Data'!EY10+'OPERATING LEASES'!BL10)/CALCULATIONS!OL10</f>
        <v>0.58002426033852927</v>
      </c>
      <c r="PD10" s="947">
        <f>('Bloom Cleaner Data'!U10+'Bloom Cleaner Data'!EZ10+'OPERATING LEASES'!BM10)/CALCULATIONS!OM10</f>
        <v>0.57514586222651021</v>
      </c>
      <c r="PE10" s="947">
        <f>('Bloom Cleaner Data'!V10+'Bloom Cleaner Data'!FA10+'OPERATING LEASES'!BN10)/CALCULATIONS!ON10</f>
        <v>0.55330212263989043</v>
      </c>
      <c r="PF10" s="947">
        <f>('Bloom Cleaner Data'!W10+'Bloom Cleaner Data'!FB10+'OPERATING LEASES'!BO10)/CALCULATIONS!OO10</f>
        <v>0.54425748991628564</v>
      </c>
      <c r="PG10" s="947">
        <f>('Bloom Cleaner Data'!X10+'Bloom Cleaner Data'!FC10+'OPERATING LEASES'!BP10)/CALCULATIONS!OP10</f>
        <v>0.55553214678981555</v>
      </c>
      <c r="PH10" s="947">
        <f>('Bloom Cleaner Data'!Y10+'Bloom Cleaner Data'!FD10+'OPERATING LEASES'!BQ10)/CALCULATIONS!OQ10</f>
        <v>0.52409313120201162</v>
      </c>
      <c r="PI10" s="947">
        <f>('Bloom Cleaner Data'!Z10+'Bloom Cleaner Data'!FE10+'OPERATING LEASES'!BR10)/CALCULATIONS!OR10</f>
        <v>0.54537111374848735</v>
      </c>
      <c r="PJ10" s="947">
        <f>('Bloom Cleaner Data'!AA10+'Bloom Cleaner Data'!FF10+'OPERATING LEASES'!BS10)/CALCULATIONS!OS10</f>
        <v>0.55167070576748722</v>
      </c>
      <c r="PK10" s="947">
        <f>('Bloom Cleaner Data'!AB10+'Bloom Cleaner Data'!FG10+'OPERATING LEASES'!BT10)/CALCULATIONS!OT10</f>
        <v>0.53393344184409641</v>
      </c>
      <c r="PL10" s="947">
        <f>('Bloom Cleaner Data'!AC10+'Bloom Cleaner Data'!FH10+'OPERATING LEASES'!BU10)/CALCULATIONS!OU10</f>
        <v>0.58532628258061781</v>
      </c>
      <c r="PM10" s="947">
        <f>('Bloom Cleaner Data'!AD10+'Bloom Cleaner Data'!FI10+'OPERATING LEASES'!BV10)/CALCULATIONS!OV10</f>
        <v>0.5525641025641026</v>
      </c>
      <c r="PN10" s="947">
        <f>('Bloom Cleaner Data'!AE10+'Bloom Cleaner Data'!FJ10+'OPERATING LEASES'!BW10)/CALCULATIONS!OW10</f>
        <v>0.55182987304945785</v>
      </c>
      <c r="PO10" s="947">
        <f>('Bloom Cleaner Data'!AF10+'Bloom Cleaner Data'!FK10+'OPERATING LEASES'!BX10)/CALCULATIONS!OX10</f>
        <v>0.54867787139494473</v>
      </c>
      <c r="PP10" s="947">
        <f>('Bloom Cleaner Data'!AG10+'Bloom Cleaner Data'!FL10+'OPERATING LEASES'!BY10)/CALCULATIONS!OY10</f>
        <v>0.56027988903673964</v>
      </c>
      <c r="PQ10" s="947">
        <f>('Bloom Cleaner Data'!AH10+'Bloom Cleaner Data'!FM10+'OPERATING LEASES'!BZ10)/CALCULATIONS!OZ10</f>
        <v>0.54669010939941953</v>
      </c>
      <c r="PR10" s="947"/>
      <c r="PS10" s="18">
        <f t="shared" si="116"/>
        <v>0.55188262327703475</v>
      </c>
      <c r="PT10" s="18">
        <f t="shared" si="117"/>
        <v>0.55186943572014047</v>
      </c>
      <c r="PU10" s="18">
        <f t="shared" si="118"/>
        <v>0.55027140614871961</v>
      </c>
      <c r="PV10" s="10">
        <f t="shared" si="119"/>
        <v>-1.1950095562482121E-2</v>
      </c>
      <c r="PW10" s="10"/>
      <c r="PX10" s="506">
        <f>'Bloom Cleaner Data'!D10/'Bloom Cleaner Data'!GF10</f>
        <v>1.7886600376689563</v>
      </c>
      <c r="PY10" s="506">
        <f>'Bloom Cleaner Data'!E10/'Bloom Cleaner Data'!GG10</f>
        <v>1.7651329243353784</v>
      </c>
      <c r="PZ10" s="506">
        <f>'Bloom Cleaner Data'!F10/'Bloom Cleaner Data'!GH10</f>
        <v>1.4972870865599723</v>
      </c>
      <c r="QA10" s="506">
        <f>'Bloom Cleaner Data'!G10/'Bloom Cleaner Data'!GI10</f>
        <v>1.5802180576842693</v>
      </c>
      <c r="QB10" s="506">
        <f>'Bloom Cleaner Data'!H10/'Bloom Cleaner Data'!GJ10</f>
        <v>1.8974798801246704</v>
      </c>
      <c r="QC10" s="506">
        <f>'Bloom Cleaner Data'!I10/'Bloom Cleaner Data'!GK10</f>
        <v>1.5804257038933045</v>
      </c>
      <c r="QD10" s="506">
        <f>'Bloom Cleaner Data'!J10/'Bloom Cleaner Data'!GL10</f>
        <v>1.8796961460052422</v>
      </c>
      <c r="QE10" s="506">
        <f>'Bloom Cleaner Data'!K10/'Bloom Cleaner Data'!GM10</f>
        <v>1.846173695075199</v>
      </c>
      <c r="QF10" s="506">
        <f>'Bloom Cleaner Data'!L10/'Bloom Cleaner Data'!GN10</f>
        <v>1.6909778097464483</v>
      </c>
      <c r="QG10" s="506">
        <f>'Bloom Cleaner Data'!M10/'Bloom Cleaner Data'!GO10</f>
        <v>1.6232</v>
      </c>
      <c r="QH10" s="506">
        <f>'Bloom Cleaner Data'!N10/'Bloom Cleaner Data'!GP10</f>
        <v>1.5826593943953358</v>
      </c>
      <c r="QI10" s="506">
        <f>'Bloom Cleaner Data'!O10/'Bloom Cleaner Data'!GQ10</f>
        <v>1.6333036634498266</v>
      </c>
      <c r="QJ10" s="506">
        <f>'Bloom Cleaner Data'!P10/'Bloom Cleaner Data'!GR10</f>
        <v>1.5354901687351834</v>
      </c>
      <c r="QK10" s="506">
        <f>'Bloom Cleaner Data'!Q10/'Bloom Cleaner Data'!GS10</f>
        <v>1.7990265443544453</v>
      </c>
      <c r="QL10" s="506">
        <f>'Bloom Cleaner Data'!R10/'Bloom Cleaner Data'!GT10</f>
        <v>1.7703056194544857</v>
      </c>
      <c r="QM10" s="506"/>
      <c r="QN10" s="506">
        <f t="shared" si="120"/>
        <v>1.6858649053444912</v>
      </c>
      <c r="QO10" s="10">
        <f t="shared" si="121"/>
        <v>0.18234214089281661</v>
      </c>
      <c r="QP10" s="506">
        <f t="shared" si="122"/>
        <v>1.7281519740688145</v>
      </c>
      <c r="QQ10" s="18"/>
      <c r="QR10" s="506">
        <f>'Bloom Cleaner Data'!GF10/CALCULATIONS!DK10</f>
        <v>2.2930730681400568</v>
      </c>
      <c r="QS10" s="506">
        <f>'Bloom Cleaner Data'!GG10/CALCULATIONS!DL10</f>
        <v>2.4131460279257246</v>
      </c>
      <c r="QT10" s="506">
        <f>'Bloom Cleaner Data'!GH10/CALCULATIONS!DM10</f>
        <v>2.5368753439791107</v>
      </c>
      <c r="QU10" s="506">
        <f>'Bloom Cleaner Data'!GI10/CALCULATIONS!DN10</f>
        <v>2.5100214961813703</v>
      </c>
      <c r="QV10" s="506">
        <f>'Bloom Cleaner Data'!GJ10/CALCULATIONS!DO10</f>
        <v>1.7595124144888867</v>
      </c>
      <c r="QW10" s="506">
        <f>'Bloom Cleaner Data'!GK10/CALCULATIONS!DP10</f>
        <v>1.8744609331977713</v>
      </c>
      <c r="QX10" s="506">
        <f>'Bloom Cleaner Data'!GL10/CALCULATIONS!DQ10</f>
        <v>1.846432309160519</v>
      </c>
      <c r="QY10" s="506">
        <f>'Bloom Cleaner Data'!GM10/CALCULATIONS!DR10</f>
        <v>1.8183652064624689</v>
      </c>
      <c r="QZ10" s="506">
        <f>'Bloom Cleaner Data'!GN10/CALCULATIONS!DS10</f>
        <v>1.8544783884080749</v>
      </c>
      <c r="RA10" s="506">
        <f>'Bloom Cleaner Data'!GO10/CALCULATIONS!DT10</f>
        <v>1.7296622461375666</v>
      </c>
      <c r="RB10" s="506">
        <f>'Bloom Cleaner Data'!GP10/CALCULATIONS!DU10</f>
        <v>1.7907003529261316</v>
      </c>
      <c r="RC10" s="506">
        <f>'Bloom Cleaner Data'!GQ10/CALCULATIONS!DV10</f>
        <v>1.8199894234571612</v>
      </c>
      <c r="RD10" s="506">
        <f>'Bloom Cleaner Data'!GR10/CALCULATIONS!DW10</f>
        <v>1.8649852006422896</v>
      </c>
      <c r="RE10" s="506">
        <f>'Bloom Cleaner Data'!GS10/CALCULATIONS!DX10</f>
        <v>1.7913921508646833</v>
      </c>
      <c r="RF10" s="506">
        <f>'Bloom Cleaner Data'!GT10/CALCULATIONS!DY10</f>
        <v>1.870766828953943</v>
      </c>
      <c r="RG10" s="506"/>
      <c r="RH10" s="506">
        <f t="shared" si="123"/>
        <v>1.9282801765276909</v>
      </c>
      <c r="RI10" s="506">
        <f t="shared" si="124"/>
        <v>1.8207524563347595</v>
      </c>
      <c r="RJ10" s="18"/>
      <c r="RK10" s="506">
        <f>'Bloom Cleaner Data'!GF10/($RK$1*DK10+(1-$RK$1)*'Bloom Cleaner Data'!GV10)</f>
        <v>2.2930730681400568</v>
      </c>
      <c r="RL10" s="506">
        <f>'Bloom Cleaner Data'!GG10/($RK$1*DL10+(1-$RK$1)*'Bloom Cleaner Data'!GW10)</f>
        <v>2.4131460279257246</v>
      </c>
      <c r="RM10" s="506">
        <f>'Bloom Cleaner Data'!GH10/($RK$1*DM10+(1-$RK$1)*'Bloom Cleaner Data'!GX10)</f>
        <v>2.5368753439791107</v>
      </c>
      <c r="RN10" s="506">
        <f>'Bloom Cleaner Data'!GI10/($RK$1*DN10+(1-$RK$1)*'Bloom Cleaner Data'!GY10)</f>
        <v>2.5100214961813703</v>
      </c>
      <c r="RO10" s="506">
        <f>'Bloom Cleaner Data'!GJ10/($RK$1*DO10+(1-$RK$1)*'Bloom Cleaner Data'!GZ10)</f>
        <v>1.7595124144888867</v>
      </c>
      <c r="RP10" s="506">
        <f>'Bloom Cleaner Data'!GK10/($RK$1*DP10+(1-$RK$1)*'Bloom Cleaner Data'!HA10)</f>
        <v>1.8744609331977713</v>
      </c>
      <c r="RQ10" s="506">
        <f>'Bloom Cleaner Data'!GL10/($RK$1*DQ10+(1-$RK$1)*'Bloom Cleaner Data'!HB10)</f>
        <v>1.846432309160519</v>
      </c>
      <c r="RR10" s="506">
        <f>'Bloom Cleaner Data'!GM10/($RK$1*DR10+(1-$RK$1)*'Bloom Cleaner Data'!HC10)</f>
        <v>1.8183652064624689</v>
      </c>
      <c r="RS10" s="506">
        <f>'Bloom Cleaner Data'!GN10/($RK$1*DS10+(1-$RK$1)*'Bloom Cleaner Data'!HD10)</f>
        <v>1.8544783884080749</v>
      </c>
      <c r="RT10" s="506">
        <f>'Bloom Cleaner Data'!GO10/($RK$1*DT10+(1-$RK$1)*'Bloom Cleaner Data'!HE10)</f>
        <v>1.7296622461375666</v>
      </c>
      <c r="RU10" s="506">
        <f>'Bloom Cleaner Data'!GP10/($RK$1*DU10+(1-$RK$1)*'Bloom Cleaner Data'!HF10)</f>
        <v>1.7907003529261316</v>
      </c>
      <c r="RV10" s="506">
        <f>'Bloom Cleaner Data'!GQ10/($RK$1*DV10+(1-$RK$1)*'Bloom Cleaner Data'!HG10)</f>
        <v>1.8199894234571612</v>
      </c>
      <c r="RW10" s="506">
        <f>'Bloom Cleaner Data'!GR10/($RK$1*DW10+(1-$RK$1)*'Bloom Cleaner Data'!HH10)</f>
        <v>1.8649852006422896</v>
      </c>
      <c r="RX10" s="506">
        <f>'Bloom Cleaner Data'!GS10/($RK$1*DX10+(1-$RK$1)*'Bloom Cleaner Data'!HI10)</f>
        <v>1.7913921508646833</v>
      </c>
      <c r="RY10" s="506">
        <f>'Bloom Cleaner Data'!GT10/($RK$1*DY10+(1-$RK$1)*'Bloom Cleaner Data'!HJ10)</f>
        <v>1.870766828953943</v>
      </c>
      <c r="RZ10" s="506"/>
      <c r="SA10" s="506">
        <f t="shared" si="125"/>
        <v>1.9282801765276909</v>
      </c>
      <c r="SB10" s="506">
        <f t="shared" si="126"/>
        <v>1.8207524563347595</v>
      </c>
      <c r="SC10" s="18"/>
      <c r="SD10" s="15">
        <f>'Bloom Cleaner Data'!HM10</f>
        <v>5.8493000000000004</v>
      </c>
      <c r="SE10" s="15">
        <f>'Bloom Cleaner Data'!HN10</f>
        <v>6.3597999999999999</v>
      </c>
      <c r="SF10" s="15">
        <f>'Bloom Cleaner Data'!HO10</f>
        <v>6.1060999999999996</v>
      </c>
      <c r="SG10" s="15">
        <f>'Bloom Cleaner Data'!HP10</f>
        <v>6.2808999999999999</v>
      </c>
      <c r="SH10" s="15">
        <f>'Bloom Cleaner Data'!HQ10</f>
        <v>6.1692</v>
      </c>
      <c r="SI10" s="15">
        <f>'Bloom Cleaner Data'!HR10</f>
        <v>6.2121000000000004</v>
      </c>
      <c r="SJ10" s="15">
        <f>'Bloom Cleaner Data'!HS10</f>
        <v>6.5754000000000001</v>
      </c>
      <c r="SK10" s="15">
        <f>'Bloom Cleaner Data'!HT10</f>
        <v>6.4329999999999998</v>
      </c>
      <c r="SL10" s="15">
        <f>'Bloom Cleaner Data'!HU10</f>
        <v>5.2751000000000001</v>
      </c>
      <c r="SM10" s="15">
        <f>'Bloom Cleaner Data'!HV10</f>
        <v>6.8921000000000001</v>
      </c>
      <c r="SN10" s="15">
        <f>'Bloom Cleaner Data'!HW10</f>
        <v>6.2957999999999998</v>
      </c>
      <c r="SO10" s="15">
        <f>'Bloom Cleaner Data'!HX10</f>
        <v>6.5667999999999997</v>
      </c>
      <c r="SP10" s="15">
        <f>'Bloom Cleaner Data'!HY10</f>
        <v>5.7587000000000002</v>
      </c>
      <c r="SQ10" s="15">
        <f>'Bloom Cleaner Data'!HZ10</f>
        <v>5.9950999999999999</v>
      </c>
      <c r="SR10" s="15">
        <f>'Bloom Cleaner Data'!IA10</f>
        <v>6.0989000000000004</v>
      </c>
      <c r="SS10" s="15"/>
      <c r="ST10" s="15">
        <f t="shared" si="127"/>
        <v>6.1912200000000004</v>
      </c>
      <c r="SU10" s="487">
        <f t="shared" si="128"/>
        <v>-1.1791487201321968E-3</v>
      </c>
      <c r="SV10" s="15">
        <f t="shared" si="129"/>
        <v>-7.199999999999207E-3</v>
      </c>
    </row>
    <row r="11" spans="1:518">
      <c r="A11" s="12" t="s">
        <v>217</v>
      </c>
      <c r="B11" s="72"/>
      <c r="C11" s="83" t="s">
        <v>53</v>
      </c>
      <c r="D11" s="1133" t="s">
        <v>1041</v>
      </c>
      <c r="E11" s="224"/>
      <c r="F11" s="224"/>
      <c r="G11" s="13">
        <f>'Bloom Cleaner Data'!D11</f>
        <v>88965.659</v>
      </c>
      <c r="H11" s="13">
        <f>'Bloom Cleaner Data'!F11</f>
        <v>69623.667400000006</v>
      </c>
      <c r="I11" s="13">
        <f>'Bloom Cleaner Data'!H11</f>
        <v>76491.648499999996</v>
      </c>
      <c r="J11" s="13">
        <f>'Bloom Cleaner Data'!J11</f>
        <v>76948.972599999994</v>
      </c>
      <c r="K11" s="13">
        <f>'Bloom Cleaner Data'!L11</f>
        <v>59961.950599999996</v>
      </c>
      <c r="L11" s="13">
        <f>'Bloom Cleaner Data'!N11</f>
        <v>46913.88</v>
      </c>
      <c r="M11" s="13">
        <f>'Bloom Cleaner Data'!P11</f>
        <v>45887.371299999999</v>
      </c>
      <c r="N11" s="13">
        <f>'Bloom Cleaner Data'!R11</f>
        <v>44430.485000000001</v>
      </c>
      <c r="O11" s="13"/>
      <c r="P11" s="13">
        <f t="shared" si="0"/>
        <v>60036.853628571422</v>
      </c>
      <c r="Q11" s="13">
        <f t="shared" si="49"/>
        <v>45743.912099999994</v>
      </c>
      <c r="R11" s="10">
        <f t="shared" si="1"/>
        <v>-0.3618479655094986</v>
      </c>
      <c r="S11" s="144">
        <f t="shared" ref="S11:S16" si="130">R11</f>
        <v>-0.3618479655094986</v>
      </c>
      <c r="T11" s="10">
        <f t="shared" si="2"/>
        <v>-0.26007238660385967</v>
      </c>
      <c r="U11" s="10"/>
      <c r="V11" s="1277" t="s">
        <v>53</v>
      </c>
      <c r="W11" s="1238">
        <f>'Bloom Cleaner Data'!D11/'Bloom Cleaner Data'!$F11</f>
        <v>1.2778077099684639</v>
      </c>
      <c r="X11" s="1238">
        <f>'Bloom Cleaner Data'!E11/'Bloom Cleaner Data'!$F11</f>
        <v>1.1497884669028509</v>
      </c>
      <c r="Y11" s="1238">
        <f>'Bloom Cleaner Data'!F11/'Bloom Cleaner Data'!$F11</f>
        <v>1</v>
      </c>
      <c r="Z11" s="1238">
        <f>'Bloom Cleaner Data'!G11/'Bloom Cleaner Data'!$F11</f>
        <v>1.1907586945068049</v>
      </c>
      <c r="AA11" s="1238">
        <f>'Bloom Cleaner Data'!H11/'Bloom Cleaner Data'!$F11</f>
        <v>1.0986443454715227</v>
      </c>
      <c r="AB11" s="1238">
        <f>'Bloom Cleaner Data'!I11/'Bloom Cleaner Data'!$F11</f>
        <v>1.1579825124236416</v>
      </c>
      <c r="AC11" s="1238">
        <f>'Bloom Cleaner Data'!J11/'Bloom Cleaner Data'!$F11</f>
        <v>1.1052128604187832</v>
      </c>
      <c r="AD11" s="1238">
        <f>'Bloom Cleaner Data'!K11/'Bloom Cleaner Data'!$F11</f>
        <v>0.94559285309926089</v>
      </c>
      <c r="AE11" s="1238">
        <f>'Bloom Cleaner Data'!L11/'Bloom Cleaner Data'!$F11</f>
        <v>0.86122941866173497</v>
      </c>
      <c r="AF11" s="1238">
        <f>'Bloom Cleaner Data'!M11/'Bloom Cleaner Data'!$F11</f>
        <v>0.78925467519971515</v>
      </c>
      <c r="AG11" s="1238">
        <f>'Bloom Cleaner Data'!N11/'Bloom Cleaner Data'!$F11</f>
        <v>0.67382086798834717</v>
      </c>
      <c r="AH11" s="1238">
        <f>'Bloom Cleaner Data'!O11/'Bloom Cleaner Data'!$F11</f>
        <v>0.67816917383470088</v>
      </c>
      <c r="AI11" s="1238">
        <f>'Bloom Cleaner Data'!P11/'Bloom Cleaner Data'!$F11</f>
        <v>0.65907719333957404</v>
      </c>
      <c r="AJ11" s="1238">
        <f>'Bloom Cleaner Data'!Q11/'Bloom Cleaner Data'!$F11</f>
        <v>0.68568993393760813</v>
      </c>
      <c r="AK11" s="1238">
        <f>'Bloom Cleaner Data'!R11/'Bloom Cleaner Data'!$F11</f>
        <v>0.6381520344905014</v>
      </c>
      <c r="AL11" s="13"/>
      <c r="AM11" s="13">
        <f>AVERAGE('Bloom Cleaner Data'!BW11:CI11)</f>
        <v>123794.21271538464</v>
      </c>
      <c r="AN11" s="18">
        <f>('Bloom Cleaner Data'!CI11-'Bloom Cleaner Data'!BW11)/'Bloom Cleaner Data'!BW11</f>
        <v>-0.17007287310790103</v>
      </c>
      <c r="AO11" s="18">
        <f>('Bloom Cleaner Data'!CI11+'Bloom Cleaner Data'!CH11-'Bloom Cleaner Data'!BW11-'Bloom Cleaner Data'!BV11)/('Bloom Cleaner Data'!BW11+'Bloom Cleaner Data'!BV11)</f>
        <v>-0.16413843679188345</v>
      </c>
      <c r="AP11" s="13"/>
      <c r="AQ11" s="13">
        <f>'Bloom Cleaner Data'!BW11</f>
        <v>125135.6675</v>
      </c>
      <c r="AR11" s="13">
        <f>'Bloom Cleaner Data'!BY11</f>
        <v>139029.64850000001</v>
      </c>
      <c r="AS11" s="13">
        <f>'Bloom Cleaner Data'!CA11</f>
        <v>137325.4656</v>
      </c>
      <c r="AT11" s="13">
        <f>'Bloom Cleaner Data'!CC11</f>
        <v>125259.9506</v>
      </c>
      <c r="AU11" s="13">
        <f>'Bloom Cleaner Data'!CE11</f>
        <v>114297.88</v>
      </c>
      <c r="AV11" s="13">
        <f>'Bloom Cleaner Data'!CG11</f>
        <v>108221.3713</v>
      </c>
      <c r="AW11" s="13">
        <f>'Bloom Cleaner Data'!CI11</f>
        <v>103853.485</v>
      </c>
      <c r="AX11" s="13"/>
      <c r="AY11" s="13">
        <f t="shared" si="3"/>
        <v>121874.78121428571</v>
      </c>
      <c r="AZ11" s="10">
        <f t="shared" si="4"/>
        <v>-0.17007287310790103</v>
      </c>
      <c r="BA11" s="10"/>
      <c r="BB11" s="13">
        <f>'Bloom Cleaner Data'!T11+'OPERATING LEASES'!AU11</f>
        <v>51082.306077609523</v>
      </c>
      <c r="BC11" s="13">
        <f>'Bloom Cleaner Data'!U11+'OPERATING LEASES'!AV11</f>
        <v>54186.677715310529</v>
      </c>
      <c r="BD11" s="13">
        <f>'Bloom Cleaner Data'!V11+'OPERATING LEASES'!AW11</f>
        <v>59138.049353011535</v>
      </c>
      <c r="BE11" s="13">
        <f>'Bloom Cleaner Data'!W11+'OPERATING LEASES'!AX11</f>
        <v>61208.420990712533</v>
      </c>
      <c r="BF11" s="13">
        <f>'Bloom Cleaner Data'!X11+'OPERATING LEASES'!AY11</f>
        <v>62477.792628413539</v>
      </c>
      <c r="BG11" s="13">
        <f>'Bloom Cleaner Data'!Y11+'OPERATING LEASES'!AZ11</f>
        <v>60513.133165523548</v>
      </c>
      <c r="BH11" s="13">
        <f>'Bloom Cleaner Data'!Z11+'OPERATING LEASES'!BA11</f>
        <v>62137.128702633556</v>
      </c>
      <c r="BI11" s="13">
        <f>'Bloom Cleaner Data'!AA11+'OPERATING LEASES'!BB11</f>
        <v>63208.814239743566</v>
      </c>
      <c r="BJ11" s="13">
        <f>'Bloom Cleaner Data'!AB11+'OPERATING LEASES'!BC11</f>
        <v>67348.154776853582</v>
      </c>
      <c r="BK11" s="13">
        <f>'Bloom Cleaner Data'!AC11+'OPERATING LEASES'!BD11</f>
        <v>67406.584577906309</v>
      </c>
      <c r="BL11" s="13">
        <f>'Bloom Cleaner Data'!AD11+'OPERATING LEASES'!BE11</f>
        <v>70064.014378959037</v>
      </c>
      <c r="BM11" s="13">
        <f>'Bloom Cleaner Data'!AE11+'OPERATING LEASES'!BF11</f>
        <v>67545.444180011764</v>
      </c>
      <c r="BN11" s="13">
        <f>'Bloom Cleaner Data'!AF11+'OPERATING LEASES'!BG11</f>
        <v>63348.873981064498</v>
      </c>
      <c r="BO11" s="13">
        <f>'Bloom Cleaner Data'!AG11+'OPERATING LEASES'!BH11</f>
        <v>63573.873981064498</v>
      </c>
      <c r="BP11" s="13">
        <f>'Bloom Cleaner Data'!AH11+'OPERATING LEASES'!BI11</f>
        <v>61179.873981064498</v>
      </c>
      <c r="BQ11" s="13"/>
      <c r="BR11" s="1099">
        <f t="shared" si="50"/>
        <v>63780.78145668943</v>
      </c>
      <c r="BS11" s="10">
        <f t="shared" si="51"/>
        <v>3.4526411513249991E-2</v>
      </c>
      <c r="BT11" s="10"/>
      <c r="BU11" s="13">
        <f>'Bloom Cleaner Data'!BU11+'OPERATING LEASES'!AU11</f>
        <v>142587.96507760955</v>
      </c>
      <c r="BV11" s="13">
        <f>'Bloom Cleaner Data'!BV11+'OPERATING LEASES'!AV11</f>
        <v>136920.16751531055</v>
      </c>
      <c r="BW11" s="13">
        <f>'Bloom Cleaner Data'!BW11+'OPERATING LEASES'!AW11</f>
        <v>131376.71685301152</v>
      </c>
      <c r="BX11" s="13">
        <f>'Bloom Cleaner Data'!BX11+'OPERATING LEASES'!AX11</f>
        <v>153526.40829071254</v>
      </c>
      <c r="BY11" s="13">
        <f>'Bloom Cleaner Data'!BY11+'OPERATING LEASES'!AY11</f>
        <v>146201.44112841354</v>
      </c>
      <c r="BZ11" s="13">
        <f>'Bloom Cleaner Data'!BZ11+'OPERATING LEASES'!AZ11</f>
        <v>147418.12246552354</v>
      </c>
      <c r="CA11" s="13">
        <f>'Bloom Cleaner Data'!CA11+'OPERATING LEASES'!BA11</f>
        <v>144809.93930263355</v>
      </c>
      <c r="CB11" s="13">
        <f>'Bloom Cleaner Data'!CB11+'OPERATING LEASES'!BB11</f>
        <v>134271.45653974358</v>
      </c>
      <c r="CC11" s="13">
        <f>'Bloom Cleaner Data'!CC11+'OPERATING LEASES'!BC11</f>
        <v>133057.10537685358</v>
      </c>
      <c r="CD11" s="13">
        <f>'Bloom Cleaner Data'!CD11+'OPERATING LEASES'!BD11</f>
        <v>128245.3895779063</v>
      </c>
      <c r="CE11" s="13">
        <f>'Bloom Cleaner Data'!CE11+'OPERATING LEASES'!BE11</f>
        <v>122303.89437895904</v>
      </c>
      <c r="CF11" s="13">
        <f>'Bloom Cleaner Data'!CF11+'OPERATING LEASES'!BF11</f>
        <v>120066.06918001176</v>
      </c>
      <c r="CG11" s="13">
        <f>'Bloom Cleaner Data'!CG11+'OPERATING LEASES'!BG11</f>
        <v>116436.2452810645</v>
      </c>
      <c r="CH11" s="13">
        <f>'Bloom Cleaner Data'!CH11+'OPERATING LEASES'!BH11</f>
        <v>118576.12188106449</v>
      </c>
      <c r="CI11" s="13">
        <f>'Bloom Cleaner Data'!CI11+'OPERATING LEASES'!BI11</f>
        <v>112068.35898106449</v>
      </c>
      <c r="CJ11" s="13"/>
      <c r="CK11" s="1099">
        <f t="shared" si="52"/>
        <v>131412.09763361249</v>
      </c>
      <c r="CL11" s="10">
        <f t="shared" si="53"/>
        <v>-0.14696940473516198</v>
      </c>
      <c r="CM11" s="18">
        <f t="shared" si="54"/>
        <v>6.1536680521101055E-2</v>
      </c>
      <c r="CN11" s="13"/>
      <c r="CO11" s="18">
        <f>$CO$1*BU11/('Bloom Cleaner Data'!D11+'Bloom Cleaner Data'!T11+'OPERATING LEASES'!AU11)+(1-$CO$1)*'Bloom Cleaner Data'!BU11/('Bloom Cleaner Data'!D11+'Bloom Cleaner Data'!T11)-1</f>
        <v>1.8136643389230711E-2</v>
      </c>
      <c r="CP11" s="18">
        <f>$CO$1*BV11/('Bloom Cleaner Data'!E11+'Bloom Cleaner Data'!U11+'OPERATING LEASES'!AV11)+(1-$CO$1)*'Bloom Cleaner Data'!BV11/('Bloom Cleaner Data'!E11+'Bloom Cleaner Data'!U11)-1</f>
        <v>1.9971816345585314E-2</v>
      </c>
      <c r="CQ11" s="18">
        <f>$CO$1*BW11/('Bloom Cleaner Data'!F11+'Bloom Cleaner Data'!V11+'OPERATING LEASES'!AW11)+(1-$CO$1)*'Bloom Cleaner Data'!BW11/('Bloom Cleaner Data'!F11+'Bloom Cleaner Data'!V11)-1</f>
        <v>2.0308832205274463E-2</v>
      </c>
      <c r="CR11" s="18">
        <f>$CO$1*BX11/('Bloom Cleaner Data'!G11+'Bloom Cleaner Data'!W11+'OPERATING LEASES'!AX11)+(1-$CO$1)*'Bloom Cleaner Data'!BX11/('Bloom Cleaner Data'!G11+'Bloom Cleaner Data'!W11)-1</f>
        <v>6.531661496070984E-2</v>
      </c>
      <c r="CS11" s="18">
        <f>$CO$1*BY11/('Bloom Cleaner Data'!H11+'Bloom Cleaner Data'!X11+'OPERATING LEASES'!AY11)+(1-$CO$1)*'Bloom Cleaner Data'!BY11/('Bloom Cleaner Data'!H11+'Bloom Cleaner Data'!X11)-1</f>
        <v>5.2040217916090814E-2</v>
      </c>
      <c r="CT11" s="18">
        <f>$CO$1*BZ11/('Bloom Cleaner Data'!I11+'Bloom Cleaner Data'!Y11+'OPERATING LEASES'!AZ11)+(1-$CO$1)*'Bloom Cleaner Data'!BZ11/('Bloom Cleaner Data'!I11+'Bloom Cleaner Data'!Y11)-1</f>
        <v>4.4510220985662485E-2</v>
      </c>
      <c r="CU11" s="18">
        <f>$CO$1*CA11/('Bloom Cleaner Data'!J11+'Bloom Cleaner Data'!Z11+'OPERATING LEASES'!BA11)+(1-$CO$1)*'Bloom Cleaner Data'!CA11/('Bloom Cleaner Data'!J11+'Bloom Cleaner Data'!Z11)-1</f>
        <v>4.1153198963753024E-2</v>
      </c>
      <c r="CV11" s="18">
        <f>$CO$1*CB11/('Bloom Cleaner Data'!K11+'Bloom Cleaner Data'!AA11+'OPERATING LEASES'!BB11)+(1-$CO$1)*'Bloom Cleaner Data'!CB11/('Bloom Cleaner Data'!K11+'Bloom Cleaner Data'!AA11)-1</f>
        <v>4.0505420691125726E-2</v>
      </c>
      <c r="CW11" s="18">
        <f>$CO$1*CC11/('Bloom Cleaner Data'!L11+'Bloom Cleaner Data'!AB11+'OPERATING LEASES'!BC11)+(1-$CO$1)*'Bloom Cleaner Data'!CC11/('Bloom Cleaner Data'!L11+'Bloom Cleaner Data'!AB11)-1</f>
        <v>4.5141742542653462E-2</v>
      </c>
      <c r="CX11" s="18">
        <f>$CO$1*CD11/('Bloom Cleaner Data'!M11+'Bloom Cleaner Data'!AC11+'OPERATING LEASES'!BD11)+(1-$CO$1)*'Bloom Cleaner Data'!CD11/('Bloom Cleaner Data'!M11+'Bloom Cleaner Data'!AC11)-1</f>
        <v>4.8121327369860634E-2</v>
      </c>
      <c r="CY11" s="18">
        <f>$CO$1*CE11/('Bloom Cleaner Data'!N11+'Bloom Cleaner Data'!AD11+'OPERATING LEASES'!BE11)+(1-$CO$1)*'Bloom Cleaner Data'!CE11/('Bloom Cleaner Data'!N11+'Bloom Cleaner Data'!AD11)-1</f>
        <v>4.5529969814177118E-2</v>
      </c>
      <c r="CZ11" s="18">
        <f>$CO$1*CF11/('Bloom Cleaner Data'!O11+'Bloom Cleaner Data'!AE11+'OPERATING LEASES'!BF11)+(1-$CO$1)*'Bloom Cleaner Data'!CF11/('Bloom Cleaner Data'!O11+'Bloom Cleaner Data'!AE11)-1</f>
        <v>4.6217361170791893E-2</v>
      </c>
      <c r="DA11" s="18">
        <f>$CO$1*CG11/('Bloom Cleaner Data'!P11+'Bloom Cleaner Data'!AF11+'OPERATING LEASES'!BG11)+(1-$CO$1)*'Bloom Cleaner Data'!CG11/('Bloom Cleaner Data'!P11+'Bloom Cleaner Data'!AF11)-1</f>
        <v>6.5912188591565224E-2</v>
      </c>
      <c r="DB11" s="18">
        <f>$CO$1*CH11/('Bloom Cleaner Data'!Q11+'Bloom Cleaner Data'!AG11+'OPERATING LEASES'!BH11)+(1-$CO$1)*'Bloom Cleaner Data'!CH11/('Bloom Cleaner Data'!Q11+'Bloom Cleaner Data'!AG11)-1</f>
        <v>6.5238802384473882E-2</v>
      </c>
      <c r="DC11" s="18">
        <f>$CO$1*CI11/('Bloom Cleaner Data'!R11+'Bloom Cleaner Data'!AH11+'OPERATING LEASES'!BI11)+(1-$CO$1)*'Bloom Cleaner Data'!CI11/('Bloom Cleaner Data'!R11+'Bloom Cleaner Data'!AH11)-1</f>
        <v>6.1149304502959634E-2</v>
      </c>
      <c r="DD11" s="18"/>
      <c r="DE11" s="18">
        <f t="shared" si="55"/>
        <v>4.9318861699930633E-2</v>
      </c>
      <c r="DF11" s="13"/>
      <c r="DG11" s="2203">
        <f>AVERAGE('Bloom Cleaner Data'!GX11:HJ11)</f>
        <v>22002.81811199362</v>
      </c>
      <c r="DH11" s="2124">
        <f>('Bloom Cleaner Data'!HJ11-'Bloom Cleaner Data'!GX11)/'Bloom Cleaner Data'!GX11</f>
        <v>-9.4222111051050342E-2</v>
      </c>
      <c r="DI11" s="2124">
        <f>('Bloom Cleaner Data'!HJ11+'Bloom Cleaner Data'!HI11-'Bloom Cleaner Data'!GX11-'Bloom Cleaner Data'!GW11)/('Bloom Cleaner Data'!GX11+'Bloom Cleaner Data'!GW11)</f>
        <v>-8.1919538369347927E-2</v>
      </c>
      <c r="DJ11" s="13"/>
      <c r="DK11" s="13">
        <f>'Bloom Cleaner Data'!GV11+'OPERATING LEASES'!BL11</f>
        <v>23538.012148796293</v>
      </c>
      <c r="DL11" s="13">
        <f>'Bloom Cleaner Data'!GW11+'OPERATING LEASES'!BM11</f>
        <v>23315.451764423193</v>
      </c>
      <c r="DM11" s="13">
        <f>'Bloom Cleaner Data'!GX11+'OPERATING LEASES'!BN11</f>
        <v>23444.809100445189</v>
      </c>
      <c r="DN11" s="13">
        <f>'Bloom Cleaner Data'!GY11+'OPERATING LEASES'!BO11</f>
        <v>23408.768593274715</v>
      </c>
      <c r="DO11" s="13">
        <f>'Bloom Cleaner Data'!GZ11+'OPERATING LEASES'!BP11</f>
        <v>26882.031463215662</v>
      </c>
      <c r="DP11" s="13">
        <f>'Bloom Cleaner Data'!HA11+'OPERATING LEASES'!BQ11</f>
        <v>27250.428439824911</v>
      </c>
      <c r="DQ11" s="13">
        <f>'Bloom Cleaner Data'!HB11+'OPERATING LEASES'!BR11</f>
        <v>27224.262878744728</v>
      </c>
      <c r="DR11" s="13">
        <f>'Bloom Cleaner Data'!HC11+'OPERATING LEASES'!BS11</f>
        <v>24535.085073735569</v>
      </c>
      <c r="DS11" s="13">
        <f>'Bloom Cleaner Data'!HD11+'OPERATING LEASES'!BT11</f>
        <v>20594.111778548428</v>
      </c>
      <c r="DT11" s="13">
        <f>'Bloom Cleaner Data'!HE11+'OPERATING LEASES'!BU11</f>
        <v>20104.362451250803</v>
      </c>
      <c r="DU11" s="13">
        <f>'Bloom Cleaner Data'!HF11+'OPERATING LEASES'!BV11</f>
        <v>19689.791831503313</v>
      </c>
      <c r="DV11" s="13">
        <f>'Bloom Cleaner Data'!HG11+'OPERATING LEASES'!BW11</f>
        <v>22152.748856422702</v>
      </c>
      <c r="DW11" s="13">
        <f>'Bloom Cleaner Data'!HH11+'OPERATING LEASES'!BX11</f>
        <v>22472.570641950148</v>
      </c>
      <c r="DX11" s="13">
        <f>'Bloom Cleaner Data'!HI11+'OPERATING LEASES'!BY11</f>
        <v>22049.6625047081</v>
      </c>
      <c r="DY11" s="13">
        <f>'Bloom Cleaner Data'!HJ11+'OPERATING LEASES'!BZ11</f>
        <v>21577.65362800704</v>
      </c>
      <c r="DZ11" s="13"/>
      <c r="EA11" s="1099">
        <f t="shared" si="56"/>
        <v>23183.56055704856</v>
      </c>
      <c r="EB11" s="10">
        <f t="shared" si="57"/>
        <v>-7.9640463884293022E-2</v>
      </c>
      <c r="EC11" s="18">
        <f t="shared" si="58"/>
        <v>5.3663237092857856E-2</v>
      </c>
      <c r="ED11" s="18">
        <f>(AVERAGE(DV11:DY11)-AVERAGE('Bloom Cleaner Data'!HG11:HJ11))/AVERAGE('Bloom Cleaner Data'!HG11:HJ11)</f>
        <v>6.0668501508850087E-2</v>
      </c>
      <c r="EE11" s="165"/>
      <c r="EF11" s="22">
        <f>'Bloom Cleaner Data'!DT11</f>
        <v>2.1501999999999999</v>
      </c>
      <c r="EG11" s="22">
        <f>'Bloom Cleaner Data'!DX11</f>
        <v>2.1947000000000001</v>
      </c>
      <c r="EH11" s="22">
        <f>'Bloom Cleaner Data'!EB11</f>
        <v>1.8162</v>
      </c>
      <c r="EI11" s="22">
        <f>'Bloom Cleaner Data'!EF11</f>
        <v>1.7326999999999999</v>
      </c>
      <c r="EJ11" s="22"/>
      <c r="EK11" s="22">
        <f>AVERAGE('Bloom Cleaner Data'!DT11:EF11)</f>
        <v>2.0117846153846157</v>
      </c>
      <c r="EL11" s="2124">
        <f t="shared" si="5"/>
        <v>-0.19416798437354665</v>
      </c>
      <c r="EM11" s="13"/>
      <c r="EN11" s="15">
        <f>'Bloom Cleaner Data'!DA11</f>
        <v>6.0735000000000001</v>
      </c>
      <c r="EO11" s="15">
        <f>'Bloom Cleaner Data'!DB11</f>
        <v>5.8710000000000004</v>
      </c>
      <c r="EP11" s="15">
        <f>'Bloom Cleaner Data'!DC11</f>
        <v>5.5803000000000003</v>
      </c>
      <c r="EQ11" s="15">
        <f>'Bloom Cleaner Data'!DD11</f>
        <v>6.5702999999999996</v>
      </c>
      <c r="ER11" s="15">
        <f>'Bloom Cleaner Data'!DE11</f>
        <v>5.3936000000000002</v>
      </c>
      <c r="ES11" s="15">
        <f>'Bloom Cleaner Data'!DF11</f>
        <v>5.3631000000000002</v>
      </c>
      <c r="ET11" s="15">
        <f>'Bloom Cleaner Data'!DG11</f>
        <v>5.2674000000000003</v>
      </c>
      <c r="EU11" s="15">
        <f>'Bloom Cleaner Data'!DH11</f>
        <v>5.4214000000000002</v>
      </c>
      <c r="EV11" s="15">
        <f>'Bloom Cleaner Data'!DI11</f>
        <v>6.4592000000000001</v>
      </c>
      <c r="EW11" s="15">
        <f>'Bloom Cleaner Data'!DJ11</f>
        <v>6.3719000000000001</v>
      </c>
      <c r="EX11" s="15">
        <f>'Bloom Cleaner Data'!DK11</f>
        <v>6.1929999999999996</v>
      </c>
      <c r="EY11" s="15">
        <f>'Bloom Cleaner Data'!DL11</f>
        <v>5.3559999999999999</v>
      </c>
      <c r="EZ11" s="15">
        <f>'Bloom Cleaner Data'!DM11</f>
        <v>5.1032000000000002</v>
      </c>
      <c r="FA11" s="15">
        <f>'Bloom Cleaner Data'!DN11</f>
        <v>5.31</v>
      </c>
      <c r="FB11" s="15">
        <f>'Bloom Cleaner Data'!DO11</f>
        <v>5.1130000000000004</v>
      </c>
      <c r="FC11" s="15"/>
      <c r="FD11" s="15">
        <f t="shared" si="59"/>
        <v>5.6540307692307685</v>
      </c>
      <c r="FE11" s="18">
        <f t="shared" si="6"/>
        <v>-8.3741017508019253E-2</v>
      </c>
      <c r="FF11" s="15">
        <f t="shared" si="60"/>
        <v>5.5958200000000007</v>
      </c>
      <c r="FG11" s="2206"/>
      <c r="FH11" s="15">
        <f>('Bloom Cleaner Data'!BU11+'OPERATING LEASES'!AU11)/DK11</f>
        <v>6.0577743004054545</v>
      </c>
      <c r="FI11" s="15">
        <f>('Bloom Cleaner Data'!BV11+'OPERATING LEASES'!AV11)/DL11</f>
        <v>5.8725075927645385</v>
      </c>
      <c r="FJ11" s="15">
        <f>('Bloom Cleaner Data'!BW11+'OPERATING LEASES'!AW11)/DM11</f>
        <v>5.6036590569004385</v>
      </c>
      <c r="FK11" s="15">
        <f>('Bloom Cleaner Data'!BX11+'OPERATING LEASES'!AX11)/DN11</f>
        <v>6.558499977432402</v>
      </c>
      <c r="FL11" s="15">
        <f>('Bloom Cleaner Data'!BY11+'OPERATING LEASES'!AY11)/DO11</f>
        <v>5.4386306826725495</v>
      </c>
      <c r="FM11" s="15">
        <f>('Bloom Cleaner Data'!BZ11+'OPERATING LEASES'!AZ11)/DP11</f>
        <v>5.4097543013334999</v>
      </c>
      <c r="FN11" s="15">
        <f>('Bloom Cleaner Data'!CA11+'OPERATING LEASES'!BA11)/DQ11</f>
        <v>5.3191500518345904</v>
      </c>
      <c r="FO11" s="15">
        <f>('Bloom Cleaner Data'!CB11+'OPERATING LEASES'!BB11)/DR11</f>
        <v>5.4726305670518789</v>
      </c>
      <c r="FP11" s="15">
        <f>('Bloom Cleaner Data'!CC11+'OPERATING LEASES'!BC11)/DS11</f>
        <v>6.4609295514968839</v>
      </c>
      <c r="FQ11" s="15">
        <f>('Bloom Cleaner Data'!CD11+'OPERATING LEASES'!BD11)/DT11</f>
        <v>6.378983162926783</v>
      </c>
      <c r="FR11" s="15">
        <f>('Bloom Cleaner Data'!CE11+'OPERATING LEASES'!BE11)/DU11</f>
        <v>6.2115382135871551</v>
      </c>
      <c r="FS11" s="15">
        <f>('Bloom Cleaner Data'!CF11+'OPERATING LEASES'!BF11)/DV11</f>
        <v>5.4199174088140873</v>
      </c>
      <c r="FT11" s="15">
        <f>('Bloom Cleaner Data'!CG11+'OPERATING LEASES'!BG11)/DW11</f>
        <v>5.1812606192773449</v>
      </c>
      <c r="FU11" s="15">
        <f>('Bloom Cleaner Data'!CH11+'OPERATING LEASES'!BH11)/DX11</f>
        <v>5.3776842097127711</v>
      </c>
      <c r="FV11" s="15">
        <f>('Bloom Cleaner Data'!CI11+'OPERATING LEASES'!BI11)/DY11</f>
        <v>5.1937231412225326</v>
      </c>
      <c r="FW11" s="15"/>
      <c r="FX11" s="506">
        <f t="shared" si="61"/>
        <v>5.6943354572509941</v>
      </c>
      <c r="FY11" s="10">
        <f t="shared" si="62"/>
        <v>-7.3155042359885195E-2</v>
      </c>
      <c r="FZ11" s="15">
        <f t="shared" si="7"/>
        <v>4.0304688020225576E-2</v>
      </c>
      <c r="GA11" s="15">
        <f t="shared" si="63"/>
        <v>5.6425571227257532</v>
      </c>
      <c r="GB11" s="15">
        <f t="shared" si="64"/>
        <v>4.6737122725752478E-2</v>
      </c>
      <c r="GC11" s="15">
        <f t="shared" si="8"/>
        <v>6.1784718522778448E-2</v>
      </c>
      <c r="GD11" s="13"/>
      <c r="GE11" s="15">
        <f t="shared" si="9"/>
        <v>6.0577743004054545</v>
      </c>
      <c r="GF11" s="15">
        <f t="shared" si="10"/>
        <v>5.8725075927645385</v>
      </c>
      <c r="GG11" s="15">
        <f t="shared" si="11"/>
        <v>5.6036590569004385</v>
      </c>
      <c r="GH11" s="15">
        <f t="shared" si="12"/>
        <v>6.558499977432402</v>
      </c>
      <c r="GI11" s="15">
        <f t="shared" si="13"/>
        <v>5.4386306826725495</v>
      </c>
      <c r="GJ11" s="15">
        <f t="shared" si="14"/>
        <v>5.4097543013334999</v>
      </c>
      <c r="GK11" s="15">
        <f t="shared" si="15"/>
        <v>5.3191500518345904</v>
      </c>
      <c r="GL11" s="15">
        <f t="shared" si="16"/>
        <v>5.4726305670518789</v>
      </c>
      <c r="GM11" s="15">
        <f t="shared" si="17"/>
        <v>6.4609295514968839</v>
      </c>
      <c r="GN11" s="15">
        <f t="shared" si="18"/>
        <v>6.378983162926783</v>
      </c>
      <c r="GO11" s="15">
        <f t="shared" si="19"/>
        <v>6.2115382135871551</v>
      </c>
      <c r="GP11" s="15">
        <f t="shared" si="20"/>
        <v>5.4199174088140873</v>
      </c>
      <c r="GQ11" s="15">
        <f t="shared" si="21"/>
        <v>5.1812606192773449</v>
      </c>
      <c r="GR11" s="15">
        <f t="shared" si="22"/>
        <v>5.3776842097127711</v>
      </c>
      <c r="GS11" s="15">
        <f t="shared" si="23"/>
        <v>5.1937231412225326</v>
      </c>
      <c r="GT11" s="15"/>
      <c r="GU11" s="15">
        <f t="shared" si="65"/>
        <v>5.7304428558288603</v>
      </c>
      <c r="GV11" s="10">
        <f t="shared" si="66"/>
        <v>-7.3155042359885195E-2</v>
      </c>
      <c r="GW11" s="506">
        <f t="shared" si="67"/>
        <v>5.6425571227257532</v>
      </c>
      <c r="GX11" s="2057"/>
      <c r="GY11" s="10">
        <f>'Bloom Cleaner Data'!T11/('Bloom Cleaner Data'!T11+'Bloom Cleaner Data'!D11)</f>
        <v>0.33971200286328268</v>
      </c>
      <c r="GZ11" s="10">
        <f>'Bloom Cleaner Data'!U11/('Bloom Cleaner Data'!U11+'Bloom Cleaner Data'!E11)</f>
        <v>0.37684637148943467</v>
      </c>
      <c r="HA11" s="10">
        <f>'Bloom Cleaner Data'!V11/('Bloom Cleaner Data'!V11+'Bloom Cleaner Data'!F11)</f>
        <v>0.43173940464513005</v>
      </c>
      <c r="HB11" s="10">
        <f>'Bloom Cleaner Data'!W11/('Bloom Cleaner Data'!W11+'Bloom Cleaner Data'!G11)</f>
        <v>0.3966464957200907</v>
      </c>
      <c r="HC11" s="10">
        <f>'Bloom Cleaner Data'!X11/('Bloom Cleaner Data'!X11+'Bloom Cleaner Data'!H11)</f>
        <v>0.41962812409357969</v>
      </c>
      <c r="HD11" s="10">
        <f>'Bloom Cleaner Data'!Y11/('Bloom Cleaner Data'!Y11+'Bloom Cleaner Data'!I11)</f>
        <v>0.39747252969146885</v>
      </c>
      <c r="HE11" s="10">
        <f>'Bloom Cleaner Data'!Z11/('Bloom Cleaner Data'!Z11+'Bloom Cleaner Data'!J11)</f>
        <v>0.41528859480458274</v>
      </c>
      <c r="HF11" s="10">
        <f>'Bloom Cleaner Data'!AA11/('Bloom Cleaner Data'!AA11+'Bloom Cleaner Data'!K11)</f>
        <v>0.45771279137314647</v>
      </c>
      <c r="HG11" s="10">
        <f>'Bloom Cleaner Data'!AB11/('Bloom Cleaner Data'!AB11+'Bloom Cleaner Data'!L11)</f>
        <v>0.49828072774566745</v>
      </c>
      <c r="HH11" s="10">
        <f>'Bloom Cleaner Data'!AC11/('Bloom Cleaner Data'!AC11+'Bloom Cleaner Data'!M11)</f>
        <v>0.5198949935304723</v>
      </c>
      <c r="HI11" s="10">
        <f>'Bloom Cleaner Data'!AD11/('Bloom Cleaner Data'!AD11+'Bloom Cleaner Data'!N11)</f>
        <v>0.56948636657456952</v>
      </c>
      <c r="HJ11" s="10">
        <f>'Bloom Cleaner Data'!AE11/('Bloom Cleaner Data'!AE11+'Bloom Cleaner Data'!O11)</f>
        <v>0.55728171042869712</v>
      </c>
      <c r="HK11" s="10">
        <f>'Bloom Cleaner Data'!AF11/('Bloom Cleaner Data'!AF11+'Bloom Cleaner Data'!P11)</f>
        <v>0.54576570571656846</v>
      </c>
      <c r="HL11" s="10">
        <f>'Bloom Cleaner Data'!AG11/('Bloom Cleaner Data'!AG11+'Bloom Cleaner Data'!Q11)</f>
        <v>0.53694863083477451</v>
      </c>
      <c r="HM11" s="10">
        <f>'Bloom Cleaner Data'!AH11/('Bloom Cleaner Data'!AH11+'Bloom Cleaner Data'!R11)</f>
        <v>0.54381370963962039</v>
      </c>
      <c r="HN11" s="15"/>
      <c r="HO11" s="10">
        <f t="shared" si="68"/>
        <v>0.48384306036910518</v>
      </c>
      <c r="HP11" s="10">
        <f t="shared" si="69"/>
        <v>0.2595878527386451</v>
      </c>
      <c r="HQ11" s="10"/>
      <c r="HR11" s="479">
        <f t="shared" si="24"/>
        <v>0.51449065307322694</v>
      </c>
      <c r="HS11" s="480">
        <f t="shared" si="25"/>
        <v>0.60474071600956003</v>
      </c>
      <c r="HT11" s="480">
        <f t="shared" si="26"/>
        <v>0.75975601365693057</v>
      </c>
      <c r="HU11" s="480">
        <f t="shared" si="27"/>
        <v>0.65740315239153302</v>
      </c>
      <c r="HV11" s="480">
        <f t="shared" si="28"/>
        <v>0.72303318185121868</v>
      </c>
      <c r="HW11" s="480">
        <f t="shared" si="29"/>
        <v>0.65967536631639123</v>
      </c>
      <c r="HX11" s="480">
        <f t="shared" si="30"/>
        <v>0.71024541528446594</v>
      </c>
      <c r="HY11" s="480">
        <f t="shared" si="31"/>
        <v>0.84404128309081594</v>
      </c>
      <c r="HZ11" s="480">
        <f t="shared" si="32"/>
        <v>0.99314647712611281</v>
      </c>
      <c r="IA11" s="480">
        <f t="shared" si="33"/>
        <v>1.0828776757683531</v>
      </c>
      <c r="IB11" s="480">
        <f t="shared" si="34"/>
        <v>1.3228068111185858</v>
      </c>
      <c r="IC11" s="480">
        <f t="shared" si="35"/>
        <v>1.2587727310031156</v>
      </c>
      <c r="ID11" s="480">
        <f t="shared" si="36"/>
        <v>1.2015070473213181</v>
      </c>
      <c r="IE11" s="480">
        <f t="shared" si="37"/>
        <v>1.1595876107714975</v>
      </c>
      <c r="IF11" s="481">
        <f t="shared" si="38"/>
        <v>1.1920869196003601</v>
      </c>
      <c r="IG11" s="15"/>
      <c r="IH11" s="10">
        <f t="shared" si="70"/>
        <v>0.96653382194620763</v>
      </c>
      <c r="II11" s="10">
        <f t="shared" si="71"/>
        <v>0.56903913647552828</v>
      </c>
      <c r="IJ11" s="10"/>
      <c r="IK11" s="18">
        <f>('Bloom Cleaner Data'!T11+'OPERATING LEASES'!AU11)/('Bloom Cleaner Data'!T11+'OPERATING LEASES'!AU11+'Bloom Cleaner Data'!D11)</f>
        <v>0.36474864914532357</v>
      </c>
      <c r="IL11" s="18">
        <f>('Bloom Cleaner Data'!U11+'OPERATING LEASES'!AV11)/('Bloom Cleaner Data'!U11+'OPERATING LEASES'!AV11+'Bloom Cleaner Data'!E11)</f>
        <v>0.40365773058843141</v>
      </c>
      <c r="IM11" s="18">
        <f>('Bloom Cleaner Data'!V11+'OPERATING LEASES'!AW11)/('Bloom Cleaner Data'!V11+'OPERATING LEASES'!AW11+'Bloom Cleaner Data'!F11)</f>
        <v>0.45928285863452023</v>
      </c>
      <c r="IN11" s="18">
        <f>('Bloom Cleaner Data'!W11+'OPERATING LEASES'!AX11)/('Bloom Cleaner Data'!W11+'OPERATING LEASES'!AX11+'Bloom Cleaner Data'!G11)</f>
        <v>0.42472398451114246</v>
      </c>
      <c r="IO11" s="18">
        <f>('Bloom Cleaner Data'!X11+'OPERATING LEASES'!AY11)/('Bloom Cleaner Data'!X11+'OPERATING LEASES'!AY11+'Bloom Cleaner Data'!H11)</f>
        <v>0.44957936162873002</v>
      </c>
      <c r="IP11" s="18">
        <f>('Bloom Cleaner Data'!Y11+'OPERATING LEASES'!AZ11)/('Bloom Cleaner Data'!Y11+'OPERATING LEASES'!AZ11+'Bloom Cleaner Data'!I11)</f>
        <v>0.42875723173070435</v>
      </c>
      <c r="IQ11" s="18">
        <f>('Bloom Cleaner Data'!Z11+'OPERATING LEASES'!BA11)/('Bloom Cleaner Data'!Z11+'OPERATING LEASES'!BA11+'Bloom Cleaner Data'!J11)</f>
        <v>0.44675296899314992</v>
      </c>
      <c r="IR11" s="18">
        <f>('Bloom Cleaner Data'!AA11+'OPERATING LEASES'!BB11)/('Bloom Cleaner Data'!AA11+'OPERATING LEASES'!BB11+'Bloom Cleaner Data'!K11)</f>
        <v>0.48982200347580435</v>
      </c>
      <c r="IS11" s="18">
        <f>('Bloom Cleaner Data'!AB11+'OPERATING LEASES'!BC11)/('Bloom Cleaner Data'!AB11+'OPERATING LEASES'!BC11+'Bloom Cleaner Data'!L11)</f>
        <v>0.52900871126840054</v>
      </c>
      <c r="IT11" s="18">
        <f>('Bloom Cleaner Data'!AC11+'OPERATING LEASES'!BD11)/('Bloom Cleaner Data'!AC11+'OPERATING LEASES'!BD11+'Bloom Cleaner Data'!M11)</f>
        <v>0.55089917176590131</v>
      </c>
      <c r="IU11" s="18">
        <f>('Bloom Cleaner Data'!AD11+'OPERATING LEASES'!BE11)/('Bloom Cleaner Data'!AD11+'OPERATING LEASES'!BE11+'Bloom Cleaner Data'!N11)</f>
        <v>0.59895089367894749</v>
      </c>
      <c r="IV11" s="18">
        <f>('Bloom Cleaner Data'!AE11+'OPERATING LEASES'!BF11)/('Bloom Cleaner Data'!AE11+'OPERATING LEASES'!BF11+'Bloom Cleaner Data'!O11)</f>
        <v>0.58856941725285861</v>
      </c>
      <c r="IW11" s="18">
        <f>('Bloom Cleaner Data'!AF11+'OPERATING LEASES'!BG11)/('Bloom Cleaner Data'!AF11+'OPERATING LEASES'!BG11+'Bloom Cleaner Data'!P11)</f>
        <v>0.57992540679211424</v>
      </c>
      <c r="IX11" s="18">
        <f>('Bloom Cleaner Data'!AG11+'OPERATING LEASES'!BH11)/('Bloom Cleaner Data'!AG11+'OPERATING LEASES'!BH11+'Bloom Cleaner Data'!Q11)</f>
        <v>0.5711213717248842</v>
      </c>
      <c r="IY11" s="18">
        <f>('Bloom Cleaner Data'!AH11+'OPERATING LEASES'!BI11)/('Bloom Cleaner Data'!AH11+'OPERATING LEASES'!BI11+'Bloom Cleaner Data'!R11)</f>
        <v>0.57929804018594233</v>
      </c>
      <c r="IZ11" s="15"/>
      <c r="JA11" s="10">
        <f t="shared" si="72"/>
        <v>0.51513010935716153</v>
      </c>
      <c r="JB11" s="10">
        <f t="shared" si="73"/>
        <v>0.26130995158024306</v>
      </c>
      <c r="JC11" s="10">
        <f t="shared" si="39"/>
        <v>3.1287048988056343E-2</v>
      </c>
      <c r="JD11" s="10">
        <f t="shared" si="40"/>
        <v>6.4663630732222685E-2</v>
      </c>
      <c r="JE11" s="7"/>
      <c r="JF11" s="485">
        <f t="shared" si="74"/>
        <v>0.57418004488236885</v>
      </c>
      <c r="JG11" s="452">
        <f t="shared" si="41"/>
        <v>0.67688934910942067</v>
      </c>
      <c r="JH11" s="452">
        <f t="shared" si="41"/>
        <v>0.84939578108193037</v>
      </c>
      <c r="JI11" s="452">
        <f t="shared" si="41"/>
        <v>0.73829600587505961</v>
      </c>
      <c r="JJ11" s="452">
        <f t="shared" si="41"/>
        <v>0.81679234077970664</v>
      </c>
      <c r="JK11" s="452">
        <f t="shared" si="41"/>
        <v>0.75056920725616838</v>
      </c>
      <c r="JL11" s="452">
        <f t="shared" si="41"/>
        <v>0.80751082962001197</v>
      </c>
      <c r="JM11" s="452">
        <f t="shared" si="41"/>
        <v>0.96010021367625575</v>
      </c>
      <c r="JN11" s="452">
        <f t="shared" si="41"/>
        <v>1.1231815193292525</v>
      </c>
      <c r="JO11" s="452">
        <f t="shared" si="41"/>
        <v>1.2266714669222101</v>
      </c>
      <c r="JP11" s="452">
        <f t="shared" si="41"/>
        <v>1.4934602377581869</v>
      </c>
      <c r="JQ11" s="452">
        <f t="shared" si="41"/>
        <v>1.4305436735474375</v>
      </c>
      <c r="JR11" s="452">
        <f t="shared" si="41"/>
        <v>1.3805295920506238</v>
      </c>
      <c r="JS11" s="452">
        <f t="shared" si="41"/>
        <v>1.3316619996241057</v>
      </c>
      <c r="JT11" s="486">
        <f t="shared" si="41"/>
        <v>1.3769796566718662</v>
      </c>
      <c r="JU11" s="15"/>
      <c r="JV11" s="10">
        <f t="shared" si="75"/>
        <v>1.0988994249379089</v>
      </c>
      <c r="JW11" s="10">
        <f t="shared" si="76"/>
        <v>0.62112843899214809</v>
      </c>
      <c r="JX11" s="10">
        <f t="shared" si="77"/>
        <v>0.1323656029917013</v>
      </c>
      <c r="JY11" s="10">
        <f t="shared" si="78"/>
        <v>0.13694875439037466</v>
      </c>
      <c r="JZ11" s="7"/>
      <c r="KA11" s="15">
        <f>'Bloom Cleaner Data'!T11/'Bloom Cleaner Data'!BU11*'Bloom Cleaner Data'!DA11</f>
        <v>2.025065433261795</v>
      </c>
      <c r="KB11" s="15">
        <f>'Bloom Cleaner Data'!U11/'Bloom Cleaner Data'!BV11*'Bloom Cleaner Data'!DB11</f>
        <v>2.1672354014526047</v>
      </c>
      <c r="KC11" s="15">
        <f>'Bloom Cleaner Data'!V11/'Bloom Cleaner Data'!BW11*'Bloom Cleaner Data'!DC11</f>
        <v>2.3588888363903124</v>
      </c>
      <c r="KD11" s="15">
        <f>'Bloom Cleaner Data'!W11/'Bloom Cleaner Data'!BX11*'Bloom Cleaner Data'!DD11</f>
        <v>2.4390036887028117</v>
      </c>
      <c r="KE11" s="15">
        <f>'Bloom Cleaner Data'!X11/'Bloom Cleaner Data'!BY11*'Bloom Cleaner Data'!DE11</f>
        <v>2.1455743060445123</v>
      </c>
      <c r="KF11" s="15">
        <f>'Bloom Cleaner Data'!Y11/'Bloom Cleaner Data'!BZ11*'Bloom Cleaner Data'!DF11</f>
        <v>2.0360946197887961</v>
      </c>
      <c r="KG11" s="15">
        <f>'Bloom Cleaner Data'!Z11/'Bloom Cleaner Data'!CA11*'Bloom Cleaner Data'!DG11</f>
        <v>2.0963147198461054</v>
      </c>
      <c r="KH11" s="15">
        <f>'Bloom Cleaner Data'!AA11/'Bloom Cleaner Data'!CB11*'Bloom Cleaner Data'!DH11</f>
        <v>2.3790162454226134</v>
      </c>
      <c r="KI11" s="15">
        <f>'Bloom Cleaner Data'!AB11/'Bloom Cleaner Data'!CC11*'Bloom Cleaner Data'!DI11</f>
        <v>3.0708284440278235</v>
      </c>
      <c r="KJ11" s="15">
        <f>'Bloom Cleaner Data'!AC11/'Bloom Cleaner Data'!CD11*'Bloom Cleaner Data'!DJ11</f>
        <v>3.1506391999156089</v>
      </c>
      <c r="KK11" s="15">
        <f>'Bloom Cleaner Data'!AD11/'Bloom Cleaner Data'!CE11*'Bloom Cleaner Data'!DK11</f>
        <v>3.3624875107044851</v>
      </c>
      <c r="KL11" s="15">
        <f>'Bloom Cleaner Data'!AE11/'Bloom Cleaner Data'!CF11*'Bloom Cleaner Data'!DL11</f>
        <v>2.8433931747511565</v>
      </c>
      <c r="KM11" s="15">
        <f>'Bloom Cleaner Data'!AF11/'Bloom Cleaner Data'!CG11*'Bloom Cleaner Data'!DM11</f>
        <v>2.5998545889798761</v>
      </c>
      <c r="KN11" s="15">
        <f>'Bloom Cleaner Data'!AG11/'Bloom Cleaner Data'!CH11*'Bloom Cleaner Data'!DN11</f>
        <v>2.6635825128251378</v>
      </c>
      <c r="KO11" s="15">
        <f>'Bloom Cleaner Data'!AH11/'Bloom Cleaner Data'!CI11*'Bloom Cleaner Data'!DO11</f>
        <v>2.6076163452771954</v>
      </c>
      <c r="KP11" s="15"/>
      <c r="KQ11" s="15">
        <f t="shared" si="79"/>
        <v>2.6236844823607366</v>
      </c>
      <c r="KR11" s="15">
        <f t="shared" si="80"/>
        <v>2.6786116554583415</v>
      </c>
      <c r="KS11" s="15">
        <f t="shared" si="81"/>
        <v>2.5964072455904952</v>
      </c>
      <c r="KT11" s="18">
        <f t="shared" si="82"/>
        <v>0.10544265802177352</v>
      </c>
      <c r="KU11" s="18"/>
      <c r="KV11" s="1694" t="s">
        <v>53</v>
      </c>
      <c r="KW11" s="506">
        <f>('Bloom Cleaner Data'!T11+'OPERATING LEASES'!AU11)/DK11</f>
        <v>2.1702047630314358</v>
      </c>
      <c r="KX11" s="506">
        <f>('Bloom Cleaner Data'!U11+'OPERATING LEASES'!AV11)/DL11</f>
        <v>2.3240672435948002</v>
      </c>
      <c r="KY11" s="506">
        <f>('Bloom Cleaner Data'!V11+'OPERATING LEASES'!AW11)/DM11</f>
        <v>2.5224368046523602</v>
      </c>
      <c r="KZ11" s="506">
        <f>('Bloom Cleaner Data'!W11+'OPERATING LEASES'!AX11)/DN11</f>
        <v>2.6147646659336692</v>
      </c>
      <c r="LA11" s="506">
        <f>('Bloom Cleaner Data'!X11+'OPERATING LEASES'!AY11)/DO11</f>
        <v>2.3241469943931041</v>
      </c>
      <c r="LB11" s="506">
        <f>('Bloom Cleaner Data'!Y11+'OPERATING LEASES'!AZ11)/DP11</f>
        <v>2.2206305232649894</v>
      </c>
      <c r="LC11" s="506">
        <f>('Bloom Cleaner Data'!Z11+'OPERATING LEASES'!BA11)/DQ11</f>
        <v>2.2824173047178058</v>
      </c>
      <c r="LD11" s="506">
        <f>('Bloom Cleaner Data'!AA11+'OPERATING LEASES'!BB11)/DR11</f>
        <v>2.5762622811284901</v>
      </c>
      <c r="LE11" s="506">
        <f>('Bloom Cleaner Data'!AB11+'OPERATING LEASES'!BC11)/DS11</f>
        <v>3.2702626605632905</v>
      </c>
      <c r="LF11" s="506">
        <f>('Bloom Cleaner Data'!AC11+'OPERATING LEASES'!BD11)/DT11</f>
        <v>3.3528337315522569</v>
      </c>
      <c r="LG11" s="506">
        <f>('Bloom Cleaner Data'!AD11+'OPERATING LEASES'!BE11)/DU11</f>
        <v>3.5583928453147928</v>
      </c>
      <c r="LH11" s="506">
        <f>('Bloom Cleaner Data'!AE11+'OPERATING LEASES'!BF11)/DV11</f>
        <v>3.049077322990029</v>
      </c>
      <c r="LI11" s="506">
        <f>('Bloom Cleaner Data'!AF11+'OPERATING LEASES'!BG11)/DW11</f>
        <v>2.8189420333964583</v>
      </c>
      <c r="LJ11" s="506">
        <f>('Bloom Cleaner Data'!AG11+'OPERATING LEASES'!BH11)/DX11</f>
        <v>2.8832130182260181</v>
      </c>
      <c r="LK11" s="506">
        <f>('Bloom Cleaner Data'!AH11+'OPERATING LEASES'!BI11)/DY11</f>
        <v>2.8353348809740444</v>
      </c>
      <c r="LL11" s="15"/>
      <c r="LM11" s="15">
        <f t="shared" si="83"/>
        <v>2.845829977532174</v>
      </c>
      <c r="LN11" s="15">
        <f t="shared" si="84"/>
        <v>2.896641813896637</v>
      </c>
      <c r="LO11" s="15">
        <f t="shared" si="85"/>
        <v>0.21803015843829554</v>
      </c>
      <c r="LP11" s="15">
        <f t="shared" si="86"/>
        <v>2.7929780820851775</v>
      </c>
      <c r="LQ11" s="18">
        <f t="shared" si="87"/>
        <v>0.12404595260605845</v>
      </c>
      <c r="LR11" s="15">
        <f t="shared" si="88"/>
        <v>0.19657083649468232</v>
      </c>
      <c r="LS11" s="18"/>
      <c r="LT11" s="15">
        <f t="shared" si="89"/>
        <v>2.1702047630314358</v>
      </c>
      <c r="LU11" s="15">
        <f t="shared" si="90"/>
        <v>2.3240672435948002</v>
      </c>
      <c r="LV11" s="15">
        <f t="shared" si="91"/>
        <v>2.5224368046523602</v>
      </c>
      <c r="LW11" s="15">
        <f t="shared" si="92"/>
        <v>2.6147646659336692</v>
      </c>
      <c r="LX11" s="15">
        <f t="shared" si="93"/>
        <v>2.3241469943931041</v>
      </c>
      <c r="LY11" s="15">
        <f t="shared" si="94"/>
        <v>2.2206305232649894</v>
      </c>
      <c r="LZ11" s="15">
        <f t="shared" si="95"/>
        <v>2.2824173047178058</v>
      </c>
      <c r="MA11" s="15">
        <f t="shared" si="96"/>
        <v>2.5762622811284901</v>
      </c>
      <c r="MB11" s="15">
        <f t="shared" si="97"/>
        <v>3.2702626605632905</v>
      </c>
      <c r="MC11" s="15">
        <f t="shared" si="98"/>
        <v>3.3528337315522569</v>
      </c>
      <c r="MD11" s="15">
        <f t="shared" si="99"/>
        <v>3.5583928453147928</v>
      </c>
      <c r="ME11" s="15">
        <f t="shared" si="100"/>
        <v>3.049077322990029</v>
      </c>
      <c r="MF11" s="15">
        <f t="shared" si="101"/>
        <v>2.8189420333964583</v>
      </c>
      <c r="MG11" s="15">
        <f t="shared" si="102"/>
        <v>2.8832130182260181</v>
      </c>
      <c r="MH11" s="15">
        <f t="shared" si="103"/>
        <v>2.8353348809740444</v>
      </c>
      <c r="MI11" s="15"/>
      <c r="MJ11" s="15">
        <f t="shared" si="104"/>
        <v>2.845829977532174</v>
      </c>
      <c r="MK11" s="15">
        <f t="shared" si="105"/>
        <v>2.896641813896637</v>
      </c>
      <c r="ML11" s="506">
        <f t="shared" si="106"/>
        <v>2.7929780820851775</v>
      </c>
      <c r="MM11" s="10">
        <f t="shared" si="107"/>
        <v>0.12404595260605845</v>
      </c>
      <c r="MN11" s="18"/>
      <c r="MO11" s="15">
        <f>('Bloom Cleaner Data'!T11+'Bloom Cleaner Data'!EY11)/'Bloom Cleaner Data'!GV11</f>
        <v>2.4282468824734256</v>
      </c>
      <c r="MP11" s="15">
        <f>('Bloom Cleaner Data'!U11+'Bloom Cleaner Data'!EZ11)/'Bloom Cleaner Data'!GW11</f>
        <v>2.5200921785125585</v>
      </c>
      <c r="MQ11" s="15">
        <f>('Bloom Cleaner Data'!V11+'Bloom Cleaner Data'!FA11)/'Bloom Cleaner Data'!GX11</f>
        <v>2.6556173147036595</v>
      </c>
      <c r="MR11" s="15">
        <f>('Bloom Cleaner Data'!W11+'Bloom Cleaner Data'!FB11)/'Bloom Cleaner Data'!GY11</f>
        <v>2.6340720729649592</v>
      </c>
      <c r="MS11" s="15">
        <f>('Bloom Cleaner Data'!X11+'Bloom Cleaner Data'!FC11)/'Bloom Cleaner Data'!GZ11</f>
        <v>2.3092875301342648</v>
      </c>
      <c r="MT11" s="15">
        <f>('Bloom Cleaner Data'!Y11+'Bloom Cleaner Data'!FD11)/'Bloom Cleaner Data'!HA11</f>
        <v>2.2469204742811701</v>
      </c>
      <c r="MU11" s="15">
        <f>('Bloom Cleaner Data'!Z11+'Bloom Cleaner Data'!FE11)/'Bloom Cleaner Data'!HB11</f>
        <v>2.2188086168979284</v>
      </c>
      <c r="MV11" s="15">
        <f>('Bloom Cleaner Data'!AA11+'Bloom Cleaner Data'!FF11)/'Bloom Cleaner Data'!HC11</f>
        <v>2.5226100491792258</v>
      </c>
      <c r="MW11" s="15">
        <f>('Bloom Cleaner Data'!AB11+'Bloom Cleaner Data'!FG11)/'Bloom Cleaner Data'!HD11</f>
        <v>3.2840553523258373</v>
      </c>
      <c r="MX11" s="15">
        <f>('Bloom Cleaner Data'!AC11+'Bloom Cleaner Data'!FH11)/'Bloom Cleaner Data'!HE11</f>
        <v>3.4539752553112311</v>
      </c>
      <c r="MY11" s="15">
        <f>('Bloom Cleaner Data'!AD11+'Bloom Cleaner Data'!FI11)/'Bloom Cleaner Data'!HF11</f>
        <v>3.5793819885373197</v>
      </c>
      <c r="MZ11" s="15">
        <f>('Bloom Cleaner Data'!AE11+'Bloom Cleaner Data'!FJ11)/'Bloom Cleaner Data'!HG11</f>
        <v>3.1841602241959706</v>
      </c>
      <c r="NA11" s="15">
        <f>('Bloom Cleaner Data'!AF11+'Bloom Cleaner Data'!FK11)/'Bloom Cleaner Data'!HH11</f>
        <v>3.0641918062629467</v>
      </c>
      <c r="NB11" s="15">
        <f>('Bloom Cleaner Data'!AG11+'Bloom Cleaner Data'!FL11)/'Bloom Cleaner Data'!HI11</f>
        <v>2.9603059608027498</v>
      </c>
      <c r="NC11" s="15">
        <f>('Bloom Cleaner Data'!AH11+'Bloom Cleaner Data'!FM11)/'Bloom Cleaner Data'!HJ11</f>
        <v>2.9886783770424268</v>
      </c>
      <c r="ND11" s="15"/>
      <c r="NE11" s="15">
        <f t="shared" si="43"/>
        <v>0.38106203176523135</v>
      </c>
      <c r="NF11" s="15">
        <f t="shared" si="108"/>
        <v>3.0043920480360407</v>
      </c>
      <c r="NG11" s="15">
        <f t="shared" si="44"/>
        <v>0.38070756567530406</v>
      </c>
      <c r="NH11" s="15">
        <f t="shared" si="109"/>
        <v>3.0493340920760232</v>
      </c>
      <c r="NI11" s="15">
        <f t="shared" si="110"/>
        <v>2.8540050017415148</v>
      </c>
      <c r="NJ11" s="18">
        <f t="shared" si="111"/>
        <v>0.12541756694184442</v>
      </c>
      <c r="NK11" s="15">
        <f t="shared" si="45"/>
        <v>0.25759775615101965</v>
      </c>
      <c r="NL11" s="2818"/>
      <c r="NM11" s="1694" t="s">
        <v>53</v>
      </c>
      <c r="NN11" s="15">
        <f>KW11+'Bloom Cleaner Data'!EY11/CALCULATIONS!DK11</f>
        <v>2.5573657493709736</v>
      </c>
      <c r="NO11" s="15">
        <f>KX11+'Bloom Cleaner Data'!EZ11/CALCULATIONS!DL11</f>
        <v>2.6621263161634503</v>
      </c>
      <c r="NP11" s="15">
        <f>KY11+'Bloom Cleaner Data'!FA11/CALCULATIONS!DM11</f>
        <v>2.8062522953860274</v>
      </c>
      <c r="NQ11" s="15">
        <f>KZ11+'Bloom Cleaner Data'!FB11/CALCULATIONS!DN11</f>
        <v>2.8009769385968424</v>
      </c>
      <c r="NR11" s="15">
        <f>LA11+'Bloom Cleaner Data'!FC11/CALCULATIONS!DO11</f>
        <v>2.4811291780414821</v>
      </c>
      <c r="NS11" s="15">
        <f>LB11+'Bloom Cleaner Data'!FD11/CALCULATIONS!DP11</f>
        <v>2.4227190890341737</v>
      </c>
      <c r="NT11" s="15">
        <f>LC11+'Bloom Cleaner Data'!FE11/CALCULATIONS!DQ11</f>
        <v>2.3997213806527076</v>
      </c>
      <c r="NU11" s="15">
        <f>LD11+'Bloom Cleaner Data'!FF11/CALCULATIONS!DR11</f>
        <v>2.7129644767768926</v>
      </c>
      <c r="NV11" s="15">
        <f>LE11+'Bloom Cleaner Data'!FG11/CALCULATIONS!DS11</f>
        <v>3.4710482076392837</v>
      </c>
      <c r="NW11" s="15">
        <f>LF11+'Bloom Cleaner Data'!FH11/CALCULATIONS!DT11</f>
        <v>3.6377967595463909</v>
      </c>
      <c r="NX11" s="15">
        <f>LG11+'Bloom Cleaner Data'!FI11/CALCULATIONS!DU11</f>
        <v>3.7616961628031613</v>
      </c>
      <c r="NY11" s="15">
        <f>LH11+'Bloom Cleaner Data'!FJ11/CALCULATIONS!DV11</f>
        <v>3.3706175546861439</v>
      </c>
      <c r="NZ11" s="15">
        <f>LI11+'Bloom Cleaner Data'!FK11/CALCULATIONS!DW11</f>
        <v>3.2571206537639181</v>
      </c>
      <c r="OA11" s="15">
        <f>LJ11+'Bloom Cleaner Data'!FL11/CALCULATIONS!DX11</f>
        <v>3.1628998387695617</v>
      </c>
      <c r="OB11" s="15">
        <f>LK11+'Bloom Cleaner Data'!FM11/CALCULATIONS!DY11</f>
        <v>3.1940393135057517</v>
      </c>
      <c r="OC11" s="15"/>
      <c r="OD11" s="15">
        <f t="shared" si="46"/>
        <v>0.35870443253170725</v>
      </c>
      <c r="OE11" s="15">
        <f t="shared" si="112"/>
        <v>3.2046866020130769</v>
      </c>
      <c r="OF11" s="15">
        <f t="shared" si="47"/>
        <v>0.35885662448090283</v>
      </c>
      <c r="OG11" s="15">
        <f t="shared" si="113"/>
        <v>3.2461693401813436</v>
      </c>
      <c r="OH11" s="15">
        <f t="shared" si="114"/>
        <v>3.0368447576309494</v>
      </c>
      <c r="OI11" s="18">
        <f t="shared" si="115"/>
        <v>0.13818679765797051</v>
      </c>
      <c r="OJ11" s="15">
        <f t="shared" si="48"/>
        <v>0.2438666755457719</v>
      </c>
      <c r="OK11" s="15"/>
      <c r="OL11" s="13">
        <f>'Bloom Cleaner Data'!GF11+('Bloom Cleaner Data'!T11+'Bloom Cleaner Data'!EY11)+'Bloom Cleaner Data'!CK11</f>
        <v>81699.000000000015</v>
      </c>
      <c r="OM11" s="13">
        <f>'Bloom Cleaner Data'!GG11+('Bloom Cleaner Data'!U11+'Bloom Cleaner Data'!EZ11)+'Bloom Cleaner Data'!CL11</f>
        <v>82900.000000000015</v>
      </c>
      <c r="ON11" s="13">
        <f>'Bloom Cleaner Data'!GH11+('Bloom Cleaner Data'!V11+'Bloom Cleaner Data'!FA11)+'Bloom Cleaner Data'!CM11</f>
        <v>84156.00009999999</v>
      </c>
      <c r="OO11" s="13">
        <f>'Bloom Cleaner Data'!GI11+('Bloom Cleaner Data'!W11+'Bloom Cleaner Data'!FB11)+'Bloom Cleaner Data'!CN11</f>
        <v>100010.00000000001</v>
      </c>
      <c r="OP11" s="13">
        <f>'Bloom Cleaner Data'!GJ11+('Bloom Cleaner Data'!X11+'Bloom Cleaner Data'!FC11)+'Bloom Cleaner Data'!CO11</f>
        <v>98442.000000000015</v>
      </c>
      <c r="OQ11" s="13">
        <f>'Bloom Cleaner Data'!GK11+('Bloom Cleaner Data'!Y11+'Bloom Cleaner Data'!FD11)+'Bloom Cleaner Data'!CP11</f>
        <v>96414.999999999985</v>
      </c>
      <c r="OR11" s="13">
        <f>'Bloom Cleaner Data'!GL11+('Bloom Cleaner Data'!Z11+'Bloom Cleaner Data'!FE11)+'Bloom Cleaner Data'!CQ11</f>
        <v>89617.927000000011</v>
      </c>
      <c r="OS11" s="13">
        <f>'Bloom Cleaner Data'!GM11+('Bloom Cleaner Data'!AA11+'Bloom Cleaner Data'!FF11)+'Bloom Cleaner Data'!CR11</f>
        <v>87315</v>
      </c>
      <c r="OT11" s="13">
        <f>'Bloom Cleaner Data'!GN11+('Bloom Cleaner Data'!AB11+'Bloom Cleaner Data'!FG11)+'Bloom Cleaner Data'!CS11</f>
        <v>96816</v>
      </c>
      <c r="OU11" s="13">
        <f>'Bloom Cleaner Data'!GO11+('Bloom Cleaner Data'!AC11+'Bloom Cleaner Data'!FH11)+'Bloom Cleaner Data'!CT11</f>
        <v>98673</v>
      </c>
      <c r="OV11" s="13">
        <f>'Bloom Cleaner Data'!GP11+('Bloom Cleaner Data'!AD11+'Bloom Cleaner Data'!FI11)+'Bloom Cleaner Data'!CU11</f>
        <v>97413</v>
      </c>
      <c r="OW11" s="13">
        <f>'Bloom Cleaner Data'!GQ11+('Bloom Cleaner Data'!AE11+'Bloom Cleaner Data'!FJ11)+'Bloom Cleaner Data'!CV11</f>
        <v>98056</v>
      </c>
      <c r="OX11" s="13">
        <f>'Bloom Cleaner Data'!GR11+('Bloom Cleaner Data'!AF11+'Bloom Cleaner Data'!FK11)+'Bloom Cleaner Data'!CW11</f>
        <v>99842</v>
      </c>
      <c r="OY11" s="13">
        <f>'Bloom Cleaner Data'!GS11+('Bloom Cleaner Data'!AG11+'Bloom Cleaner Data'!FL11)+'Bloom Cleaner Data'!CX11</f>
        <v>97455</v>
      </c>
      <c r="OZ11" s="13">
        <f>'Bloom Cleaner Data'!GT11+('Bloom Cleaner Data'!AH11+'Bloom Cleaner Data'!FM11)+'Bloom Cleaner Data'!CY11</f>
        <v>92242</v>
      </c>
      <c r="PA11" s="166"/>
      <c r="PB11" s="1694" t="s">
        <v>53</v>
      </c>
      <c r="PC11" s="947">
        <f>('Bloom Cleaner Data'!T11+'Bloom Cleaner Data'!EY11+'OPERATING LEASES'!BL11)/CALCULATIONS!OL11</f>
        <v>0.68324319409400003</v>
      </c>
      <c r="PD11" s="947">
        <f>('Bloom Cleaner Data'!U11+'Bloom Cleaner Data'!EZ11+'OPERATING LEASES'!BM11)/CALCULATIONS!OM11</f>
        <v>0.6908416982595208</v>
      </c>
      <c r="PE11" s="947">
        <f>('Bloom Cleaner Data'!V11+'Bloom Cleaner Data'!FA11+'OPERATING LEASES'!BN11)/CALCULATIONS!ON11</f>
        <v>0.71974984297219302</v>
      </c>
      <c r="PF11" s="947">
        <f>('Bloom Cleaner Data'!W11+'Bloom Cleaner Data'!FB11+'OPERATING LEASES'!BO11)/CALCULATIONS!OO11</f>
        <v>0.59917767151856238</v>
      </c>
      <c r="PG11" s="947">
        <f>('Bloom Cleaner Data'!X11+'Bloom Cleaner Data'!FC11+'OPERATING LEASES'!BP11)/CALCULATIONS!OP11</f>
        <v>0.61590835212612494</v>
      </c>
      <c r="PH11" s="947">
        <f>('Bloom Cleaner Data'!Y11+'Bloom Cleaner Data'!FD11+'OPERATING LEASES'!BQ11)/CALCULATIONS!OQ11</f>
        <v>0.62045681429238198</v>
      </c>
      <c r="PI11" s="947">
        <f>('Bloom Cleaner Data'!Z11+'Bloom Cleaner Data'!FE11+'OPERATING LEASES'!BR11)/CALCULATIONS!OR11</f>
        <v>0.65834606395213757</v>
      </c>
      <c r="PJ11" s="947">
        <f>('Bloom Cleaner Data'!AA11+'Bloom Cleaner Data'!FF11+'OPERATING LEASES'!BS11)/CALCULATIONS!OS11</f>
        <v>0.68830706350569781</v>
      </c>
      <c r="PK11" s="947">
        <f>('Bloom Cleaner Data'!AB11+'Bloom Cleaner Data'!FG11+'OPERATING LEASES'!BT11)/CALCULATIONS!OT11</f>
        <v>0.67021592505371008</v>
      </c>
      <c r="PL11" s="947">
        <f>('Bloom Cleaner Data'!AC11+'Bloom Cleaner Data'!FH11+'OPERATING LEASES'!BU11)/CALCULATIONS!OU11</f>
        <v>0.67345392103209589</v>
      </c>
      <c r="PM11" s="947">
        <f>('Bloom Cleaner Data'!AD11+'Bloom Cleaner Data'!FI11+'OPERATING LEASES'!BV11)/CALCULATIONS!OV11</f>
        <v>0.69081962879697778</v>
      </c>
      <c r="PN11" s="947">
        <f>('Bloom Cleaner Data'!AE11+'Bloom Cleaner Data'!FJ11+'OPERATING LEASES'!BW11)/CALCULATIONS!OW11</f>
        <v>0.69152225513992005</v>
      </c>
      <c r="PO11" s="947">
        <f>('Bloom Cleaner Data'!AF11+'Bloom Cleaner Data'!FK11+'OPERATING LEASES'!BX11)/CALCULATIONS!OX11</f>
        <v>0.66351835900723144</v>
      </c>
      <c r="PP11" s="947">
        <f>('Bloom Cleaner Data'!AG11+'Bloom Cleaner Data'!FL11+'OPERATING LEASES'!BY11)/CALCULATIONS!OY11</f>
        <v>0.64431789030834741</v>
      </c>
      <c r="PQ11" s="947">
        <f>('Bloom Cleaner Data'!AH11+'Bloom Cleaner Data'!FM11+'OPERATING LEASES'!BZ11)/CALCULATIONS!OZ11</f>
        <v>0.67183061945751388</v>
      </c>
      <c r="PR11" s="947"/>
      <c r="PS11" s="18">
        <f t="shared" si="116"/>
        <v>0.65988895625769761</v>
      </c>
      <c r="PT11" s="18">
        <f t="shared" si="117"/>
        <v>0.6677972809782533</v>
      </c>
      <c r="PU11" s="18">
        <f t="shared" si="118"/>
        <v>0.66212495439714558</v>
      </c>
      <c r="PV11" s="10">
        <f t="shared" si="119"/>
        <v>-6.6577608849204661E-2</v>
      </c>
      <c r="PW11" s="10"/>
      <c r="PX11" s="506">
        <f>'Bloom Cleaner Data'!D11/'Bloom Cleaner Data'!GF11</f>
        <v>3.6650596934992175</v>
      </c>
      <c r="PY11" s="506">
        <f>'Bloom Cleaner Data'!E11/'Bloom Cleaner Data'!GG11</f>
        <v>3.3458367382763519</v>
      </c>
      <c r="PZ11" s="506">
        <f>'Bloom Cleaner Data'!F11/'Bloom Cleaner Data'!GH11</f>
        <v>3.1661513142337427</v>
      </c>
      <c r="QA11" s="506">
        <f>'Bloom Cleaner Data'!G11/'Bloom Cleaner Data'!GI11</f>
        <v>2.6123325970506679</v>
      </c>
      <c r="QB11" s="506">
        <f>'Bloom Cleaner Data'!H11/'Bloom Cleaner Data'!GJ11</f>
        <v>2.4142042829188233</v>
      </c>
      <c r="QC11" s="506">
        <f>'Bloom Cleaner Data'!I11/'Bloom Cleaner Data'!GK11</f>
        <v>2.5642628828599601</v>
      </c>
      <c r="QD11" s="506">
        <f>'Bloom Cleaner Data'!J11/'Bloom Cleaner Data'!GL11</f>
        <v>2.9541315184626851</v>
      </c>
      <c r="QE11" s="506">
        <f>'Bloom Cleaner Data'!K11/'Bloom Cleaner Data'!GM11</f>
        <v>2.8419080678580682</v>
      </c>
      <c r="QF11" s="506">
        <f>'Bloom Cleaner Data'!L11/'Bloom Cleaner Data'!GN11</f>
        <v>2.1897509622758644</v>
      </c>
      <c r="QG11" s="506">
        <f>'Bloom Cleaner Data'!M11/'Bloom Cleaner Data'!GO11</f>
        <v>1.9945121774164278</v>
      </c>
      <c r="QH11" s="506">
        <f>'Bloom Cleaner Data'!N11/'Bloom Cleaner Data'!GP11</f>
        <v>1.8025774225774225</v>
      </c>
      <c r="QI11" s="506">
        <f>'Bloom Cleaner Data'!O11/'Bloom Cleaner Data'!GQ11</f>
        <v>1.8025740627624647</v>
      </c>
      <c r="QJ11" s="506">
        <f>'Bloom Cleaner Data'!P11/'Bloom Cleaner Data'!GR11</f>
        <v>1.6589194642276128</v>
      </c>
      <c r="QK11" s="506">
        <f>'Bloom Cleaner Data'!Q11/'Bloom Cleaner Data'!GS11</f>
        <v>1.6653381204869711</v>
      </c>
      <c r="QL11" s="506">
        <f>'Bloom Cleaner Data'!R11/'Bloom Cleaner Data'!GT11</f>
        <v>1.7716210773954304</v>
      </c>
      <c r="QM11" s="506"/>
      <c r="QN11" s="506">
        <f t="shared" si="120"/>
        <v>2.2644833808097031</v>
      </c>
      <c r="QO11" s="10">
        <f t="shared" si="121"/>
        <v>-0.44044964956951532</v>
      </c>
      <c r="QP11" s="506">
        <f t="shared" si="122"/>
        <v>2.4819836007303797</v>
      </c>
      <c r="QQ11" s="18"/>
      <c r="QR11" s="506">
        <f>'Bloom Cleaner Data'!GF11/CALCULATIONS!DK11</f>
        <v>1.031268054691753</v>
      </c>
      <c r="QS11" s="506">
        <f>'Bloom Cleaner Data'!GG11/CALCULATIONS!DL11</f>
        <v>1.026186420994357</v>
      </c>
      <c r="QT11" s="506">
        <f>'Bloom Cleaner Data'!GH11/CALCULATIONS!DM11</f>
        <v>0.93794749642821518</v>
      </c>
      <c r="QU11" s="506">
        <f>'Bloom Cleaner Data'!GI11/CALCULATIONS!DN11</f>
        <v>1.3557312881941888</v>
      </c>
      <c r="QV11" s="506">
        <f>'Bloom Cleaner Data'!GJ11/CALCULATIONS!DO11</f>
        <v>1.1786311627287234</v>
      </c>
      <c r="QW11" s="506">
        <f>'Bloom Cleaner Data'!GK11/CALCULATIONS!DP11</f>
        <v>1.1537800247592003</v>
      </c>
      <c r="QX11" s="506">
        <f>'Bloom Cleaner Data'!GL11/CALCULATIONS!DQ11</f>
        <v>0.95679053335680375</v>
      </c>
      <c r="QY11" s="506">
        <f>'Bloom Cleaner Data'!GM11/CALCULATIONS!DR11</f>
        <v>0.94419888622268711</v>
      </c>
      <c r="QZ11" s="506">
        <f>'Bloom Cleaner Data'!GN11/CALCULATIONS!DS11</f>
        <v>1.3296519070331125</v>
      </c>
      <c r="RA11" s="506">
        <f>'Bloom Cleaner Data'!GO11/CALCULATIONS!DT11</f>
        <v>1.370399089590921</v>
      </c>
      <c r="RB11" s="506">
        <f>'Bloom Cleaner Data'!GP11/CALCULATIONS!DU11</f>
        <v>1.3218016839750875</v>
      </c>
      <c r="RC11" s="506">
        <f>'Bloom Cleaner Data'!GQ11/CALCULATIONS!DV11</f>
        <v>1.1824266220760962</v>
      </c>
      <c r="RD11" s="506">
        <f>'Bloom Cleaner Data'!GR11/CALCULATIONS!DW11</f>
        <v>1.2308783200958984</v>
      </c>
      <c r="RE11" s="506">
        <f>'Bloom Cleaner Data'!GS11/CALCULATIONS!DX11</f>
        <v>1.3001106023223234</v>
      </c>
      <c r="RF11" s="506">
        <f>'Bloom Cleaner Data'!GT11/CALCULATIONS!DY11</f>
        <v>1.1622672433414325</v>
      </c>
      <c r="RG11" s="506"/>
      <c r="RH11" s="506">
        <f t="shared" si="123"/>
        <v>1.186508835394207</v>
      </c>
      <c r="RI11" s="506">
        <f t="shared" si="124"/>
        <v>1.1998360986682624</v>
      </c>
      <c r="RJ11" s="18"/>
      <c r="RK11" s="506">
        <f>'Bloom Cleaner Data'!GF11/($RK$1*DK11+(1-$RK$1)*'Bloom Cleaner Data'!GV11)</f>
        <v>1.031268054691753</v>
      </c>
      <c r="RL11" s="506">
        <f>'Bloom Cleaner Data'!GG11/($RK$1*DL11+(1-$RK$1)*'Bloom Cleaner Data'!GW11)</f>
        <v>1.026186420994357</v>
      </c>
      <c r="RM11" s="506">
        <f>'Bloom Cleaner Data'!GH11/($RK$1*DM11+(1-$RK$1)*'Bloom Cleaner Data'!GX11)</f>
        <v>0.93794749642821518</v>
      </c>
      <c r="RN11" s="506">
        <f>'Bloom Cleaner Data'!GI11/($RK$1*DN11+(1-$RK$1)*'Bloom Cleaner Data'!GY11)</f>
        <v>1.3557312881941888</v>
      </c>
      <c r="RO11" s="506">
        <f>'Bloom Cleaner Data'!GJ11/($RK$1*DO11+(1-$RK$1)*'Bloom Cleaner Data'!GZ11)</f>
        <v>1.1786311627287234</v>
      </c>
      <c r="RP11" s="506">
        <f>'Bloom Cleaner Data'!GK11/($RK$1*DP11+(1-$RK$1)*'Bloom Cleaner Data'!HA11)</f>
        <v>1.1537800247592003</v>
      </c>
      <c r="RQ11" s="506">
        <f>'Bloom Cleaner Data'!GL11/($RK$1*DQ11+(1-$RK$1)*'Bloom Cleaner Data'!HB11)</f>
        <v>0.95679053335680375</v>
      </c>
      <c r="RR11" s="506">
        <f>'Bloom Cleaner Data'!GM11/($RK$1*DR11+(1-$RK$1)*'Bloom Cleaner Data'!HC11)</f>
        <v>0.94419888622268711</v>
      </c>
      <c r="RS11" s="506">
        <f>'Bloom Cleaner Data'!GN11/($RK$1*DS11+(1-$RK$1)*'Bloom Cleaner Data'!HD11)</f>
        <v>1.3296519070331125</v>
      </c>
      <c r="RT11" s="506">
        <f>'Bloom Cleaner Data'!GO11/($RK$1*DT11+(1-$RK$1)*'Bloom Cleaner Data'!HE11)</f>
        <v>1.370399089590921</v>
      </c>
      <c r="RU11" s="506">
        <f>'Bloom Cleaner Data'!GP11/($RK$1*DU11+(1-$RK$1)*'Bloom Cleaner Data'!HF11)</f>
        <v>1.3218016839750875</v>
      </c>
      <c r="RV11" s="506">
        <f>'Bloom Cleaner Data'!GQ11/($RK$1*DV11+(1-$RK$1)*'Bloom Cleaner Data'!HG11)</f>
        <v>1.1824266220760962</v>
      </c>
      <c r="RW11" s="506">
        <f>'Bloom Cleaner Data'!GR11/($RK$1*DW11+(1-$RK$1)*'Bloom Cleaner Data'!HH11)</f>
        <v>1.2308783200958984</v>
      </c>
      <c r="RX11" s="506">
        <f>'Bloom Cleaner Data'!GS11/($RK$1*DX11+(1-$RK$1)*'Bloom Cleaner Data'!HI11)</f>
        <v>1.3001106023223234</v>
      </c>
      <c r="RY11" s="506">
        <f>'Bloom Cleaner Data'!GT11/($RK$1*DY11+(1-$RK$1)*'Bloom Cleaner Data'!HJ11)</f>
        <v>1.1622672433414325</v>
      </c>
      <c r="RZ11" s="506"/>
      <c r="SA11" s="506">
        <f t="shared" si="125"/>
        <v>1.186508835394207</v>
      </c>
      <c r="SB11" s="506">
        <f t="shared" si="126"/>
        <v>1.1998360986682624</v>
      </c>
      <c r="SC11" s="18"/>
      <c r="SD11" s="15">
        <f>'Bloom Cleaner Data'!HM11</f>
        <v>6.9020000000000001</v>
      </c>
      <c r="SE11" s="15">
        <f>'Bloom Cleaner Data'!HN11</f>
        <v>6.9068000000000005</v>
      </c>
      <c r="SF11" s="15">
        <f>'Bloom Cleaner Data'!HO11</f>
        <v>7.7519</v>
      </c>
      <c r="SG11" s="15">
        <f>'Bloom Cleaner Data'!HP11</f>
        <v>7.3968999999999996</v>
      </c>
      <c r="SH11" s="15">
        <f>'Bloom Cleaner Data'!HQ11</f>
        <v>7.2126999999999999</v>
      </c>
      <c r="SI11" s="15">
        <f>'Bloom Cleaner Data'!HR11</f>
        <v>7.7008000000000001</v>
      </c>
      <c r="SJ11" s="15">
        <f>'Bloom Cleaner Data'!HS11</f>
        <v>7.7841000000000005</v>
      </c>
      <c r="SK11" s="15">
        <f>'Bloom Cleaner Data'!HT11</f>
        <v>7.9416000000000002</v>
      </c>
      <c r="SL11" s="15">
        <f>'Bloom Cleaner Data'!HU11</f>
        <v>7.7706999999999997</v>
      </c>
      <c r="SM11" s="15">
        <f>'Bloom Cleaner Data'!HV11</f>
        <v>7.2561</v>
      </c>
      <c r="SN11" s="15">
        <f>'Bloom Cleaner Data'!HW11</f>
        <v>7.1321000000000003</v>
      </c>
      <c r="SO11" s="15">
        <f>'Bloom Cleaner Data'!HX11</f>
        <v>6.9469000000000003</v>
      </c>
      <c r="SP11" s="15">
        <f>'Bloom Cleaner Data'!HY11</f>
        <v>6.4795999999999996</v>
      </c>
      <c r="SQ11" s="15">
        <f>'Bloom Cleaner Data'!HZ11</f>
        <v>8.1409000000000002</v>
      </c>
      <c r="SR11" s="15">
        <f>'Bloom Cleaner Data'!IA11</f>
        <v>7.5750999999999999</v>
      </c>
      <c r="SS11" s="15"/>
      <c r="ST11" s="15">
        <f t="shared" si="127"/>
        <v>7.3932133333333345</v>
      </c>
      <c r="SU11" s="487">
        <f t="shared" si="128"/>
        <v>-2.2807311755827613E-2</v>
      </c>
      <c r="SV11" s="15">
        <f t="shared" si="129"/>
        <v>-0.17680000000000007</v>
      </c>
    </row>
    <row r="12" spans="1:518">
      <c r="A12" s="11" t="s">
        <v>73</v>
      </c>
      <c r="B12" s="72"/>
      <c r="C12" s="83" t="s">
        <v>283</v>
      </c>
      <c r="D12" s="1133" t="s">
        <v>1040</v>
      </c>
      <c r="E12" s="224"/>
      <c r="F12" s="224"/>
      <c r="G12" s="13">
        <f>'Bloom Cleaner Data'!D12</f>
        <v>2483.6786000000002</v>
      </c>
      <c r="H12" s="13">
        <f>'Bloom Cleaner Data'!F12</f>
        <v>2215.0933</v>
      </c>
      <c r="I12" s="13">
        <f>'Bloom Cleaner Data'!H12</f>
        <v>2705.8244</v>
      </c>
      <c r="J12" s="13">
        <f>'Bloom Cleaner Data'!J12</f>
        <v>2313.2302</v>
      </c>
      <c r="K12" s="13">
        <f>'Bloom Cleaner Data'!L12</f>
        <v>2519.9494</v>
      </c>
      <c r="L12" s="13">
        <f>'Bloom Cleaner Data'!N12</f>
        <v>2487.5765000000001</v>
      </c>
      <c r="M12" s="13">
        <f>'Bloom Cleaner Data'!P12</f>
        <v>2624.5967999999998</v>
      </c>
      <c r="N12" s="13">
        <f>'Bloom Cleaner Data'!R12</f>
        <v>2364.3629999999998</v>
      </c>
      <c r="O12" s="13"/>
      <c r="P12" s="13">
        <f t="shared" si="0"/>
        <v>2461.5190857142857</v>
      </c>
      <c r="Q12" s="13">
        <f t="shared" si="49"/>
        <v>2492.1787666666664</v>
      </c>
      <c r="R12" s="10">
        <f t="shared" si="1"/>
        <v>6.738754525599433E-2</v>
      </c>
      <c r="S12" s="144">
        <f t="shared" si="130"/>
        <v>6.738754525599433E-2</v>
      </c>
      <c r="T12" s="10">
        <f t="shared" si="2"/>
        <v>0.16916312416163326</v>
      </c>
      <c r="U12" s="10"/>
      <c r="V12" s="1277" t="s">
        <v>283</v>
      </c>
      <c r="W12" s="1238">
        <f>'Bloom Cleaner Data'!D12/'Bloom Cleaner Data'!$F12</f>
        <v>1.1212523644037928</v>
      </c>
      <c r="X12" s="1238">
        <f>'Bloom Cleaner Data'!E12/'Bloom Cleaner Data'!$F12</f>
        <v>1.0738569341526156</v>
      </c>
      <c r="Y12" s="1238">
        <f>'Bloom Cleaner Data'!F12/'Bloom Cleaner Data'!$F12</f>
        <v>1</v>
      </c>
      <c r="Z12" s="1238">
        <f>'Bloom Cleaner Data'!G12/'Bloom Cleaner Data'!$F12</f>
        <v>1.184950719683004</v>
      </c>
      <c r="AA12" s="1238">
        <f>'Bloom Cleaner Data'!H12/'Bloom Cleaner Data'!$F12</f>
        <v>1.2215396976732311</v>
      </c>
      <c r="AB12" s="1238">
        <f>'Bloom Cleaner Data'!I12/'Bloom Cleaner Data'!$F12</f>
        <v>1.0929392454936322</v>
      </c>
      <c r="AC12" s="1238">
        <f>'Bloom Cleaner Data'!J12/'Bloom Cleaner Data'!$F12</f>
        <v>1.0443037320369304</v>
      </c>
      <c r="AD12" s="1238">
        <f>'Bloom Cleaner Data'!K12/'Bloom Cleaner Data'!$F12</f>
        <v>1.1541821737260458</v>
      </c>
      <c r="AE12" s="1238">
        <f>'Bloom Cleaner Data'!L12/'Bloom Cleaner Data'!$F12</f>
        <v>1.1376267536902396</v>
      </c>
      <c r="AF12" s="1238">
        <f>'Bloom Cleaner Data'!M12/'Bloom Cleaner Data'!$F12</f>
        <v>1.2686365851948538</v>
      </c>
      <c r="AG12" s="1238">
        <f>'Bloom Cleaner Data'!N12/'Bloom Cleaner Data'!$F12</f>
        <v>1.1230120645482518</v>
      </c>
      <c r="AH12" s="1238">
        <f>'Bloom Cleaner Data'!O12/'Bloom Cleaner Data'!$F12</f>
        <v>1.2439379415756437</v>
      </c>
      <c r="AI12" s="1238">
        <f>'Bloom Cleaner Data'!P12/'Bloom Cleaner Data'!$F12</f>
        <v>1.1848696395768068</v>
      </c>
      <c r="AJ12" s="1238">
        <f>'Bloom Cleaner Data'!Q12/'Bloom Cleaner Data'!$F12</f>
        <v>1.0262649433321838</v>
      </c>
      <c r="AK12" s="1238">
        <f>'Bloom Cleaner Data'!R12/'Bloom Cleaner Data'!$F12</f>
        <v>1.0673875452559944</v>
      </c>
      <c r="AL12" s="13"/>
      <c r="AM12" s="13">
        <f>AVERAGE('Bloom Cleaner Data'!BW12:CI12)</f>
        <v>3319.7502461538465</v>
      </c>
      <c r="AN12" s="18">
        <f>('Bloom Cleaner Data'!CI12-'Bloom Cleaner Data'!BW12)/'Bloom Cleaner Data'!BW12</f>
        <v>0.15580152272718772</v>
      </c>
      <c r="AO12" s="18">
        <f>('Bloom Cleaner Data'!CI12+'Bloom Cleaner Data'!CH12-'Bloom Cleaner Data'!BW12-'Bloom Cleaner Data'!BV12)/('Bloom Cleaner Data'!BW12+'Bloom Cleaner Data'!BV12)</f>
        <v>5.6639984269490254E-2</v>
      </c>
      <c r="AP12" s="13"/>
      <c r="AQ12" s="13">
        <f>'Bloom Cleaner Data'!BW12</f>
        <v>2970.8933000000002</v>
      </c>
      <c r="AR12" s="13">
        <f>'Bloom Cleaner Data'!BY12</f>
        <v>3485.2244000000001</v>
      </c>
      <c r="AS12" s="13">
        <f>'Bloom Cleaner Data'!CA12</f>
        <v>3162.5302000000001</v>
      </c>
      <c r="AT12" s="13">
        <f>'Bloom Cleaner Data'!CC12</f>
        <v>3311.5493999999999</v>
      </c>
      <c r="AU12" s="13">
        <f>'Bloom Cleaner Data'!CE12</f>
        <v>3399.2764999999999</v>
      </c>
      <c r="AV12" s="13">
        <f>'Bloom Cleaner Data'!CG12</f>
        <v>3465.9967999999999</v>
      </c>
      <c r="AW12" s="13">
        <f>'Bloom Cleaner Data'!CI12</f>
        <v>3433.7629999999999</v>
      </c>
      <c r="AX12" s="13"/>
      <c r="AY12" s="13">
        <f t="shared" si="3"/>
        <v>3318.4619428571427</v>
      </c>
      <c r="AZ12" s="10">
        <f t="shared" si="4"/>
        <v>0.15580152272718772</v>
      </c>
      <c r="BA12" s="10"/>
      <c r="BB12" s="13">
        <f>'Bloom Cleaner Data'!T12+'OPERATING LEASES'!AU12</f>
        <v>773.24960443541204</v>
      </c>
      <c r="BC12" s="13">
        <f>'Bloom Cleaner Data'!U12+'OPERATING LEASES'!AV12</f>
        <v>870.87350182161435</v>
      </c>
      <c r="BD12" s="13">
        <f>'Bloom Cleaner Data'!V12+'OPERATING LEASES'!AW12</f>
        <v>804.89739920781665</v>
      </c>
      <c r="BE12" s="13">
        <f>'Bloom Cleaner Data'!W12+'OPERATING LEASES'!AX12</f>
        <v>776.02129659401885</v>
      </c>
      <c r="BF12" s="13">
        <f>'Bloom Cleaner Data'!X12+'OPERATING LEASES'!AY12</f>
        <v>826.3451939802211</v>
      </c>
      <c r="BG12" s="13">
        <f>'Bloom Cleaner Data'!Y12+'OPERATING LEASES'!AZ12</f>
        <v>826.16085018852232</v>
      </c>
      <c r="BH12" s="13">
        <f>'Bloom Cleaner Data'!Z12+'OPERATING LEASES'!BA12</f>
        <v>944.47650639682342</v>
      </c>
      <c r="BI12" s="13">
        <f>'Bloom Cleaner Data'!AA12+'OPERATING LEASES'!BB12</f>
        <v>680.29216260512476</v>
      </c>
      <c r="BJ12" s="13">
        <f>'Bloom Cleaner Data'!AB12+'OPERATING LEASES'!BC12</f>
        <v>936.20781881342589</v>
      </c>
      <c r="BK12" s="13">
        <f>'Bloom Cleaner Data'!AC12+'OPERATING LEASES'!BD12</f>
        <v>883.23212041156864</v>
      </c>
      <c r="BL12" s="13">
        <f>'Bloom Cleaner Data'!AD12+'OPERATING LEASES'!BE12</f>
        <v>1019.8564220097114</v>
      </c>
      <c r="BM12" s="13">
        <f>'Bloom Cleaner Data'!AE12+'OPERATING LEASES'!BF12</f>
        <v>966.28072360785427</v>
      </c>
      <c r="BN12" s="13">
        <f>'Bloom Cleaner Data'!AF12+'OPERATING LEASES'!BG12</f>
        <v>912.00502520599696</v>
      </c>
      <c r="BO12" s="13">
        <f>'Bloom Cleaner Data'!AG12+'OPERATING LEASES'!BH12</f>
        <v>880.80502520599691</v>
      </c>
      <c r="BP12" s="13">
        <f>'Bloom Cleaner Data'!AH12+'OPERATING LEASES'!BI12</f>
        <v>1115.805025205997</v>
      </c>
      <c r="BQ12" s="13"/>
      <c r="BR12" s="1099">
        <f t="shared" si="50"/>
        <v>890.18350534100603</v>
      </c>
      <c r="BS12" s="10">
        <f t="shared" si="51"/>
        <v>0.38626988521043421</v>
      </c>
      <c r="BT12" s="10"/>
      <c r="BU12" s="13">
        <f>'Bloom Cleaner Data'!BU12+'OPERATING LEASES'!AU12</f>
        <v>3257.728204435412</v>
      </c>
      <c r="BV12" s="13">
        <f>'Bloom Cleaner Data'!BV12+'OPERATING LEASES'!AV12</f>
        <v>3250.5668018216143</v>
      </c>
      <c r="BW12" s="13">
        <f>'Bloom Cleaner Data'!BW12+'OPERATING LEASES'!AW12</f>
        <v>3023.2906992078169</v>
      </c>
      <c r="BX12" s="13">
        <f>'Bloom Cleaner Data'!BX12+'OPERATING LEASES'!AX12</f>
        <v>3403.4976965940191</v>
      </c>
      <c r="BY12" s="13">
        <f>'Bloom Cleaner Data'!BY12+'OPERATING LEASES'!AY12</f>
        <v>3535.2695939802211</v>
      </c>
      <c r="BZ12" s="13">
        <f>'Bloom Cleaner Data'!BZ12+'OPERATING LEASES'!AZ12</f>
        <v>3250.2232501885223</v>
      </c>
      <c r="CA12" s="13">
        <f>'Bloom Cleaner Data'!CA12+'OPERATING LEASES'!BA12</f>
        <v>3261.6067063968235</v>
      </c>
      <c r="CB12" s="13">
        <f>'Bloom Cleaner Data'!CB12+'OPERATING LEASES'!BB12</f>
        <v>3240.3133626051244</v>
      </c>
      <c r="CC12" s="13">
        <f>'Bloom Cleaner Data'!CC12+'OPERATING LEASES'!BC12</f>
        <v>3459.657218813426</v>
      </c>
      <c r="CD12" s="13">
        <f>'Bloom Cleaner Data'!CD12+'OPERATING LEASES'!BD12</f>
        <v>3696.6805204115685</v>
      </c>
      <c r="CE12" s="13">
        <f>'Bloom Cleaner Data'!CE12+'OPERATING LEASES'!BE12</f>
        <v>3510.0329220097115</v>
      </c>
      <c r="CF12" s="13">
        <f>'Bloom Cleaner Data'!CF12+'OPERATING LEASES'!BF12</f>
        <v>3724.2193236078542</v>
      </c>
      <c r="CG12" s="13">
        <f>'Bloom Cleaner Data'!CG12+'OPERATING LEASES'!BG12</f>
        <v>3539.4018252059968</v>
      </c>
      <c r="CH12" s="13">
        <f>'Bloom Cleaner Data'!CH12+'OPERATING LEASES'!BH12</f>
        <v>3156.877625205997</v>
      </c>
      <c r="CI12" s="13">
        <f>'Bloom Cleaner Data'!CI12+'OPERATING LEASES'!BI12</f>
        <v>3507.1680252059969</v>
      </c>
      <c r="CJ12" s="13"/>
      <c r="CK12" s="1099">
        <f t="shared" si="52"/>
        <v>3408.3260591871604</v>
      </c>
      <c r="CL12" s="10">
        <f t="shared" si="53"/>
        <v>0.16004988409648094</v>
      </c>
      <c r="CM12" s="18">
        <f t="shared" si="54"/>
        <v>2.6681468925541862E-2</v>
      </c>
      <c r="CN12" s="13"/>
      <c r="CO12" s="18">
        <f>$CO$1*BU12/('Bloom Cleaner Data'!D12+'Bloom Cleaner Data'!T12+'OPERATING LEASES'!AU12)+(1-$CO$1)*'Bloom Cleaner Data'!BU12/('Bloom Cleaner Data'!D12+'Bloom Cleaner Data'!T12)-1</f>
        <v>2.4563022264678658E-4</v>
      </c>
      <c r="CP12" s="18">
        <f>$CO$1*BV12/('Bloom Cleaner Data'!E12+'Bloom Cleaner Data'!U12+'OPERATING LEASES'!AV12)+(1-$CO$1)*'Bloom Cleaner Data'!BV12/('Bloom Cleaner Data'!E12+'Bloom Cleaner Data'!U12)-1</f>
        <v>3.0773332600508851E-4</v>
      </c>
      <c r="CQ12" s="18">
        <f>$CO$1*BW12/('Bloom Cleaner Data'!F12+'Bloom Cleaner Data'!V12+'OPERATING LEASES'!AW12)+(1-$CO$1)*'Bloom Cleaner Data'!BW12/('Bloom Cleaner Data'!F12+'Bloom Cleaner Data'!V12)-1</f>
        <v>1.0927185970690534E-3</v>
      </c>
      <c r="CR12" s="18">
        <f>$CO$1*BX12/('Bloom Cleaner Data'!G12+'Bloom Cleaner Data'!W12+'OPERATING LEASES'!AX12)+(1-$CO$1)*'Bloom Cleaner Data'!BX12/('Bloom Cleaner Data'!G12+'Bloom Cleaner Data'!W12)-1</f>
        <v>7.9393137754246723E-4</v>
      </c>
      <c r="CS12" s="18">
        <f>$CO$1*BY12/('Bloom Cleaner Data'!H12+'Bloom Cleaner Data'!X12+'OPERATING LEASES'!AY12)+(1-$CO$1)*'Bloom Cleaner Data'!BY12/('Bloom Cleaner Data'!H12+'Bloom Cleaner Data'!X12)-1</f>
        <v>8.7764755273456174E-4</v>
      </c>
      <c r="CT12" s="18">
        <f>$CO$1*BZ12/('Bloom Cleaner Data'!I12+'Bloom Cleaner Data'!Y12+'OPERATING LEASES'!AZ12)+(1-$CO$1)*'Bloom Cleaner Data'!BZ12/('Bloom Cleaner Data'!I12+'Bloom Cleaner Data'!Y12)-1</f>
        <v>9.5469120238056426E-4</v>
      </c>
      <c r="CU12" s="18">
        <f>$CO$1*CA12/('Bloom Cleaner Data'!J12+'Bloom Cleaner Data'!Z12+'OPERATING LEASES'!BA12)+(1-$CO$1)*'Bloom Cleaner Data'!CA12/('Bloom Cleaner Data'!J12+'Bloom Cleaner Data'!Z12)-1</f>
        <v>1.1971611785499547E-3</v>
      </c>
      <c r="CV12" s="18">
        <f>$CO$1*CB12/('Bloom Cleaner Data'!K12+'Bloom Cleaner Data'!AA12+'OPERATING LEASES'!BB12)+(1-$CO$1)*'Bloom Cleaner Data'!CB12/('Bloom Cleaner Data'!K12+'Bloom Cleaner Data'!AA12)-1</f>
        <v>1.0503833804385021E-3</v>
      </c>
      <c r="CW12" s="18">
        <f>$CO$1*CC12/('Bloom Cleaner Data'!L12+'Bloom Cleaner Data'!AB12+'OPERATING LEASES'!BC12)+(1-$CO$1)*'Bloom Cleaner Data'!CC12/('Bloom Cleaner Data'!L12+'Bloom Cleaner Data'!AB12)-1</f>
        <v>1.0126854128476026E-3</v>
      </c>
      <c r="CX12" s="18">
        <f>$CO$1*CD12/('Bloom Cleaner Data'!M12+'Bloom Cleaner Data'!AC12+'OPERATING LEASES'!BD12)+(1-$CO$1)*'Bloom Cleaner Data'!CD12/('Bloom Cleaner Data'!M12+'Bloom Cleaner Data'!AC12)-1</f>
        <v>8.9349038956654248E-4</v>
      </c>
      <c r="CY12" s="18">
        <f>$CO$1*CE12/('Bloom Cleaner Data'!N12+'Bloom Cleaner Data'!AD12+'OPERATING LEASES'!BE12)+(1-$CO$1)*'Bloom Cleaner Data'!CE12/('Bloom Cleaner Data'!N12+'Bloom Cleaner Data'!AD12)-1</f>
        <v>7.4128288631958306E-4</v>
      </c>
      <c r="CZ12" s="18">
        <f>$CO$1*CF12/('Bloom Cleaner Data'!O12+'Bloom Cleaner Data'!AE12+'OPERATING LEASES'!BF12)+(1-$CO$1)*'Bloom Cleaner Data'!CF12/('Bloom Cleaner Data'!O12+'Bloom Cleaner Data'!AE12)-1</f>
        <v>6.7173254687480366E-4</v>
      </c>
      <c r="DA12" s="18">
        <f>$CO$1*CG12/('Bloom Cleaner Data'!P12+'Bloom Cleaner Data'!AF12+'OPERATING LEASES'!BG12)+(1-$CO$1)*'Bloom Cleaner Data'!CG12/('Bloom Cleaner Data'!P12+'Bloom Cleaner Data'!AF12)-1</f>
        <v>7.9172045324527041E-4</v>
      </c>
      <c r="DB12" s="18">
        <f>$CO$1*CH12/('Bloom Cleaner Data'!Q12+'Bloom Cleaner Data'!AG12+'OPERATING LEASES'!BH12)+(1-$CO$1)*'Bloom Cleaner Data'!CH12/('Bloom Cleaner Data'!Q12+'Bloom Cleaner Data'!AG12)-1</f>
        <v>8.8773972384936783E-4</v>
      </c>
      <c r="DC12" s="18">
        <f>$CO$1*CI12/('Bloom Cleaner Data'!R12+'Bloom Cleaner Data'!AH12+'OPERATING LEASES'!BI12)+(1-$CO$1)*'Bloom Cleaner Data'!CI12/('Bloom Cleaner Data'!R12+'Bloom Cleaner Data'!AH12)-1</f>
        <v>7.7582460974428002E-3</v>
      </c>
      <c r="DD12" s="18"/>
      <c r="DE12" s="18">
        <f t="shared" si="55"/>
        <v>1.440263907604698E-3</v>
      </c>
      <c r="DF12" s="13"/>
      <c r="DG12" s="2203">
        <f>AVERAGE('Bloom Cleaner Data'!GX12:HJ12)</f>
        <v>494.51420164515673</v>
      </c>
      <c r="DH12" s="2124">
        <f>('Bloom Cleaner Data'!HJ12-'Bloom Cleaner Data'!GX12)/'Bloom Cleaner Data'!GX12</f>
        <v>5.9647354778817078E-3</v>
      </c>
      <c r="DI12" s="2124">
        <f>('Bloom Cleaner Data'!HJ12+'Bloom Cleaner Data'!HI12-'Bloom Cleaner Data'!GX12-'Bloom Cleaner Data'!GW12)/('Bloom Cleaner Data'!GX12+'Bloom Cleaner Data'!GW12)</f>
        <v>8.1419258447257385E-3</v>
      </c>
      <c r="DJ12" s="13"/>
      <c r="DK12" s="13">
        <f>'Bloom Cleaner Data'!GV12+'OPERATING LEASES'!BL12</f>
        <v>492.64472703458438</v>
      </c>
      <c r="DL12" s="13">
        <f>'Bloom Cleaner Data'!GW12+'OPERATING LEASES'!BM12</f>
        <v>492.95943857187171</v>
      </c>
      <c r="DM12" s="13">
        <f>'Bloom Cleaner Data'!GX12+'OPERATING LEASES'!BN12</f>
        <v>494.57825428043384</v>
      </c>
      <c r="DN12" s="13">
        <f>'Bloom Cleaner Data'!GY12+'OPERATING LEASES'!BO12</f>
        <v>490.09325500361433</v>
      </c>
      <c r="DO12" s="13">
        <f>'Bloom Cleaner Data'!GZ12+'OPERATING LEASES'!BP12</f>
        <v>492.41097715736038</v>
      </c>
      <c r="DP12" s="13">
        <f>'Bloom Cleaner Data'!HA12+'OPERATING LEASES'!BQ12</f>
        <v>498.09269052051735</v>
      </c>
      <c r="DQ12" s="13">
        <f>'Bloom Cleaner Data'!HB12+'OPERATING LEASES'!BR12</f>
        <v>504.56698312807504</v>
      </c>
      <c r="DR12" s="13">
        <f>'Bloom Cleaner Data'!HC12+'OPERATING LEASES'!BS12</f>
        <v>515.94931907952423</v>
      </c>
      <c r="DS12" s="13">
        <f>'Bloom Cleaner Data'!HD12+'OPERATING LEASES'!BT12</f>
        <v>526.22239146296965</v>
      </c>
      <c r="DT12" s="13">
        <f>'Bloom Cleaner Data'!HE12+'OPERATING LEASES'!BU12</f>
        <v>526.84550233395862</v>
      </c>
      <c r="DU12" s="13">
        <f>'Bloom Cleaner Data'!HF12+'OPERATING LEASES'!BV12</f>
        <v>524.66588594552627</v>
      </c>
      <c r="DV12" s="13">
        <f>'Bloom Cleaner Data'!HG12+'OPERATING LEASES'!BW12</f>
        <v>521.09025377159685</v>
      </c>
      <c r="DW12" s="13">
        <f>'Bloom Cleaner Data'!HH12+'OPERATING LEASES'!BX12</f>
        <v>512.30940670983784</v>
      </c>
      <c r="DX12" s="13">
        <f>'Bloom Cleaner Data'!HI12+'OPERATING LEASES'!BY12</f>
        <v>500.10862573910561</v>
      </c>
      <c r="DY12" s="13">
        <f>'Bloom Cleaner Data'!HJ12+'OPERATING LEASES'!BZ12</f>
        <v>500.11134411165995</v>
      </c>
      <c r="DZ12" s="13"/>
      <c r="EA12" s="1099">
        <f t="shared" si="56"/>
        <v>508.23422224955232</v>
      </c>
      <c r="EB12" s="10">
        <f t="shared" si="57"/>
        <v>1.1187491126710063E-2</v>
      </c>
      <c r="EC12" s="18">
        <f t="shared" si="58"/>
        <v>2.7744442037764799E-2</v>
      </c>
      <c r="ED12" s="18">
        <f>(AVERAGE(DV12:DY12)-AVERAGE('Bloom Cleaner Data'!HG12:HJ12))/AVERAGE('Bloom Cleaner Data'!HG12:HJ12)</f>
        <v>2.423990476451204E-2</v>
      </c>
      <c r="EE12" s="165"/>
      <c r="EF12" s="22">
        <f>'Bloom Cleaner Data'!DT12</f>
        <v>2.0605000000000002</v>
      </c>
      <c r="EG12" s="22">
        <f>'Bloom Cleaner Data'!DX12</f>
        <v>2.1118999999999999</v>
      </c>
      <c r="EH12" s="22">
        <f>'Bloom Cleaner Data'!EB12</f>
        <v>2.1941000000000002</v>
      </c>
      <c r="EI12" s="22">
        <f>'Bloom Cleaner Data'!EF12</f>
        <v>2.2385999999999999</v>
      </c>
      <c r="EJ12" s="22"/>
      <c r="EK12" s="22">
        <f>AVERAGE('Bloom Cleaner Data'!DT12:EF12)</f>
        <v>2.1973000000000003</v>
      </c>
      <c r="EL12" s="2124">
        <f t="shared" si="5"/>
        <v>8.6435331230283755E-2</v>
      </c>
      <c r="EM12" s="13"/>
      <c r="EN12" s="15">
        <f>'Bloom Cleaner Data'!DA12</f>
        <v>6.6314000000000002</v>
      </c>
      <c r="EO12" s="15">
        <f>'Bloom Cleaner Data'!DB12</f>
        <v>6.6081000000000003</v>
      </c>
      <c r="EP12" s="15">
        <f>'Bloom Cleaner Data'!DC12</f>
        <v>6.1142000000000003</v>
      </c>
      <c r="EQ12" s="15">
        <f>'Bloom Cleaner Data'!DD12</f>
        <v>6.9564000000000004</v>
      </c>
      <c r="ER12" s="15">
        <f>'Bloom Cleaner Data'!DE12</f>
        <v>7.1905000000000001</v>
      </c>
      <c r="ES12" s="15">
        <f>'Bloom Cleaner Data'!DF12</f>
        <v>6.5262000000000002</v>
      </c>
      <c r="ET12" s="15">
        <f>'Bloom Cleaner Data'!DG12</f>
        <v>6.4634</v>
      </c>
      <c r="EU12" s="15">
        <f>'Bloom Cleaner Data'!DH12</f>
        <v>6.2722999999999995</v>
      </c>
      <c r="EV12" s="15">
        <f>'Bloom Cleaner Data'!DI12</f>
        <v>6.5784000000000002</v>
      </c>
      <c r="EW12" s="15">
        <f>'Bloom Cleaner Data'!DJ12</f>
        <v>7.0373999999999999</v>
      </c>
      <c r="EX12" s="15">
        <f>'Bloom Cleaner Data'!DK12</f>
        <v>6.6967999999999996</v>
      </c>
      <c r="EY12" s="15">
        <f>'Bloom Cleaner Data'!DL12</f>
        <v>7.1654</v>
      </c>
      <c r="EZ12" s="15">
        <f>'Bloom Cleaner Data'!DM12</f>
        <v>6.9181999999999997</v>
      </c>
      <c r="FA12" s="15">
        <f>'Bloom Cleaner Data'!DN12</f>
        <v>6.3083</v>
      </c>
      <c r="FB12" s="15">
        <f>'Bloom Cleaner Data'!DO12</f>
        <v>7.0248999999999997</v>
      </c>
      <c r="FC12" s="15"/>
      <c r="FD12" s="15">
        <f t="shared" si="59"/>
        <v>6.7117230769230778</v>
      </c>
      <c r="FE12" s="18">
        <f t="shared" si="6"/>
        <v>0.1489483497432206</v>
      </c>
      <c r="FF12" s="15">
        <f t="shared" si="60"/>
        <v>6.6991299999999994</v>
      </c>
      <c r="FG12" s="2206"/>
      <c r="FH12" s="15">
        <f>('Bloom Cleaner Data'!BU12+'OPERATING LEASES'!AU12)/DK12</f>
        <v>6.6127333261941414</v>
      </c>
      <c r="FI12" s="15">
        <f>('Bloom Cleaner Data'!BV12+'OPERATING LEASES'!AV12)/DL12</f>
        <v>6.5939843067792143</v>
      </c>
      <c r="FJ12" s="15">
        <f>('Bloom Cleaner Data'!BW12+'OPERATING LEASES'!AW12)/DM12</f>
        <v>6.1128662108414549</v>
      </c>
      <c r="FK12" s="15">
        <f>('Bloom Cleaner Data'!BX12+'OPERATING LEASES'!AX12)/DN12</f>
        <v>6.9445919972290149</v>
      </c>
      <c r="FL12" s="15">
        <f>('Bloom Cleaner Data'!BY12+'OPERATING LEASES'!AY12)/DO12</f>
        <v>7.1795101205683531</v>
      </c>
      <c r="FM12" s="15">
        <f>('Bloom Cleaner Data'!BZ12+'OPERATING LEASES'!AZ12)/DP12</f>
        <v>6.5253381791087328</v>
      </c>
      <c r="FN12" s="15">
        <f>('Bloom Cleaner Data'!CA12+'OPERATING LEASES'!BA12)/DQ12</f>
        <v>6.4641699030253923</v>
      </c>
      <c r="FO12" s="15">
        <f>('Bloom Cleaner Data'!CB12+'OPERATING LEASES'!BB12)/DR12</f>
        <v>6.280293902482482</v>
      </c>
      <c r="FP12" s="15">
        <f>('Bloom Cleaner Data'!CC12+'OPERATING LEASES'!BC12)/DS12</f>
        <v>6.5745154043998575</v>
      </c>
      <c r="FQ12" s="15">
        <f>('Bloom Cleaner Data'!CD12+'OPERATING LEASES'!BD12)/DT12</f>
        <v>7.0166310693268557</v>
      </c>
      <c r="FR12" s="15">
        <f>('Bloom Cleaner Data'!CE12+'OPERATING LEASES'!BE12)/DU12</f>
        <v>6.690034583979303</v>
      </c>
      <c r="FS12" s="15">
        <f>('Bloom Cleaner Data'!CF12+'OPERATING LEASES'!BF12)/DV12</f>
        <v>7.1469755894537341</v>
      </c>
      <c r="FT12" s="15">
        <f>('Bloom Cleaner Data'!CG12+'OPERATING LEASES'!BG12)/DW12</f>
        <v>6.9087191819037699</v>
      </c>
      <c r="FU12" s="15">
        <f>('Bloom Cleaner Data'!CH12+'OPERATING LEASES'!BH12)/DX12</f>
        <v>6.312383875683965</v>
      </c>
      <c r="FV12" s="15">
        <f>('Bloom Cleaner Data'!CI12+'OPERATING LEASES'!BI12)/DY12</f>
        <v>7.0127743881429545</v>
      </c>
      <c r="FW12" s="15"/>
      <c r="FX12" s="506">
        <f t="shared" si="61"/>
        <v>6.7052926466266065</v>
      </c>
      <c r="FY12" s="10">
        <f t="shared" si="62"/>
        <v>0.14721542174528052</v>
      </c>
      <c r="FZ12" s="15">
        <f t="shared" si="7"/>
        <v>-6.430430296471279E-3</v>
      </c>
      <c r="GA12" s="15">
        <f t="shared" si="63"/>
        <v>6.6931836077507043</v>
      </c>
      <c r="GB12" s="15">
        <f t="shared" si="64"/>
        <v>-5.9463922492950516E-3</v>
      </c>
      <c r="GC12" s="15">
        <f t="shared" si="8"/>
        <v>-8.5424761672543426E-3</v>
      </c>
      <c r="GD12" s="13"/>
      <c r="GE12" s="15">
        <f t="shared" si="9"/>
        <v>6.6127333261941414</v>
      </c>
      <c r="GF12" s="15">
        <f t="shared" si="10"/>
        <v>6.5939843067792143</v>
      </c>
      <c r="GG12" s="15">
        <f t="shared" si="11"/>
        <v>6.1128662108414549</v>
      </c>
      <c r="GH12" s="15">
        <f t="shared" si="12"/>
        <v>6.9445919972290149</v>
      </c>
      <c r="GI12" s="15">
        <f t="shared" si="13"/>
        <v>7.1795101205683531</v>
      </c>
      <c r="GJ12" s="15">
        <f t="shared" si="14"/>
        <v>6.5253381791087328</v>
      </c>
      <c r="GK12" s="15">
        <f t="shared" si="15"/>
        <v>6.4641699030253923</v>
      </c>
      <c r="GL12" s="15">
        <f t="shared" si="16"/>
        <v>6.280293902482482</v>
      </c>
      <c r="GM12" s="15">
        <f t="shared" si="17"/>
        <v>6.5745154043998575</v>
      </c>
      <c r="GN12" s="15">
        <f t="shared" si="18"/>
        <v>7.0166310693268557</v>
      </c>
      <c r="GO12" s="15">
        <f t="shared" si="19"/>
        <v>6.690034583979303</v>
      </c>
      <c r="GP12" s="15">
        <f t="shared" si="20"/>
        <v>7.1469755894537341</v>
      </c>
      <c r="GQ12" s="15">
        <f t="shared" si="21"/>
        <v>6.9087191819037699</v>
      </c>
      <c r="GR12" s="15">
        <f t="shared" si="22"/>
        <v>6.312383875683965</v>
      </c>
      <c r="GS12" s="15">
        <f t="shared" si="23"/>
        <v>7.0127743881429545</v>
      </c>
      <c r="GT12" s="15"/>
      <c r="GU12" s="15">
        <f t="shared" si="65"/>
        <v>6.6917014692746157</v>
      </c>
      <c r="GV12" s="10">
        <f t="shared" si="66"/>
        <v>0.14721542174528052</v>
      </c>
      <c r="GW12" s="506">
        <f t="shared" si="67"/>
        <v>6.6931836077507043</v>
      </c>
      <c r="GX12" s="2057"/>
      <c r="GY12" s="10">
        <f>'Bloom Cleaner Data'!T12/('Bloom Cleaner Data'!T12+'Bloom Cleaner Data'!D12)</f>
        <v>0.22437849031905965</v>
      </c>
      <c r="GZ12" s="10">
        <f>'Bloom Cleaner Data'!U12/('Bloom Cleaner Data'!U12+'Bloom Cleaner Data'!E12)</f>
        <v>0.25572644348159301</v>
      </c>
      <c r="HA12" s="10">
        <f>'Bloom Cleaner Data'!V12/('Bloom Cleaner Data'!V12+'Bloom Cleaner Data'!F12)</f>
        <v>0.25357248245573272</v>
      </c>
      <c r="HB12" s="10">
        <f>'Bloom Cleaner Data'!W12/('Bloom Cleaner Data'!W12+'Bloom Cleaner Data'!G12)</f>
        <v>0.21638557042615894</v>
      </c>
      <c r="HC12" s="10">
        <f>'Bloom Cleaner Data'!X12/('Bloom Cleaner Data'!X12+'Bloom Cleaner Data'!H12)</f>
        <v>0.2229386175864366</v>
      </c>
      <c r="HD12" s="10">
        <f>'Bloom Cleaner Data'!Y12/('Bloom Cleaner Data'!Y12+'Bloom Cleaner Data'!I12)</f>
        <v>0.23690629378952485</v>
      </c>
      <c r="HE12" s="10">
        <f>'Bloom Cleaner Data'!Z12/('Bloom Cleaner Data'!Z12+'Bloom Cleaner Data'!J12)</f>
        <v>0.26764766575080551</v>
      </c>
      <c r="HF12" s="10">
        <f>'Bloom Cleaner Data'!AA12/('Bloom Cleaner Data'!AA12+'Bloom Cleaner Data'!K12)</f>
        <v>0.17881226003921472</v>
      </c>
      <c r="HG12" s="10">
        <f>'Bloom Cleaner Data'!AB12/('Bloom Cleaner Data'!AB12+'Bloom Cleaner Data'!L12)</f>
        <v>0.23823707106671382</v>
      </c>
      <c r="HH12" s="10">
        <f>'Bloom Cleaner Data'!AC12/('Bloom Cleaner Data'!AC12+'Bloom Cleaner Data'!M12)</f>
        <v>0.21150699039301465</v>
      </c>
      <c r="HI12" s="10">
        <f>'Bloom Cleaner Data'!AD12/('Bloom Cleaner Data'!AD12+'Bloom Cleaner Data'!N12)</f>
        <v>0.26764397492666731</v>
      </c>
      <c r="HJ12" s="10">
        <f>'Bloom Cleaner Data'!AE12/('Bloom Cleaner Data'!AE12+'Bloom Cleaner Data'!O12)</f>
        <v>0.24085042516354108</v>
      </c>
      <c r="HK12" s="10">
        <f>'Bloom Cleaner Data'!AF12/('Bloom Cleaner Data'!AF12+'Bloom Cleaner Data'!P12)</f>
        <v>0.24214621588931939</v>
      </c>
      <c r="HL12" s="10">
        <f>'Bloom Cleaner Data'!AG12/('Bloom Cleaner Data'!AG12+'Bloom Cleaner Data'!Q12)</f>
        <v>0.26208562376930283</v>
      </c>
      <c r="HM12" s="10">
        <f>'Bloom Cleaner Data'!AH12/('Bloom Cleaner Data'!AH12+'Bloom Cleaner Data'!R12)</f>
        <v>0.30597960586046052</v>
      </c>
      <c r="HN12" s="15"/>
      <c r="HO12" s="10">
        <f t="shared" si="68"/>
        <v>0.24190098439360719</v>
      </c>
      <c r="HP12" s="10">
        <f t="shared" si="69"/>
        <v>0.20667512064869559</v>
      </c>
      <c r="HQ12" s="10"/>
      <c r="HR12" s="479">
        <f t="shared" si="24"/>
        <v>0.289288638232016</v>
      </c>
      <c r="HS12" s="480">
        <f t="shared" si="25"/>
        <v>0.34359200490454145</v>
      </c>
      <c r="HT12" s="480">
        <f t="shared" si="26"/>
        <v>0.33971481020686578</v>
      </c>
      <c r="HU12" s="480">
        <f t="shared" si="27"/>
        <v>0.27613780739570803</v>
      </c>
      <c r="HV12" s="480">
        <f t="shared" si="28"/>
        <v>0.28689962290235832</v>
      </c>
      <c r="HW12" s="480">
        <f t="shared" si="29"/>
        <v>0.31045504878555741</v>
      </c>
      <c r="HX12" s="480">
        <f t="shared" si="30"/>
        <v>0.36546297899793978</v>
      </c>
      <c r="HY12" s="480">
        <f t="shared" si="31"/>
        <v>0.21774833127410506</v>
      </c>
      <c r="HZ12" s="480">
        <f t="shared" si="32"/>
        <v>0.31274437494657636</v>
      </c>
      <c r="IA12" s="480">
        <f t="shared" si="33"/>
        <v>0.26824206152244484</v>
      </c>
      <c r="IB12" s="480">
        <f t="shared" si="34"/>
        <v>0.36545609753107089</v>
      </c>
      <c r="IC12" s="480">
        <f t="shared" si="35"/>
        <v>0.31726346578726161</v>
      </c>
      <c r="ID12" s="480">
        <f t="shared" si="36"/>
        <v>0.31951574428498886</v>
      </c>
      <c r="IE12" s="480">
        <f t="shared" si="37"/>
        <v>0.35517077890262694</v>
      </c>
      <c r="IF12" s="481">
        <f t="shared" si="38"/>
        <v>0.44087984797596647</v>
      </c>
      <c r="IG12" s="15"/>
      <c r="IH12" s="10">
        <f t="shared" si="70"/>
        <v>0.32120699773180539</v>
      </c>
      <c r="II12" s="10">
        <f t="shared" si="71"/>
        <v>0.2977940164207068</v>
      </c>
      <c r="IJ12" s="10"/>
      <c r="IK12" s="18">
        <f>('Bloom Cleaner Data'!T12+'OPERATING LEASES'!AU12)/('Bloom Cleaner Data'!T12+'OPERATING LEASES'!AU12+'Bloom Cleaner Data'!D12)</f>
        <v>0.23741684062374188</v>
      </c>
      <c r="IL12" s="18">
        <f>('Bloom Cleaner Data'!U12+'OPERATING LEASES'!AV12)/('Bloom Cleaner Data'!U12+'OPERATING LEASES'!AV12+'Bloom Cleaner Data'!E12)</f>
        <v>0.26799679924518788</v>
      </c>
      <c r="IM12" s="18">
        <f>('Bloom Cleaner Data'!V12+'OPERATING LEASES'!AW12)/('Bloom Cleaner Data'!V12+'OPERATING LEASES'!AW12+'Bloom Cleaner Data'!F12)</f>
        <v>0.26652313843845671</v>
      </c>
      <c r="IN12" s="18">
        <f>('Bloom Cleaner Data'!W12+'OPERATING LEASES'!AX12)/('Bloom Cleaner Data'!W12+'OPERATING LEASES'!AX12+'Bloom Cleaner Data'!G12)</f>
        <v>0.22818802111375897</v>
      </c>
      <c r="IO12" s="18">
        <f>('Bloom Cleaner Data'!X12+'OPERATING LEASES'!AY12)/('Bloom Cleaner Data'!X12+'OPERATING LEASES'!AY12+'Bloom Cleaner Data'!H12)</f>
        <v>0.23394833458408631</v>
      </c>
      <c r="IP12" s="18">
        <f>('Bloom Cleaner Data'!Y12+'OPERATING LEASES'!AZ12)/('Bloom Cleaner Data'!Y12+'OPERATING LEASES'!AZ12+'Bloom Cleaner Data'!I12)</f>
        <v>0.25442854691165689</v>
      </c>
      <c r="IQ12" s="18">
        <f>('Bloom Cleaner Data'!Z12+'OPERATING LEASES'!BA12)/('Bloom Cleaner Data'!Z12+'OPERATING LEASES'!BA12+'Bloom Cleaner Data'!J12)</f>
        <v>0.28992066859249549</v>
      </c>
      <c r="IR12" s="18">
        <f>('Bloom Cleaner Data'!AA12+'OPERATING LEASES'!BB12)/('Bloom Cleaner Data'!AA12+'OPERATING LEASES'!BB12+'Bloom Cleaner Data'!K12)</f>
        <v>0.2101669357185432</v>
      </c>
      <c r="IS12" s="18">
        <f>('Bloom Cleaner Data'!AB12+'OPERATING LEASES'!BC12)/('Bloom Cleaner Data'!AB12+'OPERATING LEASES'!BC12+'Bloom Cleaner Data'!L12)</f>
        <v>0.2708811432874707</v>
      </c>
      <c r="IT12" s="18">
        <f>('Bloom Cleaner Data'!AC12+'OPERATING LEASES'!BD12)/('Bloom Cleaner Data'!AC12+'OPERATING LEASES'!BD12+'Bloom Cleaner Data'!M12)</f>
        <v>0.2391392155588524</v>
      </c>
      <c r="IU12" s="18">
        <f>('Bloom Cleaner Data'!AD12+'OPERATING LEASES'!BE12)/('Bloom Cleaner Data'!AD12+'OPERATING LEASES'!BE12+'Bloom Cleaner Data'!N12)</f>
        <v>0.29077004313038934</v>
      </c>
      <c r="IV12" s="18">
        <f>('Bloom Cleaner Data'!AE12+'OPERATING LEASES'!BF12)/('Bloom Cleaner Data'!AE12+'OPERATING LEASES'!BF12+'Bloom Cleaner Data'!O12)</f>
        <v>0.25963288458602424</v>
      </c>
      <c r="IW12" s="18">
        <f>('Bloom Cleaner Data'!AF12+'OPERATING LEASES'!BG12)/('Bloom Cleaner Data'!AF12+'OPERATING LEASES'!BG12+'Bloom Cleaner Data'!P12)</f>
        <v>0.25787608282786412</v>
      </c>
      <c r="IX12" s="18">
        <f>('Bloom Cleaner Data'!AG12+'OPERATING LEASES'!BH12)/('Bloom Cleaner Data'!AG12+'OPERATING LEASES'!BH12+'Bloom Cleaner Data'!Q12)</f>
        <v>0.27925914637198268</v>
      </c>
      <c r="IY12" s="18">
        <f>('Bloom Cleaner Data'!AH12+'OPERATING LEASES'!BI12)/('Bloom Cleaner Data'!AH12+'OPERATING LEASES'!BI12+'Bloom Cleaner Data'!R12)</f>
        <v>0.32061814749302248</v>
      </c>
      <c r="IZ12" s="15"/>
      <c r="JA12" s="10">
        <f t="shared" si="72"/>
        <v>0.2616424852780464</v>
      </c>
      <c r="JB12" s="10">
        <f t="shared" si="73"/>
        <v>0.20296552626351777</v>
      </c>
      <c r="JC12" s="10">
        <f t="shared" si="39"/>
        <v>1.9741500884439211E-2</v>
      </c>
      <c r="JD12" s="10">
        <f t="shared" si="40"/>
        <v>8.1609841042717679E-2</v>
      </c>
      <c r="JE12" s="7"/>
      <c r="JF12" s="485">
        <f t="shared" si="74"/>
        <v>0.31133239398826085</v>
      </c>
      <c r="JG12" s="452">
        <f t="shared" si="41"/>
        <v>0.36611424508641549</v>
      </c>
      <c r="JH12" s="452">
        <f t="shared" si="41"/>
        <v>0.3633695245287486</v>
      </c>
      <c r="JI12" s="452">
        <f t="shared" si="41"/>
        <v>0.29565234455552819</v>
      </c>
      <c r="JJ12" s="452">
        <f t="shared" si="41"/>
        <v>0.30539498201739218</v>
      </c>
      <c r="JK12" s="452">
        <f t="shared" si="41"/>
        <v>0.34125306951835449</v>
      </c>
      <c r="JL12" s="452">
        <f t="shared" si="41"/>
        <v>0.40829334944564682</v>
      </c>
      <c r="JM12" s="452">
        <f t="shared" si="41"/>
        <v>0.26609032366825586</v>
      </c>
      <c r="JN12" s="452">
        <f t="shared" si="41"/>
        <v>0.37151849906725343</v>
      </c>
      <c r="JO12" s="452">
        <f t="shared" si="41"/>
        <v>0.3143008819077201</v>
      </c>
      <c r="JP12" s="452">
        <f t="shared" si="41"/>
        <v>0.40997992303340675</v>
      </c>
      <c r="JQ12" s="452">
        <f t="shared" si="41"/>
        <v>0.35068127578958003</v>
      </c>
      <c r="JR12" s="452">
        <f t="shared" si="41"/>
        <v>0.34748385931355136</v>
      </c>
      <c r="JS12" s="452">
        <f t="shared" si="41"/>
        <v>0.38746124209036659</v>
      </c>
      <c r="JT12" s="486">
        <f t="shared" si="41"/>
        <v>0.47192627579013768</v>
      </c>
      <c r="JU12" s="15"/>
      <c r="JV12" s="10">
        <f t="shared" si="75"/>
        <v>0.3564158115943033</v>
      </c>
      <c r="JW12" s="10">
        <f t="shared" si="76"/>
        <v>0.29875029118684504</v>
      </c>
      <c r="JX12" s="10">
        <f t="shared" si="77"/>
        <v>3.5208813862497912E-2</v>
      </c>
      <c r="JY12" s="10">
        <f t="shared" si="78"/>
        <v>0.10961409343857391</v>
      </c>
      <c r="JZ12" s="7"/>
      <c r="KA12" s="15">
        <f>'Bloom Cleaner Data'!T12/'Bloom Cleaner Data'!BU12*'Bloom Cleaner Data'!DA12</f>
        <v>1.4875718807487508</v>
      </c>
      <c r="KB12" s="15">
        <f>'Bloom Cleaner Data'!U12/'Bloom Cleaner Data'!BV12*'Bloom Cleaner Data'!DB12</f>
        <v>1.6893373314232469</v>
      </c>
      <c r="KC12" s="15">
        <f>'Bloom Cleaner Data'!V12/'Bloom Cleaner Data'!BW12*'Bloom Cleaner Data'!DC12</f>
        <v>1.5486707314597936</v>
      </c>
      <c r="KD12" s="15">
        <f>'Bloom Cleaner Data'!W12/'Bloom Cleaner Data'!BX12*'Bloom Cleaner Data'!DD12</f>
        <v>1.5040522076282252</v>
      </c>
      <c r="KE12" s="15">
        <f>'Bloom Cleaner Data'!X12/'Bloom Cleaner Data'!BY12*'Bloom Cleaner Data'!DE12</f>
        <v>1.601614274822591</v>
      </c>
      <c r="KF12" s="15">
        <f>'Bloom Cleaner Data'!Y12/'Bloom Cleaner Data'!BZ12*'Bloom Cleaner Data'!DF12</f>
        <v>1.5445885935482311</v>
      </c>
      <c r="KG12" s="15">
        <f>'Bloom Cleaner Data'!Z12/'Bloom Cleaner Data'!CA12*'Bloom Cleaner Data'!DG12</f>
        <v>1.7277806106009672</v>
      </c>
      <c r="KH12" s="15">
        <f>'Bloom Cleaner Data'!AA12/'Bloom Cleaner Data'!CB12*'Bloom Cleaner Data'!DH12</f>
        <v>1.120340635537115</v>
      </c>
      <c r="KI12" s="15">
        <f>'Bloom Cleaner Data'!AB12/'Bloom Cleaner Data'!CC12*'Bloom Cleaner Data'!DI12</f>
        <v>1.5655623437174153</v>
      </c>
      <c r="KJ12" s="15">
        <f>'Bloom Cleaner Data'!AC12/'Bloom Cleaner Data'!CD12*'Bloom Cleaner Data'!DJ12</f>
        <v>1.4870823461578959</v>
      </c>
      <c r="KK12" s="15">
        <f>'Bloom Cleaner Data'!AD12/'Bloom Cleaner Data'!CE12*'Bloom Cleaner Data'!DK12</f>
        <v>1.7909872527286319</v>
      </c>
      <c r="KL12" s="15">
        <f>'Bloom Cleaner Data'!AE12/'Bloom Cleaner Data'!CF12*'Bloom Cleaner Data'!DL12</f>
        <v>1.7246017759344316</v>
      </c>
      <c r="KM12" s="15">
        <f>'Bloom Cleaner Data'!AF12/'Bloom Cleaner Data'!CG12*'Bloom Cleaner Data'!DM12</f>
        <v>1.6738626302251636</v>
      </c>
      <c r="KN12" s="15">
        <f>'Bloom Cleaner Data'!AG12/'Bloom Cleaner Data'!CH12*'Bloom Cleaner Data'!DN12</f>
        <v>1.6518134197138641</v>
      </c>
      <c r="KO12" s="15">
        <f>'Bloom Cleaner Data'!AH12/'Bloom Cleaner Data'!CI12*'Bloom Cleaner Data'!DO12</f>
        <v>2.1325746011008917</v>
      </c>
      <c r="KP12" s="15"/>
      <c r="KQ12" s="15">
        <f t="shared" si="79"/>
        <v>1.8194168836799731</v>
      </c>
      <c r="KR12" s="15">
        <f t="shared" si="80"/>
        <v>1.7957131067435879</v>
      </c>
      <c r="KS12" s="15">
        <f t="shared" si="81"/>
        <v>1.6210408787057859</v>
      </c>
      <c r="KT12" s="18">
        <f t="shared" si="82"/>
        <v>0.37703551683365516</v>
      </c>
      <c r="KU12" s="18"/>
      <c r="KV12" s="1694" t="s">
        <v>283</v>
      </c>
      <c r="KW12" s="506">
        <f>('Bloom Cleaner Data'!T12+'OPERATING LEASES'!AU12)/DK12</f>
        <v>1.5695887157666235</v>
      </c>
      <c r="KX12" s="506">
        <f>('Bloom Cleaner Data'!U12+'OPERATING LEASES'!AV12)/DL12</f>
        <v>1.7666230397060227</v>
      </c>
      <c r="KY12" s="506">
        <f>('Bloom Cleaner Data'!V12+'OPERATING LEASES'!AW12)/DM12</f>
        <v>1.6274419512820451</v>
      </c>
      <c r="KZ12" s="506">
        <f>('Bloom Cleaner Data'!W12+'OPERATING LEASES'!AX12)/DN12</f>
        <v>1.5834155819759157</v>
      </c>
      <c r="LA12" s="506">
        <f>('Bloom Cleaner Data'!X12+'OPERATING LEASES'!AY12)/DO12</f>
        <v>1.6781616014139851</v>
      </c>
      <c r="LB12" s="506">
        <f>('Bloom Cleaner Data'!Y12+'OPERATING LEASES'!AZ12)/DP12</f>
        <v>1.6586488135876212</v>
      </c>
      <c r="LC12" s="506">
        <f>('Bloom Cleaner Data'!Z12+'OPERATING LEASES'!BA12)/DQ12</f>
        <v>1.8718555473874228</v>
      </c>
      <c r="LD12" s="506">
        <f>('Bloom Cleaner Data'!AA12+'OPERATING LEASES'!BB12)/DR12</f>
        <v>1.3185251679734653</v>
      </c>
      <c r="LE12" s="506">
        <f>('Bloom Cleaner Data'!AB12+'OPERATING LEASES'!BC12)/DS12</f>
        <v>1.7791105699828567</v>
      </c>
      <c r="LF12" s="506">
        <f>('Bloom Cleaner Data'!AC12+'OPERATING LEASES'!BD12)/DT12</f>
        <v>1.6764537544665277</v>
      </c>
      <c r="LG12" s="506">
        <f>('Bloom Cleaner Data'!AD12+'OPERATING LEASES'!BE12)/DU12</f>
        <v>1.9438207234910612</v>
      </c>
      <c r="LH12" s="506">
        <f>('Bloom Cleaner Data'!AE12+'OPERATING LEASES'!BF12)/DV12</f>
        <v>1.85434426495989</v>
      </c>
      <c r="LI12" s="506">
        <f>('Bloom Cleaner Data'!AF12+'OPERATING LEASES'!BG12)/DW12</f>
        <v>1.7801840318784914</v>
      </c>
      <c r="LJ12" s="506">
        <f>('Bloom Cleaner Data'!AG12+'OPERATING LEASES'!BH12)/DX12</f>
        <v>1.7612274211512826</v>
      </c>
      <c r="LK12" s="506">
        <f>('Bloom Cleaner Data'!AH12+'OPERATING LEASES'!BI12)/DY12</f>
        <v>2.2311132077757287</v>
      </c>
      <c r="LL12" s="15"/>
      <c r="LM12" s="15">
        <f t="shared" si="83"/>
        <v>1.9241748869351676</v>
      </c>
      <c r="LN12" s="15">
        <f t="shared" si="84"/>
        <v>1.9067172314413481</v>
      </c>
      <c r="LO12" s="15">
        <f t="shared" si="85"/>
        <v>0.11100412469776022</v>
      </c>
      <c r="LP12" s="15">
        <f t="shared" si="86"/>
        <v>1.7511002028712532</v>
      </c>
      <c r="LQ12" s="18">
        <f t="shared" si="87"/>
        <v>0.37093258903528414</v>
      </c>
      <c r="LR12" s="15">
        <f t="shared" si="88"/>
        <v>0.13005932416546728</v>
      </c>
      <c r="LS12" s="18"/>
      <c r="LT12" s="15">
        <f t="shared" si="89"/>
        <v>1.5695887157666235</v>
      </c>
      <c r="LU12" s="15">
        <f t="shared" si="90"/>
        <v>1.7666230397060227</v>
      </c>
      <c r="LV12" s="15">
        <f t="shared" si="91"/>
        <v>1.6274419512820451</v>
      </c>
      <c r="LW12" s="15">
        <f t="shared" si="92"/>
        <v>1.5834155819759157</v>
      </c>
      <c r="LX12" s="15">
        <f t="shared" si="93"/>
        <v>1.6781616014139851</v>
      </c>
      <c r="LY12" s="15">
        <f t="shared" si="94"/>
        <v>1.6586488135876212</v>
      </c>
      <c r="LZ12" s="15">
        <f t="shared" si="95"/>
        <v>1.8718555473874228</v>
      </c>
      <c r="MA12" s="15">
        <f t="shared" si="96"/>
        <v>1.3185251679734653</v>
      </c>
      <c r="MB12" s="15">
        <f t="shared" si="97"/>
        <v>1.7791105699828567</v>
      </c>
      <c r="MC12" s="15">
        <f t="shared" si="98"/>
        <v>1.6764537544665277</v>
      </c>
      <c r="MD12" s="15">
        <f t="shared" si="99"/>
        <v>1.9438207234910612</v>
      </c>
      <c r="ME12" s="15">
        <f t="shared" si="100"/>
        <v>1.85434426495989</v>
      </c>
      <c r="MF12" s="15">
        <f t="shared" si="101"/>
        <v>1.7801840318784914</v>
      </c>
      <c r="MG12" s="15">
        <f t="shared" si="102"/>
        <v>1.7612274211512826</v>
      </c>
      <c r="MH12" s="15">
        <f t="shared" si="103"/>
        <v>2.2311132077757287</v>
      </c>
      <c r="MI12" s="15"/>
      <c r="MJ12" s="15">
        <f t="shared" si="104"/>
        <v>1.9241748869351676</v>
      </c>
      <c r="MK12" s="15">
        <f t="shared" si="105"/>
        <v>1.9067172314413481</v>
      </c>
      <c r="ML12" s="506">
        <f t="shared" si="106"/>
        <v>1.7511002028712532</v>
      </c>
      <c r="MM12" s="10">
        <f t="shared" si="107"/>
        <v>0.37093258903528414</v>
      </c>
      <c r="MN12" s="18"/>
      <c r="MO12" s="15">
        <f>('Bloom Cleaner Data'!T12+'Bloom Cleaner Data'!EY12)/'Bloom Cleaner Data'!GV12</f>
        <v>1.5517538268910072</v>
      </c>
      <c r="MP12" s="15">
        <f>('Bloom Cleaner Data'!U12+'Bloom Cleaner Data'!EZ12)/'Bloom Cleaner Data'!GW12</f>
        <v>1.7434920335929389</v>
      </c>
      <c r="MQ12" s="15">
        <f>('Bloom Cleaner Data'!V12+'Bloom Cleaner Data'!FA12)/'Bloom Cleaner Data'!GX12</f>
        <v>1.6137046120101317</v>
      </c>
      <c r="MR12" s="15">
        <f>('Bloom Cleaner Data'!W12+'Bloom Cleaner Data'!FB12)/'Bloom Cleaner Data'!GY12</f>
        <v>1.5395368830565404</v>
      </c>
      <c r="MS12" s="15">
        <f>('Bloom Cleaner Data'!X12+'Bloom Cleaner Data'!FC12)/'Bloom Cleaner Data'!GZ12</f>
        <v>1.6672220732759702</v>
      </c>
      <c r="MT12" s="15">
        <f>('Bloom Cleaner Data'!Y12+'Bloom Cleaner Data'!FD12)/'Bloom Cleaner Data'!HA12</f>
        <v>1.6346005419215845</v>
      </c>
      <c r="MU12" s="15">
        <f>('Bloom Cleaner Data'!Z12+'Bloom Cleaner Data'!FE12)/'Bloom Cleaner Data'!HB12</f>
        <v>1.8125959587674449</v>
      </c>
      <c r="MV12" s="15">
        <f>('Bloom Cleaner Data'!AA12+'Bloom Cleaner Data'!FF12)/'Bloom Cleaner Data'!HC12</f>
        <v>1.1593825042804597</v>
      </c>
      <c r="MW12" s="15">
        <f>('Bloom Cleaner Data'!AB12+'Bloom Cleaner Data'!FG12)/'Bloom Cleaner Data'!HD12</f>
        <v>1.6827659705151916</v>
      </c>
      <c r="MX12" s="15">
        <f>('Bloom Cleaner Data'!AC12+'Bloom Cleaner Data'!FH12)/'Bloom Cleaner Data'!HE12</f>
        <v>1.6133403325655706</v>
      </c>
      <c r="MY12" s="15">
        <f>('Bloom Cleaner Data'!AD12+'Bloom Cleaner Data'!FI12)/'Bloom Cleaner Data'!HF12</f>
        <v>1.8640767116178987</v>
      </c>
      <c r="MZ12" s="15">
        <f>('Bloom Cleaner Data'!AE12+'Bloom Cleaner Data'!FJ12)/'Bloom Cleaner Data'!HG12</f>
        <v>1.7595199313153964</v>
      </c>
      <c r="NA12" s="15">
        <f>('Bloom Cleaner Data'!AF12+'Bloom Cleaner Data'!FK12)/'Bloom Cleaner Data'!HH12</f>
        <v>1.7533042384805433</v>
      </c>
      <c r="NB12" s="15">
        <f>('Bloom Cleaner Data'!AG12+'Bloom Cleaner Data'!FL12)/'Bloom Cleaner Data'!HI12</f>
        <v>1.8222321190725028</v>
      </c>
      <c r="NC12" s="15">
        <f>('Bloom Cleaner Data'!AH12+'Bloom Cleaner Data'!FM12)/'Bloom Cleaner Data'!HJ12</f>
        <v>2.2309790891217594</v>
      </c>
      <c r="ND12" s="15"/>
      <c r="NE12" s="15">
        <f t="shared" si="43"/>
        <v>9.8404488020867653E-2</v>
      </c>
      <c r="NF12" s="15">
        <f t="shared" si="108"/>
        <v>1.935505148891602</v>
      </c>
      <c r="NG12" s="15">
        <f t="shared" si="44"/>
        <v>0.11608826521162885</v>
      </c>
      <c r="NH12" s="15">
        <f t="shared" si="109"/>
        <v>1.8915088444975505</v>
      </c>
      <c r="NI12" s="15">
        <f t="shared" si="110"/>
        <v>1.7040969973846918</v>
      </c>
      <c r="NJ12" s="18">
        <f t="shared" si="111"/>
        <v>0.38252011707564731</v>
      </c>
      <c r="NK12" s="15">
        <f t="shared" si="45"/>
        <v>8.3056118678905833E-2</v>
      </c>
      <c r="NL12" s="2818"/>
      <c r="NM12" s="1694" t="s">
        <v>283</v>
      </c>
      <c r="NN12" s="15">
        <f>KW12+'Bloom Cleaner Data'!EY12/CALCULATIONS!DK12</f>
        <v>1.6325143867397014</v>
      </c>
      <c r="NO12" s="15">
        <f>KX12+'Bloom Cleaner Data'!EZ12/CALCULATIONS!DL12</f>
        <v>1.8197714287010742</v>
      </c>
      <c r="NP12" s="15">
        <f>KY12+'Bloom Cleaner Data'!FA12/CALCULATIONS!DM12</f>
        <v>1.6913347725424037</v>
      </c>
      <c r="NQ12" s="15">
        <f>KZ12+'Bloom Cleaner Data'!FB12/CALCULATIONS!DN12</f>
        <v>1.6183069007717108</v>
      </c>
      <c r="NR12" s="15">
        <f>LA12+'Bloom Cleaner Data'!FC12/CALCULATIONS!DO12</f>
        <v>1.7427418026588442</v>
      </c>
      <c r="NS12" s="15">
        <f>LB12+'Bloom Cleaner Data'!FD12/CALCULATIONS!DP12</f>
        <v>1.746584253784963</v>
      </c>
      <c r="NT12" s="15">
        <f>LC12+'Bloom Cleaner Data'!FE12/CALCULATIONS!DQ12</f>
        <v>1.9541042901464509</v>
      </c>
      <c r="NU12" s="15">
        <f>LD12+'Bloom Cleaner Data'!FF12/CALCULATIONS!DR12</f>
        <v>1.3561257602847614</v>
      </c>
      <c r="NV12" s="15">
        <f>LE12+'Bloom Cleaner Data'!FG12/CALCULATIONS!DS12</f>
        <v>1.8912304663558939</v>
      </c>
      <c r="NW12" s="15">
        <f>LF12+'Bloom Cleaner Data'!FH12/CALCULATIONS!DT12</f>
        <v>1.797931492658229</v>
      </c>
      <c r="NX12" s="15">
        <f>LG12+'Bloom Cleaner Data'!FI12/CALCULATIONS!DU12</f>
        <v>2.0145323916094111</v>
      </c>
      <c r="NY12" s="15">
        <f>LH12+'Bloom Cleaner Data'!FJ12/CALCULATIONS!DV12</f>
        <v>1.8883115093516039</v>
      </c>
      <c r="NZ12" s="15">
        <f>LI12+'Bloom Cleaner Data'!FK12/CALCULATIONS!DW12</f>
        <v>1.8578714595905925</v>
      </c>
      <c r="OA12" s="15">
        <f>LJ12+'Bloom Cleaner Data'!FL12/CALCULATIONS!DX12</f>
        <v>1.9277912349165256</v>
      </c>
      <c r="OB12" s="15">
        <f>LK12+'Bloom Cleaner Data'!FM12/CALCULATIONS!DY12</f>
        <v>2.3272917899381458</v>
      </c>
      <c r="OC12" s="15"/>
      <c r="OD12" s="15">
        <f t="shared" si="46"/>
        <v>9.6178582162417037E-2</v>
      </c>
      <c r="OE12" s="15">
        <f t="shared" si="112"/>
        <v>2.0376514948150879</v>
      </c>
      <c r="OF12" s="15">
        <f t="shared" si="47"/>
        <v>0.11347660787992031</v>
      </c>
      <c r="OG12" s="15">
        <f t="shared" si="113"/>
        <v>2.0003164984492168</v>
      </c>
      <c r="OH12" s="15">
        <f t="shared" si="114"/>
        <v>1.8318583172776566</v>
      </c>
      <c r="OI12" s="18">
        <f t="shared" si="115"/>
        <v>0.37600895323625111</v>
      </c>
      <c r="OJ12" s="15">
        <f t="shared" si="48"/>
        <v>8.0758114406403347E-2</v>
      </c>
      <c r="OK12" s="15"/>
      <c r="OL12" s="13">
        <f>'Bloom Cleaner Data'!GF12+('Bloom Cleaner Data'!T12+'Bloom Cleaner Data'!EY12)+'Bloom Cleaner Data'!CK12</f>
        <v>1650.2999999999997</v>
      </c>
      <c r="OM12" s="13">
        <f>'Bloom Cleaner Data'!GG12+('Bloom Cleaner Data'!U12+'Bloom Cleaner Data'!EZ12)+'Bloom Cleaner Data'!CL12</f>
        <v>1611.8000000000002</v>
      </c>
      <c r="ON12" s="13">
        <f>'Bloom Cleaner Data'!GH12+('Bloom Cleaner Data'!V12+'Bloom Cleaner Data'!FA12)+'Bloom Cleaner Data'!CM12</f>
        <v>1594.9</v>
      </c>
      <c r="OO12" s="13">
        <f>'Bloom Cleaner Data'!GI12+('Bloom Cleaner Data'!W12+'Bloom Cleaner Data'!FB12)+'Bloom Cleaner Data'!CN12</f>
        <v>1605.5</v>
      </c>
      <c r="OP12" s="13">
        <f>'Bloom Cleaner Data'!GJ12+('Bloom Cleaner Data'!X12+'Bloom Cleaner Data'!FC12)+'Bloom Cleaner Data'!CO12</f>
        <v>1644.1000000000001</v>
      </c>
      <c r="OQ12" s="13">
        <f>'Bloom Cleaner Data'!GK12+('Bloom Cleaner Data'!Y12+'Bloom Cleaner Data'!FD12)+'Bloom Cleaner Data'!CP12</f>
        <v>1535.0000000000005</v>
      </c>
      <c r="OR12" s="13">
        <f>'Bloom Cleaner Data'!GL12+('Bloom Cleaner Data'!Z12+'Bloom Cleaner Data'!FE12)+'Bloom Cleaner Data'!CQ12</f>
        <v>1673.9</v>
      </c>
      <c r="OS12" s="13">
        <f>'Bloom Cleaner Data'!GM12+('Bloom Cleaner Data'!AA12+'Bloom Cleaner Data'!FF12)+'Bloom Cleaner Data'!CR12</f>
        <v>1420.2</v>
      </c>
      <c r="OT12" s="13">
        <f>'Bloom Cleaner Data'!GN12+('Bloom Cleaner Data'!AB12+'Bloom Cleaner Data'!FG12)+'Bloom Cleaner Data'!CS12</f>
        <v>1690.9</v>
      </c>
      <c r="OU12" s="13">
        <f>'Bloom Cleaner Data'!GO12+('Bloom Cleaner Data'!AC12+'Bloom Cleaner Data'!FH12)+'Bloom Cleaner Data'!CT12</f>
        <v>1712.2</v>
      </c>
      <c r="OV12" s="13">
        <f>'Bloom Cleaner Data'!GP12+('Bloom Cleaner Data'!AD12+'Bloom Cleaner Data'!FI12)+'Bloom Cleaner Data'!CU12</f>
        <v>1686.1999999999998</v>
      </c>
      <c r="OW12" s="13">
        <f>'Bloom Cleaner Data'!GQ12+('Bloom Cleaner Data'!AE12+'Bloom Cleaner Data'!FJ12)+'Bloom Cleaner Data'!CV12</f>
        <v>1692.6000000000004</v>
      </c>
      <c r="OX12" s="13">
        <f>'Bloom Cleaner Data'!GR12+('Bloom Cleaner Data'!AF12+'Bloom Cleaner Data'!FK12)+'Bloom Cleaner Data'!CW12</f>
        <v>1732.6</v>
      </c>
      <c r="OY12" s="13">
        <f>'Bloom Cleaner Data'!GS12+('Bloom Cleaner Data'!AG12+'Bloom Cleaner Data'!FL12)+'Bloom Cleaner Data'!CX12</f>
        <v>1575.4</v>
      </c>
      <c r="OZ12" s="13">
        <f>'Bloom Cleaner Data'!GT12+('Bloom Cleaner Data'!AH12+'Bloom Cleaner Data'!FM12)+'Bloom Cleaner Data'!CY12</f>
        <v>1880.3</v>
      </c>
      <c r="PA12" s="166"/>
      <c r="PB12" s="1694" t="s">
        <v>283</v>
      </c>
      <c r="PC12" s="947">
        <f>('Bloom Cleaner Data'!T12+'Bloom Cleaner Data'!EY12+'OPERATING LEASES'!BL12)/CALCULATIONS!OL12</f>
        <v>0.4600029431878187</v>
      </c>
      <c r="PD12" s="947">
        <f>('Bloom Cleaner Data'!U12+'Bloom Cleaner Data'!EZ12+'OPERATING LEASES'!BM12)/CALCULATIONS!OM12</f>
        <v>0.52901120973888993</v>
      </c>
      <c r="PE12" s="947">
        <f>('Bloom Cleaner Data'!V12+'Bloom Cleaner Data'!FA12+'OPERATING LEASES'!BN12)/CALCULATIONS!ON12</f>
        <v>0.49707046120222498</v>
      </c>
      <c r="PF12" s="947">
        <f>('Bloom Cleaner Data'!W12+'Bloom Cleaner Data'!FB12+'OPERATING LEASES'!BO12)/CALCULATIONS!OO12</f>
        <v>0.46720341905058504</v>
      </c>
      <c r="PG12" s="947">
        <f>('Bloom Cleaner Data'!X12+'Bloom Cleaner Data'!FC12+'OPERATING LEASES'!BP12)/CALCULATIONS!OP12</f>
        <v>0.49620613101392846</v>
      </c>
      <c r="PH12" s="947">
        <f>('Bloom Cleaner Data'!Y12+'Bloom Cleaner Data'!FD12+'OPERATING LEASES'!BQ12)/CALCULATIONS!OQ12</f>
        <v>0.52566164495113987</v>
      </c>
      <c r="PI12" s="947">
        <f>('Bloom Cleaner Data'!Z12+'Bloom Cleaner Data'!FE12+'OPERATING LEASES'!BR12)/CALCULATIONS!OR12</f>
        <v>0.53896215425055249</v>
      </c>
      <c r="PJ12" s="947">
        <f>('Bloom Cleaner Data'!AA12+'Bloom Cleaner Data'!FF12+'OPERATING LEASES'!BS12)/CALCULATIONS!OS12</f>
        <v>0.41905849528235461</v>
      </c>
      <c r="PK12" s="947">
        <f>('Bloom Cleaner Data'!AB12+'Bloom Cleaner Data'!FG12+'OPERATING LEASES'!BT12)/CALCULATIONS!OT12</f>
        <v>0.51447454018569994</v>
      </c>
      <c r="PL12" s="947">
        <f>('Bloom Cleaner Data'!AC12+'Bloom Cleaner Data'!FH12+'OPERATING LEASES'!BU12)/CALCULATIONS!OU12</f>
        <v>0.48928096892886341</v>
      </c>
      <c r="PM12" s="947">
        <f>('Bloom Cleaner Data'!AD12+'Bloom Cleaner Data'!FI12+'OPERATING LEASES'!BV12)/CALCULATIONS!OV12</f>
        <v>0.57126601233542884</v>
      </c>
      <c r="PN12" s="947">
        <f>('Bloom Cleaner Data'!AE12+'Bloom Cleaner Data'!FJ12+'OPERATING LEASES'!BW12)/CALCULATIONS!OW12</f>
        <v>0.53532472232068995</v>
      </c>
      <c r="PO12" s="947">
        <f>('Bloom Cleaner Data'!AF12+'Bloom Cleaner Data'!FK12+'OPERATING LEASES'!BX12)/CALCULATIONS!OX12</f>
        <v>0.51351292854669284</v>
      </c>
      <c r="PP12" s="947">
        <f>('Bloom Cleaner Data'!AG12+'Bloom Cleaner Data'!FL12+'OPERATING LEASES'!BY12)/CALCULATIONS!OY12</f>
        <v>0.57256093690491294</v>
      </c>
      <c r="PQ12" s="947">
        <f>('Bloom Cleaner Data'!AH12+'Bloom Cleaner Data'!FM12+'OPERATING LEASES'!BZ12)/CALCULATIONS!OZ12</f>
        <v>0.58597697175982555</v>
      </c>
      <c r="PR12" s="947"/>
      <c r="PS12" s="18">
        <f t="shared" si="116"/>
        <v>0.55735027907047707</v>
      </c>
      <c r="PT12" s="18">
        <f t="shared" si="117"/>
        <v>0.55184388988303035</v>
      </c>
      <c r="PU12" s="18">
        <f t="shared" si="118"/>
        <v>0.51742764513329986</v>
      </c>
      <c r="PV12" s="10">
        <f t="shared" si="119"/>
        <v>0.17886098148453528</v>
      </c>
      <c r="PW12" s="10"/>
      <c r="PX12" s="506">
        <f>'Bloom Cleaner Data'!D12/'Bloom Cleaner Data'!GF12</f>
        <v>2.7596428888888891</v>
      </c>
      <c r="PY12" s="506">
        <f>'Bloom Cleaner Data'!E12/'Bloom Cleaner Data'!GG12</f>
        <v>3.1000824970676399</v>
      </c>
      <c r="PZ12" s="506">
        <f>'Bloom Cleaner Data'!F12/'Bloom Cleaner Data'!GH12</f>
        <v>2.7431495975232196</v>
      </c>
      <c r="QA12" s="506">
        <f>'Bloom Cleaner Data'!G12/'Bloom Cleaner Data'!GI12</f>
        <v>3.0488748983621794</v>
      </c>
      <c r="QB12" s="506">
        <f>'Bloom Cleaner Data'!H12/'Bloom Cleaner Data'!GJ12</f>
        <v>3.2486785928682917</v>
      </c>
      <c r="QC12" s="506">
        <f>'Bloom Cleaner Data'!I12/'Bloom Cleaner Data'!GK12</f>
        <v>3.2871179904955872</v>
      </c>
      <c r="QD12" s="506">
        <f>'Bloom Cleaner Data'!J12/'Bloom Cleaner Data'!GL12</f>
        <v>2.9539397267271101</v>
      </c>
      <c r="QE12" s="506">
        <f>'Bloom Cleaner Data'!K12/'Bloom Cleaner Data'!GM12</f>
        <v>3.0410624479600332</v>
      </c>
      <c r="QF12" s="506">
        <f>'Bloom Cleaner Data'!L12/'Bloom Cleaner Data'!GN12</f>
        <v>2.9988687373557066</v>
      </c>
      <c r="QG12" s="506">
        <f>'Bloom Cleaner Data'!M12/'Bloom Cleaner Data'!GO12</f>
        <v>3.1535724385590842</v>
      </c>
      <c r="QH12" s="506">
        <f>'Bloom Cleaner Data'!N12/'Bloom Cleaner Data'!GP12</f>
        <v>3.3734425006780584</v>
      </c>
      <c r="QI12" s="506">
        <f>'Bloom Cleaner Data'!O12/'Bloom Cleaner Data'!GQ12</f>
        <v>3.4520653971435729</v>
      </c>
      <c r="QJ12" s="506">
        <f>'Bloom Cleaner Data'!P12/'Bloom Cleaner Data'!GR12</f>
        <v>3.0826835799859054</v>
      </c>
      <c r="QK12" s="506">
        <f>'Bloom Cleaner Data'!Q12/'Bloom Cleaner Data'!GS12</f>
        <v>3.333733098694823</v>
      </c>
      <c r="QL12" s="506">
        <f>'Bloom Cleaner Data'!R12/'Bloom Cleaner Data'!GT12</f>
        <v>3.0995844257996854</v>
      </c>
      <c r="QM12" s="506"/>
      <c r="QN12" s="506">
        <f t="shared" si="120"/>
        <v>3.1397518024733277</v>
      </c>
      <c r="QO12" s="10">
        <f t="shared" si="121"/>
        <v>0.12993634346383789</v>
      </c>
      <c r="QP12" s="506">
        <f t="shared" si="122"/>
        <v>3.0224684497746983</v>
      </c>
      <c r="QQ12" s="18"/>
      <c r="QR12" s="506">
        <f>'Bloom Cleaner Data'!GF12/CALCULATIONS!DK12</f>
        <v>1.8268743185732275</v>
      </c>
      <c r="QS12" s="506">
        <f>'Bloom Cleaner Data'!GG12/CALCULATIONS!DL12</f>
        <v>1.5565175143474412</v>
      </c>
      <c r="QT12" s="506">
        <f>'Bloom Cleaner Data'!GH12/CALCULATIONS!DM12</f>
        <v>1.6327042141689765</v>
      </c>
      <c r="QU12" s="506">
        <f>'Bloom Cleaner Data'!GI12/CALCULATIONS!DN12</f>
        <v>1.7566044649883032</v>
      </c>
      <c r="QV12" s="506">
        <f>'Bloom Cleaner Data'!GJ12/CALCULATIONS!DO12</f>
        <v>1.691473258391291</v>
      </c>
      <c r="QW12" s="506">
        <f>'Bloom Cleaner Data'!GK12/CALCULATIONS!DP12</f>
        <v>1.4786404498936574</v>
      </c>
      <c r="QX12" s="506">
        <f>'Bloom Cleaner Data'!GL12/CALCULATIONS!DQ12</f>
        <v>1.5520238663757842</v>
      </c>
      <c r="QY12" s="506">
        <f>'Bloom Cleaner Data'!GM12/CALCULATIONS!DR12</f>
        <v>1.6294236059848766</v>
      </c>
      <c r="QZ12" s="506">
        <f>'Bloom Cleaner Data'!GN12/CALCULATIONS!DS12</f>
        <v>1.5968533715637829</v>
      </c>
      <c r="RA12" s="506">
        <f>'Bloom Cleaner Data'!GO12/CALCULATIONS!DT12</f>
        <v>1.6913876953535165</v>
      </c>
      <c r="RB12" s="506">
        <f>'Bloom Cleaner Data'!GP12/CALCULATIONS!DU12</f>
        <v>1.4054658779102724</v>
      </c>
      <c r="RC12" s="506">
        <f>'Bloom Cleaner Data'!GQ12/CALCULATIONS!DV12</f>
        <v>1.5317883883314105</v>
      </c>
      <c r="RD12" s="506">
        <f>'Bloom Cleaner Data'!GR12/CALCULATIONS!DW12</f>
        <v>1.6618863305045979</v>
      </c>
      <c r="RE12" s="506">
        <f>'Bloom Cleaner Data'!GS12/CALCULATIONS!DX12</f>
        <v>1.363503776788946</v>
      </c>
      <c r="RF12" s="506">
        <f>'Bloom Cleaner Data'!GT12/CALCULATIONS!DY12</f>
        <v>1.5252603424842317</v>
      </c>
      <c r="RG12" s="506"/>
      <c r="RH12" s="506">
        <f t="shared" si="123"/>
        <v>1.5782319725184342</v>
      </c>
      <c r="RI12" s="506">
        <f t="shared" si="124"/>
        <v>1.5508436950330466</v>
      </c>
      <c r="RJ12" s="18"/>
      <c r="RK12" s="506">
        <f>'Bloom Cleaner Data'!GF12/($RK$1*DK12+(1-$RK$1)*'Bloom Cleaner Data'!GV12)</f>
        <v>1.8268743185732275</v>
      </c>
      <c r="RL12" s="506">
        <f>'Bloom Cleaner Data'!GG12/($RK$1*DL12+(1-$RK$1)*'Bloom Cleaner Data'!GW12)</f>
        <v>1.5565175143474412</v>
      </c>
      <c r="RM12" s="506">
        <f>'Bloom Cleaner Data'!GH12/($RK$1*DM12+(1-$RK$1)*'Bloom Cleaner Data'!GX12)</f>
        <v>1.6327042141689765</v>
      </c>
      <c r="RN12" s="506">
        <f>'Bloom Cleaner Data'!GI12/($RK$1*DN12+(1-$RK$1)*'Bloom Cleaner Data'!GY12)</f>
        <v>1.7566044649883032</v>
      </c>
      <c r="RO12" s="506">
        <f>'Bloom Cleaner Data'!GJ12/($RK$1*DO12+(1-$RK$1)*'Bloom Cleaner Data'!GZ12)</f>
        <v>1.691473258391291</v>
      </c>
      <c r="RP12" s="506">
        <f>'Bloom Cleaner Data'!GK12/($RK$1*DP12+(1-$RK$1)*'Bloom Cleaner Data'!HA12)</f>
        <v>1.4786404498936574</v>
      </c>
      <c r="RQ12" s="506">
        <f>'Bloom Cleaner Data'!GL12/($RK$1*DQ12+(1-$RK$1)*'Bloom Cleaner Data'!HB12)</f>
        <v>1.5520238663757842</v>
      </c>
      <c r="RR12" s="506">
        <f>'Bloom Cleaner Data'!GM12/($RK$1*DR12+(1-$RK$1)*'Bloom Cleaner Data'!HC12)</f>
        <v>1.6294236059848766</v>
      </c>
      <c r="RS12" s="506">
        <f>'Bloom Cleaner Data'!GN12/($RK$1*DS12+(1-$RK$1)*'Bloom Cleaner Data'!HD12)</f>
        <v>1.5968533715637829</v>
      </c>
      <c r="RT12" s="506">
        <f>'Bloom Cleaner Data'!GO12/($RK$1*DT12+(1-$RK$1)*'Bloom Cleaner Data'!HE12)</f>
        <v>1.6913876953535165</v>
      </c>
      <c r="RU12" s="506">
        <f>'Bloom Cleaner Data'!GP12/($RK$1*DU12+(1-$RK$1)*'Bloom Cleaner Data'!HF12)</f>
        <v>1.4054658779102724</v>
      </c>
      <c r="RV12" s="506">
        <f>'Bloom Cleaner Data'!GQ12/($RK$1*DV12+(1-$RK$1)*'Bloom Cleaner Data'!HG12)</f>
        <v>1.5317883883314105</v>
      </c>
      <c r="RW12" s="506">
        <f>'Bloom Cleaner Data'!GR12/($RK$1*DW12+(1-$RK$1)*'Bloom Cleaner Data'!HH12)</f>
        <v>1.6618863305045979</v>
      </c>
      <c r="RX12" s="506">
        <f>'Bloom Cleaner Data'!GS12/($RK$1*DX12+(1-$RK$1)*'Bloom Cleaner Data'!HI12)</f>
        <v>1.363503776788946</v>
      </c>
      <c r="RY12" s="506">
        <f>'Bloom Cleaner Data'!GT12/($RK$1*DY12+(1-$RK$1)*'Bloom Cleaner Data'!HJ12)</f>
        <v>1.5252603424842317</v>
      </c>
      <c r="RZ12" s="506"/>
      <c r="SA12" s="506">
        <f t="shared" si="125"/>
        <v>1.5782319725184342</v>
      </c>
      <c r="SB12" s="506">
        <f t="shared" si="126"/>
        <v>1.5508436950330466</v>
      </c>
      <c r="SC12" s="18"/>
      <c r="SD12" s="15">
        <f>'Bloom Cleaner Data'!HM12</f>
        <v>8.0693000000000001</v>
      </c>
      <c r="SE12" s="15">
        <f>'Bloom Cleaner Data'!HN12</f>
        <v>6.9188000000000001</v>
      </c>
      <c r="SF12" s="15">
        <f>'Bloom Cleaner Data'!HO12</f>
        <v>8.6876999999999995</v>
      </c>
      <c r="SG12" s="15">
        <f>'Bloom Cleaner Data'!HP12</f>
        <v>8.0861999999999998</v>
      </c>
      <c r="SH12" s="15">
        <f>'Bloom Cleaner Data'!HQ12</f>
        <v>8.1341999999999999</v>
      </c>
      <c r="SI12" s="15">
        <f>'Bloom Cleaner Data'!HR12</f>
        <v>7.7977999999999996</v>
      </c>
      <c r="SJ12" s="15">
        <f>'Bloom Cleaner Data'!HS12</f>
        <v>8.2479999999999993</v>
      </c>
      <c r="SK12" s="15">
        <f>'Bloom Cleaner Data'!HT12</f>
        <v>8.8902999999999999</v>
      </c>
      <c r="SL12" s="15">
        <f>'Bloom Cleaner Data'!HU12</f>
        <v>8.1969999999999992</v>
      </c>
      <c r="SM12" s="15">
        <f>'Bloom Cleaner Data'!HV12</f>
        <v>7.0986000000000002</v>
      </c>
      <c r="SN12" s="15">
        <f>'Bloom Cleaner Data'!HW12</f>
        <v>6.5967000000000002</v>
      </c>
      <c r="SO12" s="15">
        <f>'Bloom Cleaner Data'!HX12</f>
        <v>6.2721999999999998</v>
      </c>
      <c r="SP12" s="15">
        <f>'Bloom Cleaner Data'!HY12</f>
        <v>7.3335999999999997</v>
      </c>
      <c r="SQ12" s="15">
        <f>'Bloom Cleaner Data'!HZ12</f>
        <v>6.2622999999999998</v>
      </c>
      <c r="SR12" s="15">
        <f>'Bloom Cleaner Data'!IA12</f>
        <v>5.6490999999999998</v>
      </c>
      <c r="SS12" s="15"/>
      <c r="ST12" s="15">
        <f t="shared" si="127"/>
        <v>7.4827866666666676</v>
      </c>
      <c r="SU12" s="487">
        <f t="shared" si="128"/>
        <v>-0.349758854472415</v>
      </c>
      <c r="SV12" s="15">
        <f t="shared" si="129"/>
        <v>-3.0385999999999997</v>
      </c>
    </row>
    <row r="13" spans="1:518">
      <c r="A13" s="11" t="s">
        <v>19</v>
      </c>
      <c r="B13" s="72"/>
      <c r="C13" s="83" t="s">
        <v>285</v>
      </c>
      <c r="D13" s="1133" t="s">
        <v>1042</v>
      </c>
      <c r="E13" s="224"/>
      <c r="F13" s="224"/>
      <c r="G13" s="13">
        <f>'Bloom Cleaner Data'!D13</f>
        <v>4553.7582000000002</v>
      </c>
      <c r="H13" s="13">
        <f>'Bloom Cleaner Data'!F13</f>
        <v>3484.5257000000001</v>
      </c>
      <c r="I13" s="13">
        <f>'Bloom Cleaner Data'!H13</f>
        <v>4447.6911</v>
      </c>
      <c r="J13" s="13">
        <f>'Bloom Cleaner Data'!J13</f>
        <v>5063.3341</v>
      </c>
      <c r="K13" s="13">
        <f>'Bloom Cleaner Data'!L13</f>
        <v>5436.7160000000003</v>
      </c>
      <c r="L13" s="13">
        <f>'Bloom Cleaner Data'!N13</f>
        <v>6523.6750000000002</v>
      </c>
      <c r="M13" s="13">
        <f>'Bloom Cleaner Data'!P13</f>
        <v>7491.8858</v>
      </c>
      <c r="N13" s="13">
        <f>'Bloom Cleaner Data'!R13</f>
        <v>9571.524995540176</v>
      </c>
      <c r="O13" s="13"/>
      <c r="P13" s="13">
        <f t="shared" si="0"/>
        <v>6002.7646707914537</v>
      </c>
      <c r="Q13" s="13">
        <f t="shared" si="49"/>
        <v>7862.3619318467245</v>
      </c>
      <c r="R13" s="10">
        <f t="shared" si="1"/>
        <v>1.7468659495150733</v>
      </c>
      <c r="S13" s="144">
        <f t="shared" si="130"/>
        <v>1.7468659495150733</v>
      </c>
      <c r="T13" s="10">
        <f t="shared" si="2"/>
        <v>1.8486415284207123</v>
      </c>
      <c r="U13" s="10"/>
      <c r="V13" s="1277" t="s">
        <v>285</v>
      </c>
      <c r="W13" s="1238">
        <f>'Bloom Cleaner Data'!D13/'Bloom Cleaner Data'!$F13</f>
        <v>1.3068516613322725</v>
      </c>
      <c r="X13" s="1238">
        <f>'Bloom Cleaner Data'!E13/'Bloom Cleaner Data'!$F13</f>
        <v>1.1534258306661362</v>
      </c>
      <c r="Y13" s="1238">
        <f>'Bloom Cleaner Data'!F13/'Bloom Cleaner Data'!$F13</f>
        <v>1</v>
      </c>
      <c r="Z13" s="1238">
        <f>'Bloom Cleaner Data'!G13/'Bloom Cleaner Data'!$F13</f>
        <v>1.1382060978916011</v>
      </c>
      <c r="AA13" s="1238">
        <f>'Bloom Cleaner Data'!H13/'Bloom Cleaner Data'!$F13</f>
        <v>1.2764121957832022</v>
      </c>
      <c r="AB13" s="1238">
        <f>'Bloom Cleaner Data'!I13/'Bloom Cleaner Data'!$F13</f>
        <v>1.3647517652115466</v>
      </c>
      <c r="AC13" s="1238">
        <f>'Bloom Cleaner Data'!J13/'Bloom Cleaner Data'!$F13</f>
        <v>1.4530913346398908</v>
      </c>
      <c r="AD13" s="1238">
        <f>'Bloom Cleaner Data'!K13/'Bloom Cleaner Data'!$F13</f>
        <v>1.5066684828870684</v>
      </c>
      <c r="AE13" s="1238">
        <f>'Bloom Cleaner Data'!L13/'Bloom Cleaner Data'!$F13</f>
        <v>1.5602456311342459</v>
      </c>
      <c r="AF13" s="1238">
        <f>'Bloom Cleaner Data'!M13/'Bloom Cleaner Data'!$F13</f>
        <v>1.7162150647934666</v>
      </c>
      <c r="AG13" s="1238">
        <f>'Bloom Cleaner Data'!N13/'Bloom Cleaner Data'!$F13</f>
        <v>1.8721844984526874</v>
      </c>
      <c r="AH13" s="1238">
        <f>'Bloom Cleaner Data'!O13/'Bloom Cleaner Data'!$F13</f>
        <v>2.0111145686197691</v>
      </c>
      <c r="AI13" s="1238">
        <f>'Bloom Cleaner Data'!P13/'Bloom Cleaner Data'!$F13</f>
        <v>2.1500446387868513</v>
      </c>
      <c r="AJ13" s="1238">
        <f>'Bloom Cleaner Data'!Q13/'Bloom Cleaner Data'!$F13</f>
        <v>2.4484552941509623</v>
      </c>
      <c r="AK13" s="1238">
        <f>'Bloom Cleaner Data'!R13/'Bloom Cleaner Data'!$F13</f>
        <v>2.7468659495150733</v>
      </c>
      <c r="AL13" s="13"/>
      <c r="AM13" s="13">
        <f>AVERAGE('Bloom Cleaner Data'!BW13:CI13)</f>
        <v>6862.9578879469436</v>
      </c>
      <c r="AN13" s="18">
        <f>('Bloom Cleaner Data'!CI13-'Bloom Cleaner Data'!BW13)/'Bloom Cleaner Data'!BW13</f>
        <v>1.5248018243152195</v>
      </c>
      <c r="AO13" s="18">
        <f>('Bloom Cleaner Data'!CI13+'Bloom Cleaner Data'!CH13-'Bloom Cleaner Data'!BW13-'Bloom Cleaner Data'!BV13)/('Bloom Cleaner Data'!BW13+'Bloom Cleaner Data'!BV13)</f>
        <v>1.2655676160183011</v>
      </c>
      <c r="AP13" s="13"/>
      <c r="AQ13" s="13">
        <f>'Bloom Cleaner Data'!BW13</f>
        <v>4202.4426999999996</v>
      </c>
      <c r="AR13" s="13">
        <f>'Bloom Cleaner Data'!BY13</f>
        <v>5139.4741000000004</v>
      </c>
      <c r="AS13" s="13">
        <f>'Bloom Cleaner Data'!CA13</f>
        <v>5747.0621000000001</v>
      </c>
      <c r="AT13" s="13">
        <f>'Bloom Cleaner Data'!CC13</f>
        <v>6406.9359999999997</v>
      </c>
      <c r="AU13" s="13">
        <f>'Bloom Cleaner Data'!CE13</f>
        <v>7650.0339999999997</v>
      </c>
      <c r="AV13" s="13">
        <f>'Bloom Cleaner Data'!CG13</f>
        <v>8556.1368000000002</v>
      </c>
      <c r="AW13" s="13">
        <f>'Bloom Cleaner Data'!CI13</f>
        <v>10610.334995540175</v>
      </c>
      <c r="AX13" s="13"/>
      <c r="AY13" s="13">
        <f t="shared" si="3"/>
        <v>6901.7743850771676</v>
      </c>
      <c r="AZ13" s="10">
        <f t="shared" si="4"/>
        <v>1.5248018243152195</v>
      </c>
      <c r="BA13" s="10"/>
      <c r="BB13" s="13">
        <f>'Bloom Cleaner Data'!T13+'OPERATING LEASES'!AU13</f>
        <v>676.94647621557453</v>
      </c>
      <c r="BC13" s="13">
        <f>'Bloom Cleaner Data'!U13+'OPERATING LEASES'!AV13</f>
        <v>700.16874873884979</v>
      </c>
      <c r="BD13" s="13">
        <f>'Bloom Cleaner Data'!V13+'OPERATING LEASES'!AW13</f>
        <v>723.39102126212504</v>
      </c>
      <c r="BE13" s="13">
        <f>'Bloom Cleaner Data'!W13+'OPERATING LEASES'!AX13</f>
        <v>707.48029378540036</v>
      </c>
      <c r="BF13" s="13">
        <f>'Bloom Cleaner Data'!X13+'OPERATING LEASES'!AY13</f>
        <v>691.56956630867569</v>
      </c>
      <c r="BG13" s="13">
        <f>'Bloom Cleaner Data'!Y13+'OPERATING LEASES'!AZ13</f>
        <v>771.11941837104973</v>
      </c>
      <c r="BH13" s="13">
        <f>'Bloom Cleaner Data'!Z13+'OPERATING LEASES'!BA13</f>
        <v>850.66927043342389</v>
      </c>
      <c r="BI13" s="13">
        <f>'Bloom Cleaner Data'!AA13+'OPERATING LEASES'!BB13</f>
        <v>1077.1566224957978</v>
      </c>
      <c r="BJ13" s="13">
        <f>'Bloom Cleaner Data'!AB13+'OPERATING LEASES'!BC13</f>
        <v>1303.643974558172</v>
      </c>
      <c r="BK13" s="13">
        <f>'Bloom Cleaner Data'!AC13+'OPERATING LEASES'!BD13</f>
        <v>1391.6746081587169</v>
      </c>
      <c r="BL13" s="13">
        <f>'Bloom Cleaner Data'!AD13+'OPERATING LEASES'!BE13</f>
        <v>1479.7052417592613</v>
      </c>
      <c r="BM13" s="13">
        <f>'Bloom Cleaner Data'!AE13+'OPERATING LEASES'!BF13</f>
        <v>1458.2123753598062</v>
      </c>
      <c r="BN13" s="13">
        <f>'Bloom Cleaner Data'!AF13+'OPERATING LEASES'!BG13</f>
        <v>1436.719508960351</v>
      </c>
      <c r="BO13" s="13">
        <f>'Bloom Cleaner Data'!AG13+'OPERATING LEASES'!BH13</f>
        <v>1423.9990089603507</v>
      </c>
      <c r="BP13" s="13">
        <f>'Bloom Cleaner Data'!AH13+'OPERATING LEASES'!BI13</f>
        <v>1411.2785089603508</v>
      </c>
      <c r="BQ13" s="13"/>
      <c r="BR13" s="1099">
        <f t="shared" si="50"/>
        <v>1132.8168784133447</v>
      </c>
      <c r="BS13" s="10">
        <f t="shared" si="51"/>
        <v>0.9509206880920984</v>
      </c>
      <c r="BT13" s="10"/>
      <c r="BU13" s="13">
        <f>'Bloom Cleaner Data'!BU13+'OPERATING LEASES'!AU13</f>
        <v>5231.2416762155744</v>
      </c>
      <c r="BV13" s="13">
        <f>'Bloom Cleaner Data'!BV13+'OPERATING LEASES'!AV13</f>
        <v>4719.9241987388505</v>
      </c>
      <c r="BW13" s="13">
        <f>'Bloom Cleaner Data'!BW13+'OPERATING LEASES'!AW13</f>
        <v>4208.6067212621247</v>
      </c>
      <c r="BX13" s="13">
        <f>'Bloom Cleaner Data'!BX13+'OPERATING LEASES'!AX13</f>
        <v>4674.1696937853994</v>
      </c>
      <c r="BY13" s="13">
        <f>'Bloom Cleaner Data'!BY13+'OPERATING LEASES'!AY13</f>
        <v>5139.732666308676</v>
      </c>
      <c r="BZ13" s="13">
        <f>'Bloom Cleaner Data'!BZ13+'OPERATING LEASES'!AZ13</f>
        <v>5527.0180183710499</v>
      </c>
      <c r="CA13" s="13">
        <f>'Bloom Cleaner Data'!CA13+'OPERATING LEASES'!BA13</f>
        <v>5914.3033704334239</v>
      </c>
      <c r="CB13" s="13">
        <f>'Bloom Cleaner Data'!CB13+'OPERATING LEASES'!BB13</f>
        <v>6327.7316724957982</v>
      </c>
      <c r="CC13" s="13">
        <f>'Bloom Cleaner Data'!CC13+'OPERATING LEASES'!BC13</f>
        <v>6741.1599745581716</v>
      </c>
      <c r="CD13" s="13">
        <f>'Bloom Cleaner Data'!CD13+'OPERATING LEASES'!BD13</f>
        <v>7372.2701081587165</v>
      </c>
      <c r="CE13" s="13">
        <f>'Bloom Cleaner Data'!CE13+'OPERATING LEASES'!BE13</f>
        <v>8003.3802417592615</v>
      </c>
      <c r="CF13" s="13">
        <f>'Bloom Cleaner Data'!CF13+'OPERATING LEASES'!BF13</f>
        <v>8465.9927753598058</v>
      </c>
      <c r="CG13" s="13">
        <f>'Bloom Cleaner Data'!CG13+'OPERATING LEASES'!BG13</f>
        <v>8928.605308960352</v>
      </c>
      <c r="CH13" s="13">
        <f>'Bloom Cleaner Data'!CH13+'OPERATING LEASES'!BH13</f>
        <v>9955.7044067304396</v>
      </c>
      <c r="CI13" s="13">
        <f>'Bloom Cleaner Data'!CI13+'OPERATING LEASES'!BI13</f>
        <v>10982.803504500527</v>
      </c>
      <c r="CJ13" s="13"/>
      <c r="CK13" s="1099">
        <f t="shared" si="52"/>
        <v>7095.4983432833642</v>
      </c>
      <c r="CL13" s="10">
        <f t="shared" si="53"/>
        <v>1.6096055611503846</v>
      </c>
      <c r="CM13" s="18">
        <f t="shared" si="54"/>
        <v>3.3883415741894511E-2</v>
      </c>
      <c r="CN13" s="13"/>
      <c r="CO13" s="18">
        <f>$CO$1*BU13/('Bloom Cleaner Data'!D13+'Bloom Cleaner Data'!T13+'OPERATING LEASES'!AU13)+(1-$CO$1)*'Bloom Cleaner Data'!BU13/('Bloom Cleaner Data'!D13+'Bloom Cleaner Data'!T13)-1</f>
        <v>1.0266303170225477E-4</v>
      </c>
      <c r="CP13" s="18">
        <f>$CO$1*BV13/('Bloom Cleaner Data'!E13+'Bloom Cleaner Data'!U13+'OPERATING LEASES'!AV13)+(1-$CO$1)*'Bloom Cleaner Data'!BV13/('Bloom Cleaner Data'!E13+'Bloom Cleaner Data'!U13)-1</f>
        <v>1.2999779823030799E-4</v>
      </c>
      <c r="CQ13" s="18">
        <f>$CO$1*BW13/('Bloom Cleaner Data'!F13+'Bloom Cleaner Data'!V13+'OPERATING LEASES'!AW13)+(1-$CO$1)*'Bloom Cleaner Data'!BW13/('Bloom Cleaner Data'!F13+'Bloom Cleaner Data'!V13)-1</f>
        <v>1.6397662922207346E-4</v>
      </c>
      <c r="CR13" s="18">
        <f>$CO$1*BX13/('Bloom Cleaner Data'!G13+'Bloom Cleaner Data'!W13+'OPERATING LEASES'!AX13)+(1-$CO$1)*'Bloom Cleaner Data'!BX13/('Bloom Cleaner Data'!G13+'Bloom Cleaner Data'!W13)-1</f>
        <v>1.2431560371828354E-4</v>
      </c>
      <c r="CS13" s="18">
        <f>$CO$1*BY13/('Bloom Cleaner Data'!H13+'Bloom Cleaner Data'!X13+'OPERATING LEASES'!AY13)+(1-$CO$1)*'Bloom Cleaner Data'!BY13/('Bloom Cleaner Data'!H13+'Bloom Cleaner Data'!X13)-1</f>
        <v>9.1842004258602117E-5</v>
      </c>
      <c r="CT13" s="18">
        <f>$CO$1*BZ13/('Bloom Cleaner Data'!I13+'Bloom Cleaner Data'!Y13+'OPERATING LEASES'!AZ13)+(1-$CO$1)*'Bloom Cleaner Data'!BZ13/('Bloom Cleaner Data'!I13+'Bloom Cleaner Data'!Y13)-1</f>
        <v>6.9843622430010299E-5</v>
      </c>
      <c r="CU13" s="18">
        <f>$CO$1*CA13/('Bloom Cleaner Data'!J13+'Bloom Cleaner Data'!Z13+'OPERATING LEASES'!BA13)+(1-$CO$1)*'Bloom Cleaner Data'!CA13/('Bloom Cleaner Data'!J13+'Bloom Cleaner Data'!Z13)-1</f>
        <v>5.0727059355493154E-5</v>
      </c>
      <c r="CV13" s="18">
        <f>$CO$1*CB13/('Bloom Cleaner Data'!K13+'Bloom Cleaner Data'!AA13+'OPERATING LEASES'!BB13)+(1-$CO$1)*'Bloom Cleaner Data'!CB13/('Bloom Cleaner Data'!K13+'Bloom Cleaner Data'!AA13)-1</f>
        <v>8.6926538302334322E-5</v>
      </c>
      <c r="CW13" s="18">
        <f>$CO$1*CC13/('Bloom Cleaner Data'!L13+'Bloom Cleaner Data'!AB13+'OPERATING LEASES'!BC13)+(1-$CO$1)*'Bloom Cleaner Data'!CC13/('Bloom Cleaner Data'!L13+'Bloom Cleaner Data'!AB13)-1</f>
        <v>1.18688023046154E-4</v>
      </c>
      <c r="CX13" s="18">
        <f>$CO$1*CD13/('Bloom Cleaner Data'!M13+'Bloom Cleaner Data'!AC13+'OPERATING LEASES'!BD13)+(1-$CO$1)*'Bloom Cleaner Data'!CD13/('Bloom Cleaner Data'!M13+'Bloom Cleaner Data'!AC13)-1</f>
        <v>5.4260315785592539E-5</v>
      </c>
      <c r="CY13" s="18">
        <f>$CO$1*CE13/('Bloom Cleaner Data'!N13+'Bloom Cleaner Data'!AD13+'OPERATING LEASES'!BE13)+(1-$CO$1)*'Bloom Cleaner Data'!CE13/('Bloom Cleaner Data'!N13+'Bloom Cleaner Data'!AD13)-1</f>
        <v>0</v>
      </c>
      <c r="CZ13" s="18">
        <f>$CO$1*CF13/('Bloom Cleaner Data'!O13+'Bloom Cleaner Data'!AE13+'OPERATING LEASES'!BF13)+(1-$CO$1)*'Bloom Cleaner Data'!CF13/('Bloom Cleaner Data'!O13+'Bloom Cleaner Data'!AE13)-1</f>
        <v>0</v>
      </c>
      <c r="DA13" s="18">
        <f>$CO$1*CG13/('Bloom Cleaner Data'!P13+'Bloom Cleaner Data'!AF13+'OPERATING LEASES'!BG13)+(1-$CO$1)*'Bloom Cleaner Data'!CG13/('Bloom Cleaner Data'!P13+'Bloom Cleaner Data'!AF13)-1</f>
        <v>0</v>
      </c>
      <c r="DB13" s="18">
        <f>$CO$1*CH13/('Bloom Cleaner Data'!Q13+'Bloom Cleaner Data'!AG13+'OPERATING LEASES'!BH13)+(1-$CO$1)*'Bloom Cleaner Data'!CH13/('Bloom Cleaner Data'!Q13+'Bloom Cleaner Data'!AG13)-1</f>
        <v>0</v>
      </c>
      <c r="DC13" s="18">
        <f>$CO$1*CI13/('Bloom Cleaner Data'!R13+'Bloom Cleaner Data'!AH13+'OPERATING LEASES'!BI13)+(1-$CO$1)*'Bloom Cleaner Data'!CI13/('Bloom Cleaner Data'!R13+'Bloom Cleaner Data'!AH13)-1</f>
        <v>0</v>
      </c>
      <c r="DD13" s="18"/>
      <c r="DE13" s="18">
        <f t="shared" si="55"/>
        <v>5.850613816296488E-5</v>
      </c>
      <c r="DF13" s="13"/>
      <c r="DG13" s="2203">
        <f>AVERAGE('Bloom Cleaner Data'!GX13:HJ13)</f>
        <v>849.75622862453542</v>
      </c>
      <c r="DH13" s="2124">
        <f>('Bloom Cleaner Data'!HJ13-'Bloom Cleaner Data'!GX13)/'Bloom Cleaner Data'!GX13</f>
        <v>0.34536791805681194</v>
      </c>
      <c r="DI13" s="2124">
        <f>('Bloom Cleaner Data'!HJ13+'Bloom Cleaner Data'!HI13-'Bloom Cleaner Data'!GX13-'Bloom Cleaner Data'!GW13)/('Bloom Cleaner Data'!GX13+'Bloom Cleaner Data'!GW13)</f>
        <v>0.38583910872130595</v>
      </c>
      <c r="DJ13" s="13"/>
      <c r="DK13" s="13">
        <f>'Bloom Cleaner Data'!GV13+'OPERATING LEASES'!BL13</f>
        <v>656.17103480477817</v>
      </c>
      <c r="DL13" s="13">
        <f>'Bloom Cleaner Data'!GW13+'OPERATING LEASES'!BM13</f>
        <v>714.43273162757191</v>
      </c>
      <c r="DM13" s="13">
        <f>'Bloom Cleaner Data'!GX13+'OPERATING LEASES'!BN13</f>
        <v>803.46270139688238</v>
      </c>
      <c r="DN13" s="13">
        <f>'Bloom Cleaner Data'!GY13+'OPERATING LEASES'!BO13</f>
        <v>796.07830264420431</v>
      </c>
      <c r="DO13" s="13">
        <f>'Bloom Cleaner Data'!GZ13+'OPERATING LEASES'!BP13</f>
        <v>790.03443274167273</v>
      </c>
      <c r="DP13" s="13">
        <f>'Bloom Cleaner Data'!HA13+'OPERATING LEASES'!BQ13</f>
        <v>782.32808082152553</v>
      </c>
      <c r="DQ13" s="13">
        <f>'Bloom Cleaner Data'!HB13+'OPERATING LEASES'!BR13</f>
        <v>777.6239268617021</v>
      </c>
      <c r="DR13" s="13">
        <f>'Bloom Cleaner Data'!HC13+'OPERATING LEASES'!BS13</f>
        <v>825.95047287318653</v>
      </c>
      <c r="DS13" s="13">
        <f>'Bloom Cleaner Data'!HD13+'OPERATING LEASES'!BT13</f>
        <v>873.61546122805669</v>
      </c>
      <c r="DT13" s="13">
        <f>'Bloom Cleaner Data'!HE13+'OPERATING LEASES'!BU13</f>
        <v>875.03737026222859</v>
      </c>
      <c r="DU13" s="13">
        <f>'Bloom Cleaner Data'!HF13+'OPERATING LEASES'!BV13</f>
        <v>876.46181321638062</v>
      </c>
      <c r="DV13" s="13">
        <f>'Bloom Cleaner Data'!HG13+'OPERATING LEASES'!BW13</f>
        <v>921.98193564271651</v>
      </c>
      <c r="DW13" s="13">
        <f>'Bloom Cleaner Data'!HH13+'OPERATING LEASES'!BX13</f>
        <v>967.03174079240182</v>
      </c>
      <c r="DX13" s="13">
        <f>'Bloom Cleaner Data'!HI13+'OPERATING LEASES'!BY13</f>
        <v>1076.3941669527442</v>
      </c>
      <c r="DY13" s="13">
        <f>'Bloom Cleaner Data'!HJ13+'OPERATING LEASES'!BZ13</f>
        <v>1135.5317407924019</v>
      </c>
      <c r="DZ13" s="13"/>
      <c r="EA13" s="1099">
        <f t="shared" si="56"/>
        <v>884.73324201739263</v>
      </c>
      <c r="EB13" s="10">
        <f t="shared" si="57"/>
        <v>0.41329739242181585</v>
      </c>
      <c r="EC13" s="18">
        <f t="shared" si="58"/>
        <v>4.1161232144744639E-2</v>
      </c>
      <c r="ED13" s="18">
        <f>(AVERAGE(DV13:DY13)-AVERAGE('Bloom Cleaner Data'!HG13:HJ13))/AVERAGE('Bloom Cleaner Data'!HG13:HJ13)</f>
        <v>5.7385472110956667E-2</v>
      </c>
      <c r="EE13" s="165"/>
      <c r="EF13" s="22">
        <f>'Bloom Cleaner Data'!DT13</f>
        <v>2.1015999999999999</v>
      </c>
      <c r="EG13" s="22">
        <f>'Bloom Cleaner Data'!DX13</f>
        <v>2.7833000000000001</v>
      </c>
      <c r="EH13" s="22">
        <f>'Bloom Cleaner Data'!EB13</f>
        <v>3.0299</v>
      </c>
      <c r="EI13" s="22">
        <f>'Bloom Cleaner Data'!EF13</f>
        <v>3.0099</v>
      </c>
      <c r="EJ13" s="22"/>
      <c r="EK13" s="22">
        <f>AVERAGE('Bloom Cleaner Data'!DT13:EF13)</f>
        <v>2.7539884615384618</v>
      </c>
      <c r="EL13" s="2124">
        <f t="shared" si="5"/>
        <v>0.43219451846212414</v>
      </c>
      <c r="EM13" s="13"/>
      <c r="EN13" s="15">
        <f>'Bloom Cleaner Data'!DA13</f>
        <v>7.9791999999999996</v>
      </c>
      <c r="EO13" s="15">
        <f>'Bloom Cleaner Data'!DB13</f>
        <v>6.60825</v>
      </c>
      <c r="EP13" s="15">
        <f>'Bloom Cleaner Data'!DC13</f>
        <v>5.2373000000000003</v>
      </c>
      <c r="EQ13" s="15">
        <f>'Bloom Cleaner Data'!DD13</f>
        <v>5.8715000000000002</v>
      </c>
      <c r="ER13" s="15">
        <f>'Bloom Cleaner Data'!DE13</f>
        <v>6.5057</v>
      </c>
      <c r="ES13" s="15">
        <f>'Bloom Cleaner Data'!DF13</f>
        <v>7.0716000000000001</v>
      </c>
      <c r="ET13" s="15">
        <f>'Bloom Cleaner Data'!DG13</f>
        <v>7.6375000000000002</v>
      </c>
      <c r="EU13" s="15">
        <f>'Bloom Cleaner Data'!DH13</f>
        <v>7.7094500000000004</v>
      </c>
      <c r="EV13" s="15">
        <f>'Bloom Cleaner Data'!DI13</f>
        <v>7.7813999999999997</v>
      </c>
      <c r="EW13" s="15">
        <f>'Bloom Cleaner Data'!DJ13</f>
        <v>8.5364499999999985</v>
      </c>
      <c r="EX13" s="15">
        <f>'Bloom Cleaner Data'!DK13</f>
        <v>9.2914999999999992</v>
      </c>
      <c r="EY13" s="15">
        <f>'Bloom Cleaner Data'!DL13</f>
        <v>9.3415999999999997</v>
      </c>
      <c r="EZ13" s="15">
        <f>'Bloom Cleaner Data'!DM13</f>
        <v>9.3917000000000002</v>
      </c>
      <c r="FA13" s="15">
        <f>'Bloom Cleaner Data'!DN13</f>
        <v>9.3917000000000002</v>
      </c>
      <c r="FB13" s="15">
        <f>'Bloom Cleaner Data'!DO13</f>
        <v>9.8286456938745843</v>
      </c>
      <c r="FC13" s="15"/>
      <c r="FD13" s="15">
        <f t="shared" si="59"/>
        <v>7.9689265918365058</v>
      </c>
      <c r="FE13" s="18">
        <f t="shared" si="6"/>
        <v>0.87666272580806592</v>
      </c>
      <c r="FF13" s="15">
        <f t="shared" si="60"/>
        <v>8.5981545693874573</v>
      </c>
      <c r="FG13" s="2206"/>
      <c r="FH13" s="15">
        <f>('Bloom Cleaner Data'!BU13+'OPERATING LEASES'!AU13)/DK13</f>
        <v>7.9723751868626085</v>
      </c>
      <c r="FI13" s="15">
        <f>('Bloom Cleaner Data'!BV13+'OPERATING LEASES'!AV13)/DL13</f>
        <v>6.6065340931206231</v>
      </c>
      <c r="FJ13" s="15">
        <f>('Bloom Cleaner Data'!BW13+'OPERATING LEASES'!AW13)/DM13</f>
        <v>5.2380859919758995</v>
      </c>
      <c r="FK13" s="15">
        <f>('Bloom Cleaner Data'!BX13+'OPERATING LEASES'!AX13)/DN13</f>
        <v>5.8714948997604477</v>
      </c>
      <c r="FL13" s="15">
        <f>('Bloom Cleaner Data'!BY13+'OPERATING LEASES'!AY13)/DO13</f>
        <v>6.5057071607273569</v>
      </c>
      <c r="FM13" s="15">
        <f>('Bloom Cleaner Data'!BZ13+'OPERATING LEASES'!AZ13)/DP13</f>
        <v>7.0648339921112235</v>
      </c>
      <c r="FN13" s="15">
        <f>('Bloom Cleaner Data'!CA13+'OPERATING LEASES'!BA13)/DQ13</f>
        <v>7.6056087861160471</v>
      </c>
      <c r="FO13" s="15">
        <f>('Bloom Cleaner Data'!CB13+'OPERATING LEASES'!BB13)/DR13</f>
        <v>7.6611514616413752</v>
      </c>
      <c r="FP13" s="15">
        <f>('Bloom Cleaner Data'!CC13+'OPERATING LEASES'!BC13)/DS13</f>
        <v>7.7163927079335384</v>
      </c>
      <c r="FQ13" s="15">
        <f>('Bloom Cleaner Data'!CD13+'OPERATING LEASES'!BD13)/DT13</f>
        <v>8.4250917260247036</v>
      </c>
      <c r="FR13" s="15">
        <f>('Bloom Cleaner Data'!CE13+'OPERATING LEASES'!BE13)/DU13</f>
        <v>9.1314648522894508</v>
      </c>
      <c r="FS13" s="15">
        <f>('Bloom Cleaner Data'!CF13+'OPERATING LEASES'!BF13)/DV13</f>
        <v>9.1823846521007333</v>
      </c>
      <c r="FT13" s="15">
        <f>('Bloom Cleaner Data'!CG13+'OPERATING LEASES'!BG13)/DW13</f>
        <v>9.2330012887106534</v>
      </c>
      <c r="FU13" s="15">
        <f>('Bloom Cleaner Data'!CH13+'OPERATING LEASES'!BH13)/DX13</f>
        <v>9.2491251926001148</v>
      </c>
      <c r="FV13" s="15">
        <f>('Bloom Cleaner Data'!CI13+'OPERATING LEASES'!BI13)/DY13</f>
        <v>9.6719476082953495</v>
      </c>
      <c r="FW13" s="15"/>
      <c r="FX13" s="506">
        <f t="shared" si="61"/>
        <v>7.8889454092528393</v>
      </c>
      <c r="FY13" s="10">
        <f t="shared" si="62"/>
        <v>0.8464659845431286</v>
      </c>
      <c r="FZ13" s="15">
        <f t="shared" si="7"/>
        <v>-7.9981182583666488E-2</v>
      </c>
      <c r="GA13" s="15">
        <f t="shared" si="63"/>
        <v>8.4941002267823205</v>
      </c>
      <c r="GB13" s="15">
        <f t="shared" si="64"/>
        <v>-0.1040543426051368</v>
      </c>
      <c r="GC13" s="15">
        <f t="shared" si="8"/>
        <v>-0.15544441997565706</v>
      </c>
      <c r="GD13" s="13"/>
      <c r="GE13" s="15">
        <f t="shared" si="9"/>
        <v>7.9723751868626085</v>
      </c>
      <c r="GF13" s="15">
        <f t="shared" si="10"/>
        <v>6.6065340931206231</v>
      </c>
      <c r="GG13" s="15">
        <f t="shared" si="11"/>
        <v>5.2380859919758995</v>
      </c>
      <c r="GH13" s="15">
        <f t="shared" si="12"/>
        <v>5.8714948997604477</v>
      </c>
      <c r="GI13" s="15">
        <f t="shared" si="13"/>
        <v>6.5057071607273569</v>
      </c>
      <c r="GJ13" s="15">
        <f t="shared" si="14"/>
        <v>7.0648339921112235</v>
      </c>
      <c r="GK13" s="15">
        <f t="shared" si="15"/>
        <v>7.6056087861160471</v>
      </c>
      <c r="GL13" s="15">
        <f t="shared" si="16"/>
        <v>7.6611514616413752</v>
      </c>
      <c r="GM13" s="15">
        <f t="shared" si="17"/>
        <v>7.7163927079335384</v>
      </c>
      <c r="GN13" s="15">
        <f t="shared" si="18"/>
        <v>8.4250917260247036</v>
      </c>
      <c r="GO13" s="15">
        <f t="shared" si="19"/>
        <v>9.1314648522894508</v>
      </c>
      <c r="GP13" s="15">
        <f t="shared" si="20"/>
        <v>9.1823846521007333</v>
      </c>
      <c r="GQ13" s="15">
        <f t="shared" si="21"/>
        <v>9.2330012887106534</v>
      </c>
      <c r="GR13" s="15">
        <f t="shared" si="22"/>
        <v>9.2491251926001148</v>
      </c>
      <c r="GS13" s="15">
        <f t="shared" si="23"/>
        <v>9.6719476082953495</v>
      </c>
      <c r="GT13" s="15"/>
      <c r="GU13" s="15">
        <f t="shared" si="65"/>
        <v>7.8090133066846761</v>
      </c>
      <c r="GV13" s="10">
        <f t="shared" si="66"/>
        <v>0.8464659845431286</v>
      </c>
      <c r="GW13" s="506">
        <f t="shared" si="67"/>
        <v>8.4941002267823205</v>
      </c>
      <c r="GX13" s="2057"/>
      <c r="GY13" s="10">
        <f>'Bloom Cleaner Data'!T13/('Bloom Cleaner Data'!T13+'Bloom Cleaner Data'!D13)</f>
        <v>0.12740438342959859</v>
      </c>
      <c r="GZ13" s="10">
        <f>'Bloom Cleaner Data'!U13/('Bloom Cleaner Data'!U13+'Bloom Cleaner Data'!E13)</f>
        <v>0.14671412840653833</v>
      </c>
      <c r="HA13" s="10">
        <f>'Bloom Cleaner Data'!V13/('Bloom Cleaner Data'!V13+'Bloom Cleaner Data'!F13)</f>
        <v>0.17069709980789682</v>
      </c>
      <c r="HB13" s="10">
        <f>'Bloom Cleaner Data'!W13/('Bloom Cleaner Data'!W13+'Bloom Cleaner Data'!G13)</f>
        <v>0.15079488008827724</v>
      </c>
      <c r="HC13" s="10">
        <f>'Bloom Cleaner Data'!X13/('Bloom Cleaner Data'!X13+'Bloom Cleaner Data'!H13)</f>
        <v>0.13452242021850896</v>
      </c>
      <c r="HD13" s="10">
        <f>'Bloom Cleaner Data'!Y13/('Bloom Cleaner Data'!Y13+'Bloom Cleaner Data'!I13)</f>
        <v>0.12628778051246048</v>
      </c>
      <c r="HE13" s="10">
        <f>'Bloom Cleaner Data'!Z13/('Bloom Cleaner Data'!Z13+'Bloom Cleaner Data'!J13)</f>
        <v>0.11892401114011662</v>
      </c>
      <c r="HF13" s="10">
        <f>'Bloom Cleaner Data'!AA13/('Bloom Cleaner Data'!AA13+'Bloom Cleaner Data'!K13)</f>
        <v>0.13600443173303658</v>
      </c>
      <c r="HG13" s="10">
        <f>'Bloom Cleaner Data'!AB13/('Bloom Cleaner Data'!AB13+'Bloom Cleaner Data'!L13)</f>
        <v>0.15132679043966596</v>
      </c>
      <c r="HH13" s="10">
        <f>'Bloom Cleaner Data'!AC13/('Bloom Cleaner Data'!AC13+'Bloom Cleaner Data'!M13)</f>
        <v>0.14910028834312619</v>
      </c>
      <c r="HI13" s="10">
        <f>'Bloom Cleaner Data'!AD13/('Bloom Cleaner Data'!AD13+'Bloom Cleaner Data'!N13)</f>
        <v>0.14723581620682993</v>
      </c>
      <c r="HJ13" s="10">
        <f>'Bloom Cleaner Data'!AE13/('Bloom Cleaner Data'!AE13+'Bloom Cleaner Data'!O13)</f>
        <v>0.13517135090295357</v>
      </c>
      <c r="HK13" s="10">
        <f>'Bloom Cleaner Data'!AF13/('Bloom Cleaner Data'!AF13+'Bloom Cleaner Data'!P13)</f>
        <v>0.12438452363220746</v>
      </c>
      <c r="HL13" s="10">
        <f>'Bloom Cleaner Data'!AG13/('Bloom Cleaner Data'!AG13+'Bloom Cleaner Data'!Q13)</f>
        <v>0.10972603734451315</v>
      </c>
      <c r="HM13" s="10">
        <f>'Bloom Cleaner Data'!AH13/('Bloom Cleaner Data'!AH13+'Bloom Cleaner Data'!R13)</f>
        <v>9.7905485588969735E-2</v>
      </c>
      <c r="HN13" s="15"/>
      <c r="HO13" s="10">
        <f t="shared" si="68"/>
        <v>0.13477545507373562</v>
      </c>
      <c r="HP13" s="10">
        <f t="shared" si="69"/>
        <v>-0.4264373226073967</v>
      </c>
      <c r="HQ13" s="10"/>
      <c r="HR13" s="479">
        <f t="shared" si="24"/>
        <v>0.14600621526193461</v>
      </c>
      <c r="HS13" s="480">
        <f t="shared" si="25"/>
        <v>0.1719401824063467</v>
      </c>
      <c r="HT13" s="480">
        <f t="shared" si="26"/>
        <v>0.20583203045395818</v>
      </c>
      <c r="HU13" s="480">
        <f t="shared" si="27"/>
        <v>0.17757179808801998</v>
      </c>
      <c r="HV13" s="480">
        <f t="shared" si="28"/>
        <v>0.15543143272697152</v>
      </c>
      <c r="HW13" s="480">
        <f t="shared" si="29"/>
        <v>0.14454162102314691</v>
      </c>
      <c r="HX13" s="480">
        <f t="shared" si="30"/>
        <v>0.13497588476336175</v>
      </c>
      <c r="HY13" s="480">
        <f t="shared" si="31"/>
        <v>0.15741334415156744</v>
      </c>
      <c r="HZ13" s="480">
        <f t="shared" si="32"/>
        <v>0.17830984734166727</v>
      </c>
      <c r="IA13" s="480">
        <f t="shared" si="33"/>
        <v>0.17522662929665092</v>
      </c>
      <c r="IB13" s="480">
        <f t="shared" si="34"/>
        <v>0.17265712960869448</v>
      </c>
      <c r="IC13" s="480">
        <f t="shared" si="35"/>
        <v>0.15629841939681782</v>
      </c>
      <c r="ID13" s="480">
        <f t="shared" si="36"/>
        <v>0.14205382041461442</v>
      </c>
      <c r="IE13" s="480">
        <f t="shared" si="37"/>
        <v>0.12324974327815348</v>
      </c>
      <c r="IF13" s="481">
        <f t="shared" si="38"/>
        <v>0.1085312946979745</v>
      </c>
      <c r="IG13" s="15"/>
      <c r="IH13" s="10">
        <f t="shared" si="70"/>
        <v>0.15631484578781529</v>
      </c>
      <c r="II13" s="10">
        <f t="shared" si="71"/>
        <v>-0.47271911733751532</v>
      </c>
      <c r="IJ13" s="10"/>
      <c r="IK13" s="18">
        <f>('Bloom Cleaner Data'!T13+'OPERATING LEASES'!AU13)/('Bloom Cleaner Data'!T13+'OPERATING LEASES'!AU13+'Bloom Cleaner Data'!D13)</f>
        <v>0.12941783528588477</v>
      </c>
      <c r="IL13" s="18">
        <f>('Bloom Cleaner Data'!U13+'OPERATING LEASES'!AV13)/('Bloom Cleaner Data'!U13+'OPERATING LEASES'!AV13+'Bloom Cleaner Data'!E13)</f>
        <v>0.14836250322021755</v>
      </c>
      <c r="IM13" s="18">
        <f>('Bloom Cleaner Data'!V13+'OPERATING LEASES'!AW13)/('Bloom Cleaner Data'!V13+'OPERATING LEASES'!AW13+'Bloom Cleaner Data'!F13)</f>
        <v>0.17191191489292371</v>
      </c>
      <c r="IN13" s="18">
        <f>('Bloom Cleaner Data'!W13+'OPERATING LEASES'!AX13)/('Bloom Cleaner Data'!W13+'OPERATING LEASES'!AX13+'Bloom Cleaner Data'!G13)</f>
        <v>0.15137838182597377</v>
      </c>
      <c r="IO13" s="18">
        <f>('Bloom Cleaner Data'!X13+'OPERATING LEASES'!AY13)/('Bloom Cleaner Data'!X13+'OPERATING LEASES'!AY13+'Bloom Cleaner Data'!H13)</f>
        <v>0.13456596409720589</v>
      </c>
      <c r="IP13" s="18">
        <f>('Bloom Cleaner Data'!Y13+'OPERATING LEASES'!AZ13)/('Bloom Cleaner Data'!Y13+'OPERATING LEASES'!AZ13+'Bloom Cleaner Data'!I13)</f>
        <v>0.13952791063486325</v>
      </c>
      <c r="IQ13" s="18">
        <f>('Bloom Cleaner Data'!Z13+'OPERATING LEASES'!BA13)/('Bloom Cleaner Data'!Z13+'OPERATING LEASES'!BA13+'Bloom Cleaner Data'!J13)</f>
        <v>0.14383983524363131</v>
      </c>
      <c r="IR13" s="18">
        <f>('Bloom Cleaner Data'!AA13+'OPERATING LEASES'!BB13)/('Bloom Cleaner Data'!AA13+'OPERATING LEASES'!BB13+'Bloom Cleaner Data'!K13)</f>
        <v>0.17024272073270599</v>
      </c>
      <c r="IS13" s="18">
        <f>('Bloom Cleaner Data'!AB13+'OPERATING LEASES'!BC13)/('Bloom Cleaner Data'!AB13+'OPERATING LEASES'!BC13+'Bloom Cleaner Data'!L13)</f>
        <v>0.19340865762048937</v>
      </c>
      <c r="IT13" s="18">
        <f>('Bloom Cleaner Data'!AC13+'OPERATING LEASES'!BD13)/('Bloom Cleaner Data'!AC13+'OPERATING LEASES'!BD13+'Bloom Cleaner Data'!M13)</f>
        <v>0.18878175927414945</v>
      </c>
      <c r="IU13" s="18">
        <f>('Bloom Cleaner Data'!AD13+'OPERATING LEASES'!BE13)/('Bloom Cleaner Data'!AD13+'OPERATING LEASES'!BE13+'Bloom Cleaner Data'!N13)</f>
        <v>0.18488503570511355</v>
      </c>
      <c r="IV13" s="18">
        <f>('Bloom Cleaner Data'!AE13+'OPERATING LEASES'!BF13)/('Bloom Cleaner Data'!AE13+'OPERATING LEASES'!BF13+'Bloom Cleaner Data'!O13)</f>
        <v>0.17224351757113707</v>
      </c>
      <c r="IW13" s="18">
        <f>('Bloom Cleaner Data'!AF13+'OPERATING LEASES'!BG13)/('Bloom Cleaner Data'!AF13+'OPERATING LEASES'!BG13+'Bloom Cleaner Data'!P13)</f>
        <v>0.16091197440640848</v>
      </c>
      <c r="IX13" s="18">
        <f>('Bloom Cleaner Data'!AG13+'OPERATING LEASES'!BH13)/('Bloom Cleaner Data'!AG13+'OPERATING LEASES'!BH13+'Bloom Cleaner Data'!Q13)</f>
        <v>0.14303347616444623</v>
      </c>
      <c r="IY13" s="18">
        <f>('Bloom Cleaner Data'!AH13+'OPERATING LEASES'!BI13)/('Bloom Cleaner Data'!AH13+'OPERATING LEASES'!BI13+'Bloom Cleaner Data'!R13)</f>
        <v>0.12849893093161849</v>
      </c>
      <c r="IZ13" s="15"/>
      <c r="JA13" s="10">
        <f t="shared" si="72"/>
        <v>0.16024846762312819</v>
      </c>
      <c r="JB13" s="10">
        <f t="shared" si="73"/>
        <v>-0.25253039609468159</v>
      </c>
      <c r="JC13" s="10">
        <f t="shared" si="39"/>
        <v>2.5473012549392576E-2</v>
      </c>
      <c r="JD13" s="10">
        <f t="shared" si="40"/>
        <v>0.18900335031669008</v>
      </c>
      <c r="JE13" s="7"/>
      <c r="JF13" s="485">
        <f t="shared" si="74"/>
        <v>0.14865665818961896</v>
      </c>
      <c r="JG13" s="452">
        <f t="shared" si="41"/>
        <v>0.17420851451610206</v>
      </c>
      <c r="JH13" s="452">
        <f t="shared" si="41"/>
        <v>0.20760100040649004</v>
      </c>
      <c r="JI13" s="452">
        <f t="shared" si="41"/>
        <v>0.17838148190437766</v>
      </c>
      <c r="JJ13" s="452">
        <f t="shared" si="41"/>
        <v>0.15548956767898645</v>
      </c>
      <c r="JK13" s="452">
        <f t="shared" si="41"/>
        <v>0.16215274424276571</v>
      </c>
      <c r="JL13" s="452">
        <f t="shared" si="41"/>
        <v>0.16800575542376789</v>
      </c>
      <c r="JM13" s="452">
        <f t="shared" si="41"/>
        <v>0.20517171103703546</v>
      </c>
      <c r="JN13" s="452">
        <f t="shared" si="41"/>
        <v>0.23978518917636529</v>
      </c>
      <c r="JO13" s="452">
        <f t="shared" si="41"/>
        <v>0.23271389842668469</v>
      </c>
      <c r="JP13" s="452">
        <f t="shared" si="41"/>
        <v>0.22682080909292099</v>
      </c>
      <c r="JQ13" s="452">
        <f t="shared" si="41"/>
        <v>0.20808477037319922</v>
      </c>
      <c r="JR13" s="452">
        <f t="shared" si="41"/>
        <v>0.19177007596142895</v>
      </c>
      <c r="JS13" s="452">
        <f t="shared" si="41"/>
        <v>0.16690672527587952</v>
      </c>
      <c r="JT13" s="486">
        <f t="shared" si="41"/>
        <v>0.14744552300891778</v>
      </c>
      <c r="JU13" s="15"/>
      <c r="JV13" s="10">
        <f t="shared" si="75"/>
        <v>0.19156378861606305</v>
      </c>
      <c r="JW13" s="10">
        <f t="shared" si="76"/>
        <v>-0.28976487242251109</v>
      </c>
      <c r="JX13" s="10">
        <f t="shared" si="77"/>
        <v>3.5248942828247753E-2</v>
      </c>
      <c r="JY13" s="10">
        <f t="shared" si="78"/>
        <v>0.22549964880556086</v>
      </c>
      <c r="JZ13" s="7"/>
      <c r="KA13" s="15">
        <f>'Bloom Cleaner Data'!T13/'Bloom Cleaner Data'!BU13*'Bloom Cleaner Data'!DA13</f>
        <v>1.016480459947269</v>
      </c>
      <c r="KB13" s="15">
        <f>'Bloom Cleaner Data'!U13/'Bloom Cleaner Data'!BV13*'Bloom Cleaner Data'!DB13</f>
        <v>0.96939737560277461</v>
      </c>
      <c r="KC13" s="15">
        <f>'Bloom Cleaner Data'!V13/'Bloom Cleaner Data'!BW13*'Bloom Cleaner Data'!DC13</f>
        <v>0.89384513609192107</v>
      </c>
      <c r="KD13" s="15">
        <f>'Bloom Cleaner Data'!W13/'Bloom Cleaner Data'!BX13*'Bloom Cleaner Data'!DD13</f>
        <v>0.88528200839896165</v>
      </c>
      <c r="KE13" s="15">
        <f>'Bloom Cleaner Data'!X13/'Bloom Cleaner Data'!BY13*'Bloom Cleaner Data'!DE13</f>
        <v>0.87508213587456352</v>
      </c>
      <c r="KF13" s="15">
        <f>'Bloom Cleaner Data'!Y13/'Bloom Cleaner Data'!BZ13*'Bloom Cleaner Data'!DF13</f>
        <v>0.89299333909347578</v>
      </c>
      <c r="KG13" s="15">
        <f>'Bloom Cleaner Data'!Z13/'Bloom Cleaner Data'!CA13*'Bloom Cleaner Data'!DG13</f>
        <v>0.90823472222442148</v>
      </c>
      <c r="KH13" s="15">
        <f>'Bloom Cleaner Data'!AA13/'Bloom Cleaner Data'!CB13*'Bloom Cleaner Data'!DH13</f>
        <v>1.0484244697718028</v>
      </c>
      <c r="KI13" s="15">
        <f>'Bloom Cleaner Data'!AB13/'Bloom Cleaner Data'!CC13*'Bloom Cleaner Data'!DI13</f>
        <v>1.1773872546877322</v>
      </c>
      <c r="KJ13" s="15">
        <f>'Bloom Cleaner Data'!AC13/'Bloom Cleaner Data'!CD13*'Bloom Cleaner Data'!DJ13</f>
        <v>1.2727147204945304</v>
      </c>
      <c r="KK13" s="15">
        <f>'Bloom Cleaner Data'!AD13/'Bloom Cleaner Data'!CE13*'Bloom Cleaner Data'!DK13</f>
        <v>1.3680415862857602</v>
      </c>
      <c r="KL13" s="15">
        <f>'Bloom Cleaner Data'!AE13/'Bloom Cleaner Data'!CF13*'Bloom Cleaner Data'!DL13</f>
        <v>1.262716691595031</v>
      </c>
      <c r="KM13" s="15">
        <f>'Bloom Cleaner Data'!AF13/'Bloom Cleaner Data'!CG13*'Bloom Cleaner Data'!DM13</f>
        <v>1.1681821305966029</v>
      </c>
      <c r="KN13" s="15">
        <f>'Bloom Cleaner Data'!AG13/'Bloom Cleaner Data'!CH13*'Bloom Cleaner Data'!DN13</f>
        <v>1.0305140249284643</v>
      </c>
      <c r="KO13" s="15">
        <f>'Bloom Cleaner Data'!AH13/'Bloom Cleaner Data'!CI13*'Bloom Cleaner Data'!DO13</f>
        <v>0.96227832934072755</v>
      </c>
      <c r="KP13" s="15"/>
      <c r="KQ13" s="15">
        <f t="shared" si="79"/>
        <v>1.0536581616219316</v>
      </c>
      <c r="KR13" s="15">
        <f t="shared" si="80"/>
        <v>1.1059227941152066</v>
      </c>
      <c r="KS13" s="15">
        <f t="shared" si="81"/>
        <v>1.0573612730295383</v>
      </c>
      <c r="KT13" s="18">
        <f t="shared" si="82"/>
        <v>7.6560458278053398E-2</v>
      </c>
      <c r="KU13" s="18"/>
      <c r="KV13" s="1694" t="s">
        <v>285</v>
      </c>
      <c r="KW13" s="506">
        <f>('Bloom Cleaner Data'!T13+'OPERATING LEASES'!AU13)/DK13</f>
        <v>1.0316616252605197</v>
      </c>
      <c r="KX13" s="506">
        <f>('Bloom Cleaner Data'!U13+'OPERATING LEASES'!AV13)/DL13</f>
        <v>0.98003453333356261</v>
      </c>
      <c r="KY13" s="506">
        <f>('Bloom Cleaner Data'!V13+'OPERATING LEASES'!AW13)/DM13</f>
        <v>0.90034175824771145</v>
      </c>
      <c r="KZ13" s="506">
        <f>('Bloom Cleaner Data'!W13+'OPERATING LEASES'!AX13)/DN13</f>
        <v>0.88870691668831781</v>
      </c>
      <c r="LA13" s="506">
        <f>('Bloom Cleaner Data'!X13+'OPERATING LEASES'!AY13)/DO13</f>
        <v>0.87536636081633512</v>
      </c>
      <c r="LB13" s="506">
        <f>('Bloom Cleaner Data'!Y13+'OPERATING LEASES'!AZ13)/DP13</f>
        <v>0.9856726829507314</v>
      </c>
      <c r="LC13" s="506">
        <f>('Bloom Cleaner Data'!Z13+'OPERATING LEASES'!BA13)/DQ13</f>
        <v>1.0939340226663481</v>
      </c>
      <c r="LD13" s="506">
        <f>('Bloom Cleaner Data'!AA13+'OPERATING LEASES'!BB13)/DR13</f>
        <v>1.304141904233985</v>
      </c>
      <c r="LE13" s="506">
        <f>('Bloom Cleaner Data'!AB13+'OPERATING LEASES'!BC13)/DS13</f>
        <v>1.4922400442931911</v>
      </c>
      <c r="LF13" s="506">
        <f>('Bloom Cleaner Data'!AC13+'OPERATING LEASES'!BD13)/DT13</f>
        <v>1.5904173415378409</v>
      </c>
      <c r="LG13" s="506">
        <f>('Bloom Cleaner Data'!AD13+'OPERATING LEASES'!BE13)/DU13</f>
        <v>1.6882712052555244</v>
      </c>
      <c r="LH13" s="506">
        <f>('Bloom Cleaner Data'!AE13+'OPERATING LEASES'!BF13)/DV13</f>
        <v>1.5816062321690518</v>
      </c>
      <c r="LI13" s="506">
        <f>('Bloom Cleaner Data'!AF13+'OPERATING LEASES'!BG13)/DW13</f>
        <v>1.4857004670633451</v>
      </c>
      <c r="LJ13" s="506">
        <f>('Bloom Cleaner Data'!AG13+'OPERATING LEASES'!BH13)/DX13</f>
        <v>1.3229345277777476</v>
      </c>
      <c r="LK13" s="506">
        <f>('Bloom Cleaner Data'!AH13+'OPERATING LEASES'!BI13)/DY13</f>
        <v>1.242834927692577</v>
      </c>
      <c r="LL13" s="15"/>
      <c r="LM13" s="15">
        <f t="shared" si="83"/>
        <v>1.35048997417789</v>
      </c>
      <c r="LN13" s="15">
        <f t="shared" si="84"/>
        <v>1.4082690386756804</v>
      </c>
      <c r="LO13" s="15">
        <f t="shared" si="85"/>
        <v>0.30234624456047388</v>
      </c>
      <c r="LP13" s="15">
        <f t="shared" si="86"/>
        <v>1.265551414722516</v>
      </c>
      <c r="LQ13" s="18">
        <f t="shared" si="87"/>
        <v>0.38040351489576829</v>
      </c>
      <c r="LR13" s="15">
        <f t="shared" si="88"/>
        <v>0.20819014169297767</v>
      </c>
      <c r="LS13" s="18"/>
      <c r="LT13" s="15">
        <f t="shared" si="89"/>
        <v>1.0316616252605197</v>
      </c>
      <c r="LU13" s="15">
        <f t="shared" si="90"/>
        <v>0.98003453333356261</v>
      </c>
      <c r="LV13" s="15">
        <f t="shared" si="91"/>
        <v>0.90034175824771145</v>
      </c>
      <c r="LW13" s="15">
        <f t="shared" si="92"/>
        <v>0.88870691668831781</v>
      </c>
      <c r="LX13" s="15">
        <f t="shared" si="93"/>
        <v>0.87536636081633512</v>
      </c>
      <c r="LY13" s="15">
        <f t="shared" si="94"/>
        <v>0.9856726829507314</v>
      </c>
      <c r="LZ13" s="15">
        <f t="shared" si="95"/>
        <v>1.0939340226663481</v>
      </c>
      <c r="MA13" s="15">
        <f t="shared" si="96"/>
        <v>1.304141904233985</v>
      </c>
      <c r="MB13" s="15">
        <f t="shared" si="97"/>
        <v>1.4922400442931911</v>
      </c>
      <c r="MC13" s="15">
        <f t="shared" si="98"/>
        <v>1.5904173415378409</v>
      </c>
      <c r="MD13" s="15">
        <f t="shared" si="99"/>
        <v>1.6882712052555244</v>
      </c>
      <c r="ME13" s="15">
        <f t="shared" si="100"/>
        <v>1.5816062321690518</v>
      </c>
      <c r="MF13" s="15">
        <f t="shared" si="101"/>
        <v>1.4857004670633451</v>
      </c>
      <c r="MG13" s="15">
        <f t="shared" si="102"/>
        <v>1.3229345277777476</v>
      </c>
      <c r="MH13" s="15">
        <f t="shared" si="103"/>
        <v>1.242834927692577</v>
      </c>
      <c r="MI13" s="15"/>
      <c r="MJ13" s="15">
        <f t="shared" si="104"/>
        <v>1.35048997417789</v>
      </c>
      <c r="MK13" s="15">
        <f t="shared" si="105"/>
        <v>1.4082690386756804</v>
      </c>
      <c r="ML13" s="506">
        <f t="shared" si="106"/>
        <v>1.265551414722516</v>
      </c>
      <c r="MM13" s="10">
        <f t="shared" si="107"/>
        <v>0.38040351489576829</v>
      </c>
      <c r="MN13" s="18"/>
      <c r="MO13" s="15">
        <f>('Bloom Cleaner Data'!T13+'Bloom Cleaner Data'!EY13)/'Bloom Cleaner Data'!GV13</f>
        <v>1.0310593334322249</v>
      </c>
      <c r="MP13" s="15">
        <f>('Bloom Cleaner Data'!U13+'Bloom Cleaner Data'!EZ13)/'Bloom Cleaner Data'!GW13</f>
        <v>1.2600684541882516</v>
      </c>
      <c r="MQ13" s="15">
        <f>('Bloom Cleaner Data'!V13+'Bloom Cleaner Data'!FA13)/'Bloom Cleaner Data'!GX13</f>
        <v>1.3984323784593184</v>
      </c>
      <c r="MR13" s="15">
        <f>('Bloom Cleaner Data'!W13+'Bloom Cleaner Data'!FB13)/'Bloom Cleaner Data'!GY13</f>
        <v>1.1884217934803276</v>
      </c>
      <c r="MS13" s="15">
        <f>('Bloom Cleaner Data'!X13+'Bloom Cleaner Data'!FC13)/'Bloom Cleaner Data'!GZ13</f>
        <v>0.97309534524164631</v>
      </c>
      <c r="MT13" s="15">
        <f>('Bloom Cleaner Data'!Y13+'Bloom Cleaner Data'!FD13)/'Bloom Cleaner Data'!HA13</f>
        <v>0.94751589858305896</v>
      </c>
      <c r="MU13" s="15">
        <f>('Bloom Cleaner Data'!Z13+'Bloom Cleaner Data'!FE13)/'Bloom Cleaner Data'!HB13</f>
        <v>0.91688080506386038</v>
      </c>
      <c r="MV13" s="15">
        <f>('Bloom Cleaner Data'!AA13+'Bloom Cleaner Data'!FF13)/'Bloom Cleaner Data'!HC13</f>
        <v>1.1038349609705798</v>
      </c>
      <c r="MW13" s="15">
        <f>('Bloom Cleaner Data'!AB13+'Bloom Cleaner Data'!FG13)/'Bloom Cleaner Data'!HD13</f>
        <v>1.2755805890054153</v>
      </c>
      <c r="MX13" s="15">
        <f>('Bloom Cleaner Data'!AC13+'Bloom Cleaner Data'!FH13)/'Bloom Cleaner Data'!HE13</f>
        <v>1.3270731428572444</v>
      </c>
      <c r="MY13" s="15">
        <f>('Bloom Cleaner Data'!AD13+'Bloom Cleaner Data'!FI13)/'Bloom Cleaner Data'!HF13</f>
        <v>1.378563404162648</v>
      </c>
      <c r="MZ13" s="15">
        <f>('Bloom Cleaner Data'!AE13+'Bloom Cleaner Data'!FJ13)/'Bloom Cleaner Data'!HG13</f>
        <v>1.4891463655560138</v>
      </c>
      <c r="NA13" s="15">
        <f>('Bloom Cleaner Data'!AF13+'Bloom Cleaner Data'!FK13)/'Bloom Cleaner Data'!HH13</f>
        <v>1.5898534981231247</v>
      </c>
      <c r="NB13" s="15">
        <f>('Bloom Cleaner Data'!AG13+'Bloom Cleaner Data'!FL13)/'Bloom Cleaner Data'!HI13</f>
        <v>1.2445528807680966</v>
      </c>
      <c r="NC13" s="15">
        <f>('Bloom Cleaner Data'!AH13+'Bloom Cleaner Data'!FM13)/'Bloom Cleaner Data'!HJ13</f>
        <v>1.0110513278644693</v>
      </c>
      <c r="ND13" s="15"/>
      <c r="NE13" s="15">
        <f t="shared" si="43"/>
        <v>4.8772998523741729E-2</v>
      </c>
      <c r="NF13" s="15">
        <f t="shared" si="108"/>
        <v>1.28181923558523</v>
      </c>
      <c r="NG13" s="15">
        <f t="shared" si="44"/>
        <v>0.22816107396329843</v>
      </c>
      <c r="NH13" s="15">
        <f t="shared" si="109"/>
        <v>1.333651018077926</v>
      </c>
      <c r="NI13" s="15">
        <f t="shared" si="110"/>
        <v>1.2187694146258312</v>
      </c>
      <c r="NJ13" s="18">
        <f t="shared" si="111"/>
        <v>-0.27701092778017256</v>
      </c>
      <c r="NK13" s="15">
        <f t="shared" si="45"/>
        <v>0.16140814159629291</v>
      </c>
      <c r="NL13" s="2818"/>
      <c r="NM13" s="1694" t="s">
        <v>285</v>
      </c>
      <c r="NN13" s="15">
        <f>KW13+'Bloom Cleaner Data'!EY13/CALCULATIONS!DK13</f>
        <v>1.04619442158067</v>
      </c>
      <c r="NO13" s="15">
        <f>KX13+'Bloom Cleaner Data'!EZ13/CALCULATIONS!DL13</f>
        <v>1.2700688372321931</v>
      </c>
      <c r="NP13" s="15">
        <f>KY13+'Bloom Cleaner Data'!FA13/CALCULATIONS!DM13</f>
        <v>1.4042655860695601</v>
      </c>
      <c r="NQ13" s="15">
        <f>KZ13+'Bloom Cleaner Data'!FB13/CALCULATIONS!DN13</f>
        <v>1.1916381725697907</v>
      </c>
      <c r="NR13" s="15">
        <f>LA13+'Bloom Cleaner Data'!FC13/CALCULATIONS!DO13</f>
        <v>0.97337474727525575</v>
      </c>
      <c r="NS13" s="15">
        <f>LB13+'Bloom Cleaner Data'!FD13/CALCULATIONS!DP13</f>
        <v>1.0393176958664498</v>
      </c>
      <c r="NT13" s="15">
        <f>LC13+'Bloom Cleaner Data'!FE13/CALCULATIONS!DQ13</f>
        <v>1.1023005347749153</v>
      </c>
      <c r="NU13" s="15">
        <f>LD13+'Bloom Cleaner Data'!FF13/CALCULATIONS!DR13</f>
        <v>1.3570234043172305</v>
      </c>
      <c r="NV13" s="15">
        <f>LE13+'Bloom Cleaner Data'!FG13/CALCULATIONS!DS13</f>
        <v>1.5847853386339634</v>
      </c>
      <c r="NW13" s="15">
        <f>LF13+'Bloom Cleaner Data'!FH13/CALCULATIONS!DT13</f>
        <v>1.6415648713702955</v>
      </c>
      <c r="NX13" s="15">
        <f>LG13+'Bloom Cleaner Data'!FI13/CALCULATIONS!DU13</f>
        <v>1.6981552639439561</v>
      </c>
      <c r="NY13" s="15">
        <f>LH13+'Bloom Cleaner Data'!FJ13/CALCULATIONS!DV13</f>
        <v>1.7946358940388176</v>
      </c>
      <c r="NZ13" s="15">
        <f>LI13+'Bloom Cleaner Data'!FK13/CALCULATIONS!DW13</f>
        <v>1.8829531980701022</v>
      </c>
      <c r="OA13" s="15">
        <f>LJ13+'Bloom Cleaner Data'!FL13/CALCULATIONS!DX13</f>
        <v>1.5258378941331214</v>
      </c>
      <c r="OB13" s="15">
        <f>LK13+'Bloom Cleaner Data'!FM13/CALCULATIONS!DY13</f>
        <v>1.2892026320099024</v>
      </c>
      <c r="OC13" s="15"/>
      <c r="OD13" s="15">
        <f t="shared" si="46"/>
        <v>4.6367704317325398E-2</v>
      </c>
      <c r="OE13" s="15">
        <f t="shared" si="112"/>
        <v>1.565997908071042</v>
      </c>
      <c r="OF13" s="15">
        <f t="shared" si="47"/>
        <v>0.21550793389315204</v>
      </c>
      <c r="OG13" s="15">
        <f t="shared" si="113"/>
        <v>1.623157404562986</v>
      </c>
      <c r="OH13" s="15">
        <f t="shared" si="114"/>
        <v>1.4219273256210281</v>
      </c>
      <c r="OI13" s="18">
        <f t="shared" si="115"/>
        <v>-8.1938171241318233E-2</v>
      </c>
      <c r="OJ13" s="15">
        <f t="shared" si="48"/>
        <v>0.1563759108985121</v>
      </c>
      <c r="OK13" s="15"/>
      <c r="OL13" s="13">
        <f>'Bloom Cleaner Data'!GF13+('Bloom Cleaner Data'!T13+'Bloom Cleaner Data'!EY13)+'Bloom Cleaner Data'!CK13</f>
        <v>1439.3599999999997</v>
      </c>
      <c r="OM13" s="13">
        <f>'Bloom Cleaner Data'!GG13+('Bloom Cleaner Data'!U13+'Bloom Cleaner Data'!EZ13)+'Bloom Cleaner Data'!CL13</f>
        <v>1741.7550000000001</v>
      </c>
      <c r="ON13" s="13">
        <f>'Bloom Cleaner Data'!GH13+('Bloom Cleaner Data'!V13+'Bloom Cleaner Data'!FA13)+'Bloom Cleaner Data'!CM13</f>
        <v>2044.1499999999996</v>
      </c>
      <c r="OO13" s="13">
        <f>'Bloom Cleaner Data'!GI13+('Bloom Cleaner Data'!W13+'Bloom Cleaner Data'!FB13)+'Bloom Cleaner Data'!CN13</f>
        <v>1945.8509999999994</v>
      </c>
      <c r="OP13" s="13">
        <f>'Bloom Cleaner Data'!GJ13+('Bloom Cleaner Data'!X13+'Bloom Cleaner Data'!FC13)+'Bloom Cleaner Data'!CO13</f>
        <v>1847.5520000000001</v>
      </c>
      <c r="OQ13" s="13">
        <f>'Bloom Cleaner Data'!GK13+('Bloom Cleaner Data'!Y13+'Bloom Cleaner Data'!FD13)+'Bloom Cleaner Data'!CP13</f>
        <v>1875.8925000000002</v>
      </c>
      <c r="OR13" s="13">
        <f>'Bloom Cleaner Data'!GL13+('Bloom Cleaner Data'!Z13+'Bloom Cleaner Data'!FE13)+'Bloom Cleaner Data'!CQ13</f>
        <v>1904.2330000000002</v>
      </c>
      <c r="OS13" s="13">
        <f>'Bloom Cleaner Data'!GM13+('Bloom Cleaner Data'!AA13+'Bloom Cleaner Data'!FF13)+'Bloom Cleaner Data'!CR13</f>
        <v>2240.0115000000005</v>
      </c>
      <c r="OT13" s="13">
        <f>'Bloom Cleaner Data'!GN13+('Bloom Cleaner Data'!AB13+'Bloom Cleaner Data'!FG13)+'Bloom Cleaner Data'!CS13</f>
        <v>2575.7899999999991</v>
      </c>
      <c r="OU13" s="13">
        <f>'Bloom Cleaner Data'!GO13+('Bloom Cleaner Data'!AC13+'Bloom Cleaner Data'!FH13)+'Bloom Cleaner Data'!CT13</f>
        <v>2650.3564999999999</v>
      </c>
      <c r="OV13" s="13">
        <f>'Bloom Cleaner Data'!GP13+('Bloom Cleaner Data'!AD13+'Bloom Cleaner Data'!FI13)+'Bloom Cleaner Data'!CU13</f>
        <v>2724.9229999999998</v>
      </c>
      <c r="OW13" s="13">
        <f>'Bloom Cleaner Data'!GQ13+('Bloom Cleaner Data'!AE13+'Bloom Cleaner Data'!FJ13)+'Bloom Cleaner Data'!CV13</f>
        <v>2950.0114999999996</v>
      </c>
      <c r="OX13" s="13">
        <f>'Bloom Cleaner Data'!GR13+('Bloom Cleaner Data'!AF13+'Bloom Cleaner Data'!FK13)+'Bloom Cleaner Data'!CW13</f>
        <v>3175.1</v>
      </c>
      <c r="OY13" s="13">
        <f>'Bloom Cleaner Data'!GS13+('Bloom Cleaner Data'!AG13+'Bloom Cleaner Data'!FL13)+'Bloom Cleaner Data'!CX13</f>
        <v>3070.2869999999998</v>
      </c>
      <c r="OZ13" s="13">
        <f>'Bloom Cleaner Data'!GT13+('Bloom Cleaner Data'!AH13+'Bloom Cleaner Data'!FM13)+'Bloom Cleaner Data'!CY13</f>
        <v>2965.4740000000002</v>
      </c>
      <c r="PA13" s="166"/>
      <c r="PB13" s="1694" t="s">
        <v>285</v>
      </c>
      <c r="PC13" s="947">
        <f>('Bloom Cleaner Data'!T13+'Bloom Cleaner Data'!EY13+'OPERATING LEASES'!BL13)/CALCULATIONS!OL13</f>
        <v>0.46999142476021094</v>
      </c>
      <c r="PD13" s="947">
        <f>('Bloom Cleaner Data'!U13+'Bloom Cleaner Data'!EZ13+'OPERATING LEASES'!BM13)/CALCULATIONS!OM13</f>
        <v>0.51662094359260791</v>
      </c>
      <c r="PE13" s="947">
        <f>('Bloom Cleaner Data'!V13+'Bloom Cleaner Data'!FA13+'OPERATING LEASES'!BN13)/CALCULATIONS!ON13</f>
        <v>0.54945447548928827</v>
      </c>
      <c r="PF13" s="947">
        <f>('Bloom Cleaner Data'!W13+'Bloom Cleaner Data'!FB13+'OPERATING LEASES'!BO13)/CALCULATIONS!OO13</f>
        <v>0.48614905279783222</v>
      </c>
      <c r="PG13" s="947">
        <f>('Bloom Cleaner Data'!X13+'Bloom Cleaner Data'!FC13+'OPERATING LEASES'!BP13)/CALCULATIONS!OP13</f>
        <v>0.41610730036285848</v>
      </c>
      <c r="PH13" s="947">
        <f>('Bloom Cleaner Data'!Y13+'Bloom Cleaner Data'!FD13+'OPERATING LEASES'!BQ13)/CALCULATIONS!OQ13</f>
        <v>0.39550728853065936</v>
      </c>
      <c r="PI13" s="947">
        <f>('Bloom Cleaner Data'!Z13+'Bloom Cleaner Data'!FE13+'OPERATING LEASES'!BR13)/CALCULATIONS!OR13</f>
        <v>0.37552045232910042</v>
      </c>
      <c r="PJ13" s="947">
        <f>('Bloom Cleaner Data'!AA13+'Bloom Cleaner Data'!FF13+'OPERATING LEASES'!BS13)/CALCULATIONS!OS13</f>
        <v>0.40526520455363724</v>
      </c>
      <c r="PK13" s="947">
        <f>('Bloom Cleaner Data'!AB13+'Bloom Cleaner Data'!FG13+'OPERATING LEASES'!BT13)/CALCULATIONS!OT13</f>
        <v>0.427254939261353</v>
      </c>
      <c r="PL13" s="947">
        <f>('Bloom Cleaner Data'!AC13+'Bloom Cleaner Data'!FH13+'OPERATING LEASES'!BU13)/CALCULATIONS!OU13</f>
        <v>0.43176568887996769</v>
      </c>
      <c r="PM13" s="947">
        <f>('Bloom Cleaner Data'!AD13+'Bloom Cleaner Data'!FI13+'OPERATING LEASES'!BV13)/CALCULATIONS!OV13</f>
        <v>0.43602956854193681</v>
      </c>
      <c r="PN13" s="947">
        <f>('Bloom Cleaner Data'!AE13+'Bloom Cleaner Data'!FJ13+'OPERATING LEASES'!BW13)/CALCULATIONS!OW13</f>
        <v>0.45636330570236761</v>
      </c>
      <c r="PO13" s="947">
        <f>('Bloom Cleaner Data'!AF13+'Bloom Cleaner Data'!FK13+'OPERATING LEASES'!BX13)/CALCULATIONS!OX13</f>
        <v>0.47381405310068975</v>
      </c>
      <c r="PP13" s="947">
        <f>('Bloom Cleaner Data'!AG13+'Bloom Cleaner Data'!FL13+'OPERATING LEASES'!BY13)/CALCULATIONS!OY13</f>
        <v>0.43186011600869884</v>
      </c>
      <c r="PQ13" s="947">
        <f>('Bloom Cleaner Data'!AH13+'Bloom Cleaner Data'!FM13+'OPERATING LEASES'!BZ13)/CALCULATIONS!OZ13</f>
        <v>0.38694050259756113</v>
      </c>
      <c r="PR13" s="947"/>
      <c r="PS13" s="18">
        <f t="shared" si="116"/>
        <v>0.4308715572356499</v>
      </c>
      <c r="PT13" s="18">
        <f t="shared" si="117"/>
        <v>0.43724449435232932</v>
      </c>
      <c r="PU13" s="18">
        <f t="shared" si="118"/>
        <v>0.43631014985815014</v>
      </c>
      <c r="PV13" s="10">
        <f t="shared" si="119"/>
        <v>-0.29577331724709083</v>
      </c>
      <c r="PW13" s="10"/>
      <c r="PX13" s="506">
        <f>'Bloom Cleaner Data'!D13/'Bloom Cleaner Data'!GF13</f>
        <v>5.9572195549508775</v>
      </c>
      <c r="PY13" s="506">
        <f>'Bloom Cleaner Data'!E13/'Bloom Cleaner Data'!GG13</f>
        <v>4.7683470175748726</v>
      </c>
      <c r="PZ13" s="506">
        <f>'Bloom Cleaner Data'!F13/'Bloom Cleaner Data'!GH13</f>
        <v>3.78198239754968</v>
      </c>
      <c r="QA13" s="506">
        <f>'Bloom Cleaner Data'!G13/'Bloom Cleaner Data'!GI13</f>
        <v>3.9667272094446733</v>
      </c>
      <c r="QB13" s="506">
        <f>'Bloom Cleaner Data'!H13/'Bloom Cleaner Data'!GJ13</f>
        <v>4.1245759450414017</v>
      </c>
      <c r="QC13" s="506">
        <f>'Bloom Cleaner Data'!I13/'Bloom Cleaner Data'!GK13</f>
        <v>4.1490500964517452</v>
      </c>
      <c r="QD13" s="506">
        <f>'Bloom Cleaner Data'!J13/'Bloom Cleaner Data'!GL13</f>
        <v>4.1707893499088549</v>
      </c>
      <c r="QE13" s="506">
        <f>'Bloom Cleaner Data'!K13/'Bloom Cleaner Data'!GM13</f>
        <v>3.8339261041654495</v>
      </c>
      <c r="QF13" s="506">
        <f>'Bloom Cleaner Data'!L13/'Bloom Cleaner Data'!GN13</f>
        <v>3.5657120220683001</v>
      </c>
      <c r="QG13" s="506">
        <f>'Bloom Cleaner Data'!M13/'Bloom Cleaner Data'!GO13</f>
        <v>3.8400778649865051</v>
      </c>
      <c r="QH13" s="506">
        <f>'Bloom Cleaner Data'!N13/'Bloom Cleaner Data'!GP13</f>
        <v>4.103195733570832</v>
      </c>
      <c r="QI13" s="506">
        <f>'Bloom Cleaner Data'!O13/'Bloom Cleaner Data'!GQ13</f>
        <v>4.2258898134652592</v>
      </c>
      <c r="QJ13" s="506">
        <f>'Bloom Cleaner Data'!P13/'Bloom Cleaner Data'!GR13</f>
        <v>4.3388638281385283</v>
      </c>
      <c r="QK13" s="506">
        <f>'Bloom Cleaner Data'!Q13/'Bloom Cleaner Data'!GS13</f>
        <v>4.7389082958865494</v>
      </c>
      <c r="QL13" s="506">
        <f>'Bloom Cleaner Data'!R13/'Bloom Cleaner Data'!GT13</f>
        <v>5.1075046454025781</v>
      </c>
      <c r="QM13" s="506"/>
      <c r="QN13" s="506">
        <f t="shared" si="120"/>
        <v>4.1497848696984878</v>
      </c>
      <c r="QO13" s="10">
        <f t="shared" si="121"/>
        <v>0.35048345246442569</v>
      </c>
      <c r="QP13" s="506">
        <f t="shared" si="122"/>
        <v>4.4965928375497768</v>
      </c>
      <c r="QQ13" s="18"/>
      <c r="QR13" s="506">
        <f>'Bloom Cleaner Data'!GF13/CALCULATIONS!DK13</f>
        <v>1.1649554147531438</v>
      </c>
      <c r="QS13" s="506">
        <f>'Bloom Cleaner Data'!GG13/CALCULATIONS!DL13</f>
        <v>1.1797884708890778</v>
      </c>
      <c r="QT13" s="506">
        <f>'Bloom Cleaner Data'!GH13/CALCULATIONS!DM13</f>
        <v>1.146722801690935</v>
      </c>
      <c r="QU13" s="506">
        <f>'Bloom Cleaner Data'!GI13/CALCULATIONS!DN13</f>
        <v>1.2559618779697679</v>
      </c>
      <c r="QV13" s="506">
        <f>'Bloom Cleaner Data'!GJ13/CALCULATIONS!DO13</f>
        <v>1.3649265846019116</v>
      </c>
      <c r="QW13" s="506">
        <f>'Bloom Cleaner Data'!GK13/CALCULATIONS!DP13</f>
        <v>1.4650745998998318</v>
      </c>
      <c r="QX13" s="506">
        <f>'Bloom Cleaner Data'!GL13/CALCULATIONS!DQ13</f>
        <v>1.5611646685042213</v>
      </c>
      <c r="QY13" s="506">
        <f>'Bloom Cleaner Data'!GM13/CALCULATIONS!DR13</f>
        <v>1.6579202324765141</v>
      </c>
      <c r="QZ13" s="506">
        <f>'Bloom Cleaner Data'!GN13/CALCULATIONS!DS13</f>
        <v>1.7452999261902631</v>
      </c>
      <c r="RA13" s="506">
        <f>'Bloom Cleaner Data'!GO13/CALCULATIONS!DT13</f>
        <v>1.7797079906807978</v>
      </c>
      <c r="RB13" s="506">
        <f>'Bloom Cleaner Data'!GP13/CALCULATIONS!DU13</f>
        <v>1.813999168047594</v>
      </c>
      <c r="RC13" s="506">
        <f>'Bloom Cleaner Data'!GQ13/CALCULATIONS!DV13</f>
        <v>1.7986220075385706</v>
      </c>
      <c r="RD13" s="506">
        <f>'Bloom Cleaner Data'!GR13/CALCULATIONS!DW13</f>
        <v>1.7855597982596922</v>
      </c>
      <c r="RE13" s="506">
        <f>'Bloom Cleaner Data'!GS13/CALCULATIONS!DX13</f>
        <v>1.6725773469181564</v>
      </c>
      <c r="RF13" s="506">
        <f>'Bloom Cleaner Data'!GT13/CALCULATIONS!DY13</f>
        <v>1.650338720335786</v>
      </c>
      <c r="RG13" s="506"/>
      <c r="RH13" s="506">
        <f t="shared" si="123"/>
        <v>1.5921442863933879</v>
      </c>
      <c r="RI13" s="506">
        <f t="shared" si="124"/>
        <v>1.7183544287723995</v>
      </c>
      <c r="RJ13" s="18"/>
      <c r="RK13" s="506">
        <f>'Bloom Cleaner Data'!GF13/($RK$1*DK13+(1-$RK$1)*'Bloom Cleaner Data'!GV13)</f>
        <v>1.1649554147531438</v>
      </c>
      <c r="RL13" s="506">
        <f>'Bloom Cleaner Data'!GG13/($RK$1*DL13+(1-$RK$1)*'Bloom Cleaner Data'!GW13)</f>
        <v>1.1797884708890778</v>
      </c>
      <c r="RM13" s="506">
        <f>'Bloom Cleaner Data'!GH13/($RK$1*DM13+(1-$RK$1)*'Bloom Cleaner Data'!GX13)</f>
        <v>1.146722801690935</v>
      </c>
      <c r="RN13" s="506">
        <f>'Bloom Cleaner Data'!GI13/($RK$1*DN13+(1-$RK$1)*'Bloom Cleaner Data'!GY13)</f>
        <v>1.2559618779697679</v>
      </c>
      <c r="RO13" s="506">
        <f>'Bloom Cleaner Data'!GJ13/($RK$1*DO13+(1-$RK$1)*'Bloom Cleaner Data'!GZ13)</f>
        <v>1.3649265846019116</v>
      </c>
      <c r="RP13" s="506">
        <f>'Bloom Cleaner Data'!GK13/($RK$1*DP13+(1-$RK$1)*'Bloom Cleaner Data'!HA13)</f>
        <v>1.4650745998998318</v>
      </c>
      <c r="RQ13" s="506">
        <f>'Bloom Cleaner Data'!GL13/($RK$1*DQ13+(1-$RK$1)*'Bloom Cleaner Data'!HB13)</f>
        <v>1.5611646685042213</v>
      </c>
      <c r="RR13" s="506">
        <f>'Bloom Cleaner Data'!GM13/($RK$1*DR13+(1-$RK$1)*'Bloom Cleaner Data'!HC13)</f>
        <v>1.6579202324765141</v>
      </c>
      <c r="RS13" s="506">
        <f>'Bloom Cleaner Data'!GN13/($RK$1*DS13+(1-$RK$1)*'Bloom Cleaner Data'!HD13)</f>
        <v>1.7452999261902631</v>
      </c>
      <c r="RT13" s="506">
        <f>'Bloom Cleaner Data'!GO13/($RK$1*DT13+(1-$RK$1)*'Bloom Cleaner Data'!HE13)</f>
        <v>1.7797079906807978</v>
      </c>
      <c r="RU13" s="506">
        <f>'Bloom Cleaner Data'!GP13/($RK$1*DU13+(1-$RK$1)*'Bloom Cleaner Data'!HF13)</f>
        <v>1.813999168047594</v>
      </c>
      <c r="RV13" s="506">
        <f>'Bloom Cleaner Data'!GQ13/($RK$1*DV13+(1-$RK$1)*'Bloom Cleaner Data'!HG13)</f>
        <v>1.7986220075385706</v>
      </c>
      <c r="RW13" s="506">
        <f>'Bloom Cleaner Data'!GR13/($RK$1*DW13+(1-$RK$1)*'Bloom Cleaner Data'!HH13)</f>
        <v>1.7855597982596922</v>
      </c>
      <c r="RX13" s="506">
        <f>'Bloom Cleaner Data'!GS13/($RK$1*DX13+(1-$RK$1)*'Bloom Cleaner Data'!HI13)</f>
        <v>1.6725773469181564</v>
      </c>
      <c r="RY13" s="506">
        <f>'Bloom Cleaner Data'!GT13/($RK$1*DY13+(1-$RK$1)*'Bloom Cleaner Data'!HJ13)</f>
        <v>1.650338720335786</v>
      </c>
      <c r="RZ13" s="506"/>
      <c r="SA13" s="506">
        <f t="shared" si="125"/>
        <v>1.5921442863933879</v>
      </c>
      <c r="SB13" s="506">
        <f t="shared" si="126"/>
        <v>1.7183544287723995</v>
      </c>
      <c r="SC13" s="18"/>
      <c r="SD13" s="15">
        <f>'Bloom Cleaner Data'!HM13</f>
        <v>8.2020999999999997</v>
      </c>
      <c r="SE13" s="15">
        <f>'Bloom Cleaner Data'!HN13</f>
        <v>9.5455499999999986</v>
      </c>
      <c r="SF13" s="15">
        <f>'Bloom Cleaner Data'!HO13</f>
        <v>10.888999999999999</v>
      </c>
      <c r="SG13" s="15">
        <f>'Bloom Cleaner Data'!HP13</f>
        <v>10.1669</v>
      </c>
      <c r="SH13" s="15">
        <f>'Bloom Cleaner Data'!HQ13</f>
        <v>9.4448000000000008</v>
      </c>
      <c r="SI13" s="15">
        <f>'Bloom Cleaner Data'!HR13</f>
        <v>8.9955500000000015</v>
      </c>
      <c r="SJ13" s="15">
        <f>'Bloom Cleaner Data'!HS13</f>
        <v>8.5463000000000005</v>
      </c>
      <c r="SK13" s="15">
        <f>'Bloom Cleaner Data'!HT13</f>
        <v>7.9739500000000003</v>
      </c>
      <c r="SL13" s="15">
        <f>'Bloom Cleaner Data'!HU13</f>
        <v>7.4016000000000002</v>
      </c>
      <c r="SM13" s="15">
        <f>'Bloom Cleaner Data'!HV13</f>
        <v>7.2644500000000001</v>
      </c>
      <c r="SN13" s="15">
        <f>'Bloom Cleaner Data'!HW13</f>
        <v>7.1273</v>
      </c>
      <c r="SO13" s="15">
        <f>'Bloom Cleaner Data'!HX13</f>
        <v>6.4127999999999998</v>
      </c>
      <c r="SP13" s="15">
        <f>'Bloom Cleaner Data'!HY13</f>
        <v>5.6982999999999997</v>
      </c>
      <c r="SQ13" s="15">
        <f>'Bloom Cleaner Data'!HZ13</f>
        <v>6.4618500000000001</v>
      </c>
      <c r="SR13" s="15">
        <f>'Bloom Cleaner Data'!IA13</f>
        <v>7.2253999999999996</v>
      </c>
      <c r="SS13" s="15"/>
      <c r="ST13" s="15">
        <f t="shared" si="127"/>
        <v>8.0903900000000011</v>
      </c>
      <c r="SU13" s="487">
        <f t="shared" si="128"/>
        <v>-0.33644962806501977</v>
      </c>
      <c r="SV13" s="15">
        <f t="shared" si="129"/>
        <v>-3.6635999999999997</v>
      </c>
    </row>
    <row r="14" spans="1:518">
      <c r="A14" s="11" t="s">
        <v>19</v>
      </c>
      <c r="B14" s="72"/>
      <c r="C14" s="83" t="s">
        <v>286</v>
      </c>
      <c r="D14" s="1133" t="s">
        <v>1042</v>
      </c>
      <c r="E14" s="224"/>
      <c r="F14" s="224"/>
      <c r="G14" s="13">
        <f>'Bloom Cleaner Data'!D14</f>
        <v>46131.404699999999</v>
      </c>
      <c r="H14" s="13">
        <f>'Bloom Cleaner Data'!F14</f>
        <v>37808.283300000003</v>
      </c>
      <c r="I14" s="13">
        <f>'Bloom Cleaner Data'!H14</f>
        <v>41308.878100000002</v>
      </c>
      <c r="J14" s="13">
        <f>'Bloom Cleaner Data'!J14</f>
        <v>38824.5723</v>
      </c>
      <c r="K14" s="13">
        <f>'Bloom Cleaner Data'!L14</f>
        <v>31956.665000000001</v>
      </c>
      <c r="L14" s="13">
        <f>'Bloom Cleaner Data'!N14</f>
        <v>27291.271499999999</v>
      </c>
      <c r="M14" s="13">
        <f>'Bloom Cleaner Data'!P14</f>
        <v>21909.9231</v>
      </c>
      <c r="N14" s="13">
        <f>'Bloom Cleaner Data'!R14</f>
        <v>19124.593099999998</v>
      </c>
      <c r="O14" s="13"/>
      <c r="P14" s="13">
        <f t="shared" si="0"/>
        <v>31174.883771428573</v>
      </c>
      <c r="Q14" s="13">
        <f t="shared" si="49"/>
        <v>22775.262566666668</v>
      </c>
      <c r="R14" s="10">
        <f t="shared" si="1"/>
        <v>-0.49416922878378883</v>
      </c>
      <c r="S14" s="144">
        <f t="shared" si="130"/>
        <v>-0.49416922878378883</v>
      </c>
      <c r="T14" s="10">
        <f t="shared" si="2"/>
        <v>-0.3923936498781499</v>
      </c>
      <c r="U14" s="10"/>
      <c r="V14" s="1277" t="s">
        <v>286</v>
      </c>
      <c r="W14" s="1238">
        <f>'Bloom Cleaner Data'!D14/'Bloom Cleaner Data'!$F14</f>
        <v>1.220140156429689</v>
      </c>
      <c r="X14" s="1238">
        <f>'Bloom Cleaner Data'!E14/'Bloom Cleaner Data'!$F14</f>
        <v>1.1100700782148443</v>
      </c>
      <c r="Y14" s="1238">
        <f>'Bloom Cleaner Data'!F14/'Bloom Cleaner Data'!$F14</f>
        <v>1</v>
      </c>
      <c r="Z14" s="1238">
        <f>'Bloom Cleaner Data'!G14/'Bloom Cleaner Data'!$F14</f>
        <v>1.0462940193849004</v>
      </c>
      <c r="AA14" s="1238">
        <f>'Bloom Cleaner Data'!H14/'Bloom Cleaner Data'!$F14</f>
        <v>1.0925880387698004</v>
      </c>
      <c r="AB14" s="1238">
        <f>'Bloom Cleaner Data'!I14/'Bloom Cleaner Data'!$F14</f>
        <v>1.0597340503952475</v>
      </c>
      <c r="AC14" s="1238">
        <f>'Bloom Cleaner Data'!J14/'Bloom Cleaner Data'!$F14</f>
        <v>1.0268800620206948</v>
      </c>
      <c r="AD14" s="1238">
        <f>'Bloom Cleaner Data'!K14/'Bloom Cleaner Data'!$F14</f>
        <v>0.93605463038836256</v>
      </c>
      <c r="AE14" s="1238">
        <f>'Bloom Cleaner Data'!L14/'Bloom Cleaner Data'!$F14</f>
        <v>0.8452291987560302</v>
      </c>
      <c r="AF14" s="1238">
        <f>'Bloom Cleaner Data'!M14/'Bloom Cleaner Data'!$F14</f>
        <v>0.78353116471701845</v>
      </c>
      <c r="AG14" s="1238">
        <f>'Bloom Cleaner Data'!N14/'Bloom Cleaner Data'!$F14</f>
        <v>0.7218331306780067</v>
      </c>
      <c r="AH14" s="1238">
        <f>'Bloom Cleaner Data'!O14/'Bloom Cleaner Data'!$F14</f>
        <v>0.65066686854835321</v>
      </c>
      <c r="AI14" s="1238">
        <f>'Bloom Cleaner Data'!P14/'Bloom Cleaner Data'!$F14</f>
        <v>0.57950060641869972</v>
      </c>
      <c r="AJ14" s="1238">
        <f>'Bloom Cleaner Data'!Q14/'Bloom Cleaner Data'!$F14</f>
        <v>0.54266568881745547</v>
      </c>
      <c r="AK14" s="1238">
        <f>'Bloom Cleaner Data'!R14/'Bloom Cleaner Data'!$F14</f>
        <v>0.50583077121621112</v>
      </c>
      <c r="AL14" s="13"/>
      <c r="AM14" s="13">
        <f>AVERAGE('Bloom Cleaner Data'!BW14:CI14)</f>
        <v>64886.687276923083</v>
      </c>
      <c r="AN14" s="18">
        <f>('Bloom Cleaner Data'!CI14-'Bloom Cleaner Data'!BW14)/'Bloom Cleaner Data'!BW14</f>
        <v>-0.31885802374925926</v>
      </c>
      <c r="AO14" s="18">
        <f>('Bloom Cleaner Data'!CI14+'Bloom Cleaner Data'!CH14-'Bloom Cleaner Data'!BW14-'Bloom Cleaner Data'!BV14)/('Bloom Cleaner Data'!BW14+'Bloom Cleaner Data'!BV14)</f>
        <v>-0.32193816678350851</v>
      </c>
      <c r="AP14" s="13"/>
      <c r="AQ14" s="13">
        <f>'Bloom Cleaner Data'!BW14</f>
        <v>75098.283299999996</v>
      </c>
      <c r="AR14" s="13">
        <f>'Bloom Cleaner Data'!BY14</f>
        <v>74712.878100000002</v>
      </c>
      <c r="AS14" s="13">
        <f>'Bloom Cleaner Data'!CA14</f>
        <v>72569.5723</v>
      </c>
      <c r="AT14" s="13">
        <f>'Bloom Cleaner Data'!CC14</f>
        <v>64356.665000000001</v>
      </c>
      <c r="AU14" s="13">
        <f>'Bloom Cleaner Data'!CE14</f>
        <v>60696.271500000003</v>
      </c>
      <c r="AV14" s="13">
        <f>'Bloom Cleaner Data'!CG14</f>
        <v>54739.9231</v>
      </c>
      <c r="AW14" s="13">
        <f>'Bloom Cleaner Data'!CI14</f>
        <v>51152.593099999998</v>
      </c>
      <c r="AX14" s="13"/>
      <c r="AY14" s="13">
        <f t="shared" si="3"/>
        <v>64760.883771428562</v>
      </c>
      <c r="AZ14" s="10">
        <f t="shared" si="4"/>
        <v>-0.31885802374925926</v>
      </c>
      <c r="BA14" s="10"/>
      <c r="BB14" s="13">
        <f>'Bloom Cleaner Data'!T14+'OPERATING LEASES'!AU14</f>
        <v>38466.928532142738</v>
      </c>
      <c r="BC14" s="13">
        <f>'Bloom Cleaner Data'!U14+'OPERATING LEASES'!AV14</f>
        <v>39466.428532142738</v>
      </c>
      <c r="BD14" s="13">
        <f>'Bloom Cleaner Data'!V14+'OPERATING LEASES'!AW14</f>
        <v>40465.928532142738</v>
      </c>
      <c r="BE14" s="13">
        <f>'Bloom Cleaner Data'!W14+'OPERATING LEASES'!AX14</f>
        <v>38489.928532142738</v>
      </c>
      <c r="BF14" s="13">
        <f>'Bloom Cleaner Data'!X14+'OPERATING LEASES'!AY14</f>
        <v>36513.928532142738</v>
      </c>
      <c r="BG14" s="13">
        <f>'Bloom Cleaner Data'!Y14+'OPERATING LEASES'!AZ14</f>
        <v>36804.052718050691</v>
      </c>
      <c r="BH14" s="13">
        <f>'Bloom Cleaner Data'!Z14+'OPERATING LEASES'!BA14</f>
        <v>37094.176903958636</v>
      </c>
      <c r="BI14" s="13">
        <f>'Bloom Cleaner Data'!AA14+'OPERATING LEASES'!BB14</f>
        <v>36337.801089866589</v>
      </c>
      <c r="BJ14" s="13">
        <f>'Bloom Cleaner Data'!AB14+'OPERATING LEASES'!BC14</f>
        <v>35581.425275774542</v>
      </c>
      <c r="BK14" s="13">
        <f>'Bloom Cleaner Data'!AC14+'OPERATING LEASES'!BD14</f>
        <v>36516.430450849599</v>
      </c>
      <c r="BL14" s="13">
        <f>'Bloom Cleaner Data'!AD14+'OPERATING LEASES'!BE14</f>
        <v>37451.435625924656</v>
      </c>
      <c r="BM14" s="13">
        <f>'Bloom Cleaner Data'!AE14+'OPERATING LEASES'!BF14</f>
        <v>37199.940800999713</v>
      </c>
      <c r="BN14" s="13">
        <f>'Bloom Cleaner Data'!AF14+'OPERATING LEASES'!BG14</f>
        <v>36948.44597607477</v>
      </c>
      <c r="BO14" s="13">
        <f>'Bloom Cleaner Data'!AG14+'OPERATING LEASES'!BH14</f>
        <v>36652.94597607477</v>
      </c>
      <c r="BP14" s="13">
        <f>'Bloom Cleaner Data'!AH14+'OPERATING LEASES'!BI14</f>
        <v>36357.44597607477</v>
      </c>
      <c r="BQ14" s="13"/>
      <c r="BR14" s="1099">
        <f t="shared" si="50"/>
        <v>37108.760491544381</v>
      </c>
      <c r="BS14" s="10">
        <f t="shared" si="51"/>
        <v>-0.10152942747389408</v>
      </c>
      <c r="BT14" s="10"/>
      <c r="BU14" s="13">
        <f>'Bloom Cleaner Data'!BU14+'OPERATING LEASES'!AU14</f>
        <v>87311.33323214273</v>
      </c>
      <c r="BV14" s="13">
        <f>'Bloom Cleaner Data'!BV14+'OPERATING LEASES'!AV14</f>
        <v>83983.772532142728</v>
      </c>
      <c r="BW14" s="13">
        <f>'Bloom Cleaner Data'!BW14+'OPERATING LEASES'!AW14</f>
        <v>80656.211832142726</v>
      </c>
      <c r="BX14" s="13">
        <f>'Bloom Cleaner Data'!BX14+'OPERATING LEASES'!AX14</f>
        <v>80463.509232142722</v>
      </c>
      <c r="BY14" s="13">
        <f>'Bloom Cleaner Data'!BY14+'OPERATING LEASES'!AY14</f>
        <v>80270.806632142732</v>
      </c>
      <c r="BZ14" s="13">
        <f>'Bloom Cleaner Data'!BZ14+'OPERATING LEASES'!AZ14</f>
        <v>79109.777918050691</v>
      </c>
      <c r="CA14" s="13">
        <f>'Bloom Cleaner Data'!CA14+'OPERATING LEASES'!BA14</f>
        <v>77948.749203958636</v>
      </c>
      <c r="CB14" s="13">
        <f>'Bloom Cleaner Data'!CB14+'OPERATING LEASES'!BB14</f>
        <v>73752.9197398666</v>
      </c>
      <c r="CC14" s="13">
        <f>'Bloom Cleaner Data'!CC14+'OPERATING LEASES'!BC14</f>
        <v>69557.09027577455</v>
      </c>
      <c r="CD14" s="13">
        <f>'Bloom Cleaner Data'!CD14+'OPERATING LEASES'!BD14</f>
        <v>67975.898700849604</v>
      </c>
      <c r="CE14" s="13">
        <f>'Bloom Cleaner Data'!CE14+'OPERATING LEASES'!BE14</f>
        <v>66394.707125924659</v>
      </c>
      <c r="CF14" s="13">
        <f>'Bloom Cleaner Data'!CF14+'OPERATING LEASES'!BF14</f>
        <v>63665.538100999715</v>
      </c>
      <c r="CG14" s="13">
        <f>'Bloom Cleaner Data'!CG14+'OPERATING LEASES'!BG14</f>
        <v>60936.36907607477</v>
      </c>
      <c r="CH14" s="13">
        <f>'Bloom Cleaner Data'!CH14+'OPERATING LEASES'!BH14</f>
        <v>59142.704076074762</v>
      </c>
      <c r="CI14" s="13">
        <f>'Bloom Cleaner Data'!CI14+'OPERATING LEASES'!BI14</f>
        <v>57349.039076074769</v>
      </c>
      <c r="CJ14" s="13"/>
      <c r="CK14" s="1099">
        <f t="shared" si="52"/>
        <v>70555.640076159762</v>
      </c>
      <c r="CL14" s="10">
        <f t="shared" si="53"/>
        <v>-0.28896934565404042</v>
      </c>
      <c r="CM14" s="18">
        <f t="shared" si="54"/>
        <v>8.7366962887822419E-2</v>
      </c>
      <c r="CN14" s="13"/>
      <c r="CO14" s="18">
        <f>$CO$1*BU14/('Bloom Cleaner Data'!D14+'Bloom Cleaner Data'!T14+'OPERATING LEASES'!AU14)+(1-$CO$1)*'Bloom Cleaner Data'!BU14/('Bloom Cleaner Data'!D14+'Bloom Cleaner Data'!T14)-1</f>
        <v>3.2069189738707538E-2</v>
      </c>
      <c r="CP14" s="18">
        <f>$CO$1*BV14/('Bloom Cleaner Data'!E14+'Bloom Cleaner Data'!U14+'OPERATING LEASES'!AV14)+(1-$CO$1)*'Bloom Cleaner Data'!BV14/('Bloom Cleaner Data'!E14+'Bloom Cleaner Data'!U14)-1</f>
        <v>3.128212921329987E-2</v>
      </c>
      <c r="CQ14" s="18">
        <f>$CO$1*BW14/('Bloom Cleaner Data'!F14+'Bloom Cleaner Data'!V14+'OPERATING LEASES'!AW14)+(1-$CO$1)*'Bloom Cleaner Data'!BW14/('Bloom Cleaner Data'!F14+'Bloom Cleaner Data'!V14)-1</f>
        <v>3.0431478570593917E-2</v>
      </c>
      <c r="CR14" s="18">
        <f>$CO$1*BX14/('Bloom Cleaner Data'!G14+'Bloom Cleaner Data'!W14+'OPERATING LEASES'!AX14)+(1-$CO$1)*'Bloom Cleaner Data'!BX14/('Bloom Cleaner Data'!G14+'Bloom Cleaner Data'!W14)-1</f>
        <v>3.0942295038806744E-2</v>
      </c>
      <c r="CS14" s="18">
        <f>$CO$1*BY14/('Bloom Cleaner Data'!H14+'Bloom Cleaner Data'!X14+'OPERATING LEASES'!AY14)+(1-$CO$1)*'Bloom Cleaner Data'!BY14/('Bloom Cleaner Data'!H14+'Bloom Cleaner Data'!X14)-1</f>
        <v>3.1456074458626748E-2</v>
      </c>
      <c r="CT14" s="18">
        <f>$CO$1*BZ14/('Bloom Cleaner Data'!I14+'Bloom Cleaner Data'!Y14+'OPERATING LEASES'!AZ14)+(1-$CO$1)*'Bloom Cleaner Data'!BZ14/('Bloom Cleaner Data'!I14+'Bloom Cleaner Data'!Y14)-1</f>
        <v>2.9126802936571217E-2</v>
      </c>
      <c r="CU14" s="18">
        <f>$CO$1*CA14/('Bloom Cleaner Data'!J14+'Bloom Cleaner Data'!Z14+'OPERATING LEASES'!BA14)+(1-$CO$1)*'Bloom Cleaner Data'!CA14/('Bloom Cleaner Data'!J14+'Bloom Cleaner Data'!Z14)-1</f>
        <v>2.6739112818446653E-2</v>
      </c>
      <c r="CV14" s="18">
        <f>$CO$1*CB14/('Bloom Cleaner Data'!K14+'Bloom Cleaner Data'!AA14+'OPERATING LEASES'!BB14)+(1-$CO$1)*'Bloom Cleaner Data'!CB14/('Bloom Cleaner Data'!K14+'Bloom Cleaner Data'!AA14)-1</f>
        <v>2.8224516967502389E-2</v>
      </c>
      <c r="CW14" s="18">
        <f>$CO$1*CC14/('Bloom Cleaner Data'!L14+'Bloom Cleaner Data'!AB14+'OPERATING LEASES'!BC14)+(1-$CO$1)*'Bloom Cleaner Data'!CC14/('Bloom Cleaner Data'!L14+'Bloom Cleaner Data'!AB14)-1</f>
        <v>2.9894241779060193E-2</v>
      </c>
      <c r="CX14" s="18">
        <f>$CO$1*CD14/('Bloom Cleaner Data'!M14+'Bloom Cleaner Data'!AC14+'OPERATING LEASES'!BD14)+(1-$CO$1)*'Bloom Cleaner Data'!CD14/('Bloom Cleaner Data'!M14+'Bloom Cleaner Data'!AC14)-1</f>
        <v>2.7751571445795209E-2</v>
      </c>
      <c r="CY14" s="18">
        <f>$CO$1*CE14/('Bloom Cleaner Data'!N14+'Bloom Cleaner Data'!AD14+'OPERATING LEASES'!BE14)+(1-$CO$1)*'Bloom Cleaner Data'!CE14/('Bloom Cleaner Data'!N14+'Bloom Cleaner Data'!AD14)-1</f>
        <v>2.5516387456379519E-2</v>
      </c>
      <c r="CZ14" s="18">
        <f>$CO$1*CF14/('Bloom Cleaner Data'!O14+'Bloom Cleaner Data'!AE14+'OPERATING LEASES'!BF14)+(1-$CO$1)*'Bloom Cleaner Data'!CF14/('Bloom Cleaner Data'!O14+'Bloom Cleaner Data'!AE14)-1</f>
        <v>3.0177730765904576E-2</v>
      </c>
      <c r="DA14" s="18">
        <f>$CO$1*CG14/('Bloom Cleaner Data'!P14+'Bloom Cleaner Data'!AF14+'OPERATING LEASES'!BG14)+(1-$CO$1)*'Bloom Cleaner Data'!CG14/('Bloom Cleaner Data'!P14+'Bloom Cleaner Data'!AF14)-1</f>
        <v>3.5305089702947212E-2</v>
      </c>
      <c r="DB14" s="18">
        <f>$CO$1*CH14/('Bloom Cleaner Data'!Q14+'Bloom Cleaner Data'!AG14+'OPERATING LEASES'!BH14)+(1-$CO$1)*'Bloom Cleaner Data'!CH14/('Bloom Cleaner Data'!Q14+'Bloom Cleaner Data'!AG14)-1</f>
        <v>3.4502238217922976E-2</v>
      </c>
      <c r="DC14" s="18">
        <f>$CO$1*CI14/('Bloom Cleaner Data'!R14+'Bloom Cleaner Data'!AH14+'OPERATING LEASES'!BI14)+(1-$CO$1)*'Bloom Cleaner Data'!CI14/('Bloom Cleaner Data'!R14+'Bloom Cleaner Data'!AH14)-1</f>
        <v>3.3650529632482495E-2</v>
      </c>
      <c r="DD14" s="18"/>
      <c r="DE14" s="18">
        <f t="shared" si="55"/>
        <v>3.0286005368541528E-2</v>
      </c>
      <c r="DF14" s="13"/>
      <c r="DG14" s="2203">
        <f>AVERAGE('Bloom Cleaner Data'!GX14:HJ14)</f>
        <v>13865.755537352532</v>
      </c>
      <c r="DH14" s="2124">
        <f>('Bloom Cleaner Data'!HJ14-'Bloom Cleaner Data'!GX14)/'Bloom Cleaner Data'!GX14</f>
        <v>-0.12335657901184385</v>
      </c>
      <c r="DI14" s="2124">
        <f>('Bloom Cleaner Data'!HJ14+'Bloom Cleaner Data'!HI14-'Bloom Cleaner Data'!GX14-'Bloom Cleaner Data'!GW14)/('Bloom Cleaner Data'!GX14+'Bloom Cleaner Data'!GW14)</f>
        <v>-0.12205896418824137</v>
      </c>
      <c r="DJ14" s="13"/>
      <c r="DK14" s="13">
        <f>'Bloom Cleaner Data'!GV14+'OPERATING LEASES'!BL14</f>
        <v>14986.065235300175</v>
      </c>
      <c r="DL14" s="13">
        <f>'Bloom Cleaner Data'!GW14+'OPERATING LEASES'!BM14</f>
        <v>14784.005849745534</v>
      </c>
      <c r="DM14" s="13">
        <f>'Bloom Cleaner Data'!GX14+'OPERATING LEASES'!BN14</f>
        <v>14571.427611451049</v>
      </c>
      <c r="DN14" s="13">
        <f>'Bloom Cleaner Data'!GY14+'OPERATING LEASES'!BO14</f>
        <v>15071.638338924184</v>
      </c>
      <c r="DO14" s="13">
        <f>'Bloom Cleaner Data'!GZ14+'OPERATING LEASES'!BP14</f>
        <v>15617.667636962587</v>
      </c>
      <c r="DP14" s="13">
        <f>'Bloom Cleaner Data'!HA14+'OPERATING LEASES'!BQ14</f>
        <v>15462.444594859895</v>
      </c>
      <c r="DQ14" s="13">
        <f>'Bloom Cleaner Data'!HB14+'OPERATING LEASES'!BR14</f>
        <v>15305.847826521236</v>
      </c>
      <c r="DR14" s="13">
        <f>'Bloom Cleaner Data'!HC14+'OPERATING LEASES'!BS14</f>
        <v>15533.143181964953</v>
      </c>
      <c r="DS14" s="13">
        <f>'Bloom Cleaner Data'!HD14+'OPERATING LEASES'!BT14</f>
        <v>15800.933343057175</v>
      </c>
      <c r="DT14" s="13">
        <f>'Bloom Cleaner Data'!HE14+'OPERATING LEASES'!BU14</f>
        <v>15446.755594090679</v>
      </c>
      <c r="DU14" s="13">
        <f>'Bloom Cleaner Data'!HF14+'OPERATING LEASES'!BV14</f>
        <v>15090.667616434503</v>
      </c>
      <c r="DV14" s="13">
        <f>'Bloom Cleaner Data'!HG14+'OPERATING LEASES'!BW14</f>
        <v>14181.042311233889</v>
      </c>
      <c r="DW14" s="13">
        <f>'Bloom Cleaner Data'!HH14+'OPERATING LEASES'!BX14</f>
        <v>13305.584740494598</v>
      </c>
      <c r="DX14" s="13">
        <f>'Bloom Cleaner Data'!HI14+'OPERATING LEASES'!BY14</f>
        <v>13116.624102457883</v>
      </c>
      <c r="DY14" s="13">
        <f>'Bloom Cleaner Data'!HJ14+'OPERATING LEASES'!BZ14</f>
        <v>12920.701337130266</v>
      </c>
      <c r="DZ14" s="13"/>
      <c r="EA14" s="1099">
        <f t="shared" si="56"/>
        <v>14724.959864275608</v>
      </c>
      <c r="EB14" s="10">
        <f t="shared" si="57"/>
        <v>-0.113285143936312</v>
      </c>
      <c r="EC14" s="18">
        <f t="shared" si="58"/>
        <v>6.1965922059457355E-2</v>
      </c>
      <c r="ED14" s="18">
        <f>(AVERAGE(DV14:DY14)-AVERAGE('Bloom Cleaner Data'!HG14:HJ14))/AVERAGE('Bloom Cleaner Data'!HG14:HJ14)</f>
        <v>7.4025697671707344E-2</v>
      </c>
      <c r="EE14" s="165"/>
      <c r="EF14" s="22">
        <f>'Bloom Cleaner Data'!DT14</f>
        <v>1.6848999999999998</v>
      </c>
      <c r="EG14" s="22">
        <f>'Bloom Cleaner Data'!DX14</f>
        <v>1.5800999999999998</v>
      </c>
      <c r="EH14" s="22">
        <f>'Bloom Cleaner Data'!EB14</f>
        <v>1.3624000000000001</v>
      </c>
      <c r="EI14" s="22">
        <f>'Bloom Cleaner Data'!EF14</f>
        <v>1.21</v>
      </c>
      <c r="EJ14" s="22"/>
      <c r="EK14" s="22">
        <f>AVERAGE('Bloom Cleaner Data'!DT14:EF14)</f>
        <v>1.4515346153846156</v>
      </c>
      <c r="EL14" s="2124">
        <f t="shared" si="5"/>
        <v>-0.28185648999940643</v>
      </c>
      <c r="EM14" s="13"/>
      <c r="EN14" s="15">
        <f>'Bloom Cleaner Data'!DA14</f>
        <v>5.8266</v>
      </c>
      <c r="EO14" s="15">
        <f>'Bloom Cleaner Data'!DB14</f>
        <v>5.6589</v>
      </c>
      <c r="EP14" s="15">
        <f>'Bloom Cleaner Data'!DC14</f>
        <v>5.4912000000000001</v>
      </c>
      <c r="EQ14" s="15">
        <f>'Bloom Cleaner Data'!DD14</f>
        <v>5.2727500000000003</v>
      </c>
      <c r="ER14" s="15">
        <f>'Bloom Cleaner Data'!DE14</f>
        <v>5.0542999999999996</v>
      </c>
      <c r="ES14" s="15">
        <f>'Bloom Cleaner Data'!DF14</f>
        <v>5.0300499999999992</v>
      </c>
      <c r="ET14" s="15">
        <f>'Bloom Cleaner Data'!DG14</f>
        <v>5.0057999999999998</v>
      </c>
      <c r="EU14" s="15">
        <f>'Bloom Cleaner Data'!DH14</f>
        <v>4.6454000000000004</v>
      </c>
      <c r="EV14" s="15">
        <f>'Bloom Cleaner Data'!DI14</f>
        <v>4.2850000000000001</v>
      </c>
      <c r="EW14" s="15">
        <f>'Bloom Cleaner Data'!DJ14</f>
        <v>4.2745999999999995</v>
      </c>
      <c r="EX14" s="15">
        <f>'Bloom Cleaner Data'!DK14</f>
        <v>4.2641999999999998</v>
      </c>
      <c r="EY14" s="15">
        <f>'Bloom Cleaner Data'!DL14</f>
        <v>4.3439999999999994</v>
      </c>
      <c r="EZ14" s="15">
        <f>'Bloom Cleaner Data'!DM14</f>
        <v>4.4238</v>
      </c>
      <c r="FA14" s="15">
        <f>'Bloom Cleaner Data'!DN14</f>
        <v>4.3452000000000002</v>
      </c>
      <c r="FB14" s="15">
        <f>'Bloom Cleaner Data'!DO14</f>
        <v>4.2666000000000004</v>
      </c>
      <c r="FC14" s="15"/>
      <c r="FD14" s="15">
        <f t="shared" si="59"/>
        <v>4.6694538461538473</v>
      </c>
      <c r="FE14" s="18">
        <f t="shared" si="6"/>
        <v>-0.22301136363636356</v>
      </c>
      <c r="FF14" s="15">
        <f t="shared" si="60"/>
        <v>4.4884649999999997</v>
      </c>
      <c r="FG14" s="2206"/>
      <c r="FH14" s="15">
        <f>('Bloom Cleaner Data'!BU14+'OPERATING LEASES'!AU14)/DK14</f>
        <v>5.8261679674580611</v>
      </c>
      <c r="FI14" s="15">
        <f>('Bloom Cleaner Data'!BV14+'OPERATING LEASES'!AV14)/DL14</f>
        <v>5.6807182969011256</v>
      </c>
      <c r="FJ14" s="15">
        <f>('Bloom Cleaner Data'!BW14+'OPERATING LEASES'!AW14)/DM14</f>
        <v>5.535230588439978</v>
      </c>
      <c r="FK14" s="15">
        <f>('Bloom Cleaner Data'!BX14+'OPERATING LEASES'!AX14)/DN14</f>
        <v>5.3387367333740192</v>
      </c>
      <c r="FL14" s="15">
        <f>('Bloom Cleaner Data'!BY14+'OPERATING LEASES'!AY14)/DO14</f>
        <v>5.1397435582611903</v>
      </c>
      <c r="FM14" s="15">
        <f>('Bloom Cleaner Data'!BZ14+'OPERATING LEASES'!AZ14)/DP14</f>
        <v>5.1162529594026012</v>
      </c>
      <c r="FN14" s="15">
        <f>('Bloom Cleaner Data'!CA14+'OPERATING LEASES'!BA14)/DQ14</f>
        <v>5.092742988656453</v>
      </c>
      <c r="FO14" s="15">
        <f>('Bloom Cleaner Data'!CB14+'OPERATING LEASES'!BB14)/DR14</f>
        <v>4.7481001672281504</v>
      </c>
      <c r="FP14" s="15">
        <f>('Bloom Cleaner Data'!CC14+'OPERATING LEASES'!BC14)/DS14</f>
        <v>4.4020874441785729</v>
      </c>
      <c r="FQ14" s="15">
        <f>('Bloom Cleaner Data'!CD14+'OPERATING LEASES'!BD14)/DT14</f>
        <v>4.4006586552618536</v>
      </c>
      <c r="FR14" s="15">
        <f>('Bloom Cleaner Data'!CE14+'OPERATING LEASES'!BE14)/DU14</f>
        <v>4.3997196687055418</v>
      </c>
      <c r="FS14" s="15">
        <f>('Bloom Cleaner Data'!CF14+'OPERATING LEASES'!BF14)/DV14</f>
        <v>4.4894822752602161</v>
      </c>
      <c r="FT14" s="15">
        <f>('Bloom Cleaner Data'!CG14+'OPERATING LEASES'!BG14)/DW14</f>
        <v>4.5797588204161581</v>
      </c>
      <c r="FU14" s="15">
        <f>('Bloom Cleaner Data'!CH14+'OPERATING LEASES'!BH14)/DX14</f>
        <v>4.508988259028647</v>
      </c>
      <c r="FV14" s="15">
        <f>('Bloom Cleaner Data'!CI14+'OPERATING LEASES'!BI14)/DY14</f>
        <v>4.438539176760524</v>
      </c>
      <c r="FW14" s="15"/>
      <c r="FX14" s="506">
        <f t="shared" si="61"/>
        <v>4.7838493303826084</v>
      </c>
      <c r="FY14" s="10">
        <f t="shared" si="62"/>
        <v>-0.19812930900653591</v>
      </c>
      <c r="FZ14" s="15">
        <f t="shared" si="7"/>
        <v>0.11439548422876111</v>
      </c>
      <c r="GA14" s="15">
        <f t="shared" si="63"/>
        <v>4.6176330414898716</v>
      </c>
      <c r="GB14" s="15">
        <f t="shared" si="64"/>
        <v>0.12916804148987193</v>
      </c>
      <c r="GC14" s="15">
        <f t="shared" si="8"/>
        <v>0.15453764003421711</v>
      </c>
      <c r="GD14" s="13"/>
      <c r="GE14" s="15">
        <f t="shared" si="9"/>
        <v>5.8261679674580611</v>
      </c>
      <c r="GF14" s="15">
        <f t="shared" si="10"/>
        <v>5.6807182969011256</v>
      </c>
      <c r="GG14" s="15">
        <f t="shared" si="11"/>
        <v>5.535230588439978</v>
      </c>
      <c r="GH14" s="15">
        <f t="shared" si="12"/>
        <v>5.3387367333740192</v>
      </c>
      <c r="GI14" s="15">
        <f t="shared" si="13"/>
        <v>5.1397435582611903</v>
      </c>
      <c r="GJ14" s="15">
        <f t="shared" si="14"/>
        <v>5.1162529594026012</v>
      </c>
      <c r="GK14" s="15">
        <f t="shared" si="15"/>
        <v>5.092742988656453</v>
      </c>
      <c r="GL14" s="15">
        <f t="shared" si="16"/>
        <v>4.7481001672281504</v>
      </c>
      <c r="GM14" s="15">
        <f t="shared" si="17"/>
        <v>4.4020874441785729</v>
      </c>
      <c r="GN14" s="15">
        <f t="shared" si="18"/>
        <v>4.4006586552618536</v>
      </c>
      <c r="GO14" s="15">
        <f t="shared" si="19"/>
        <v>4.3997196687055418</v>
      </c>
      <c r="GP14" s="15">
        <f t="shared" si="20"/>
        <v>4.4894822752602161</v>
      </c>
      <c r="GQ14" s="15">
        <f t="shared" si="21"/>
        <v>4.5797588204161581</v>
      </c>
      <c r="GR14" s="15">
        <f t="shared" si="22"/>
        <v>4.508988259028647</v>
      </c>
      <c r="GS14" s="15">
        <f t="shared" si="23"/>
        <v>4.438539176760524</v>
      </c>
      <c r="GT14" s="15"/>
      <c r="GU14" s="15">
        <f t="shared" si="65"/>
        <v>4.913128503955539</v>
      </c>
      <c r="GV14" s="10">
        <f t="shared" si="66"/>
        <v>-0.19812930900653591</v>
      </c>
      <c r="GW14" s="506">
        <f t="shared" si="67"/>
        <v>4.6176330414898716</v>
      </c>
      <c r="GX14" s="2057"/>
      <c r="GY14" s="10">
        <f>'Bloom Cleaner Data'!T14/('Bloom Cleaner Data'!T14+'Bloom Cleaner Data'!D14)</f>
        <v>0.41635667384177755</v>
      </c>
      <c r="GZ14" s="10">
        <f>'Bloom Cleaner Data'!U14/('Bloom Cleaner Data'!U14+'Bloom Cleaner Data'!E14)</f>
        <v>0.44687981066112886</v>
      </c>
      <c r="HA14" s="10">
        <f>'Bloom Cleaner Data'!V14/('Bloom Cleaner Data'!V14+'Bloom Cleaner Data'!F14)</f>
        <v>0.48005753891439601</v>
      </c>
      <c r="HB14" s="10">
        <f>'Bloom Cleaner Data'!W14/('Bloom Cleaner Data'!W14+'Bloom Cleaner Data'!G14)</f>
        <v>0.45429350519742762</v>
      </c>
      <c r="HC14" s="10">
        <f>'Bloom Cleaner Data'!X14/('Bloom Cleaner Data'!X14+'Bloom Cleaner Data'!H14)</f>
        <v>0.42836853550300252</v>
      </c>
      <c r="HD14" s="10">
        <f>'Bloom Cleaner Data'!Y14/('Bloom Cleaner Data'!Y14+'Bloom Cleaner Data'!I14)</f>
        <v>0.43885887186608297</v>
      </c>
      <c r="HE14" s="10">
        <f>'Bloom Cleaner Data'!Z14/('Bloom Cleaner Data'!Z14+'Bloom Cleaner Data'!J14)</f>
        <v>0.44960578815417629</v>
      </c>
      <c r="HF14" s="10">
        <f>'Bloom Cleaner Data'!AA14/('Bloom Cleaner Data'!AA14+'Bloom Cleaner Data'!K14)</f>
        <v>0.46731856608219829</v>
      </c>
      <c r="HG14" s="10">
        <f>'Bloom Cleaner Data'!AB14/('Bloom Cleaner Data'!AB14+'Bloom Cleaner Data'!L14)</f>
        <v>0.48736185418558747</v>
      </c>
      <c r="HH14" s="10">
        <f>'Bloom Cleaner Data'!AC14/('Bloom Cleaner Data'!AC14+'Bloom Cleaner Data'!M14)</f>
        <v>0.5118883566336907</v>
      </c>
      <c r="HI14" s="10">
        <f>'Bloom Cleaner Data'!AD14/('Bloom Cleaner Data'!AD14+'Bloom Cleaner Data'!N14)</f>
        <v>0.53778290752558444</v>
      </c>
      <c r="HJ14" s="10">
        <f>'Bloom Cleaner Data'!AE14/('Bloom Cleaner Data'!AE14+'Bloom Cleaner Data'!O14)</f>
        <v>0.55954819895010544</v>
      </c>
      <c r="HK14" s="10">
        <f>'Bloom Cleaner Data'!AF14/('Bloom Cleaner Data'!AF14+'Bloom Cleaner Data'!P14)</f>
        <v>0.58395132934292704</v>
      </c>
      <c r="HL14" s="10">
        <f>'Bloom Cleaner Data'!AG14/('Bloom Cleaner Data'!AG14+'Bloom Cleaner Data'!Q14)</f>
        <v>0.59749371314256694</v>
      </c>
      <c r="HM14" s="10">
        <f>'Bloom Cleaner Data'!AH14/('Bloom Cleaner Data'!AH14+'Bloom Cleaner Data'!R14)</f>
        <v>0.61196382356206247</v>
      </c>
      <c r="HN14" s="15"/>
      <c r="HO14" s="10">
        <f t="shared" si="68"/>
        <v>0.50834561454306215</v>
      </c>
      <c r="HP14" s="10">
        <f t="shared" si="69"/>
        <v>0.27477182203191691</v>
      </c>
      <c r="HQ14" s="10"/>
      <c r="HR14" s="479">
        <f t="shared" si="24"/>
        <v>0.7133751988263215</v>
      </c>
      <c r="HS14" s="480">
        <f t="shared" si="25"/>
        <v>0.80792532848108778</v>
      </c>
      <c r="HT14" s="480">
        <f t="shared" si="26"/>
        <v>0.92328973846850082</v>
      </c>
      <c r="HU14" s="480">
        <f t="shared" si="27"/>
        <v>0.83248689455635583</v>
      </c>
      <c r="HV14" s="480">
        <f t="shared" si="28"/>
        <v>0.74937886052151093</v>
      </c>
      <c r="HW14" s="480">
        <f t="shared" si="29"/>
        <v>0.78208288407858195</v>
      </c>
      <c r="HX14" s="480">
        <f t="shared" si="30"/>
        <v>0.81687957190966931</v>
      </c>
      <c r="HY14" s="480">
        <f t="shared" si="31"/>
        <v>0.87729463864571344</v>
      </c>
      <c r="HZ14" s="480">
        <f t="shared" si="32"/>
        <v>0.95069369723029618</v>
      </c>
      <c r="IA14" s="480">
        <f t="shared" si="33"/>
        <v>1.0487116289695591</v>
      </c>
      <c r="IB14" s="480">
        <f t="shared" si="34"/>
        <v>1.1634855488502982</v>
      </c>
      <c r="IC14" s="480">
        <f t="shared" si="35"/>
        <v>1.2703959834341092</v>
      </c>
      <c r="ID14" s="480">
        <f t="shared" si="36"/>
        <v>1.4035649445068108</v>
      </c>
      <c r="IE14" s="480">
        <f t="shared" si="37"/>
        <v>1.4844332440307897</v>
      </c>
      <c r="IF14" s="481">
        <f t="shared" si="38"/>
        <v>1.5770793052846708</v>
      </c>
      <c r="IG14" s="15"/>
      <c r="IH14" s="10">
        <f t="shared" si="70"/>
        <v>1.0676751492682206</v>
      </c>
      <c r="II14" s="10">
        <f t="shared" si="71"/>
        <v>0.70810877623381574</v>
      </c>
      <c r="IJ14" s="10"/>
      <c r="IK14" s="18">
        <f>('Bloom Cleaner Data'!T14+'OPERATING LEASES'!AU14)/('Bloom Cleaner Data'!T14+'OPERATING LEASES'!AU14+'Bloom Cleaner Data'!D14)</f>
        <v>0.45470078502122796</v>
      </c>
      <c r="IL14" s="18">
        <f>('Bloom Cleaner Data'!U14+'OPERATING LEASES'!AV14)/('Bloom Cleaner Data'!U14+'OPERATING LEASES'!AV14+'Bloom Cleaner Data'!E14)</f>
        <v>0.48462960429046431</v>
      </c>
      <c r="IM14" s="18">
        <f>('Bloom Cleaner Data'!V14+'OPERATING LEASES'!AW14)/('Bloom Cleaner Data'!V14+'OPERATING LEASES'!AW14+'Bloom Cleaner Data'!F14)</f>
        <v>0.516976505862761</v>
      </c>
      <c r="IN14" s="18">
        <f>('Bloom Cleaner Data'!W14+'OPERATING LEASES'!AX14)/('Bloom Cleaner Data'!W14+'OPERATING LEASES'!AX14+'Bloom Cleaner Data'!G14)</f>
        <v>0.49315392325637686</v>
      </c>
      <c r="IO14" s="18">
        <f>('Bloom Cleaner Data'!X14+'OPERATING LEASES'!AY14)/('Bloom Cleaner Data'!X14+'OPERATING LEASES'!AY14+'Bloom Cleaner Data'!H14)</f>
        <v>0.46919315959316199</v>
      </c>
      <c r="IP14" s="18">
        <f>('Bloom Cleaner Data'!Y14+'OPERATING LEASES'!AZ14)/('Bloom Cleaner Data'!Y14+'OPERATING LEASES'!AZ14+'Bloom Cleaner Data'!I14)</f>
        <v>0.47877820044030561</v>
      </c>
      <c r="IQ14" s="18">
        <f>('Bloom Cleaner Data'!Z14+'OPERATING LEASES'!BA14)/('Bloom Cleaner Data'!Z14+'OPERATING LEASES'!BA14+'Bloom Cleaner Data'!J14)</f>
        <v>0.48860363603072154</v>
      </c>
      <c r="IR14" s="18">
        <f>('Bloom Cleaner Data'!AA14+'OPERATING LEASES'!BB14)/('Bloom Cleaner Data'!AA14+'OPERATING LEASES'!BB14+'Bloom Cleaner Data'!K14)</f>
        <v>0.50660256034708184</v>
      </c>
      <c r="IS14" s="18">
        <f>('Bloom Cleaner Data'!AB14+'OPERATING LEASES'!BC14)/('Bloom Cleaner Data'!AB14+'OPERATING LEASES'!BC14+'Bloom Cleaner Data'!L14)</f>
        <v>0.52683493315382302</v>
      </c>
      <c r="IT14" s="18">
        <f>('Bloom Cleaner Data'!AC14+'OPERATING LEASES'!BD14)/('Bloom Cleaner Data'!AC14+'OPERATING LEASES'!BD14+'Bloom Cleaner Data'!M14)</f>
        <v>0.55210478267619723</v>
      </c>
      <c r="IU14" s="18">
        <f>('Bloom Cleaner Data'!AD14+'OPERATING LEASES'!BE14)/('Bloom Cleaner Data'!AD14+'OPERATING LEASES'!BE14+'Bloom Cleaner Data'!N14)</f>
        <v>0.57846570352829951</v>
      </c>
      <c r="IV14" s="18">
        <f>('Bloom Cleaner Data'!AE14+'OPERATING LEASES'!BF14)/('Bloom Cleaner Data'!AE14+'OPERATING LEASES'!BF14+'Bloom Cleaner Data'!O14)</f>
        <v>0.60193554852555486</v>
      </c>
      <c r="IW14" s="18">
        <f>('Bloom Cleaner Data'!AF14+'OPERATING LEASES'!BG14)/('Bloom Cleaner Data'!AF14+'OPERATING LEASES'!BG14+'Bloom Cleaner Data'!P14)</f>
        <v>0.62775178035121393</v>
      </c>
      <c r="IX14" s="18">
        <f>('Bloom Cleaner Data'!AG14+'OPERATING LEASES'!BH14)/('Bloom Cleaner Data'!AG14+'OPERATING LEASES'!BH14+'Bloom Cleaner Data'!Q14)</f>
        <v>0.64111973305713121</v>
      </c>
      <c r="IY14" s="18">
        <f>('Bloom Cleaner Data'!AH14+'OPERATING LEASES'!BI14)/('Bloom Cleaner Data'!AH14+'OPERATING LEASES'!BI14+'Bloom Cleaner Data'!R14)</f>
        <v>0.65530118542007598</v>
      </c>
      <c r="IZ14" s="15"/>
      <c r="JA14" s="10">
        <f t="shared" si="72"/>
        <v>0.54898628094174651</v>
      </c>
      <c r="JB14" s="10">
        <f t="shared" si="73"/>
        <v>0.26756473067663017</v>
      </c>
      <c r="JC14" s="10">
        <f t="shared" si="39"/>
        <v>4.0640666398684355E-2</v>
      </c>
      <c r="JD14" s="10">
        <f t="shared" si="40"/>
        <v>7.9946920433679999E-2</v>
      </c>
      <c r="JE14" s="7"/>
      <c r="JF14" s="485">
        <f t="shared" si="74"/>
        <v>0.83385556503859803</v>
      </c>
      <c r="JG14" s="452">
        <f t="shared" si="41"/>
        <v>0.94035204257949467</v>
      </c>
      <c r="JH14" s="452">
        <f t="shared" si="41"/>
        <v>1.0702926713454546</v>
      </c>
      <c r="JI14" s="452">
        <f t="shared" si="41"/>
        <v>0.97298557862928436</v>
      </c>
      <c r="JJ14" s="452">
        <f t="shared" si="41"/>
        <v>0.88392447850436129</v>
      </c>
      <c r="JK14" s="452">
        <f t="shared" si="41"/>
        <v>0.91856902540292196</v>
      </c>
      <c r="JL14" s="452">
        <f t="shared" si="41"/>
        <v>0.95543040673647384</v>
      </c>
      <c r="JM14" s="452">
        <f t="shared" si="41"/>
        <v>1.0267636587321023</v>
      </c>
      <c r="JN14" s="452">
        <f t="shared" si="41"/>
        <v>1.1134273640811565</v>
      </c>
      <c r="JO14" s="452">
        <f t="shared" si="41"/>
        <v>1.2326650549542637</v>
      </c>
      <c r="JP14" s="452">
        <f t="shared" si="41"/>
        <v>1.3722862134116638</v>
      </c>
      <c r="JQ14" s="452">
        <f t="shared" si="41"/>
        <v>1.512155999602486</v>
      </c>
      <c r="JR14" s="452">
        <f t="shared" si="41"/>
        <v>1.6863795371365211</v>
      </c>
      <c r="JS14" s="452">
        <f t="shared" si="41"/>
        <v>1.7864446505195923</v>
      </c>
      <c r="JT14" s="486">
        <f t="shared" si="41"/>
        <v>1.9010833739555368</v>
      </c>
      <c r="JU14" s="15"/>
      <c r="JV14" s="10">
        <f t="shared" si="75"/>
        <v>1.2640313856162939</v>
      </c>
      <c r="JW14" s="10">
        <f t="shared" si="76"/>
        <v>0.77622759162286259</v>
      </c>
      <c r="JX14" s="10">
        <f t="shared" si="77"/>
        <v>0.19635623634807331</v>
      </c>
      <c r="JY14" s="10">
        <f t="shared" si="78"/>
        <v>0.18391009333003108</v>
      </c>
      <c r="JZ14" s="7"/>
      <c r="KA14" s="15">
        <f>'Bloom Cleaner Data'!T14/'Bloom Cleaner Data'!BU14*'Bloom Cleaner Data'!DA14</f>
        <v>2.3454384573172402</v>
      </c>
      <c r="KB14" s="15">
        <f>'Bloom Cleaner Data'!U14/'Bloom Cleaner Data'!BV14*'Bloom Cleaner Data'!DB14</f>
        <v>2.4467038014917635</v>
      </c>
      <c r="KC14" s="15">
        <f>'Bloom Cleaner Data'!V14/'Bloom Cleaner Data'!BW14*'Bloom Cleaner Data'!DC14</f>
        <v>2.5524792468857944</v>
      </c>
      <c r="KD14" s="15">
        <f>'Bloom Cleaner Data'!W14/'Bloom Cleaner Data'!BX14*'Bloom Cleaner Data'!DD14</f>
        <v>2.3181477451652683</v>
      </c>
      <c r="KE14" s="15">
        <f>'Bloom Cleaner Data'!X14/'Bloom Cleaner Data'!BY14*'Bloom Cleaner Data'!DE14</f>
        <v>2.0941625430435664</v>
      </c>
      <c r="KF14" s="15">
        <f>'Bloom Cleaner Data'!Y14/'Bloom Cleaner Data'!BZ14*'Bloom Cleaner Data'!DF14</f>
        <v>2.140365418241303</v>
      </c>
      <c r="KG14" s="15">
        <f>'Bloom Cleaner Data'!Z14/'Bloom Cleaner Data'!CA14*'Bloom Cleaner Data'!DG14</f>
        <v>2.1876792430813321</v>
      </c>
      <c r="KH14" s="15">
        <f>'Bloom Cleaner Data'!AA14/'Bloom Cleaner Data'!CB14*'Bloom Cleaner Data'!DH14</f>
        <v>2.1066872506544807</v>
      </c>
      <c r="KI14" s="15">
        <f>'Bloom Cleaner Data'!AB14/'Bloom Cleaner Data'!CC14*'Bloom Cleaner Data'!DI14</f>
        <v>2.0228298809455092</v>
      </c>
      <c r="KJ14" s="15">
        <f>'Bloom Cleaner Data'!AC14/'Bloom Cleaner Data'!CD14*'Bloom Cleaner Data'!DJ14</f>
        <v>2.1238845230955445</v>
      </c>
      <c r="KK14" s="15">
        <f>'Bloom Cleaner Data'!AD14/'Bloom Cleaner Data'!CE14*'Bloom Cleaner Data'!DK14</f>
        <v>2.2307983547226615</v>
      </c>
      <c r="KL14" s="15">
        <f>'Bloom Cleaner Data'!AE14/'Bloom Cleaner Data'!CF14*'Bloom Cleaner Data'!DL14</f>
        <v>2.3521367881265896</v>
      </c>
      <c r="KM14" s="15">
        <f>'Bloom Cleaner Data'!AF14/'Bloom Cleaner Data'!CG14*'Bloom Cleaner Data'!DM14</f>
        <v>2.4852190119353677</v>
      </c>
      <c r="KN14" s="15">
        <f>'Bloom Cleaner Data'!AG14/'Bloom Cleaner Data'!CH14*'Bloom Cleaner Data'!DN14</f>
        <v>2.4995077754135</v>
      </c>
      <c r="KO14" s="15">
        <f>'Bloom Cleaner Data'!AH14/'Bloom Cleaner Data'!CI14*'Bloom Cleaner Data'!DO14</f>
        <v>2.5157067276810259</v>
      </c>
      <c r="KP14" s="15"/>
      <c r="KQ14" s="15">
        <f t="shared" si="79"/>
        <v>2.5001445050099647</v>
      </c>
      <c r="KR14" s="15">
        <f t="shared" si="80"/>
        <v>2.4631425757891208</v>
      </c>
      <c r="KS14" s="15">
        <f t="shared" si="81"/>
        <v>2.279200346845534</v>
      </c>
      <c r="KT14" s="18">
        <f t="shared" si="82"/>
        <v>-1.4406588907484211E-2</v>
      </c>
      <c r="KU14" s="18"/>
      <c r="KV14" s="1694" t="s">
        <v>286</v>
      </c>
      <c r="KW14" s="506">
        <f>('Bloom Cleaner Data'!T14+'OPERATING LEASES'!AU14)/DK14</f>
        <v>2.5668464622409761</v>
      </c>
      <c r="KX14" s="506">
        <f>('Bloom Cleaner Data'!U14+'OPERATING LEASES'!AV14)/DL14</f>
        <v>2.6695355056844789</v>
      </c>
      <c r="KY14" s="506">
        <f>('Bloom Cleaner Data'!V14+'OPERATING LEASES'!AW14)/DM14</f>
        <v>2.7770737096715448</v>
      </c>
      <c r="KZ14" s="506">
        <f>('Bloom Cleaner Data'!W14+'OPERATING LEASES'!AX14)/DN14</f>
        <v>2.5537985762794091</v>
      </c>
      <c r="LA14" s="506">
        <f>('Bloom Cleaner Data'!X14+'OPERATING LEASES'!AY14)/DO14</f>
        <v>2.3379885768425903</v>
      </c>
      <c r="LB14" s="506">
        <f>('Bloom Cleaner Data'!Y14+'OPERATING LEASES'!AZ14)/DP14</f>
        <v>2.3802221241449288</v>
      </c>
      <c r="LC14" s="506">
        <f>('Bloom Cleaner Data'!Z14+'OPERATING LEASES'!BA14)/DQ14</f>
        <v>2.4235297073634583</v>
      </c>
      <c r="LD14" s="506">
        <f>('Bloom Cleaner Data'!AA14+'OPERATING LEASES'!BB14)/DR14</f>
        <v>2.3393720552358825</v>
      </c>
      <c r="LE14" s="506">
        <f>('Bloom Cleaner Data'!AB14+'OPERATING LEASES'!BC14)/DS14</f>
        <v>2.2518559190940945</v>
      </c>
      <c r="LF14" s="506">
        <f>('Bloom Cleaner Data'!AC14+'OPERATING LEASES'!BD14)/DT14</f>
        <v>2.3640194362121809</v>
      </c>
      <c r="LG14" s="506">
        <f>('Bloom Cleaner Data'!AD14+'OPERATING LEASES'!BE14)/DU14</f>
        <v>2.4817613493214936</v>
      </c>
      <c r="LH14" s="506">
        <f>('Bloom Cleaner Data'!AE14+'OPERATING LEASES'!BF14)/DV14</f>
        <v>2.623216261863262</v>
      </c>
      <c r="LI14" s="506">
        <f>('Bloom Cleaner Data'!AF14+'OPERATING LEASES'!BG14)/DW14</f>
        <v>2.776912604496427</v>
      </c>
      <c r="LJ14" s="506">
        <f>('Bloom Cleaner Data'!AG14+'OPERATING LEASES'!BH14)/DX14</f>
        <v>2.7943886849060871</v>
      </c>
      <c r="LK14" s="506">
        <f>('Bloom Cleaner Data'!AH14+'OPERATING LEASES'!BI14)/DY14</f>
        <v>2.8138910595815916</v>
      </c>
      <c r="LL14" s="15"/>
      <c r="LM14" s="15">
        <f t="shared" si="83"/>
        <v>2.7950641163280352</v>
      </c>
      <c r="LN14" s="15">
        <f t="shared" si="84"/>
        <v>2.7521021527118417</v>
      </c>
      <c r="LO14" s="15">
        <f t="shared" si="85"/>
        <v>0.2889595769227209</v>
      </c>
      <c r="LP14" s="15">
        <f t="shared" si="86"/>
        <v>2.5321561588471506</v>
      </c>
      <c r="LQ14" s="18">
        <f t="shared" si="87"/>
        <v>1.3257606300410854E-2</v>
      </c>
      <c r="LR14" s="15">
        <f t="shared" si="88"/>
        <v>0.25295581200161665</v>
      </c>
      <c r="LS14" s="18"/>
      <c r="LT14" s="15">
        <f t="shared" si="89"/>
        <v>2.5668464622409761</v>
      </c>
      <c r="LU14" s="15">
        <f t="shared" si="90"/>
        <v>2.6695355056844789</v>
      </c>
      <c r="LV14" s="15">
        <f t="shared" si="91"/>
        <v>2.7770737096715448</v>
      </c>
      <c r="LW14" s="15">
        <f t="shared" si="92"/>
        <v>2.5537985762794091</v>
      </c>
      <c r="LX14" s="15">
        <f t="shared" si="93"/>
        <v>2.3379885768425903</v>
      </c>
      <c r="LY14" s="15">
        <f t="shared" si="94"/>
        <v>2.3802221241449288</v>
      </c>
      <c r="LZ14" s="15">
        <f t="shared" si="95"/>
        <v>2.4235297073634583</v>
      </c>
      <c r="MA14" s="15">
        <f t="shared" si="96"/>
        <v>2.3393720552358825</v>
      </c>
      <c r="MB14" s="15">
        <f t="shared" si="97"/>
        <v>2.2518559190940945</v>
      </c>
      <c r="MC14" s="15">
        <f t="shared" si="98"/>
        <v>2.3640194362121809</v>
      </c>
      <c r="MD14" s="15">
        <f t="shared" si="99"/>
        <v>2.4817613493214936</v>
      </c>
      <c r="ME14" s="15">
        <f t="shared" si="100"/>
        <v>2.623216261863262</v>
      </c>
      <c r="MF14" s="15">
        <f t="shared" si="101"/>
        <v>2.776912604496427</v>
      </c>
      <c r="MG14" s="15">
        <f t="shared" si="102"/>
        <v>2.7943886849060871</v>
      </c>
      <c r="MH14" s="15">
        <f t="shared" si="103"/>
        <v>2.8138910595815916</v>
      </c>
      <c r="MI14" s="15"/>
      <c r="MJ14" s="15">
        <f t="shared" si="104"/>
        <v>2.7950641163280352</v>
      </c>
      <c r="MK14" s="15">
        <f t="shared" si="105"/>
        <v>2.7521021527118417</v>
      </c>
      <c r="ML14" s="506">
        <f t="shared" si="106"/>
        <v>2.5321561588471506</v>
      </c>
      <c r="MM14" s="10">
        <f t="shared" si="107"/>
        <v>1.3257606300410854E-2</v>
      </c>
      <c r="MN14" s="18"/>
      <c r="MO14" s="15">
        <f>('Bloom Cleaner Data'!T14+'Bloom Cleaner Data'!EY14)/'Bloom Cleaner Data'!GV14</f>
        <v>2.4091542183808277</v>
      </c>
      <c r="MP14" s="15">
        <f>('Bloom Cleaner Data'!U14+'Bloom Cleaner Data'!EZ14)/'Bloom Cleaner Data'!GW14</f>
        <v>2.74936240023123</v>
      </c>
      <c r="MQ14" s="15">
        <f>('Bloom Cleaner Data'!V14+'Bloom Cleaner Data'!FA14)/'Bloom Cleaner Data'!GX14</f>
        <v>3.1005149967256309</v>
      </c>
      <c r="MR14" s="15">
        <f>('Bloom Cleaner Data'!W14+'Bloom Cleaner Data'!FB14)/'Bloom Cleaner Data'!GY14</f>
        <v>2.6251270454405544</v>
      </c>
      <c r="MS14" s="15">
        <f>('Bloom Cleaner Data'!X14+'Bloom Cleaner Data'!FC14)/'Bloom Cleaner Data'!GZ14</f>
        <v>2.1771686627074267</v>
      </c>
      <c r="MT14" s="15">
        <f>('Bloom Cleaner Data'!Y14+'Bloom Cleaner Data'!FD14)/'Bloom Cleaner Data'!HA14</f>
        <v>2.2180621412311861</v>
      </c>
      <c r="MU14" s="15">
        <f>('Bloom Cleaner Data'!Z14+'Bloom Cleaner Data'!FE14)/'Bloom Cleaner Data'!HB14</f>
        <v>2.259969574052457</v>
      </c>
      <c r="MV14" s="15">
        <f>('Bloom Cleaner Data'!AA14+'Bloom Cleaner Data'!FF14)/'Bloom Cleaner Data'!HC14</f>
        <v>2.1867193819398119</v>
      </c>
      <c r="MW14" s="15">
        <f>('Bloom Cleaner Data'!AB14+'Bloom Cleaner Data'!FG14)/'Bloom Cleaner Data'!HD14</f>
        <v>2.1101189752452214</v>
      </c>
      <c r="MX14" s="15">
        <f>('Bloom Cleaner Data'!AC14+'Bloom Cleaner Data'!FH14)/'Bloom Cleaner Data'!HE14</f>
        <v>2.4135113548493115</v>
      </c>
      <c r="MY14" s="15">
        <f>('Bloom Cleaner Data'!AD14+'Bloom Cleaner Data'!FI14)/'Bloom Cleaner Data'!HF14</f>
        <v>2.7339627113668752</v>
      </c>
      <c r="MZ14" s="15">
        <f>('Bloom Cleaner Data'!AE14+'Bloom Cleaner Data'!FJ14)/'Bloom Cleaner Data'!HG14</f>
        <v>2.9347803188931518</v>
      </c>
      <c r="NA14" s="15">
        <f>('Bloom Cleaner Data'!AF14+'Bloom Cleaner Data'!FK14)/'Bloom Cleaner Data'!HH14</f>
        <v>3.1576795802988622</v>
      </c>
      <c r="NB14" s="15">
        <f>('Bloom Cleaner Data'!AG14+'Bloom Cleaner Data'!FL14)/'Bloom Cleaner Data'!HI14</f>
        <v>3.078744584596055</v>
      </c>
      <c r="NC14" s="15">
        <f>('Bloom Cleaner Data'!AH14+'Bloom Cleaner Data'!FM14)/'Bloom Cleaner Data'!HJ14</f>
        <v>2.9990633964556537</v>
      </c>
      <c r="ND14" s="15"/>
      <c r="NE14" s="15">
        <f t="shared" si="43"/>
        <v>0.4833566687746278</v>
      </c>
      <c r="NF14" s="15">
        <f t="shared" si="108"/>
        <v>3.0784958537835236</v>
      </c>
      <c r="NG14" s="15">
        <f t="shared" si="44"/>
        <v>0.57835134877355898</v>
      </c>
      <c r="NH14" s="15">
        <f t="shared" si="109"/>
        <v>3.0425669700609306</v>
      </c>
      <c r="NI14" s="15">
        <f t="shared" si="110"/>
        <v>2.6150325172155533</v>
      </c>
      <c r="NJ14" s="18">
        <f t="shared" si="111"/>
        <v>-3.2720886813035095E-2</v>
      </c>
      <c r="NK14" s="15">
        <f t="shared" si="45"/>
        <v>0.33583217037001933</v>
      </c>
      <c r="NL14" s="2818"/>
      <c r="NM14" s="1694" t="s">
        <v>286</v>
      </c>
      <c r="NN14" s="15">
        <f>KW14+'Bloom Cleaner Data'!EY14/CALCULATIONS!DK14</f>
        <v>2.6265018811893839</v>
      </c>
      <c r="NO14" s="15">
        <f>KX14+'Bloom Cleaner Data'!EZ14/CALCULATIONS!DL14</f>
        <v>2.9532542787037821</v>
      </c>
      <c r="NP14" s="15">
        <f>KY14+'Bloom Cleaner Data'!FA14/CALCULATIONS!DM14</f>
        <v>3.2914364886562208</v>
      </c>
      <c r="NQ14" s="15">
        <f>KZ14+'Bloom Cleaner Data'!FB14/CALCULATIONS!DN14</f>
        <v>2.8431499992589027</v>
      </c>
      <c r="NR14" s="15">
        <f>LA14+'Bloom Cleaner Data'!FC14/CALCULATIONS!DO14</f>
        <v>2.4165534450752859</v>
      </c>
      <c r="NS14" s="15">
        <f>LB14+'Bloom Cleaner Data'!FD14/CALCULATIONS!DP14</f>
        <v>2.4537874645425353</v>
      </c>
      <c r="NT14" s="15">
        <f>LC14+'Bloom Cleaner Data'!FE14/CALCULATIONS!DQ14</f>
        <v>2.4920002691956538</v>
      </c>
      <c r="NU14" s="15">
        <f>LD14+'Bloom Cleaner Data'!FF14/CALCULATIONS!DR14</f>
        <v>2.4153064611820971</v>
      </c>
      <c r="NV14" s="15">
        <f>LE14+'Bloom Cleaner Data'!FG14/CALCULATIONS!DS14</f>
        <v>2.3348257014187599</v>
      </c>
      <c r="NW14" s="15">
        <f>LF14+'Bloom Cleaner Data'!FH14/CALCULATIONS!DT14</f>
        <v>2.6382841498728746</v>
      </c>
      <c r="NX14" s="15">
        <f>LG14+'Bloom Cleaner Data'!FI14/CALCULATIONS!DU14</f>
        <v>2.9563593049613237</v>
      </c>
      <c r="NY14" s="15">
        <f>LH14+'Bloom Cleaner Data'!FJ14/CALCULATIONS!DV14</f>
        <v>3.1691211276760778</v>
      </c>
      <c r="NZ14" s="15">
        <f>LI14+'Bloom Cleaner Data'!FK14/CALCULATIONS!DW14</f>
        <v>3.4022891033342142</v>
      </c>
      <c r="OA14" s="15">
        <f>LJ14+'Bloom Cleaner Data'!FL14/CALCULATIONS!DX14</f>
        <v>3.332484459006789</v>
      </c>
      <c r="OB14" s="15">
        <f>LK14+'Bloom Cleaner Data'!FM14/CALCULATIONS!DY14</f>
        <v>3.2623961251190861</v>
      </c>
      <c r="OC14" s="15"/>
      <c r="OD14" s="15">
        <f t="shared" si="46"/>
        <v>0.44850506553749447</v>
      </c>
      <c r="OE14" s="15">
        <f t="shared" si="112"/>
        <v>3.3323898958200293</v>
      </c>
      <c r="OF14" s="15">
        <f t="shared" si="47"/>
        <v>0.53732577949199412</v>
      </c>
      <c r="OG14" s="15">
        <f t="shared" si="113"/>
        <v>3.2915727037840417</v>
      </c>
      <c r="OH14" s="15">
        <f t="shared" si="114"/>
        <v>2.8467687768692178</v>
      </c>
      <c r="OI14" s="18">
        <f t="shared" si="115"/>
        <v>-8.8230058933906289E-3</v>
      </c>
      <c r="OJ14" s="15">
        <f t="shared" si="48"/>
        <v>0.31461261802206719</v>
      </c>
      <c r="OK14" s="15"/>
      <c r="OL14" s="13">
        <f>'Bloom Cleaner Data'!GF14+('Bloom Cleaner Data'!T14+'Bloom Cleaner Data'!EY14)+'Bloom Cleaner Data'!CK14</f>
        <v>66093</v>
      </c>
      <c r="OM14" s="13">
        <f>'Bloom Cleaner Data'!GG14+('Bloom Cleaner Data'!U14+'Bloom Cleaner Data'!EZ14)+'Bloom Cleaner Data'!CL14</f>
        <v>71907.5</v>
      </c>
      <c r="ON14" s="13">
        <f>'Bloom Cleaner Data'!GH14+('Bloom Cleaner Data'!V14+'Bloom Cleaner Data'!FA14)+'Bloom Cleaner Data'!CM14</f>
        <v>77722</v>
      </c>
      <c r="OO14" s="13">
        <f>'Bloom Cleaner Data'!GI14+('Bloom Cleaner Data'!W14+'Bloom Cleaner Data'!FB14)+'Bloom Cleaner Data'!CN14</f>
        <v>71950.999999999985</v>
      </c>
      <c r="OP14" s="13">
        <f>'Bloom Cleaner Data'!GJ14+('Bloom Cleaner Data'!X14+'Bloom Cleaner Data'!FC14)+'Bloom Cleaner Data'!CO14</f>
        <v>66180</v>
      </c>
      <c r="OQ14" s="13">
        <f>'Bloom Cleaner Data'!GK14+('Bloom Cleaner Data'!Y14+'Bloom Cleaner Data'!FD14)+'Bloom Cleaner Data'!CP14</f>
        <v>65586</v>
      </c>
      <c r="OR14" s="13">
        <f>'Bloom Cleaner Data'!GL14+('Bloom Cleaner Data'!Z14+'Bloom Cleaner Data'!FE14)+'Bloom Cleaner Data'!CQ14</f>
        <v>64992</v>
      </c>
      <c r="OS14" s="13">
        <f>'Bloom Cleaner Data'!GM14+('Bloom Cleaner Data'!AA14+'Bloom Cleaner Data'!FF14)+'Bloom Cleaner Data'!CR14</f>
        <v>64147.5</v>
      </c>
      <c r="OT14" s="13">
        <f>'Bloom Cleaner Data'!GN14+('Bloom Cleaner Data'!AB14+'Bloom Cleaner Data'!FG14)+'Bloom Cleaner Data'!CS14</f>
        <v>63303</v>
      </c>
      <c r="OU14" s="13">
        <f>'Bloom Cleaner Data'!GO14+('Bloom Cleaner Data'!AC14+'Bloom Cleaner Data'!FH14)+'Bloom Cleaner Data'!CT14</f>
        <v>66451.5</v>
      </c>
      <c r="OV14" s="13">
        <f>'Bloom Cleaner Data'!GP14+('Bloom Cleaner Data'!AD14+'Bloom Cleaner Data'!FI14)+'Bloom Cleaner Data'!CU14</f>
        <v>69600</v>
      </c>
      <c r="OW14" s="13">
        <f>'Bloom Cleaner Data'!GQ14+('Bloom Cleaner Data'!AE14+'Bloom Cleaner Data'!FJ14)+'Bloom Cleaner Data'!CV14</f>
        <v>68567.5</v>
      </c>
      <c r="OX14" s="13">
        <f>'Bloom Cleaner Data'!GR14+('Bloom Cleaner Data'!AF14+'Bloom Cleaner Data'!FK14)+'Bloom Cleaner Data'!CW14</f>
        <v>67535</v>
      </c>
      <c r="OY14" s="13">
        <f>'Bloom Cleaner Data'!GS14+('Bloom Cleaner Data'!AG14+'Bloom Cleaner Data'!FL14)+'Bloom Cleaner Data'!CX14</f>
        <v>65780</v>
      </c>
      <c r="OZ14" s="13">
        <f>'Bloom Cleaner Data'!GT14+('Bloom Cleaner Data'!AH14+'Bloom Cleaner Data'!FM14)+'Bloom Cleaner Data'!CY14</f>
        <v>64025</v>
      </c>
      <c r="PA14" s="166"/>
      <c r="PB14" s="1694" t="s">
        <v>286</v>
      </c>
      <c r="PC14" s="947">
        <f>('Bloom Cleaner Data'!T14+'Bloom Cleaner Data'!EY14+'OPERATING LEASES'!BL14)/CALCULATIONS!OL14</f>
        <v>0.52589532930870142</v>
      </c>
      <c r="PD14" s="947">
        <f>('Bloom Cleaner Data'!U14+'Bloom Cleaner Data'!EZ14+'OPERATING LEASES'!BM14)/CALCULATIONS!OM14</f>
        <v>0.54275501512359625</v>
      </c>
      <c r="PE14" s="947">
        <f>('Bloom Cleaner Data'!V14+'Bloom Cleaner Data'!FA14+'OPERATING LEASES'!BN14)/CALCULATIONS!ON14</f>
        <v>0.55709210390880315</v>
      </c>
      <c r="PF14" s="947">
        <f>('Bloom Cleaner Data'!W14+'Bloom Cleaner Data'!FB14+'OPERATING LEASES'!BO14)/CALCULATIONS!OO14</f>
        <v>0.53033965823963547</v>
      </c>
      <c r="PG14" s="947">
        <f>('Bloom Cleaner Data'!X14+'Bloom Cleaner Data'!FC14+'OPERATING LEASES'!BP14)/CALCULATIONS!OP14</f>
        <v>0.49892150196433965</v>
      </c>
      <c r="PH14" s="947">
        <f>('Bloom Cleaner Data'!Y14+'Bloom Cleaner Data'!FD14+'OPERATING LEASES'!BQ14)/CALCULATIONS!OQ14</f>
        <v>0.50765693135730183</v>
      </c>
      <c r="PI14" s="947">
        <f>('Bloom Cleaner Data'!Z14+'Bloom Cleaner Data'!FE14+'OPERATING LEASES'!BR14)/CALCULATIONS!OR14</f>
        <v>0.51655203717380604</v>
      </c>
      <c r="PJ14" s="947">
        <f>('Bloom Cleaner Data'!AA14+'Bloom Cleaner Data'!FF14+'OPERATING LEASES'!BS14)/CALCULATIONS!OS14</f>
        <v>0.51479500370240461</v>
      </c>
      <c r="PK14" s="947">
        <f>('Bloom Cleaner Data'!AB14+'Bloom Cleaner Data'!FG14+'OPERATING LEASES'!BT14)/CALCULATIONS!OT14</f>
        <v>0.51299109046964597</v>
      </c>
      <c r="PL14" s="947">
        <f>('Bloom Cleaner Data'!AC14+'Bloom Cleaner Data'!FH14+'OPERATING LEASES'!BU14)/CALCULATIONS!OU14</f>
        <v>0.54359664567391253</v>
      </c>
      <c r="PM14" s="947">
        <f>('Bloom Cleaner Data'!AD14+'Bloom Cleaner Data'!FI14+'OPERATING LEASES'!BV14)/CALCULATIONS!OV14</f>
        <v>0.57143318965517242</v>
      </c>
      <c r="PN14" s="947">
        <f>('Bloom Cleaner Data'!AE14+'Bloom Cleaner Data'!FJ14+'OPERATING LEASES'!BW14)/CALCULATIONS!OW14</f>
        <v>0.58173606300360958</v>
      </c>
      <c r="PO14" s="947">
        <f>('Bloom Cleaner Data'!AF14+'Bloom Cleaner Data'!FK14+'OPERATING LEASES'!BX14)/CALCULATIONS!OX14</f>
        <v>0.59235396461094247</v>
      </c>
      <c r="PP14" s="947">
        <f>('Bloom Cleaner Data'!AG14+'Bloom Cleaner Data'!FL14+'OPERATING LEASES'!BY14)/CALCULATIONS!OY14</f>
        <v>0.58446526299787172</v>
      </c>
      <c r="PQ14" s="947">
        <f>('Bloom Cleaner Data'!AH14+'Bloom Cleaner Data'!FM14+'OPERATING LEASES'!BZ14)/CALCULATIONS!OZ14</f>
        <v>0.57614408434205389</v>
      </c>
      <c r="PR14" s="947"/>
      <c r="PS14" s="18">
        <f t="shared" si="116"/>
        <v>0.58432110398362269</v>
      </c>
      <c r="PT14" s="18">
        <f t="shared" si="117"/>
        <v>0.58367484373861944</v>
      </c>
      <c r="PU14" s="18">
        <f t="shared" si="118"/>
        <v>0.54523673362303837</v>
      </c>
      <c r="PV14" s="10">
        <f t="shared" si="119"/>
        <v>3.4198977690715171E-2</v>
      </c>
      <c r="PW14" s="10"/>
      <c r="PX14" s="506">
        <f>'Bloom Cleaner Data'!D14/'Bloom Cleaner Data'!GF14</f>
        <v>1.5597053352266963</v>
      </c>
      <c r="PY14" s="506">
        <f>'Bloom Cleaner Data'!E14/'Bloom Cleaner Data'!GG14</f>
        <v>1.3427342355312408</v>
      </c>
      <c r="PZ14" s="506">
        <f>'Bloom Cleaner Data'!F14/'Bloom Cleaner Data'!GH14</f>
        <v>1.1478969942617725</v>
      </c>
      <c r="QA14" s="506">
        <f>'Bloom Cleaner Data'!G14/'Bloom Cleaner Data'!GI14</f>
        <v>1.2268889588437801</v>
      </c>
      <c r="QB14" s="506">
        <f>'Bloom Cleaner Data'!H14/'Bloom Cleaner Data'!GJ14</f>
        <v>1.3093561792766808</v>
      </c>
      <c r="QC14" s="506">
        <f>'Bloom Cleaner Data'!I14/'Bloom Cleaner Data'!GK14</f>
        <v>1.2977497311653818</v>
      </c>
      <c r="QD14" s="506">
        <f>'Bloom Cleaner Data'!J14/'Bloom Cleaner Data'!GL14</f>
        <v>1.2856244345839267</v>
      </c>
      <c r="QE14" s="506">
        <f>'Bloom Cleaner Data'!K14/'Bloom Cleaner Data'!GM14</f>
        <v>1.1838108962887393</v>
      </c>
      <c r="QF14" s="506">
        <f>'Bloom Cleaner Data'!L14/'Bloom Cleaner Data'!GN14</f>
        <v>1.0799089280886727</v>
      </c>
      <c r="QG14" s="506">
        <f>'Bloom Cleaner Data'!M14/'Bloom Cleaner Data'!GO14</f>
        <v>1.0106257825159914</v>
      </c>
      <c r="QH14" s="506">
        <f>'Bloom Cleaner Data'!N14/'Bloom Cleaner Data'!GP14</f>
        <v>0.94000866255640125</v>
      </c>
      <c r="QI14" s="506">
        <f>'Bloom Cleaner Data'!O14/'Bloom Cleaner Data'!GQ14</f>
        <v>0.8878357651984049</v>
      </c>
      <c r="QJ14" s="506">
        <f>'Bloom Cleaner Data'!P14/'Bloom Cleaner Data'!GR14</f>
        <v>0.8304246171922377</v>
      </c>
      <c r="QK14" s="506">
        <f>'Bloom Cleaner Data'!Q14/'Bloom Cleaner Data'!GS14</f>
        <v>0.78033157494390137</v>
      </c>
      <c r="QL14" s="506">
        <f>'Bloom Cleaner Data'!R14/'Bloom Cleaner Data'!GT14</f>
        <v>0.72989058468819168</v>
      </c>
      <c r="QM14" s="506"/>
      <c r="QN14" s="506">
        <f t="shared" si="120"/>
        <v>1.0546425468926217</v>
      </c>
      <c r="QO14" s="10">
        <f t="shared" si="121"/>
        <v>-0.36414975530309335</v>
      </c>
      <c r="QP14" s="506">
        <f t="shared" si="122"/>
        <v>1.194848764946072</v>
      </c>
      <c r="QQ14" s="18"/>
      <c r="QR14" s="506">
        <f>'Bloom Cleaner Data'!GF14/CALCULATIONS!DK14</f>
        <v>1.9736334745380923</v>
      </c>
      <c r="QS14" s="506">
        <f>'Bloom Cleaner Data'!GG14/CALCULATIONS!DL14</f>
        <v>2.1142442933041727</v>
      </c>
      <c r="QT14" s="506">
        <f>'Bloom Cleaner Data'!GH14/CALCULATIONS!DM14</f>
        <v>2.2603825018570074</v>
      </c>
      <c r="QU14" s="506">
        <f>'Bloom Cleaner Data'!GI14/CALCULATIONS!DN14</f>
        <v>2.1393161960852565</v>
      </c>
      <c r="QV14" s="506">
        <f>'Bloom Cleaner Data'!GJ14/CALCULATIONS!DO14</f>
        <v>2.0200839672969138</v>
      </c>
      <c r="QW14" s="506">
        <f>'Bloom Cleaner Data'!GK14/CALCULATIONS!DP14</f>
        <v>1.9967088522511696</v>
      </c>
      <c r="QX14" s="506">
        <f>'Bloom Cleaner Data'!GL14/CALCULATIONS!DQ14</f>
        <v>1.9730367335596155</v>
      </c>
      <c r="QY14" s="506">
        <f>'Bloom Cleaner Data'!GM14/CALCULATIONS!DR14</f>
        <v>1.9246265646164087</v>
      </c>
      <c r="QZ14" s="506">
        <f>'Bloom Cleaner Data'!GN14/CALCULATIONS!DS14</f>
        <v>1.8728007616716216</v>
      </c>
      <c r="RA14" s="506">
        <f>'Bloom Cleaner Data'!GO14/CALCULATIONS!DT14</f>
        <v>1.897647685395748</v>
      </c>
      <c r="RB14" s="506">
        <f>'Bloom Cleaner Data'!GP14/CALCULATIONS!DU14</f>
        <v>1.9239042789850855</v>
      </c>
      <c r="RC14" s="506">
        <f>'Bloom Cleaner Data'!GQ14/CALCULATIONS!DV14</f>
        <v>1.953911383372009</v>
      </c>
      <c r="RD14" s="506">
        <f>'Bloom Cleaner Data'!GR14/CALCULATIONS!DW14</f>
        <v>1.9829267570407618</v>
      </c>
      <c r="RE14" s="506">
        <f>'Bloom Cleaner Data'!GS14/CALCULATIONS!DX14</f>
        <v>2.004555424827112</v>
      </c>
      <c r="RF14" s="506">
        <f>'Bloom Cleaner Data'!GT14/CALCULATIONS!DY14</f>
        <v>2.0279084947736714</v>
      </c>
      <c r="RG14" s="506"/>
      <c r="RH14" s="506">
        <f t="shared" si="123"/>
        <v>1.998293046287106</v>
      </c>
      <c r="RI14" s="506">
        <f t="shared" si="124"/>
        <v>1.9512575649157817</v>
      </c>
      <c r="RJ14" s="18"/>
      <c r="RK14" s="506">
        <f>'Bloom Cleaner Data'!GF14/($RK$1*DK14+(1-$RK$1)*'Bloom Cleaner Data'!GV14)</f>
        <v>1.9736334745380923</v>
      </c>
      <c r="RL14" s="506">
        <f>'Bloom Cleaner Data'!GG14/($RK$1*DL14+(1-$RK$1)*'Bloom Cleaner Data'!GW14)</f>
        <v>2.1142442933041727</v>
      </c>
      <c r="RM14" s="506">
        <f>'Bloom Cleaner Data'!GH14/($RK$1*DM14+(1-$RK$1)*'Bloom Cleaner Data'!GX14)</f>
        <v>2.2603825018570074</v>
      </c>
      <c r="RN14" s="506">
        <f>'Bloom Cleaner Data'!GI14/($RK$1*DN14+(1-$RK$1)*'Bloom Cleaner Data'!GY14)</f>
        <v>2.1393161960852565</v>
      </c>
      <c r="RO14" s="506">
        <f>'Bloom Cleaner Data'!GJ14/($RK$1*DO14+(1-$RK$1)*'Bloom Cleaner Data'!GZ14)</f>
        <v>2.0200839672969138</v>
      </c>
      <c r="RP14" s="506">
        <f>'Bloom Cleaner Data'!GK14/($RK$1*DP14+(1-$RK$1)*'Bloom Cleaner Data'!HA14)</f>
        <v>1.9967088522511696</v>
      </c>
      <c r="RQ14" s="506">
        <f>'Bloom Cleaner Data'!GL14/($RK$1*DQ14+(1-$RK$1)*'Bloom Cleaner Data'!HB14)</f>
        <v>1.9730367335596155</v>
      </c>
      <c r="RR14" s="506">
        <f>'Bloom Cleaner Data'!GM14/($RK$1*DR14+(1-$RK$1)*'Bloom Cleaner Data'!HC14)</f>
        <v>1.9246265646164087</v>
      </c>
      <c r="RS14" s="506">
        <f>'Bloom Cleaner Data'!GN14/($RK$1*DS14+(1-$RK$1)*'Bloom Cleaner Data'!HD14)</f>
        <v>1.8728007616716216</v>
      </c>
      <c r="RT14" s="506">
        <f>'Bloom Cleaner Data'!GO14/($RK$1*DT14+(1-$RK$1)*'Bloom Cleaner Data'!HE14)</f>
        <v>1.897647685395748</v>
      </c>
      <c r="RU14" s="506">
        <f>'Bloom Cleaner Data'!GP14/($RK$1*DU14+(1-$RK$1)*'Bloom Cleaner Data'!HF14)</f>
        <v>1.9239042789850855</v>
      </c>
      <c r="RV14" s="506">
        <f>'Bloom Cleaner Data'!GQ14/($RK$1*DV14+(1-$RK$1)*'Bloom Cleaner Data'!HG14)</f>
        <v>1.953911383372009</v>
      </c>
      <c r="RW14" s="506">
        <f>'Bloom Cleaner Data'!GR14/($RK$1*DW14+(1-$RK$1)*'Bloom Cleaner Data'!HH14)</f>
        <v>1.9829267570407618</v>
      </c>
      <c r="RX14" s="506">
        <f>'Bloom Cleaner Data'!GS14/($RK$1*DX14+(1-$RK$1)*'Bloom Cleaner Data'!HI14)</f>
        <v>2.004555424827112</v>
      </c>
      <c r="RY14" s="506">
        <f>'Bloom Cleaner Data'!GT14/($RK$1*DY14+(1-$RK$1)*'Bloom Cleaner Data'!HJ14)</f>
        <v>2.0279084947736714</v>
      </c>
      <c r="RZ14" s="506"/>
      <c r="SA14" s="506">
        <f t="shared" si="125"/>
        <v>1.998293046287106</v>
      </c>
      <c r="SB14" s="506">
        <f t="shared" si="126"/>
        <v>1.9512575649157817</v>
      </c>
      <c r="SC14" s="18"/>
      <c r="SD14" s="15">
        <f>'Bloom Cleaner Data'!HM14</f>
        <v>5.7671000000000001</v>
      </c>
      <c r="SE14" s="15">
        <f>'Bloom Cleaner Data'!HN14</f>
        <v>6.2724000000000002</v>
      </c>
      <c r="SF14" s="15">
        <f>'Bloom Cleaner Data'!HO14</f>
        <v>6.7777000000000003</v>
      </c>
      <c r="SG14" s="15">
        <f>'Bloom Cleaner Data'!HP14</f>
        <v>6.5382999999999996</v>
      </c>
      <c r="SH14" s="15">
        <f>'Bloom Cleaner Data'!HQ14</f>
        <v>6.2988999999999997</v>
      </c>
      <c r="SI14" s="15">
        <f>'Bloom Cleaner Data'!HR14</f>
        <v>6.5455500000000004</v>
      </c>
      <c r="SJ14" s="15">
        <f>'Bloom Cleaner Data'!HS14</f>
        <v>6.7922000000000002</v>
      </c>
      <c r="SK14" s="15">
        <f>'Bloom Cleaner Data'!HT14</f>
        <v>6.2340499999999999</v>
      </c>
      <c r="SL14" s="15">
        <f>'Bloom Cleaner Data'!HU14</f>
        <v>5.6759000000000004</v>
      </c>
      <c r="SM14" s="15">
        <f>'Bloom Cleaner Data'!HV14</f>
        <v>5.6132500000000007</v>
      </c>
      <c r="SN14" s="15">
        <f>'Bloom Cleaner Data'!HW14</f>
        <v>5.5506000000000002</v>
      </c>
      <c r="SO14" s="15">
        <f>'Bloom Cleaner Data'!HX14</f>
        <v>4.7308000000000003</v>
      </c>
      <c r="SP14" s="15">
        <f>'Bloom Cleaner Data'!HY14</f>
        <v>3.911</v>
      </c>
      <c r="SQ14" s="15">
        <f>'Bloom Cleaner Data'!HZ14</f>
        <v>4.1823499999999996</v>
      </c>
      <c r="SR14" s="15">
        <f>'Bloom Cleaner Data'!IA14</f>
        <v>4.4536999999999995</v>
      </c>
      <c r="SS14" s="15"/>
      <c r="ST14" s="15">
        <f t="shared" si="127"/>
        <v>5.689586666666667</v>
      </c>
      <c r="SU14" s="487">
        <f t="shared" si="128"/>
        <v>-0.34288918069551627</v>
      </c>
      <c r="SV14" s="15">
        <f t="shared" si="129"/>
        <v>-2.3240000000000007</v>
      </c>
    </row>
    <row r="15" spans="1:518">
      <c r="A15" s="11" t="s">
        <v>374</v>
      </c>
      <c r="B15" s="72"/>
      <c r="C15" s="2200" t="s">
        <v>42</v>
      </c>
      <c r="D15" s="1133" t="s">
        <v>1042</v>
      </c>
      <c r="E15" s="224"/>
      <c r="F15" s="224"/>
      <c r="G15" s="13">
        <f>'Bloom Cleaner Data'!D15</f>
        <v>5043.6475</v>
      </c>
      <c r="H15" s="13">
        <f>'Bloom Cleaner Data'!F15</f>
        <v>3038.9324000000001</v>
      </c>
      <c r="I15" s="13">
        <f>'Bloom Cleaner Data'!H15</f>
        <v>3004.6219000000001</v>
      </c>
      <c r="J15" s="13">
        <f>'Bloom Cleaner Data'!J15</f>
        <v>3151.6669999999999</v>
      </c>
      <c r="K15" s="13">
        <f>'Bloom Cleaner Data'!L15</f>
        <v>1411.6331</v>
      </c>
      <c r="L15" s="13">
        <f>'Bloom Cleaner Data'!N15</f>
        <v>980.30079999999998</v>
      </c>
      <c r="M15" s="13">
        <f>'Bloom Cleaner Data'!P15</f>
        <v>2499.7669999999998</v>
      </c>
      <c r="N15" s="13">
        <f>'Bloom Cleaner Data'!R15</f>
        <v>2940.9023000000002</v>
      </c>
      <c r="O15" s="13"/>
      <c r="P15" s="13">
        <f t="shared" si="0"/>
        <v>2432.5463571428577</v>
      </c>
      <c r="Q15" s="13">
        <f t="shared" si="49"/>
        <v>2140.323366666667</v>
      </c>
      <c r="R15" s="10">
        <f t="shared" si="1"/>
        <v>-3.2258071946582277E-2</v>
      </c>
      <c r="S15" s="144">
        <f t="shared" si="130"/>
        <v>-3.2258071946582277E-2</v>
      </c>
      <c r="T15" s="10">
        <f t="shared" si="2"/>
        <v>6.9517506959056674E-2</v>
      </c>
      <c r="U15" s="10"/>
      <c r="V15" s="1277" t="s">
        <v>42</v>
      </c>
      <c r="W15" s="1238">
        <f>'Bloom Cleaner Data'!D15/'Bloom Cleaner Data'!$F15</f>
        <v>1.659677424874604</v>
      </c>
      <c r="X15" s="1238">
        <f>'Bloom Cleaner Data'!E15/'Bloom Cleaner Data'!$F15</f>
        <v>1.482258078527841</v>
      </c>
      <c r="Y15" s="1238">
        <f>'Bloom Cleaner Data'!F15/'Bloom Cleaner Data'!$F15</f>
        <v>1</v>
      </c>
      <c r="Z15" s="1238">
        <f>'Bloom Cleaner Data'!G15/'Bloom Cleaner Data'!$F15</f>
        <v>0.85161292169579017</v>
      </c>
      <c r="AA15" s="1238">
        <f>'Bloom Cleaner Data'!H15/'Bloom Cleaner Data'!$F15</f>
        <v>0.98870968633589873</v>
      </c>
      <c r="AB15" s="1238">
        <f>'Bloom Cleaner Data'!I15/'Bloom Cleaner Data'!$F15</f>
        <v>1.270967758282481</v>
      </c>
      <c r="AC15" s="1238">
        <f>'Bloom Cleaner Data'!J15/'Bloom Cleaner Data'!$F15</f>
        <v>1.0370967778026257</v>
      </c>
      <c r="AD15" s="1238">
        <f>'Bloom Cleaner Data'!K15/'Bloom Cleaner Data'!$F15</f>
        <v>0.51612901952014456</v>
      </c>
      <c r="AE15" s="1238">
        <f>'Bloom Cleaner Data'!L15/'Bloom Cleaner Data'!$F15</f>
        <v>0.46451612414938875</v>
      </c>
      <c r="AF15" s="1238">
        <f>'Bloom Cleaner Data'!M15/'Bloom Cleaner Data'!$F15</f>
        <v>0.5145161175681302</v>
      </c>
      <c r="AG15" s="1238">
        <f>'Bloom Cleaner Data'!N15/'Bloom Cleaner Data'!$F15</f>
        <v>0.3225806536532369</v>
      </c>
      <c r="AH15" s="1238">
        <f>'Bloom Cleaner Data'!O15/'Bloom Cleaner Data'!$F15</f>
        <v>0.46935483000543216</v>
      </c>
      <c r="AI15" s="1238">
        <f>'Bloom Cleaner Data'!P15/'Bloom Cleaner Data'!$F15</f>
        <v>0.82258065365323685</v>
      </c>
      <c r="AJ15" s="1238">
        <f>'Bloom Cleaner Data'!Q15/'Bloom Cleaner Data'!$F15</f>
        <v>0.76129031366410116</v>
      </c>
      <c r="AK15" s="1238">
        <f>'Bloom Cleaner Data'!R15/'Bloom Cleaner Data'!$F15</f>
        <v>0.96774192805341774</v>
      </c>
      <c r="AL15" s="13"/>
      <c r="AM15" s="13">
        <f>AVERAGE('Bloom Cleaner Data'!BW15:CI15)</f>
        <v>6355.7932384615378</v>
      </c>
      <c r="AN15" s="18">
        <f>('Bloom Cleaner Data'!CI15-'Bloom Cleaner Data'!BW15)/'Bloom Cleaner Data'!BW15</f>
        <v>-0.38514677124315083</v>
      </c>
      <c r="AO15" s="18">
        <f>('Bloom Cleaner Data'!CI15+'Bloom Cleaner Data'!CH15-'Bloom Cleaner Data'!BW15-'Bloom Cleaner Data'!BV15)/('Bloom Cleaner Data'!BW15+'Bloom Cleaner Data'!BV15)</f>
        <v>-0.41914262246945622</v>
      </c>
      <c r="AP15" s="13"/>
      <c r="AQ15" s="13">
        <f>'Bloom Cleaner Data'!BW15</f>
        <v>8313.5324999999993</v>
      </c>
      <c r="AR15" s="13">
        <f>'Bloom Cleaner Data'!BY15</f>
        <v>7840.6219000000001</v>
      </c>
      <c r="AS15" s="13">
        <f>'Bloom Cleaner Data'!CA15</f>
        <v>7775.8670000000002</v>
      </c>
      <c r="AT15" s="13">
        <f>'Bloom Cleaner Data'!CC15</f>
        <v>5270.5330999999996</v>
      </c>
      <c r="AU15" s="13">
        <f>'Bloom Cleaner Data'!CE15</f>
        <v>4556.3008</v>
      </c>
      <c r="AV15" s="13">
        <f>'Bloom Cleaner Data'!CG15</f>
        <v>5707.1670000000004</v>
      </c>
      <c r="AW15" s="13">
        <f>'Bloom Cleaner Data'!CI15</f>
        <v>5111.6022999999996</v>
      </c>
      <c r="AX15" s="13"/>
      <c r="AY15" s="13">
        <f t="shared" si="3"/>
        <v>6367.9463714285712</v>
      </c>
      <c r="AZ15" s="10">
        <f t="shared" si="4"/>
        <v>-0.38514677124315083</v>
      </c>
      <c r="BA15" s="10"/>
      <c r="BB15" s="13">
        <f>'Bloom Cleaner Data'!T15+'OPERATING LEASES'!AU15</f>
        <v>4517.7</v>
      </c>
      <c r="BC15" s="13">
        <f>'Bloom Cleaner Data'!U15+'OPERATING LEASES'!AV15</f>
        <v>4506.4998999999998</v>
      </c>
      <c r="BD15" s="13">
        <f>'Bloom Cleaner Data'!V15+'OPERATING LEASES'!AW15</f>
        <v>4571.1000999999997</v>
      </c>
      <c r="BE15" s="13">
        <f>'Bloom Cleaner Data'!W15+'OPERATING LEASES'!AX15</f>
        <v>4526.5</v>
      </c>
      <c r="BF15" s="13">
        <f>'Bloom Cleaner Data'!X15+'OPERATING LEASES'!AY15</f>
        <v>4283</v>
      </c>
      <c r="BG15" s="13">
        <f>'Bloom Cleaner Data'!Y15+'OPERATING LEASES'!AZ15</f>
        <v>4429.8680532379503</v>
      </c>
      <c r="BH15" s="13">
        <f>'Bloom Cleaner Data'!Z15+'OPERATING LEASES'!BA15</f>
        <v>4373.9361064759005</v>
      </c>
      <c r="BI15" s="13">
        <f>'Bloom Cleaner Data'!AA15+'OPERATING LEASES'!BB15</f>
        <v>4396.4041597138503</v>
      </c>
      <c r="BJ15" s="13">
        <f>'Bloom Cleaner Data'!AB15+'OPERATING LEASES'!BC15</f>
        <v>3991.3722129518001</v>
      </c>
      <c r="BK15" s="13">
        <f>'Bloom Cleaner Data'!AC15+'OPERATING LEASES'!BD15</f>
        <v>3876.315956463618</v>
      </c>
      <c r="BL15" s="13">
        <f>'Bloom Cleaner Data'!AD15+'OPERATING LEASES'!BE15</f>
        <v>3744.9596999754358</v>
      </c>
      <c r="BM15" s="13">
        <f>'Bloom Cleaner Data'!AE15+'OPERATING LEASES'!BF15</f>
        <v>3515.703443487253</v>
      </c>
      <c r="BN15" s="13">
        <f>'Bloom Cleaner Data'!AF15+'OPERATING LEASES'!BG15</f>
        <v>3401.4471869990712</v>
      </c>
      <c r="BO15" s="13">
        <f>'Bloom Cleaner Data'!AG15+'OPERATING LEASES'!BH15</f>
        <v>3281.2471869990709</v>
      </c>
      <c r="BP15" s="13">
        <f>'Bloom Cleaner Data'!AH15+'OPERATING LEASES'!BI15</f>
        <v>2360.647186999071</v>
      </c>
      <c r="BQ15" s="13"/>
      <c r="BR15" s="1099">
        <f t="shared" si="50"/>
        <v>3904.0385610233093</v>
      </c>
      <c r="BS15" s="10">
        <f t="shared" si="51"/>
        <v>-0.48357132082951515</v>
      </c>
      <c r="BT15" s="10"/>
      <c r="BU15" s="13">
        <f>'Bloom Cleaner Data'!BU15+'OPERATING LEASES'!AU15</f>
        <v>10319.047500000001</v>
      </c>
      <c r="BV15" s="13">
        <f>'Bloom Cleaner Data'!BV15+'OPERATING LEASES'!AV15</f>
        <v>9792.482</v>
      </c>
      <c r="BW15" s="13">
        <f>'Bloom Cleaner Data'!BW15+'OPERATING LEASES'!AW15</f>
        <v>8313.5324999999993</v>
      </c>
      <c r="BX15" s="13">
        <f>'Bloom Cleaner Data'!BX15+'OPERATING LEASES'!AX15</f>
        <v>7832.9940999999999</v>
      </c>
      <c r="BY15" s="13">
        <f>'Bloom Cleaner Data'!BY15+'OPERATING LEASES'!AY15</f>
        <v>7840.6219000000001</v>
      </c>
      <c r="BZ15" s="13">
        <f>'Bloom Cleaner Data'!BZ15+'OPERATING LEASES'!AZ15</f>
        <v>8816.3531532379493</v>
      </c>
      <c r="CA15" s="13">
        <f>'Bloom Cleaner Data'!CA15+'OPERATING LEASES'!BA15</f>
        <v>8029.0031064759005</v>
      </c>
      <c r="CB15" s="13">
        <f>'Bloom Cleaner Data'!CB15+'OPERATING LEASES'!BB15</f>
        <v>6454.9853597138508</v>
      </c>
      <c r="CC15" s="13">
        <f>'Bloom Cleaner Data'!CC15+'OPERATING LEASES'!BC15</f>
        <v>5776.8053129518003</v>
      </c>
      <c r="CD15" s="13">
        <f>'Bloom Cleaner Data'!CD15+'OPERATING LEASES'!BD15</f>
        <v>5815.6956564636184</v>
      </c>
      <c r="CE15" s="13">
        <f>'Bloom Cleaner Data'!CE15+'OPERATING LEASES'!BE15</f>
        <v>5101.4604999754356</v>
      </c>
      <c r="CF15" s="13">
        <f>'Bloom Cleaner Data'!CF15+'OPERATING LEASES'!BF15</f>
        <v>5320.841043487254</v>
      </c>
      <c r="CG15" s="13">
        <f>'Bloom Cleaner Data'!CG15+'OPERATING LEASES'!BG15</f>
        <v>6291.2141869990719</v>
      </c>
      <c r="CH15" s="13">
        <f>'Bloom Cleaner Data'!CH15+'OPERATING LEASES'!BH15</f>
        <v>5989.4569869990719</v>
      </c>
      <c r="CI15" s="13">
        <f>'Bloom Cleaner Data'!CI15+'OPERATING LEASES'!BI15</f>
        <v>5695.6494869990711</v>
      </c>
      <c r="CJ15" s="13"/>
      <c r="CK15" s="1099">
        <f t="shared" si="52"/>
        <v>6713.7394841002333</v>
      </c>
      <c r="CL15" s="10">
        <f t="shared" si="53"/>
        <v>-0.31489418162507077</v>
      </c>
      <c r="CM15" s="18">
        <f t="shared" si="54"/>
        <v>5.6318107309189111E-2</v>
      </c>
      <c r="CN15" s="13"/>
      <c r="CO15" s="18">
        <f>$CO$1*BU15/('Bloom Cleaner Data'!D15+'Bloom Cleaner Data'!T15+'OPERATING LEASES'!AU15)+(1-$CO$1)*'Bloom Cleaner Data'!BU15/('Bloom Cleaner Data'!D15+'Bloom Cleaner Data'!T15)-1</f>
        <v>7.9246152281359894E-2</v>
      </c>
      <c r="CP15" s="18">
        <f>$CO$1*BV15/('Bloom Cleaner Data'!E15+'Bloom Cleaner Data'!U15+'OPERATING LEASES'!AV15)+(1-$CO$1)*'Bloom Cleaner Data'!BV15/('Bloom Cleaner Data'!E15+'Bloom Cleaner Data'!U15)-1</f>
        <v>8.6727506502620955E-2</v>
      </c>
      <c r="CQ15" s="18">
        <f>$CO$1*BW15/('Bloom Cleaner Data'!F15+'Bloom Cleaner Data'!V15+'OPERATING LEASES'!AW15)+(1-$CO$1)*'Bloom Cleaner Data'!BW15/('Bloom Cleaner Data'!F15+'Bloom Cleaner Data'!V15)-1</f>
        <v>9.2443757631784029E-2</v>
      </c>
      <c r="CR15" s="18">
        <f>$CO$1*BX15/('Bloom Cleaner Data'!G15+'Bloom Cleaner Data'!W15+'OPERATING LEASES'!AX15)+(1-$CO$1)*'Bloom Cleaner Data'!BX15/('Bloom Cleaner Data'!G15+'Bloom Cleaner Data'!W15)-1</f>
        <v>0.10099101775908426</v>
      </c>
      <c r="CS15" s="18">
        <f>$CO$1*BY15/('Bloom Cleaner Data'!H15+'Bloom Cleaner Data'!X15+'OPERATING LEASES'!AY15)+(1-$CO$1)*'Bloom Cleaner Data'!BY15/('Bloom Cleaner Data'!H15+'Bloom Cleaner Data'!X15)-1</f>
        <v>7.5882092620639385E-2</v>
      </c>
      <c r="CT15" s="18">
        <f>$CO$1*BZ15/('Bloom Cleaner Data'!I15+'Bloom Cleaner Data'!Y15+'OPERATING LEASES'!AZ15)+(1-$CO$1)*'Bloom Cleaner Data'!BZ15/('Bloom Cleaner Data'!I15+'Bloom Cleaner Data'!Y15)-1</f>
        <v>6.3203569683029759E-2</v>
      </c>
      <c r="CU15" s="18">
        <f>$CO$1*CA15/('Bloom Cleaner Data'!J15+'Bloom Cleaner Data'!Z15+'OPERATING LEASES'!BA15)+(1-$CO$1)*'Bloom Cleaner Data'!CA15/('Bloom Cleaner Data'!J15+'Bloom Cleaner Data'!Z15)-1</f>
        <v>6.6891648799126235E-2</v>
      </c>
      <c r="CV15" s="18">
        <f>$CO$1*CB15/('Bloom Cleaner Data'!K15+'Bloom Cleaner Data'!AA15+'OPERATING LEASES'!BB15)+(1-$CO$1)*'Bloom Cleaner Data'!CB15/('Bloom Cleaner Data'!K15+'Bloom Cleaner Data'!AA15)-1</f>
        <v>8.2164194354862108E-2</v>
      </c>
      <c r="CW15" s="18">
        <f>$CO$1*CC15/('Bloom Cleaner Data'!L15+'Bloom Cleaner Data'!AB15+'OPERATING LEASES'!BC15)+(1-$CO$1)*'Bloom Cleaner Data'!CC15/('Bloom Cleaner Data'!L15+'Bloom Cleaner Data'!AB15)-1</f>
        <v>6.9183718754439516E-2</v>
      </c>
      <c r="CX15" s="18">
        <f>$CO$1*CD15/('Bloom Cleaner Data'!M15+'Bloom Cleaner Data'!AC15+'OPERATING LEASES'!BD15)+(1-$CO$1)*'Bloom Cleaner Data'!CD15/('Bloom Cleaner Data'!M15+'Bloom Cleaner Data'!AC15)-1</f>
        <v>6.9082207404746798E-2</v>
      </c>
      <c r="CY15" s="18">
        <f>$CO$1*CE15/('Bloom Cleaner Data'!N15+'Bloom Cleaner Data'!AD15+'OPERATING LEASES'!BE15)+(1-$CO$1)*'Bloom Cleaner Data'!CE15/('Bloom Cleaner Data'!N15+'Bloom Cleaner Data'!AD15)-1</f>
        <v>7.9614658282216588E-2</v>
      </c>
      <c r="CZ15" s="18">
        <f>$CO$1*CF15/('Bloom Cleaner Data'!O15+'Bloom Cleaner Data'!AE15+'OPERATING LEASES'!BF15)+(1-$CO$1)*'Bloom Cleaner Data'!CF15/('Bloom Cleaner Data'!O15+'Bloom Cleaner Data'!AE15)-1</f>
        <v>7.6648493338433932E-2</v>
      </c>
      <c r="DA15" s="18">
        <f>$CO$1*CG15/('Bloom Cleaner Data'!P15+'Bloom Cleaner Data'!AF15+'OPERATING LEASES'!BG15)+(1-$CO$1)*'Bloom Cleaner Data'!CG15/('Bloom Cleaner Data'!P15+'Bloom Cleaner Data'!AF15)-1</f>
        <v>6.6088094355091886E-2</v>
      </c>
      <c r="DB15" s="18">
        <f>$CO$1*CH15/('Bloom Cleaner Data'!Q15+'Bloom Cleaner Data'!AG15+'OPERATING LEASES'!BH15)+(1-$CO$1)*'Bloom Cleaner Data'!CH15/('Bloom Cleaner Data'!Q15+'Bloom Cleaner Data'!AG15)-1</f>
        <v>7.0548193767342005E-2</v>
      </c>
      <c r="DC15" s="18">
        <f>$CO$1*CI15/('Bloom Cleaner Data'!R15+'Bloom Cleaner Data'!AH15+'OPERATING LEASES'!BI15)+(1-$CO$1)*'Bloom Cleaner Data'!CI15/('Bloom Cleaner Data'!R15+'Bloom Cleaner Data'!AH15)-1</f>
        <v>7.4336757766092276E-2</v>
      </c>
      <c r="DD15" s="18"/>
      <c r="DE15" s="18">
        <f t="shared" si="55"/>
        <v>7.5929108039760676E-2</v>
      </c>
      <c r="DF15" s="13"/>
      <c r="DG15" s="2203">
        <f>AVERAGE('Bloom Cleaner Data'!GX15:HJ15)</f>
        <v>1724.5343479716187</v>
      </c>
      <c r="DH15" s="2124">
        <f>('Bloom Cleaner Data'!HJ15-'Bloom Cleaner Data'!GX15)/'Bloom Cleaner Data'!GX15</f>
        <v>-0.38951484832705863</v>
      </c>
      <c r="DI15" s="2124">
        <f>('Bloom Cleaner Data'!HJ15+'Bloom Cleaner Data'!HI15-'Bloom Cleaner Data'!GX15-'Bloom Cleaner Data'!GW15)/('Bloom Cleaner Data'!GX15+'Bloom Cleaner Data'!GW15)</f>
        <v>-0.37221169859501985</v>
      </c>
      <c r="DJ15" s="13"/>
      <c r="DK15" s="13">
        <f>'Bloom Cleaner Data'!GV15+'OPERATING LEASES'!BL15</f>
        <v>2273.0180844971146</v>
      </c>
      <c r="DL15" s="13">
        <f>'Bloom Cleaner Data'!GW15+'OPERATING LEASES'!BM15</f>
        <v>2218.7062715243792</v>
      </c>
      <c r="DM15" s="13">
        <f>'Bloom Cleaner Data'!GX15+'OPERATING LEASES'!BN15</f>
        <v>2296.6828277805403</v>
      </c>
      <c r="DN15" s="13">
        <f>'Bloom Cleaner Data'!GY15+'OPERATING LEASES'!BO15</f>
        <v>2214.5869663556687</v>
      </c>
      <c r="DO15" s="13">
        <f>'Bloom Cleaner Data'!GZ15+'OPERATING LEASES'!BP15</f>
        <v>1803.6857372900854</v>
      </c>
      <c r="DP15" s="13">
        <f>'Bloom Cleaner Data'!HA15+'OPERATING LEASES'!BQ15</f>
        <v>1752.5333178923415</v>
      </c>
      <c r="DQ15" s="13">
        <f>'Bloom Cleaner Data'!HB15+'OPERATING LEASES'!BR15</f>
        <v>1722.6764003201963</v>
      </c>
      <c r="DR15" s="13">
        <f>'Bloom Cleaner Data'!HC15+'OPERATING LEASES'!BS15</f>
        <v>1711.6096396054118</v>
      </c>
      <c r="DS15" s="13">
        <f>'Bloom Cleaner Data'!HD15+'OPERATING LEASES'!BT15</f>
        <v>1808.8460590395755</v>
      </c>
      <c r="DT15" s="13">
        <f>'Bloom Cleaner Data'!HE15+'OPERATING LEASES'!BU15</f>
        <v>1835.0979016967697</v>
      </c>
      <c r="DU15" s="13">
        <f>'Bloom Cleaner Data'!HF15+'OPERATING LEASES'!BV15</f>
        <v>1789.9651481099404</v>
      </c>
      <c r="DV15" s="13">
        <f>'Bloom Cleaner Data'!HG15+'OPERATING LEASES'!BW15</f>
        <v>1755.8348299903421</v>
      </c>
      <c r="DW15" s="13">
        <f>'Bloom Cleaner Data'!HH15+'OPERATING LEASES'!BX15</f>
        <v>1604.1004927149734</v>
      </c>
      <c r="DX15" s="13">
        <f>'Bloom Cleaner Data'!HI15+'OPERATING LEASES'!BY15</f>
        <v>1551.8301883729562</v>
      </c>
      <c r="DY15" s="13">
        <f>'Bloom Cleaner Data'!HJ15+'OPERATING LEASES'!BZ15</f>
        <v>1521.3032644622431</v>
      </c>
      <c r="DZ15" s="13"/>
      <c r="EA15" s="1099">
        <f t="shared" si="56"/>
        <v>1797.5963672023877</v>
      </c>
      <c r="EB15" s="10">
        <f t="shared" si="57"/>
        <v>-0.33760846466884831</v>
      </c>
      <c r="EC15" s="18">
        <f t="shared" si="58"/>
        <v>4.2366230232934406E-2</v>
      </c>
      <c r="ED15" s="18">
        <f>(AVERAGE(DV15:DY15)-AVERAGE('Bloom Cleaner Data'!HG15:HJ15))/AVERAGE('Bloom Cleaner Data'!HG15:HJ15)</f>
        <v>7.9339995255789539E-2</v>
      </c>
      <c r="EE15" s="165"/>
      <c r="EF15" s="22">
        <f>'Bloom Cleaner Data'!DT15</f>
        <v>1.5479000000000001</v>
      </c>
      <c r="EG15" s="22">
        <f>'Bloom Cleaner Data'!DX15</f>
        <v>1.2915000000000001</v>
      </c>
      <c r="EH15" s="22">
        <f>'Bloom Cleaner Data'!EB15</f>
        <v>0.87039999999999995</v>
      </c>
      <c r="EI15" s="22">
        <f>'Bloom Cleaner Data'!EF15</f>
        <v>1.1727000000000001</v>
      </c>
      <c r="EJ15" s="22"/>
      <c r="EK15" s="22">
        <f>AVERAGE('Bloom Cleaner Data'!DT15:EF15)</f>
        <v>1.2066538461538463</v>
      </c>
      <c r="EL15" s="2124">
        <f t="shared" si="5"/>
        <v>-0.24239291943924024</v>
      </c>
      <c r="EM15" s="13"/>
      <c r="EN15" s="15">
        <f>'Bloom Cleaner Data'!DA15</f>
        <v>4.5397999999999996</v>
      </c>
      <c r="EO15" s="15">
        <f>'Bloom Cleaner Data'!DB15</f>
        <v>4.4135999999999997</v>
      </c>
      <c r="EP15" s="15">
        <f>'Bloom Cleaner Data'!DC15</f>
        <v>3.6198000000000001</v>
      </c>
      <c r="EQ15" s="15">
        <f>'Bloom Cleaner Data'!DD15</f>
        <v>3.5369999999999999</v>
      </c>
      <c r="ER15" s="15">
        <f>'Bloom Cleaner Data'!DE15</f>
        <v>4.3469999999999995</v>
      </c>
      <c r="ES15" s="15">
        <f>'Bloom Cleaner Data'!DF15</f>
        <v>5.0326000000000004</v>
      </c>
      <c r="ET15" s="15">
        <f>'Bloom Cleaner Data'!DG15</f>
        <v>4.6533999999999995</v>
      </c>
      <c r="EU15" s="15">
        <f>'Bloom Cleaner Data'!DH15</f>
        <v>3.7178</v>
      </c>
      <c r="EV15" s="15">
        <f>'Bloom Cleaner Data'!DI15</f>
        <v>3.0903</v>
      </c>
      <c r="EW15" s="15">
        <f>'Bloom Cleaner Data'!DJ15</f>
        <v>3.0617000000000001</v>
      </c>
      <c r="EX15" s="15">
        <f>'Bloom Cleaner Data'!DK15</f>
        <v>2.7141999999999999</v>
      </c>
      <c r="EY15" s="15">
        <f>'Bloom Cleaner Data'!DL15</f>
        <v>2.8990999999999998</v>
      </c>
      <c r="EZ15" s="15">
        <f>'Bloom Cleaner Data'!DM15</f>
        <v>3.8435000000000001</v>
      </c>
      <c r="FA15" s="15">
        <f>'Bloom Cleaner Data'!DN15</f>
        <v>3.7730999999999999</v>
      </c>
      <c r="FB15" s="15">
        <f>'Bloom Cleaner Data'!DO15</f>
        <v>3.6457000000000002</v>
      </c>
      <c r="FC15" s="15"/>
      <c r="FD15" s="15">
        <f t="shared" si="59"/>
        <v>3.687323076923076</v>
      </c>
      <c r="FE15" s="18">
        <f t="shared" si="6"/>
        <v>7.155091441516115E-3</v>
      </c>
      <c r="FF15" s="15">
        <f t="shared" si="60"/>
        <v>3.6431399999999998</v>
      </c>
      <c r="FG15" s="2206"/>
      <c r="FH15" s="15">
        <f>('Bloom Cleaner Data'!BU15+'OPERATING LEASES'!AU15)/DK15</f>
        <v>4.5397999999999996</v>
      </c>
      <c r="FI15" s="15">
        <f>('Bloom Cleaner Data'!BV15+'OPERATING LEASES'!AV15)/DL15</f>
        <v>4.4135999999999997</v>
      </c>
      <c r="FJ15" s="15">
        <f>('Bloom Cleaner Data'!BW15+'OPERATING LEASES'!AW15)/DM15</f>
        <v>3.6197999999999997</v>
      </c>
      <c r="FK15" s="15">
        <f>('Bloom Cleaner Data'!BX15+'OPERATING LEASES'!AX15)/DN15</f>
        <v>3.5369999999999999</v>
      </c>
      <c r="FL15" s="15">
        <f>('Bloom Cleaner Data'!BY15+'OPERATING LEASES'!AY15)/DO15</f>
        <v>4.3469999999999995</v>
      </c>
      <c r="FM15" s="15">
        <f>('Bloom Cleaner Data'!BZ15+'OPERATING LEASES'!AZ15)/DP15</f>
        <v>5.0306336907995606</v>
      </c>
      <c r="FN15" s="15">
        <f>('Bloom Cleaner Data'!CA15+'OPERATING LEASES'!BA15)/DQ15</f>
        <v>4.6607726819636808</v>
      </c>
      <c r="FO15" s="15">
        <f>('Bloom Cleaner Data'!CB15+'OPERATING LEASES'!BB15)/DR15</f>
        <v>3.7712952827269421</v>
      </c>
      <c r="FP15" s="15">
        <f>('Bloom Cleaner Data'!CC15+'OPERATING LEASES'!BC15)/DS15</f>
        <v>3.1936412079306802</v>
      </c>
      <c r="FQ15" s="15">
        <f>('Bloom Cleaner Data'!CD15+'OPERATING LEASES'!BD15)/DT15</f>
        <v>3.1691473523490519</v>
      </c>
      <c r="FR15" s="15">
        <f>('Bloom Cleaner Data'!CE15+'OPERATING LEASES'!BE15)/DU15</f>
        <v>2.8500334240374281</v>
      </c>
      <c r="FS15" s="15">
        <f>('Bloom Cleaner Data'!CF15+'OPERATING LEASES'!BF15)/DV15</f>
        <v>3.0303767487722757</v>
      </c>
      <c r="FT15" s="15">
        <f>('Bloom Cleaner Data'!CG15+'OPERATING LEASES'!BG15)/DW15</f>
        <v>3.9219576426605678</v>
      </c>
      <c r="FU15" s="15">
        <f>('Bloom Cleaner Data'!CH15+'OPERATING LEASES'!BH15)/DX15</f>
        <v>3.8596085009010066</v>
      </c>
      <c r="FV15" s="15">
        <f>('Bloom Cleaner Data'!CI15+'OPERATING LEASES'!BI15)/DY15</f>
        <v>3.7439277362047823</v>
      </c>
      <c r="FW15" s="15"/>
      <c r="FX15" s="506">
        <f t="shared" si="61"/>
        <v>3.7488610975650749</v>
      </c>
      <c r="FY15" s="10">
        <f t="shared" si="62"/>
        <v>3.4291324439135469E-2</v>
      </c>
      <c r="FZ15" s="15">
        <f t="shared" si="7"/>
        <v>6.153802064199887E-2</v>
      </c>
      <c r="GA15" s="15">
        <f t="shared" si="63"/>
        <v>3.7231394268345981</v>
      </c>
      <c r="GB15" s="15">
        <f t="shared" si="64"/>
        <v>7.9999426834598264E-2</v>
      </c>
      <c r="GC15" s="15">
        <f t="shared" si="8"/>
        <v>0.10606081051521166</v>
      </c>
      <c r="GD15" s="13"/>
      <c r="GE15" s="15">
        <f t="shared" si="9"/>
        <v>4.5397999999999996</v>
      </c>
      <c r="GF15" s="15">
        <f t="shared" si="10"/>
        <v>4.4135999999999997</v>
      </c>
      <c r="GG15" s="15">
        <f t="shared" si="11"/>
        <v>3.6197999999999997</v>
      </c>
      <c r="GH15" s="15">
        <f t="shared" si="12"/>
        <v>3.5369999999999999</v>
      </c>
      <c r="GI15" s="15">
        <f t="shared" si="13"/>
        <v>4.3469999999999995</v>
      </c>
      <c r="GJ15" s="15">
        <f t="shared" si="14"/>
        <v>5.0306336907995606</v>
      </c>
      <c r="GK15" s="15">
        <f t="shared" si="15"/>
        <v>4.6607726819636808</v>
      </c>
      <c r="GL15" s="15">
        <f t="shared" si="16"/>
        <v>3.7712952827269421</v>
      </c>
      <c r="GM15" s="15">
        <f t="shared" si="17"/>
        <v>3.1936412079306802</v>
      </c>
      <c r="GN15" s="15">
        <f t="shared" si="18"/>
        <v>3.1691473523490519</v>
      </c>
      <c r="GO15" s="15">
        <f t="shared" si="19"/>
        <v>2.8500334240374281</v>
      </c>
      <c r="GP15" s="15">
        <f t="shared" si="20"/>
        <v>3.0303767487722757</v>
      </c>
      <c r="GQ15" s="15">
        <f t="shared" si="21"/>
        <v>3.9219576426605678</v>
      </c>
      <c r="GR15" s="15">
        <f t="shared" si="22"/>
        <v>3.8596085009010066</v>
      </c>
      <c r="GS15" s="15">
        <f t="shared" si="23"/>
        <v>3.7439277362047823</v>
      </c>
      <c r="GT15" s="15"/>
      <c r="GU15" s="15">
        <f t="shared" si="65"/>
        <v>3.8459062845563983</v>
      </c>
      <c r="GV15" s="10">
        <f t="shared" si="66"/>
        <v>3.4291324439135469E-2</v>
      </c>
      <c r="GW15" s="506">
        <f t="shared" si="67"/>
        <v>3.7231394268345981</v>
      </c>
      <c r="GX15" s="2057"/>
      <c r="GY15" s="10">
        <f>'Bloom Cleaner Data'!T15/('Bloom Cleaner Data'!T15+'Bloom Cleaner Data'!D15)</f>
        <v>0.4724961622825653</v>
      </c>
      <c r="GZ15" s="10">
        <f>'Bloom Cleaner Data'!U15/('Bloom Cleaner Data'!U15+'Bloom Cleaner Data'!E15)</f>
        <v>0.50011196337979591</v>
      </c>
      <c r="HA15" s="10">
        <f>'Bloom Cleaner Data'!V15/('Bloom Cleaner Data'!V15+'Bloom Cleaner Data'!F15)</f>
        <v>0.60066761869939456</v>
      </c>
      <c r="HB15" s="10">
        <f>'Bloom Cleaner Data'!W15/('Bloom Cleaner Data'!W15+'Bloom Cleaner Data'!G15)</f>
        <v>0.63623638397563642</v>
      </c>
      <c r="HC15" s="10">
        <f>'Bloom Cleaner Data'!X15/('Bloom Cleaner Data'!X15+'Bloom Cleaner Data'!H15)</f>
        <v>0.58770886563146207</v>
      </c>
      <c r="HD15" s="10">
        <f>'Bloom Cleaner Data'!Y15/('Bloom Cleaner Data'!Y15+'Bloom Cleaner Data'!I15)</f>
        <v>0.52699803473930185</v>
      </c>
      <c r="HE15" s="10">
        <f>'Bloom Cleaner Data'!Z15/('Bloom Cleaner Data'!Z15+'Bloom Cleaner Data'!J15)</f>
        <v>0.56663027828108392</v>
      </c>
      <c r="HF15" s="10">
        <f>'Bloom Cleaner Data'!AA15/('Bloom Cleaner Data'!AA15+'Bloom Cleaner Data'!K15)</f>
        <v>0.71917093755167694</v>
      </c>
      <c r="HG15" s="10">
        <f>'Bloom Cleaner Data'!AB15/('Bloom Cleaner Data'!AB15+'Bloom Cleaner Data'!L15)</f>
        <v>0.71171941145822304</v>
      </c>
      <c r="HH15" s="10">
        <f>'Bloom Cleaner Data'!AC15/('Bloom Cleaner Data'!AC15+'Bloom Cleaner Data'!M15)</f>
        <v>0.68182284827720074</v>
      </c>
      <c r="HI15" s="10">
        <f>'Bloom Cleaner Data'!AD15/('Bloom Cleaner Data'!AD15+'Bloom Cleaner Data'!N15)</f>
        <v>0.76548393282764859</v>
      </c>
      <c r="HJ15" s="10">
        <f>'Bloom Cleaner Data'!AE15/('Bloom Cleaner Data'!AE15+'Bloom Cleaner Data'!O15)</f>
        <v>0.67416152317054157</v>
      </c>
      <c r="HK15" s="10">
        <f>'Bloom Cleaner Data'!AF15/('Bloom Cleaner Data'!AF15+'Bloom Cleaner Data'!P15)</f>
        <v>0.52986863117144911</v>
      </c>
      <c r="HL15" s="10">
        <f>'Bloom Cleaner Data'!AG15/('Bloom Cleaner Data'!AG15+'Bloom Cleaner Data'!Q15)</f>
        <v>0.53828701075444441</v>
      </c>
      <c r="HM15" s="10">
        <f>'Bloom Cleaner Data'!AH15/('Bloom Cleaner Data'!AH15+'Bloom Cleaner Data'!R15)</f>
        <v>0.37659759063604481</v>
      </c>
      <c r="HN15" s="15"/>
      <c r="HO15" s="10">
        <f t="shared" si="68"/>
        <v>0.60887331285954671</v>
      </c>
      <c r="HP15" s="10">
        <f t="shared" si="69"/>
        <v>-0.37303497156800469</v>
      </c>
      <c r="HQ15" s="10"/>
      <c r="HR15" s="479">
        <f t="shared" si="24"/>
        <v>0.89572080523073827</v>
      </c>
      <c r="HS15" s="480">
        <f t="shared" si="25"/>
        <v>1.0004479538280329</v>
      </c>
      <c r="HT15" s="480">
        <f t="shared" si="26"/>
        <v>1.5041795928070005</v>
      </c>
      <c r="HU15" s="480">
        <f t="shared" si="27"/>
        <v>1.7490379904652795</v>
      </c>
      <c r="HV15" s="480">
        <f t="shared" si="28"/>
        <v>1.4254705392382319</v>
      </c>
      <c r="HW15" s="480">
        <f t="shared" si="29"/>
        <v>1.1141561207866091</v>
      </c>
      <c r="HX15" s="480">
        <f t="shared" si="30"/>
        <v>1.3074985396617089</v>
      </c>
      <c r="HY15" s="480">
        <f t="shared" si="31"/>
        <v>2.5608850141142909</v>
      </c>
      <c r="HZ15" s="480">
        <f t="shared" si="32"/>
        <v>2.4688426475689753</v>
      </c>
      <c r="IA15" s="480">
        <f t="shared" si="33"/>
        <v>2.1429032367202003</v>
      </c>
      <c r="IB15" s="480">
        <f t="shared" si="34"/>
        <v>3.264100161909488</v>
      </c>
      <c r="IC15" s="480">
        <f t="shared" si="35"/>
        <v>2.0690052621483157</v>
      </c>
      <c r="ID15" s="480">
        <f t="shared" si="36"/>
        <v>1.1270650424619579</v>
      </c>
      <c r="IE15" s="480">
        <f t="shared" si="37"/>
        <v>1.1658476657414634</v>
      </c>
      <c r="IF15" s="481">
        <f t="shared" si="38"/>
        <v>0.60410031302297929</v>
      </c>
      <c r="IG15" s="15"/>
      <c r="IH15" s="10">
        <f t="shared" si="70"/>
        <v>1.7310070866651155</v>
      </c>
      <c r="II15" s="10">
        <f t="shared" si="71"/>
        <v>-0.59838551466075451</v>
      </c>
      <c r="IJ15" s="10"/>
      <c r="IK15" s="18">
        <f>('Bloom Cleaner Data'!T15+'OPERATING LEASES'!AU15)/('Bloom Cleaner Data'!T15+'OPERATING LEASES'!AU15+'Bloom Cleaner Data'!D15)</f>
        <v>0.4724961622825653</v>
      </c>
      <c r="IL15" s="18">
        <f>('Bloom Cleaner Data'!U15+'OPERATING LEASES'!AV15)/('Bloom Cleaner Data'!U15+'OPERATING LEASES'!AV15+'Bloom Cleaner Data'!E15)</f>
        <v>0.50011196337979591</v>
      </c>
      <c r="IM15" s="18">
        <f>('Bloom Cleaner Data'!V15+'OPERATING LEASES'!AW15)/('Bloom Cleaner Data'!V15+'OPERATING LEASES'!AW15+'Bloom Cleaner Data'!F15)</f>
        <v>0.60066761869939456</v>
      </c>
      <c r="IN15" s="18">
        <f>('Bloom Cleaner Data'!W15+'OPERATING LEASES'!AX15)/('Bloom Cleaner Data'!W15+'OPERATING LEASES'!AX15+'Bloom Cleaner Data'!G15)</f>
        <v>0.63623638397563642</v>
      </c>
      <c r="IO15" s="18">
        <f>('Bloom Cleaner Data'!X15+'OPERATING LEASES'!AY15)/('Bloom Cleaner Data'!X15+'OPERATING LEASES'!AY15+'Bloom Cleaner Data'!H15)</f>
        <v>0.58770886563146207</v>
      </c>
      <c r="IP15" s="18">
        <f>('Bloom Cleaner Data'!Y15+'OPERATING LEASES'!AZ15)/('Bloom Cleaner Data'!Y15+'OPERATING LEASES'!AZ15+'Bloom Cleaner Data'!I15)</f>
        <v>0.53421765729718218</v>
      </c>
      <c r="IQ15" s="18">
        <f>('Bloom Cleaner Data'!Z15+'OPERATING LEASES'!BA15)/('Bloom Cleaner Data'!Z15+'OPERATING LEASES'!BA15+'Bloom Cleaner Data'!J15)</f>
        <v>0.58120738558642016</v>
      </c>
      <c r="IR15" s="18">
        <f>('Bloom Cleaner Data'!AA15+'OPERATING LEASES'!BB15)/('Bloom Cleaner Data'!AA15+'OPERATING LEASES'!BB15+'Bloom Cleaner Data'!K15)</f>
        <v>0.73704755323658999</v>
      </c>
      <c r="IS15" s="18">
        <f>('Bloom Cleaner Data'!AB15+'OPERATING LEASES'!BC15)/('Bloom Cleaner Data'!AB15+'OPERATING LEASES'!BC15+'Bloom Cleaner Data'!L15)</f>
        <v>0.7387318689811192</v>
      </c>
      <c r="IT15" s="18">
        <f>('Bloom Cleaner Data'!AC15+'OPERATING LEASES'!BD15)/('Bloom Cleaner Data'!AC15+'OPERATING LEASES'!BD15+'Bloom Cleaner Data'!M15)</f>
        <v>0.71257174792641953</v>
      </c>
      <c r="IU15" s="18">
        <f>('Bloom Cleaner Data'!AD15+'OPERATING LEASES'!BE15)/('Bloom Cleaner Data'!AD15+'OPERATING LEASES'!BE15+'Bloom Cleaner Data'!N15)</f>
        <v>0.79254036893731128</v>
      </c>
      <c r="IV15" s="18">
        <f>('Bloom Cleaner Data'!AE15+'OPERATING LEASES'!BF15)/('Bloom Cleaner Data'!AE15+'OPERATING LEASES'!BF15+'Bloom Cleaner Data'!O15)</f>
        <v>0.71138693761362748</v>
      </c>
      <c r="IW15" s="18">
        <f>('Bloom Cleaner Data'!AF15+'OPERATING LEASES'!BG15)/('Bloom Cleaner Data'!AF15+'OPERATING LEASES'!BG15+'Bloom Cleaner Data'!P15)</f>
        <v>0.57639785291860424</v>
      </c>
      <c r="IX15" s="18">
        <f>('Bloom Cleaner Data'!AG15+'OPERATING LEASES'!BH15)/('Bloom Cleaner Data'!AG15+'OPERATING LEASES'!BH15+'Bloom Cleaner Data'!Q15)</f>
        <v>0.58648609664797502</v>
      </c>
      <c r="IY15" s="18">
        <f>('Bloom Cleaner Data'!AH15+'OPERATING LEASES'!BI15)/('Bloom Cleaner Data'!AH15+'OPERATING LEASES'!BI15+'Bloom Cleaner Data'!R15)</f>
        <v>0.44527495080222473</v>
      </c>
      <c r="IZ15" s="15"/>
      <c r="JA15" s="10">
        <f t="shared" si="72"/>
        <v>0.63388271448107447</v>
      </c>
      <c r="JB15" s="10">
        <f t="shared" si="73"/>
        <v>-0.25869992498286548</v>
      </c>
      <c r="JC15" s="10">
        <f t="shared" si="39"/>
        <v>2.500940162152776E-2</v>
      </c>
      <c r="JD15" s="10">
        <f t="shared" si="40"/>
        <v>4.1074885519406669E-2</v>
      </c>
      <c r="JE15" s="7"/>
      <c r="JF15" s="485">
        <f t="shared" si="74"/>
        <v>0.89572080523073827</v>
      </c>
      <c r="JG15" s="452">
        <f t="shared" si="41"/>
        <v>1.0004479538280329</v>
      </c>
      <c r="JH15" s="452">
        <f t="shared" si="41"/>
        <v>1.5041795928070005</v>
      </c>
      <c r="JI15" s="452">
        <f t="shared" si="41"/>
        <v>1.7490379904652795</v>
      </c>
      <c r="JJ15" s="452">
        <f t="shared" si="41"/>
        <v>1.4254705392382319</v>
      </c>
      <c r="JK15" s="452">
        <f t="shared" si="41"/>
        <v>1.1469255236195761</v>
      </c>
      <c r="JL15" s="452">
        <f t="shared" si="41"/>
        <v>1.3878167035019562</v>
      </c>
      <c r="JM15" s="452">
        <f t="shared" si="41"/>
        <v>2.8029689866310483</v>
      </c>
      <c r="JN15" s="452">
        <f t="shared" si="41"/>
        <v>2.8274855647347743</v>
      </c>
      <c r="JO15" s="452">
        <f t="shared" si="41"/>
        <v>2.4791291140858487</v>
      </c>
      <c r="JP15" s="452">
        <f t="shared" si="41"/>
        <v>3.8202148768780315</v>
      </c>
      <c r="JQ15" s="452">
        <f t="shared" si="41"/>
        <v>2.464846641837986</v>
      </c>
      <c r="JR15" s="452">
        <f t="shared" si="41"/>
        <v>1.3607056925701762</v>
      </c>
      <c r="JS15" s="452">
        <f t="shared" si="41"/>
        <v>1.4182983737518944</v>
      </c>
      <c r="JT15" s="486">
        <f t="shared" si="41"/>
        <v>0.80269486919000033</v>
      </c>
      <c r="JU15" s="15"/>
      <c r="JV15" s="10">
        <f t="shared" si="75"/>
        <v>1.9376749591778311</v>
      </c>
      <c r="JW15" s="10">
        <f t="shared" si="76"/>
        <v>-0.46635702742644963</v>
      </c>
      <c r="JX15" s="10">
        <f t="shared" si="77"/>
        <v>0.20666787251271557</v>
      </c>
      <c r="JY15" s="10">
        <f t="shared" si="78"/>
        <v>0.11939169637420323</v>
      </c>
      <c r="JZ15" s="7"/>
      <c r="KA15" s="15">
        <f>'Bloom Cleaner Data'!T15/'Bloom Cleaner Data'!BU15*'Bloom Cleaner Data'!DA15</f>
        <v>1.9875336807975732</v>
      </c>
      <c r="KB15" s="15">
        <f>'Bloom Cleaner Data'!U15/'Bloom Cleaner Data'!BV15*'Bloom Cleaner Data'!DB15</f>
        <v>2.0311385773943726</v>
      </c>
      <c r="KC15" s="15">
        <f>'Bloom Cleaner Data'!V15/'Bloom Cleaner Data'!BW15*'Bloom Cleaner Data'!DC15</f>
        <v>1.9903053415596799</v>
      </c>
      <c r="KD15" s="15">
        <f>'Bloom Cleaner Data'!W15/'Bloom Cleaner Data'!BX15*'Bloom Cleaner Data'!DD15</f>
        <v>2.0439477287490875</v>
      </c>
      <c r="KE15" s="15">
        <f>'Bloom Cleaner Data'!X15/'Bloom Cleaner Data'!BY15*'Bloom Cleaner Data'!DE15</f>
        <v>2.3745821744063438</v>
      </c>
      <c r="KF15" s="15">
        <f>'Bloom Cleaner Data'!Y15/'Bloom Cleaner Data'!BZ15*'Bloom Cleaner Data'!DF15</f>
        <v>2.492212100849307</v>
      </c>
      <c r="KG15" s="15">
        <f>'Bloom Cleaner Data'!Z15/'Bloom Cleaner Data'!CA15*'Bloom Cleaner Data'!DG15</f>
        <v>2.4660569323009249</v>
      </c>
      <c r="KH15" s="15">
        <f>'Bloom Cleaner Data'!AA15/'Bloom Cleaner Data'!CB15*'Bloom Cleaner Data'!DH15</f>
        <v>2.4580405035408073</v>
      </c>
      <c r="KI15" s="15">
        <f>'Bloom Cleaner Data'!AB15/'Bloom Cleaner Data'!CC15*'Bloom Cleaner Data'!DI15</f>
        <v>2.0434374143291123</v>
      </c>
      <c r="KJ15" s="15">
        <f>'Bloom Cleaner Data'!AC15/'Bloom Cleaner Data'!CD15*'Bloom Cleaner Data'!DJ15</f>
        <v>1.9392384473611499</v>
      </c>
      <c r="KK15" s="15">
        <f>'Bloom Cleaner Data'!AD15/'Bloom Cleaner Data'!CE15*'Bloom Cleaner Data'!DK15</f>
        <v>1.9061290158893813</v>
      </c>
      <c r="KL15" s="15">
        <f>'Bloom Cleaner Data'!AE15/'Bloom Cleaner Data'!CF15*'Bloom Cleaner Data'!DL15</f>
        <v>1.7988029046320138</v>
      </c>
      <c r="KM15" s="15">
        <f>'Bloom Cleaner Data'!AF15/'Bloom Cleaner Data'!CG15*'Bloom Cleaner Data'!DM15</f>
        <v>1.8973821687713011</v>
      </c>
      <c r="KN15" s="15">
        <f>'Bloom Cleaner Data'!AG15/'Bloom Cleaner Data'!CH15*'Bloom Cleaner Data'!DN15</f>
        <v>1.8827074535588399</v>
      </c>
      <c r="KO15" s="15">
        <f>'Bloom Cleaner Data'!AH15/'Bloom Cleaner Data'!CI15*'Bloom Cleaner Data'!DO15</f>
        <v>1.2671076973261399</v>
      </c>
      <c r="KP15" s="15"/>
      <c r="KQ15" s="15">
        <f t="shared" si="79"/>
        <v>1.6823991065520936</v>
      </c>
      <c r="KR15" s="15">
        <f t="shared" si="80"/>
        <v>1.7115000560720737</v>
      </c>
      <c r="KS15" s="15">
        <f t="shared" si="81"/>
        <v>2.0430730679441607</v>
      </c>
      <c r="KT15" s="18">
        <f t="shared" si="82"/>
        <v>-0.36336014838146113</v>
      </c>
      <c r="KU15" s="18"/>
      <c r="KV15" s="1694" t="s">
        <v>42</v>
      </c>
      <c r="KW15" s="506">
        <f>('Bloom Cleaner Data'!T15+'OPERATING LEASES'!AU15)/DK15</f>
        <v>1.9875336807975734</v>
      </c>
      <c r="KX15" s="506">
        <f>('Bloom Cleaner Data'!U15+'OPERATING LEASES'!AV15)/DL15</f>
        <v>2.0311385773943726</v>
      </c>
      <c r="KY15" s="506">
        <f>('Bloom Cleaner Data'!V15+'OPERATING LEASES'!AW15)/DM15</f>
        <v>1.9903053415596799</v>
      </c>
      <c r="KZ15" s="506">
        <f>('Bloom Cleaner Data'!W15+'OPERATING LEASES'!AX15)/DN15</f>
        <v>2.043947728749087</v>
      </c>
      <c r="LA15" s="506">
        <f>('Bloom Cleaner Data'!X15+'OPERATING LEASES'!AY15)/DO15</f>
        <v>2.3745821744063438</v>
      </c>
      <c r="LB15" s="506">
        <f>('Bloom Cleaner Data'!Y15+'OPERATING LEASES'!AZ15)/DP15</f>
        <v>2.5276940575175288</v>
      </c>
      <c r="LC15" s="506">
        <f>('Bloom Cleaner Data'!Z15+'OPERATING LEASES'!BA15)/DQ15</f>
        <v>2.5390352509983365</v>
      </c>
      <c r="LD15" s="506">
        <f>('Bloom Cleaner Data'!AA15+'OPERATING LEASES'!BB15)/DR15</f>
        <v>2.5685787565016174</v>
      </c>
      <c r="LE15" s="506">
        <f>('Bloom Cleaner Data'!AB15+'OPERATING LEASES'!BC15)/DS15</f>
        <v>2.2065847964259921</v>
      </c>
      <c r="LF15" s="506">
        <f>('Bloom Cleaner Data'!AC15+'OPERATING LEASES'!BD15)/DT15</f>
        <v>2.1123210662927008</v>
      </c>
      <c r="LG15" s="506">
        <f>('Bloom Cleaner Data'!AD15+'OPERATING LEASES'!BE15)/DU15</f>
        <v>2.0921969927346424</v>
      </c>
      <c r="LH15" s="506">
        <f>('Bloom Cleaner Data'!AE15+'OPERATING LEASES'!BF15)/DV15</f>
        <v>2.0022973593174429</v>
      </c>
      <c r="LI15" s="506">
        <f>('Bloom Cleaner Data'!AF15+'OPERATING LEASES'!BG15)/DW15</f>
        <v>2.1204701341635093</v>
      </c>
      <c r="LJ15" s="506">
        <f>('Bloom Cleaner Data'!AG15+'OPERATING LEASES'!BH15)/DX15</f>
        <v>2.1144370122347937</v>
      </c>
      <c r="LK15" s="506">
        <f>('Bloom Cleaner Data'!AH15+'OPERATING LEASES'!BI15)/DY15</f>
        <v>1.5517268924243866</v>
      </c>
      <c r="LL15" s="15"/>
      <c r="LM15" s="15">
        <f t="shared" si="83"/>
        <v>1.9288780129408964</v>
      </c>
      <c r="LN15" s="15">
        <f t="shared" si="84"/>
        <v>1.9472328495350328</v>
      </c>
      <c r="LO15" s="15">
        <f t="shared" si="85"/>
        <v>0.23573279346295917</v>
      </c>
      <c r="LP15" s="15">
        <f t="shared" si="86"/>
        <v>2.172629043332774</v>
      </c>
      <c r="LQ15" s="18">
        <f t="shared" si="87"/>
        <v>-0.22035736928264804</v>
      </c>
      <c r="LR15" s="15">
        <f t="shared" si="88"/>
        <v>0.1295559753886133</v>
      </c>
      <c r="LS15" s="18"/>
      <c r="LT15" s="15">
        <f t="shared" si="89"/>
        <v>1.9875336807975734</v>
      </c>
      <c r="LU15" s="15">
        <f t="shared" si="90"/>
        <v>2.0311385773943726</v>
      </c>
      <c r="LV15" s="15">
        <f t="shared" si="91"/>
        <v>1.9903053415596799</v>
      </c>
      <c r="LW15" s="15">
        <f t="shared" si="92"/>
        <v>2.043947728749087</v>
      </c>
      <c r="LX15" s="15">
        <f t="shared" si="93"/>
        <v>2.3745821744063438</v>
      </c>
      <c r="LY15" s="15">
        <f t="shared" si="94"/>
        <v>2.5276940575175288</v>
      </c>
      <c r="LZ15" s="15">
        <f t="shared" si="95"/>
        <v>2.5390352509983365</v>
      </c>
      <c r="MA15" s="15">
        <f t="shared" si="96"/>
        <v>2.5685787565016174</v>
      </c>
      <c r="MB15" s="15">
        <f t="shared" si="97"/>
        <v>2.2065847964259921</v>
      </c>
      <c r="MC15" s="15">
        <f t="shared" si="98"/>
        <v>2.1123210662927008</v>
      </c>
      <c r="MD15" s="15">
        <f t="shared" si="99"/>
        <v>2.0921969927346424</v>
      </c>
      <c r="ME15" s="15">
        <f t="shared" si="100"/>
        <v>2.0022973593174429</v>
      </c>
      <c r="MF15" s="15">
        <f t="shared" si="101"/>
        <v>2.1204701341635093</v>
      </c>
      <c r="MG15" s="15">
        <f t="shared" si="102"/>
        <v>2.1144370122347937</v>
      </c>
      <c r="MH15" s="15">
        <f t="shared" si="103"/>
        <v>1.5517268924243866</v>
      </c>
      <c r="MI15" s="15"/>
      <c r="MJ15" s="15">
        <f t="shared" si="104"/>
        <v>1.9288780129408964</v>
      </c>
      <c r="MK15" s="15">
        <f t="shared" si="105"/>
        <v>1.9472328495350328</v>
      </c>
      <c r="ML15" s="506">
        <f t="shared" si="106"/>
        <v>2.172629043332774</v>
      </c>
      <c r="MM15" s="10">
        <f t="shared" si="107"/>
        <v>-0.22035736928264804</v>
      </c>
      <c r="MN15" s="18"/>
      <c r="MO15" s="15">
        <f>('Bloom Cleaner Data'!T15+'Bloom Cleaner Data'!EY15)/'Bloom Cleaner Data'!GV15</f>
        <v>2.3697567726090996</v>
      </c>
      <c r="MP15" s="15">
        <f>('Bloom Cleaner Data'!U15+'Bloom Cleaner Data'!EZ15)/'Bloom Cleaner Data'!GW15</f>
        <v>2.4270900430187159</v>
      </c>
      <c r="MQ15" s="15">
        <f>('Bloom Cleaner Data'!V15+'Bloom Cleaner Data'!FA15)/'Bloom Cleaner Data'!GX15</f>
        <v>2.3216963332951428</v>
      </c>
      <c r="MR15" s="15">
        <f>('Bloom Cleaner Data'!W15+'Bloom Cleaner Data'!FB15)/'Bloom Cleaner Data'!GY15</f>
        <v>2.4028859922159267</v>
      </c>
      <c r="MS15" s="15">
        <f>('Bloom Cleaner Data'!X15+'Bloom Cleaner Data'!FC15)/'Bloom Cleaner Data'!GZ15</f>
        <v>2.9313864886151437</v>
      </c>
      <c r="MT15" s="15">
        <f>('Bloom Cleaner Data'!Y15+'Bloom Cleaner Data'!FD15)/'Bloom Cleaner Data'!HA15</f>
        <v>2.7638865591739439</v>
      </c>
      <c r="MU15" s="15">
        <f>('Bloom Cleaner Data'!Z15+'Bloom Cleaner Data'!FE15)/'Bloom Cleaner Data'!HB15</f>
        <v>2.9851449208171892</v>
      </c>
      <c r="MV15" s="15">
        <f>('Bloom Cleaner Data'!AA15+'Bloom Cleaner Data'!FF15)/'Bloom Cleaner Data'!HC15</f>
        <v>3.1140564917390159</v>
      </c>
      <c r="MW15" s="15">
        <f>('Bloom Cleaner Data'!AB15+'Bloom Cleaner Data'!FG15)/'Bloom Cleaner Data'!HD15</f>
        <v>2.4441390093916686</v>
      </c>
      <c r="MX15" s="15">
        <f>('Bloom Cleaner Data'!AC15+'Bloom Cleaner Data'!FH15)/'Bloom Cleaner Data'!HE15</f>
        <v>2.430617138285049</v>
      </c>
      <c r="MY15" s="15">
        <f>('Bloom Cleaner Data'!AD15+'Bloom Cleaner Data'!FI15)/'Bloom Cleaner Data'!HF15</f>
        <v>2.6866184954250607</v>
      </c>
      <c r="MZ15" s="15">
        <f>('Bloom Cleaner Data'!AE15+'Bloom Cleaner Data'!FJ15)/'Bloom Cleaner Data'!HG15</f>
        <v>2.4332084019519962</v>
      </c>
      <c r="NA15" s="15">
        <f>('Bloom Cleaner Data'!AF15+'Bloom Cleaner Data'!FK15)/'Bloom Cleaner Data'!HH15</f>
        <v>2.7235050857982608</v>
      </c>
      <c r="NB15" s="15">
        <f>('Bloom Cleaner Data'!AG15+'Bloom Cleaner Data'!FL15)/'Bloom Cleaner Data'!HI15</f>
        <v>2.8815084676836156</v>
      </c>
      <c r="NC15" s="15">
        <f>('Bloom Cleaner Data'!AH15+'Bloom Cleaner Data'!FM15)/'Bloom Cleaner Data'!HJ15</f>
        <v>2.1479351239825526</v>
      </c>
      <c r="ND15" s="15"/>
      <c r="NE15" s="15">
        <f t="shared" si="43"/>
        <v>0.88082742665641267</v>
      </c>
      <c r="NF15" s="15">
        <f t="shared" si="108"/>
        <v>2.5843162258214765</v>
      </c>
      <c r="NG15" s="15">
        <f t="shared" si="44"/>
        <v>0.90191711926938289</v>
      </c>
      <c r="NH15" s="15">
        <f t="shared" si="109"/>
        <v>2.5465392698541063</v>
      </c>
      <c r="NI15" s="15">
        <f t="shared" si="110"/>
        <v>2.6358914237211204</v>
      </c>
      <c r="NJ15" s="18">
        <f t="shared" si="111"/>
        <v>-7.4842349889045992E-2</v>
      </c>
      <c r="NK15" s="15">
        <f t="shared" si="45"/>
        <v>0.59281835577695974</v>
      </c>
      <c r="NL15" s="2818"/>
      <c r="NM15" s="1694" t="s">
        <v>42</v>
      </c>
      <c r="NN15" s="15">
        <f>KW15+'Bloom Cleaner Data'!EY15/CALCULATIONS!DK15</f>
        <v>2.3697567726090996</v>
      </c>
      <c r="NO15" s="15">
        <f>KX15+'Bloom Cleaner Data'!EZ15/CALCULATIONS!DL15</f>
        <v>2.4270900430187159</v>
      </c>
      <c r="NP15" s="15">
        <f>KY15+'Bloom Cleaner Data'!FA15/CALCULATIONS!DM15</f>
        <v>2.3216963332951424</v>
      </c>
      <c r="NQ15" s="15">
        <f>KZ15+'Bloom Cleaner Data'!FB15/CALCULATIONS!DN15</f>
        <v>2.4028859922159267</v>
      </c>
      <c r="NR15" s="15">
        <f>LA15+'Bloom Cleaner Data'!FC15/CALCULATIONS!DO15</f>
        <v>2.9313864886151437</v>
      </c>
      <c r="NS15" s="15">
        <f>LB15+'Bloom Cleaner Data'!FD15/CALCULATIONS!DP15</f>
        <v>2.7953637190359508</v>
      </c>
      <c r="NT15" s="15">
        <f>LC15+'Bloom Cleaner Data'!FE15/CALCULATIONS!DQ15</f>
        <v>3.0425540777720563</v>
      </c>
      <c r="NU15" s="15">
        <f>LD15+'Bloom Cleaner Data'!FF15/CALCULATIONS!DR15</f>
        <v>3.1948897886404262</v>
      </c>
      <c r="NV15" s="15">
        <f>LE15+'Bloom Cleaner Data'!FG15/CALCULATIONS!DS15</f>
        <v>2.5843947247970434</v>
      </c>
      <c r="NW15" s="15">
        <f>LF15+'Bloom Cleaner Data'!FH15/CALCULATIONS!DT15</f>
        <v>2.5749666827554503</v>
      </c>
      <c r="NX15" s="15">
        <f>LG15+'Bloom Cleaner Data'!FI15/CALCULATIONS!DU15</f>
        <v>2.824166551685813</v>
      </c>
      <c r="NY15" s="15">
        <f>LH15+'Bloom Cleaner Data'!FJ15/CALCULATIONS!DV15</f>
        <v>2.5950638213005011</v>
      </c>
      <c r="NZ15" s="15">
        <f>LI15+'Bloom Cleaner Data'!FK15/CALCULATIONS!DW15</f>
        <v>2.8851977840651593</v>
      </c>
      <c r="OA15" s="15">
        <f>LJ15+'Bloom Cleaner Data'!FL15/CALCULATIONS!DX15</f>
        <v>3.0365095500169414</v>
      </c>
      <c r="OB15" s="15">
        <f>LK15+'Bloom Cleaner Data'!FM15/CALCULATIONS!DY15</f>
        <v>2.363530842925047</v>
      </c>
      <c r="OC15" s="15"/>
      <c r="OD15" s="15">
        <f t="shared" si="46"/>
        <v>0.81180395050066045</v>
      </c>
      <c r="OE15" s="15">
        <f t="shared" si="112"/>
        <v>2.7617460590023826</v>
      </c>
      <c r="OF15" s="15">
        <f t="shared" si="47"/>
        <v>0.83286804606148612</v>
      </c>
      <c r="OG15" s="15">
        <f t="shared" si="113"/>
        <v>2.7200754995769119</v>
      </c>
      <c r="OH15" s="15">
        <f t="shared" si="114"/>
        <v>2.7348158736246613</v>
      </c>
      <c r="OI15" s="18">
        <f t="shared" si="115"/>
        <v>1.8018941163821228E-2</v>
      </c>
      <c r="OJ15" s="15">
        <f t="shared" si="48"/>
        <v>0.56218683029188732</v>
      </c>
      <c r="OK15" s="15"/>
      <c r="OL15" s="13">
        <f>'Bloom Cleaner Data'!GF15+('Bloom Cleaner Data'!T15+'Bloom Cleaner Data'!EY15)+'Bloom Cleaner Data'!CK15</f>
        <v>8028.3000000000011</v>
      </c>
      <c r="OM15" s="13">
        <f>'Bloom Cleaner Data'!GG15+('Bloom Cleaner Data'!U15+'Bloom Cleaner Data'!EZ15)+'Bloom Cleaner Data'!CL15</f>
        <v>8191.4998999999998</v>
      </c>
      <c r="ON15" s="13">
        <f>'Bloom Cleaner Data'!GH15+('Bloom Cleaner Data'!V15+'Bloom Cleaner Data'!FA15)+'Bloom Cleaner Data'!CM15</f>
        <v>7733.5001000000002</v>
      </c>
      <c r="OO15" s="13">
        <f>'Bloom Cleaner Data'!GI15+('Bloom Cleaner Data'!W15+'Bloom Cleaner Data'!FB15)+'Bloom Cleaner Data'!CN15</f>
        <v>7895</v>
      </c>
      <c r="OP15" s="13">
        <f>'Bloom Cleaner Data'!GJ15+('Bloom Cleaner Data'!X15+'Bloom Cleaner Data'!FC15)+'Bloom Cleaner Data'!CO15</f>
        <v>7492.9</v>
      </c>
      <c r="OQ15" s="13">
        <f>'Bloom Cleaner Data'!GK15+('Bloom Cleaner Data'!Y15+'Bloom Cleaner Data'!FD15)+'Bloom Cleaner Data'!CP15</f>
        <v>7010.2</v>
      </c>
      <c r="OR15" s="13">
        <f>'Bloom Cleaner Data'!GL15+('Bloom Cleaner Data'!Z15+'Bloom Cleaner Data'!FE15)+'Bloom Cleaner Data'!CQ15</f>
        <v>7152.4000000000005</v>
      </c>
      <c r="OS15" s="13">
        <f>'Bloom Cleaner Data'!GM15+('Bloom Cleaner Data'!AA15+'Bloom Cleaner Data'!FF15)+'Bloom Cleaner Data'!CR15</f>
        <v>7489</v>
      </c>
      <c r="OT15" s="13">
        <f>'Bloom Cleaner Data'!GN15+('Bloom Cleaner Data'!AB15+'Bloom Cleaner Data'!FG15)+'Bloom Cleaner Data'!CS15</f>
        <v>6299.6</v>
      </c>
      <c r="OU15" s="13">
        <f>'Bloom Cleaner Data'!GO15+('Bloom Cleaner Data'!AC15+'Bloom Cleaner Data'!FH15)+'Bloom Cleaner Data'!CT15</f>
        <v>6398.5</v>
      </c>
      <c r="OV15" s="13">
        <f>'Bloom Cleaner Data'!GP15+('Bloom Cleaner Data'!AD15+'Bloom Cleaner Data'!FI15)+'Bloom Cleaner Data'!CU15</f>
        <v>6783.4</v>
      </c>
      <c r="OW15" s="13">
        <f>'Bloom Cleaner Data'!GQ15+('Bloom Cleaner Data'!AE15+'Bloom Cleaner Data'!FJ15)+'Bloom Cleaner Data'!CV15</f>
        <v>6339.6</v>
      </c>
      <c r="OX15" s="13">
        <f>'Bloom Cleaner Data'!GR15+('Bloom Cleaner Data'!AF15+'Bloom Cleaner Data'!FK15)+'Bloom Cleaner Data'!CW15</f>
        <v>6447.9000000000015</v>
      </c>
      <c r="OY15" s="13">
        <f>'Bloom Cleaner Data'!GS15+('Bloom Cleaner Data'!AG15+'Bloom Cleaner Data'!FL15)+'Bloom Cleaner Data'!CX15</f>
        <v>6695.0000000000009</v>
      </c>
      <c r="OZ15" s="13">
        <f>'Bloom Cleaner Data'!GT15+('Bloom Cleaner Data'!AH15+'Bloom Cleaner Data'!FM15)+'Bloom Cleaner Data'!CY15</f>
        <v>5646.7</v>
      </c>
      <c r="PA15" s="166"/>
      <c r="PB15" s="1694" t="s">
        <v>42</v>
      </c>
      <c r="PC15" s="947">
        <f>('Bloom Cleaner Data'!T15+'Bloom Cleaner Data'!EY15+'OPERATING LEASES'!BL15)/CALCULATIONS!OL15</f>
        <v>0.67093905309965984</v>
      </c>
      <c r="PD15" s="947">
        <f>('Bloom Cleaner Data'!U15+'Bloom Cleaner Data'!EZ15+'OPERATING LEASES'!BM15)/CALCULATIONS!OM15</f>
        <v>0.65738875245545692</v>
      </c>
      <c r="PE15" s="947">
        <f>('Bloom Cleaner Data'!V15+'Bloom Cleaner Data'!FA15+'OPERATING LEASES'!BN15)/CALCULATIONS!ON15</f>
        <v>0.68949376492540548</v>
      </c>
      <c r="PF15" s="947">
        <f>('Bloom Cleaner Data'!W15+'Bloom Cleaner Data'!FB15+'OPERATING LEASES'!BO15)/CALCULATIONS!OO15</f>
        <v>0.6740215326155794</v>
      </c>
      <c r="PG15" s="947">
        <f>('Bloom Cleaner Data'!X15+'Bloom Cleaner Data'!FC15+'OPERATING LEASES'!BP15)/CALCULATIONS!OP15</f>
        <v>0.70564134046897731</v>
      </c>
      <c r="PH15" s="947">
        <f>('Bloom Cleaner Data'!Y15+'Bloom Cleaner Data'!FD15+'OPERATING LEASES'!BQ15)/CALCULATIONS!OQ15</f>
        <v>0.68446469073635574</v>
      </c>
      <c r="PI15" s="947">
        <f>('Bloom Cleaner Data'!Z15+'Bloom Cleaner Data'!FE15+'OPERATING LEASES'!BR15)/CALCULATIONS!OR15</f>
        <v>0.70464022565852014</v>
      </c>
      <c r="PJ15" s="947">
        <f>('Bloom Cleaner Data'!AA15+'Bloom Cleaner Data'!FF15+'OPERATING LEASES'!BS15)/CALCULATIONS!OS15</f>
        <v>0.68983884697556419</v>
      </c>
      <c r="PK15" s="947">
        <f>('Bloom Cleaner Data'!AB15+'Bloom Cleaner Data'!FG15+'OPERATING LEASES'!BT15)/CALCULATIONS!OT15</f>
        <v>0.67811249920629868</v>
      </c>
      <c r="PL15" s="947">
        <f>('Bloom Cleaner Data'!AC15+'Bloom Cleaner Data'!FH15+'OPERATING LEASES'!BU15)/CALCULATIONS!OU15</f>
        <v>0.67311186215519259</v>
      </c>
      <c r="PM15" s="947">
        <f>('Bloom Cleaner Data'!AD15+'Bloom Cleaner Data'!FI15+'OPERATING LEASES'!BV15)/CALCULATIONS!OV15</f>
        <v>0.68126234631600668</v>
      </c>
      <c r="PN15" s="947">
        <f>('Bloom Cleaner Data'!AE15+'Bloom Cleaner Data'!FJ15+'OPERATING LEASES'!BW15)/CALCULATIONS!OW15</f>
        <v>0.64785534576313952</v>
      </c>
      <c r="PO15" s="947">
        <f>('Bloom Cleaner Data'!AF15+'Bloom Cleaner Data'!FK15+'OPERATING LEASES'!BX15)/CALCULATIONS!OX15</f>
        <v>0.64568502923432425</v>
      </c>
      <c r="PP15" s="947">
        <f>('Bloom Cleaner Data'!AG15+'Bloom Cleaner Data'!FL15+'OPERATING LEASES'!BY15)/CALCULATIONS!OY15</f>
        <v>0.63440067214339046</v>
      </c>
      <c r="PQ15" s="947">
        <f>('Bloom Cleaner Data'!AH15+'Bloom Cleaner Data'!FM15+'OPERATING LEASES'!BZ15)/CALCULATIONS!OZ15</f>
        <v>0.55444994421520533</v>
      </c>
      <c r="PR15" s="947"/>
      <c r="PS15" s="18">
        <f t="shared" si="116"/>
        <v>0.61151188186430672</v>
      </c>
      <c r="PT15" s="18">
        <f t="shared" si="117"/>
        <v>0.620597747839015</v>
      </c>
      <c r="PU15" s="18">
        <f t="shared" si="118"/>
        <v>0.66638293080107391</v>
      </c>
      <c r="PV15" s="10">
        <f t="shared" si="119"/>
        <v>-0.19585937912696019</v>
      </c>
      <c r="PW15" s="10"/>
      <c r="PX15" s="506">
        <f>'Bloom Cleaner Data'!D15/'Bloom Cleaner Data'!GF15</f>
        <v>2.6769531871981318</v>
      </c>
      <c r="PY15" s="506">
        <f>'Bloom Cleaner Data'!E15/'Bloom Cleaner Data'!GG15</f>
        <v>2.2244356049382716</v>
      </c>
      <c r="PZ15" s="506">
        <f>'Bloom Cleaner Data'!F15/'Bloom Cleaner Data'!GH15</f>
        <v>1.7899236659206033</v>
      </c>
      <c r="QA15" s="506">
        <f>'Bloom Cleaner Data'!G15/'Bloom Cleaner Data'!GI15</f>
        <v>1.3950698614629939</v>
      </c>
      <c r="QB15" s="506">
        <f>'Bloom Cleaner Data'!H15/'Bloom Cleaner Data'!GJ15</f>
        <v>1.8181180563959822</v>
      </c>
      <c r="QC15" s="506">
        <f>'Bloom Cleaner Data'!I15/'Bloom Cleaner Data'!GK15</f>
        <v>2.2538280329112448</v>
      </c>
      <c r="QD15" s="506">
        <f>'Bloom Cleaner Data'!J15/'Bloom Cleaner Data'!GL15</f>
        <v>1.8976800337186899</v>
      </c>
      <c r="QE15" s="506">
        <f>'Bloom Cleaner Data'!K15/'Bloom Cleaner Data'!GM15</f>
        <v>0.82110836561616585</v>
      </c>
      <c r="QF15" s="506">
        <f>'Bloom Cleaner Data'!L15/'Bloom Cleaner Data'!GN15</f>
        <v>0.80329659136174814</v>
      </c>
      <c r="QG15" s="506">
        <f>'Bloom Cleaner Data'!M15/'Bloom Cleaner Data'!GO15</f>
        <v>0.85764889473972905</v>
      </c>
      <c r="QH15" s="506">
        <f>'Bloom Cleaner Data'!N15/'Bloom Cleaner Data'!GP15</f>
        <v>0.5167092557453089</v>
      </c>
      <c r="QI15" s="506">
        <f>'Bloom Cleaner Data'!O15/'Bloom Cleaner Data'!GQ15</f>
        <v>0.72443374473056021</v>
      </c>
      <c r="QJ15" s="506">
        <f>'Bloom Cleaner Data'!P15/'Bloom Cleaner Data'!GR15</f>
        <v>1.2413184030191677</v>
      </c>
      <c r="QK15" s="506">
        <f>'Bloom Cleaner Data'!Q15/'Bloom Cleaner Data'!GS15</f>
        <v>1.0650537703710523</v>
      </c>
      <c r="QL15" s="506">
        <f>'Bloom Cleaner Data'!R15/'Bloom Cleaner Data'!GT15</f>
        <v>1.312316956715752</v>
      </c>
      <c r="QM15" s="506"/>
      <c r="QN15" s="506">
        <f t="shared" si="120"/>
        <v>1.2689619717468461</v>
      </c>
      <c r="QO15" s="10">
        <f t="shared" si="121"/>
        <v>-0.26683076954525098</v>
      </c>
      <c r="QP15" s="506">
        <f t="shared" si="122"/>
        <v>1.6349215594937576</v>
      </c>
      <c r="QQ15" s="18"/>
      <c r="QR15" s="506">
        <f>'Bloom Cleaner Data'!GF15/CALCULATIONS!DK15</f>
        <v>0.82889793655858246</v>
      </c>
      <c r="QS15" s="506">
        <f>'Bloom Cleaner Data'!GG15/CALCULATIONS!DL15</f>
        <v>0.91269404426783729</v>
      </c>
      <c r="QT15" s="506">
        <f>'Bloom Cleaner Data'!GH15/CALCULATIONS!DM15</f>
        <v>0.73924008115683681</v>
      </c>
      <c r="QU15" s="506">
        <f>'Bloom Cleaner Data'!GI15/CALCULATIONS!DN15</f>
        <v>0.8376731319126105</v>
      </c>
      <c r="QV15" s="506">
        <f>'Bloom Cleaner Data'!GJ15/CALCULATIONS!DO15</f>
        <v>0.91623499916505324</v>
      </c>
      <c r="QW15" s="506">
        <f>'Bloom Cleaner Data'!GK15/CALCULATIONS!DP15</f>
        <v>0.97784160934581044</v>
      </c>
      <c r="QX15" s="506">
        <f>'Bloom Cleaner Data'!GL15/CALCULATIONS!DQ15</f>
        <v>0.96408123991906125</v>
      </c>
      <c r="QY15" s="506">
        <f>'Bloom Cleaner Data'!GM15/CALCULATIONS!DR15</f>
        <v>1.1160254977533139</v>
      </c>
      <c r="QZ15" s="506">
        <f>'Bloom Cleaner Data'!GN15/CALCULATIONS!DS15</f>
        <v>0.97150334668780802</v>
      </c>
      <c r="RA15" s="506">
        <f>'Bloom Cleaner Data'!GO15/CALCULATIONS!DT15</f>
        <v>0.99346198277177677</v>
      </c>
      <c r="RB15" s="506">
        <f>'Bloom Cleaner Data'!GP15/CALCULATIONS!DU15</f>
        <v>1.0599089049321944</v>
      </c>
      <c r="RC15" s="506">
        <f>'Bloom Cleaner Data'!GQ15/CALCULATIONS!DV15</f>
        <v>1.1213469321660683</v>
      </c>
      <c r="RD15" s="506">
        <f>'Bloom Cleaner Data'!GR15/CALCULATIONS!DW15</f>
        <v>1.2554076313458402</v>
      </c>
      <c r="RE15" s="506">
        <f>'Bloom Cleaner Data'!GS15/CALCULATIONS!DX15</f>
        <v>1.3997665571111755</v>
      </c>
      <c r="RF15" s="506">
        <f>'Bloom Cleaner Data'!GT15/CALCULATIONS!DY15</f>
        <v>1.4730790713133444</v>
      </c>
      <c r="RG15" s="506"/>
      <c r="RH15" s="506">
        <f t="shared" si="123"/>
        <v>1.0635054604292995</v>
      </c>
      <c r="RI15" s="506">
        <f t="shared" si="124"/>
        <v>1.150509018222287</v>
      </c>
      <c r="RJ15" s="18"/>
      <c r="RK15" s="506">
        <f>'Bloom Cleaner Data'!GF15/($RK$1*DK15+(1-$RK$1)*'Bloom Cleaner Data'!GV15)</f>
        <v>0.82889793655858246</v>
      </c>
      <c r="RL15" s="506">
        <f>'Bloom Cleaner Data'!GG15/($RK$1*DL15+(1-$RK$1)*'Bloom Cleaner Data'!GW15)</f>
        <v>0.91269404426783729</v>
      </c>
      <c r="RM15" s="506">
        <f>'Bloom Cleaner Data'!GH15/($RK$1*DM15+(1-$RK$1)*'Bloom Cleaner Data'!GX15)</f>
        <v>0.73924008115683681</v>
      </c>
      <c r="RN15" s="506">
        <f>'Bloom Cleaner Data'!GI15/($RK$1*DN15+(1-$RK$1)*'Bloom Cleaner Data'!GY15)</f>
        <v>0.8376731319126105</v>
      </c>
      <c r="RO15" s="506">
        <f>'Bloom Cleaner Data'!GJ15/($RK$1*DO15+(1-$RK$1)*'Bloom Cleaner Data'!GZ15)</f>
        <v>0.91623499916505324</v>
      </c>
      <c r="RP15" s="506">
        <f>'Bloom Cleaner Data'!GK15/($RK$1*DP15+(1-$RK$1)*'Bloom Cleaner Data'!HA15)</f>
        <v>0.97784160934581044</v>
      </c>
      <c r="RQ15" s="506">
        <f>'Bloom Cleaner Data'!GL15/($RK$1*DQ15+(1-$RK$1)*'Bloom Cleaner Data'!HB15)</f>
        <v>0.96408123991906125</v>
      </c>
      <c r="RR15" s="506">
        <f>'Bloom Cleaner Data'!GM15/($RK$1*DR15+(1-$RK$1)*'Bloom Cleaner Data'!HC15)</f>
        <v>1.1160254977533139</v>
      </c>
      <c r="RS15" s="506">
        <f>'Bloom Cleaner Data'!GN15/($RK$1*DS15+(1-$RK$1)*'Bloom Cleaner Data'!HD15)</f>
        <v>0.97150334668780802</v>
      </c>
      <c r="RT15" s="506">
        <f>'Bloom Cleaner Data'!GO15/($RK$1*DT15+(1-$RK$1)*'Bloom Cleaner Data'!HE15)</f>
        <v>0.99346198277177677</v>
      </c>
      <c r="RU15" s="506">
        <f>'Bloom Cleaner Data'!GP15/($RK$1*DU15+(1-$RK$1)*'Bloom Cleaner Data'!HF15)</f>
        <v>1.0599089049321944</v>
      </c>
      <c r="RV15" s="506">
        <f>'Bloom Cleaner Data'!GQ15/($RK$1*DV15+(1-$RK$1)*'Bloom Cleaner Data'!HG15)</f>
        <v>1.1213469321660683</v>
      </c>
      <c r="RW15" s="506">
        <f>'Bloom Cleaner Data'!GR15/($RK$1*DW15+(1-$RK$1)*'Bloom Cleaner Data'!HH15)</f>
        <v>1.2554076313458402</v>
      </c>
      <c r="RX15" s="506">
        <f>'Bloom Cleaner Data'!GS15/($RK$1*DX15+(1-$RK$1)*'Bloom Cleaner Data'!HI15)</f>
        <v>1.3997665571111755</v>
      </c>
      <c r="RY15" s="506">
        <f>'Bloom Cleaner Data'!GT15/($RK$1*DY15+(1-$RK$1)*'Bloom Cleaner Data'!HJ15)</f>
        <v>1.4730790713133444</v>
      </c>
      <c r="RZ15" s="506"/>
      <c r="SA15" s="506">
        <f t="shared" si="125"/>
        <v>1.0635054604292995</v>
      </c>
      <c r="SB15" s="506">
        <f t="shared" si="126"/>
        <v>1.150509018222287</v>
      </c>
      <c r="SC15" s="18"/>
      <c r="SD15" s="15">
        <f>'Bloom Cleaner Data'!HM15</f>
        <v>5.6951000000000001</v>
      </c>
      <c r="SE15" s="15">
        <f>'Bloom Cleaner Data'!HN15</f>
        <v>5.4276999999999997</v>
      </c>
      <c r="SF15" s="15">
        <f>'Bloom Cleaner Data'!HO15</f>
        <v>5.7199</v>
      </c>
      <c r="SG15" s="15">
        <f>'Bloom Cleaner Data'!HP15</f>
        <v>4.8768000000000002</v>
      </c>
      <c r="SH15" s="15">
        <f>'Bloom Cleaner Data'!HQ15</f>
        <v>4.8898999999999999</v>
      </c>
      <c r="SI15" s="15">
        <f>'Bloom Cleaner Data'!HR15</f>
        <v>6.6874000000000002</v>
      </c>
      <c r="SJ15" s="15">
        <f>'Bloom Cleaner Data'!HS15</f>
        <v>6</v>
      </c>
      <c r="SK15" s="15">
        <f>'Bloom Cleaner Data'!HT15</f>
        <v>5.2976999999999999</v>
      </c>
      <c r="SL15" s="15">
        <f>'Bloom Cleaner Data'!HU15</f>
        <v>3.6024000000000003</v>
      </c>
      <c r="SM15" s="15">
        <f>'Bloom Cleaner Data'!HV15</f>
        <v>4.4120999999999997</v>
      </c>
      <c r="SN15" s="15">
        <f>'Bloom Cleaner Data'!HW15</f>
        <v>3.7010000000000001</v>
      </c>
      <c r="SO15" s="15">
        <f>'Bloom Cleaner Data'!HX15</f>
        <v>4.4615999999999998</v>
      </c>
      <c r="SP15" s="15">
        <f>'Bloom Cleaner Data'!HY15</f>
        <v>6.1590999999999996</v>
      </c>
      <c r="SQ15" s="15">
        <f>'Bloom Cleaner Data'!HZ15</f>
        <v>6.2649999999999997</v>
      </c>
      <c r="SR15" s="15">
        <f>'Bloom Cleaner Data'!IA15</f>
        <v>7.5407999999999999</v>
      </c>
      <c r="SS15" s="15"/>
      <c r="ST15" s="15">
        <f t="shared" si="127"/>
        <v>5.3824333333333341</v>
      </c>
      <c r="SU15" s="487">
        <f t="shared" si="128"/>
        <v>0.31834472630640398</v>
      </c>
      <c r="SV15" s="15">
        <f t="shared" si="129"/>
        <v>1.8209</v>
      </c>
    </row>
    <row r="16" spans="1:518">
      <c r="A16" s="11" t="s">
        <v>499</v>
      </c>
      <c r="B16" s="72">
        <v>1</v>
      </c>
      <c r="C16" s="83" t="s">
        <v>284</v>
      </c>
      <c r="D16" s="1133" t="s">
        <v>1042</v>
      </c>
      <c r="E16" s="224"/>
      <c r="F16" s="224"/>
      <c r="G16" s="13">
        <f>'Bloom Cleaner Data'!D16</f>
        <v>20938.354599999999</v>
      </c>
      <c r="H16" s="13">
        <f>'Bloom Cleaner Data'!F16</f>
        <v>17512.778200000001</v>
      </c>
      <c r="I16" s="13">
        <f>'Bloom Cleaner Data'!H16</f>
        <v>18635.895700000001</v>
      </c>
      <c r="J16" s="13">
        <f>'Bloom Cleaner Data'!J16</f>
        <v>18491.3567</v>
      </c>
      <c r="K16" s="13">
        <f>'Bloom Cleaner Data'!L16</f>
        <v>16022.298000000001</v>
      </c>
      <c r="L16" s="13">
        <f>'Bloom Cleaner Data'!N16</f>
        <v>15048.6204</v>
      </c>
      <c r="M16" s="13">
        <f>'Bloom Cleaner Data'!P16</f>
        <v>13168.7479</v>
      </c>
      <c r="N16" s="13">
        <f>'Bloom Cleaner Data'!R16</f>
        <v>10295.917100000001</v>
      </c>
      <c r="O16" s="13"/>
      <c r="P16" s="13">
        <f t="shared" si="0"/>
        <v>15596.516285714286</v>
      </c>
      <c r="Q16" s="13">
        <f t="shared" si="49"/>
        <v>12837.7618</v>
      </c>
      <c r="R16" s="10">
        <f t="shared" si="1"/>
        <v>-0.41209116095583281</v>
      </c>
      <c r="S16" s="144">
        <f t="shared" si="130"/>
        <v>-0.41209116095583281</v>
      </c>
      <c r="T16" s="10">
        <f t="shared" si="2"/>
        <v>-0.31031558205019388</v>
      </c>
      <c r="U16" s="10"/>
      <c r="V16" s="1277" t="s">
        <v>284</v>
      </c>
      <c r="W16" s="1238">
        <f>'Bloom Cleaner Data'!D16/'Bloom Cleaner Data'!$F16</f>
        <v>1.1956043958804889</v>
      </c>
      <c r="X16" s="1238">
        <f>'Bloom Cleaner Data'!E16/'Bloom Cleaner Data'!$F16</f>
        <v>1.1714285743652026</v>
      </c>
      <c r="Y16" s="1238">
        <f>'Bloom Cleaner Data'!F16/'Bloom Cleaner Data'!$F16</f>
        <v>1</v>
      </c>
      <c r="Z16" s="1238">
        <f>'Bloom Cleaner Data'!G16/'Bloom Cleaner Data'!$F16</f>
        <v>1.1279571849999219</v>
      </c>
      <c r="AA16" s="1238">
        <f>'Bloom Cleaner Data'!H16/'Bloom Cleaner Data'!$F16</f>
        <v>1.0641313152701266</v>
      </c>
      <c r="AB16" s="1238">
        <f>'Bloom Cleaner Data'!I16/'Bloom Cleaner Data'!$F16</f>
        <v>1.1939839505304761</v>
      </c>
      <c r="AC16" s="1238">
        <f>'Bloom Cleaner Data'!J16/'Bloom Cleaner Data'!$F16</f>
        <v>1.0558779702925718</v>
      </c>
      <c r="AD16" s="1238">
        <f>'Bloom Cleaner Data'!K16/'Bloom Cleaner Data'!$F16</f>
        <v>0.90223088647351224</v>
      </c>
      <c r="AE16" s="1238">
        <f>'Bloom Cleaner Data'!L16/'Bloom Cleaner Data'!$F16</f>
        <v>0.91489184737119555</v>
      </c>
      <c r="AF16" s="1238">
        <f>'Bloom Cleaner Data'!M16/'Bloom Cleaner Data'!$F16</f>
        <v>0.98149949732133301</v>
      </c>
      <c r="AG16" s="1238">
        <f>'Bloom Cleaner Data'!N16/'Bloom Cleaner Data'!$F16</f>
        <v>0.85929372416764804</v>
      </c>
      <c r="AH16" s="1238">
        <f>'Bloom Cleaner Data'!O16/'Bloom Cleaner Data'!$F16</f>
        <v>0.85874324611728359</v>
      </c>
      <c r="AI16" s="1238">
        <f>'Bloom Cleaner Data'!P16/'Bloom Cleaner Data'!$F16</f>
        <v>0.75195081840298761</v>
      </c>
      <c r="AJ16" s="1238">
        <f>'Bloom Cleaner Data'!Q16/'Bloom Cleaner Data'!$F16</f>
        <v>0.60662504136550988</v>
      </c>
      <c r="AK16" s="1238">
        <f>'Bloom Cleaner Data'!R16/'Bloom Cleaner Data'!$F16</f>
        <v>0.58790883904416724</v>
      </c>
      <c r="AL16" s="13"/>
      <c r="AM16" s="13">
        <f>AVERAGE('Bloom Cleaner Data'!BW16:CI16)</f>
        <v>53016.098176923071</v>
      </c>
      <c r="AN16" s="18">
        <f>('Bloom Cleaner Data'!CI16-'Bloom Cleaner Data'!BW16)/'Bloom Cleaner Data'!BW16</f>
        <v>-0.19556913621070435</v>
      </c>
      <c r="AO16" s="18">
        <f>('Bloom Cleaner Data'!CI16+'Bloom Cleaner Data'!CH16-'Bloom Cleaner Data'!BW16-'Bloom Cleaner Data'!BV16)/('Bloom Cleaner Data'!BW16+'Bloom Cleaner Data'!BV16)</f>
        <v>-0.19678387843994527</v>
      </c>
      <c r="AP16" s="13"/>
      <c r="AQ16" s="13">
        <f>'Bloom Cleaner Data'!BW16</f>
        <v>56127.778200000001</v>
      </c>
      <c r="AR16" s="13">
        <f>'Bloom Cleaner Data'!BY16</f>
        <v>56814.895700000001</v>
      </c>
      <c r="AS16" s="13">
        <f>'Bloom Cleaner Data'!CA16</f>
        <v>55517.356699999997</v>
      </c>
      <c r="AT16" s="13">
        <f>'Bloom Cleaner Data'!CC16</f>
        <v>53694.298000000003</v>
      </c>
      <c r="AU16" s="13">
        <f>'Bloom Cleaner Data'!CE16</f>
        <v>52961.6204</v>
      </c>
      <c r="AV16" s="13">
        <f>'Bloom Cleaner Data'!CG16</f>
        <v>48351.747900000002</v>
      </c>
      <c r="AW16" s="13">
        <f>'Bloom Cleaner Data'!CI16</f>
        <v>45150.917099999999</v>
      </c>
      <c r="AX16" s="13"/>
      <c r="AY16" s="13">
        <f t="shared" si="3"/>
        <v>52659.802000000011</v>
      </c>
      <c r="AZ16" s="10">
        <f t="shared" si="4"/>
        <v>-0.19556913621070435</v>
      </c>
      <c r="BA16" s="10"/>
      <c r="BB16" s="13">
        <f>'Bloom Cleaner Data'!T16+'OPERATING LEASES'!AU16</f>
        <v>37249.761771266312</v>
      </c>
      <c r="BC16" s="13">
        <f>'Bloom Cleaner Data'!U16+'OPERATING LEASES'!AV16</f>
        <v>36819.093570719662</v>
      </c>
      <c r="BD16" s="13">
        <f>'Bloom Cleaner Data'!V16+'OPERATING LEASES'!AW16</f>
        <v>38026.425370173005</v>
      </c>
      <c r="BE16" s="13">
        <f>'Bloom Cleaner Data'!W16+'OPERATING LEASES'!AX16</f>
        <v>37412.757169626348</v>
      </c>
      <c r="BF16" s="13">
        <f>'Bloom Cleaner Data'!X16+'OPERATING LEASES'!AY16</f>
        <v>35080.08896907969</v>
      </c>
      <c r="BG16" s="13">
        <f>'Bloom Cleaner Data'!Y16+'OPERATING LEASES'!AZ16</f>
        <v>33503.526229347815</v>
      </c>
      <c r="BH16" s="13">
        <f>'Bloom Cleaner Data'!Z16+'OPERATING LEASES'!BA16</f>
        <v>34165.963489615933</v>
      </c>
      <c r="BI16" s="13">
        <f>'Bloom Cleaner Data'!AA16+'OPERATING LEASES'!BB16</f>
        <v>34311.400749884058</v>
      </c>
      <c r="BJ16" s="13">
        <f>'Bloom Cleaner Data'!AB16+'OPERATING LEASES'!BC16</f>
        <v>34541.838010152176</v>
      </c>
      <c r="BK16" s="13">
        <f>'Bloom Cleaner Data'!AC16+'OPERATING LEASES'!BD16</f>
        <v>34147.011809865835</v>
      </c>
      <c r="BL16" s="13">
        <f>'Bloom Cleaner Data'!AD16+'OPERATING LEASES'!BE16</f>
        <v>34733.185609579494</v>
      </c>
      <c r="BM16" s="13">
        <f>'Bloom Cleaner Data'!AE16+'OPERATING LEASES'!BF16</f>
        <v>33684.359409293145</v>
      </c>
      <c r="BN16" s="13">
        <f>'Bloom Cleaner Data'!AF16+'OPERATING LEASES'!BG16</f>
        <v>32235.533209006804</v>
      </c>
      <c r="BO16" s="13">
        <f>'Bloom Cleaner Data'!AG16+'OPERATING LEASES'!BH16</f>
        <v>32556.533209006804</v>
      </c>
      <c r="BP16" s="13">
        <f>'Bloom Cleaner Data'!AH16+'OPERATING LEASES'!BI16</f>
        <v>32025.533209006804</v>
      </c>
      <c r="BQ16" s="13"/>
      <c r="BR16" s="1099">
        <f t="shared" si="50"/>
        <v>34340.319726433692</v>
      </c>
      <c r="BS16" s="10">
        <f t="shared" si="51"/>
        <v>-0.15780847404797491</v>
      </c>
      <c r="BT16" s="10"/>
      <c r="BU16" s="13">
        <f>'Bloom Cleaner Data'!BU16+'OPERATING LEASES'!AU16</f>
        <v>59356.116371266311</v>
      </c>
      <c r="BV16" s="13">
        <f>'Bloom Cleaner Data'!BV16+'OPERATING LEASES'!AV16</f>
        <v>58556.062370719665</v>
      </c>
      <c r="BW16" s="13">
        <f>'Bloom Cleaner Data'!BW16+'OPERATING LEASES'!AW16</f>
        <v>56903.203570173006</v>
      </c>
      <c r="BX16" s="13">
        <f>'Bloom Cleaner Data'!BX16+'OPERATING LEASES'!AX16</f>
        <v>58513.421169626345</v>
      </c>
      <c r="BY16" s="13">
        <f>'Bloom Cleaner Data'!BY16+'OPERATING LEASES'!AY16</f>
        <v>57506.984669079691</v>
      </c>
      <c r="BZ16" s="13">
        <f>'Bloom Cleaner Data'!BZ16+'OPERATING LEASES'!AZ16</f>
        <v>57975.502329347815</v>
      </c>
      <c r="CA16" s="13">
        <f>'Bloom Cleaner Data'!CA16+'OPERATING LEASES'!BA16</f>
        <v>56250.32018961593</v>
      </c>
      <c r="CB16" s="13">
        <f>'Bloom Cleaner Data'!CB16+'OPERATING LEASES'!BB16</f>
        <v>53661.970149884059</v>
      </c>
      <c r="CC16" s="13">
        <f>'Bloom Cleaner Data'!CC16+'OPERATING LEASES'!BC16</f>
        <v>54468.136010152179</v>
      </c>
      <c r="CD16" s="13">
        <f>'Bloom Cleaner Data'!CD16+'OPERATING LEASES'!BD16</f>
        <v>55253.794809865838</v>
      </c>
      <c r="CE16" s="13">
        <f>'Bloom Cleaner Data'!CE16+'OPERATING LEASES'!BE16</f>
        <v>53691.806009579494</v>
      </c>
      <c r="CF16" s="13">
        <f>'Bloom Cleaner Data'!CF16+'OPERATING LEASES'!BF16</f>
        <v>52537.339409293148</v>
      </c>
      <c r="CG16" s="13">
        <f>'Bloom Cleaner Data'!CG16+'OPERATING LEASES'!BG16</f>
        <v>49038.281109006806</v>
      </c>
      <c r="CH16" s="13">
        <f>'Bloom Cleaner Data'!CH16+'OPERATING LEASES'!BH16</f>
        <v>46995.223009006804</v>
      </c>
      <c r="CI16" s="13">
        <f>'Bloom Cleaner Data'!CI16+'OPERATING LEASES'!BI16</f>
        <v>45837.450309006803</v>
      </c>
      <c r="CJ16" s="13"/>
      <c r="CK16" s="1099">
        <f t="shared" si="52"/>
        <v>53741.033287972161</v>
      </c>
      <c r="CL16" s="10">
        <f t="shared" si="53"/>
        <v>-0.19446626142093951</v>
      </c>
      <c r="CM16" s="18">
        <f t="shared" si="54"/>
        <v>1.3673867673736892E-2</v>
      </c>
      <c r="CN16" s="13"/>
      <c r="CO16" s="18">
        <f>$CO$1*BU16/('Bloom Cleaner Data'!D16+'Bloom Cleaner Data'!T16+'OPERATING LEASES'!AU16)+(1-$CO$1)*'Bloom Cleaner Data'!BU16/('Bloom Cleaner Data'!D16+'Bloom Cleaner Data'!T16)-1</f>
        <v>2.0072827113832625E-2</v>
      </c>
      <c r="CP16" s="18">
        <f>$CO$1*BV16/('Bloom Cleaner Data'!E16+'Bloom Cleaner Data'!U16+'OPERATING LEASES'!AV16)+(1-$CO$1)*'Bloom Cleaner Data'!BV16/('Bloom Cleaner Data'!E16+'Bloom Cleaner Data'!U16)-1</f>
        <v>2.1313682468522721E-2</v>
      </c>
      <c r="CQ16" s="18">
        <f>$CO$1*BW16/('Bloom Cleaner Data'!F16+'Bloom Cleaner Data'!V16+'OPERATING LEASES'!AW16)+(1-$CO$1)*'Bloom Cleaner Data'!BW16/('Bloom Cleaner Data'!F16+'Bloom Cleaner Data'!V16)-1</f>
        <v>2.4559228658664667E-2</v>
      </c>
      <c r="CR16" s="18">
        <f>$CO$1*BX16/('Bloom Cleaner Data'!G16+'Bloom Cleaner Data'!W16+'OPERATING LEASES'!AX16)+(1-$CO$1)*'Bloom Cleaner Data'!BX16/('Bloom Cleaner Data'!G16+'Bloom Cleaner Data'!W16)-1</f>
        <v>2.3562783403969334E-2</v>
      </c>
      <c r="CS16" s="18">
        <f>$CO$1*BY16/('Bloom Cleaner Data'!H16+'Bloom Cleaner Data'!X16+'OPERATING LEASES'!AY16)+(1-$CO$1)*'Bloom Cleaner Data'!BY16/('Bloom Cleaner Data'!H16+'Bloom Cleaner Data'!X16)-1</f>
        <v>7.0574895412504501E-2</v>
      </c>
      <c r="CT16" s="18">
        <f>$CO$1*BZ16/('Bloom Cleaner Data'!I16+'Bloom Cleaner Data'!Y16+'OPERATING LEASES'!AZ16)+(1-$CO$1)*'Bloom Cleaner Data'!BZ16/('Bloom Cleaner Data'!I16+'Bloom Cleaner Data'!Y16)-1</f>
        <v>6.5461693284147193E-2</v>
      </c>
      <c r="CU16" s="18">
        <f>$CO$1*CA16/('Bloom Cleaner Data'!J16+'Bloom Cleaner Data'!Z16+'OPERATING LEASES'!BA16)+(1-$CO$1)*'Bloom Cleaner Data'!CA16/('Bloom Cleaner Data'!J16+'Bloom Cleaner Data'!Z16)-1</f>
        <v>6.8233628051367123E-2</v>
      </c>
      <c r="CV16" s="18">
        <f>$CO$1*CB16/('Bloom Cleaner Data'!K16+'Bloom Cleaner Data'!AA16+'OPERATING LEASES'!BB16)+(1-$CO$1)*'Bloom Cleaner Data'!CB16/('Bloom Cleaner Data'!K16+'Bloom Cleaner Data'!AA16)-1</f>
        <v>7.0841357651315828E-2</v>
      </c>
      <c r="CW16" s="18">
        <f>$CO$1*CC16/('Bloom Cleaner Data'!L16+'Bloom Cleaner Data'!AB16+'OPERATING LEASES'!BC16)+(1-$CO$1)*'Bloom Cleaner Data'!CC16/('Bloom Cleaner Data'!L16+'Bloom Cleaner Data'!AB16)-1</f>
        <v>7.7208873878833018E-2</v>
      </c>
      <c r="CX16" s="18">
        <f>$CO$1*CD16/('Bloom Cleaner Data'!M16+'Bloom Cleaner Data'!AC16+'OPERATING LEASES'!BD16)+(1-$CO$1)*'Bloom Cleaner Data'!CD16/('Bloom Cleaner Data'!M16+'Bloom Cleaner Data'!AC16)-1</f>
        <v>7.6321015667746739E-2</v>
      </c>
      <c r="CY16" s="18">
        <f>$CO$1*CE16/('Bloom Cleaner Data'!N16+'Bloom Cleaner Data'!AD16+'OPERATING LEASES'!BE16)+(1-$CO$1)*'Bloom Cleaner Data'!CE16/('Bloom Cleaner Data'!N16+'Bloom Cleaner Data'!AD16)-1</f>
        <v>7.8542751125734611E-2</v>
      </c>
      <c r="CZ16" s="18">
        <f>$CO$1*CF16/('Bloom Cleaner Data'!O16+'Bloom Cleaner Data'!AE16+'OPERATING LEASES'!BF16)+(1-$CO$1)*'Bloom Cleaner Data'!CF16/('Bloom Cleaner Data'!O16+'Bloom Cleaner Data'!AE16)-1</f>
        <v>7.8278706801294229E-2</v>
      </c>
      <c r="DA16" s="18">
        <f>$CO$1*CG16/('Bloom Cleaner Data'!P16+'Bloom Cleaner Data'!AF16+'OPERATING LEASES'!BG16)+(1-$CO$1)*'Bloom Cleaner Data'!CG16/('Bloom Cleaner Data'!P16+'Bloom Cleaner Data'!AF16)-1</f>
        <v>8.003650561662834E-2</v>
      </c>
      <c r="DB16" s="18">
        <f>$CO$1*CH16/('Bloom Cleaner Data'!Q16+'Bloom Cleaner Data'!AG16+'OPERATING LEASES'!BH16)+(1-$CO$1)*'Bloom Cleaner Data'!CH16/('Bloom Cleaner Data'!Q16+'Bloom Cleaner Data'!AG16)-1</f>
        <v>8.835063216797745E-2</v>
      </c>
      <c r="DC16" s="18">
        <f>$CO$1*CI16/('Bloom Cleaner Data'!R16+'Bloom Cleaner Data'!AH16+'OPERATING LEASES'!BI16)+(1-$CO$1)*'Bloom Cleaner Data'!CI16/('Bloom Cleaner Data'!R16+'Bloom Cleaner Data'!AH16)-1</f>
        <v>8.307843834103501E-2</v>
      </c>
      <c r="DD16" s="18"/>
      <c r="DE16" s="18">
        <f t="shared" si="55"/>
        <v>6.8080808466247547E-2</v>
      </c>
      <c r="DF16" s="13"/>
      <c r="DG16" s="2203">
        <f>AVERAGE('Bloom Cleaner Data'!GX16:HJ16)</f>
        <v>11680.554192663212</v>
      </c>
      <c r="DH16" s="2124">
        <f>('Bloom Cleaner Data'!HJ16-'Bloom Cleaner Data'!GX16)/'Bloom Cleaner Data'!GX16</f>
        <v>-1.1138645488280269E-2</v>
      </c>
      <c r="DI16" s="2124">
        <f>('Bloom Cleaner Data'!HJ16+'Bloom Cleaner Data'!HI16-'Bloom Cleaner Data'!GX16-'Bloom Cleaner Data'!GW16)/('Bloom Cleaner Data'!GX16+'Bloom Cleaner Data'!GW16)</f>
        <v>7.9552076350968212E-3</v>
      </c>
      <c r="DJ16" s="13"/>
      <c r="DK16" s="13">
        <f>'Bloom Cleaner Data'!GV16+'OPERATING LEASES'!BL16</f>
        <v>11274.473074771482</v>
      </c>
      <c r="DL16" s="13">
        <f>'Bloom Cleaner Data'!GW16+'OPERATING LEASES'!BM16</f>
        <v>11350.276552795031</v>
      </c>
      <c r="DM16" s="13">
        <f>'Bloom Cleaner Data'!GX16+'OPERATING LEASES'!BN16</f>
        <v>11437.840464104422</v>
      </c>
      <c r="DN16" s="13">
        <f>'Bloom Cleaner Data'!GY16+'OPERATING LEASES'!BO16</f>
        <v>11189.294006568145</v>
      </c>
      <c r="DO16" s="13">
        <f>'Bloom Cleaner Data'!GZ16+'OPERATING LEASES'!BP16</f>
        <v>11521.050959124233</v>
      </c>
      <c r="DP16" s="13">
        <f>'Bloom Cleaner Data'!HA16+'OPERATING LEASES'!BQ16</f>
        <v>11627.225305530977</v>
      </c>
      <c r="DQ16" s="13">
        <f>'Bloom Cleaner Data'!HB16+'OPERATING LEASES'!BR16</f>
        <v>11750.393636306479</v>
      </c>
      <c r="DR16" s="13">
        <f>'Bloom Cleaner Data'!HC16+'OPERATING LEASES'!BS16</f>
        <v>12199.617409949766</v>
      </c>
      <c r="DS16" s="13">
        <f>'Bloom Cleaner Data'!HD16+'OPERATING LEASES'!BT16</f>
        <v>12292.761052995445</v>
      </c>
      <c r="DT16" s="13">
        <f>'Bloom Cleaner Data'!HE16+'OPERATING LEASES'!BU16</f>
        <v>12323.517110345985</v>
      </c>
      <c r="DU16" s="13">
        <f>'Bloom Cleaner Data'!HF16+'OPERATING LEASES'!BV16</f>
        <v>12189.051705270836</v>
      </c>
      <c r="DV16" s="13">
        <f>'Bloom Cleaner Data'!HG16+'OPERATING LEASES'!BW16</f>
        <v>11995.672378015226</v>
      </c>
      <c r="DW16" s="13">
        <f>'Bloom Cleaner Data'!HH16+'OPERATING LEASES'!BX16</f>
        <v>11911.022012156423</v>
      </c>
      <c r="DX16" s="13">
        <f>'Bloom Cleaner Data'!HI16+'OPERATING LEASES'!BY16</f>
        <v>11620.253921593001</v>
      </c>
      <c r="DY16" s="13">
        <f>'Bloom Cleaner Data'!HJ16+'OPERATING LEASES'!BZ16</f>
        <v>11288.24561408939</v>
      </c>
      <c r="DZ16" s="13"/>
      <c r="EA16" s="1099">
        <f t="shared" si="56"/>
        <v>11795.841967388484</v>
      </c>
      <c r="EB16" s="10">
        <f t="shared" si="57"/>
        <v>-1.3078941823371973E-2</v>
      </c>
      <c r="EC16" s="18">
        <f t="shared" si="58"/>
        <v>9.870060343342783E-3</v>
      </c>
      <c r="ED16" s="18">
        <f>(AVERAGE(DV16:DY16)-AVERAGE('Bloom Cleaner Data'!HG16:HJ16))/AVERAGE('Bloom Cleaner Data'!HG16:HJ16)</f>
        <v>9.3994068382042308E-3</v>
      </c>
      <c r="EE16" s="165"/>
      <c r="EF16" s="22">
        <f>'Bloom Cleaner Data'!DT16</f>
        <v>2.1307</v>
      </c>
      <c r="EG16" s="22">
        <f>'Bloom Cleaner Data'!DX16</f>
        <v>1.9216</v>
      </c>
      <c r="EH16" s="22">
        <f>'Bloom Cleaner Data'!EB16</f>
        <v>1.7532999999999999</v>
      </c>
      <c r="EI16" s="22">
        <f>'Bloom Cleaner Data'!EF16</f>
        <v>1.5859000000000001</v>
      </c>
      <c r="EJ16" s="22"/>
      <c r="EK16" s="22">
        <f>AVERAGE('Bloom Cleaner Data'!DT16:EF16)</f>
        <v>1.8478384615384618</v>
      </c>
      <c r="EL16" s="2124">
        <f t="shared" si="5"/>
        <v>-0.25569061810672544</v>
      </c>
      <c r="EM16" s="13"/>
      <c r="EN16" s="15">
        <f>'Bloom Cleaner Data'!DA16</f>
        <v>5.2606000000000002</v>
      </c>
      <c r="EO16" s="15">
        <f>'Bloom Cleaner Data'!DB16</f>
        <v>5.1520000000000001</v>
      </c>
      <c r="EP16" s="15">
        <f>'Bloom Cleaner Data'!DC16</f>
        <v>4.9644000000000004</v>
      </c>
      <c r="EQ16" s="15">
        <f>'Bloom Cleaner Data'!DD16</f>
        <v>5.22</v>
      </c>
      <c r="ER16" s="15">
        <f>'Bloom Cleaner Data'!DE16</f>
        <v>4.9785000000000004</v>
      </c>
      <c r="ES16" s="15">
        <f>'Bloom Cleaner Data'!DF16</f>
        <v>4.9729000000000001</v>
      </c>
      <c r="ET16" s="15">
        <f>'Bloom Cleaner Data'!DG16</f>
        <v>4.7716000000000003</v>
      </c>
      <c r="EU16" s="15">
        <f>'Bloom Cleaner Data'!DH16</f>
        <v>4.3795000000000002</v>
      </c>
      <c r="EV16" s="15">
        <f>'Bloom Cleaner Data'!DI16</f>
        <v>4.4116999999999997</v>
      </c>
      <c r="EW16" s="15">
        <f>'Bloom Cleaner Data'!DJ16</f>
        <v>4.4655000000000005</v>
      </c>
      <c r="EX16" s="15">
        <f>'Bloom Cleaner Data'!DK16</f>
        <v>4.3864000000000001</v>
      </c>
      <c r="EY16" s="15">
        <f>'Bloom Cleaner Data'!DL16</f>
        <v>4.3612000000000002</v>
      </c>
      <c r="EZ16" s="15">
        <f>'Bloom Cleaner Data'!DM16</f>
        <v>4.0965999999999996</v>
      </c>
      <c r="FA16" s="15">
        <f>'Bloom Cleaner Data'!DN16</f>
        <v>4.0225999999999997</v>
      </c>
      <c r="FB16" s="15">
        <f>'Bloom Cleaner Data'!DO16</f>
        <v>4.0385</v>
      </c>
      <c r="FC16" s="15"/>
      <c r="FD16" s="15">
        <f t="shared" si="59"/>
        <v>4.5437999999999992</v>
      </c>
      <c r="FE16" s="18">
        <f t="shared" si="6"/>
        <v>-0.18650793650793657</v>
      </c>
      <c r="FF16" s="15">
        <f t="shared" si="60"/>
        <v>4.3906499999999991</v>
      </c>
      <c r="FG16" s="2206"/>
      <c r="FH16" s="15">
        <f>('Bloom Cleaner Data'!BU16+'OPERATING LEASES'!AU16)/DK16</f>
        <v>5.2646466027831975</v>
      </c>
      <c r="FI16" s="15">
        <f>('Bloom Cleaner Data'!BV16+'OPERATING LEASES'!AV16)/DL16</f>
        <v>5.1589987343788648</v>
      </c>
      <c r="FJ16" s="15">
        <f>('Bloom Cleaner Data'!BW16+'OPERATING LEASES'!AW16)/DM16</f>
        <v>4.9749953890993099</v>
      </c>
      <c r="FK16" s="15">
        <f>('Bloom Cleaner Data'!BX16+'OPERATING LEASES'!AX16)/DN16</f>
        <v>5.2294113583286679</v>
      </c>
      <c r="FL16" s="15">
        <f>('Bloom Cleaner Data'!BY16+'OPERATING LEASES'!AY16)/DO16</f>
        <v>4.9914703852200519</v>
      </c>
      <c r="FM16" s="15">
        <f>('Bloom Cleaner Data'!BZ16+'OPERATING LEASES'!AZ16)/DP16</f>
        <v>4.9861855090886849</v>
      </c>
      <c r="FN16" s="15">
        <f>('Bloom Cleaner Data'!CA16+'OPERATING LEASES'!BA16)/DQ16</f>
        <v>4.7871009202460382</v>
      </c>
      <c r="FO16" s="15">
        <f>('Bloom Cleaner Data'!CB16+'OPERATING LEASES'!BB16)/DR16</f>
        <v>4.3986600847103956</v>
      </c>
      <c r="FP16" s="15">
        <f>('Bloom Cleaner Data'!CC16+'OPERATING LEASES'!BC16)/DS16</f>
        <v>4.4309114750814773</v>
      </c>
      <c r="FQ16" s="15">
        <f>('Bloom Cleaner Data'!CD16+'OPERATING LEASES'!BD16)/DT16</f>
        <v>4.4836059637129502</v>
      </c>
      <c r="FR16" s="15">
        <f>('Bloom Cleaner Data'!CE16+'OPERATING LEASES'!BE16)/DU16</f>
        <v>4.4049206868457107</v>
      </c>
      <c r="FS16" s="15">
        <f>('Bloom Cleaner Data'!CF16+'OPERATING LEASES'!BF16)/DV16</f>
        <v>4.3796910880610298</v>
      </c>
      <c r="FT16" s="15">
        <f>('Bloom Cleaner Data'!CG16+'OPERATING LEASES'!BG16)/DW16</f>
        <v>4.1170506660938244</v>
      </c>
      <c r="FU16" s="15">
        <f>('Bloom Cleaner Data'!CH16+'OPERATING LEASES'!BH16)/DX16</f>
        <v>4.044250954075908</v>
      </c>
      <c r="FV16" s="15">
        <f>('Bloom Cleaner Data'!CI16+'OPERATING LEASES'!BI16)/DY16</f>
        <v>4.0606354500113753</v>
      </c>
      <c r="FW16" s="15"/>
      <c r="FX16" s="506">
        <f t="shared" si="61"/>
        <v>4.5606838408134944</v>
      </c>
      <c r="FY16" s="10">
        <f t="shared" si="62"/>
        <v>-0.18379111287045302</v>
      </c>
      <c r="FZ16" s="15">
        <f t="shared" si="7"/>
        <v>1.6883840813495254E-2</v>
      </c>
      <c r="GA16" s="15">
        <f t="shared" si="63"/>
        <v>4.4093012797927384</v>
      </c>
      <c r="GB16" s="15">
        <f t="shared" si="64"/>
        <v>1.8651279792739395E-2</v>
      </c>
      <c r="GC16" s="15">
        <f t="shared" si="8"/>
        <v>2.0249769017569363E-2</v>
      </c>
      <c r="GD16" s="13"/>
      <c r="GE16" s="15">
        <f t="shared" si="9"/>
        <v>5.2646466027831975</v>
      </c>
      <c r="GF16" s="15">
        <f t="shared" si="10"/>
        <v>5.1589987343788648</v>
      </c>
      <c r="GG16" s="15">
        <f t="shared" si="11"/>
        <v>4.9749953890993099</v>
      </c>
      <c r="GH16" s="15">
        <f t="shared" si="12"/>
        <v>5.2294113583286679</v>
      </c>
      <c r="GI16" s="15">
        <f t="shared" si="13"/>
        <v>4.9914703852200519</v>
      </c>
      <c r="GJ16" s="15">
        <f t="shared" si="14"/>
        <v>4.9861855090886849</v>
      </c>
      <c r="GK16" s="15">
        <f t="shared" si="15"/>
        <v>4.7871009202460382</v>
      </c>
      <c r="GL16" s="15">
        <f t="shared" si="16"/>
        <v>4.3986600847103956</v>
      </c>
      <c r="GM16" s="15">
        <f t="shared" si="17"/>
        <v>4.4309114750814773</v>
      </c>
      <c r="GN16" s="15">
        <f t="shared" si="18"/>
        <v>4.4836059637129502</v>
      </c>
      <c r="GO16" s="15">
        <f t="shared" si="19"/>
        <v>4.4049206868457107</v>
      </c>
      <c r="GP16" s="15">
        <f t="shared" si="20"/>
        <v>4.3796910880610298</v>
      </c>
      <c r="GQ16" s="15">
        <f t="shared" si="21"/>
        <v>4.1170506660938244</v>
      </c>
      <c r="GR16" s="15">
        <f t="shared" si="22"/>
        <v>4.044250954075908</v>
      </c>
      <c r="GS16" s="15">
        <f t="shared" si="23"/>
        <v>4.0606354500113753</v>
      </c>
      <c r="GT16" s="15"/>
      <c r="GU16" s="15">
        <f t="shared" si="65"/>
        <v>4.6475023511824993</v>
      </c>
      <c r="GV16" s="10">
        <f t="shared" si="66"/>
        <v>-0.18379111287045302</v>
      </c>
      <c r="GW16" s="506">
        <f t="shared" si="67"/>
        <v>4.4093012797927384</v>
      </c>
      <c r="GX16" s="2057"/>
      <c r="GY16" s="10">
        <f>'Bloom Cleaner Data'!T16/('Bloom Cleaner Data'!T16+'Bloom Cleaner Data'!D16)</f>
        <v>0.6347707950649073</v>
      </c>
      <c r="GZ16" s="10">
        <f>'Bloom Cleaner Data'!U16/('Bloom Cleaner Data'!U16+'Bloom Cleaner Data'!E16)</f>
        <v>0.63701222419416093</v>
      </c>
      <c r="HA16" s="10">
        <f>'Bloom Cleaner Data'!V16/('Bloom Cleaner Data'!V16+'Bloom Cleaner Data'!F16)</f>
        <v>0.68021238169429299</v>
      </c>
      <c r="HB16" s="10">
        <f>'Bloom Cleaner Data'!W16/('Bloom Cleaner Data'!W16+'Bloom Cleaner Data'!G16)</f>
        <v>0.64996045552625337</v>
      </c>
      <c r="HC16" s="10">
        <f>'Bloom Cleaner Data'!X16/('Bloom Cleaner Data'!X16+'Bloom Cleaner Data'!H16)</f>
        <v>0.64853778746400181</v>
      </c>
      <c r="HD16" s="10">
        <f>'Bloom Cleaner Data'!Y16/('Bloom Cleaner Data'!Y16+'Bloom Cleaner Data'!I16)</f>
        <v>0.61062204789234731</v>
      </c>
      <c r="HE16" s="10">
        <f>'Bloom Cleaner Data'!Z16/('Bloom Cleaner Data'!Z16+'Bloom Cleaner Data'!J16)</f>
        <v>0.64387894477275243</v>
      </c>
      <c r="HF16" s="10">
        <f>'Bloom Cleaner Data'!AA16/('Bloom Cleaner Data'!AA16+'Bloom Cleaner Data'!K16)</f>
        <v>0.67988194163504256</v>
      </c>
      <c r="HG16" s="10">
        <f>'Bloom Cleaner Data'!AB16/('Bloom Cleaner Data'!AB16+'Bloom Cleaner Data'!L16)</f>
        <v>0.67820441645077112</v>
      </c>
      <c r="HH16" s="10">
        <f>'Bloom Cleaner Data'!AC16/('Bloom Cleaner Data'!AC16+'Bloom Cleaner Data'!M16)</f>
        <v>0.66019182471979221</v>
      </c>
      <c r="HI16" s="10">
        <f>'Bloom Cleaner Data'!AD16/('Bloom Cleaner Data'!AD16+'Bloom Cleaner Data'!N16)</f>
        <v>0.69320849592157407</v>
      </c>
      <c r="HJ16" s="10">
        <f>'Bloom Cleaner Data'!AE16/('Bloom Cleaner Data'!AE16+'Bloom Cleaner Data'!O16)</f>
        <v>0.68678566564018151</v>
      </c>
      <c r="HK16" s="10">
        <f>'Bloom Cleaner Data'!AF16/('Bloom Cleaner Data'!AF16+'Bloom Cleaner Data'!P16)</f>
        <v>0.70551406279563555</v>
      </c>
      <c r="HL16" s="10">
        <f>'Bloom Cleaner Data'!AG16/('Bloom Cleaner Data'!AG16+'Bloom Cleaner Data'!Q16)</f>
        <v>0.74999370847762903</v>
      </c>
      <c r="HM16" s="10">
        <f>'Bloom Cleaner Data'!AH16/('Bloom Cleaner Data'!AH16+'Bloom Cleaner Data'!R16)</f>
        <v>0.75270955685414354</v>
      </c>
      <c r="HN16" s="15"/>
      <c r="HO16" s="10">
        <f t="shared" si="68"/>
        <v>0.67997702229572432</v>
      </c>
      <c r="HP16" s="10">
        <f t="shared" si="69"/>
        <v>0.10658020511075152</v>
      </c>
      <c r="HQ16" s="10"/>
      <c r="HR16" s="479">
        <f t="shared" si="24"/>
        <v>1.7380066722148264</v>
      </c>
      <c r="HS16" s="480">
        <f t="shared" si="25"/>
        <v>1.7549137096421026</v>
      </c>
      <c r="HT16" s="480">
        <f t="shared" si="26"/>
        <v>2.1270754174229194</v>
      </c>
      <c r="HU16" s="480">
        <f t="shared" si="27"/>
        <v>1.8568200815808145</v>
      </c>
      <c r="HV16" s="480">
        <f t="shared" si="28"/>
        <v>1.8452560882276241</v>
      </c>
      <c r="HW16" s="480">
        <f t="shared" si="29"/>
        <v>1.5681988273530354</v>
      </c>
      <c r="HX16" s="480">
        <f t="shared" si="30"/>
        <v>1.8080339124062212</v>
      </c>
      <c r="HY16" s="480">
        <f t="shared" si="31"/>
        <v>2.123847511470061</v>
      </c>
      <c r="HZ16" s="480">
        <f t="shared" si="32"/>
        <v>2.1075628477263368</v>
      </c>
      <c r="IA16" s="480">
        <f t="shared" si="33"/>
        <v>1.942836790714038</v>
      </c>
      <c r="IB16" s="480">
        <f t="shared" si="34"/>
        <v>2.2595426754202665</v>
      </c>
      <c r="IC16" s="480">
        <f t="shared" si="35"/>
        <v>2.1927018986660003</v>
      </c>
      <c r="ID16" s="480">
        <f t="shared" si="36"/>
        <v>2.395747890351823</v>
      </c>
      <c r="IE16" s="480">
        <f t="shared" si="37"/>
        <v>2.9998993381753292</v>
      </c>
      <c r="IF16" s="481">
        <f t="shared" si="38"/>
        <v>3.0438279267031016</v>
      </c>
      <c r="IG16" s="15"/>
      <c r="IH16" s="10">
        <f t="shared" si="70"/>
        <v>2.1747193235551978</v>
      </c>
      <c r="II16" s="10">
        <f t="shared" si="71"/>
        <v>0.43099200986060165</v>
      </c>
      <c r="IJ16" s="10"/>
      <c r="IK16" s="18">
        <f>('Bloom Cleaner Data'!T16+'OPERATING LEASES'!AU16)/('Bloom Cleaner Data'!T16+'OPERATING LEASES'!AU16+'Bloom Cleaner Data'!D16)</f>
        <v>0.64016098293328672</v>
      </c>
      <c r="IL16" s="18">
        <f>('Bloom Cleaner Data'!U16+'OPERATING LEASES'!AV16)/('Bloom Cleaner Data'!U16+'OPERATING LEASES'!AV16+'Bloom Cleaner Data'!E16)</f>
        <v>0.64218532663269057</v>
      </c>
      <c r="IM16" s="18">
        <f>('Bloom Cleaner Data'!V16+'OPERATING LEASES'!AW16)/('Bloom Cleaner Data'!V16+'OPERATING LEASES'!AW16+'Bloom Cleaner Data'!F16)</f>
        <v>0.68467718162589686</v>
      </c>
      <c r="IN16" s="18">
        <f>('Bloom Cleaner Data'!W16+'OPERATING LEASES'!AX16)/('Bloom Cleaner Data'!W16+'OPERATING LEASES'!AX16+'Bloom Cleaner Data'!G16)</f>
        <v>0.65445337322435859</v>
      </c>
      <c r="IO16" s="18">
        <f>('Bloom Cleaner Data'!X16+'OPERATING LEASES'!AY16)/('Bloom Cleaner Data'!X16+'OPERATING LEASES'!AY16+'Bloom Cleaner Data'!H16)</f>
        <v>0.6530661065824731</v>
      </c>
      <c r="IP16" s="18">
        <f>('Bloom Cleaner Data'!Y16+'OPERATING LEASES'!AZ16)/('Bloom Cleaner Data'!Y16+'OPERATING LEASES'!AZ16+'Bloom Cleaner Data'!I16)</f>
        <v>0.6157208191922936</v>
      </c>
      <c r="IQ16" s="18">
        <f>('Bloom Cleaner Data'!Z16+'OPERATING LEASES'!BA16)/('Bloom Cleaner Data'!Z16+'OPERATING LEASES'!BA16+'Bloom Cleaner Data'!J16)</f>
        <v>0.64883597126831172</v>
      </c>
      <c r="IR16" s="18">
        <f>('Bloom Cleaner Data'!AA16+'OPERATING LEASES'!BB16)/('Bloom Cleaner Data'!AA16+'OPERATING LEASES'!BB16+'Bloom Cleaner Data'!K16)</f>
        <v>0.6846947076169474</v>
      </c>
      <c r="IS16" s="18">
        <f>('Bloom Cleaner Data'!AB16+'OPERATING LEASES'!BC16)/('Bloom Cleaner Data'!AB16+'OPERATING LEASES'!BC16+'Bloom Cleaner Data'!L16)</f>
        <v>0.68312920452585058</v>
      </c>
      <c r="IT16" s="18">
        <f>('Bloom Cleaner Data'!AC16+'OPERATING LEASES'!BD16)/('Bloom Cleaner Data'!AC16+'OPERATING LEASES'!BD16+'Bloom Cleaner Data'!M16)</f>
        <v>0.66516963331993406</v>
      </c>
      <c r="IU16" s="18">
        <f>('Bloom Cleaner Data'!AD16+'OPERATING LEASES'!BE16)/('Bloom Cleaner Data'!AD16+'OPERATING LEASES'!BE16+'Bloom Cleaner Data'!N16)</f>
        <v>0.69770842791231402</v>
      </c>
      <c r="IV16" s="18">
        <f>('Bloom Cleaner Data'!AE16+'OPERATING LEASES'!BF16)/('Bloom Cleaner Data'!AE16+'OPERATING LEASES'!BF16+'Bloom Cleaner Data'!O16)</f>
        <v>0.69133930099356922</v>
      </c>
      <c r="IW16" s="18">
        <f>('Bloom Cleaner Data'!AF16+'OPERATING LEASES'!BG16)/('Bloom Cleaner Data'!AF16+'OPERATING LEASES'!BG16+'Bloom Cleaner Data'!P16)</f>
        <v>0.70996682298780567</v>
      </c>
      <c r="IX16" s="18">
        <f>('Bloom Cleaner Data'!AG16+'OPERATING LEASES'!BH16)/('Bloom Cleaner Data'!AG16+'OPERATING LEASES'!BH16+'Bloom Cleaner Data'!Q16)</f>
        <v>0.75396862128794373</v>
      </c>
      <c r="IY16" s="18">
        <f>('Bloom Cleaner Data'!AH16+'OPERATING LEASES'!BI16)/('Bloom Cleaner Data'!AH16+'OPERATING LEASES'!BI16+'Bloom Cleaner Data'!R16)</f>
        <v>0.75672107111582532</v>
      </c>
      <c r="IZ16" s="15"/>
      <c r="JA16" s="10">
        <f t="shared" si="72"/>
        <v>0.68457317243488636</v>
      </c>
      <c r="JB16" s="10">
        <f t="shared" si="73"/>
        <v>0.10522314957078965</v>
      </c>
      <c r="JC16" s="10">
        <f t="shared" si="39"/>
        <v>4.5961501391620363E-3</v>
      </c>
      <c r="JD16" s="10">
        <f t="shared" si="40"/>
        <v>6.7592727231349809E-3</v>
      </c>
      <c r="JE16" s="7"/>
      <c r="JF16" s="485">
        <f t="shared" si="74"/>
        <v>1.779020485748499</v>
      </c>
      <c r="JG16" s="452">
        <f t="shared" si="41"/>
        <v>1.7947428499486509</v>
      </c>
      <c r="JH16" s="452">
        <f t="shared" si="41"/>
        <v>2.1713531077652202</v>
      </c>
      <c r="JI16" s="452">
        <f t="shared" si="41"/>
        <v>1.8939654521625124</v>
      </c>
      <c r="JJ16" s="452">
        <f t="shared" si="41"/>
        <v>1.8823935019704841</v>
      </c>
      <c r="JK16" s="452">
        <f t="shared" si="41"/>
        <v>1.6022747261460433</v>
      </c>
      <c r="JL16" s="452">
        <f t="shared" si="41"/>
        <v>1.8476720796595707</v>
      </c>
      <c r="JM16" s="452">
        <f t="shared" si="41"/>
        <v>2.1715293848767288</v>
      </c>
      <c r="JN16" s="452">
        <f t="shared" si="41"/>
        <v>2.155860414664124</v>
      </c>
      <c r="JO16" s="452">
        <f t="shared" si="41"/>
        <v>1.9865869392769591</v>
      </c>
      <c r="JP16" s="452">
        <f t="shared" si="41"/>
        <v>2.3080644395535086</v>
      </c>
      <c r="JQ16" s="452">
        <f t="shared" si="41"/>
        <v>2.2398034580332675</v>
      </c>
      <c r="JR16" s="452">
        <f t="shared" si="41"/>
        <v>2.4478814124011592</v>
      </c>
      <c r="JS16" s="452">
        <f t="shared" si="41"/>
        <v>3.0645221972696159</v>
      </c>
      <c r="JT16" s="486">
        <f t="shared" si="41"/>
        <v>3.1105080681940231</v>
      </c>
      <c r="JU16" s="15"/>
      <c r="JV16" s="10">
        <f t="shared" si="75"/>
        <v>2.2217242447671706</v>
      </c>
      <c r="JW16" s="10">
        <f t="shared" si="76"/>
        <v>0.4325206052715172</v>
      </c>
      <c r="JX16" s="10">
        <f t="shared" si="77"/>
        <v>4.700492121197275E-2</v>
      </c>
      <c r="JY16" s="10">
        <f t="shared" si="78"/>
        <v>2.1614247274507968E-2</v>
      </c>
      <c r="JZ16" s="7"/>
      <c r="KA16" s="15">
        <f>'Bloom Cleaner Data'!T16/'Bloom Cleaner Data'!BU16*'Bloom Cleaner Data'!DA16</f>
        <v>3.2726008878357038</v>
      </c>
      <c r="KB16" s="15">
        <f>'Bloom Cleaner Data'!U16/'Bloom Cleaner Data'!BV16*'Bloom Cleaner Data'!DB16</f>
        <v>3.2124284145511099</v>
      </c>
      <c r="KC16" s="15">
        <f>'Bloom Cleaner Data'!V16/'Bloom Cleaner Data'!BW16*'Bloom Cleaner Data'!DC16</f>
        <v>3.2947832665145471</v>
      </c>
      <c r="KD16" s="15">
        <f>'Bloom Cleaner Data'!W16/'Bloom Cleaner Data'!BX16*'Bloom Cleaner Data'!DD16</f>
        <v>3.3136983974153948</v>
      </c>
      <c r="KE16" s="15">
        <f>'Bloom Cleaner Data'!X16/'Bloom Cleaner Data'!BY16*'Bloom Cleaner Data'!DE16</f>
        <v>3.0133058573933105</v>
      </c>
      <c r="KF16" s="15">
        <f>'Bloom Cleaner Data'!Y16/'Bloom Cleaner Data'!BZ16*'Bloom Cleaner Data'!DF16</f>
        <v>2.8476753219258542</v>
      </c>
      <c r="KG16" s="15">
        <f>'Bloom Cleaner Data'!Z16/'Bloom Cleaner Data'!CA16*'Bloom Cleaner Data'!DG16</f>
        <v>2.8734960070604374</v>
      </c>
      <c r="KH16" s="15">
        <f>'Bloom Cleaner Data'!AA16/'Bloom Cleaner Data'!CB16*'Bloom Cleaner Data'!DH16</f>
        <v>2.777759116654551</v>
      </c>
      <c r="KI16" s="15">
        <f>'Bloom Cleaner Data'!AB16/'Bloom Cleaner Data'!CC16*'Bloom Cleaner Data'!DI16</f>
        <v>2.7744898648269873</v>
      </c>
      <c r="KJ16" s="15">
        <f>'Bloom Cleaner Data'!AC16/'Bloom Cleaner Data'!CD16*'Bloom Cleaner Data'!DJ16</f>
        <v>2.7361558520021263</v>
      </c>
      <c r="KK16" s="15">
        <f>'Bloom Cleaner Data'!AD16/'Bloom Cleaner Data'!CE16*'Bloom Cleaner Data'!DK16</f>
        <v>2.8162046038908581</v>
      </c>
      <c r="KL16" s="15">
        <f>'Bloom Cleaner Data'!AE16/'Bloom Cleaner Data'!CF16*'Bloom Cleaner Data'!DL16</f>
        <v>2.7747976363802644</v>
      </c>
      <c r="KM16" s="15">
        <f>'Bloom Cleaner Data'!AF16/'Bloom Cleaner Data'!CG16*'Bloom Cleaner Data'!DM16</f>
        <v>2.6729878238796823</v>
      </c>
      <c r="KN16" s="15">
        <f>'Bloom Cleaner Data'!AG16/'Bloom Cleaner Data'!CH16*'Bloom Cleaner Data'!DN16</f>
        <v>2.7683845635382234</v>
      </c>
      <c r="KO16" s="15">
        <f>'Bloom Cleaner Data'!AH16/'Bloom Cleaner Data'!CI16*'Bloom Cleaner Data'!DO16</f>
        <v>2.803100349427897</v>
      </c>
      <c r="KP16" s="15"/>
      <c r="KQ16" s="15">
        <f t="shared" si="79"/>
        <v>2.7481575789486006</v>
      </c>
      <c r="KR16" s="15">
        <f t="shared" si="80"/>
        <v>2.7548175933065169</v>
      </c>
      <c r="KS16" s="15">
        <f t="shared" si="81"/>
        <v>2.8820645123777022</v>
      </c>
      <c r="KT16" s="18">
        <f t="shared" si="82"/>
        <v>-0.14923073152753591</v>
      </c>
      <c r="KU16" s="18"/>
      <c r="KV16" s="1694" t="s">
        <v>284</v>
      </c>
      <c r="KW16" s="506">
        <f>('Bloom Cleaner Data'!T16+'OPERATING LEASES'!AU16)/DK16</f>
        <v>3.3039026768017106</v>
      </c>
      <c r="KX16" s="506">
        <f>('Bloom Cleaner Data'!U16+'OPERATING LEASES'!AV16)/DL16</f>
        <v>3.2438939614782232</v>
      </c>
      <c r="KY16" s="506">
        <f>('Bloom Cleaner Data'!V16+'OPERATING LEASES'!AW16)/DM16</f>
        <v>3.3246158214491635</v>
      </c>
      <c r="KZ16" s="506">
        <f>('Bloom Cleaner Data'!W16+'OPERATING LEASES'!AX16)/DN16</f>
        <v>3.3436208886516843</v>
      </c>
      <c r="LA16" s="506">
        <f>('Bloom Cleaner Data'!X16+'OPERATING LEASES'!AY16)/DO16</f>
        <v>3.0448688312846666</v>
      </c>
      <c r="LB16" s="506">
        <f>('Bloom Cleaner Data'!Y16+'OPERATING LEASES'!AZ16)/DP16</f>
        <v>2.8814721783545778</v>
      </c>
      <c r="LC16" s="506">
        <f>('Bloom Cleaner Data'!Z16+'OPERATING LEASES'!BA16)/DQ16</f>
        <v>2.9076441647069262</v>
      </c>
      <c r="LD16" s="506">
        <f>('Bloom Cleaner Data'!AA16+'OPERATING LEASES'!BB16)/DR16</f>
        <v>2.8124980970223183</v>
      </c>
      <c r="LE16" s="506">
        <f>('Bloom Cleaner Data'!AB16+'OPERATING LEASES'!BC16)/DS16</f>
        <v>2.8099332494334277</v>
      </c>
      <c r="LF16" s="506">
        <f>('Bloom Cleaner Data'!AC16+'OPERATING LEASES'!BD16)/DT16</f>
        <v>2.7708820058519112</v>
      </c>
      <c r="LG16" s="506">
        <f>('Bloom Cleaner Data'!AD16+'OPERATING LEASES'!BE16)/DU16</f>
        <v>2.8495396072985759</v>
      </c>
      <c r="LH16" s="506">
        <f>('Bloom Cleaner Data'!AE16+'OPERATING LEASES'!BF16)/DV16</f>
        <v>2.8080426296926322</v>
      </c>
      <c r="LI16" s="506">
        <f>('Bloom Cleaner Data'!AF16+'OPERATING LEASES'!BG16)/DW16</f>
        <v>2.7063616519310538</v>
      </c>
      <c r="LJ16" s="506">
        <f>('Bloom Cleaner Data'!AG16+'OPERATING LEASES'!BH16)/DX16</f>
        <v>2.8017058343716195</v>
      </c>
      <c r="LK16" s="506">
        <f>('Bloom Cleaner Data'!AH16+'OPERATING LEASES'!BI16)/DY16</f>
        <v>2.8370691340232916</v>
      </c>
      <c r="LL16" s="15"/>
      <c r="LM16" s="15">
        <f t="shared" si="83"/>
        <v>2.7817122067753215</v>
      </c>
      <c r="LN16" s="15">
        <f t="shared" si="84"/>
        <v>2.7882948125046494</v>
      </c>
      <c r="LO16" s="15">
        <f t="shared" si="85"/>
        <v>3.3477219198132513E-2</v>
      </c>
      <c r="LP16" s="15">
        <f t="shared" si="86"/>
        <v>2.9152503149286035</v>
      </c>
      <c r="LQ16" s="18">
        <f t="shared" si="87"/>
        <v>-0.14664752669478531</v>
      </c>
      <c r="LR16" s="15">
        <f t="shared" si="88"/>
        <v>3.3185802550901311E-2</v>
      </c>
      <c r="LS16" s="18"/>
      <c r="LT16" s="15">
        <f t="shared" si="89"/>
        <v>3.3039026768017106</v>
      </c>
      <c r="LU16" s="15">
        <f t="shared" si="90"/>
        <v>3.2438939614782232</v>
      </c>
      <c r="LV16" s="15">
        <f t="shared" si="91"/>
        <v>3.3246158214491635</v>
      </c>
      <c r="LW16" s="15">
        <f t="shared" si="92"/>
        <v>3.3436208886516843</v>
      </c>
      <c r="LX16" s="15">
        <f t="shared" si="93"/>
        <v>3.0448688312846666</v>
      </c>
      <c r="LY16" s="15">
        <f t="shared" si="94"/>
        <v>2.8814721783545778</v>
      </c>
      <c r="LZ16" s="15">
        <f t="shared" si="95"/>
        <v>2.9076441647069262</v>
      </c>
      <c r="MA16" s="15">
        <f t="shared" si="96"/>
        <v>2.8124980970223183</v>
      </c>
      <c r="MB16" s="15">
        <f t="shared" si="97"/>
        <v>2.8099332494334277</v>
      </c>
      <c r="MC16" s="15">
        <f t="shared" si="98"/>
        <v>2.7708820058519112</v>
      </c>
      <c r="MD16" s="15">
        <f t="shared" si="99"/>
        <v>2.8495396072985759</v>
      </c>
      <c r="ME16" s="15">
        <f t="shared" si="100"/>
        <v>2.8080426296926322</v>
      </c>
      <c r="MF16" s="15">
        <f t="shared" si="101"/>
        <v>2.7063616519310538</v>
      </c>
      <c r="MG16" s="15">
        <f t="shared" si="102"/>
        <v>2.8017058343716195</v>
      </c>
      <c r="MH16" s="15">
        <f t="shared" si="103"/>
        <v>2.8370691340232916</v>
      </c>
      <c r="MI16" s="15"/>
      <c r="MJ16" s="15">
        <f t="shared" si="104"/>
        <v>2.7817122067753215</v>
      </c>
      <c r="MK16" s="15">
        <f t="shared" si="105"/>
        <v>2.7882948125046494</v>
      </c>
      <c r="ML16" s="506">
        <f t="shared" si="106"/>
        <v>2.9152503149286035</v>
      </c>
      <c r="MM16" s="10">
        <f t="shared" si="107"/>
        <v>-0.14664752669478531</v>
      </c>
      <c r="MN16" s="18"/>
      <c r="MO16" s="15">
        <f>('Bloom Cleaner Data'!T16+'Bloom Cleaner Data'!EY16)/'Bloom Cleaner Data'!GV16</f>
        <v>3.7675692944925072</v>
      </c>
      <c r="MP16" s="15">
        <f>('Bloom Cleaner Data'!U16+'Bloom Cleaner Data'!EZ16)/'Bloom Cleaner Data'!GW16</f>
        <v>3.6193134090056698</v>
      </c>
      <c r="MQ16" s="15">
        <f>('Bloom Cleaner Data'!V16+'Bloom Cleaner Data'!FA16)/'Bloom Cleaner Data'!GX16</f>
        <v>3.6049710444444427</v>
      </c>
      <c r="MR16" s="15">
        <f>('Bloom Cleaner Data'!W16+'Bloom Cleaner Data'!FB16)/'Bloom Cleaner Data'!GY16</f>
        <v>3.6586287521505834</v>
      </c>
      <c r="MS16" s="15">
        <f>('Bloom Cleaner Data'!X16+'Bloom Cleaner Data'!FC16)/'Bloom Cleaner Data'!GZ16</f>
        <v>3.4975308244735546</v>
      </c>
      <c r="MT16" s="15">
        <f>('Bloom Cleaner Data'!Y16+'Bloom Cleaner Data'!FD16)/'Bloom Cleaner Data'!HA16</f>
        <v>3.3241839520806886</v>
      </c>
      <c r="MU16" s="15">
        <f>('Bloom Cleaner Data'!Z16+'Bloom Cleaner Data'!FE16)/'Bloom Cleaner Data'!HB16</f>
        <v>3.1966600960308331</v>
      </c>
      <c r="MV16" s="15">
        <f>('Bloom Cleaner Data'!AA16+'Bloom Cleaner Data'!FF16)/'Bloom Cleaner Data'!HC16</f>
        <v>3.1206126317979788</v>
      </c>
      <c r="MW16" s="15">
        <f>('Bloom Cleaner Data'!AB16+'Bloom Cleaner Data'!FG16)/'Bloom Cleaner Data'!HD16</f>
        <v>3.3261341716396027</v>
      </c>
      <c r="MX16" s="15">
        <f>('Bloom Cleaner Data'!AC16+'Bloom Cleaner Data'!FH16)/'Bloom Cleaner Data'!HE16</f>
        <v>3.1861324335022214</v>
      </c>
      <c r="MY16" s="15">
        <f>('Bloom Cleaner Data'!AD16+'Bloom Cleaner Data'!FI16)/'Bloom Cleaner Data'!HF16</f>
        <v>3.3155398848030715</v>
      </c>
      <c r="MZ16" s="15">
        <f>('Bloom Cleaner Data'!AE16+'Bloom Cleaner Data'!FJ16)/'Bloom Cleaner Data'!HG16</f>
        <v>3.3431195443167123</v>
      </c>
      <c r="NA16" s="15">
        <f>('Bloom Cleaner Data'!AF16+'Bloom Cleaner Data'!FK16)/'Bloom Cleaner Data'!HH16</f>
        <v>3.3030026407794035</v>
      </c>
      <c r="NB16" s="15">
        <f>('Bloom Cleaner Data'!AG16+'Bloom Cleaner Data'!FL16)/'Bloom Cleaner Data'!HI16</f>
        <v>3.3309216966876911</v>
      </c>
      <c r="NC16" s="15">
        <f>('Bloom Cleaner Data'!AH16+'Bloom Cleaner Data'!FM16)/'Bloom Cleaner Data'!HJ16</f>
        <v>3.2318077100586735</v>
      </c>
      <c r="ND16" s="15"/>
      <c r="NE16" s="15">
        <f t="shared" si="43"/>
        <v>0.42870736063077652</v>
      </c>
      <c r="NF16" s="15">
        <f t="shared" si="108"/>
        <v>3.2885773491752559</v>
      </c>
      <c r="NG16" s="15">
        <f t="shared" si="44"/>
        <v>0.54041977022665533</v>
      </c>
      <c r="NH16" s="15">
        <f t="shared" si="109"/>
        <v>3.30221289796062</v>
      </c>
      <c r="NI16" s="15">
        <f t="shared" si="110"/>
        <v>3.3414804140588812</v>
      </c>
      <c r="NJ16" s="18">
        <f t="shared" si="111"/>
        <v>-0.10351354554174426</v>
      </c>
      <c r="NK16" s="15">
        <f t="shared" si="45"/>
        <v>0.45941590168117896</v>
      </c>
      <c r="NL16" s="2818"/>
      <c r="NM16" s="1694" t="s">
        <v>284</v>
      </c>
      <c r="NN16" s="15">
        <f>KW16+'Bloom Cleaner Data'!EY16/CALCULATIONS!DK16</f>
        <v>3.7920851367266999</v>
      </c>
      <c r="NO16" s="15">
        <f>KX16+'Bloom Cleaner Data'!EZ16/CALCULATIONS!DL16</f>
        <v>3.6456462869646971</v>
      </c>
      <c r="NP16" s="15">
        <f>KY16+'Bloom Cleaner Data'!FA16/CALCULATIONS!DM16</f>
        <v>3.6312296451867896</v>
      </c>
      <c r="NQ16" s="15">
        <f>KZ16+'Bloom Cleaner Data'!FB16/CALCULATIONS!DN16</f>
        <v>3.6848399144238932</v>
      </c>
      <c r="NR16" s="15">
        <f>LA16+'Bloom Cleaner Data'!FC16/CALCULATIONS!DO16</f>
        <v>3.524512573822201</v>
      </c>
      <c r="NS16" s="15">
        <f>LB16+'Bloom Cleaner Data'!FD16/CALCULATIONS!DP16</f>
        <v>3.3533818434566962</v>
      </c>
      <c r="NT16" s="15">
        <f>LC16+'Bloom Cleaner Data'!FE16/CALCULATIONS!DQ16</f>
        <v>3.2276334447581339</v>
      </c>
      <c r="NU16" s="15">
        <f>LD16+'Bloom Cleaner Data'!FF16/CALCULATIONS!DR16</f>
        <v>3.152016941000316</v>
      </c>
      <c r="NV16" s="15">
        <f>LE16+'Bloom Cleaner Data'!FG16/CALCULATIONS!DS16</f>
        <v>3.3561083496452682</v>
      </c>
      <c r="NW16" s="15">
        <f>LF16+'Bloom Cleaner Data'!FH16/CALCULATIONS!DT16</f>
        <v>3.2165340020169744</v>
      </c>
      <c r="NX16" s="15">
        <f>LG16+'Bloom Cleaner Data'!FI16/CALCULATIONS!DU16</f>
        <v>3.3441638115254655</v>
      </c>
      <c r="NY16" s="15">
        <f>LH16+'Bloom Cleaner Data'!FJ16/CALCULATIONS!DV16</f>
        <v>3.3710790137454536</v>
      </c>
      <c r="NZ16" s="15">
        <f>LI16+'Bloom Cleaner Data'!FK16/CALCULATIONS!DW16</f>
        <v>3.3306573666405721</v>
      </c>
      <c r="OA16" s="15">
        <f>LJ16+'Bloom Cleaner Data'!FL16/CALCULATIONS!DX16</f>
        <v>3.3590086303084759</v>
      </c>
      <c r="OB16" s="15">
        <f>LK16+'Bloom Cleaner Data'!FM16/CALCULATIONS!DY16</f>
        <v>3.2616701007153726</v>
      </c>
      <c r="OC16" s="15"/>
      <c r="OD16" s="15">
        <f t="shared" si="46"/>
        <v>0.42460096669208092</v>
      </c>
      <c r="OE16" s="15">
        <f t="shared" si="112"/>
        <v>3.3171120325548067</v>
      </c>
      <c r="OF16" s="15">
        <f t="shared" si="47"/>
        <v>0.53539982577948519</v>
      </c>
      <c r="OG16" s="15">
        <f t="shared" si="113"/>
        <v>3.3306037778524682</v>
      </c>
      <c r="OH16" s="15">
        <f t="shared" si="114"/>
        <v>3.3702181259419697</v>
      </c>
      <c r="OI16" s="18">
        <f t="shared" si="115"/>
        <v>-0.10177256207446692</v>
      </c>
      <c r="OJ16" s="15">
        <f t="shared" si="48"/>
        <v>0.45496781101336614</v>
      </c>
      <c r="OK16" s="15"/>
      <c r="OL16" s="13">
        <f>'Bloom Cleaner Data'!GF16+('Bloom Cleaner Data'!T16+'Bloom Cleaner Data'!EY16)+'Bloom Cleaner Data'!CK16</f>
        <v>70183</v>
      </c>
      <c r="OM16" s="13">
        <f>'Bloom Cleaner Data'!GG16+('Bloom Cleaner Data'!U16+'Bloom Cleaner Data'!EZ16)+'Bloom Cleaner Data'!CL16</f>
        <v>69691</v>
      </c>
      <c r="ON16" s="13">
        <f>'Bloom Cleaner Data'!GH16+('Bloom Cleaner Data'!V16+'Bloom Cleaner Data'!FA16)+'Bloom Cleaner Data'!CM16</f>
        <v>70356</v>
      </c>
      <c r="OO16" s="13">
        <f>'Bloom Cleaner Data'!GI16+('Bloom Cleaner Data'!W16+'Bloom Cleaner Data'!FB16)+'Bloom Cleaner Data'!CN16</f>
        <v>70362</v>
      </c>
      <c r="OP16" s="13">
        <f>'Bloom Cleaner Data'!GJ16+('Bloom Cleaner Data'!X16+'Bloom Cleaner Data'!FC16)+'Bloom Cleaner Data'!CO16</f>
        <v>76315</v>
      </c>
      <c r="OQ16" s="13">
        <f>'Bloom Cleaner Data'!GK16+('Bloom Cleaner Data'!Y16+'Bloom Cleaner Data'!FD16)+'Bloom Cleaner Data'!CP16</f>
        <v>74815</v>
      </c>
      <c r="OR16" s="13">
        <f>'Bloom Cleaner Data'!GL16+('Bloom Cleaner Data'!Z16+'Bloom Cleaner Data'!FE16)+'Bloom Cleaner Data'!CQ16</f>
        <v>70140</v>
      </c>
      <c r="OS16" s="13">
        <f>'Bloom Cleaner Data'!GM16+('Bloom Cleaner Data'!AA16+'Bloom Cleaner Data'!FF16)+'Bloom Cleaner Data'!CR16</f>
        <v>71068</v>
      </c>
      <c r="OT16" s="13">
        <f>'Bloom Cleaner Data'!GN16+('Bloom Cleaner Data'!AB16+'Bloom Cleaner Data'!FG16)+'Bloom Cleaner Data'!CS16</f>
        <v>71080</v>
      </c>
      <c r="OU16" s="13">
        <f>'Bloom Cleaner Data'!GO16+('Bloom Cleaner Data'!AC16+'Bloom Cleaner Data'!FH16)+'Bloom Cleaner Data'!CT16</f>
        <v>69879</v>
      </c>
      <c r="OV16" s="13">
        <f>'Bloom Cleaner Data'!GP16+('Bloom Cleaner Data'!AD16+'Bloom Cleaner Data'!FI16)+'Bloom Cleaner Data'!CU16</f>
        <v>70770</v>
      </c>
      <c r="OW16" s="13">
        <f>'Bloom Cleaner Data'!GQ16+('Bloom Cleaner Data'!AE16+'Bloom Cleaner Data'!FJ16)+'Bloom Cleaner Data'!CV16</f>
        <v>70694</v>
      </c>
      <c r="OX16" s="13">
        <f>'Bloom Cleaner Data'!GR16+('Bloom Cleaner Data'!AF16+'Bloom Cleaner Data'!FK16)+'Bloom Cleaner Data'!CW16</f>
        <v>65631</v>
      </c>
      <c r="OY16" s="13">
        <f>'Bloom Cleaner Data'!GS16+('Bloom Cleaner Data'!AG16+'Bloom Cleaner Data'!FL16)+'Bloom Cleaner Data'!CX16</f>
        <v>65919</v>
      </c>
      <c r="OZ16" s="13">
        <f>'Bloom Cleaner Data'!GT16+('Bloom Cleaner Data'!AH16+'Bloom Cleaner Data'!FM16)+'Bloom Cleaner Data'!CY16</f>
        <v>60126</v>
      </c>
      <c r="PA16" s="166"/>
      <c r="PB16" s="1694" t="s">
        <v>284</v>
      </c>
      <c r="PC16" s="947">
        <f>('Bloom Cleaner Data'!T16+'Bloom Cleaner Data'!EY16+'OPERATING LEASES'!BL16)/CALCULATIONS!OL16</f>
        <v>0.59914183532438658</v>
      </c>
      <c r="PD16" s="947">
        <f>('Bloom Cleaner Data'!U16+'Bloom Cleaner Data'!EZ16+'OPERATING LEASES'!BM16)/CALCULATIONS!OM16</f>
        <v>0.58408085077597638</v>
      </c>
      <c r="PE16" s="947">
        <f>('Bloom Cleaner Data'!V16+'Bloom Cleaner Data'!FA16+'OPERATING LEASES'!BN16)/CALCULATIONS!ON16</f>
        <v>0.58118405984259647</v>
      </c>
      <c r="PF16" s="947">
        <f>('Bloom Cleaner Data'!W16+'Bloom Cleaner Data'!FB16+'OPERATING LEASES'!BO16)/CALCULATIONS!OO16</f>
        <v>0.57726319401300208</v>
      </c>
      <c r="PG16" s="947">
        <f>('Bloom Cleaner Data'!X16+'Bloom Cleaner Data'!FC16+'OPERATING LEASES'!BP16)/CALCULATIONS!OP16</f>
        <v>0.52444473563519622</v>
      </c>
      <c r="PH16" s="947">
        <f>('Bloom Cleaner Data'!Y16+'Bloom Cleaner Data'!FD16+'OPERATING LEASES'!BQ16)/CALCULATIONS!OQ16</f>
        <v>0.51313531711555171</v>
      </c>
      <c r="PI16" s="947">
        <f>('Bloom Cleaner Data'!Z16+'Bloom Cleaner Data'!FE16+'OPERATING LEASES'!BR16)/CALCULATIONS!OR16</f>
        <v>0.53191385086968923</v>
      </c>
      <c r="PJ16" s="947">
        <f>('Bloom Cleaner Data'!AA16+'Bloom Cleaner Data'!FF16+'OPERATING LEASES'!BS16)/CALCULATIONS!OS16</f>
        <v>0.53214746791805034</v>
      </c>
      <c r="PK16" s="947">
        <f>('Bloom Cleaner Data'!AB16+'Bloom Cleaner Data'!FG16+'OPERATING LEASES'!BT16)/CALCULATIONS!OT16</f>
        <v>0.57124191052335394</v>
      </c>
      <c r="PL16" s="947">
        <f>('Bloom Cleaner Data'!AC16+'Bloom Cleaner Data'!FH16+'OPERATING LEASES'!BU16)/CALCULATIONS!OU16</f>
        <v>0.55818539904692399</v>
      </c>
      <c r="PM16" s="947">
        <f>('Bloom Cleaner Data'!AD16+'Bloom Cleaner Data'!FI16+'OPERATING LEASES'!BV16)/CALCULATIONS!OV16</f>
        <v>0.56728839903914086</v>
      </c>
      <c r="PN16" s="947">
        <f>('Bloom Cleaner Data'!AE16+'Bloom Cleaner Data'!FJ16+'OPERATING LEASES'!BW16)/CALCULATIONS!OW16</f>
        <v>0.56357770815062103</v>
      </c>
      <c r="PO16" s="947">
        <f>('Bloom Cleaner Data'!AF16+'Bloom Cleaner Data'!FK16+'OPERATING LEASES'!BX16)/CALCULATIONS!OX16</f>
        <v>0.595650302448538</v>
      </c>
      <c r="PP16" s="947">
        <f>('Bloom Cleaner Data'!AG16+'Bloom Cleaner Data'!FL16+'OPERATING LEASES'!BY16)/CALCULATIONS!OY16</f>
        <v>0.58335419226626617</v>
      </c>
      <c r="PQ16" s="947">
        <f>('Bloom Cleaner Data'!AH16+'Bloom Cleaner Data'!FM16+'OPERATING LEASES'!BZ16)/CALCULATIONS!OZ16</f>
        <v>0.6027363370255796</v>
      </c>
      <c r="PR16" s="947"/>
      <c r="PS16" s="18">
        <f t="shared" si="116"/>
        <v>0.59391361058012793</v>
      </c>
      <c r="PT16" s="18">
        <f t="shared" si="117"/>
        <v>0.58632963497275115</v>
      </c>
      <c r="PU16" s="18">
        <f t="shared" si="118"/>
        <v>0.56170175953034684</v>
      </c>
      <c r="PV16" s="10">
        <f t="shared" si="119"/>
        <v>3.708339349296709E-2</v>
      </c>
      <c r="PW16" s="10"/>
      <c r="PX16" s="506">
        <f>'Bloom Cleaner Data'!D16/'Bloom Cleaner Data'!GF16</f>
        <v>0.77206322271386429</v>
      </c>
      <c r="PY16" s="506">
        <f>'Bloom Cleaner Data'!E16/'Bloom Cleaner Data'!GG16</f>
        <v>0.73511910273408099</v>
      </c>
      <c r="PZ16" s="506">
        <f>'Bloom Cleaner Data'!F16/'Bloom Cleaner Data'!GH16</f>
        <v>0.62027265708011614</v>
      </c>
      <c r="QA16" s="506">
        <f>'Bloom Cleaner Data'!G16/'Bloom Cleaner Data'!GI16</f>
        <v>0.69267353951890032</v>
      </c>
      <c r="QB16" s="506">
        <f>'Bloom Cleaner Data'!H16/'Bloom Cleaner Data'!GJ16</f>
        <v>0.57147794234897276</v>
      </c>
      <c r="QC16" s="506">
        <f>'Bloom Cleaner Data'!I16/'Bloom Cleaner Data'!GK16</f>
        <v>0.6341160303260045</v>
      </c>
      <c r="QD16" s="506">
        <f>'Bloom Cleaner Data'!J16/'Bloom Cleaner Data'!GL16</f>
        <v>0.62994333651291134</v>
      </c>
      <c r="QE16" s="506">
        <f>'Bloom Cleaner Data'!K16/'Bloom Cleaner Data'!GM16</f>
        <v>0.52990037561204639</v>
      </c>
      <c r="QF16" s="506">
        <f>'Bloom Cleaner Data'!L16/'Bloom Cleaner Data'!GN16</f>
        <v>0.60022094852775909</v>
      </c>
      <c r="QG16" s="506">
        <f>'Bloom Cleaner Data'!M16/'Bloom Cleaner Data'!GO16</f>
        <v>0.63488154687153719</v>
      </c>
      <c r="QH16" s="506">
        <f>'Bloom Cleaner Data'!N16/'Bloom Cleaner Data'!GP16</f>
        <v>0.56092964067392281</v>
      </c>
      <c r="QI16" s="506">
        <f>'Bloom Cleaner Data'!O16/'Bloom Cleaner Data'!GQ16</f>
        <v>0.55392191528545121</v>
      </c>
      <c r="QJ16" s="506">
        <f>'Bloom Cleaner Data'!P16/'Bloom Cleaner Data'!GR16</f>
        <v>0.57225568833652007</v>
      </c>
      <c r="QK16" s="506">
        <f>'Bloom Cleaner Data'!Q16/'Bloom Cleaner Data'!GS16</f>
        <v>0.44716263153464098</v>
      </c>
      <c r="QL16" s="506">
        <f>'Bloom Cleaner Data'!R16/'Bloom Cleaner Data'!GT16</f>
        <v>0.5027794267018264</v>
      </c>
      <c r="QM16" s="506"/>
      <c r="QN16" s="506">
        <f t="shared" si="120"/>
        <v>0.58081043687158529</v>
      </c>
      <c r="QO16" s="10">
        <f t="shared" si="121"/>
        <v>-0.18942190831267608</v>
      </c>
      <c r="QP16" s="506">
        <f t="shared" si="122"/>
        <v>0.629004450481779</v>
      </c>
      <c r="QQ16" s="18"/>
      <c r="QR16" s="506">
        <f>'Bloom Cleaner Data'!GF16/CALCULATIONS!DK16</f>
        <v>2.4054339231769095</v>
      </c>
      <c r="QS16" s="506">
        <f>'Bloom Cleaner Data'!GG16/CALCULATIONS!DL16</f>
        <v>2.4587066112611891</v>
      </c>
      <c r="QT16" s="506">
        <f>'Bloom Cleaner Data'!GH16/CALCULATIONS!DM16</f>
        <v>2.4684729681802491</v>
      </c>
      <c r="QU16" s="506">
        <f>'Bloom Cleaner Data'!GI16/CALCULATIONS!DN16</f>
        <v>2.5486862695054628</v>
      </c>
      <c r="QV16" s="506">
        <f>'Bloom Cleaner Data'!GJ16/CALCULATIONS!DO16</f>
        <v>2.8304709453762222</v>
      </c>
      <c r="QW16" s="506">
        <f>'Bloom Cleaner Data'!GK16/CALCULATIONS!DP16</f>
        <v>2.8360162578353116</v>
      </c>
      <c r="QX16" s="506">
        <f>'Bloom Cleaner Data'!GL16/CALCULATIONS!DQ16</f>
        <v>2.4981290762295596</v>
      </c>
      <c r="QY16" s="506">
        <f>'Bloom Cleaner Data'!GM16/CALCULATIONS!DR16</f>
        <v>2.444175009593418</v>
      </c>
      <c r="QZ16" s="506">
        <f>'Bloom Cleaner Data'!GN16/CALCULATIONS!DS16</f>
        <v>2.1715219131746912</v>
      </c>
      <c r="RA16" s="506">
        <f>'Bloom Cleaner Data'!GO16/CALCULATIONS!DT16</f>
        <v>2.1969377538552299</v>
      </c>
      <c r="RB16" s="506">
        <f>'Bloom Cleaner Data'!GP16/CALCULATIONS!DU16</f>
        <v>2.2009915659311652</v>
      </c>
      <c r="RC16" s="506">
        <f>'Bloom Cleaner Data'!GQ16/CALCULATIONS!DV16</f>
        <v>2.2633162314234672</v>
      </c>
      <c r="RD16" s="506">
        <f>'Bloom Cleaner Data'!GR16/CALCULATIONS!DW16</f>
        <v>1.9319920638643675</v>
      </c>
      <c r="RE16" s="506">
        <f>'Bloom Cleaner Data'!GS16/CALCULATIONS!DX16</f>
        <v>2.0445336358659412</v>
      </c>
      <c r="RF16" s="506">
        <f>'Bloom Cleaner Data'!GT16/CALCULATIONS!DY16</f>
        <v>1.8140994358273392</v>
      </c>
      <c r="RG16" s="506"/>
      <c r="RH16" s="506">
        <f t="shared" si="123"/>
        <v>2.3268725482048018</v>
      </c>
      <c r="RI16" s="506">
        <f t="shared" si="124"/>
        <v>2.1739662984183536</v>
      </c>
      <c r="RJ16" s="18"/>
      <c r="RK16" s="506">
        <f>'Bloom Cleaner Data'!GF16/($RK$1*DK16+(1-$RK$1)*'Bloom Cleaner Data'!GV16)</f>
        <v>2.4054339231769095</v>
      </c>
      <c r="RL16" s="506">
        <f>'Bloom Cleaner Data'!GG16/($RK$1*DL16+(1-$RK$1)*'Bloom Cleaner Data'!GW16)</f>
        <v>2.4587066112611891</v>
      </c>
      <c r="RM16" s="506">
        <f>'Bloom Cleaner Data'!GH16/($RK$1*DM16+(1-$RK$1)*'Bloom Cleaner Data'!GX16)</f>
        <v>2.4684729681802491</v>
      </c>
      <c r="RN16" s="506">
        <f>'Bloom Cleaner Data'!GI16/($RK$1*DN16+(1-$RK$1)*'Bloom Cleaner Data'!GY16)</f>
        <v>2.5486862695054628</v>
      </c>
      <c r="RO16" s="506">
        <f>'Bloom Cleaner Data'!GJ16/($RK$1*DO16+(1-$RK$1)*'Bloom Cleaner Data'!GZ16)</f>
        <v>2.8304709453762222</v>
      </c>
      <c r="RP16" s="506">
        <f>'Bloom Cleaner Data'!GK16/($RK$1*DP16+(1-$RK$1)*'Bloom Cleaner Data'!HA16)</f>
        <v>2.8360162578353116</v>
      </c>
      <c r="RQ16" s="506">
        <f>'Bloom Cleaner Data'!GL16/($RK$1*DQ16+(1-$RK$1)*'Bloom Cleaner Data'!HB16)</f>
        <v>2.4981290762295596</v>
      </c>
      <c r="RR16" s="506">
        <f>'Bloom Cleaner Data'!GM16/($RK$1*DR16+(1-$RK$1)*'Bloom Cleaner Data'!HC16)</f>
        <v>2.444175009593418</v>
      </c>
      <c r="RS16" s="506">
        <f>'Bloom Cleaner Data'!GN16/($RK$1*DS16+(1-$RK$1)*'Bloom Cleaner Data'!HD16)</f>
        <v>2.1715219131746912</v>
      </c>
      <c r="RT16" s="506">
        <f>'Bloom Cleaner Data'!GO16/($RK$1*DT16+(1-$RK$1)*'Bloom Cleaner Data'!HE16)</f>
        <v>2.1969377538552299</v>
      </c>
      <c r="RU16" s="506">
        <f>'Bloom Cleaner Data'!GP16/($RK$1*DU16+(1-$RK$1)*'Bloom Cleaner Data'!HF16)</f>
        <v>2.2009915659311652</v>
      </c>
      <c r="RV16" s="506">
        <f>'Bloom Cleaner Data'!GQ16/($RK$1*DV16+(1-$RK$1)*'Bloom Cleaner Data'!HG16)</f>
        <v>2.2633162314234672</v>
      </c>
      <c r="RW16" s="506">
        <f>'Bloom Cleaner Data'!GR16/($RK$1*DW16+(1-$RK$1)*'Bloom Cleaner Data'!HH16)</f>
        <v>1.9319920638643675</v>
      </c>
      <c r="RX16" s="506">
        <f>'Bloom Cleaner Data'!GS16/($RK$1*DX16+(1-$RK$1)*'Bloom Cleaner Data'!HI16)</f>
        <v>2.0445336358659412</v>
      </c>
      <c r="RY16" s="506">
        <f>'Bloom Cleaner Data'!GT16/($RK$1*DY16+(1-$RK$1)*'Bloom Cleaner Data'!HJ16)</f>
        <v>1.8140994358273392</v>
      </c>
      <c r="RZ16" s="506"/>
      <c r="SA16" s="506">
        <f t="shared" si="125"/>
        <v>2.3268725482048018</v>
      </c>
      <c r="SB16" s="506">
        <f t="shared" si="126"/>
        <v>2.1739662984183536</v>
      </c>
      <c r="SC16" s="18"/>
      <c r="SD16" s="15">
        <f>'Bloom Cleaner Data'!HM16</f>
        <v>5.7655000000000003</v>
      </c>
      <c r="SE16" s="15">
        <f>'Bloom Cleaner Data'!HN16</f>
        <v>5.6718999999999999</v>
      </c>
      <c r="SF16" s="15">
        <f>'Bloom Cleaner Data'!HO16</f>
        <v>6.5477999999999996</v>
      </c>
      <c r="SG16" s="15">
        <f>'Bloom Cleaner Data'!HP16</f>
        <v>6.1421000000000001</v>
      </c>
      <c r="SH16" s="15">
        <f>'Bloom Cleaner Data'!HQ16</f>
        <v>6.2971000000000004</v>
      </c>
      <c r="SI16" s="15">
        <f>'Bloom Cleaner Data'!HR16</f>
        <v>6.2187999999999999</v>
      </c>
      <c r="SJ16" s="15">
        <f>'Bloom Cleaner Data'!HS16</f>
        <v>5.3169000000000004</v>
      </c>
      <c r="SK16" s="15">
        <f>'Bloom Cleaner Data'!HT16</f>
        <v>5.34</v>
      </c>
      <c r="SL16" s="15">
        <f>'Bloom Cleaner Data'!HU16</f>
        <v>6.4840999999999998</v>
      </c>
      <c r="SM16" s="15">
        <f>'Bloom Cleaner Data'!HV16</f>
        <v>5.0316999999999998</v>
      </c>
      <c r="SN16" s="15">
        <f>'Bloom Cleaner Data'!HW16</f>
        <v>4.4500999999999999</v>
      </c>
      <c r="SO16" s="15">
        <f>'Bloom Cleaner Data'!HX16</f>
        <v>4.1136999999999997</v>
      </c>
      <c r="SP16" s="15">
        <f>'Bloom Cleaner Data'!HY16</f>
        <v>4.9843000000000002</v>
      </c>
      <c r="SQ16" s="15">
        <f>'Bloom Cleaner Data'!HZ16</f>
        <v>3.7029999999999998</v>
      </c>
      <c r="SR16" s="15">
        <f>'Bloom Cleaner Data'!IA16</f>
        <v>5.3293999999999997</v>
      </c>
      <c r="SS16" s="15"/>
      <c r="ST16" s="15">
        <f t="shared" si="127"/>
        <v>5.426426666666667</v>
      </c>
      <c r="SU16" s="487">
        <f t="shared" si="128"/>
        <v>-0.18607776657808731</v>
      </c>
      <c r="SV16" s="15">
        <f t="shared" si="129"/>
        <v>-1.2183999999999999</v>
      </c>
    </row>
    <row r="17" spans="1:518">
      <c r="A17" s="11" t="s">
        <v>500</v>
      </c>
      <c r="B17" s="72"/>
      <c r="C17" s="83" t="s">
        <v>279</v>
      </c>
      <c r="D17" s="1133" t="s">
        <v>1040</v>
      </c>
      <c r="E17" s="224" t="s">
        <v>61</v>
      </c>
      <c r="F17" s="224"/>
      <c r="G17" s="13">
        <f>'Bloom Cleaner Data'!D17*'Bloom Cleaner Data'!D44</f>
        <v>16173.648201449998</v>
      </c>
      <c r="H17" s="13">
        <f>'Bloom Cleaner Data'!F17*'Bloom Cleaner Data'!F44</f>
        <v>17223.993288450001</v>
      </c>
      <c r="I17" s="13">
        <f>'Bloom Cleaner Data'!H17*'Bloom Cleaner Data'!H44</f>
        <v>19846.976428030001</v>
      </c>
      <c r="J17" s="13">
        <f>'Bloom Cleaner Data'!J17*'Bloom Cleaner Data'!J44</f>
        <v>18748.735116799999</v>
      </c>
      <c r="K17" s="13">
        <f>'Bloom Cleaner Data'!L17*'Bloom Cleaner Data'!L44</f>
        <v>20060.608347096349</v>
      </c>
      <c r="L17" s="13">
        <f>'Bloom Cleaner Data'!N17*'Bloom Cleaner Data'!N44</f>
        <v>21076.23406794955</v>
      </c>
      <c r="M17" s="13">
        <f>'Bloom Cleaner Data'!P17*'Bloom Cleaner Data'!P44</f>
        <v>23597.87984514</v>
      </c>
      <c r="N17" s="13">
        <f>'Bloom Cleaner Data'!R17*'Bloom Cleaner Data'!R44</f>
        <v>23766.623796323693</v>
      </c>
      <c r="O17" s="13"/>
      <c r="P17" s="13">
        <f t="shared" si="0"/>
        <v>20617.292984255655</v>
      </c>
      <c r="Q17" s="13">
        <f t="shared" si="49"/>
        <v>22813.57923647108</v>
      </c>
      <c r="R17" s="10">
        <f t="shared" si="1"/>
        <v>0.37985561177970401</v>
      </c>
      <c r="S17" s="18">
        <f>('Bloom Cleaner Data'!R17-'Bloom Cleaner Data'!F17)/'Bloom Cleaner Data'!F17</f>
        <v>0.37068619466261793</v>
      </c>
      <c r="T17" s="10">
        <f t="shared" si="2"/>
        <v>0.48163119068534294</v>
      </c>
      <c r="U17" s="10"/>
      <c r="V17" s="1277" t="s">
        <v>279</v>
      </c>
      <c r="W17" s="1238">
        <f>'Bloom Cleaner Data'!D17/'Bloom Cleaner Data'!$F17</f>
        <v>0.979540451670037</v>
      </c>
      <c r="X17" s="1238">
        <f>'Bloom Cleaner Data'!E17/'Bloom Cleaner Data'!$F17</f>
        <v>0.97519661222020571</v>
      </c>
      <c r="Y17" s="1238">
        <f>'Bloom Cleaner Data'!F17/'Bloom Cleaner Data'!$F17</f>
        <v>1</v>
      </c>
      <c r="Z17" s="1238">
        <f>'Bloom Cleaner Data'!G17/'Bloom Cleaner Data'!$F17</f>
        <v>1.1143368959160354</v>
      </c>
      <c r="AA17" s="1238">
        <f>'Bloom Cleaner Data'!H17/'Bloom Cleaner Data'!$F17</f>
        <v>1.1289354940941136</v>
      </c>
      <c r="AB17" s="1238">
        <f>'Bloom Cleaner Data'!I17/'Bloom Cleaner Data'!$F17</f>
        <v>1.101028433151845</v>
      </c>
      <c r="AC17" s="1238">
        <f>'Bloom Cleaner Data'!J17/'Bloom Cleaner Data'!$F17</f>
        <v>1.0689648721017875</v>
      </c>
      <c r="AD17" s="1238">
        <f>'Bloom Cleaner Data'!K17/'Bloom Cleaner Data'!$F17</f>
        <v>1.0715455698601759</v>
      </c>
      <c r="AE17" s="1238">
        <f>'Bloom Cleaner Data'!L17/'Bloom Cleaner Data'!$F17</f>
        <v>1.1342037835488505</v>
      </c>
      <c r="AF17" s="1238">
        <f>'Bloom Cleaner Data'!M17/'Bloom Cleaner Data'!$F17</f>
        <v>1.2021965295379771</v>
      </c>
      <c r="AG17" s="1238">
        <f>'Bloom Cleaner Data'!N17/'Bloom Cleaner Data'!$F17</f>
        <v>1.1607432295637612</v>
      </c>
      <c r="AH17" s="1238">
        <f>'Bloom Cleaner Data'!O17/'Bloom Cleaner Data'!$F17</f>
        <v>1.2716415942177277</v>
      </c>
      <c r="AI17" s="1238">
        <f>'Bloom Cleaner Data'!P17/'Bloom Cleaner Data'!$F17</f>
        <v>1.2644373269637914</v>
      </c>
      <c r="AJ17" s="1238">
        <f>'Bloom Cleaner Data'!Q17/'Bloom Cleaner Data'!$F17</f>
        <v>1.4537925835416636</v>
      </c>
      <c r="AK17" s="1238">
        <f>'Bloom Cleaner Data'!R17/'Bloom Cleaner Data'!$F17</f>
        <v>1.3706861946626179</v>
      </c>
      <c r="AL17" s="13"/>
      <c r="AM17" s="13">
        <f>AVERAGE('Bloom Cleaner Data'!BW17:CI17)</f>
        <v>195427.21305384615</v>
      </c>
      <c r="AN17" s="18">
        <f>('Bloom Cleaner Data'!CI17-'Bloom Cleaner Data'!BW17)/'Bloom Cleaner Data'!BW17</f>
        <v>0.32197959476122728</v>
      </c>
      <c r="AO17" s="18">
        <f>('Bloom Cleaner Data'!CI17+'Bloom Cleaner Data'!CH17-'Bloom Cleaner Data'!BW17-'Bloom Cleaner Data'!BV17)/('Bloom Cleaner Data'!BW17+'Bloom Cleaner Data'!BV17)</f>
        <v>0.38080671361932011</v>
      </c>
      <c r="AP17" s="13"/>
      <c r="AQ17" s="13">
        <f>'Bloom Cleaner Data'!BW17*'Bloom Cleaner Data'!BW44</f>
        <v>21925.550388450003</v>
      </c>
      <c r="AR17" s="13">
        <f>'Bloom Cleaner Data'!BY17*'Bloom Cleaner Data'!BY44</f>
        <v>23592.95152803</v>
      </c>
      <c r="AS17" s="13">
        <f>'Bloom Cleaner Data'!CA17*'Bloom Cleaner Data'!CA44</f>
        <v>22894.5271168</v>
      </c>
      <c r="AT17" s="13">
        <f>'Bloom Cleaner Data'!CC17*'Bloom Cleaner Data'!CC44</f>
        <v>23150.105997604347</v>
      </c>
      <c r="AU17" s="13">
        <f>'Bloom Cleaner Data'!CE17*'Bloom Cleaner Data'!CE44</f>
        <v>26105.365102748441</v>
      </c>
      <c r="AV17" s="13">
        <f>'Bloom Cleaner Data'!CG17*'Bloom Cleaner Data'!CG44</f>
        <v>29638.75844514</v>
      </c>
      <c r="AW17" s="13">
        <f>'Bloom Cleaner Data'!CI17*'Bloom Cleaner Data'!CI44</f>
        <v>29179.030725223394</v>
      </c>
      <c r="AX17" s="13"/>
      <c r="AY17" s="13">
        <f t="shared" si="3"/>
        <v>25212.327043428028</v>
      </c>
      <c r="AZ17" s="10">
        <f t="shared" si="4"/>
        <v>0.3308231815514377</v>
      </c>
      <c r="BA17" s="10"/>
      <c r="BB17" s="13">
        <f>'Bloom Cleaner Data'!T17+'OPERATING LEASES'!AU17</f>
        <v>36969.356202327508</v>
      </c>
      <c r="BC17" s="13">
        <f>'Bloom Cleaner Data'!U17+'OPERATING LEASES'!AV17</f>
        <v>31983.343352425003</v>
      </c>
      <c r="BD17" s="13">
        <f>'Bloom Cleaner Data'!V17+'OPERATING LEASES'!AW17</f>
        <v>36457.330502522498</v>
      </c>
      <c r="BE17" s="13">
        <f>'Bloom Cleaner Data'!W17+'OPERATING LEASES'!AX17</f>
        <v>31103.317652619997</v>
      </c>
      <c r="BF17" s="13">
        <f>'Bloom Cleaner Data'!X17+'OPERATING LEASES'!AY17</f>
        <v>30692.304802717492</v>
      </c>
      <c r="BG17" s="13">
        <f>'Bloom Cleaner Data'!Y17+'OPERATING LEASES'!AZ17</f>
        <v>29543.459845948481</v>
      </c>
      <c r="BH17" s="13">
        <f>'Bloom Cleaner Data'!Z17+'OPERATING LEASES'!BA17</f>
        <v>35086.614889179473</v>
      </c>
      <c r="BI17" s="13">
        <f>'Bloom Cleaner Data'!AA17+'OPERATING LEASES'!BB17</f>
        <v>30307.769932410461</v>
      </c>
      <c r="BJ17" s="13">
        <f>'Bloom Cleaner Data'!AB17+'OPERATING LEASES'!BC17</f>
        <v>29383.92497564145</v>
      </c>
      <c r="BK17" s="13">
        <f>'Bloom Cleaner Data'!AC17+'OPERATING LEASES'!BD17</f>
        <v>33355.2711471726</v>
      </c>
      <c r="BL17" s="13">
        <f>'Bloom Cleaner Data'!AD17+'OPERATING LEASES'!BE17</f>
        <v>41541.617318703749</v>
      </c>
      <c r="BM17" s="13">
        <f>'Bloom Cleaner Data'!AE17+'OPERATING LEASES'!BF17</f>
        <v>40673.963490234906</v>
      </c>
      <c r="BN17" s="13">
        <f>'Bloom Cleaner Data'!AF17+'OPERATING LEASES'!BG17</f>
        <v>48484.309661766056</v>
      </c>
      <c r="BO17" s="13">
        <f>'Bloom Cleaner Data'!AG17+'OPERATING LEASES'!BH17</f>
        <v>44935.309661766056</v>
      </c>
      <c r="BP17" s="13">
        <f>'Bloom Cleaner Data'!AH17+'OPERATING LEASES'!BI17</f>
        <v>46403.309661766056</v>
      </c>
      <c r="BQ17" s="13"/>
      <c r="BR17" s="1099">
        <f t="shared" si="50"/>
        <v>36766.807964803789</v>
      </c>
      <c r="BS17" s="10">
        <f t="shared" si="51"/>
        <v>0.27281150380868918</v>
      </c>
      <c r="BT17" s="10"/>
      <c r="BU17" s="13">
        <f>'Bloom Cleaner Data'!BU17+'OPERATING LEASES'!AU17</f>
        <v>180279.50310232749</v>
      </c>
      <c r="BV17" s="13">
        <f>'Bloom Cleaner Data'!BV17+'OPERATING LEASES'!AV17</f>
        <v>176038.27735242501</v>
      </c>
      <c r="BW17" s="13">
        <f>'Bloom Cleaner Data'!BW17+'OPERATING LEASES'!AW17</f>
        <v>183903.9390025225</v>
      </c>
      <c r="BX17" s="13">
        <f>'Bloom Cleaner Data'!BX17+'OPERATING LEASES'!AX17</f>
        <v>192520.89455261998</v>
      </c>
      <c r="BY17" s="13">
        <f>'Bloom Cleaner Data'!BY17+'OPERATING LEASES'!AY17</f>
        <v>193735.24890271749</v>
      </c>
      <c r="BZ17" s="13">
        <f>'Bloom Cleaner Data'!BZ17+'OPERATING LEASES'!AZ17</f>
        <v>188114.44984594846</v>
      </c>
      <c r="CA17" s="13">
        <f>'Bloom Cleaner Data'!CA17+'OPERATING LEASES'!BA17</f>
        <v>187966.10798917947</v>
      </c>
      <c r="CB17" s="13">
        <f>'Bloom Cleaner Data'!CB17+'OPERATING LEASES'!BB17</f>
        <v>183281.88213241045</v>
      </c>
      <c r="CC17" s="13">
        <f>'Bloom Cleaner Data'!CC17+'OPERATING LEASES'!BC17</f>
        <v>187707.75437564144</v>
      </c>
      <c r="CD17" s="13">
        <f>'Bloom Cleaner Data'!CD17+'OPERATING LEASES'!BD17</f>
        <v>199253.77994717262</v>
      </c>
      <c r="CE17" s="13">
        <f>'Bloom Cleaner Data'!CE17+'OPERATING LEASES'!BE17</f>
        <v>204776.00391870376</v>
      </c>
      <c r="CF17" s="13">
        <f>'Bloom Cleaner Data'!CF17+'OPERATING LEASES'!BF17</f>
        <v>218557.15509023488</v>
      </c>
      <c r="CG17" s="13">
        <f>'Bloom Cleaner Data'!CG17+'OPERATING LEASES'!BG17</f>
        <v>224800.33936176606</v>
      </c>
      <c r="CH17" s="13">
        <f>'Bloom Cleaner Data'!CH17+'OPERATING LEASES'!BH17</f>
        <v>247694.66926176604</v>
      </c>
      <c r="CI17" s="13">
        <f>'Bloom Cleaner Data'!CI17+'OPERATING LEASES'!BI17</f>
        <v>237778.04886176606</v>
      </c>
      <c r="CJ17" s="13"/>
      <c r="CK17" s="1099">
        <f t="shared" si="52"/>
        <v>203853.09794172691</v>
      </c>
      <c r="CL17" s="10">
        <f t="shared" si="53"/>
        <v>0.29294701435679743</v>
      </c>
      <c r="CM17" s="18">
        <f t="shared" si="54"/>
        <v>4.3115207734959485E-2</v>
      </c>
      <c r="CN17" s="13"/>
      <c r="CO17" s="18">
        <f>$CO$1*BU17/('Bloom Cleaner Data'!D17+'Bloom Cleaner Data'!T17+'OPERATING LEASES'!AU17)+(1-$CO$1)*'Bloom Cleaner Data'!BU17/('Bloom Cleaner Data'!D17+'Bloom Cleaner Data'!T17)-1</f>
        <v>5.3092898468597438E-2</v>
      </c>
      <c r="CP17" s="18">
        <f>$CO$1*BV17/('Bloom Cleaner Data'!E17+'Bloom Cleaner Data'!U17+'OPERATING LEASES'!AV17)+(1-$CO$1)*'Bloom Cleaner Data'!BV17/('Bloom Cleaner Data'!E17+'Bloom Cleaner Data'!U17)-1</f>
        <v>6.2973525195732627E-2</v>
      </c>
      <c r="CQ17" s="18">
        <f>$CO$1*BW17/('Bloom Cleaner Data'!F17+'Bloom Cleaner Data'!V17+'OPERATING LEASES'!AW17)+(1-$CO$1)*'Bloom Cleaner Data'!BW17/('Bloom Cleaner Data'!F17+'Bloom Cleaner Data'!V17)-1</f>
        <v>6.0075417994079894E-2</v>
      </c>
      <c r="CR17" s="18">
        <f>$CO$1*BX17/('Bloom Cleaner Data'!G17+'Bloom Cleaner Data'!W17+'OPERATING LEASES'!AX17)+(1-$CO$1)*'Bloom Cleaner Data'!BX17/('Bloom Cleaner Data'!G17+'Bloom Cleaner Data'!W17)-1</f>
        <v>4.747683563920635E-2</v>
      </c>
      <c r="CS17" s="18">
        <f>$CO$1*BY17/('Bloom Cleaner Data'!H17+'Bloom Cleaner Data'!X17+'OPERATING LEASES'!AY17)+(1-$CO$1)*'Bloom Cleaner Data'!BY17/('Bloom Cleaner Data'!H17+'Bloom Cleaner Data'!X17)-1</f>
        <v>4.5046977018971424E-2</v>
      </c>
      <c r="CT17" s="18">
        <f>$CO$1*BZ17/('Bloom Cleaner Data'!I17+'Bloom Cleaner Data'!Y17+'OPERATING LEASES'!AZ17)+(1-$CO$1)*'Bloom Cleaner Data'!BZ17/('Bloom Cleaner Data'!I17+'Bloom Cleaner Data'!Y17)-1</f>
        <v>4.2696846605786432E-2</v>
      </c>
      <c r="CU17" s="18">
        <f>$CO$1*CA17/('Bloom Cleaner Data'!J17+'Bloom Cleaner Data'!Z17+'OPERATING LEASES'!BA17)+(1-$CO$1)*'Bloom Cleaner Data'!CA17/('Bloom Cleaner Data'!J17+'Bloom Cleaner Data'!Z17)-1</f>
        <v>3.5277378899790213E-2</v>
      </c>
      <c r="CV17" s="18">
        <f>$CO$1*CB17/('Bloom Cleaner Data'!K17+'Bloom Cleaner Data'!AA17+'OPERATING LEASES'!BB17)+(1-$CO$1)*'Bloom Cleaner Data'!CB17/('Bloom Cleaner Data'!K17+'Bloom Cleaner Data'!AA17)-1</f>
        <v>3.4696527468137894E-2</v>
      </c>
      <c r="CW17" s="18">
        <f>$CO$1*CC17/('Bloom Cleaner Data'!L17+'Bloom Cleaner Data'!AB17+'OPERATING LEASES'!BC17)+(1-$CO$1)*'Bloom Cleaner Data'!CC17/('Bloom Cleaner Data'!L17+'Bloom Cleaner Data'!AB17)-1</f>
        <v>1.5746944598064694E-2</v>
      </c>
      <c r="CX17" s="18">
        <f>$CO$1*CD17/('Bloom Cleaner Data'!M17+'Bloom Cleaner Data'!AC17+'OPERATING LEASES'!BD17)+(1-$CO$1)*'Bloom Cleaner Data'!CD17/('Bloom Cleaner Data'!M17+'Bloom Cleaner Data'!AC17)-1</f>
        <v>5.8964353741670639E-3</v>
      </c>
      <c r="CY17" s="18">
        <f>$CO$1*CE17/('Bloom Cleaner Data'!N17+'Bloom Cleaner Data'!AD17+'OPERATING LEASES'!BE17)+(1-$CO$1)*'Bloom Cleaner Data'!CE17/('Bloom Cleaner Data'!N17+'Bloom Cleaner Data'!AD17)-1</f>
        <v>2.0858259144246327E-2</v>
      </c>
      <c r="CZ17" s="18">
        <f>$CO$1*CF17/('Bloom Cleaner Data'!O17+'Bloom Cleaner Data'!AE17+'OPERATING LEASES'!BF17)+(1-$CO$1)*'Bloom Cleaner Data'!CF17/('Bloom Cleaner Data'!O17+'Bloom Cleaner Data'!AE17)-1</f>
        <v>1.69225636305399E-2</v>
      </c>
      <c r="DA17" s="18">
        <f>$CO$1*CG17/('Bloom Cleaner Data'!P17+'Bloom Cleaner Data'!AF17+'OPERATING LEASES'!BG17)+(1-$CO$1)*'Bloom Cleaner Data'!CG17/('Bloom Cleaner Data'!P17+'Bloom Cleaner Data'!AF17)-1</f>
        <v>1.3786208906201303E-2</v>
      </c>
      <c r="DB17" s="18">
        <f>$CO$1*CH17/('Bloom Cleaner Data'!Q17+'Bloom Cleaner Data'!AG17+'OPERATING LEASES'!BH17)+(1-$CO$1)*'Bloom Cleaner Data'!CH17/('Bloom Cleaner Data'!Q17+'Bloom Cleaner Data'!AG17)-1</f>
        <v>1.45571813608385E-2</v>
      </c>
      <c r="DC17" s="18">
        <f>$CO$1*CI17/('Bloom Cleaner Data'!R17+'Bloom Cleaner Data'!AH17+'OPERATING LEASES'!BI17)+(1-$CO$1)*'Bloom Cleaner Data'!CI17/('Bloom Cleaner Data'!R17+'Bloom Cleaner Data'!AH17)-1</f>
        <v>1.5186508715957947E-2</v>
      </c>
      <c r="DD17" s="18"/>
      <c r="DE17" s="18">
        <f t="shared" si="55"/>
        <v>2.8324929642768303E-2</v>
      </c>
      <c r="DF17" s="13"/>
      <c r="DG17" s="2203">
        <f>AVERAGE('Bloom Cleaner Data'!GX17:HJ17)</f>
        <v>34041.336833039612</v>
      </c>
      <c r="DH17" s="2124">
        <f>('Bloom Cleaner Data'!HJ17-'Bloom Cleaner Data'!GX17)/'Bloom Cleaner Data'!GX17</f>
        <v>0.26356669212410033</v>
      </c>
      <c r="DI17" s="2124">
        <f>('Bloom Cleaner Data'!HJ17+'Bloom Cleaner Data'!HI17-'Bloom Cleaner Data'!GX17-'Bloom Cleaner Data'!GW17)/('Bloom Cleaner Data'!GX17+'Bloom Cleaner Data'!GW17)</f>
        <v>0.1915397182243169</v>
      </c>
      <c r="DJ17" s="13"/>
      <c r="DK17" s="13">
        <f>'Bloom Cleaner Data'!GV17+'OPERATING LEASES'!BL17</f>
        <v>34635.899374297907</v>
      </c>
      <c r="DL17" s="13">
        <f>'Bloom Cleaner Data'!GW17+'OPERATING LEASES'!BM17</f>
        <v>33884.624053009313</v>
      </c>
      <c r="DM17" s="13">
        <f>'Bloom Cleaner Data'!GX17+'OPERATING LEASES'!BN17</f>
        <v>31048.512633242404</v>
      </c>
      <c r="DN17" s="13">
        <f>'Bloom Cleaner Data'!GY17+'OPERATING LEASES'!BO17</f>
        <v>30522.643604697627</v>
      </c>
      <c r="DO17" s="13">
        <f>'Bloom Cleaner Data'!GZ17+'OPERATING LEASES'!BP17</f>
        <v>30905.430861362693</v>
      </c>
      <c r="DP17" s="13">
        <f>'Bloom Cleaner Data'!HA17+'OPERATING LEASES'!BQ17</f>
        <v>31084.597591587939</v>
      </c>
      <c r="DQ17" s="13">
        <f>'Bloom Cleaner Data'!HB17+'OPERATING LEASES'!BR17</f>
        <v>31352.55208979431</v>
      </c>
      <c r="DR17" s="13">
        <f>'Bloom Cleaner Data'!HC17+'OPERATING LEASES'!BS17</f>
        <v>31603.521707700649</v>
      </c>
      <c r="DS17" s="13">
        <f>'Bloom Cleaner Data'!HD17+'OPERATING LEASES'!BT17</f>
        <v>35638.474829384249</v>
      </c>
      <c r="DT17" s="13">
        <f>'Bloom Cleaner Data'!HE17+'OPERATING LEASES'!BU17</f>
        <v>39694.998862767206</v>
      </c>
      <c r="DU17" s="13">
        <f>'Bloom Cleaner Data'!HF17+'OPERATING LEASES'!BV17</f>
        <v>40215.464090341506</v>
      </c>
      <c r="DV17" s="13">
        <f>'Bloom Cleaner Data'!HG17+'OPERATING LEASES'!BW17</f>
        <v>40372.10345196259</v>
      </c>
      <c r="DW17" s="13">
        <f>'Bloom Cleaner Data'!HH17+'OPERATING LEASES'!BX17</f>
        <v>40835.952912053785</v>
      </c>
      <c r="DX17" s="13">
        <f>'Bloom Cleaner Data'!HI17+'OPERATING LEASES'!BY17</f>
        <v>37489.663453532557</v>
      </c>
      <c r="DY17" s="13">
        <f>'Bloom Cleaner Data'!HJ17+'OPERATING LEASES'!BZ17</f>
        <v>38388.779705373177</v>
      </c>
      <c r="DZ17" s="13"/>
      <c r="EA17" s="1099">
        <f t="shared" si="56"/>
        <v>35319.438137984667</v>
      </c>
      <c r="EB17" s="10">
        <f t="shared" si="57"/>
        <v>0.23641284073208202</v>
      </c>
      <c r="EC17" s="18">
        <f t="shared" si="58"/>
        <v>3.7545567355761561E-2</v>
      </c>
      <c r="ED17" s="18">
        <f>(AVERAGE(DV17:DY17)-AVERAGE('Bloom Cleaner Data'!HG17:HJ17))/AVERAGE('Bloom Cleaner Data'!HG17:HJ17)</f>
        <v>2.8594907746829965E-2</v>
      </c>
      <c r="EE17" s="165"/>
      <c r="EF17" s="22">
        <f>'Bloom Cleaner Data'!DT17</f>
        <v>1.9931000000000001</v>
      </c>
      <c r="EG17" s="22">
        <f>'Bloom Cleaner Data'!DX17</f>
        <v>1.8995</v>
      </c>
      <c r="EH17" s="22">
        <f>'Bloom Cleaner Data'!EB17</f>
        <v>1.9594</v>
      </c>
      <c r="EI17" s="22">
        <f>'Bloom Cleaner Data'!EF17</f>
        <v>2.2671999999999999</v>
      </c>
      <c r="EJ17" s="22"/>
      <c r="EK17" s="22">
        <f>AVERAGE('Bloom Cleaner Data'!DT17:EF17)</f>
        <v>2.0217230769230765</v>
      </c>
      <c r="EL17" s="2124">
        <f t="shared" si="5"/>
        <v>0.13752445938487773</v>
      </c>
      <c r="EM17" s="13"/>
      <c r="EN17" s="15">
        <f>'Bloom Cleaner Data'!DA17</f>
        <v>5.1759000000000004</v>
      </c>
      <c r="EO17" s="15">
        <f>'Bloom Cleaner Data'!DB17</f>
        <v>5.1558999999999999</v>
      </c>
      <c r="EP17" s="15">
        <f>'Bloom Cleaner Data'!DC17</f>
        <v>5.9076000000000004</v>
      </c>
      <c r="EQ17" s="15">
        <f>'Bloom Cleaner Data'!DD17</f>
        <v>6.3009000000000004</v>
      </c>
      <c r="ER17" s="15">
        <f>'Bloom Cleaner Data'!DE17</f>
        <v>6.2493999999999996</v>
      </c>
      <c r="ES17" s="15">
        <f>'Bloom Cleaner Data'!DF17</f>
        <v>6.0228999999999999</v>
      </c>
      <c r="ET17" s="15">
        <f>'Bloom Cleaner Data'!DG17</f>
        <v>5.9653</v>
      </c>
      <c r="EU17" s="15">
        <f>'Bloom Cleaner Data'!DH17</f>
        <v>5.7625000000000002</v>
      </c>
      <c r="EV17" s="15">
        <f>'Bloom Cleaner Data'!DI17</f>
        <v>5.2164000000000001</v>
      </c>
      <c r="EW17" s="15">
        <f>'Bloom Cleaner Data'!DJ17</f>
        <v>4.9681999999999995</v>
      </c>
      <c r="EX17" s="15">
        <f>'Bloom Cleaner Data'!DK17</f>
        <v>5.0453000000000001</v>
      </c>
      <c r="EY17" s="15">
        <f>'Bloom Cleaner Data'!DL17</f>
        <v>5.3780999999999999</v>
      </c>
      <c r="EZ17" s="15">
        <f>'Bloom Cleaner Data'!DM17</f>
        <v>5.4737999999999998</v>
      </c>
      <c r="FA17" s="15">
        <f>'Bloom Cleaner Data'!DN17</f>
        <v>6.6056999999999997</v>
      </c>
      <c r="FB17" s="15">
        <f>'Bloom Cleaner Data'!DO17</f>
        <v>6.1806999999999999</v>
      </c>
      <c r="FC17" s="15"/>
      <c r="FD17" s="15">
        <f t="shared" si="59"/>
        <v>5.7751384615384618</v>
      </c>
      <c r="FE17" s="18">
        <f t="shared" si="6"/>
        <v>4.622858690500363E-2</v>
      </c>
      <c r="FF17" s="15">
        <f t="shared" si="60"/>
        <v>5.6618899999999996</v>
      </c>
      <c r="FG17" s="2206"/>
      <c r="FH17" s="15">
        <f>('Bloom Cleaner Data'!BU17+'OPERATING LEASES'!AU17)/DK17</f>
        <v>5.2049898041945069</v>
      </c>
      <c r="FI17" s="15">
        <f>('Bloom Cleaner Data'!BV17+'OPERATING LEASES'!AV17)/DL17</f>
        <v>5.1952259253940563</v>
      </c>
      <c r="FJ17" s="15">
        <f>('Bloom Cleaner Data'!BW17+'OPERATING LEASES'!AW17)/DM17</f>
        <v>5.92311590493465</v>
      </c>
      <c r="FK17" s="15">
        <f>('Bloom Cleaner Data'!BX17+'OPERATING LEASES'!AX17)/DN17</f>
        <v>6.3074777219817815</v>
      </c>
      <c r="FL17" s="15">
        <f>('Bloom Cleaner Data'!BY17+'OPERATING LEASES'!AY17)/DO17</f>
        <v>6.2686474028395169</v>
      </c>
      <c r="FM17" s="15">
        <f>('Bloom Cleaner Data'!BZ17+'OPERATING LEASES'!AZ17)/DP17</f>
        <v>6.0516932635748732</v>
      </c>
      <c r="FN17" s="15">
        <f>('Bloom Cleaner Data'!CA17+'OPERATING LEASES'!BA17)/DQ17</f>
        <v>5.9952410716308178</v>
      </c>
      <c r="FO17" s="15">
        <f>('Bloom Cleaner Data'!CB17+'OPERATING LEASES'!BB17)/DR17</f>
        <v>5.7994132371567693</v>
      </c>
      <c r="FP17" s="15">
        <f>('Bloom Cleaner Data'!CC17+'OPERATING LEASES'!BC17)/DS17</f>
        <v>5.2669974030671671</v>
      </c>
      <c r="FQ17" s="15">
        <f>('Bloom Cleaner Data'!CD17+'OPERATING LEASES'!BD17)/DT17</f>
        <v>5.0196192380815781</v>
      </c>
      <c r="FR17" s="15">
        <f>('Bloom Cleaner Data'!CE17+'OPERATING LEASES'!BE17)/DU17</f>
        <v>5.0919716718595458</v>
      </c>
      <c r="FS17" s="15">
        <f>('Bloom Cleaner Data'!CF17+'OPERATING LEASES'!BF17)/DV17</f>
        <v>5.4135686873558297</v>
      </c>
      <c r="FT17" s="15">
        <f>('Bloom Cleaner Data'!CG17+'OPERATING LEASES'!BG17)/DW17</f>
        <v>5.5049612738536204</v>
      </c>
      <c r="FU17" s="15">
        <f>('Bloom Cleaner Data'!CH17+'OPERATING LEASES'!BH17)/DX17</f>
        <v>6.6070123453836018</v>
      </c>
      <c r="FV17" s="15">
        <f>('Bloom Cleaner Data'!CI17+'OPERATING LEASES'!BI17)/DY17</f>
        <v>6.1939465303838475</v>
      </c>
      <c r="FW17" s="15"/>
      <c r="FX17" s="506">
        <f t="shared" si="61"/>
        <v>5.8033589040079683</v>
      </c>
      <c r="FY17" s="10">
        <f t="shared" si="62"/>
        <v>4.5724350121793801E-2</v>
      </c>
      <c r="FZ17" s="15">
        <f t="shared" si="7"/>
        <v>2.8220442469506501E-2</v>
      </c>
      <c r="GA17" s="15">
        <f t="shared" si="63"/>
        <v>5.6944424722347646</v>
      </c>
      <c r="GB17" s="15">
        <f t="shared" si="64"/>
        <v>3.2552472234764984E-2</v>
      </c>
      <c r="GC17" s="15">
        <f t="shared" si="8"/>
        <v>2.557210176728919E-2</v>
      </c>
      <c r="GD17" s="13"/>
      <c r="GE17" s="15">
        <f t="shared" si="9"/>
        <v>5.2049898041945069</v>
      </c>
      <c r="GF17" s="15">
        <f t="shared" si="10"/>
        <v>5.1952259253940563</v>
      </c>
      <c r="GG17" s="15">
        <f t="shared" si="11"/>
        <v>5.92311590493465</v>
      </c>
      <c r="GH17" s="15">
        <f t="shared" si="12"/>
        <v>6.3074777219817815</v>
      </c>
      <c r="GI17" s="15">
        <f t="shared" si="13"/>
        <v>6.2686474028395169</v>
      </c>
      <c r="GJ17" s="15">
        <f t="shared" si="14"/>
        <v>6.0516932635748732</v>
      </c>
      <c r="GK17" s="15">
        <f t="shared" si="15"/>
        <v>5.9952410716308178</v>
      </c>
      <c r="GL17" s="15">
        <f t="shared" si="16"/>
        <v>5.7994132371567693</v>
      </c>
      <c r="GM17" s="15">
        <f t="shared" si="17"/>
        <v>5.2669974030671671</v>
      </c>
      <c r="GN17" s="15">
        <f t="shared" si="18"/>
        <v>5.0196192380815781</v>
      </c>
      <c r="GO17" s="15">
        <f t="shared" si="19"/>
        <v>5.0919716718595458</v>
      </c>
      <c r="GP17" s="15">
        <f t="shared" si="20"/>
        <v>5.4135686873558297</v>
      </c>
      <c r="GQ17" s="15">
        <f t="shared" si="21"/>
        <v>5.5049612738536204</v>
      </c>
      <c r="GR17" s="15">
        <f t="shared" si="22"/>
        <v>6.6070123453836018</v>
      </c>
      <c r="GS17" s="15">
        <f t="shared" si="23"/>
        <v>6.1939465303838475</v>
      </c>
      <c r="GT17" s="15"/>
      <c r="GU17" s="15">
        <f t="shared" si="65"/>
        <v>5.7229254321128114</v>
      </c>
      <c r="GV17" s="10">
        <f t="shared" si="66"/>
        <v>4.5724350121793801E-2</v>
      </c>
      <c r="GW17" s="506">
        <f t="shared" si="67"/>
        <v>5.6944424722347646</v>
      </c>
      <c r="GX17" s="2057"/>
      <c r="GY17" s="10">
        <f>'Bloom Cleaner Data'!T17/('Bloom Cleaner Data'!T17+'Bloom Cleaner Data'!D17)</f>
        <v>0.17190453559403596</v>
      </c>
      <c r="GZ17" s="10">
        <f>'Bloom Cleaner Data'!U17/('Bloom Cleaner Data'!U17+'Bloom Cleaner Data'!E17)</f>
        <v>0.14516568521178125</v>
      </c>
      <c r="HA17" s="10">
        <f>'Bloom Cleaner Data'!V17/('Bloom Cleaner Data'!V17+'Bloom Cleaner Data'!F17)</f>
        <v>0.16451266665066519</v>
      </c>
      <c r="HB17" s="10">
        <f>'Bloom Cleaner Data'!W17/('Bloom Cleaner Data'!W17+'Bloom Cleaner Data'!G17)</f>
        <v>0.12313535609685165</v>
      </c>
      <c r="HC17" s="10">
        <f>'Bloom Cleaner Data'!X17/('Bloom Cleaner Data'!X17+'Bloom Cleaner Data'!H17)</f>
        <v>0.11875495128349291</v>
      </c>
      <c r="HD17" s="10">
        <f>'Bloom Cleaner Data'!Y17/('Bloom Cleaner Data'!Y17+'Bloom Cleaner Data'!I17)</f>
        <v>0.11740583474647588</v>
      </c>
      <c r="HE17" s="10">
        <f>'Bloom Cleaner Data'!Z17/('Bloom Cleaner Data'!Z17+'Bloom Cleaner Data'!J17)</f>
        <v>0.15066813778161212</v>
      </c>
      <c r="HF17" s="10">
        <f>'Bloom Cleaner Data'!AA17/('Bloom Cleaner Data'!AA17+'Bloom Cleaner Data'!K17)</f>
        <v>0.12812556411218021</v>
      </c>
      <c r="HG17" s="10">
        <f>'Bloom Cleaner Data'!AB17/('Bloom Cleaner Data'!AB17+'Bloom Cleaner Data'!L17)</f>
        <v>0.11916311206267843</v>
      </c>
      <c r="HH17" s="10">
        <f>'Bloom Cleaner Data'!AC17/('Bloom Cleaner Data'!AC17+'Bloom Cleaner Data'!M17)</f>
        <v>0.13308633497530648</v>
      </c>
      <c r="HI17" s="10">
        <f>'Bloom Cleaner Data'!AD17/('Bloom Cleaner Data'!AD17+'Bloom Cleaner Data'!N17)</f>
        <v>0.17512852687669983</v>
      </c>
      <c r="HJ17" s="10">
        <f>'Bloom Cleaner Data'!AE17/('Bloom Cleaner Data'!AE17+'Bloom Cleaner Data'!O17)</f>
        <v>0.16001315732084642</v>
      </c>
      <c r="HK17" s="10">
        <f>'Bloom Cleaner Data'!AF17/('Bloom Cleaner Data'!AF17+'Bloom Cleaner Data'!P17)</f>
        <v>0.19247276588081774</v>
      </c>
      <c r="HL17" s="10">
        <f>'Bloom Cleaner Data'!AG17/('Bloom Cleaner Data'!AG17+'Bloom Cleaner Data'!Q17)</f>
        <v>0.15930206419434195</v>
      </c>
      <c r="HM17" s="10">
        <f>'Bloom Cleaner Data'!AH17/('Bloom Cleaner Data'!AH17+'Bloom Cleaner Data'!R17)</f>
        <v>0.17272839211728983</v>
      </c>
      <c r="HN17" s="15"/>
      <c r="HO17" s="10">
        <f t="shared" si="68"/>
        <v>0.14726898954609682</v>
      </c>
      <c r="HP17" s="10">
        <f t="shared" si="69"/>
        <v>4.9939774449528171E-2</v>
      </c>
      <c r="HQ17" s="10"/>
      <c r="HR17" s="479">
        <f t="shared" si="24"/>
        <v>0.20759023926951711</v>
      </c>
      <c r="HS17" s="480">
        <f t="shared" si="25"/>
        <v>0.16981733500923554</v>
      </c>
      <c r="HT17" s="480">
        <f t="shared" si="26"/>
        <v>0.19690623673630128</v>
      </c>
      <c r="HU17" s="480">
        <f t="shared" si="27"/>
        <v>0.14042686856291156</v>
      </c>
      <c r="HV17" s="480">
        <f t="shared" si="28"/>
        <v>0.13475814866302402</v>
      </c>
      <c r="HW17" s="480">
        <f t="shared" si="29"/>
        <v>0.13302357909056786</v>
      </c>
      <c r="HX17" s="480">
        <f t="shared" si="30"/>
        <v>0.17739607388339207</v>
      </c>
      <c r="HY17" s="480">
        <f t="shared" si="31"/>
        <v>0.14695414710916649</v>
      </c>
      <c r="HZ17" s="480">
        <f t="shared" si="32"/>
        <v>0.13528397106724918</v>
      </c>
      <c r="IA17" s="480">
        <f t="shared" si="33"/>
        <v>0.15351740357157201</v>
      </c>
      <c r="IB17" s="480">
        <f t="shared" si="34"/>
        <v>0.21231007809445962</v>
      </c>
      <c r="IC17" s="480">
        <f t="shared" si="35"/>
        <v>0.19049483776493628</v>
      </c>
      <c r="ID17" s="480">
        <f t="shared" si="36"/>
        <v>0.23834832776972428</v>
      </c>
      <c r="IE17" s="480">
        <f t="shared" si="37"/>
        <v>0.18948787359835673</v>
      </c>
      <c r="IF17" s="481">
        <f t="shared" si="38"/>
        <v>0.20879284441945831</v>
      </c>
      <c r="IG17" s="15"/>
      <c r="IH17" s="10">
        <f t="shared" si="70"/>
        <v>0.17366926079470152</v>
      </c>
      <c r="II17" s="10">
        <f t="shared" si="71"/>
        <v>6.0366842006511372E-2</v>
      </c>
      <c r="IJ17" s="10"/>
      <c r="IK17" s="18">
        <f>('Bloom Cleaner Data'!T17+'OPERATING LEASES'!AU17)/('Bloom Cleaner Data'!T17+'OPERATING LEASES'!AU17+'Bloom Cleaner Data'!D17)</f>
        <v>0.21595448072390691</v>
      </c>
      <c r="IL17" s="18">
        <f>('Bloom Cleaner Data'!U17+'OPERATING LEASES'!AV17)/('Bloom Cleaner Data'!U17+'OPERATING LEASES'!AV17+'Bloom Cleaner Data'!E17)</f>
        <v>0.19312531196161681</v>
      </c>
      <c r="IM17" s="18">
        <f>('Bloom Cleaner Data'!V17+'OPERATING LEASES'!AW17)/('Bloom Cleaner Data'!V17+'OPERATING LEASES'!AW17+'Bloom Cleaner Data'!F17)</f>
        <v>0.21015058231504083</v>
      </c>
      <c r="IN17" s="18">
        <f>('Bloom Cleaner Data'!W17+'OPERATING LEASES'!AX17)/('Bloom Cleaner Data'!W17+'OPERATING LEASES'!AX17+'Bloom Cleaner Data'!G17)</f>
        <v>0.16922840935451122</v>
      </c>
      <c r="IO17" s="18">
        <f>('Bloom Cleaner Data'!X17+'OPERATING LEASES'!AY17)/('Bloom Cleaner Data'!X17+'OPERATING LEASES'!AY17+'Bloom Cleaner Data'!H17)</f>
        <v>0.16556047768019186</v>
      </c>
      <c r="IP17" s="18">
        <f>('Bloom Cleaner Data'!Y17+'OPERATING LEASES'!AZ17)/('Bloom Cleaner Data'!Y17+'OPERATING LEASES'!AZ17+'Bloom Cleaner Data'!I17)</f>
        <v>0.16375601366307596</v>
      </c>
      <c r="IQ17" s="18">
        <f>('Bloom Cleaner Data'!Z17+'OPERATING LEASES'!BA17)/('Bloom Cleaner Data'!Z17+'OPERATING LEASES'!BA17+'Bloom Cleaner Data'!J17)</f>
        <v>0.19324961869736187</v>
      </c>
      <c r="IR17" s="18">
        <f>('Bloom Cleaner Data'!AA17+'OPERATING LEASES'!BB17)/('Bloom Cleaner Data'!AA17+'OPERATING LEASES'!BB17+'Bloom Cleaner Data'!K17)</f>
        <v>0.17109898665113579</v>
      </c>
      <c r="IS17" s="18">
        <f>('Bloom Cleaner Data'!AB17+'OPERATING LEASES'!BC17)/('Bloom Cleaner Data'!AB17+'OPERATING LEASES'!BC17+'Bloom Cleaner Data'!L17)</f>
        <v>0.15900585521138022</v>
      </c>
      <c r="IT17" s="18">
        <f>('Bloom Cleaner Data'!AC17+'OPERATING LEASES'!BD17)/('Bloom Cleaner Data'!AC17+'OPERATING LEASES'!BD17+'Bloom Cleaner Data'!M17)</f>
        <v>0.16838801430404593</v>
      </c>
      <c r="IU17" s="18">
        <f>('Bloom Cleaner Data'!AD17+'OPERATING LEASES'!BE17)/('Bloom Cleaner Data'!AD17+'OPERATING LEASES'!BE17+'Bloom Cleaner Data'!N17)</f>
        <v>0.20709508109575395</v>
      </c>
      <c r="IV17" s="18">
        <f>('Bloom Cleaner Data'!AE17+'OPERATING LEASES'!BF17)/('Bloom Cleaner Data'!AE17+'OPERATING LEASES'!BF17+'Bloom Cleaner Data'!O17)</f>
        <v>0.18925150818525055</v>
      </c>
      <c r="IW17" s="18">
        <f>('Bloom Cleaner Data'!AF17+'OPERATING LEASES'!BG17)/('Bloom Cleaner Data'!AF17+'OPERATING LEASES'!BG17+'Bloom Cleaner Data'!P17)</f>
        <v>0.21865057954532605</v>
      </c>
      <c r="IX17" s="18">
        <f>('Bloom Cleaner Data'!AG17+'OPERATING LEASES'!BH17)/('Bloom Cleaner Data'!AG17+'OPERATING LEASES'!BH17+'Bloom Cleaner Data'!Q17)</f>
        <v>0.18405499500612374</v>
      </c>
      <c r="IY17" s="18">
        <f>('Bloom Cleaner Data'!AH17+'OPERATING LEASES'!BI17)/('Bloom Cleaner Data'!AH17+'OPERATING LEASES'!BI17+'Bloom Cleaner Data'!R17)</f>
        <v>0.198117589718218</v>
      </c>
      <c r="IZ17" s="15"/>
      <c r="JA17" s="10">
        <f t="shared" si="72"/>
        <v>0.18443136241749356</v>
      </c>
      <c r="JB17" s="10">
        <f t="shared" si="73"/>
        <v>-5.7258906752796622E-2</v>
      </c>
      <c r="JC17" s="10">
        <f t="shared" si="39"/>
        <v>3.7162372871396732E-2</v>
      </c>
      <c r="JD17" s="10">
        <f t="shared" si="40"/>
        <v>0.25234350412762557</v>
      </c>
      <c r="JE17" s="7"/>
      <c r="JF17" s="485">
        <f t="shared" si="74"/>
        <v>0.27543615187457104</v>
      </c>
      <c r="JG17" s="452">
        <f t="shared" si="41"/>
        <v>0.2393498207647701</v>
      </c>
      <c r="JH17" s="452">
        <f t="shared" si="41"/>
        <v>0.26606410995527491</v>
      </c>
      <c r="JI17" s="452">
        <f t="shared" si="41"/>
        <v>0.2037002844825555</v>
      </c>
      <c r="JJ17" s="452">
        <f t="shared" si="41"/>
        <v>0.19840919953062697</v>
      </c>
      <c r="JK17" s="452">
        <f t="shared" si="41"/>
        <v>0.19582324816515739</v>
      </c>
      <c r="JL17" s="452">
        <f t="shared" si="41"/>
        <v>0.23954078383616867</v>
      </c>
      <c r="JM17" s="452">
        <f t="shared" si="41"/>
        <v>0.20641666965742314</v>
      </c>
      <c r="JN17" s="452">
        <f t="shared" si="41"/>
        <v>0.18906892063005462</v>
      </c>
      <c r="JO17" s="452">
        <f t="shared" si="41"/>
        <v>0.20248387132507051</v>
      </c>
      <c r="JP17" s="452">
        <f t="shared" si="41"/>
        <v>0.26118526466193287</v>
      </c>
      <c r="JQ17" s="452">
        <f t="shared" si="41"/>
        <v>0.23342813473712049</v>
      </c>
      <c r="JR17" s="452">
        <f t="shared" si="41"/>
        <v>0.27983713025357004</v>
      </c>
      <c r="JS17" s="452">
        <f t="shared" si="41"/>
        <v>0.22557279458743068</v>
      </c>
      <c r="JT17" s="486">
        <f t="shared" si="41"/>
        <v>0.24706563852497943</v>
      </c>
      <c r="JU17" s="15"/>
      <c r="JV17" s="10">
        <f t="shared" si="75"/>
        <v>0.22681508079595114</v>
      </c>
      <c r="JW17" s="10">
        <f t="shared" si="76"/>
        <v>-7.1405615110918585E-2</v>
      </c>
      <c r="JX17" s="10">
        <f t="shared" si="77"/>
        <v>5.3145820001249622E-2</v>
      </c>
      <c r="JY17" s="10">
        <f t="shared" si="78"/>
        <v>0.30601742506449969</v>
      </c>
      <c r="JZ17" s="7"/>
      <c r="KA17" s="15">
        <f>'Bloom Cleaner Data'!T17/'Bloom Cleaner Data'!BU17*'Bloom Cleaner Data'!DA17</f>
        <v>0.84251592210460213</v>
      </c>
      <c r="KB17" s="15">
        <f>'Bloom Cleaner Data'!U17/'Bloom Cleaner Data'!BV17*'Bloom Cleaner Data'!DB17</f>
        <v>0.70164818022980857</v>
      </c>
      <c r="KC17" s="15">
        <f>'Bloom Cleaner Data'!V17/'Bloom Cleaner Data'!BW17*'Bloom Cleaner Data'!DC17</f>
        <v>0.91380577289747111</v>
      </c>
      <c r="KD17" s="15">
        <f>'Bloom Cleaner Data'!W17/'Bloom Cleaner Data'!BX17*'Bloom Cleaner Data'!DD17</f>
        <v>0.73883960627276291</v>
      </c>
      <c r="KE17" s="15">
        <f>'Bloom Cleaner Data'!X17/'Bloom Cleaner Data'!BY17*'Bloom Cleaner Data'!DE17</f>
        <v>0.7084438547276426</v>
      </c>
      <c r="KF17" s="15">
        <f>'Bloom Cleaner Data'!Y17/'Bloom Cleaner Data'!BZ17*'Bloom Cleaner Data'!DF17</f>
        <v>0.67663225966369567</v>
      </c>
      <c r="KG17" s="15">
        <f>'Bloom Cleaner Data'!Z17/'Bloom Cleaner Data'!CA17*'Bloom Cleaner Data'!DG17</f>
        <v>0.86659581848454914</v>
      </c>
      <c r="KH17" s="15">
        <f>'Bloom Cleaner Data'!AA17/'Bloom Cleaner Data'!CB17*'Bloom Cleaner Data'!DH17</f>
        <v>0.71232695645923239</v>
      </c>
      <c r="KI17" s="15">
        <f>'Bloom Cleaner Data'!AB17/'Bloom Cleaner Data'!CC17*'Bloom Cleaner Data'!DI17</f>
        <v>0.61151673176184107</v>
      </c>
      <c r="KJ17" s="15">
        <f>'Bloom Cleaner Data'!AC17/'Bloom Cleaner Data'!CD17*'Bloom Cleaner Data'!DJ17</f>
        <v>0.65716013869625767</v>
      </c>
      <c r="KK17" s="15">
        <f>'Bloom Cleaner Data'!AD17/'Bloom Cleaner Data'!CE17*'Bloom Cleaner Data'!DK17</f>
        <v>0.86481028651659997</v>
      </c>
      <c r="KL17" s="15">
        <f>'Bloom Cleaner Data'!AE17/'Bloom Cleaner Data'!CF17*'Bloom Cleaner Data'!DL17</f>
        <v>0.84573855510097229</v>
      </c>
      <c r="KM17" s="15">
        <f>'Bloom Cleaner Data'!AF17/'Bloom Cleaner Data'!CG17*'Bloom Cleaner Data'!DM17</f>
        <v>1.038757117938871</v>
      </c>
      <c r="KN17" s="15">
        <f>'Bloom Cleaner Data'!AG17/'Bloom Cleaner Data'!CH17*'Bloom Cleaner Data'!DN17</f>
        <v>1.0367516198519682</v>
      </c>
      <c r="KO17" s="15">
        <f>'Bloom Cleaner Data'!AH17/'Bloom Cleaner Data'!CI17*'Bloom Cleaner Data'!DO17</f>
        <v>1.0511142054320861</v>
      </c>
      <c r="KP17" s="15"/>
      <c r="KQ17" s="15">
        <f t="shared" si="79"/>
        <v>1.0422076477409752</v>
      </c>
      <c r="KR17" s="15">
        <f t="shared" si="80"/>
        <v>0.99309037458097438</v>
      </c>
      <c r="KS17" s="15">
        <f t="shared" si="81"/>
        <v>0.82480714798491916</v>
      </c>
      <c r="KT17" s="18">
        <f t="shared" si="82"/>
        <v>0.15025997493892063</v>
      </c>
      <c r="KU17" s="18"/>
      <c r="KV17" s="1694" t="s">
        <v>279</v>
      </c>
      <c r="KW17" s="506">
        <f>('Bloom Cleaner Data'!T17+'OPERATING LEASES'!AU17)/DK17</f>
        <v>1.0673710476754987</v>
      </c>
      <c r="KX17" s="506">
        <f>('Bloom Cleaner Data'!U17+'OPERATING LEASES'!AV17)/DL17</f>
        <v>0.94388957370133619</v>
      </c>
      <c r="KY17" s="506">
        <f>('Bloom Cleaner Data'!V17+'OPERATING LEASES'!AW17)/DM17</f>
        <v>1.174205377667241</v>
      </c>
      <c r="KZ17" s="506">
        <f>('Bloom Cleaner Data'!W17+'OPERATING LEASES'!AX17)/DN17</f>
        <v>1.0190243694302088</v>
      </c>
      <c r="LA17" s="506">
        <f>('Bloom Cleaner Data'!X17+'OPERATING LEASES'!AY17)/DO17</f>
        <v>0.9931039285748432</v>
      </c>
      <c r="LB17" s="506">
        <f>('Bloom Cleaner Data'!Y17+'OPERATING LEASES'!AZ17)/DP17</f>
        <v>0.95042117752695254</v>
      </c>
      <c r="LC17" s="506">
        <f>('Bloom Cleaner Data'!Z17+'OPERATING LEASES'!BA17)/DQ17</f>
        <v>1.1190991657932896</v>
      </c>
      <c r="LD17" s="506">
        <f>('Bloom Cleaner Data'!AA17+'OPERATING LEASES'!BB17)/DR17</f>
        <v>0.95899976631482631</v>
      </c>
      <c r="LE17" s="506">
        <f>('Bloom Cleaner Data'!AB17+'OPERATING LEASES'!BC17)/DS17</f>
        <v>0.82450006955443933</v>
      </c>
      <c r="LF17" s="506">
        <f>('Bloom Cleaner Data'!AC17+'OPERATING LEASES'!BD17)/DT17</f>
        <v>0.84028900624201575</v>
      </c>
      <c r="LG17" s="506">
        <f>('Bloom Cleaner Data'!AD17+'OPERATING LEASES'!BE17)/DU17</f>
        <v>1.0329762010301093</v>
      </c>
      <c r="LH17" s="506">
        <f>('Bloom Cleaner Data'!AE17+'OPERATING LEASES'!BF17)/DV17</f>
        <v>1.0074769460211923</v>
      </c>
      <c r="LI17" s="506">
        <f>('Bloom Cleaner Data'!AF17+'OPERATING LEASES'!BG17)/DW17</f>
        <v>1.1872946804053803</v>
      </c>
      <c r="LJ17" s="506">
        <f>('Bloom Cleaner Data'!AG17+'OPERATING LEASES'!BH17)/DX17</f>
        <v>1.1986053093664653</v>
      </c>
      <c r="LK17" s="506">
        <f>('Bloom Cleaner Data'!AH17+'OPERATING LEASES'!BI17)/DY17</f>
        <v>1.2087727199953455</v>
      </c>
      <c r="LL17" s="15"/>
      <c r="LM17" s="15">
        <f t="shared" si="83"/>
        <v>1.1982242365890636</v>
      </c>
      <c r="LN17" s="15">
        <f t="shared" si="84"/>
        <v>1.1505374139470959</v>
      </c>
      <c r="LO17" s="15">
        <f t="shared" si="85"/>
        <v>0.15744703936612148</v>
      </c>
      <c r="LP17" s="15">
        <f t="shared" si="86"/>
        <v>1.0395975936863313</v>
      </c>
      <c r="LQ17" s="18">
        <f t="shared" si="87"/>
        <v>2.9438923535487854E-2</v>
      </c>
      <c r="LR17" s="15">
        <f t="shared" si="88"/>
        <v>0.21479044570141215</v>
      </c>
      <c r="LS17" s="18"/>
      <c r="LT17" s="15">
        <f t="shared" si="89"/>
        <v>1.0673710476754987</v>
      </c>
      <c r="LU17" s="15">
        <f t="shared" si="90"/>
        <v>0.94388957370133619</v>
      </c>
      <c r="LV17" s="15">
        <f t="shared" si="91"/>
        <v>1.174205377667241</v>
      </c>
      <c r="LW17" s="15">
        <f t="shared" si="92"/>
        <v>1.0190243694302088</v>
      </c>
      <c r="LX17" s="15">
        <f t="shared" si="93"/>
        <v>0.9931039285748432</v>
      </c>
      <c r="LY17" s="15">
        <f t="shared" si="94"/>
        <v>0.95042117752695254</v>
      </c>
      <c r="LZ17" s="15">
        <f t="shared" si="95"/>
        <v>1.1190991657932896</v>
      </c>
      <c r="MA17" s="15">
        <f t="shared" si="96"/>
        <v>0.95899976631482631</v>
      </c>
      <c r="MB17" s="15">
        <f t="shared" si="97"/>
        <v>0.82450006955443933</v>
      </c>
      <c r="MC17" s="15">
        <f t="shared" si="98"/>
        <v>0.84028900624201575</v>
      </c>
      <c r="MD17" s="15">
        <f t="shared" si="99"/>
        <v>1.0329762010301093</v>
      </c>
      <c r="ME17" s="15">
        <f t="shared" si="100"/>
        <v>1.0074769460211923</v>
      </c>
      <c r="MF17" s="15">
        <f t="shared" si="101"/>
        <v>1.1872946804053803</v>
      </c>
      <c r="MG17" s="15">
        <f t="shared" si="102"/>
        <v>1.1986053093664653</v>
      </c>
      <c r="MH17" s="15">
        <f t="shared" si="103"/>
        <v>1.2087727199953455</v>
      </c>
      <c r="MI17" s="15"/>
      <c r="MJ17" s="15">
        <f t="shared" si="104"/>
        <v>1.1982242365890636</v>
      </c>
      <c r="MK17" s="15">
        <f t="shared" si="105"/>
        <v>1.1505374139470959</v>
      </c>
      <c r="ML17" s="506">
        <f t="shared" si="106"/>
        <v>1.0395975936863313</v>
      </c>
      <c r="MM17" s="10">
        <f t="shared" si="107"/>
        <v>2.9438923535487854E-2</v>
      </c>
      <c r="MN17" s="18"/>
      <c r="MO17" s="15">
        <f>('Bloom Cleaner Data'!T17+'Bloom Cleaner Data'!EY17)/'Bloom Cleaner Data'!GV17</f>
        <v>1.1896156697928886</v>
      </c>
      <c r="MP17" s="15">
        <f>('Bloom Cleaner Data'!U17+'Bloom Cleaner Data'!EZ17)/'Bloom Cleaner Data'!GW17</f>
        <v>1.2099504204377154</v>
      </c>
      <c r="MQ17" s="15">
        <f>('Bloom Cleaner Data'!V17+'Bloom Cleaner Data'!FA17)/'Bloom Cleaner Data'!GX17</f>
        <v>1.4092340685849627</v>
      </c>
      <c r="MR17" s="15">
        <f>('Bloom Cleaner Data'!W17+'Bloom Cleaner Data'!FB17)/'Bloom Cleaner Data'!GY17</f>
        <v>1.1992274422680238</v>
      </c>
      <c r="MS17" s="15">
        <f>('Bloom Cleaner Data'!X17+'Bloom Cleaner Data'!FC17)/'Bloom Cleaner Data'!GZ17</f>
        <v>1.1708388987372513</v>
      </c>
      <c r="MT17" s="15">
        <f>('Bloom Cleaner Data'!Y17+'Bloom Cleaner Data'!FD17)/'Bloom Cleaner Data'!HA17</f>
        <v>1.1893407539935488</v>
      </c>
      <c r="MU17" s="15">
        <f>('Bloom Cleaner Data'!Z17+'Bloom Cleaner Data'!FE17)/'Bloom Cleaner Data'!HB17</f>
        <v>1.2361930652689461</v>
      </c>
      <c r="MV17" s="15">
        <f>('Bloom Cleaner Data'!AA17+'Bloom Cleaner Data'!FF17)/'Bloom Cleaner Data'!HC17</f>
        <v>1.0995063857290048</v>
      </c>
      <c r="MW17" s="15">
        <f>('Bloom Cleaner Data'!AB17+'Bloom Cleaner Data'!FG17)/'Bloom Cleaner Data'!HD17</f>
        <v>0.98668697304583575</v>
      </c>
      <c r="MX17" s="15">
        <f>('Bloom Cleaner Data'!AC17+'Bloom Cleaner Data'!FH17)/'Bloom Cleaner Data'!HE17</f>
        <v>0.98684461335478191</v>
      </c>
      <c r="MY17" s="15">
        <f>('Bloom Cleaner Data'!AD17+'Bloom Cleaner Data'!FI17)/'Bloom Cleaner Data'!HF17</f>
        <v>1.2219466121939866</v>
      </c>
      <c r="MZ17" s="15">
        <f>('Bloom Cleaner Data'!AE17+'Bloom Cleaner Data'!FJ17)/'Bloom Cleaner Data'!HG17</f>
        <v>1.0727092732897308</v>
      </c>
      <c r="NA17" s="15">
        <f>('Bloom Cleaner Data'!AF17+'Bloom Cleaner Data'!FK17)/'Bloom Cleaner Data'!HH17</f>
        <v>1.2602375621332664</v>
      </c>
      <c r="NB17" s="15">
        <f>('Bloom Cleaner Data'!AG17+'Bloom Cleaner Data'!FL17)/'Bloom Cleaner Data'!HI17</f>
        <v>1.3069601777798476</v>
      </c>
      <c r="NC17" s="15">
        <f>('Bloom Cleaner Data'!AH17+'Bloom Cleaner Data'!FM17)/'Bloom Cleaner Data'!HJ17</f>
        <v>1.5052791702884236</v>
      </c>
      <c r="ND17" s="15"/>
      <c r="NE17" s="15">
        <f t="shared" si="43"/>
        <v>0.45416496485633751</v>
      </c>
      <c r="NF17" s="15">
        <f t="shared" si="108"/>
        <v>1.3574923034005124</v>
      </c>
      <c r="NG17" s="15">
        <f t="shared" si="44"/>
        <v>0.31528465565953723</v>
      </c>
      <c r="NH17" s="15">
        <f t="shared" si="109"/>
        <v>1.2862965458728173</v>
      </c>
      <c r="NI17" s="15">
        <f t="shared" si="110"/>
        <v>1.2034619228205854</v>
      </c>
      <c r="NJ17" s="18">
        <f t="shared" si="111"/>
        <v>6.8154115660786954E-2</v>
      </c>
      <c r="NK17" s="15">
        <f t="shared" si="45"/>
        <v>0.37865477483566623</v>
      </c>
      <c r="NL17" s="2818"/>
      <c r="NM17" s="1694" t="s">
        <v>279</v>
      </c>
      <c r="NN17" s="15">
        <f>KW17+'Bloom Cleaner Data'!EY17/CALCULATIONS!DK17</f>
        <v>1.3987901881444817</v>
      </c>
      <c r="NO17" s="15">
        <f>KX17+'Bloom Cleaner Data'!EZ17/CALCULATIONS!DL17</f>
        <v>1.4290358741083504</v>
      </c>
      <c r="NP17" s="15">
        <f>KY17+'Bloom Cleaner Data'!FA17/CALCULATIONS!DM17</f>
        <v>1.6453390571704061</v>
      </c>
      <c r="NQ17" s="15">
        <f>KZ17+'Bloom Cleaner Data'!FB17/CALCULATIONS!DN17</f>
        <v>1.4567649587788869</v>
      </c>
      <c r="NR17" s="15">
        <f>LA17+'Bloom Cleaner Data'!FC17/CALCULATIONS!DO17</f>
        <v>1.4333501772369166</v>
      </c>
      <c r="NS17" s="15">
        <f>LB17+'Bloom Cleaner Data'!FD17/CALCULATIONS!DP17</f>
        <v>1.4396345236284729</v>
      </c>
      <c r="NT17" s="15">
        <f>LC17+'Bloom Cleaner Data'!FE17/CALCULATIONS!DQ17</f>
        <v>1.4725632145335945</v>
      </c>
      <c r="NU17" s="15">
        <f>LD17+'Bloom Cleaner Data'!FF17/CALCULATIONS!DR17</f>
        <v>1.330097649280898</v>
      </c>
      <c r="NV17" s="15">
        <f>LE17+'Bloom Cleaner Data'!FG17/CALCULATIONS!DS17</f>
        <v>1.1864403619421668</v>
      </c>
      <c r="NW17" s="15">
        <f>LF17+'Bloom Cleaner Data'!FH17/CALCULATIONS!DT17</f>
        <v>1.1599010572175368</v>
      </c>
      <c r="NX17" s="15">
        <f>LG17+'Bloom Cleaner Data'!FI17/CALCULATIONS!DU17</f>
        <v>1.3797333581444331</v>
      </c>
      <c r="NY17" s="15">
        <f>LH17+'Bloom Cleaner Data'!FJ17/CALCULATIONS!DV17</f>
        <v>1.228124354462502</v>
      </c>
      <c r="NZ17" s="15">
        <f>LI17+'Bloom Cleaner Data'!FK17/CALCULATIONS!DW17</f>
        <v>1.4029135008835716</v>
      </c>
      <c r="OA17" s="15">
        <f>LJ17+'Bloom Cleaner Data'!FL17/CALCULATIONS!DX17</f>
        <v>1.4610243095315092</v>
      </c>
      <c r="OB17" s="15">
        <f>LK17+'Bloom Cleaner Data'!FM17/CALCULATIONS!DY17</f>
        <v>1.6501516887993055</v>
      </c>
      <c r="OC17" s="15"/>
      <c r="OD17" s="15">
        <f t="shared" si="46"/>
        <v>0.44137896880395999</v>
      </c>
      <c r="OE17" s="15">
        <f t="shared" si="112"/>
        <v>1.5046964997381289</v>
      </c>
      <c r="OF17" s="15">
        <f t="shared" si="47"/>
        <v>0.30647226314906528</v>
      </c>
      <c r="OG17" s="15">
        <f t="shared" si="113"/>
        <v>1.4355534634192222</v>
      </c>
      <c r="OH17" s="15">
        <f t="shared" si="114"/>
        <v>1.4035414008930922</v>
      </c>
      <c r="OI17" s="18">
        <f t="shared" si="115"/>
        <v>2.9250090477861944E-3</v>
      </c>
      <c r="OJ17" s="15">
        <f t="shared" si="48"/>
        <v>0.36394380720676089</v>
      </c>
      <c r="OK17" s="15"/>
      <c r="OL17" s="13">
        <f>'Bloom Cleaner Data'!GF17+('Bloom Cleaner Data'!T17+'Bloom Cleaner Data'!EY17)+'Bloom Cleaner Data'!CK17</f>
        <v>133496</v>
      </c>
      <c r="OM17" s="13">
        <f>'Bloom Cleaner Data'!GG17+('Bloom Cleaner Data'!U17+'Bloom Cleaner Data'!EZ17)+'Bloom Cleaner Data'!CL17</f>
        <v>138163</v>
      </c>
      <c r="ON17" s="13">
        <f>'Bloom Cleaner Data'!GH17+('Bloom Cleaner Data'!V17+'Bloom Cleaner Data'!FA17)+'Bloom Cleaner Data'!CM17</f>
        <v>151030</v>
      </c>
      <c r="OO17" s="13">
        <f>'Bloom Cleaner Data'!GI17+('Bloom Cleaner Data'!W17+'Bloom Cleaner Data'!FB17)+'Bloom Cleaner Data'!CN17</f>
        <v>139094</v>
      </c>
      <c r="OP17" s="13">
        <f>'Bloom Cleaner Data'!GJ17+('Bloom Cleaner Data'!X17+'Bloom Cleaner Data'!FC17)+'Bloom Cleaner Data'!CO17</f>
        <v>139021</v>
      </c>
      <c r="OQ17" s="13">
        <f>'Bloom Cleaner Data'!GK17+('Bloom Cleaner Data'!Y17+'Bloom Cleaner Data'!FD17)+'Bloom Cleaner Data'!CP17</f>
        <v>139948</v>
      </c>
      <c r="OR17" s="13">
        <f>'Bloom Cleaner Data'!GL17+('Bloom Cleaner Data'!Z17+'Bloom Cleaner Data'!FE17)+'Bloom Cleaner Data'!CQ17</f>
        <v>133339</v>
      </c>
      <c r="OS17" s="13">
        <f>'Bloom Cleaner Data'!GM17+('Bloom Cleaner Data'!AA17+'Bloom Cleaner Data'!FF17)+'Bloom Cleaner Data'!CR17</f>
        <v>133067</v>
      </c>
      <c r="OT17" s="13">
        <f>'Bloom Cleaner Data'!GN17+('Bloom Cleaner Data'!AB17+'Bloom Cleaner Data'!FG17)+'Bloom Cleaner Data'!CS17</f>
        <v>123736</v>
      </c>
      <c r="OU17" s="13">
        <f>'Bloom Cleaner Data'!GO17+('Bloom Cleaner Data'!AC17+'Bloom Cleaner Data'!FH17)+'Bloom Cleaner Data'!CT17</f>
        <v>121915</v>
      </c>
      <c r="OV17" s="13">
        <f>'Bloom Cleaner Data'!GP17+('Bloom Cleaner Data'!AD17+'Bloom Cleaner Data'!FI17)+'Bloom Cleaner Data'!CU17</f>
        <v>127384</v>
      </c>
      <c r="OW17" s="13">
        <f>'Bloom Cleaner Data'!GQ17+('Bloom Cleaner Data'!AE17+'Bloom Cleaner Data'!FJ17)+'Bloom Cleaner Data'!CV17</f>
        <v>122390</v>
      </c>
      <c r="OX17" s="13">
        <f>'Bloom Cleaner Data'!GR17+('Bloom Cleaner Data'!AF17+'Bloom Cleaner Data'!FK17)+'Bloom Cleaner Data'!CW17</f>
        <v>130395</v>
      </c>
      <c r="OY17" s="13">
        <f>'Bloom Cleaner Data'!GS17+('Bloom Cleaner Data'!AG17+'Bloom Cleaner Data'!FL17)+'Bloom Cleaner Data'!CX17</f>
        <v>133038</v>
      </c>
      <c r="OZ17" s="13">
        <f>'Bloom Cleaner Data'!GT17+('Bloom Cleaner Data'!AH17+'Bloom Cleaner Data'!FM17)+'Bloom Cleaner Data'!CY17</f>
        <v>134569</v>
      </c>
      <c r="PA17" s="166"/>
      <c r="PB17" s="1694" t="s">
        <v>279</v>
      </c>
      <c r="PC17" s="947">
        <f>('Bloom Cleaner Data'!T17+'Bloom Cleaner Data'!EY17+'OPERATING LEASES'!BL17)/CALCULATIONS!OL17</f>
        <v>0.30642651679237043</v>
      </c>
      <c r="PD17" s="947">
        <f>('Bloom Cleaner Data'!U17+'Bloom Cleaner Data'!EZ17+'OPERATING LEASES'!BM17)/CALCULATIONS!OM17</f>
        <v>0.29439596320495154</v>
      </c>
      <c r="PE17" s="947">
        <f>('Bloom Cleaner Data'!V17+'Bloom Cleaner Data'!FA17+'OPERATING LEASES'!BN17)/CALCULATIONS!ON17</f>
        <v>0.2855826302248371</v>
      </c>
      <c r="PF17" s="947">
        <f>('Bloom Cleaner Data'!W17+'Bloom Cleaner Data'!FB17+'OPERATING LEASES'!BO17)/CALCULATIONS!OO17</f>
        <v>0.26100665608458001</v>
      </c>
      <c r="PG17" s="947">
        <f>('Bloom Cleaner Data'!X17+'Bloom Cleaner Data'!FC17+'OPERATING LEASES'!BP17)/CALCULATIONS!OP17</f>
        <v>0.25846724595564696</v>
      </c>
      <c r="PH17" s="947">
        <f>('Bloom Cleaner Data'!Y17+'Bloom Cleaner Data'!FD17+'OPERATING LEASES'!BQ17)/CALCULATIONS!OQ17</f>
        <v>0.26224361012661845</v>
      </c>
      <c r="PI17" s="947">
        <f>('Bloom Cleaner Data'!Z17+'Bloom Cleaner Data'!FE17+'OPERATING LEASES'!BR17)/CALCULATIONS!OR17</f>
        <v>0.28824696825384921</v>
      </c>
      <c r="PJ17" s="947">
        <f>('Bloom Cleaner Data'!AA17+'Bloom Cleaner Data'!FF17+'OPERATING LEASES'!BS17)/CALCULATIONS!OS17</f>
        <v>0.2601520756461031</v>
      </c>
      <c r="PK17" s="947">
        <f>('Bloom Cleaner Data'!AB17+'Bloom Cleaner Data'!FG17+'OPERATING LEASES'!BT17)/CALCULATIONS!OT17</f>
        <v>0.28432105450313572</v>
      </c>
      <c r="PL17" s="947">
        <f>('Bloom Cleaner Data'!AC17+'Bloom Cleaner Data'!FH17+'OPERATING LEASES'!BU17)/CALCULATIONS!OU17</f>
        <v>0.32144321863593489</v>
      </c>
      <c r="PM17" s="947">
        <f>('Bloom Cleaner Data'!AD17+'Bloom Cleaner Data'!FI17+'OPERATING LEASES'!BV17)/CALCULATIONS!OV17</f>
        <v>0.3837353984801859</v>
      </c>
      <c r="PN17" s="947">
        <f>('Bloom Cleaner Data'!AE17+'Bloom Cleaner Data'!FJ17+'OPERATING LEASES'!BW17)/CALCULATIONS!OW17</f>
        <v>0.35318040689598823</v>
      </c>
      <c r="PO17" s="947">
        <f>('Bloom Cleaner Data'!AF17+'Bloom Cleaner Data'!FK17+'OPERATING LEASES'!BX17)/CALCULATIONS!OX17</f>
        <v>0.3925131331722842</v>
      </c>
      <c r="PP17" s="947">
        <f>('Bloom Cleaner Data'!AG17+'Bloom Cleaner Data'!FL17+'OPERATING LEASES'!BY17)/CALCULATIONS!OY17</f>
        <v>0.36580337948556052</v>
      </c>
      <c r="PQ17" s="947">
        <f>('Bloom Cleaner Data'!AH17+'Bloom Cleaner Data'!FM17+'OPERATING LEASES'!BZ17)/CALCULATIONS!OZ17</f>
        <v>0.42535613700034924</v>
      </c>
      <c r="PR17" s="947"/>
      <c r="PS17" s="18">
        <f t="shared" si="116"/>
        <v>0.39455754988606467</v>
      </c>
      <c r="PT17" s="18">
        <f t="shared" si="117"/>
        <v>0.38421326413854551</v>
      </c>
      <c r="PU17" s="18">
        <f t="shared" si="118"/>
        <v>0.31861937803577484</v>
      </c>
      <c r="PV17" s="10">
        <f t="shared" si="119"/>
        <v>0.4894328015169182</v>
      </c>
      <c r="PW17" s="10"/>
      <c r="PX17" s="506">
        <f>'Bloom Cleaner Data'!D17/'Bloom Cleaner Data'!GF17</f>
        <v>1.5778657132780813</v>
      </c>
      <c r="PY17" s="506">
        <f>'Bloom Cleaner Data'!E17/'Bloom Cleaner Data'!GG17</f>
        <v>1.5081423202374638</v>
      </c>
      <c r="PZ17" s="506">
        <f>'Bloom Cleaner Data'!F17/'Bloom Cleaner Data'!GH17</f>
        <v>1.3841009353629834</v>
      </c>
      <c r="QA17" s="506">
        <f>'Bloom Cleaner Data'!G17/'Bloom Cleaner Data'!GI17</f>
        <v>1.5977771872547479</v>
      </c>
      <c r="QB17" s="506">
        <f>'Bloom Cleaner Data'!H17/'Bloom Cleaner Data'!GJ17</f>
        <v>1.6077235454904486</v>
      </c>
      <c r="QC17" s="506">
        <f>'Bloom Cleaner Data'!I17/'Bloom Cleaner Data'!GK17</f>
        <v>1.5558373294558054</v>
      </c>
      <c r="QD17" s="506">
        <f>'Bloom Cleaner Data'!J17/'Bloom Cleaner Data'!GL17</f>
        <v>1.6298848655806293</v>
      </c>
      <c r="QE17" s="506">
        <f>'Bloom Cleaner Data'!K17/'Bloom Cleaner Data'!GM17</f>
        <v>1.568408308408819</v>
      </c>
      <c r="QF17" s="506">
        <f>'Bloom Cleaner Data'!L17/'Bloom Cleaner Data'!GN17</f>
        <v>1.7883803525810682</v>
      </c>
      <c r="QG17" s="506">
        <f>'Bloom Cleaner Data'!M17/'Bloom Cleaner Data'!GO17</f>
        <v>1.9901959478561333</v>
      </c>
      <c r="QH17" s="506">
        <f>'Bloom Cleaner Data'!N17/'Bloom Cleaner Data'!GP17</f>
        <v>2.1069904301402889</v>
      </c>
      <c r="QI17" s="506">
        <f>'Bloom Cleaner Data'!O17/'Bloom Cleaner Data'!GQ17</f>
        <v>2.2732112873767156</v>
      </c>
      <c r="QJ17" s="506">
        <f>'Bloom Cleaner Data'!P17/'Bloom Cleaner Data'!GR17</f>
        <v>2.2432128345223146</v>
      </c>
      <c r="QK17" s="506">
        <f>'Bloom Cleaner Data'!Q17/'Bloom Cleaner Data'!GS17</f>
        <v>2.4323295717896434</v>
      </c>
      <c r="QL17" s="506">
        <f>'Bloom Cleaner Data'!R17/'Bloom Cleaner Data'!GT17</f>
        <v>2.509154465418888</v>
      </c>
      <c r="QM17" s="506"/>
      <c r="QN17" s="506">
        <f t="shared" si="120"/>
        <v>1.8990159277875758</v>
      </c>
      <c r="QO17" s="10">
        <f t="shared" si="121"/>
        <v>0.81284066884967243</v>
      </c>
      <c r="QP17" s="506">
        <f t="shared" si="122"/>
        <v>1.8042956114679782</v>
      </c>
      <c r="QQ17" s="18"/>
      <c r="QR17" s="506">
        <f>'Bloom Cleaner Data'!GF17/CALCULATIONS!DK17</f>
        <v>2.4559778015501386</v>
      </c>
      <c r="QS17" s="506">
        <f>'Bloom Cleaner Data'!GG17/CALCULATIONS!DL17</f>
        <v>2.6148438259603801</v>
      </c>
      <c r="QT17" s="506">
        <f>'Bloom Cleaner Data'!GH17/CALCULATIONS!DM17</f>
        <v>3.1885263287622259</v>
      </c>
      <c r="QU17" s="506">
        <f>'Bloom Cleaner Data'!GI17/CALCULATIONS!DN17</f>
        <v>3.1309542265628636</v>
      </c>
      <c r="QV17" s="506">
        <f>'Bloom Cleaner Data'!GJ17/CALCULATIONS!DO17</f>
        <v>3.1133039507399225</v>
      </c>
      <c r="QW17" s="506">
        <f>'Bloom Cleaner Data'!GK17/CALCULATIONS!DP17</f>
        <v>3.1195192318089262</v>
      </c>
      <c r="QX17" s="506">
        <f>'Bloom Cleaner Data'!GL17/CALCULATIONS!DQ17</f>
        <v>2.8663695300662071</v>
      </c>
      <c r="QY17" s="506">
        <f>'Bloom Cleaner Data'!GM17/CALCULATIONS!DR17</f>
        <v>2.9622015187373605</v>
      </c>
      <c r="QZ17" s="506">
        <f>'Bloom Cleaner Data'!GN17/CALCULATIONS!DS17</f>
        <v>2.4384320714069534</v>
      </c>
      <c r="RA17" s="506">
        <f>'Bloom Cleaner Data'!GO17/CALCULATIONS!DT17</f>
        <v>2.0851745149597893</v>
      </c>
      <c r="RB17" s="506">
        <f>'Bloom Cleaner Data'!GP17/CALCULATIONS!DU17</f>
        <v>1.8770640028030812</v>
      </c>
      <c r="RC17" s="506">
        <f>'Bloom Cleaner Data'!GQ17/CALCULATIONS!DV17</f>
        <v>1.8986377584018044</v>
      </c>
      <c r="RD17" s="506">
        <f>'Bloom Cleaner Data'!GR17/CALCULATIONS!DW17</f>
        <v>1.8913970286512283</v>
      </c>
      <c r="RE17" s="506">
        <f>'Bloom Cleaner Data'!GS17/CALCULATIONS!DX17</f>
        <v>2.1845754924290435</v>
      </c>
      <c r="RF17" s="506">
        <f>'Bloom Cleaner Data'!GT17/CALCULATIONS!DY17</f>
        <v>1.9498666166125365</v>
      </c>
      <c r="RG17" s="506"/>
      <c r="RH17" s="506">
        <f t="shared" si="123"/>
        <v>2.5158478670724569</v>
      </c>
      <c r="RI17" s="506">
        <f t="shared" si="124"/>
        <v>2.239302059340889</v>
      </c>
      <c r="RJ17" s="18"/>
      <c r="RK17" s="506">
        <f>'Bloom Cleaner Data'!GF17/($RK$1*DK17+(1-$RK$1)*'Bloom Cleaner Data'!GV17)</f>
        <v>2.4559778015501386</v>
      </c>
      <c r="RL17" s="506">
        <f>'Bloom Cleaner Data'!GG17/($RK$1*DL17+(1-$RK$1)*'Bloom Cleaner Data'!GW17)</f>
        <v>2.6148438259603801</v>
      </c>
      <c r="RM17" s="506">
        <f>'Bloom Cleaner Data'!GH17/($RK$1*DM17+(1-$RK$1)*'Bloom Cleaner Data'!GX17)</f>
        <v>3.1885263287622259</v>
      </c>
      <c r="RN17" s="506">
        <f>'Bloom Cleaner Data'!GI17/($RK$1*DN17+(1-$RK$1)*'Bloom Cleaner Data'!GY17)</f>
        <v>3.1309542265628636</v>
      </c>
      <c r="RO17" s="506">
        <f>'Bloom Cleaner Data'!GJ17/($RK$1*DO17+(1-$RK$1)*'Bloom Cleaner Data'!GZ17)</f>
        <v>3.1133039507399225</v>
      </c>
      <c r="RP17" s="506">
        <f>'Bloom Cleaner Data'!GK17/($RK$1*DP17+(1-$RK$1)*'Bloom Cleaner Data'!HA17)</f>
        <v>3.1195192318089262</v>
      </c>
      <c r="RQ17" s="506">
        <f>'Bloom Cleaner Data'!GL17/($RK$1*DQ17+(1-$RK$1)*'Bloom Cleaner Data'!HB17)</f>
        <v>2.8663695300662071</v>
      </c>
      <c r="RR17" s="506">
        <f>'Bloom Cleaner Data'!GM17/($RK$1*DR17+(1-$RK$1)*'Bloom Cleaner Data'!HC17)</f>
        <v>2.9622015187373605</v>
      </c>
      <c r="RS17" s="506">
        <f>'Bloom Cleaner Data'!GN17/($RK$1*DS17+(1-$RK$1)*'Bloom Cleaner Data'!HD17)</f>
        <v>2.4384320714069534</v>
      </c>
      <c r="RT17" s="506">
        <f>'Bloom Cleaner Data'!GO17/($RK$1*DT17+(1-$RK$1)*'Bloom Cleaner Data'!HE17)</f>
        <v>2.0851745149597893</v>
      </c>
      <c r="RU17" s="506">
        <f>'Bloom Cleaner Data'!GP17/($RK$1*DU17+(1-$RK$1)*'Bloom Cleaner Data'!HF17)</f>
        <v>1.8770640028030812</v>
      </c>
      <c r="RV17" s="506">
        <f>'Bloom Cleaner Data'!GQ17/($RK$1*DV17+(1-$RK$1)*'Bloom Cleaner Data'!HG17)</f>
        <v>1.8986377584018044</v>
      </c>
      <c r="RW17" s="506">
        <f>'Bloom Cleaner Data'!GR17/($RK$1*DW17+(1-$RK$1)*'Bloom Cleaner Data'!HH17)</f>
        <v>1.8913970286512283</v>
      </c>
      <c r="RX17" s="506">
        <f>'Bloom Cleaner Data'!GS17/($RK$1*DX17+(1-$RK$1)*'Bloom Cleaner Data'!HI17)</f>
        <v>2.1845754924290435</v>
      </c>
      <c r="RY17" s="506">
        <f>'Bloom Cleaner Data'!GT17/($RK$1*DY17+(1-$RK$1)*'Bloom Cleaner Data'!HJ17)</f>
        <v>1.9498666166125365</v>
      </c>
      <c r="RZ17" s="506"/>
      <c r="SA17" s="506">
        <f t="shared" si="125"/>
        <v>2.5158478670724569</v>
      </c>
      <c r="SB17" s="506">
        <f t="shared" si="126"/>
        <v>2.239302059340889</v>
      </c>
      <c r="SC17" s="18"/>
      <c r="SD17" s="15">
        <f>'Bloom Cleaner Data'!HM17</f>
        <v>9.3628</v>
      </c>
      <c r="SE17" s="15">
        <f>'Bloom Cleaner Data'!HN17</f>
        <v>8.4243000000000006</v>
      </c>
      <c r="SF17" s="15">
        <f>'Bloom Cleaner Data'!HO17</f>
        <v>10.4986</v>
      </c>
      <c r="SG17" s="15">
        <f>'Bloom Cleaner Data'!HP17</f>
        <v>9.3257999999999992</v>
      </c>
      <c r="SH17" s="15">
        <f>'Bloom Cleaner Data'!HQ17</f>
        <v>11.4527</v>
      </c>
      <c r="SI17" s="15">
        <f>'Bloom Cleaner Data'!HR17</f>
        <v>12.677300000000001</v>
      </c>
      <c r="SJ17" s="15">
        <f>'Bloom Cleaner Data'!HS17</f>
        <v>12.357900000000001</v>
      </c>
      <c r="SK17" s="15">
        <f>'Bloom Cleaner Data'!HT17</f>
        <v>9.7513000000000005</v>
      </c>
      <c r="SL17" s="15">
        <f>'Bloom Cleaner Data'!HU17</f>
        <v>9.9550999999999998</v>
      </c>
      <c r="SM17" s="15">
        <f>'Bloom Cleaner Data'!HV17</f>
        <v>9.8854000000000006</v>
      </c>
      <c r="SN17" s="15">
        <f>'Bloom Cleaner Data'!HW17</f>
        <v>10.507</v>
      </c>
      <c r="SO17" s="15">
        <f>'Bloom Cleaner Data'!HX17</f>
        <v>9.8899000000000008</v>
      </c>
      <c r="SP17" s="15">
        <f>'Bloom Cleaner Data'!HY17</f>
        <v>9.41</v>
      </c>
      <c r="SQ17" s="15">
        <f>'Bloom Cleaner Data'!HZ17</f>
        <v>8.8734000000000002</v>
      </c>
      <c r="SR17" s="15">
        <f>'Bloom Cleaner Data'!IA17</f>
        <v>9.6113</v>
      </c>
      <c r="SS17" s="15"/>
      <c r="ST17" s="15">
        <f t="shared" si="127"/>
        <v>10.132186666666668</v>
      </c>
      <c r="SU17" s="487">
        <f t="shared" si="128"/>
        <v>-8.4516030708856396E-2</v>
      </c>
      <c r="SV17" s="15">
        <f t="shared" si="129"/>
        <v>-0.88729999999999976</v>
      </c>
    </row>
    <row r="18" spans="1:518">
      <c r="A18" s="11" t="s">
        <v>501</v>
      </c>
      <c r="B18" s="72">
        <v>1</v>
      </c>
      <c r="C18" s="83" t="s">
        <v>44</v>
      </c>
      <c r="D18" s="1133" t="s">
        <v>1042</v>
      </c>
      <c r="E18" s="224"/>
      <c r="F18" s="224"/>
      <c r="G18" s="13">
        <f>'Bloom Cleaner Data'!D18</f>
        <v>19285.647000000001</v>
      </c>
      <c r="H18" s="13">
        <f>'Bloom Cleaner Data'!F18</f>
        <v>16950.055</v>
      </c>
      <c r="I18" s="13">
        <f>'Bloom Cleaner Data'!H18</f>
        <v>17172.8999</v>
      </c>
      <c r="J18" s="13">
        <f>'Bloom Cleaner Data'!J18</f>
        <v>15328.3616</v>
      </c>
      <c r="K18" s="13">
        <f>'Bloom Cleaner Data'!L18</f>
        <v>13234.425300000001</v>
      </c>
      <c r="L18" s="13">
        <f>'Bloom Cleaner Data'!N18</f>
        <v>10816.5839</v>
      </c>
      <c r="M18" s="13">
        <f>'Bloom Cleaner Data'!P18</f>
        <v>5319.5375000000004</v>
      </c>
      <c r="N18" s="13">
        <f>'Bloom Cleaner Data'!R18</f>
        <v>6819.5967000000001</v>
      </c>
      <c r="O18" s="13"/>
      <c r="P18" s="13">
        <f t="shared" si="0"/>
        <v>12234.494271428572</v>
      </c>
      <c r="Q18" s="13">
        <f t="shared" si="49"/>
        <v>7651.9060333333327</v>
      </c>
      <c r="R18" s="10">
        <f t="shared" si="1"/>
        <v>-0.59766521701552</v>
      </c>
      <c r="S18" s="144">
        <f>R18</f>
        <v>-0.59766521701552</v>
      </c>
      <c r="T18" s="10">
        <f t="shared" si="2"/>
        <v>-0.49588963810988107</v>
      </c>
      <c r="U18" s="10"/>
      <c r="V18" s="1277" t="s">
        <v>44</v>
      </c>
      <c r="W18" s="1238">
        <f>'Bloom Cleaner Data'!D18/'Bloom Cleaner Data'!$F18</f>
        <v>1.1377925912334799</v>
      </c>
      <c r="X18" s="1238">
        <f>'Bloom Cleaner Data'!E18/'Bloom Cleaner Data'!$F18</f>
        <v>1.1198090684661495</v>
      </c>
      <c r="Y18" s="1238">
        <f>'Bloom Cleaner Data'!F18/'Bloom Cleaner Data'!$F18</f>
        <v>1</v>
      </c>
      <c r="Z18" s="1238">
        <f>'Bloom Cleaner Data'!G18/'Bloom Cleaner Data'!$F18</f>
        <v>1.0525782423714849</v>
      </c>
      <c r="AA18" s="1238">
        <f>'Bloom Cleaner Data'!H18/'Bloom Cleaner Data'!$F18</f>
        <v>1.0131471490800472</v>
      </c>
      <c r="AB18" s="1238">
        <f>'Bloom Cleaner Data'!I18/'Bloom Cleaner Data'!$F18</f>
        <v>1.0837476279575495</v>
      </c>
      <c r="AC18" s="1238">
        <f>'Bloom Cleaner Data'!J18/'Bloom Cleaner Data'!$F18</f>
        <v>0.90432518360559888</v>
      </c>
      <c r="AD18" s="1238">
        <f>'Bloom Cleaner Data'!K18/'Bloom Cleaner Data'!$F18</f>
        <v>0.86306432044025816</v>
      </c>
      <c r="AE18" s="1238">
        <f>'Bloom Cleaner Data'!L18/'Bloom Cleaner Data'!$F18</f>
        <v>0.78078951956203091</v>
      </c>
      <c r="AF18" s="1238">
        <f>'Bloom Cleaner Data'!M18/'Bloom Cleaner Data'!$F18</f>
        <v>0.69658755679553841</v>
      </c>
      <c r="AG18" s="1238">
        <f>'Bloom Cleaner Data'!N18/'Bloom Cleaner Data'!$F18</f>
        <v>0.63814447209758318</v>
      </c>
      <c r="AH18" s="1238">
        <f>'Bloom Cleaner Data'!O18/'Bloom Cleaner Data'!$F18</f>
        <v>0.50217139118427645</v>
      </c>
      <c r="AI18" s="1238">
        <f>'Bloom Cleaner Data'!P18/'Bloom Cleaner Data'!$F18</f>
        <v>0.31383600230205744</v>
      </c>
      <c r="AJ18" s="1238">
        <f>'Bloom Cleaner Data'!Q18/'Bloom Cleaner Data'!$F18</f>
        <v>0.22161078533373491</v>
      </c>
      <c r="AK18" s="1238">
        <f>'Bloom Cleaner Data'!R18/'Bloom Cleaner Data'!$F18</f>
        <v>0.40233478298448</v>
      </c>
      <c r="AL18" s="13"/>
      <c r="AM18" s="13">
        <f>AVERAGE('Bloom Cleaner Data'!BW18:CI18)</f>
        <v>24567.356438461535</v>
      </c>
      <c r="AN18" s="18">
        <f>('Bloom Cleaner Data'!CI18-'Bloom Cleaner Data'!BW18)/'Bloom Cleaner Data'!BW18</f>
        <v>-0.43081505548176807</v>
      </c>
      <c r="AO18" s="18">
        <f>('Bloom Cleaner Data'!CI18+'Bloom Cleaner Data'!CH18-'Bloom Cleaner Data'!BW18-'Bloom Cleaner Data'!BV18)/('Bloom Cleaner Data'!BW18+'Bloom Cleaner Data'!BV18)</f>
        <v>-0.43833438903872729</v>
      </c>
      <c r="AP18" s="13"/>
      <c r="AQ18" s="13">
        <f>'Bloom Cleaner Data'!BW18</f>
        <v>29292.055</v>
      </c>
      <c r="AR18" s="13">
        <f>'Bloom Cleaner Data'!BY18</f>
        <v>28886.8999</v>
      </c>
      <c r="AS18" s="13">
        <f>'Bloom Cleaner Data'!CA18</f>
        <v>27593.3616</v>
      </c>
      <c r="AT18" s="13">
        <f>'Bloom Cleaner Data'!CC18</f>
        <v>25343.425299999999</v>
      </c>
      <c r="AU18" s="13">
        <f>'Bloom Cleaner Data'!CE18</f>
        <v>23777.583900000001</v>
      </c>
      <c r="AV18" s="13">
        <f>'Bloom Cleaner Data'!CG18</f>
        <v>17980.537499999999</v>
      </c>
      <c r="AW18" s="13">
        <f>'Bloom Cleaner Data'!CI18</f>
        <v>16672.596699999998</v>
      </c>
      <c r="AX18" s="13"/>
      <c r="AY18" s="13">
        <f t="shared" si="3"/>
        <v>24220.922842857144</v>
      </c>
      <c r="AZ18" s="10">
        <f t="shared" si="4"/>
        <v>-0.43081505548176807</v>
      </c>
      <c r="BA18" s="10"/>
      <c r="BB18" s="13">
        <f>'Bloom Cleaner Data'!T18+'OPERATING LEASES'!AU18</f>
        <v>12328.267061637158</v>
      </c>
      <c r="BC18" s="13">
        <f>'Bloom Cleaner Data'!U18+'OPERATING LEASES'!AV18</f>
        <v>12746.074700965552</v>
      </c>
      <c r="BD18" s="13">
        <f>'Bloom Cleaner Data'!V18+'OPERATING LEASES'!AW18</f>
        <v>13882.882340293945</v>
      </c>
      <c r="BE18" s="13">
        <f>'Bloom Cleaner Data'!W18+'OPERATING LEASES'!AX18</f>
        <v>13677.689979622341</v>
      </c>
      <c r="BF18" s="13">
        <f>'Bloom Cleaner Data'!X18+'OPERATING LEASES'!AY18</f>
        <v>13158.497618950734</v>
      </c>
      <c r="BG18" s="13">
        <f>'Bloom Cleaner Data'!Y18+'OPERATING LEASES'!AZ18</f>
        <v>13175.26245999719</v>
      </c>
      <c r="BH18" s="13">
        <f>'Bloom Cleaner Data'!Z18+'OPERATING LEASES'!BA18</f>
        <v>13877.027301043645</v>
      </c>
      <c r="BI18" s="13">
        <f>'Bloom Cleaner Data'!AA18+'OPERATING LEASES'!BB18</f>
        <v>14578.7921420901</v>
      </c>
      <c r="BJ18" s="13">
        <f>'Bloom Cleaner Data'!AB18+'OPERATING LEASES'!BC18</f>
        <v>13872.556983136556</v>
      </c>
      <c r="BK18" s="13">
        <f>'Bloom Cleaner Data'!AC18+'OPERATING LEASES'!BD18</f>
        <v>14037.543023818575</v>
      </c>
      <c r="BL18" s="13">
        <f>'Bloom Cleaner Data'!AD18+'OPERATING LEASES'!BE18</f>
        <v>14828.529064500592</v>
      </c>
      <c r="BM18" s="13">
        <f>'Bloom Cleaner Data'!AE18+'OPERATING LEASES'!BF18</f>
        <v>14935.515105182611</v>
      </c>
      <c r="BN18" s="13">
        <f>'Bloom Cleaner Data'!AF18+'OPERATING LEASES'!BG18</f>
        <v>14581.50114586463</v>
      </c>
      <c r="BO18" s="13">
        <f>'Bloom Cleaner Data'!AG18+'OPERATING LEASES'!BH18</f>
        <v>14870.50114586463</v>
      </c>
      <c r="BP18" s="13">
        <f>'Bloom Cleaner Data'!AH18+'OPERATING LEASES'!BI18</f>
        <v>11774.50114586463</v>
      </c>
      <c r="BQ18" s="13"/>
      <c r="BR18" s="1099">
        <f t="shared" si="50"/>
        <v>13942.369188940784</v>
      </c>
      <c r="BS18" s="10">
        <f t="shared" si="51"/>
        <v>-0.15186912506705538</v>
      </c>
      <c r="BT18" s="10"/>
      <c r="BU18" s="13">
        <f>'Bloom Cleaner Data'!BU18+'OPERATING LEASES'!AU18</f>
        <v>31616.914061637159</v>
      </c>
      <c r="BV18" s="13">
        <f>'Bloom Cleaner Data'!BV18+'OPERATING LEASES'!AV18</f>
        <v>31730.90000096555</v>
      </c>
      <c r="BW18" s="13">
        <f>'Bloom Cleaner Data'!BW18+'OPERATING LEASES'!AW18</f>
        <v>30838.937340293945</v>
      </c>
      <c r="BX18" s="13">
        <f>'Bloom Cleaner Data'!BX18+'OPERATING LEASES'!AX18</f>
        <v>31518.94907962234</v>
      </c>
      <c r="BY18" s="13">
        <f>'Bloom Cleaner Data'!BY18+'OPERATING LEASES'!AY18</f>
        <v>30331.397518950733</v>
      </c>
      <c r="BZ18" s="13">
        <f>'Bloom Cleaner Data'!BZ18+'OPERATING LEASES'!AZ18</f>
        <v>31544.844359997191</v>
      </c>
      <c r="CA18" s="13">
        <f>'Bloom Cleaner Data'!CA18+'OPERATING LEASES'!BA18</f>
        <v>29197.388901043647</v>
      </c>
      <c r="CB18" s="13">
        <f>'Bloom Cleaner Data'!CB18+'OPERATING LEASES'!BB18</f>
        <v>29207.779842090102</v>
      </c>
      <c r="CC18" s="13">
        <f>'Bloom Cleaner Data'!CC18+'OPERATING LEASES'!BC18</f>
        <v>27106.982283136556</v>
      </c>
      <c r="CD18" s="13">
        <f>'Bloom Cleaner Data'!CD18+'OPERATING LEASES'!BD18</f>
        <v>25844.740423818574</v>
      </c>
      <c r="CE18" s="13">
        <f>'Bloom Cleaner Data'!CE18+'OPERATING LEASES'!BE18</f>
        <v>25645.112964500593</v>
      </c>
      <c r="CF18" s="13">
        <f>'Bloom Cleaner Data'!CF18+'OPERATING LEASES'!BF18</f>
        <v>23447.34780518261</v>
      </c>
      <c r="CG18" s="13">
        <f>'Bloom Cleaner Data'!CG18+'OPERATING LEASES'!BG18</f>
        <v>19952.038645864628</v>
      </c>
      <c r="CH18" s="13">
        <f>'Bloom Cleaner Data'!CH18+'OPERATING LEASES'!BH18</f>
        <v>18675.816145864628</v>
      </c>
      <c r="CI18" s="13">
        <f>'Bloom Cleaner Data'!CI18+'OPERATING LEASES'!BI18</f>
        <v>18644.097845864628</v>
      </c>
      <c r="CJ18" s="13"/>
      <c r="CK18" s="1099">
        <f t="shared" si="52"/>
        <v>26304.264088940781</v>
      </c>
      <c r="CL18" s="10">
        <f t="shared" si="53"/>
        <v>-0.39543643673141821</v>
      </c>
      <c r="CM18" s="18">
        <f t="shared" si="54"/>
        <v>7.0699818876727938E-2</v>
      </c>
      <c r="CN18" s="13"/>
      <c r="CO18" s="18">
        <f>$CO$1*BU18/('Bloom Cleaner Data'!D18+'Bloom Cleaner Data'!T18+'OPERATING LEASES'!AU18)+(1-$CO$1)*'Bloom Cleaner Data'!BU18/('Bloom Cleaner Data'!D18+'Bloom Cleaner Data'!T18)-1</f>
        <v>9.4894924878685671E-5</v>
      </c>
      <c r="CP18" s="18">
        <f>$CO$1*BV18/('Bloom Cleaner Data'!E18+'Bloom Cleaner Data'!U18+'OPERATING LEASES'!AV18)+(1-$CO$1)*'Bloom Cleaner Data'!BV18/('Bloom Cleaner Data'!E18+'Bloom Cleaner Data'!U18)-1</f>
        <v>1.2607597968528061E-4</v>
      </c>
      <c r="CQ18" s="18">
        <f>$CO$1*BW18/('Bloom Cleaner Data'!F18+'Bloom Cleaner Data'!V18+'OPERATING LEASES'!AW18)+(1-$CO$1)*'Bloom Cleaner Data'!BW18/('Bloom Cleaner Data'!F18+'Bloom Cleaner Data'!V18)-1</f>
        <v>1.9459709380842405E-4</v>
      </c>
      <c r="CR18" s="18">
        <f>$CO$1*BX18/('Bloom Cleaner Data'!G18+'Bloom Cleaner Data'!W18+'OPERATING LEASES'!AX18)+(1-$CO$1)*'Bloom Cleaner Data'!BX18/('Bloom Cleaner Data'!G18+'Bloom Cleaner Data'!W18)-1</f>
        <v>0</v>
      </c>
      <c r="CS18" s="18">
        <f>$CO$1*BY18/('Bloom Cleaner Data'!H18+'Bloom Cleaner Data'!X18+'OPERATING LEASES'!AY18)+(1-$CO$1)*'Bloom Cleaner Data'!BY18/('Bloom Cleaner Data'!H18+'Bloom Cleaner Data'!X18)-1</f>
        <v>0</v>
      </c>
      <c r="CT18" s="18">
        <f>$CO$1*BZ18/('Bloom Cleaner Data'!I18+'Bloom Cleaner Data'!Y18+'OPERATING LEASES'!AZ18)+(1-$CO$1)*'Bloom Cleaner Data'!BZ18/('Bloom Cleaner Data'!I18+'Bloom Cleaner Data'!Y18)-1</f>
        <v>0</v>
      </c>
      <c r="CU18" s="18">
        <f>$CO$1*CA18/('Bloom Cleaner Data'!J18+'Bloom Cleaner Data'!Z18+'OPERATING LEASES'!BA18)+(1-$CO$1)*'Bloom Cleaner Data'!CA18/('Bloom Cleaner Data'!J18+'Bloom Cleaner Data'!Z18)-1</f>
        <v>-2.7392205004039827E-4</v>
      </c>
      <c r="CV18" s="18">
        <f>$CO$1*CB18/('Bloom Cleaner Data'!K18+'Bloom Cleaner Data'!AA18+'OPERATING LEASES'!BB18)+(1-$CO$1)*'Bloom Cleaner Data'!CB18/('Bloom Cleaner Data'!K18+'Bloom Cleaner Data'!AA18)-1</f>
        <v>0</v>
      </c>
      <c r="CW18" s="18">
        <f>$CO$1*CC18/('Bloom Cleaner Data'!L18+'Bloom Cleaner Data'!AB18+'OPERATING LEASES'!BC18)+(1-$CO$1)*'Bloom Cleaner Data'!CC18/('Bloom Cleaner Data'!L18+'Bloom Cleaner Data'!AB18)-1</f>
        <v>0</v>
      </c>
      <c r="CX18" s="18">
        <f>$CO$1*CD18/('Bloom Cleaner Data'!M18+'Bloom Cleaner Data'!AC18+'OPERATING LEASES'!BD18)+(1-$CO$1)*'Bloom Cleaner Data'!CD18/('Bloom Cleaner Data'!M18+'Bloom Cleaner Data'!AC18)-1</f>
        <v>0</v>
      </c>
      <c r="CY18" s="18">
        <f>$CO$1*CE18/('Bloom Cleaner Data'!N18+'Bloom Cleaner Data'!AD18+'OPERATING LEASES'!BE18)+(1-$CO$1)*'Bloom Cleaner Data'!CE18/('Bloom Cleaner Data'!N18+'Bloom Cleaner Data'!AD18)-1</f>
        <v>0</v>
      </c>
      <c r="CZ18" s="18">
        <f>$CO$1*CF18/('Bloom Cleaner Data'!O18+'Bloom Cleaner Data'!AE18+'OPERATING LEASES'!BF18)+(1-$CO$1)*'Bloom Cleaner Data'!CF18/('Bloom Cleaner Data'!O18+'Bloom Cleaner Data'!AE18)-1</f>
        <v>0</v>
      </c>
      <c r="DA18" s="18">
        <f>$CO$1*CG18/('Bloom Cleaner Data'!P18+'Bloom Cleaner Data'!AF18+'OPERATING LEASES'!BG18)+(1-$CO$1)*'Bloom Cleaner Data'!CG18/('Bloom Cleaner Data'!P18+'Bloom Cleaner Data'!AF18)-1</f>
        <v>2.5626803157130507E-3</v>
      </c>
      <c r="DB18" s="18">
        <f>$CO$1*CH18/('Bloom Cleaner Data'!Q18+'Bloom Cleaner Data'!AG18+'OPERATING LEASES'!BH18)+(1-$CO$1)*'Bloom Cleaner Data'!CH18/('Bloom Cleaner Data'!Q18+'Bloom Cleaner Data'!AG18)-1</f>
        <v>2.6306159687348174E-3</v>
      </c>
      <c r="DC18" s="18">
        <f>$CO$1*CI18/('Bloom Cleaner Data'!R18+'Bloom Cleaner Data'!AH18+'OPERATING LEASES'!BI18)+(1-$CO$1)*'Bloom Cleaner Data'!CI18/('Bloom Cleaner Data'!R18+'Bloom Cleaner Data'!AH18)-1</f>
        <v>2.6890253248352813E-3</v>
      </c>
      <c r="DD18" s="18"/>
      <c r="DE18" s="18">
        <f t="shared" si="55"/>
        <v>6.0023051177316735E-4</v>
      </c>
      <c r="DF18" s="13"/>
      <c r="DG18" s="2203">
        <f>AVERAGE('Bloom Cleaner Data'!GX18:HJ18)</f>
        <v>5023.7677381919357</v>
      </c>
      <c r="DH18" s="2124">
        <f>('Bloom Cleaner Data'!HJ18-'Bloom Cleaner Data'!GX18)/'Bloom Cleaner Data'!GX18</f>
        <v>-0.19308165366084643</v>
      </c>
      <c r="DI18" s="2124">
        <f>('Bloom Cleaner Data'!HJ18+'Bloom Cleaner Data'!HI18-'Bloom Cleaner Data'!GX18-'Bloom Cleaner Data'!GW18)/('Bloom Cleaner Data'!GX18+'Bloom Cleaner Data'!GW18)</f>
        <v>-0.17570755489072065</v>
      </c>
      <c r="DJ18" s="13"/>
      <c r="DK18" s="13">
        <f>'Bloom Cleaner Data'!GV18+'OPERATING LEASES'!BL18</f>
        <v>5488.847128823636</v>
      </c>
      <c r="DL18" s="13">
        <f>'Bloom Cleaner Data'!GW18+'OPERATING LEASES'!BM18</f>
        <v>5560.5121437584658</v>
      </c>
      <c r="DM18" s="13">
        <f>'Bloom Cleaner Data'!GX18+'OPERATING LEASES'!BN18</f>
        <v>5607.1514743718417</v>
      </c>
      <c r="DN18" s="13">
        <f>'Bloom Cleaner Data'!GY18+'OPERATING LEASES'!BO18</f>
        <v>5668.8016906426537</v>
      </c>
      <c r="DO18" s="13">
        <f>'Bloom Cleaner Data'!GZ18+'OPERATING LEASES'!BP18</f>
        <v>5703.4819343342433</v>
      </c>
      <c r="DP18" s="13">
        <f>'Bloom Cleaner Data'!HA18+'OPERATING LEASES'!BQ18</f>
        <v>5662.0719458893218</v>
      </c>
      <c r="DQ18" s="13">
        <f>'Bloom Cleaner Data'!HB18+'OPERATING LEASES'!BR18</f>
        <v>5596.6544379672305</v>
      </c>
      <c r="DR18" s="13">
        <f>'Bloom Cleaner Data'!HC18+'OPERATING LEASES'!BS18</f>
        <v>5446.1734200000001</v>
      </c>
      <c r="DS18" s="13">
        <f>'Bloom Cleaner Data'!HD18+'OPERATING LEASES'!BT18</f>
        <v>5415.7987176887982</v>
      </c>
      <c r="DT18" s="13">
        <f>'Bloom Cleaner Data'!HE18+'OPERATING LEASES'!BU18</f>
        <v>5285.978575367265</v>
      </c>
      <c r="DU18" s="13">
        <f>'Bloom Cleaner Data'!HF18+'OPERATING LEASES'!BV18</f>
        <v>5153.1387733728425</v>
      </c>
      <c r="DV18" s="13">
        <f>'Bloom Cleaner Data'!HG18+'OPERATING LEASES'!BW18</f>
        <v>5080.3293457031241</v>
      </c>
      <c r="DW18" s="13">
        <f>'Bloom Cleaner Data'!HH18+'OPERATING LEASES'!BX18</f>
        <v>4893.5136619682407</v>
      </c>
      <c r="DX18" s="13">
        <f>'Bloom Cleaner Data'!HI18+'OPERATING LEASES'!BY18</f>
        <v>4756.4477802618967</v>
      </c>
      <c r="DY18" s="13">
        <f>'Bloom Cleaner Data'!HJ18+'OPERATING LEASES'!BZ18</f>
        <v>4623.4566960705688</v>
      </c>
      <c r="DZ18" s="13"/>
      <c r="EA18" s="1099">
        <f t="shared" si="56"/>
        <v>5299.4614195106169</v>
      </c>
      <c r="EB18" s="10">
        <f t="shared" si="57"/>
        <v>-0.17543574180176297</v>
      </c>
      <c r="EC18" s="18">
        <f t="shared" si="58"/>
        <v>5.4877871686381731E-2</v>
      </c>
      <c r="ED18" s="18">
        <f>(AVERAGE(DV18:DY18)-AVERAGE('Bloom Cleaner Data'!HG18:HJ18))/AVERAGE('Bloom Cleaner Data'!HG18:HJ18)</f>
        <v>6.8091441889234272E-2</v>
      </c>
      <c r="EE18" s="165"/>
      <c r="EF18" s="22">
        <f>'Bloom Cleaner Data'!DT18</f>
        <v>2.2067000000000001</v>
      </c>
      <c r="EG18" s="22">
        <f>'Bloom Cleaner Data'!DX18</f>
        <v>2.0941999999999998</v>
      </c>
      <c r="EH18" s="22">
        <f>'Bloom Cleaner Data'!EB18</f>
        <v>1.8485</v>
      </c>
      <c r="EI18" s="22">
        <f>'Bloom Cleaner Data'!EF18</f>
        <v>1.3995</v>
      </c>
      <c r="EJ18" s="22"/>
      <c r="EK18" s="22">
        <f>AVERAGE('Bloom Cleaner Data'!DT18:EF18)</f>
        <v>1.8971769230769233</v>
      </c>
      <c r="EL18" s="2124">
        <f t="shared" si="5"/>
        <v>-0.36579507862419003</v>
      </c>
      <c r="EM18" s="13"/>
      <c r="EN18" s="15">
        <f>'Bloom Cleaner Data'!DA18</f>
        <v>5.7719000000000005</v>
      </c>
      <c r="EO18" s="15">
        <f>'Bloom Cleaner Data'!DB18</f>
        <v>5.7058999999999997</v>
      </c>
      <c r="EP18" s="15">
        <f>'Bloom Cleaner Data'!DC18</f>
        <v>5.4802999999999997</v>
      </c>
      <c r="EQ18" s="15">
        <f>'Bloom Cleaner Data'!DD18</f>
        <v>5.5353000000000003</v>
      </c>
      <c r="ER18" s="15">
        <f>'Bloom Cleaner Data'!DE18</f>
        <v>5.2751999999999999</v>
      </c>
      <c r="ES18" s="15">
        <f>'Bloom Cleaner Data'!DF18</f>
        <v>5.5368000000000004</v>
      </c>
      <c r="ET18" s="15">
        <f>'Bloom Cleaner Data'!DG18</f>
        <v>5.1634000000000002</v>
      </c>
      <c r="EU18" s="15">
        <f>'Bloom Cleaner Data'!DH18</f>
        <v>5.3125</v>
      </c>
      <c r="EV18" s="15">
        <f>'Bloom Cleaner Data'!DI18</f>
        <v>4.9325000000000001</v>
      </c>
      <c r="EW18" s="15">
        <f>'Bloom Cleaner Data'!DJ18</f>
        <v>4.8057999999999996</v>
      </c>
      <c r="EX18" s="15">
        <f>'Bloom Cleaner Data'!DK18</f>
        <v>4.8934999999999995</v>
      </c>
      <c r="EY18" s="15">
        <f>'Bloom Cleaner Data'!DL18</f>
        <v>4.5056000000000003</v>
      </c>
      <c r="EZ18" s="15">
        <f>'Bloom Cleaner Data'!DM18</f>
        <v>3.9233000000000002</v>
      </c>
      <c r="FA18" s="15">
        <f>'Bloom Cleaner Data'!DN18</f>
        <v>3.7572000000000001</v>
      </c>
      <c r="FB18" s="15">
        <f>'Bloom Cleaner Data'!DO18</f>
        <v>3.8656999999999999</v>
      </c>
      <c r="FC18" s="15"/>
      <c r="FD18" s="15">
        <f t="shared" si="59"/>
        <v>4.8451615384615376</v>
      </c>
      <c r="FE18" s="18">
        <f t="shared" si="6"/>
        <v>-0.29461890772402971</v>
      </c>
      <c r="FF18" s="15">
        <f t="shared" si="60"/>
        <v>4.6696299999999997</v>
      </c>
      <c r="FG18" s="2206"/>
      <c r="FH18" s="15">
        <f>('Bloom Cleaner Data'!BU18+'OPERATING LEASES'!AU18)/DK18</f>
        <v>5.7602103537566114</v>
      </c>
      <c r="FI18" s="15">
        <f>('Bloom Cleaner Data'!BV18+'OPERATING LEASES'!AV18)/DL18</f>
        <v>5.7064707675501944</v>
      </c>
      <c r="FJ18" s="15">
        <f>('Bloom Cleaner Data'!BW18+'OPERATING LEASES'!AW18)/DM18</f>
        <v>5.499929417146479</v>
      </c>
      <c r="FK18" s="15">
        <f>('Bloom Cleaner Data'!BX18+'OPERATING LEASES'!AX18)/DN18</f>
        <v>5.5600726219881471</v>
      </c>
      <c r="FL18" s="15">
        <f>('Bloom Cleaner Data'!BY18+'OPERATING LEASES'!AY18)/DO18</f>
        <v>5.3180491966424119</v>
      </c>
      <c r="FM18" s="15">
        <f>('Bloom Cleaner Data'!BZ18+'OPERATING LEASES'!AZ18)/DP18</f>
        <v>5.5712545975151064</v>
      </c>
      <c r="FN18" s="15">
        <f>('Bloom Cleaner Data'!CA18+'OPERATING LEASES'!BA18)/DQ18</f>
        <v>5.2169361579609115</v>
      </c>
      <c r="FO18" s="15">
        <f>('Bloom Cleaner Data'!CB18+'OPERATING LEASES'!BB18)/DR18</f>
        <v>5.3629911480288674</v>
      </c>
      <c r="FP18" s="15">
        <f>('Bloom Cleaner Data'!CC18+'OPERATING LEASES'!BC18)/DS18</f>
        <v>5.0051679717344646</v>
      </c>
      <c r="FQ18" s="15">
        <f>('Bloom Cleaner Data'!CD18+'OPERATING LEASES'!BD18)/DT18</f>
        <v>4.8893010168931506</v>
      </c>
      <c r="FR18" s="15">
        <f>('Bloom Cleaner Data'!CE18+'OPERATING LEASES'!BE18)/DU18</f>
        <v>4.976600493860813</v>
      </c>
      <c r="FS18" s="15">
        <f>('Bloom Cleaner Data'!CF18+'OPERATING LEASES'!BF18)/DV18</f>
        <v>4.6153204270140611</v>
      </c>
      <c r="FT18" s="15">
        <f>('Bloom Cleaner Data'!CG18+'OPERATING LEASES'!BG18)/DW18</f>
        <v>4.0772418397294583</v>
      </c>
      <c r="FU18" s="15">
        <f>('Bloom Cleaner Data'!CH18+'OPERATING LEASES'!BH18)/DX18</f>
        <v>3.9264209360953632</v>
      </c>
      <c r="FV18" s="15">
        <f>('Bloom Cleaner Data'!CI18+'OPERATING LEASES'!BI18)/DY18</f>
        <v>4.0325018858098245</v>
      </c>
      <c r="FW18" s="15"/>
      <c r="FX18" s="506">
        <f t="shared" si="61"/>
        <v>4.9270605931091591</v>
      </c>
      <c r="FY18" s="10">
        <f t="shared" si="62"/>
        <v>-0.26680842971581226</v>
      </c>
      <c r="FZ18" s="15">
        <f t="shared" si="7"/>
        <v>8.1899054647621483E-2</v>
      </c>
      <c r="GA18" s="15">
        <f t="shared" si="63"/>
        <v>4.7673736474642023</v>
      </c>
      <c r="GB18" s="15">
        <f t="shared" si="64"/>
        <v>9.774364746420261E-2</v>
      </c>
      <c r="GC18" s="15">
        <f t="shared" si="8"/>
        <v>0.13655711650190394</v>
      </c>
      <c r="GD18" s="13"/>
      <c r="GE18" s="15">
        <f t="shared" si="9"/>
        <v>5.7602103537566114</v>
      </c>
      <c r="GF18" s="15">
        <f t="shared" si="10"/>
        <v>5.7064707675501944</v>
      </c>
      <c r="GG18" s="15">
        <f t="shared" si="11"/>
        <v>5.499929417146479</v>
      </c>
      <c r="GH18" s="15">
        <f t="shared" si="12"/>
        <v>5.5600726219881471</v>
      </c>
      <c r="GI18" s="15">
        <f t="shared" si="13"/>
        <v>5.3180491966424119</v>
      </c>
      <c r="GJ18" s="15">
        <f t="shared" si="14"/>
        <v>5.5712545975151064</v>
      </c>
      <c r="GK18" s="15">
        <f t="shared" si="15"/>
        <v>5.2169361579609115</v>
      </c>
      <c r="GL18" s="15">
        <f t="shared" si="16"/>
        <v>5.3629911480288674</v>
      </c>
      <c r="GM18" s="15">
        <f t="shared" si="17"/>
        <v>5.0051679717344646</v>
      </c>
      <c r="GN18" s="15">
        <f t="shared" si="18"/>
        <v>4.8893010168931506</v>
      </c>
      <c r="GO18" s="15">
        <f t="shared" si="19"/>
        <v>4.976600493860813</v>
      </c>
      <c r="GP18" s="15">
        <f t="shared" si="20"/>
        <v>4.6153204270140611</v>
      </c>
      <c r="GQ18" s="15">
        <f t="shared" si="21"/>
        <v>4.0772418397294583</v>
      </c>
      <c r="GR18" s="15">
        <f t="shared" si="22"/>
        <v>3.9264209360953632</v>
      </c>
      <c r="GS18" s="15">
        <f t="shared" si="23"/>
        <v>4.0325018858098245</v>
      </c>
      <c r="GT18" s="15"/>
      <c r="GU18" s="15">
        <f t="shared" si="65"/>
        <v>5.0345645887817243</v>
      </c>
      <c r="GV18" s="10">
        <f t="shared" si="66"/>
        <v>-0.26680842971581226</v>
      </c>
      <c r="GW18" s="506">
        <f t="shared" si="67"/>
        <v>4.7673736474642023</v>
      </c>
      <c r="GX18" s="2057"/>
      <c r="GY18" s="10">
        <f>'Bloom Cleaner Data'!T18/('Bloom Cleaner Data'!T18+'Bloom Cleaner Data'!D18)</f>
        <v>0.35638664456818064</v>
      </c>
      <c r="GZ18" s="10">
        <f>'Bloom Cleaner Data'!U18/('Bloom Cleaner Data'!U18+'Bloom Cleaner Data'!E18)</f>
        <v>0.37001110693817857</v>
      </c>
      <c r="HA18" s="10">
        <f>'Bloom Cleaner Data'!V18/('Bloom Cleaner Data'!V18+'Bloom Cleaner Data'!F18)</f>
        <v>0.42122436770674643</v>
      </c>
      <c r="HB18" s="10">
        <f>'Bloom Cleaner Data'!W18/('Bloom Cleaner Data'!W18+'Bloom Cleaner Data'!G18)</f>
        <v>0.40575208572209936</v>
      </c>
      <c r="HC18" s="10">
        <f>'Bloom Cleaner Data'!X18/('Bloom Cleaner Data'!X18+'Bloom Cleaner Data'!H18)</f>
        <v>0.40551253476666771</v>
      </c>
      <c r="HD18" s="10">
        <f>'Bloom Cleaner Data'!Y18/('Bloom Cleaner Data'!Y18+'Bloom Cleaner Data'!I18)</f>
        <v>0.38810040520900096</v>
      </c>
      <c r="HE18" s="10">
        <f>'Bloom Cleaner Data'!Z18/('Bloom Cleaner Data'!Z18+'Bloom Cleaner Data'!J18)</f>
        <v>0.44465197687928554</v>
      </c>
      <c r="HF18" s="10">
        <f>'Bloom Cleaner Data'!AA18/('Bloom Cleaner Data'!AA18+'Bloom Cleaner Data'!K18)</f>
        <v>0.46850042735631658</v>
      </c>
      <c r="HG18" s="10">
        <f>'Bloom Cleaner Data'!AB18/('Bloom Cleaner Data'!AB18+'Bloom Cleaner Data'!L18)</f>
        <v>0.47779650369518117</v>
      </c>
      <c r="HH18" s="10">
        <f>'Bloom Cleaner Data'!AC18/('Bloom Cleaner Data'!AC18+'Bloom Cleaner Data'!M18)</f>
        <v>0.50863122045016795</v>
      </c>
      <c r="HI18" s="10">
        <f>'Bloom Cleaner Data'!AD18/('Bloom Cleaner Data'!AD18+'Bloom Cleaner Data'!N18)</f>
        <v>0.54509322959428197</v>
      </c>
      <c r="HJ18" s="10">
        <f>'Bloom Cleaner Data'!AE18/('Bloom Cleaner Data'!AE18+'Bloom Cleaner Data'!O18)</f>
        <v>0.60461265104498885</v>
      </c>
      <c r="HK18" s="10">
        <f>'Bloom Cleaner Data'!AF18/('Bloom Cleaner Data'!AF18+'Bloom Cleaner Data'!P18)</f>
        <v>0.70330871613392154</v>
      </c>
      <c r="HL18" s="10">
        <f>'Bloom Cleaner Data'!AG18/('Bloom Cleaner Data'!AG18+'Bloom Cleaner Data'!Q18)</f>
        <v>0.77446748980730784</v>
      </c>
      <c r="HM18" s="10">
        <f>'Bloom Cleaner Data'!AH18/('Bloom Cleaner Data'!AH18+'Bloom Cleaner Data'!R18)</f>
        <v>0.58973938770950263</v>
      </c>
      <c r="HN18" s="15"/>
      <c r="HO18" s="10">
        <f t="shared" si="68"/>
        <v>0.51826084585195908</v>
      </c>
      <c r="HP18" s="10">
        <f t="shared" si="69"/>
        <v>0.40005999871326348</v>
      </c>
      <c r="HQ18" s="10"/>
      <c r="HR18" s="479">
        <f t="shared" si="24"/>
        <v>0.55372785782089662</v>
      </c>
      <c r="HS18" s="480">
        <f t="shared" si="25"/>
        <v>0.58732957201813563</v>
      </c>
      <c r="HT18" s="480">
        <f t="shared" si="26"/>
        <v>0.727785249074413</v>
      </c>
      <c r="HU18" s="480">
        <f t="shared" si="27"/>
        <v>0.68279934346113491</v>
      </c>
      <c r="HV18" s="480">
        <f t="shared" si="28"/>
        <v>0.68212125314956273</v>
      </c>
      <c r="HW18" s="480">
        <f t="shared" si="29"/>
        <v>0.63425504529311028</v>
      </c>
      <c r="HX18" s="480">
        <f t="shared" si="30"/>
        <v>0.80067265636530915</v>
      </c>
      <c r="HY18" s="480">
        <f t="shared" si="31"/>
        <v>0.88146905749329474</v>
      </c>
      <c r="HZ18" s="480">
        <f t="shared" si="32"/>
        <v>0.91496228400639334</v>
      </c>
      <c r="IA18" s="480">
        <f t="shared" si="33"/>
        <v>1.0351313343842294</v>
      </c>
      <c r="IB18" s="480">
        <f t="shared" si="34"/>
        <v>1.1982526202195876</v>
      </c>
      <c r="IC18" s="480">
        <f t="shared" si="35"/>
        <v>1.5291653934880558</v>
      </c>
      <c r="ID18" s="480">
        <f t="shared" si="36"/>
        <v>2.3705068344757425</v>
      </c>
      <c r="IE18" s="480">
        <f t="shared" si="37"/>
        <v>3.4339505605893024</v>
      </c>
      <c r="IF18" s="481">
        <f t="shared" si="38"/>
        <v>1.4374750342641225</v>
      </c>
      <c r="IG18" s="15"/>
      <c r="IH18" s="10">
        <f t="shared" si="70"/>
        <v>1.2560420512510968</v>
      </c>
      <c r="II18" s="10">
        <f t="shared" si="71"/>
        <v>0.97513625907131662</v>
      </c>
      <c r="IJ18" s="10"/>
      <c r="IK18" s="18">
        <f>('Bloom Cleaner Data'!T18+'OPERATING LEASES'!AU18)/('Bloom Cleaner Data'!T18+'OPERATING LEASES'!AU18+'Bloom Cleaner Data'!D18)</f>
        <v>0.38996332556610758</v>
      </c>
      <c r="IL18" s="18">
        <f>('Bloom Cleaner Data'!U18+'OPERATING LEASES'!AV18)/('Bloom Cleaner Data'!U18+'OPERATING LEASES'!AV18+'Bloom Cleaner Data'!E18)</f>
        <v>0.40174346376663489</v>
      </c>
      <c r="IM18" s="18">
        <f>('Bloom Cleaner Data'!V18+'OPERATING LEASES'!AW18)/('Bloom Cleaner Data'!V18+'OPERATING LEASES'!AW18+'Bloom Cleaner Data'!F18)</f>
        <v>0.45026142618436604</v>
      </c>
      <c r="IN18" s="18">
        <f>('Bloom Cleaner Data'!W18+'OPERATING LEASES'!AX18)/('Bloom Cleaner Data'!W18+'OPERATING LEASES'!AX18+'Bloom Cleaner Data'!G18)</f>
        <v>0.4339513333731439</v>
      </c>
      <c r="IO18" s="18">
        <f>('Bloom Cleaner Data'!X18+'OPERATING LEASES'!AY18)/('Bloom Cleaner Data'!X18+'OPERATING LEASES'!AY18+'Bloom Cleaner Data'!H18)</f>
        <v>0.43382431062497023</v>
      </c>
      <c r="IP18" s="18">
        <f>('Bloom Cleaner Data'!Y18+'OPERATING LEASES'!AZ18)/('Bloom Cleaner Data'!Y18+'OPERATING LEASES'!AZ18+'Bloom Cleaner Data'!I18)</f>
        <v>0.41766769585666652</v>
      </c>
      <c r="IQ18" s="18">
        <f>('Bloom Cleaner Data'!Z18+'OPERATING LEASES'!BA18)/('Bloom Cleaner Data'!Z18+'OPERATING LEASES'!BA18+'Bloom Cleaner Data'!J18)</f>
        <v>0.47515297084599867</v>
      </c>
      <c r="IR18" s="18">
        <f>('Bloom Cleaner Data'!AA18+'OPERATING LEASES'!BB18)/('Bloom Cleaner Data'!AA18+'OPERATING LEASES'!BB18+'Bloom Cleaner Data'!K18)</f>
        <v>0.49914071596366993</v>
      </c>
      <c r="IS18" s="18">
        <f>('Bloom Cleaner Data'!AB18+'OPERATING LEASES'!BC18)/('Bloom Cleaner Data'!AB18+'OPERATING LEASES'!BC18+'Bloom Cleaner Data'!L18)</f>
        <v>0.5117706146053288</v>
      </c>
      <c r="IT18" s="18">
        <f>('Bloom Cleaner Data'!AC18+'OPERATING LEASES'!BD18)/('Bloom Cleaner Data'!AC18+'OPERATING LEASES'!BD18+'Bloom Cleaner Data'!M18)</f>
        <v>0.54314892676892745</v>
      </c>
      <c r="IU18" s="18">
        <f>('Bloom Cleaner Data'!AD18+'OPERATING LEASES'!BE18)/('Bloom Cleaner Data'!AD18+'OPERATING LEASES'!BE18+'Bloom Cleaner Data'!N18)</f>
        <v>0.57822046192688159</v>
      </c>
      <c r="IV18" s="18">
        <f>('Bloom Cleaner Data'!AE18+'OPERATING LEASES'!BF18)/('Bloom Cleaner Data'!AE18+'OPERATING LEASES'!BF18+'Bloom Cleaner Data'!O18)</f>
        <v>0.63698100225567456</v>
      </c>
      <c r="IW18" s="18">
        <f>('Bloom Cleaner Data'!AF18+'OPERATING LEASES'!BG18)/('Bloom Cleaner Data'!AF18+'OPERATING LEASES'!BG18+'Bloom Cleaner Data'!P18)</f>
        <v>0.73270050902064932</v>
      </c>
      <c r="IX18" s="18">
        <f>('Bloom Cleaner Data'!AG18+'OPERATING LEASES'!BH18)/('Bloom Cleaner Data'!AG18+'OPERATING LEASES'!BH18+'Bloom Cleaner Data'!Q18)</f>
        <v>0.79833832198778942</v>
      </c>
      <c r="IY18" s="18">
        <f>('Bloom Cleaner Data'!AH18+'OPERATING LEASES'!BI18)/('Bloom Cleaner Data'!AH18+'OPERATING LEASES'!BI18+'Bloom Cleaner Data'!R18)</f>
        <v>0.63323863537070213</v>
      </c>
      <c r="IZ18" s="15"/>
      <c r="JA18" s="10">
        <f t="shared" si="72"/>
        <v>0.5495689942142129</v>
      </c>
      <c r="JB18" s="10">
        <f t="shared" si="73"/>
        <v>0.40637993517884302</v>
      </c>
      <c r="JC18" s="10">
        <f t="shared" si="39"/>
        <v>3.1308148362253818E-2</v>
      </c>
      <c r="JD18" s="10">
        <f t="shared" si="40"/>
        <v>6.0410020577161203E-2</v>
      </c>
      <c r="JE18" s="7"/>
      <c r="JF18" s="485">
        <f t="shared" si="74"/>
        <v>0.63924570752732102</v>
      </c>
      <c r="JG18" s="452">
        <f t="shared" si="41"/>
        <v>0.67152373511206342</v>
      </c>
      <c r="JH18" s="452">
        <f t="shared" si="41"/>
        <v>0.81904644794922177</v>
      </c>
      <c r="JI18" s="452">
        <f t="shared" si="41"/>
        <v>0.76663255115342976</v>
      </c>
      <c r="JJ18" s="452">
        <f t="shared" si="41"/>
        <v>0.76623620329556186</v>
      </c>
      <c r="JK18" s="452">
        <f t="shared" si="41"/>
        <v>0.7172325713083969</v>
      </c>
      <c r="JL18" s="452">
        <f t="shared" si="41"/>
        <v>0.90531706278664803</v>
      </c>
      <c r="JM18" s="452">
        <f t="shared" si="41"/>
        <v>0.99656876067303668</v>
      </c>
      <c r="JN18" s="452">
        <f t="shared" si="41"/>
        <v>1.048217559030429</v>
      </c>
      <c r="JO18" s="452">
        <f t="shared" si="41"/>
        <v>1.1888971233612622</v>
      </c>
      <c r="JP18" s="452">
        <f t="shared" si="41"/>
        <v>1.3709068594661011</v>
      </c>
      <c r="JQ18" s="452">
        <f t="shared" si="41"/>
        <v>1.754676769573092</v>
      </c>
      <c r="JR18" s="452">
        <f t="shared" si="41"/>
        <v>2.7411219764621686</v>
      </c>
      <c r="JS18" s="452">
        <f t="shared" si="41"/>
        <v>3.9588003524370663</v>
      </c>
      <c r="JT18" s="486">
        <f t="shared" si="41"/>
        <v>1.7265685441288092</v>
      </c>
      <c r="JU18" s="15"/>
      <c r="JV18" s="10">
        <f t="shared" si="75"/>
        <v>1.4430940601250173</v>
      </c>
      <c r="JW18" s="10">
        <f t="shared" si="76"/>
        <v>1.1080227482237379</v>
      </c>
      <c r="JX18" s="10">
        <f t="shared" si="77"/>
        <v>0.18705200887392048</v>
      </c>
      <c r="JY18" s="10">
        <f t="shared" si="78"/>
        <v>0.14892177271262927</v>
      </c>
      <c r="JZ18" s="7"/>
      <c r="KA18" s="15">
        <f>'Bloom Cleaner Data'!T18/'Bloom Cleaner Data'!BU18*'Bloom Cleaner Data'!DA18</f>
        <v>2.0568221488994447</v>
      </c>
      <c r="KB18" s="15">
        <f>'Bloom Cleaner Data'!U18/'Bloom Cleaner Data'!BV18*'Bloom Cleaner Data'!DB18</f>
        <v>2.1109661164099336</v>
      </c>
      <c r="KC18" s="15">
        <f>'Bloom Cleaner Data'!V18/'Bloom Cleaner Data'!BW18*'Bloom Cleaner Data'!DC18</f>
        <v>2.3079630568766856</v>
      </c>
      <c r="KD18" s="15">
        <f>'Bloom Cleaner Data'!W18/'Bloom Cleaner Data'!BX18*'Bloom Cleaner Data'!DD18</f>
        <v>2.2459595200975366</v>
      </c>
      <c r="KE18" s="15">
        <f>'Bloom Cleaner Data'!X18/'Bloom Cleaner Data'!BY18*'Bloom Cleaner Data'!DE18</f>
        <v>2.1391597234011255</v>
      </c>
      <c r="KF18" s="15">
        <f>'Bloom Cleaner Data'!Y18/'Bloom Cleaner Data'!BZ18*'Bloom Cleaner Data'!DF18</f>
        <v>2.1488343235611969</v>
      </c>
      <c r="KG18" s="15">
        <f>'Bloom Cleaner Data'!Z18/'Bloom Cleaner Data'!CA18*'Bloom Cleaner Data'!DG18</f>
        <v>2.2965816604237159</v>
      </c>
      <c r="KH18" s="15">
        <f>'Bloom Cleaner Data'!AA18/'Bloom Cleaner Data'!CB18*'Bloom Cleaner Data'!DH18</f>
        <v>2.4889085203304315</v>
      </c>
      <c r="KI18" s="15">
        <f>'Bloom Cleaner Data'!AB18/'Bloom Cleaner Data'!CC18*'Bloom Cleaner Data'!DI18</f>
        <v>2.3567312544764816</v>
      </c>
      <c r="KJ18" s="15">
        <f>'Bloom Cleaner Data'!AC18/'Bloom Cleaner Data'!CD18*'Bloom Cleaner Data'!DJ18</f>
        <v>2.4443799192394162</v>
      </c>
      <c r="KK18" s="15">
        <f>'Bloom Cleaner Data'!AD18/'Bloom Cleaner Data'!CE18*'Bloom Cleaner Data'!DK18</f>
        <v>2.6674137190196179</v>
      </c>
      <c r="KL18" s="15">
        <f>'Bloom Cleaner Data'!AE18/'Bloom Cleaner Data'!CF18*'Bloom Cleaner Data'!DL18</f>
        <v>2.7241427605483017</v>
      </c>
      <c r="KM18" s="15">
        <f>'Bloom Cleaner Data'!AF18/'Bloom Cleaner Data'!CG18*'Bloom Cleaner Data'!DM18</f>
        <v>2.7514646322447258</v>
      </c>
      <c r="KN18" s="15">
        <f>'Bloom Cleaner Data'!AG18/'Bloom Cleaner Data'!CH18*'Bloom Cleaner Data'!DN18</f>
        <v>2.9012936358060779</v>
      </c>
      <c r="KO18" s="15">
        <f>'Bloom Cleaner Data'!AH18/'Bloom Cleaner Data'!CI18*'Bloom Cleaner Data'!DO18</f>
        <v>2.2729187169746634</v>
      </c>
      <c r="KP18" s="15"/>
      <c r="KQ18" s="15">
        <f t="shared" si="79"/>
        <v>2.6418923283418221</v>
      </c>
      <c r="KR18" s="15">
        <f t="shared" si="80"/>
        <v>2.6624549363934422</v>
      </c>
      <c r="KS18" s="15">
        <f t="shared" si="81"/>
        <v>2.4419808802307674</v>
      </c>
      <c r="KT18" s="18">
        <f t="shared" si="82"/>
        <v>-1.5184099155142836E-2</v>
      </c>
      <c r="KU18" s="18"/>
      <c r="KV18" s="1694" t="s">
        <v>44</v>
      </c>
      <c r="KW18" s="506">
        <f>('Bloom Cleaner Data'!T18+'OPERATING LEASES'!AU18)/DK18</f>
        <v>2.2460576460396591</v>
      </c>
      <c r="KX18" s="506">
        <f>('Bloom Cleaner Data'!U18+'OPERATING LEASES'!AV18)/DL18</f>
        <v>2.292248334584198</v>
      </c>
      <c r="KY18" s="506">
        <f>('Bloom Cleaner Data'!V18+'OPERATING LEASES'!AW18)/DM18</f>
        <v>2.4759242556130907</v>
      </c>
      <c r="KZ18" s="506">
        <f>('Bloom Cleaner Data'!W18+'OPERATING LEASES'!AX18)/DN18</f>
        <v>2.4128009279632687</v>
      </c>
      <c r="LA18" s="506">
        <f>('Bloom Cleaner Data'!X18+'OPERATING LEASES'!AY18)/DO18</f>
        <v>2.3070990266030713</v>
      </c>
      <c r="LB18" s="506">
        <f>('Bloom Cleaner Data'!Y18+'OPERATING LEASES'!AZ18)/DP18</f>
        <v>2.3269330707749947</v>
      </c>
      <c r="LC18" s="506">
        <f>('Bloom Cleaner Data'!Z18+'OPERATING LEASES'!BA18)/DQ18</f>
        <v>2.4795219098937151</v>
      </c>
      <c r="LD18" s="506">
        <f>('Bloom Cleaner Data'!AA18+'OPERATING LEASES'!BB18)/DR18</f>
        <v>2.6768872413339531</v>
      </c>
      <c r="LE18" s="506">
        <f>('Bloom Cleaner Data'!AB18+'OPERATING LEASES'!BC18)/DS18</f>
        <v>2.561497889097454</v>
      </c>
      <c r="LF18" s="506">
        <f>('Bloom Cleaner Data'!AC18+'OPERATING LEASES'!BD18)/DT18</f>
        <v>2.6556185999757402</v>
      </c>
      <c r="LG18" s="506">
        <f>('Bloom Cleaner Data'!AD18+'OPERATING LEASES'!BE18)/DU18</f>
        <v>2.8775722363857463</v>
      </c>
      <c r="LH18" s="506">
        <f>('Bloom Cleaner Data'!AE18+'OPERATING LEASES'!BF18)/DV18</f>
        <v>2.9398714313305048</v>
      </c>
      <c r="LI18" s="506">
        <f>('Bloom Cleaner Data'!AF18+'OPERATING LEASES'!BG18)/DW18</f>
        <v>2.9797609965187557</v>
      </c>
      <c r="LJ18" s="506">
        <f>('Bloom Cleaner Data'!AG18+'OPERATING LEASES'!BH18)/DX18</f>
        <v>3.1263879754075297</v>
      </c>
      <c r="LK18" s="506">
        <f>('Bloom Cleaner Data'!AH18+'OPERATING LEASES'!BI18)/DY18</f>
        <v>2.5466878830879209</v>
      </c>
      <c r="LL18" s="15"/>
      <c r="LM18" s="15">
        <f t="shared" si="83"/>
        <v>2.8842789516714018</v>
      </c>
      <c r="LN18" s="15">
        <f t="shared" si="84"/>
        <v>2.8981770715861779</v>
      </c>
      <c r="LO18" s="15">
        <f t="shared" si="85"/>
        <v>0.23572213519273566</v>
      </c>
      <c r="LP18" s="15">
        <f t="shared" si="86"/>
        <v>2.643581803383519</v>
      </c>
      <c r="LQ18" s="18">
        <f t="shared" si="87"/>
        <v>2.8580691559688957E-2</v>
      </c>
      <c r="LR18" s="15">
        <f t="shared" si="88"/>
        <v>0.20160092315275158</v>
      </c>
      <c r="LS18" s="18"/>
      <c r="LT18" s="15">
        <f t="shared" si="89"/>
        <v>2.2460576460396591</v>
      </c>
      <c r="LU18" s="15">
        <f t="shared" si="90"/>
        <v>2.292248334584198</v>
      </c>
      <c r="LV18" s="15">
        <f t="shared" si="91"/>
        <v>2.4759242556130907</v>
      </c>
      <c r="LW18" s="15">
        <f t="shared" si="92"/>
        <v>2.4128009279632687</v>
      </c>
      <c r="LX18" s="15">
        <f t="shared" si="93"/>
        <v>2.3070990266030713</v>
      </c>
      <c r="LY18" s="15">
        <f t="shared" si="94"/>
        <v>2.3269330707749947</v>
      </c>
      <c r="LZ18" s="15">
        <f t="shared" si="95"/>
        <v>2.4795219098937151</v>
      </c>
      <c r="MA18" s="15">
        <f t="shared" si="96"/>
        <v>2.6768872413339531</v>
      </c>
      <c r="MB18" s="15">
        <f t="shared" si="97"/>
        <v>2.561497889097454</v>
      </c>
      <c r="MC18" s="15">
        <f t="shared" si="98"/>
        <v>2.6556185999757402</v>
      </c>
      <c r="MD18" s="15">
        <f t="shared" si="99"/>
        <v>2.8775722363857463</v>
      </c>
      <c r="ME18" s="15">
        <f t="shared" si="100"/>
        <v>2.9398714313305048</v>
      </c>
      <c r="MF18" s="15">
        <f t="shared" si="101"/>
        <v>2.9797609965187557</v>
      </c>
      <c r="MG18" s="15">
        <f t="shared" si="102"/>
        <v>3.1263879754075297</v>
      </c>
      <c r="MH18" s="15">
        <f t="shared" si="103"/>
        <v>2.5466878830879209</v>
      </c>
      <c r="MI18" s="15"/>
      <c r="MJ18" s="15">
        <f t="shared" si="104"/>
        <v>2.8842789516714018</v>
      </c>
      <c r="MK18" s="15">
        <f t="shared" si="105"/>
        <v>2.8981770715861779</v>
      </c>
      <c r="ML18" s="506">
        <f t="shared" si="106"/>
        <v>2.643581803383519</v>
      </c>
      <c r="MM18" s="10">
        <f t="shared" si="107"/>
        <v>2.8580691559688957E-2</v>
      </c>
      <c r="MN18" s="18"/>
      <c r="MO18" s="15">
        <f>('Bloom Cleaner Data'!T18+'Bloom Cleaner Data'!EY18)/'Bloom Cleaner Data'!GV18</f>
        <v>2.5749279247716714</v>
      </c>
      <c r="MP18" s="15">
        <f>('Bloom Cleaner Data'!U18+'Bloom Cleaner Data'!EZ18)/'Bloom Cleaner Data'!GW18</f>
        <v>2.5587984509371577</v>
      </c>
      <c r="MQ18" s="15">
        <f>('Bloom Cleaner Data'!V18+'Bloom Cleaner Data'!FA18)/'Bloom Cleaner Data'!GX18</f>
        <v>2.6114257739854714</v>
      </c>
      <c r="MR18" s="15">
        <f>('Bloom Cleaner Data'!W18+'Bloom Cleaner Data'!FB18)/'Bloom Cleaner Data'!GY18</f>
        <v>2.492089544669053</v>
      </c>
      <c r="MS18" s="15">
        <f>('Bloom Cleaner Data'!X18+'Bloom Cleaner Data'!FC18)/'Bloom Cleaner Data'!GZ18</f>
        <v>2.289452403302024</v>
      </c>
      <c r="MT18" s="15">
        <f>('Bloom Cleaner Data'!Y18+'Bloom Cleaner Data'!FD18)/'Bloom Cleaner Data'!HA18</f>
        <v>2.3229395163722661</v>
      </c>
      <c r="MU18" s="15">
        <f>('Bloom Cleaner Data'!Z18+'Bloom Cleaner Data'!FE18)/'Bloom Cleaner Data'!HB18</f>
        <v>2.5069098431269063</v>
      </c>
      <c r="MV18" s="15">
        <f>('Bloom Cleaner Data'!AA18+'Bloom Cleaner Data'!FF18)/'Bloom Cleaner Data'!HC18</f>
        <v>2.6134021997110541</v>
      </c>
      <c r="MW18" s="15">
        <f>('Bloom Cleaner Data'!AB18+'Bloom Cleaner Data'!FG18)/'Bloom Cleaner Data'!HD18</f>
        <v>2.5494114049374379</v>
      </c>
      <c r="MX18" s="15">
        <f>('Bloom Cleaner Data'!AC18+'Bloom Cleaner Data'!FH18)/'Bloom Cleaner Data'!HE18</f>
        <v>2.6977778375569046</v>
      </c>
      <c r="MY18" s="15">
        <f>('Bloom Cleaner Data'!AD18+'Bloom Cleaner Data'!FI18)/'Bloom Cleaner Data'!HF18</f>
        <v>2.8481088232013341</v>
      </c>
      <c r="MZ18" s="15">
        <f>('Bloom Cleaner Data'!AE18+'Bloom Cleaner Data'!FJ18)/'Bloom Cleaner Data'!HG18</f>
        <v>3.0370340810015684</v>
      </c>
      <c r="NA18" s="15">
        <f>('Bloom Cleaner Data'!AF18+'Bloom Cleaner Data'!FK18)/'Bloom Cleaner Data'!HH18</f>
        <v>3.0320660213856234</v>
      </c>
      <c r="NB18" s="15">
        <f>('Bloom Cleaner Data'!AG18+'Bloom Cleaner Data'!FL18)/'Bloom Cleaner Data'!HI18</f>
        <v>3.1741263499880126</v>
      </c>
      <c r="NC18" s="15">
        <f>('Bloom Cleaner Data'!AH18+'Bloom Cleaner Data'!FM18)/'Bloom Cleaner Data'!HJ18</f>
        <v>3.2803482615278523</v>
      </c>
      <c r="ND18" s="15"/>
      <c r="NE18" s="15">
        <f t="shared" si="43"/>
        <v>1.0074295445531889</v>
      </c>
      <c r="NF18" s="15">
        <f t="shared" si="108"/>
        <v>3.1621802109671626</v>
      </c>
      <c r="NG18" s="15">
        <f t="shared" si="44"/>
        <v>0.52028788262534054</v>
      </c>
      <c r="NH18" s="15">
        <f t="shared" si="109"/>
        <v>3.1308936784757639</v>
      </c>
      <c r="NI18" s="15">
        <f t="shared" si="110"/>
        <v>2.727314773905039</v>
      </c>
      <c r="NJ18" s="18">
        <f t="shared" si="111"/>
        <v>0.25615221164088214</v>
      </c>
      <c r="NK18" s="15">
        <f t="shared" si="45"/>
        <v>0.28533389367427153</v>
      </c>
      <c r="NL18" s="2818"/>
      <c r="NM18" s="1694" t="s">
        <v>44</v>
      </c>
      <c r="NN18" s="15">
        <f>KW18+'Bloom Cleaner Data'!EY18/CALCULATIONS!DK18</f>
        <v>2.7361423463174237</v>
      </c>
      <c r="NO18" s="15">
        <f>KX18+'Bloom Cleaner Data'!EZ18/CALCULATIONS!DL18</f>
        <v>2.7175688696098526</v>
      </c>
      <c r="NP18" s="15">
        <f>KY18+'Bloom Cleaner Data'!FA18/CALCULATIONS!DM18</f>
        <v>2.7651976963991203</v>
      </c>
      <c r="NQ18" s="15">
        <f>KZ18+'Bloom Cleaner Data'!FB18/CALCULATIONS!DN18</f>
        <v>2.648300434358712</v>
      </c>
      <c r="NR18" s="15">
        <f>LA18+'Bloom Cleaner Data'!FC18/CALCULATIONS!DO18</f>
        <v>2.4513968449314936</v>
      </c>
      <c r="NS18" s="15">
        <f>LB18+'Bloom Cleaner Data'!FD18/CALCULATIONS!DP18</f>
        <v>2.4936564909331129</v>
      </c>
      <c r="NT18" s="15">
        <f>LC18+'Bloom Cleaner Data'!FE18/CALCULATIONS!DQ18</f>
        <v>2.6803561783764858</v>
      </c>
      <c r="NU18" s="15">
        <f>LD18+'Bloom Cleaner Data'!FF18/CALCULATIONS!DR18</f>
        <v>2.795319019071945</v>
      </c>
      <c r="NV18" s="15">
        <f>LE18+'Bloom Cleaner Data'!FG18/CALCULATIONS!DS18</f>
        <v>2.7442964109048678</v>
      </c>
      <c r="NW18" s="15">
        <f>LF18+'Bloom Cleaner Data'!FH18/CALCULATIONS!DT18</f>
        <v>2.8953093179639362</v>
      </c>
      <c r="NX18" s="15">
        <f>LG18+'Bloom Cleaner Data'!FI18/CALCULATIONS!DU18</f>
        <v>3.0479538307136105</v>
      </c>
      <c r="NY18" s="15">
        <f>LH18+'Bloom Cleaner Data'!FJ18/CALCULATIONS!DV18</f>
        <v>3.2341436917036344</v>
      </c>
      <c r="NZ18" s="15">
        <f>LI18+'Bloom Cleaner Data'!FK18/CALCULATIONS!DW18</f>
        <v>3.242557851464646</v>
      </c>
      <c r="OA18" s="15">
        <f>LJ18+'Bloom Cleaner Data'!FL18/CALCULATIONS!DX18</f>
        <v>3.3814102222686548</v>
      </c>
      <c r="OB18" s="15">
        <f>LK18+'Bloom Cleaner Data'!FM18/CALCULATIONS!DY18</f>
        <v>3.4864609329129088</v>
      </c>
      <c r="OC18" s="15"/>
      <c r="OD18" s="15">
        <f t="shared" si="46"/>
        <v>0.93977304982498788</v>
      </c>
      <c r="OE18" s="15">
        <f t="shared" si="112"/>
        <v>3.3701430022154035</v>
      </c>
      <c r="OF18" s="15">
        <f t="shared" si="47"/>
        <v>0.48586405054400172</v>
      </c>
      <c r="OG18" s="15">
        <f t="shared" si="113"/>
        <v>3.3361431745874608</v>
      </c>
      <c r="OH18" s="15">
        <f t="shared" si="114"/>
        <v>2.9127968401540869</v>
      </c>
      <c r="OI18" s="18">
        <f t="shared" si="115"/>
        <v>0.26083604707649938</v>
      </c>
      <c r="OJ18" s="15">
        <f t="shared" si="48"/>
        <v>0.26921503677056791</v>
      </c>
      <c r="OK18" s="15"/>
      <c r="OL18" s="13">
        <f>'Bloom Cleaner Data'!GF18+('Bloom Cleaner Data'!T18+'Bloom Cleaner Data'!EY18)+'Bloom Cleaner Data'!CK18</f>
        <v>17213</v>
      </c>
      <c r="OM18" s="13">
        <f>'Bloom Cleaner Data'!GG18+('Bloom Cleaner Data'!U18+'Bloom Cleaner Data'!EZ18)+'Bloom Cleaner Data'!CL18</f>
        <v>17700</v>
      </c>
      <c r="ON18" s="13">
        <f>'Bloom Cleaner Data'!GH18+('Bloom Cleaner Data'!V18+'Bloom Cleaner Data'!FA18)+'Bloom Cleaner Data'!CM18</f>
        <v>17445</v>
      </c>
      <c r="OO18" s="13">
        <f>'Bloom Cleaner Data'!GI18+('Bloom Cleaner Data'!W18+'Bloom Cleaner Data'!FB18)+'Bloom Cleaner Data'!CN18</f>
        <v>16838</v>
      </c>
      <c r="OP18" s="13">
        <f>'Bloom Cleaner Data'!GJ18+('Bloom Cleaner Data'!X18+'Bloom Cleaner Data'!FC18)+'Bloom Cleaner Data'!CO18</f>
        <v>16037</v>
      </c>
      <c r="OQ18" s="13">
        <f>'Bloom Cleaner Data'!GK18+('Bloom Cleaner Data'!Y18+'Bloom Cleaner Data'!FD18)+'Bloom Cleaner Data'!CP18</f>
        <v>16514</v>
      </c>
      <c r="OR18" s="13">
        <f>'Bloom Cleaner Data'!GL18+('Bloom Cleaner Data'!Z18+'Bloom Cleaner Data'!FE18)+'Bloom Cleaner Data'!CQ18</f>
        <v>16448</v>
      </c>
      <c r="OS18" s="13">
        <f>'Bloom Cleaner Data'!GM18+('Bloom Cleaner Data'!AA18+'Bloom Cleaner Data'!FF18)+'Bloom Cleaner Data'!CR18</f>
        <v>16216</v>
      </c>
      <c r="OT18" s="13">
        <f>'Bloom Cleaner Data'!GN18+('Bloom Cleaner Data'!AB18+'Bloom Cleaner Data'!FG18)+'Bloom Cleaner Data'!CS18</f>
        <v>16029</v>
      </c>
      <c r="OU18" s="13">
        <f>'Bloom Cleaner Data'!GO18+('Bloom Cleaner Data'!AC18+'Bloom Cleaner Data'!FH18)+'Bloom Cleaner Data'!CT18</f>
        <v>16496</v>
      </c>
      <c r="OV18" s="13">
        <f>'Bloom Cleaner Data'!GP18+('Bloom Cleaner Data'!AD18+'Bloom Cleaner Data'!FI18)+'Bloom Cleaner Data'!CU18</f>
        <v>16403</v>
      </c>
      <c r="OW18" s="13">
        <f>'Bloom Cleaner Data'!GQ18+('Bloom Cleaner Data'!AE18+'Bloom Cleaner Data'!FJ18)+'Bloom Cleaner Data'!CV18</f>
        <v>17167</v>
      </c>
      <c r="OX18" s="13">
        <f>'Bloom Cleaner Data'!GR18+('Bloom Cleaner Data'!AF18+'Bloom Cleaner Data'!FK18)+'Bloom Cleaner Data'!CW18</f>
        <v>16408</v>
      </c>
      <c r="OY18" s="13">
        <f>'Bloom Cleaner Data'!GS18+('Bloom Cleaner Data'!AG18+'Bloom Cleaner Data'!FL18)+'Bloom Cleaner Data'!CX18</f>
        <v>16624</v>
      </c>
      <c r="OZ18" s="13">
        <f>'Bloom Cleaner Data'!GT18+('Bloom Cleaner Data'!AH18+'Bloom Cleaner Data'!FM18)+'Bloom Cleaner Data'!CY18</f>
        <v>19799</v>
      </c>
      <c r="PA18" s="166"/>
      <c r="PB18" s="1694" t="s">
        <v>44</v>
      </c>
      <c r="PC18" s="947">
        <f>('Bloom Cleaner Data'!T18+'Bloom Cleaner Data'!EY18+'OPERATING LEASES'!BL18)/CALCULATIONS!OL18</f>
        <v>0.79392651733324482</v>
      </c>
      <c r="PD18" s="947">
        <f>('Bloom Cleaner Data'!U18+'Bloom Cleaner Data'!EZ18+'OPERATING LEASES'!BM18)/CALCULATIONS!OM18</f>
        <v>0.77923829701372072</v>
      </c>
      <c r="PE18" s="947">
        <f>('Bloom Cleaner Data'!V18+'Bloom Cleaner Data'!FA18+'OPERATING LEASES'!BN18)/CALCULATIONS!ON18</f>
        <v>0.81514351226303072</v>
      </c>
      <c r="PF18" s="947">
        <f>('Bloom Cleaner Data'!W18+'Bloom Cleaner Data'!FB18+'OPERATING LEASES'!BO18)/CALCULATIONS!OO18</f>
        <v>0.81730842651824953</v>
      </c>
      <c r="PG18" s="947">
        <f>('Bloom Cleaner Data'!X18+'Bloom Cleaner Data'!FC18+'OPERATING LEASES'!BP18)/CALCULATIONS!OP18</f>
        <v>0.7959406372762986</v>
      </c>
      <c r="PH18" s="947">
        <f>('Bloom Cleaner Data'!Y18+'Bloom Cleaner Data'!FD18+'OPERATING LEASES'!BQ18)/CALCULATIONS!OQ18</f>
        <v>0.77722311372169073</v>
      </c>
      <c r="PI18" s="947">
        <f>('Bloom Cleaner Data'!Z18+'Bloom Cleaner Data'!FE18+'OPERATING LEASES'!BR18)/CALCULATIONS!OR18</f>
        <v>0.82986533317120625</v>
      </c>
      <c r="PJ18" s="947">
        <f>('Bloom Cleaner Data'!AA18+'Bloom Cleaner Data'!FF18+'OPERATING LEASES'!BS18)/CALCULATIONS!OS18</f>
        <v>0.85133124691662554</v>
      </c>
      <c r="PK18" s="947">
        <f>('Bloom Cleaner Data'!AB18+'Bloom Cleaner Data'!FG18+'OPERATING LEASES'!BT18)/CALCULATIONS!OT18</f>
        <v>0.83453428161457355</v>
      </c>
      <c r="PL18" s="947">
        <f>('Bloom Cleaner Data'!AC18+'Bloom Cleaner Data'!FH18+'OPERATING LEASES'!BU18)/CALCULATIONS!OU18</f>
        <v>0.83504713263821528</v>
      </c>
      <c r="PM18" s="947">
        <f>('Bloom Cleaner Data'!AD18+'Bloom Cleaner Data'!FI18+'OPERATING LEASES'!BV18)/CALCULATIONS!OV18</f>
        <v>0.86161830153020791</v>
      </c>
      <c r="PN18" s="947">
        <f>('Bloom Cleaner Data'!AE18+'Bloom Cleaner Data'!FJ18+'OPERATING LEASES'!BW18)/CALCULATIONS!OW18</f>
        <v>0.86289465253101882</v>
      </c>
      <c r="PO18" s="947">
        <f>('Bloom Cleaner Data'!AF18+'Bloom Cleaner Data'!FK18+'OPERATING LEASES'!BX18)/CALCULATIONS!OX18</f>
        <v>0.86582764505119458</v>
      </c>
      <c r="PP18" s="947">
        <f>('Bloom Cleaner Data'!AG18+'Bloom Cleaner Data'!FL18+'OPERATING LEASES'!BY18)/CALCULATIONS!OY18</f>
        <v>0.86757098171318581</v>
      </c>
      <c r="PQ18" s="947">
        <f>('Bloom Cleaner Data'!AH18+'Bloom Cleaner Data'!FM18+'OPERATING LEASES'!BZ18)/CALCULATIONS!OZ18</f>
        <v>0.73026415475529072</v>
      </c>
      <c r="PR18" s="947"/>
      <c r="PS18" s="18">
        <f t="shared" si="116"/>
        <v>0.8212209271732237</v>
      </c>
      <c r="PT18" s="18">
        <f t="shared" si="117"/>
        <v>0.83163935851267257</v>
      </c>
      <c r="PU18" s="18">
        <f t="shared" si="118"/>
        <v>0.82650533997698372</v>
      </c>
      <c r="PV18" s="10">
        <f t="shared" si="119"/>
        <v>-0.10412811514882193</v>
      </c>
      <c r="PW18" s="10"/>
      <c r="PX18" s="506">
        <f>'Bloom Cleaner Data'!D18/'Bloom Cleaner Data'!GF18</f>
        <v>5.0209963551158552</v>
      </c>
      <c r="PY18" s="506">
        <f>'Bloom Cleaner Data'!E18/'Bloom Cleaner Data'!GG18</f>
        <v>4.5376106382978723</v>
      </c>
      <c r="PZ18" s="506">
        <f>'Bloom Cleaner Data'!F18/'Bloom Cleaner Data'!GH18</f>
        <v>4.8693062338408506</v>
      </c>
      <c r="QA18" s="506">
        <f>'Bloom Cleaner Data'!G18/'Bloom Cleaner Data'!GI18</f>
        <v>5.3722550737729593</v>
      </c>
      <c r="QB18" s="506">
        <f>'Bloom Cleaner Data'!H18/'Bloom Cleaner Data'!GJ18</f>
        <v>4.9065428285714283</v>
      </c>
      <c r="QC18" s="506">
        <f>'Bloom Cleaner Data'!I18/'Bloom Cleaner Data'!GK18</f>
        <v>4.6873135748915544</v>
      </c>
      <c r="QD18" s="506">
        <f>'Bloom Cleaner Data'!J18/'Bloom Cleaner Data'!GL18</f>
        <v>5.0109060477280156</v>
      </c>
      <c r="QE18" s="506">
        <f>'Bloom Cleaner Data'!K18/'Bloom Cleaner Data'!GM18</f>
        <v>5.4667368086696557</v>
      </c>
      <c r="QF18" s="506">
        <f>'Bloom Cleaner Data'!L18/'Bloom Cleaner Data'!GN18</f>
        <v>4.5168687030716725</v>
      </c>
      <c r="QG18" s="506">
        <f>'Bloom Cleaner Data'!M18/'Bloom Cleaner Data'!GO18</f>
        <v>3.926570468905886</v>
      </c>
      <c r="QH18" s="506">
        <f>'Bloom Cleaner Data'!N18/'Bloom Cleaner Data'!GP18</f>
        <v>4.2186364664586584</v>
      </c>
      <c r="QI18" s="506">
        <f>'Bloom Cleaner Data'!O18/'Bloom Cleaner Data'!GQ18</f>
        <v>3.2047562876506026</v>
      </c>
      <c r="QJ18" s="506">
        <f>'Bloom Cleaner Data'!P18/'Bloom Cleaner Data'!GR18</f>
        <v>2.1615349451442505</v>
      </c>
      <c r="QK18" s="506">
        <f>'Bloom Cleaner Data'!Q18/'Bloom Cleaner Data'!GS18</f>
        <v>1.5250974421437271</v>
      </c>
      <c r="QL18" s="506">
        <f>'Bloom Cleaner Data'!R18/'Bloom Cleaner Data'!GT18</f>
        <v>1.2175677021960365</v>
      </c>
      <c r="QM18" s="506"/>
      <c r="QN18" s="506">
        <f t="shared" si="120"/>
        <v>3.9295455833111754</v>
      </c>
      <c r="QO18" s="10">
        <f t="shared" si="121"/>
        <v>-0.74995047677754423</v>
      </c>
      <c r="QP18" s="506">
        <f t="shared" si="122"/>
        <v>4.1514857079758016</v>
      </c>
      <c r="QQ18" s="18"/>
      <c r="QR18" s="506">
        <f>'Bloom Cleaner Data'!GF18/CALCULATIONS!DK18</f>
        <v>0.69978265195795297</v>
      </c>
      <c r="QS18" s="506">
        <f>'Bloom Cleaner Data'!GG18/CALCULATIONS!DL18</f>
        <v>0.75226883636884267</v>
      </c>
      <c r="QT18" s="506">
        <f>'Bloom Cleaner Data'!GH18/CALCULATIONS!DM18</f>
        <v>0.62081433253771157</v>
      </c>
      <c r="QU18" s="506">
        <f>'Bloom Cleaner Data'!GI18/CALCULATIONS!DN18</f>
        <v>0.58583809793203556</v>
      </c>
      <c r="QV18" s="506">
        <f>'Bloom Cleaner Data'!GJ18/CALCULATIONS!DO18</f>
        <v>0.61366022375392137</v>
      </c>
      <c r="QW18" s="506">
        <f>'Bloom Cleaner Data'!GK18/CALCULATIONS!DP18</f>
        <v>0.69214945296574759</v>
      </c>
      <c r="QX18" s="506">
        <f>'Bloom Cleaner Data'!GL18/CALCULATIONS!DQ18</f>
        <v>0.54657653673380346</v>
      </c>
      <c r="QY18" s="506">
        <f>'Bloom Cleaner Data'!GM18/CALCULATIONS!DR18</f>
        <v>0.49135416624320422</v>
      </c>
      <c r="QZ18" s="506">
        <f>'Bloom Cleaner Data'!GN18/CALCULATIONS!DS18</f>
        <v>0.54100976656133604</v>
      </c>
      <c r="RA18" s="506">
        <f>'Bloom Cleaner Data'!GO18/CALCULATIONS!DT18</f>
        <v>0.56886344829558377</v>
      </c>
      <c r="RB18" s="506">
        <f>'Bloom Cleaner Data'!GP18/CALCULATIONS!DU18</f>
        <v>0.49756082899389992</v>
      </c>
      <c r="RC18" s="506">
        <f>'Bloom Cleaner Data'!GQ18/CALCULATIONS!DV18</f>
        <v>0.52280075153915173</v>
      </c>
      <c r="RD18" s="506">
        <f>'Bloom Cleaner Data'!GR18/CALCULATIONS!DW18</f>
        <v>0.50291062210096105</v>
      </c>
      <c r="RE18" s="506">
        <f>'Bloom Cleaner Data'!GS18/CALCULATIONS!DX18</f>
        <v>0.51782340809476601</v>
      </c>
      <c r="RF18" s="506">
        <f>'Bloom Cleaner Data'!GT18/CALCULATIONS!DY18</f>
        <v>1.2114312662991384</v>
      </c>
      <c r="RG18" s="506"/>
      <c r="RH18" s="506">
        <f t="shared" si="123"/>
        <v>0.6086763770808663</v>
      </c>
      <c r="RI18" s="506">
        <f t="shared" si="124"/>
        <v>0.60003675498464937</v>
      </c>
      <c r="RJ18" s="18"/>
      <c r="RK18" s="506">
        <f>'Bloom Cleaner Data'!GF18/($RK$1*DK18+(1-$RK$1)*'Bloom Cleaner Data'!GV18)</f>
        <v>0.69978265195795297</v>
      </c>
      <c r="RL18" s="506">
        <f>'Bloom Cleaner Data'!GG18/($RK$1*DL18+(1-$RK$1)*'Bloom Cleaner Data'!GW18)</f>
        <v>0.75226883636884267</v>
      </c>
      <c r="RM18" s="506">
        <f>'Bloom Cleaner Data'!GH18/($RK$1*DM18+(1-$RK$1)*'Bloom Cleaner Data'!GX18)</f>
        <v>0.62081433253771157</v>
      </c>
      <c r="RN18" s="506">
        <f>'Bloom Cleaner Data'!GI18/($RK$1*DN18+(1-$RK$1)*'Bloom Cleaner Data'!GY18)</f>
        <v>0.58583809793203556</v>
      </c>
      <c r="RO18" s="506">
        <f>'Bloom Cleaner Data'!GJ18/($RK$1*DO18+(1-$RK$1)*'Bloom Cleaner Data'!GZ18)</f>
        <v>0.61366022375392137</v>
      </c>
      <c r="RP18" s="506">
        <f>'Bloom Cleaner Data'!GK18/($RK$1*DP18+(1-$RK$1)*'Bloom Cleaner Data'!HA18)</f>
        <v>0.69214945296574759</v>
      </c>
      <c r="RQ18" s="506">
        <f>'Bloom Cleaner Data'!GL18/($RK$1*DQ18+(1-$RK$1)*'Bloom Cleaner Data'!HB18)</f>
        <v>0.54657653673380346</v>
      </c>
      <c r="RR18" s="506">
        <f>'Bloom Cleaner Data'!GM18/($RK$1*DR18+(1-$RK$1)*'Bloom Cleaner Data'!HC18)</f>
        <v>0.49135416624320422</v>
      </c>
      <c r="RS18" s="506">
        <f>'Bloom Cleaner Data'!GN18/($RK$1*DS18+(1-$RK$1)*'Bloom Cleaner Data'!HD18)</f>
        <v>0.54100976656133604</v>
      </c>
      <c r="RT18" s="506">
        <f>'Bloom Cleaner Data'!GO18/($RK$1*DT18+(1-$RK$1)*'Bloom Cleaner Data'!HE18)</f>
        <v>0.56886344829558377</v>
      </c>
      <c r="RU18" s="506">
        <f>'Bloom Cleaner Data'!GP18/($RK$1*DU18+(1-$RK$1)*'Bloom Cleaner Data'!HF18)</f>
        <v>0.49756082899389992</v>
      </c>
      <c r="RV18" s="506">
        <f>'Bloom Cleaner Data'!GQ18/($RK$1*DV18+(1-$RK$1)*'Bloom Cleaner Data'!HG18)</f>
        <v>0.52280075153915173</v>
      </c>
      <c r="RW18" s="506">
        <f>'Bloom Cleaner Data'!GR18/($RK$1*DW18+(1-$RK$1)*'Bloom Cleaner Data'!HH18)</f>
        <v>0.50291062210096105</v>
      </c>
      <c r="RX18" s="506">
        <f>'Bloom Cleaner Data'!GS18/($RK$1*DX18+(1-$RK$1)*'Bloom Cleaner Data'!HI18)</f>
        <v>0.51782340809476601</v>
      </c>
      <c r="RY18" s="506">
        <f>'Bloom Cleaner Data'!GT18/($RK$1*DY18+(1-$RK$1)*'Bloom Cleaner Data'!HJ18)</f>
        <v>1.2114312662991384</v>
      </c>
      <c r="RZ18" s="506"/>
      <c r="SA18" s="506">
        <f t="shared" si="125"/>
        <v>0.6086763770808663</v>
      </c>
      <c r="SB18" s="506">
        <f t="shared" si="126"/>
        <v>0.60003675498464937</v>
      </c>
      <c r="SC18" s="18"/>
      <c r="SD18" s="15">
        <f>'Bloom Cleaner Data'!HM18</f>
        <v>6.1471999999999998</v>
      </c>
      <c r="SE18" s="15">
        <f>'Bloom Cleaner Data'!HN18</f>
        <v>6.0168999999999997</v>
      </c>
      <c r="SF18" s="15">
        <f>'Bloom Cleaner Data'!HO18</f>
        <v>7.3795999999999999</v>
      </c>
      <c r="SG18" s="15">
        <f>'Bloom Cleaner Data'!HP18</f>
        <v>7.3327999999999998</v>
      </c>
      <c r="SH18" s="15">
        <f>'Bloom Cleaner Data'!HQ18</f>
        <v>5.5989000000000004</v>
      </c>
      <c r="SI18" s="15">
        <f>'Bloom Cleaner Data'!HR18</f>
        <v>6.9703999999999997</v>
      </c>
      <c r="SJ18" s="15">
        <f>'Bloom Cleaner Data'!HS18</f>
        <v>6.1379000000000001</v>
      </c>
      <c r="SK18" s="15">
        <f>'Bloom Cleaner Data'!HT18</f>
        <v>5.7445000000000004</v>
      </c>
      <c r="SL18" s="15">
        <f>'Bloom Cleaner Data'!HU18</f>
        <v>5.5202999999999998</v>
      </c>
      <c r="SM18" s="15">
        <f>'Bloom Cleaner Data'!HV18</f>
        <v>5.5236999999999998</v>
      </c>
      <c r="SN18" s="15">
        <f>'Bloom Cleaner Data'!HW18</f>
        <v>5.6215999999999999</v>
      </c>
      <c r="SO18" s="15">
        <f>'Bloom Cleaner Data'!HX18</f>
        <v>4.3598999999999997</v>
      </c>
      <c r="SP18" s="15">
        <f>'Bloom Cleaner Data'!HY18</f>
        <v>3.7601</v>
      </c>
      <c r="SQ18" s="15">
        <f>'Bloom Cleaner Data'!HZ18</f>
        <v>4.0572999999999997</v>
      </c>
      <c r="SR18" s="15">
        <f>'Bloom Cleaner Data'!IA18</f>
        <v>4.806</v>
      </c>
      <c r="SS18" s="15"/>
      <c r="ST18" s="15">
        <f t="shared" si="127"/>
        <v>5.6651399999999983</v>
      </c>
      <c r="SU18" s="487">
        <f t="shared" si="128"/>
        <v>-0.34874518944116212</v>
      </c>
      <c r="SV18" s="15">
        <f t="shared" si="129"/>
        <v>-2.5735999999999999</v>
      </c>
    </row>
    <row r="19" spans="1:518">
      <c r="A19" s="11" t="s">
        <v>502</v>
      </c>
      <c r="B19" s="72">
        <v>1</v>
      </c>
      <c r="C19" s="83" t="s">
        <v>287</v>
      </c>
      <c r="D19" s="1133" t="s">
        <v>1042</v>
      </c>
      <c r="E19" s="224" t="s">
        <v>82</v>
      </c>
      <c r="F19" s="224"/>
      <c r="G19" s="13">
        <f>'Bloom Cleaner Data'!D19*'Bloom Cleaner Data'!D45</f>
        <v>5171.6698944</v>
      </c>
      <c r="H19" s="13">
        <f>'Bloom Cleaner Data'!F19*'Bloom Cleaner Data'!F45</f>
        <v>4605.9121881499996</v>
      </c>
      <c r="I19" s="13">
        <f>'Bloom Cleaner Data'!H19*'Bloom Cleaner Data'!H45</f>
        <v>5509.8296639999999</v>
      </c>
      <c r="J19" s="13">
        <f>'Bloom Cleaner Data'!J19*'Bloom Cleaner Data'!J45</f>
        <v>5594.798410161</v>
      </c>
      <c r="K19" s="13">
        <f>'Bloom Cleaner Data'!L19*'Bloom Cleaner Data'!L45</f>
        <v>5121.8271934145905</v>
      </c>
      <c r="L19" s="13">
        <f>'Bloom Cleaner Data'!N19*'Bloom Cleaner Data'!N45</f>
        <v>4908.4029965966074</v>
      </c>
      <c r="M19" s="13">
        <f>'Bloom Cleaner Data'!P19*'Bloom Cleaner Data'!P45</f>
        <v>4002.7253369999999</v>
      </c>
      <c r="N19" s="13">
        <f>'Bloom Cleaner Data'!R19*'Bloom Cleaner Data'!R45</f>
        <v>2322.4005110115481</v>
      </c>
      <c r="O19" s="13"/>
      <c r="P19" s="13">
        <f t="shared" si="0"/>
        <v>4580.8423286191064</v>
      </c>
      <c r="Q19" s="13">
        <f t="shared" si="49"/>
        <v>3744.5096148693851</v>
      </c>
      <c r="R19" s="10">
        <f t="shared" si="1"/>
        <v>-0.49577837871365099</v>
      </c>
      <c r="S19" s="18">
        <f>('Bloom Cleaner Data'!R19-'Bloom Cleaner Data'!F19)/'Bloom Cleaner Data'!F19</f>
        <v>-0.47436388406757118</v>
      </c>
      <c r="T19" s="10">
        <f t="shared" si="2"/>
        <v>-0.39400279980801206</v>
      </c>
      <c r="U19" s="10"/>
      <c r="V19" s="1277" t="s">
        <v>287</v>
      </c>
      <c r="W19" s="1238">
        <f>'Bloom Cleaner Data'!D19/'Bloom Cleaner Data'!$F19</f>
        <v>1.1100818381111281</v>
      </c>
      <c r="X19" s="1238">
        <f>'Bloom Cleaner Data'!E19/'Bloom Cleaner Data'!$F19</f>
        <v>1.1335664319920735</v>
      </c>
      <c r="Y19" s="1238">
        <f>'Bloom Cleaner Data'!F19/'Bloom Cleaner Data'!$F19</f>
        <v>1</v>
      </c>
      <c r="Z19" s="1238">
        <f>'Bloom Cleaner Data'!G19/'Bloom Cleaner Data'!$F19</f>
        <v>1.2573426574891096</v>
      </c>
      <c r="AA19" s="1238">
        <f>'Bloom Cleaner Data'!H19/'Bloom Cleaner Data'!$F19</f>
        <v>1.1436570921938842</v>
      </c>
      <c r="AB19" s="1238">
        <f>'Bloom Cleaner Data'!I19/'Bloom Cleaner Data'!$F19</f>
        <v>1.2307692323802037</v>
      </c>
      <c r="AC19" s="1238">
        <f>'Bloom Cleaner Data'!J19/'Bloom Cleaner Data'!$F19</f>
        <v>1.1650349655841605</v>
      </c>
      <c r="AD19" s="1238">
        <f>'Bloom Cleaner Data'!K19/'Bloom Cleaner Data'!$F19</f>
        <v>1.2167832186138681</v>
      </c>
      <c r="AE19" s="1238">
        <f>'Bloom Cleaner Data'!L19/'Bloom Cleaner Data'!$F19</f>
        <v>1.1946892270649596</v>
      </c>
      <c r="AF19" s="1238">
        <f>'Bloom Cleaner Data'!M19/'Bloom Cleaner Data'!$F19</f>
        <v>1.1951048967524811</v>
      </c>
      <c r="AG19" s="1238">
        <f>'Bloom Cleaner Data'!N19/'Bloom Cleaner Data'!$F19</f>
        <v>1.0888111910811962</v>
      </c>
      <c r="AH19" s="1238">
        <f>'Bloom Cleaner Data'!O19/'Bloom Cleaner Data'!$F19</f>
        <v>1.1503496506059416</v>
      </c>
      <c r="AI19" s="1238">
        <f>'Bloom Cleaner Data'!P19/'Bloom Cleaner Data'!$F19</f>
        <v>0.85524475385346044</v>
      </c>
      <c r="AJ19" s="1238">
        <f>'Bloom Cleaner Data'!Q19/'Bloom Cleaner Data'!$F19</f>
        <v>0.4664335680079264</v>
      </c>
      <c r="AK19" s="1238">
        <f>'Bloom Cleaner Data'!R19/'Bloom Cleaner Data'!$F19</f>
        <v>0.52563611593242876</v>
      </c>
      <c r="AL19" s="13"/>
      <c r="AM19" s="13">
        <f>AVERAGE('Bloom Cleaner Data'!BW19:CI19)</f>
        <v>23355.715861538461</v>
      </c>
      <c r="AN19" s="18">
        <f>('Bloom Cleaner Data'!CI19-'Bloom Cleaner Data'!BW19)/'Bloom Cleaner Data'!BW19</f>
        <v>-0.3414989398300875</v>
      </c>
      <c r="AO19" s="18">
        <f>('Bloom Cleaner Data'!CI19+'Bloom Cleaner Data'!CH19-'Bloom Cleaner Data'!BW19-'Bloom Cleaner Data'!BV19)/('Bloom Cleaner Data'!BW19+'Bloom Cleaner Data'!BV19)</f>
        <v>-0.4044127166343629</v>
      </c>
      <c r="AP19" s="13"/>
      <c r="AQ19" s="13">
        <f>'Bloom Cleaner Data'!BW19*'Bloom Cleaner Data'!BW45</f>
        <v>5325.2626381499995</v>
      </c>
      <c r="AR19" s="13">
        <f>'Bloom Cleaner Data'!BY19*'Bloom Cleaner Data'!BY45</f>
        <v>6398.7234239999998</v>
      </c>
      <c r="AS19" s="13">
        <f>'Bloom Cleaner Data'!CA19*'Bloom Cleaner Data'!CA45</f>
        <v>5802.4795901609996</v>
      </c>
      <c r="AT19" s="13">
        <f>'Bloom Cleaner Data'!CC19*'Bloom Cleaner Data'!CC45</f>
        <v>5536.1828606517911</v>
      </c>
      <c r="AU19" s="13">
        <f>'Bloom Cleaner Data'!CE19*'Bloom Cleaner Data'!CE45</f>
        <v>5787.1265858885236</v>
      </c>
      <c r="AV19" s="13">
        <f>'Bloom Cleaner Data'!CG19*'Bloom Cleaner Data'!CG45</f>
        <v>5170.3409369999999</v>
      </c>
      <c r="AW19" s="13">
        <f>'Bloom Cleaner Data'!CI19*'Bloom Cleaner Data'!CI45</f>
        <v>3363.8279688571779</v>
      </c>
      <c r="AX19" s="13"/>
      <c r="AY19" s="13">
        <f t="shared" si="3"/>
        <v>5340.5634292440709</v>
      </c>
      <c r="AZ19" s="10">
        <f t="shared" si="4"/>
        <v>-0.36832637234474985</v>
      </c>
      <c r="BA19" s="10"/>
      <c r="BB19" s="13">
        <f>'Bloom Cleaner Data'!T19+'OPERATING LEASES'!AU19</f>
        <v>4650.7454477767624</v>
      </c>
      <c r="BC19" s="13">
        <f>'Bloom Cleaner Data'!U19+'OPERATING LEASES'!AV19</f>
        <v>3967.9506734126576</v>
      </c>
      <c r="BD19" s="13">
        <f>'Bloom Cleaner Data'!V19+'OPERATING LEASES'!AW19</f>
        <v>3420.1558990485528</v>
      </c>
      <c r="BE19" s="13">
        <f>'Bloom Cleaner Data'!W19+'OPERATING LEASES'!AX19</f>
        <v>4404.3611246844484</v>
      </c>
      <c r="BF19" s="13">
        <f>'Bloom Cleaner Data'!X19+'OPERATING LEASES'!AY19</f>
        <v>3921.5663503203432</v>
      </c>
      <c r="BG19" s="13">
        <f>'Bloom Cleaner Data'!Y19+'OPERATING LEASES'!AZ19</f>
        <v>3775.3746837295939</v>
      </c>
      <c r="BH19" s="13">
        <f>'Bloom Cleaner Data'!Z19+'OPERATING LEASES'!BA19</f>
        <v>1397.1830171388449</v>
      </c>
      <c r="BI19" s="13">
        <f>'Bloom Cleaner Data'!AA19+'OPERATING LEASES'!BB19</f>
        <v>3115.9913505480954</v>
      </c>
      <c r="BJ19" s="13">
        <f>'Bloom Cleaner Data'!AB19+'OPERATING LEASES'!BC19</f>
        <v>2601.7996839573466</v>
      </c>
      <c r="BK19" s="13">
        <f>'Bloom Cleaner Data'!AC19+'OPERATING LEASES'!BD19</f>
        <v>4824.4899056427084</v>
      </c>
      <c r="BL19" s="13">
        <f>'Bloom Cleaner Data'!AD19+'OPERATING LEASES'!BE19</f>
        <v>4459.1801273280707</v>
      </c>
      <c r="BM19" s="13">
        <f>'Bloom Cleaner Data'!AE19+'OPERATING LEASES'!BF19</f>
        <v>6026.870349013433</v>
      </c>
      <c r="BN19" s="13">
        <f>'Bloom Cleaner Data'!AF19+'OPERATING LEASES'!BG19</f>
        <v>5480.5605706987953</v>
      </c>
      <c r="BO19" s="13">
        <f>'Bloom Cleaner Data'!AG19+'OPERATING LEASES'!BH19</f>
        <v>5403.5605706987953</v>
      </c>
      <c r="BP19" s="13">
        <f>'Bloom Cleaner Data'!AH19+'OPERATING LEASES'!BI19</f>
        <v>5217.5605706987953</v>
      </c>
      <c r="BQ19" s="13"/>
      <c r="BR19" s="1099">
        <f t="shared" si="50"/>
        <v>4157.588784885218</v>
      </c>
      <c r="BS19" s="10">
        <f t="shared" si="51"/>
        <v>0.52553296536870131</v>
      </c>
      <c r="BT19" s="10"/>
      <c r="BU19" s="13">
        <f>'Bloom Cleaner Data'!BU19+'OPERATING LEASES'!AU19</f>
        <v>25867.06544777676</v>
      </c>
      <c r="BV19" s="13">
        <f>'Bloom Cleaner Data'!BV19+'OPERATING LEASES'!AV19</f>
        <v>25632.821273412657</v>
      </c>
      <c r="BW19" s="13">
        <f>'Bloom Cleaner Data'!BW19+'OPERATING LEASES'!AW19</f>
        <v>22533.936899048553</v>
      </c>
      <c r="BX19" s="13">
        <f>'Bloom Cleaner Data'!BX19+'OPERATING LEASES'!AX19</f>
        <v>28433.33052468445</v>
      </c>
      <c r="BY19" s="13">
        <f>'Bloom Cleaner Data'!BY19+'OPERATING LEASES'!AY19</f>
        <v>25779.166350320342</v>
      </c>
      <c r="BZ19" s="13">
        <f>'Bloom Cleaner Data'!BZ19+'OPERATING LEASES'!AZ19</f>
        <v>27295.797483729595</v>
      </c>
      <c r="CA19" s="13">
        <f>'Bloom Cleaner Data'!CA19+'OPERATING LEASES'!BA19</f>
        <v>23663.095717138847</v>
      </c>
      <c r="CB19" s="13">
        <f>'Bloom Cleaner Data'!CB19+'OPERATING LEASES'!BB19</f>
        <v>26370.284350548096</v>
      </c>
      <c r="CC19" s="13">
        <f>'Bloom Cleaner Data'!CC19+'OPERATING LEASES'!BC19</f>
        <v>25423.102283957345</v>
      </c>
      <c r="CD19" s="13">
        <f>'Bloom Cleaner Data'!CD19+'OPERATING LEASES'!BD19</f>
        <v>27652.731705642709</v>
      </c>
      <c r="CE19" s="13">
        <f>'Bloom Cleaner Data'!CE19+'OPERATING LEASES'!BE19</f>
        <v>25257.235427328073</v>
      </c>
      <c r="CF19" s="13">
        <f>'Bloom Cleaner Data'!CF19+'OPERATING LEASES'!BF19</f>
        <v>28000.296749013432</v>
      </c>
      <c r="CG19" s="13">
        <f>'Bloom Cleaner Data'!CG19+'OPERATING LEASES'!BG19</f>
        <v>21817.548070698795</v>
      </c>
      <c r="CH19" s="13">
        <f>'Bloom Cleaner Data'!CH19+'OPERATING LEASES'!BH19</f>
        <v>14314.339570698796</v>
      </c>
      <c r="CI19" s="13">
        <f>'Bloom Cleaner Data'!CI19+'OPERATING LEASES'!BI19</f>
        <v>15259.095270698796</v>
      </c>
      <c r="CJ19" s="13"/>
      <c r="CK19" s="1099">
        <f t="shared" si="52"/>
        <v>23984.612338731371</v>
      </c>
      <c r="CL19" s="10">
        <f t="shared" si="53"/>
        <v>-0.32283935385728901</v>
      </c>
      <c r="CM19" s="18">
        <f t="shared" si="54"/>
        <v>2.6926876526553341E-2</v>
      </c>
      <c r="CN19" s="13"/>
      <c r="CO19" s="18">
        <f>$CO$1*BU19/('Bloom Cleaner Data'!D19+'Bloom Cleaner Data'!T19+'OPERATING LEASES'!AU19)+(1-$CO$1)*'Bloom Cleaner Data'!BU19/('Bloom Cleaner Data'!D19+'Bloom Cleaner Data'!T19)-1</f>
        <v>5.4152185659694929E-4</v>
      </c>
      <c r="CP19" s="18">
        <f>$CO$1*BV19/('Bloom Cleaner Data'!E19+'Bloom Cleaner Data'!U19+'OPERATING LEASES'!AV19)+(1-$CO$1)*'Bloom Cleaner Data'!BV19/('Bloom Cleaner Data'!E19+'Bloom Cleaner Data'!U19)-1</f>
        <v>5.4647322960676981E-4</v>
      </c>
      <c r="CQ19" s="18">
        <f>$CO$1*BW19/('Bloom Cleaner Data'!F19+'Bloom Cleaner Data'!V19+'OPERATING LEASES'!AW19)+(1-$CO$1)*'Bloom Cleaner Data'!BW19/('Bloom Cleaner Data'!F19+'Bloom Cleaner Data'!V19)-1</f>
        <v>6.2167136891888575E-4</v>
      </c>
      <c r="CR19" s="18">
        <f>$CO$1*BX19/('Bloom Cleaner Data'!G19+'Bloom Cleaner Data'!W19+'OPERATING LEASES'!AX19)+(1-$CO$1)*'Bloom Cleaner Data'!BX19/('Bloom Cleaner Data'!G19+'Bloom Cleaner Data'!W19)-1</f>
        <v>4.9262244189174353E-4</v>
      </c>
      <c r="CS19" s="18">
        <f>$CO$1*BY19/('Bloom Cleaner Data'!H19+'Bloom Cleaner Data'!X19+'OPERATING LEASES'!AY19)+(1-$CO$1)*'Bloom Cleaner Data'!BY19/('Bloom Cleaner Data'!H19+'Bloom Cleaner Data'!X19)-1</f>
        <v>5.4336928431375497E-4</v>
      </c>
      <c r="CT19" s="18">
        <f>$CO$1*BZ19/('Bloom Cleaner Data'!I19+'Bloom Cleaner Data'!Y19+'OPERATING LEASES'!AZ19)+(1-$CO$1)*'Bloom Cleaner Data'!BZ19/('Bloom Cleaner Data'!I19+'Bloom Cleaner Data'!Y19)-1</f>
        <v>4.7649072672095727E-4</v>
      </c>
      <c r="CU19" s="18">
        <f>$CO$1*CA19/('Bloom Cleaner Data'!J19+'Bloom Cleaner Data'!Z19+'OPERATING LEASES'!BA19)+(1-$CO$1)*'Bloom Cleaner Data'!CA19/('Bloom Cleaner Data'!J19+'Bloom Cleaner Data'!Z19)-1</f>
        <v>5.9198880868227555E-4</v>
      </c>
      <c r="CV19" s="18">
        <f>$CO$1*CB19/('Bloom Cleaner Data'!K19+'Bloom Cleaner Data'!AA19+'OPERATING LEASES'!BB19)+(1-$CO$1)*'Bloom Cleaner Data'!CB19/('Bloom Cleaner Data'!K19+'Bloom Cleaner Data'!AA19)-1</f>
        <v>5.31182613368264E-4</v>
      </c>
      <c r="CW19" s="18">
        <f>$CO$1*CC19/('Bloom Cleaner Data'!L19+'Bloom Cleaner Data'!AB19+'OPERATING LEASES'!BC19)+(1-$CO$1)*'Bloom Cleaner Data'!CC19/('Bloom Cleaner Data'!L19+'Bloom Cleaner Data'!AB19)-1</f>
        <v>1.1801683433398935E-4</v>
      </c>
      <c r="CX19" s="18">
        <f>$CO$1*CD19/('Bloom Cleaner Data'!M19+'Bloom Cleaner Data'!AC19+'OPERATING LEASES'!BD19)+(1-$CO$1)*'Bloom Cleaner Data'!CD19/('Bloom Cleaner Data'!M19+'Bloom Cleaner Data'!AC19)-1</f>
        <v>7.2330816460519642E-5</v>
      </c>
      <c r="CY19" s="18">
        <f>$CO$1*CE19/('Bloom Cleaner Data'!N19+'Bloom Cleaner Data'!AD19+'OPERATING LEASES'!BE19)+(1-$CO$1)*'Bloom Cleaner Data'!CE19/('Bloom Cleaner Data'!N19+'Bloom Cleaner Data'!AD19)-1</f>
        <v>7.9191500936603987E-5</v>
      </c>
      <c r="CZ19" s="18">
        <f>$CO$1*CF19/('Bloom Cleaner Data'!O19+'Bloom Cleaner Data'!AE19+'OPERATING LEASES'!BF19)+(1-$CO$1)*'Bloom Cleaner Data'!CF19/('Bloom Cleaner Data'!O19+'Bloom Cleaner Data'!AE19)-1</f>
        <v>7.1432916720848283E-5</v>
      </c>
      <c r="DA19" s="18">
        <f>$CO$1*CG19/('Bloom Cleaner Data'!P19+'Bloom Cleaner Data'!AF19+'OPERATING LEASES'!BG19)+(1-$CO$1)*'Bloom Cleaner Data'!CG19/('Bloom Cleaner Data'!P19+'Bloom Cleaner Data'!AF19)-1</f>
        <v>9.167773339990859E-5</v>
      </c>
      <c r="DB19" s="18">
        <f>$CO$1*CH19/('Bloom Cleaner Data'!Q19+'Bloom Cleaner Data'!AG19+'OPERATING LEASES'!BH19)+(1-$CO$1)*'Bloom Cleaner Data'!CH19/('Bloom Cleaner Data'!Q19+'Bloom Cleaner Data'!AG19)-1</f>
        <v>1.3973955761192869E-4</v>
      </c>
      <c r="DC19" s="18">
        <f>$CO$1*CI19/('Bloom Cleaner Data'!R19+'Bloom Cleaner Data'!AH19+'OPERATING LEASES'!BI19)+(1-$CO$1)*'Bloom Cleaner Data'!CI19/('Bloom Cleaner Data'!R19+'Bloom Cleaner Data'!AH19)-1</f>
        <v>1.3108655117610724E-4</v>
      </c>
      <c r="DD19" s="18"/>
      <c r="DE19" s="18">
        <f t="shared" si="55"/>
        <v>3.046770118873682E-4</v>
      </c>
      <c r="DF19" s="13"/>
      <c r="DG19" s="2203">
        <f>AVERAGE('Bloom Cleaner Data'!GX19:HJ19)</f>
        <v>5339.3976652411793</v>
      </c>
      <c r="DH19" s="2124">
        <f>('Bloom Cleaner Data'!HJ19-'Bloom Cleaner Data'!GX19)/'Bloom Cleaner Data'!GX19</f>
        <v>-0.27229235356769793</v>
      </c>
      <c r="DI19" s="2124">
        <f>('Bloom Cleaner Data'!HJ19+'Bloom Cleaner Data'!HI19-'Bloom Cleaner Data'!GX19-'Bloom Cleaner Data'!GW19)/('Bloom Cleaner Data'!GX19+'Bloom Cleaner Data'!GW19)</f>
        <v>-0.2532372537585077</v>
      </c>
      <c r="DJ19" s="13"/>
      <c r="DK19" s="13">
        <f>'Bloom Cleaner Data'!GV19+'OPERATING LEASES'!BL19</f>
        <v>6352.9247147161977</v>
      </c>
      <c r="DL19" s="13">
        <f>'Bloom Cleaner Data'!GW19+'OPERATING LEASES'!BM19</f>
        <v>6114.3785520051324</v>
      </c>
      <c r="DM19" s="13">
        <f>'Bloom Cleaner Data'!GX19+'OPERATING LEASES'!BN19</f>
        <v>6019.6690827028197</v>
      </c>
      <c r="DN19" s="13">
        <f>'Bloom Cleaner Data'!GY19+'OPERATING LEASES'!BO19</f>
        <v>5893.0373658262615</v>
      </c>
      <c r="DO19" s="13">
        <f>'Bloom Cleaner Data'!GZ19+'OPERATING LEASES'!BP19</f>
        <v>5931.3799279318873</v>
      </c>
      <c r="DP19" s="13">
        <f>'Bloom Cleaner Data'!HA19+'OPERATING LEASES'!BQ19</f>
        <v>5873.5802352438441</v>
      </c>
      <c r="DQ19" s="13">
        <f>'Bloom Cleaner Data'!HB19+'OPERATING LEASES'!BR19</f>
        <v>5365.6894664784031</v>
      </c>
      <c r="DR19" s="13">
        <f>'Bloom Cleaner Data'!HC19+'OPERATING LEASES'!BS19</f>
        <v>5294.8868328921317</v>
      </c>
      <c r="DS19" s="13">
        <f>'Bloom Cleaner Data'!HD19+'OPERATING LEASES'!BT19</f>
        <v>5490.0087388584998</v>
      </c>
      <c r="DT19" s="13">
        <f>'Bloom Cleaner Data'!HE19+'OPERATING LEASES'!BU19</f>
        <v>5367.4539040072641</v>
      </c>
      <c r="DU19" s="13">
        <f>'Bloom Cleaner Data'!HF19+'OPERATING LEASES'!BV19</f>
        <v>5705.8736082909363</v>
      </c>
      <c r="DV19" s="13">
        <f>'Bloom Cleaner Data'!HG19+'OPERATING LEASES'!BW19</f>
        <v>5628.3657534800905</v>
      </c>
      <c r="DW19" s="13">
        <f>'Bloom Cleaner Data'!HH19+'OPERATING LEASES'!BX19</f>
        <v>4924.7792842143708</v>
      </c>
      <c r="DX19" s="13">
        <f>'Bloom Cleaner Data'!HI19+'OPERATING LEASES'!BY19</f>
        <v>4728.7904349303435</v>
      </c>
      <c r="DY19" s="13">
        <f>'Bloom Cleaner Data'!HJ19+'OPERATING LEASES'!BZ19</f>
        <v>4435.6862632784832</v>
      </c>
      <c r="DZ19" s="13"/>
      <c r="EA19" s="1099">
        <f t="shared" si="56"/>
        <v>5435.3231460104107</v>
      </c>
      <c r="EB19" s="10">
        <f t="shared" si="57"/>
        <v>-0.26313453408524096</v>
      </c>
      <c r="EC19" s="18">
        <f t="shared" si="58"/>
        <v>1.7965599639392746E-2</v>
      </c>
      <c r="ED19" s="18">
        <f>(AVERAGE(DV19:DY19)-AVERAGE('Bloom Cleaner Data'!HG19:HJ19))/AVERAGE('Bloom Cleaner Data'!HG19:HJ19)</f>
        <v>2.2642039249953463E-2</v>
      </c>
      <c r="EE19" s="165"/>
      <c r="EF19" s="22">
        <f>'Bloom Cleaner Data'!DT19</f>
        <v>1.3868</v>
      </c>
      <c r="EG19" s="22">
        <f>'Bloom Cleaner Data'!DX19</f>
        <v>1.5011000000000001</v>
      </c>
      <c r="EH19" s="22">
        <f>'Bloom Cleaner Data'!EB19</f>
        <v>1.6804999999999999</v>
      </c>
      <c r="EI19" s="22">
        <f>'Bloom Cleaner Data'!EF19</f>
        <v>1.075</v>
      </c>
      <c r="EJ19" s="22"/>
      <c r="EK19" s="22">
        <f>AVERAGE('Bloom Cleaner Data'!DT19:EF19)</f>
        <v>1.5614461538461539</v>
      </c>
      <c r="EL19" s="2124">
        <f t="shared" si="5"/>
        <v>-0.22483415056244596</v>
      </c>
      <c r="EM19" s="13"/>
      <c r="EN19" s="15">
        <f>'Bloom Cleaner Data'!DA19</f>
        <v>4.0486000000000004</v>
      </c>
      <c r="EO19" s="15">
        <f>'Bloom Cleaner Data'!DB19</f>
        <v>4.1692999999999998</v>
      </c>
      <c r="EP19" s="15">
        <f>'Bloom Cleaner Data'!DC19</f>
        <v>3.7138999999999998</v>
      </c>
      <c r="EQ19" s="15">
        <f>'Bloom Cleaner Data'!DD19</f>
        <v>4.8071999999999999</v>
      </c>
      <c r="ER19" s="15">
        <f>'Bloom Cleaner Data'!DE19</f>
        <v>4.3223000000000003</v>
      </c>
      <c r="ES19" s="15">
        <f>'Bloom Cleaner Data'!DF19</f>
        <v>4.6218000000000004</v>
      </c>
      <c r="ET19" s="15">
        <f>'Bloom Cleaner Data'!DG19</f>
        <v>4.3733000000000004</v>
      </c>
      <c r="EU19" s="15">
        <f>'Bloom Cleaner Data'!DH19</f>
        <v>4.9485999999999999</v>
      </c>
      <c r="EV19" s="15">
        <f>'Bloom Cleaner Data'!DI19</f>
        <v>4.5887000000000002</v>
      </c>
      <c r="EW19" s="15">
        <f>'Bloom Cleaner Data'!DJ19</f>
        <v>5.1207000000000003</v>
      </c>
      <c r="EX19" s="15">
        <f>'Bloom Cleaner Data'!DK19</f>
        <v>4.3830999999999998</v>
      </c>
      <c r="EY19" s="15">
        <f>'Bloom Cleaner Data'!DL19</f>
        <v>4.9424000000000001</v>
      </c>
      <c r="EZ19" s="15">
        <f>'Bloom Cleaner Data'!DM19</f>
        <v>4.3811999999999998</v>
      </c>
      <c r="FA19" s="15">
        <f>'Bloom Cleaner Data'!DN19</f>
        <v>2.9430000000000001</v>
      </c>
      <c r="FB19" s="15">
        <f>'Bloom Cleaner Data'!DO19</f>
        <v>3.3607</v>
      </c>
      <c r="FC19" s="15"/>
      <c r="FD19" s="15">
        <f t="shared" si="59"/>
        <v>4.3466846153846159</v>
      </c>
      <c r="FE19" s="18">
        <f t="shared" si="6"/>
        <v>-9.510218368830603E-2</v>
      </c>
      <c r="FF19" s="15">
        <f t="shared" si="60"/>
        <v>4.3663499999999997</v>
      </c>
      <c r="FG19" s="2206"/>
      <c r="FH19" s="15">
        <f>('Bloom Cleaner Data'!BU19+'OPERATING LEASES'!AU19)/DK19</f>
        <v>4.071678259913444</v>
      </c>
      <c r="FI19" s="15">
        <f>('Bloom Cleaner Data'!BV19+'OPERATING LEASES'!AV19)/DL19</f>
        <v>4.1922201995502393</v>
      </c>
      <c r="FJ19" s="15">
        <f>('Bloom Cleaner Data'!BW19+'OPERATING LEASES'!AW19)/DM19</f>
        <v>3.7433846594322855</v>
      </c>
      <c r="FK19" s="15">
        <f>('Bloom Cleaner Data'!BX19+'OPERATING LEASES'!AX19)/DN19</f>
        <v>4.8249024670315865</v>
      </c>
      <c r="FL19" s="15">
        <f>('Bloom Cleaner Data'!BY19+'OPERATING LEASES'!AY19)/DO19</f>
        <v>4.3462342091630006</v>
      </c>
      <c r="FM19" s="15">
        <f>('Bloom Cleaner Data'!BZ19+'OPERATING LEASES'!AZ19)/DP19</f>
        <v>4.6472162446924328</v>
      </c>
      <c r="FN19" s="15">
        <f>('Bloom Cleaner Data'!CA19+'OPERATING LEASES'!BA19)/DQ19</f>
        <v>4.4100755112593859</v>
      </c>
      <c r="FO19" s="15">
        <f>('Bloom Cleaner Data'!CB19+'OPERATING LEASES'!BB19)/DR19</f>
        <v>4.9803301152225616</v>
      </c>
      <c r="FP19" s="15">
        <f>('Bloom Cleaner Data'!CC19+'OPERATING LEASES'!BC19)/DS19</f>
        <v>4.6307945020217582</v>
      </c>
      <c r="FQ19" s="15">
        <f>('Bloom Cleaner Data'!CD19+'OPERATING LEASES'!BD19)/DT19</f>
        <v>5.1519271893509089</v>
      </c>
      <c r="FR19" s="15">
        <f>('Bloom Cleaner Data'!CE19+'OPERATING LEASES'!BE19)/DU19</f>
        <v>4.4265325805023039</v>
      </c>
      <c r="FS19" s="15">
        <f>('Bloom Cleaner Data'!CF19+'OPERATING LEASES'!BF19)/DV19</f>
        <v>4.9748537986715755</v>
      </c>
      <c r="FT19" s="15">
        <f>('Bloom Cleaner Data'!CG19+'OPERATING LEASES'!BG19)/DW19</f>
        <v>4.4301575383553979</v>
      </c>
      <c r="FU19" s="15">
        <f>('Bloom Cleaner Data'!CH19+'OPERATING LEASES'!BH19)/DX19</f>
        <v>3.0270615218983901</v>
      </c>
      <c r="FV19" s="15">
        <f>('Bloom Cleaner Data'!CI19+'OPERATING LEASES'!BI19)/DY19</f>
        <v>3.4400754167452243</v>
      </c>
      <c r="FW19" s="15"/>
      <c r="FX19" s="506">
        <f t="shared" si="61"/>
        <v>4.3871958272574467</v>
      </c>
      <c r="FY19" s="10">
        <f t="shared" si="62"/>
        <v>-8.1025400882275472E-2</v>
      </c>
      <c r="FZ19" s="15">
        <f t="shared" si="7"/>
        <v>4.0511211872830799E-2</v>
      </c>
      <c r="GA19" s="15">
        <f t="shared" si="63"/>
        <v>4.4119024418719928</v>
      </c>
      <c r="GB19" s="15">
        <f t="shared" si="64"/>
        <v>4.5552441871993032E-2</v>
      </c>
      <c r="GC19" s="15">
        <f t="shared" si="8"/>
        <v>5.7656171234577336E-2</v>
      </c>
      <c r="GD19" s="13"/>
      <c r="GE19" s="15">
        <f t="shared" si="9"/>
        <v>4.071678259913444</v>
      </c>
      <c r="GF19" s="15">
        <f t="shared" si="10"/>
        <v>4.1922201995502393</v>
      </c>
      <c r="GG19" s="15">
        <f t="shared" si="11"/>
        <v>3.7433846594322855</v>
      </c>
      <c r="GH19" s="15">
        <f t="shared" si="12"/>
        <v>4.8249024670315865</v>
      </c>
      <c r="GI19" s="15">
        <f t="shared" si="13"/>
        <v>4.3462342091630006</v>
      </c>
      <c r="GJ19" s="15">
        <f t="shared" si="14"/>
        <v>4.6472162446924328</v>
      </c>
      <c r="GK19" s="15">
        <f t="shared" si="15"/>
        <v>4.4100755112593859</v>
      </c>
      <c r="GL19" s="15">
        <f t="shared" si="16"/>
        <v>4.9803301152225616</v>
      </c>
      <c r="GM19" s="15">
        <f t="shared" si="17"/>
        <v>4.6307945020217582</v>
      </c>
      <c r="GN19" s="15">
        <f t="shared" si="18"/>
        <v>5.1519271893509089</v>
      </c>
      <c r="GO19" s="15">
        <f t="shared" si="19"/>
        <v>4.4265325805023039</v>
      </c>
      <c r="GP19" s="15">
        <f t="shared" si="20"/>
        <v>4.9748537986715755</v>
      </c>
      <c r="GQ19" s="15">
        <f t="shared" si="21"/>
        <v>4.4301575383553979</v>
      </c>
      <c r="GR19" s="15">
        <f t="shared" si="22"/>
        <v>3.0270615218983901</v>
      </c>
      <c r="GS19" s="15">
        <f t="shared" si="23"/>
        <v>3.4400754167452243</v>
      </c>
      <c r="GT19" s="15"/>
      <c r="GU19" s="15">
        <f t="shared" si="65"/>
        <v>4.3531629475873661</v>
      </c>
      <c r="GV19" s="10">
        <f t="shared" si="66"/>
        <v>-8.1025400882275472E-2</v>
      </c>
      <c r="GW19" s="506">
        <f t="shared" si="67"/>
        <v>4.4119024418719928</v>
      </c>
      <c r="GX19" s="2057"/>
      <c r="GY19" s="10">
        <f>'Bloom Cleaner Data'!T19/('Bloom Cleaner Data'!T19+'Bloom Cleaner Data'!D19)</f>
        <v>0.16402284964466973</v>
      </c>
      <c r="GZ19" s="10">
        <f>'Bloom Cleaner Data'!U19/('Bloom Cleaner Data'!U19+'Bloom Cleaner Data'!E19)</f>
        <v>0.1390574993653737</v>
      </c>
      <c r="HA19" s="10">
        <f>'Bloom Cleaner Data'!V19/('Bloom Cleaner Data'!V19+'Bloom Cleaner Data'!F19)</f>
        <v>0.13453393732984165</v>
      </c>
      <c r="HB19" s="10">
        <f>'Bloom Cleaner Data'!W19/('Bloom Cleaner Data'!W19+'Bloom Cleaner Data'!G19)</f>
        <v>0.14195384964226807</v>
      </c>
      <c r="HC19" s="10">
        <f>'Bloom Cleaner Data'!X19/('Bloom Cleaner Data'!X19+'Bloom Cleaner Data'!H19)</f>
        <v>0.1384418780764862</v>
      </c>
      <c r="HD19" s="10">
        <f>'Bloom Cleaner Data'!Y19/('Bloom Cleaner Data'!Y19+'Bloom Cleaner Data'!I19)</f>
        <v>0.12234723236223705</v>
      </c>
      <c r="HE19" s="10">
        <f>'Bloom Cleaner Data'!Z19/('Bloom Cleaner Data'!Z19+'Bloom Cleaner Data'!J19)</f>
        <v>3.5206515501595703E-2</v>
      </c>
      <c r="HF19" s="10">
        <f>'Bloom Cleaner Data'!AA19/('Bloom Cleaner Data'!AA19+'Bloom Cleaner Data'!K19)</f>
        <v>9.5155432154585676E-2</v>
      </c>
      <c r="HG19" s="10">
        <f>'Bloom Cleaner Data'!AB19/('Bloom Cleaner Data'!AB19+'Bloom Cleaner Data'!L19)</f>
        <v>7.4732467700226027E-2</v>
      </c>
      <c r="HH19" s="10">
        <f>'Bloom Cleaner Data'!AC19/('Bloom Cleaner Data'!AC19+'Bloom Cleaner Data'!M19)</f>
        <v>0.151511536856382</v>
      </c>
      <c r="HI19" s="10">
        <f>'Bloom Cleaner Data'!AD19/('Bloom Cleaner Data'!AD19+'Bloom Cleaner Data'!N19)</f>
        <v>0.15177189733711619</v>
      </c>
      <c r="HJ19" s="10">
        <f>'Bloom Cleaner Data'!AE19/('Bloom Cleaner Data'!AE19+'Bloom Cleaner Data'!O19)</f>
        <v>0.19431305995274059</v>
      </c>
      <c r="HK19" s="10">
        <f>'Bloom Cleaner Data'!AF19/('Bloom Cleaner Data'!AF19+'Bloom Cleaner Data'!P19)</f>
        <v>0.22575612958344962</v>
      </c>
      <c r="HL19" s="10">
        <f>'Bloom Cleaner Data'!AG19/('Bloom Cleaner Data'!AG19+'Bloom Cleaner Data'!Q19)</f>
        <v>0.34469114944788731</v>
      </c>
      <c r="HM19" s="10">
        <f>'Bloom Cleaner Data'!AH19/('Bloom Cleaner Data'!AH19+'Bloom Cleaner Data'!R19)</f>
        <v>0.30950096360373897</v>
      </c>
      <c r="HN19" s="15"/>
      <c r="HO19" s="10">
        <f t="shared" si="68"/>
        <v>0.16307046534988884</v>
      </c>
      <c r="HP19" s="10">
        <f t="shared" si="69"/>
        <v>1.3005419282788433</v>
      </c>
      <c r="HQ19" s="10"/>
      <c r="HR19" s="479">
        <f t="shared" si="24"/>
        <v>0.19620494360994459</v>
      </c>
      <c r="HS19" s="480">
        <f t="shared" si="25"/>
        <v>0.16151775439459695</v>
      </c>
      <c r="HT19" s="480">
        <f t="shared" si="26"/>
        <v>0.15544680852623388</v>
      </c>
      <c r="HU19" s="480">
        <f t="shared" si="27"/>
        <v>0.16543847855163205</v>
      </c>
      <c r="HV19" s="480">
        <f t="shared" si="28"/>
        <v>0.16068779871449765</v>
      </c>
      <c r="HW19" s="480">
        <f t="shared" si="29"/>
        <v>0.13940277621585975</v>
      </c>
      <c r="HX19" s="480">
        <f t="shared" si="30"/>
        <v>3.6491245087439159E-2</v>
      </c>
      <c r="HY19" s="480">
        <f t="shared" si="31"/>
        <v>0.10516218534766321</v>
      </c>
      <c r="HZ19" s="480">
        <f t="shared" si="32"/>
        <v>8.0768496776793555E-2</v>
      </c>
      <c r="IA19" s="480">
        <f t="shared" si="33"/>
        <v>0.17856640772113438</v>
      </c>
      <c r="IB19" s="480">
        <f t="shared" si="34"/>
        <v>0.17892816432354844</v>
      </c>
      <c r="IC19" s="480">
        <f t="shared" si="35"/>
        <v>0.24117687689134285</v>
      </c>
      <c r="ID19" s="480">
        <f t="shared" si="36"/>
        <v>0.29158271470976027</v>
      </c>
      <c r="IE19" s="480">
        <f t="shared" si="37"/>
        <v>0.525998007134311</v>
      </c>
      <c r="IF19" s="481">
        <f t="shared" si="38"/>
        <v>0.44822794426917006</v>
      </c>
      <c r="IG19" s="15"/>
      <c r="IH19" s="10">
        <f t="shared" si="70"/>
        <v>0.20829830032841434</v>
      </c>
      <c r="II19" s="10">
        <f t="shared" si="71"/>
        <v>1.8834811632271315</v>
      </c>
      <c r="IJ19" s="10"/>
      <c r="IK19" s="18">
        <f>('Bloom Cleaner Data'!T19+'OPERATING LEASES'!AU19)/('Bloom Cleaner Data'!T19+'OPERATING LEASES'!AU19+'Bloom Cleaner Data'!D19)</f>
        <v>0.17989145067424506</v>
      </c>
      <c r="IL19" s="18">
        <f>('Bloom Cleaner Data'!U19+'OPERATING LEASES'!AV19)/('Bloom Cleaner Data'!U19+'OPERATING LEASES'!AV19+'Bloom Cleaner Data'!E19)</f>
        <v>0.15488420138715034</v>
      </c>
      <c r="IM19" s="18">
        <f>('Bloom Cleaner Data'!V19+'OPERATING LEASES'!AW19)/('Bloom Cleaner Data'!V19+'OPERATING LEASES'!AW19+'Bloom Cleaner Data'!F19)</f>
        <v>0.15187235711983951</v>
      </c>
      <c r="IN19" s="18">
        <f>('Bloom Cleaner Data'!W19+'OPERATING LEASES'!AX19)/('Bloom Cleaner Data'!W19+'OPERATING LEASES'!AX19+'Bloom Cleaner Data'!G19)</f>
        <v>0.1549776523010952</v>
      </c>
      <c r="IO19" s="18">
        <f>('Bloom Cleaner Data'!X19+'OPERATING LEASES'!AY19)/('Bloom Cleaner Data'!X19+'OPERATING LEASES'!AY19+'Bloom Cleaner Data'!H19)</f>
        <v>0.15220419294019369</v>
      </c>
      <c r="IP19" s="18">
        <f>('Bloom Cleaner Data'!Y19+'OPERATING LEASES'!AZ19)/('Bloom Cleaner Data'!Y19+'OPERATING LEASES'!AZ19+'Bloom Cleaner Data'!I19)</f>
        <v>0.13837930974567697</v>
      </c>
      <c r="IQ19" s="18">
        <f>('Bloom Cleaner Data'!Z19+'OPERATING LEASES'!BA19)/('Bloom Cleaner Data'!Z19+'OPERATING LEASES'!BA19+'Bloom Cleaner Data'!J19)</f>
        <v>5.9079764987643307E-2</v>
      </c>
      <c r="IR19" s="18">
        <f>('Bloom Cleaner Data'!AA19+'OPERATING LEASES'!BB19)/('Bloom Cleaner Data'!AA19+'OPERATING LEASES'!BB19+'Bloom Cleaner Data'!K19)</f>
        <v>0.11822574491549286</v>
      </c>
      <c r="IS19" s="18">
        <f>('Bloom Cleaner Data'!AB19+'OPERATING LEASES'!BC19)/('Bloom Cleaner Data'!AB19+'OPERATING LEASES'!BC19+'Bloom Cleaner Data'!L19)</f>
        <v>0.10235205409064563</v>
      </c>
      <c r="IT19" s="18">
        <f>('Bloom Cleaner Data'!AC19+'OPERATING LEASES'!BD19)/('Bloom Cleaner Data'!AC19+'OPERATING LEASES'!BD19+'Bloom Cleaner Data'!M19)</f>
        <v>0.17447964694034374</v>
      </c>
      <c r="IU19" s="18">
        <f>('Bloom Cleaner Data'!AD19+'OPERATING LEASES'!BE19)/('Bloom Cleaner Data'!AD19+'OPERATING LEASES'!BE19+'Bloom Cleaner Data'!N19)</f>
        <v>0.17656458361512248</v>
      </c>
      <c r="IV19" s="18">
        <f>('Bloom Cleaner Data'!AE19+'OPERATING LEASES'!BF19)/('Bloom Cleaner Data'!AE19+'OPERATING LEASES'!BF19+'Bloom Cleaner Data'!O19)</f>
        <v>0.21525846386444203</v>
      </c>
      <c r="IW19" s="18">
        <f>('Bloom Cleaner Data'!AF19+'OPERATING LEASES'!BG19)/('Bloom Cleaner Data'!AF19+'OPERATING LEASES'!BG19+'Bloom Cleaner Data'!P19)</f>
        <v>0.25122268544148668</v>
      </c>
      <c r="IX19" s="18">
        <f>('Bloom Cleaner Data'!AG19+'OPERATING LEASES'!BH19)/('Bloom Cleaner Data'!AG19+'OPERATING LEASES'!BH19+'Bloom Cleaner Data'!Q19)</f>
        <v>0.377545581839138</v>
      </c>
      <c r="IY19" s="18">
        <f>('Bloom Cleaner Data'!AH19+'OPERATING LEASES'!BI19)/('Bloom Cleaner Data'!AH19+'OPERATING LEASES'!BI19+'Bloom Cleaner Data'!R19)</f>
        <v>0.34197601038246805</v>
      </c>
      <c r="IZ19" s="15"/>
      <c r="JA19" s="10">
        <f t="shared" si="72"/>
        <v>0.18570292678335293</v>
      </c>
      <c r="JB19" s="10">
        <f t="shared" si="73"/>
        <v>1.251733079461073</v>
      </c>
      <c r="JC19" s="10">
        <f t="shared" si="39"/>
        <v>2.2632461433464091E-2</v>
      </c>
      <c r="JD19" s="10">
        <f t="shared" si="40"/>
        <v>0.13878945758144007</v>
      </c>
      <c r="JE19" s="7"/>
      <c r="JF19" s="485">
        <f t="shared" si="74"/>
        <v>0.21935078084741494</v>
      </c>
      <c r="JG19" s="452">
        <f t="shared" si="41"/>
        <v>0.18326979763172466</v>
      </c>
      <c r="JH19" s="452">
        <f t="shared" si="41"/>
        <v>0.1790678070627382</v>
      </c>
      <c r="JI19" s="452">
        <f t="shared" si="41"/>
        <v>0.1834006552881324</v>
      </c>
      <c r="JJ19" s="452">
        <f t="shared" si="41"/>
        <v>0.17952930608143089</v>
      </c>
      <c r="JK19" s="452">
        <f t="shared" si="41"/>
        <v>0.16060351302013395</v>
      </c>
      <c r="JL19" s="452">
        <f t="shared" si="41"/>
        <v>6.2789344717267603E-2</v>
      </c>
      <c r="JM19" s="452">
        <f t="shared" si="41"/>
        <v>0.13407711127170796</v>
      </c>
      <c r="JN19" s="452">
        <f t="shared" si="41"/>
        <v>0.11402249017231224</v>
      </c>
      <c r="JO19" s="452">
        <f t="shared" si="41"/>
        <v>0.21135717162352624</v>
      </c>
      <c r="JP19" s="452">
        <f t="shared" si="41"/>
        <v>0.21442432533481823</v>
      </c>
      <c r="JQ19" s="452">
        <f t="shared" si="41"/>
        <v>0.27430491945727442</v>
      </c>
      <c r="JR19" s="452">
        <f t="shared" si="41"/>
        <v>0.33551054573496281</v>
      </c>
      <c r="JS19" s="452">
        <f t="shared" si="41"/>
        <v>0.60654334008047517</v>
      </c>
      <c r="JT19" s="486">
        <f t="shared" si="41"/>
        <v>0.51970143304537764</v>
      </c>
      <c r="JU19" s="15"/>
      <c r="JV19" s="10">
        <f t="shared" si="75"/>
        <v>0.24425630483770444</v>
      </c>
      <c r="JW19" s="10">
        <f t="shared" si="76"/>
        <v>1.9022605546472966</v>
      </c>
      <c r="JX19" s="10">
        <f t="shared" si="77"/>
        <v>3.5958004509290098E-2</v>
      </c>
      <c r="JY19" s="10">
        <f t="shared" si="78"/>
        <v>0.17262745040452451</v>
      </c>
      <c r="JZ19" s="7"/>
      <c r="KA19" s="15">
        <f>'Bloom Cleaner Data'!T19/'Bloom Cleaner Data'!BU19*'Bloom Cleaner Data'!DA19</f>
        <v>0.66369654859333438</v>
      </c>
      <c r="KB19" s="15">
        <f>'Bloom Cleaner Data'!U19/'Bloom Cleaner Data'!BV19*'Bloom Cleaner Data'!DB19</f>
        <v>0.57944984821597489</v>
      </c>
      <c r="KC19" s="15">
        <f>'Bloom Cleaner Data'!V19/'Bloom Cleaner Data'!BW19*'Bloom Cleaner Data'!DC19</f>
        <v>0.49932882547718965</v>
      </c>
      <c r="KD19" s="15">
        <f>'Bloom Cleaner Data'!W19/'Bloom Cleaner Data'!BX19*'Bloom Cleaner Data'!DD19</f>
        <v>0.68205936972418801</v>
      </c>
      <c r="KE19" s="15">
        <f>'Bloom Cleaner Data'!X19/'Bloom Cleaner Data'!BY19*'Bloom Cleaner Data'!DE19</f>
        <v>0.59805708856967155</v>
      </c>
      <c r="KF19" s="15">
        <f>'Bloom Cleaner Data'!Y19/'Bloom Cleaner Data'!BZ19*'Bloom Cleaner Data'!DF19</f>
        <v>0.56519011970061539</v>
      </c>
      <c r="KG19" s="15">
        <f>'Bloom Cleaner Data'!Z19/'Bloom Cleaner Data'!CA19*'Bloom Cleaner Data'!DG19</f>
        <v>0.15387525059837842</v>
      </c>
      <c r="KH19" s="15">
        <f>'Bloom Cleaner Data'!AA19/'Bloom Cleaner Data'!CB19*'Bloom Cleaner Data'!DH19</f>
        <v>0.470629640653564</v>
      </c>
      <c r="KI19" s="15">
        <f>'Bloom Cleaner Data'!AB19/'Bloom Cleaner Data'!CC19*'Bloom Cleaner Data'!DI19</f>
        <v>0.34288316345907954</v>
      </c>
      <c r="KJ19" s="15">
        <f>'Bloom Cleaner Data'!AC19/'Bloom Cleaner Data'!CD19*'Bloom Cleaner Data'!DJ19</f>
        <v>0.77578745222249679</v>
      </c>
      <c r="KK19" s="15">
        <f>'Bloom Cleaner Data'!AD19/'Bloom Cleaner Data'!CE19*'Bloom Cleaner Data'!DK19</f>
        <v>0.66517714081749302</v>
      </c>
      <c r="KL19" s="15">
        <f>'Bloom Cleaner Data'!AE19/'Bloom Cleaner Data'!CF19*'Bloom Cleaner Data'!DL19</f>
        <v>0.96030243938984472</v>
      </c>
      <c r="KM19" s="15">
        <f>'Bloom Cleaner Data'!AF19/'Bloom Cleaner Data'!CG19*'Bloom Cleaner Data'!DM19</f>
        <v>0.98898900295557046</v>
      </c>
      <c r="KN19" s="15">
        <f>'Bloom Cleaner Data'!AG19/'Bloom Cleaner Data'!CH19*'Bloom Cleaner Data'!DN19</f>
        <v>1.0142768371832771</v>
      </c>
      <c r="KO19" s="15">
        <f>'Bloom Cleaner Data'!AH19/'Bloom Cleaner Data'!CI19*'Bloom Cleaner Data'!DO19</f>
        <v>1.0399968305958791</v>
      </c>
      <c r="KP19" s="15"/>
      <c r="KQ19" s="15">
        <f t="shared" si="79"/>
        <v>1.014420890244909</v>
      </c>
      <c r="KR19" s="15">
        <f t="shared" si="80"/>
        <v>1.0008912775311427</v>
      </c>
      <c r="KS19" s="15">
        <f t="shared" si="81"/>
        <v>0.67358101241132673</v>
      </c>
      <c r="KT19" s="18">
        <f t="shared" si="82"/>
        <v>1.0827894916781411</v>
      </c>
      <c r="KU19" s="18"/>
      <c r="KV19" s="1694" t="s">
        <v>287</v>
      </c>
      <c r="KW19" s="506">
        <f>('Bloom Cleaner Data'!T19+'OPERATING LEASES'!AU19)/DK19</f>
        <v>0.73206368037127345</v>
      </c>
      <c r="KX19" s="506">
        <f>('Bloom Cleaner Data'!U19+'OPERATING LEASES'!AV19)/DL19</f>
        <v>0.64895404163541992</v>
      </c>
      <c r="KY19" s="506">
        <f>('Bloom Cleaner Data'!V19+'OPERATING LEASES'!AW19)/DM19</f>
        <v>0.56816344089016091</v>
      </c>
      <c r="KZ19" s="506">
        <f>('Bloom Cleaner Data'!W19+'OPERATING LEASES'!AX19)/DN19</f>
        <v>0.74738387885088764</v>
      </c>
      <c r="LA19" s="506">
        <f>('Bloom Cleaner Data'!X19+'OPERATING LEASES'!AY19)/DO19</f>
        <v>0.66115581837086734</v>
      </c>
      <c r="LB19" s="506">
        <f>('Bloom Cleaner Data'!Y19+'OPERATING LEASES'!AZ19)/DP19</f>
        <v>0.64277230113855044</v>
      </c>
      <c r="LC19" s="506">
        <f>('Bloom Cleaner Data'!Z19+'OPERATING LEASES'!BA19)/DQ19</f>
        <v>0.26039207558834759</v>
      </c>
      <c r="LD19" s="506">
        <f>('Bloom Cleaner Data'!AA19+'OPERATING LEASES'!BB19)/DR19</f>
        <v>0.58849064180019561</v>
      </c>
      <c r="LE19" s="506">
        <f>('Bloom Cleaner Data'!AB19+'OPERATING LEASES'!BC19)/DS19</f>
        <v>0.47391539935842092</v>
      </c>
      <c r="LF19" s="506">
        <f>('Bloom Cleaner Data'!AC19+'OPERATING LEASES'!BD19)/DT19</f>
        <v>0.89884142312630078</v>
      </c>
      <c r="LG19" s="506">
        <f>('Bloom Cleaner Data'!AD19+'OPERATING LEASES'!BE19)/DU19</f>
        <v>0.78150699322337702</v>
      </c>
      <c r="LH19" s="506">
        <f>('Bloom Cleaner Data'!AE19+'OPERATING LEASES'!BF19)/DV19</f>
        <v>1.0708028960781275</v>
      </c>
      <c r="LI19" s="506">
        <f>('Bloom Cleaner Data'!AF19+'OPERATING LEASES'!BG19)/DW19</f>
        <v>1.1128540497776005</v>
      </c>
      <c r="LJ19" s="506">
        <f>('Bloom Cleaner Data'!AG19+'OPERATING LEASES'!BH19)/DX19</f>
        <v>1.1426940239905961</v>
      </c>
      <c r="LK19" s="506">
        <f>('Bloom Cleaner Data'!AH19+'OPERATING LEASES'!BI19)/DY19</f>
        <v>1.1762690733772538</v>
      </c>
      <c r="LL19" s="15"/>
      <c r="LM19" s="15">
        <f t="shared" si="83"/>
        <v>1.1439390490484833</v>
      </c>
      <c r="LN19" s="15">
        <f t="shared" si="84"/>
        <v>1.1256550108058945</v>
      </c>
      <c r="LO19" s="15">
        <f t="shared" si="85"/>
        <v>0.12476373327475176</v>
      </c>
      <c r="LP19" s="15">
        <f t="shared" si="86"/>
        <v>0.77886477042851432</v>
      </c>
      <c r="LQ19" s="18">
        <f t="shared" si="87"/>
        <v>1.0703005310133176</v>
      </c>
      <c r="LR19" s="15">
        <f t="shared" si="88"/>
        <v>0.10528375801718759</v>
      </c>
      <c r="LS19" s="18"/>
      <c r="LT19" s="15">
        <f t="shared" si="89"/>
        <v>0.73206368037127345</v>
      </c>
      <c r="LU19" s="15">
        <f t="shared" si="90"/>
        <v>0.64895404163541992</v>
      </c>
      <c r="LV19" s="15">
        <f t="shared" si="91"/>
        <v>0.56816344089016091</v>
      </c>
      <c r="LW19" s="15">
        <f t="shared" si="92"/>
        <v>0.74738387885088764</v>
      </c>
      <c r="LX19" s="15">
        <f t="shared" si="93"/>
        <v>0.66115581837086734</v>
      </c>
      <c r="LY19" s="15">
        <f t="shared" si="94"/>
        <v>0.64277230113855044</v>
      </c>
      <c r="LZ19" s="15">
        <f t="shared" si="95"/>
        <v>0.26039207558834759</v>
      </c>
      <c r="MA19" s="15">
        <f t="shared" si="96"/>
        <v>0.58849064180019561</v>
      </c>
      <c r="MB19" s="15">
        <f t="shared" si="97"/>
        <v>0.47391539935842092</v>
      </c>
      <c r="MC19" s="15">
        <f t="shared" si="98"/>
        <v>0.89884142312630078</v>
      </c>
      <c r="MD19" s="15">
        <f t="shared" si="99"/>
        <v>0.78150699322337702</v>
      </c>
      <c r="ME19" s="15">
        <f t="shared" si="100"/>
        <v>1.0708028960781275</v>
      </c>
      <c r="MF19" s="15">
        <f t="shared" si="101"/>
        <v>1.1128540497776005</v>
      </c>
      <c r="MG19" s="15">
        <f t="shared" si="102"/>
        <v>1.1426940239905961</v>
      </c>
      <c r="MH19" s="15">
        <f t="shared" si="103"/>
        <v>1.1762690733772538</v>
      </c>
      <c r="MI19" s="15"/>
      <c r="MJ19" s="15">
        <f t="shared" si="104"/>
        <v>1.1439390490484833</v>
      </c>
      <c r="MK19" s="15">
        <f t="shared" si="105"/>
        <v>1.1256550108058945</v>
      </c>
      <c r="ML19" s="506">
        <f t="shared" si="106"/>
        <v>0.77886477042851432</v>
      </c>
      <c r="MM19" s="10">
        <f t="shared" si="107"/>
        <v>1.0703005310133176</v>
      </c>
      <c r="MN19" s="18"/>
      <c r="MO19" s="15">
        <f>('Bloom Cleaner Data'!T19+'Bloom Cleaner Data'!EY19)/'Bloom Cleaner Data'!GV19</f>
        <v>1.0175616795500688</v>
      </c>
      <c r="MP19" s="15">
        <f>('Bloom Cleaner Data'!U19+'Bloom Cleaner Data'!EZ19)/'Bloom Cleaner Data'!GW19</f>
        <v>1.0192153321065089</v>
      </c>
      <c r="MQ19" s="15">
        <f>('Bloom Cleaner Data'!V19+'Bloom Cleaner Data'!FA19)/'Bloom Cleaner Data'!GX19</f>
        <v>1.0405346726936249</v>
      </c>
      <c r="MR19" s="15">
        <f>('Bloom Cleaner Data'!W19+'Bloom Cleaner Data'!FB19)/'Bloom Cleaner Data'!GY19</f>
        <v>1.0406856026347917</v>
      </c>
      <c r="MS19" s="15">
        <f>('Bloom Cleaner Data'!X19+'Bloom Cleaner Data'!FC19)/'Bloom Cleaner Data'!GZ19</f>
        <v>1.0149931842192403</v>
      </c>
      <c r="MT19" s="15">
        <f>('Bloom Cleaner Data'!Y19+'Bloom Cleaner Data'!FD19)/'Bloom Cleaner Data'!HA19</f>
        <v>1.0524229815114907</v>
      </c>
      <c r="MU19" s="15">
        <f>('Bloom Cleaner Data'!Z19+'Bloom Cleaner Data'!FE19)/'Bloom Cleaner Data'!HB19</f>
        <v>1.1000564405462891</v>
      </c>
      <c r="MV19" s="15">
        <f>('Bloom Cleaner Data'!AA19+'Bloom Cleaner Data'!FF19)/'Bloom Cleaner Data'!HC19</f>
        <v>0.90313134806269024</v>
      </c>
      <c r="MW19" s="15">
        <f>('Bloom Cleaner Data'!AB19+'Bloom Cleaner Data'!FG19)/'Bloom Cleaner Data'!HD19</f>
        <v>0.87497532162129743</v>
      </c>
      <c r="MX19" s="15">
        <f>('Bloom Cleaner Data'!AC19+'Bloom Cleaner Data'!FH19)/'Bloom Cleaner Data'!HE19</f>
        <v>0.89569571888102795</v>
      </c>
      <c r="MY19" s="15">
        <f>('Bloom Cleaner Data'!AD19+'Bloom Cleaner Data'!FI19)/'Bloom Cleaner Data'!HF19</f>
        <v>0.82052219197857912</v>
      </c>
      <c r="MZ19" s="15">
        <f>('Bloom Cleaner Data'!AE19+'Bloom Cleaner Data'!FJ19)/'Bloom Cleaner Data'!HG19</f>
        <v>1.0460210757045072</v>
      </c>
      <c r="NA19" s="15">
        <f>('Bloom Cleaner Data'!AF19+'Bloom Cleaner Data'!FK19)/'Bloom Cleaner Data'!HH19</f>
        <v>1.0699685769956024</v>
      </c>
      <c r="NB19" s="15">
        <f>('Bloom Cleaner Data'!AG19+'Bloom Cleaner Data'!FL19)/'Bloom Cleaner Data'!HI19</f>
        <v>1.0707698492415005</v>
      </c>
      <c r="NC19" s="15">
        <f>('Bloom Cleaner Data'!AH19+'Bloom Cleaner Data'!FM19)/'Bloom Cleaner Data'!HJ19</f>
        <v>1.1111788358899972</v>
      </c>
      <c r="ND19" s="15"/>
      <c r="NE19" s="15">
        <f t="shared" si="43"/>
        <v>7.1182005294118111E-2</v>
      </c>
      <c r="NF19" s="15">
        <f t="shared" si="108"/>
        <v>1.0839724207090333</v>
      </c>
      <c r="NG19" s="15">
        <f t="shared" si="44"/>
        <v>6.9551530464124323E-2</v>
      </c>
      <c r="NH19" s="15">
        <f t="shared" si="109"/>
        <v>1.0744845844579018</v>
      </c>
      <c r="NI19" s="15">
        <f t="shared" si="110"/>
        <v>1.003150446152357</v>
      </c>
      <c r="NJ19" s="18">
        <f t="shared" si="111"/>
        <v>6.7892176061270779E-2</v>
      </c>
      <c r="NK19" s="15">
        <f t="shared" si="45"/>
        <v>0.32956943374103032</v>
      </c>
      <c r="NL19" s="2818"/>
      <c r="NM19" s="1694" t="s">
        <v>287</v>
      </c>
      <c r="NN19" s="15">
        <f>KW19+'Bloom Cleaner Data'!EY19/CALCULATIONS!DK19</f>
        <v>1.0811942146686697</v>
      </c>
      <c r="NO19" s="15">
        <f>KX19+'Bloom Cleaner Data'!EZ19/CALCULATIONS!DL19</f>
        <v>1.0830128715601153</v>
      </c>
      <c r="NP19" s="15">
        <f>KY19+'Bloom Cleaner Data'!FA19/CALCULATIONS!DM19</f>
        <v>1.1027443216310544</v>
      </c>
      <c r="NQ19" s="15">
        <f>KZ19+'Bloom Cleaner Data'!FB19/CALCULATIONS!DN19</f>
        <v>1.1018700071951804</v>
      </c>
      <c r="NR19" s="15">
        <f>LA19+'Bloom Cleaner Data'!FC19/CALCULATIONS!DO19</f>
        <v>1.0737073712526271</v>
      </c>
      <c r="NS19" s="15">
        <f>LB19+'Bloom Cleaner Data'!FD19/CALCULATIONS!DP19</f>
        <v>1.1237395965283135</v>
      </c>
      <c r="NT19" s="15">
        <f>LC19+'Bloom Cleaner Data'!FE19/CALCULATIONS!DQ19</f>
        <v>1.1909341860092464</v>
      </c>
      <c r="NU19" s="15">
        <f>LD19+'Bloom Cleaner Data'!FF19/CALCULATIONS!DR19</f>
        <v>1.0126734564446416</v>
      </c>
      <c r="NV19" s="15">
        <f>LE19+'Bloom Cleaner Data'!FG19/CALCULATIONS!DS19</f>
        <v>0.99486174681262551</v>
      </c>
      <c r="NW19" s="15">
        <f>LF19+'Bloom Cleaner Data'!FH19/CALCULATIONS!DT19</f>
        <v>1.016215509847316</v>
      </c>
      <c r="NX19" s="15">
        <f>LG19+'Bloom Cleaner Data'!FI19/CALCULATIONS!DU19</f>
        <v>0.9338061957043603</v>
      </c>
      <c r="NY19" s="15">
        <f>LH19+'Bloom Cleaner Data'!FJ19/CALCULATIONS!DV19</f>
        <v>1.1548414999495156</v>
      </c>
      <c r="NZ19" s="15">
        <f>LI19+'Bloom Cleaner Data'!FK19/CALCULATIONS!DW19</f>
        <v>1.1920454160282841</v>
      </c>
      <c r="OA19" s="15">
        <f>LJ19+'Bloom Cleaner Data'!FL19/CALCULATIONS!DX19</f>
        <v>1.1978878422812229</v>
      </c>
      <c r="OB19" s="15">
        <f>LK19+'Bloom Cleaner Data'!FM19/CALCULATIONS!DY19</f>
        <v>1.2457059049561294</v>
      </c>
      <c r="OC19" s="15"/>
      <c r="OD19" s="15">
        <f t="shared" si="46"/>
        <v>6.9436831578875591E-2</v>
      </c>
      <c r="OE19" s="15">
        <f t="shared" si="112"/>
        <v>1.2118797210885457</v>
      </c>
      <c r="OF19" s="15">
        <f t="shared" si="47"/>
        <v>6.7940672040062378E-2</v>
      </c>
      <c r="OG19" s="15">
        <f t="shared" si="113"/>
        <v>1.1976201658037882</v>
      </c>
      <c r="OH19" s="15">
        <f t="shared" si="114"/>
        <v>1.1031563888185012</v>
      </c>
      <c r="OI19" s="18">
        <f t="shared" si="115"/>
        <v>0.12964164087793484</v>
      </c>
      <c r="OJ19" s="15">
        <f t="shared" si="48"/>
        <v>0.32429161838998688</v>
      </c>
      <c r="OK19" s="15"/>
      <c r="OL19" s="13">
        <f>'Bloom Cleaner Data'!GF19+('Bloom Cleaner Data'!T19+'Bloom Cleaner Data'!EY19)+'Bloom Cleaner Data'!CK19</f>
        <v>22945</v>
      </c>
      <c r="OM19" s="13">
        <f>'Bloom Cleaner Data'!GG19+('Bloom Cleaner Data'!U19+'Bloom Cleaner Data'!EZ19)+'Bloom Cleaner Data'!CL19</f>
        <v>23024</v>
      </c>
      <c r="ON19" s="13">
        <f>'Bloom Cleaner Data'!GH19+('Bloom Cleaner Data'!V19+'Bloom Cleaner Data'!FA19)+'Bloom Cleaner Data'!CM19</f>
        <v>21376</v>
      </c>
      <c r="OO19" s="13">
        <f>'Bloom Cleaner Data'!GI19+('Bloom Cleaner Data'!W19+'Bloom Cleaner Data'!FB19)+'Bloom Cleaner Data'!CN19</f>
        <v>20492</v>
      </c>
      <c r="OP19" s="13">
        <f>'Bloom Cleaner Data'!GJ19+('Bloom Cleaner Data'!X19+'Bloom Cleaner Data'!FC19)+'Bloom Cleaner Data'!CO19</f>
        <v>20605</v>
      </c>
      <c r="OQ19" s="13">
        <f>'Bloom Cleaner Data'!GK19+('Bloom Cleaner Data'!Y19+'Bloom Cleaner Data'!FD19)+'Bloom Cleaner Data'!CP19</f>
        <v>20931</v>
      </c>
      <c r="OR19" s="13">
        <f>'Bloom Cleaner Data'!GL19+('Bloom Cleaner Data'!Z19+'Bloom Cleaner Data'!FE19)+'Bloom Cleaner Data'!CQ19</f>
        <v>19626</v>
      </c>
      <c r="OS19" s="13">
        <f>'Bloom Cleaner Data'!GM19+('Bloom Cleaner Data'!AA19+'Bloom Cleaner Data'!FF19)+'Bloom Cleaner Data'!CR19</f>
        <v>18918</v>
      </c>
      <c r="OT19" s="13">
        <f>'Bloom Cleaner Data'!GN19+('Bloom Cleaner Data'!AB19+'Bloom Cleaner Data'!FG19)+'Bloom Cleaner Data'!CS19</f>
        <v>19040</v>
      </c>
      <c r="OU19" s="13">
        <f>'Bloom Cleaner Data'!GO19+('Bloom Cleaner Data'!AC19+'Bloom Cleaner Data'!FH19)+'Bloom Cleaner Data'!CT19</f>
        <v>19202</v>
      </c>
      <c r="OV19" s="13">
        <f>'Bloom Cleaner Data'!GP19+('Bloom Cleaner Data'!AD19+'Bloom Cleaner Data'!FI19)+'Bloom Cleaner Data'!CU19</f>
        <v>17264</v>
      </c>
      <c r="OW19" s="13">
        <f>'Bloom Cleaner Data'!GQ19+('Bloom Cleaner Data'!AE19+'Bloom Cleaner Data'!FJ19)+'Bloom Cleaner Data'!CV19</f>
        <v>18721</v>
      </c>
      <c r="OX19" s="13">
        <f>'Bloom Cleaner Data'!GR19+('Bloom Cleaner Data'!AF19+'Bloom Cleaner Data'!FK19)+'Bloom Cleaner Data'!CW19</f>
        <v>18113</v>
      </c>
      <c r="OY19" s="13">
        <f>'Bloom Cleaner Data'!GS19+('Bloom Cleaner Data'!AG19+'Bloom Cleaner Data'!FL19)+'Bloom Cleaner Data'!CX19</f>
        <v>17994</v>
      </c>
      <c r="OZ19" s="13">
        <f>'Bloom Cleaner Data'!GT19+('Bloom Cleaner Data'!AH19+'Bloom Cleaner Data'!FM19)+'Bloom Cleaner Data'!CY19</f>
        <v>17271</v>
      </c>
      <c r="PA19" s="166"/>
      <c r="PB19" s="1694" t="s">
        <v>287</v>
      </c>
      <c r="PC19" s="947">
        <f>('Bloom Cleaner Data'!T19+'Bloom Cleaner Data'!EY19+'OPERATING LEASES'!BL19)/CALCULATIONS!OL19</f>
        <v>0.28167356722597514</v>
      </c>
      <c r="PD19" s="947">
        <f>('Bloom Cleaner Data'!U19+'Bloom Cleaner Data'!EZ19+'OPERATING LEASES'!BM19)/CALCULATIONS!OM19</f>
        <v>0.27060214341556638</v>
      </c>
      <c r="PE19" s="947">
        <f>('Bloom Cleaner Data'!V19+'Bloom Cleaner Data'!FA19+'OPERATING LEASES'!BN19)/CALCULATIONS!ON19</f>
        <v>0.29288395864520961</v>
      </c>
      <c r="PF19" s="947">
        <f>('Bloom Cleaner Data'!W19+'Bloom Cleaner Data'!FB19+'OPERATING LEASES'!BO19)/CALCULATIONS!OO19</f>
        <v>0.29914265323052897</v>
      </c>
      <c r="PG19" s="947">
        <f>('Bloom Cleaner Data'!X19+'Bloom Cleaner Data'!FC19+'OPERATING LEASES'!BP19)/CALCULATIONS!OP19</f>
        <v>0.2921317641349187</v>
      </c>
      <c r="PH19" s="947">
        <f>('Bloom Cleaner Data'!Y19+'Bloom Cleaner Data'!FD19+'OPERATING LEASES'!BQ19)/CALCULATIONS!OQ19</f>
        <v>0.29513789355501407</v>
      </c>
      <c r="PI19" s="947">
        <f>('Bloom Cleaner Data'!Z19+'Bloom Cleaner Data'!FE19+'OPERATING LEASES'!BR19)/CALCULATIONS!OR19</f>
        <v>0.3002999847141547</v>
      </c>
      <c r="PJ19" s="947">
        <f>('Bloom Cleaner Data'!AA19+'Bloom Cleaner Data'!FF19+'OPERATING LEASES'!BS19)/CALCULATIONS!OS19</f>
        <v>0.25329547256581036</v>
      </c>
      <c r="PK19" s="947">
        <f>('Bloom Cleaner Data'!AB19+'Bloom Cleaner Data'!FG19+'OPERATING LEASES'!BT19)/CALCULATIONS!OT19</f>
        <v>0.25304621848739495</v>
      </c>
      <c r="PL19" s="947">
        <f>('Bloom Cleaner Data'!AC19+'Bloom Cleaner Data'!FH19+'OPERATING LEASES'!BU19)/CALCULATIONS!OU19</f>
        <v>0.25098622539318821</v>
      </c>
      <c r="PM19" s="947">
        <f>('Bloom Cleaner Data'!AD19+'Bloom Cleaner Data'!FI19+'OPERATING LEASES'!BV19)/CALCULATIONS!OV19</f>
        <v>0.27235142493049119</v>
      </c>
      <c r="PN19" s="947">
        <f>('Bloom Cleaner Data'!AE19+'Bloom Cleaner Data'!FJ19+'OPERATING LEASES'!BW19)/CALCULATIONS!OW19</f>
        <v>0.31420931040008548</v>
      </c>
      <c r="PO19" s="947">
        <f>('Bloom Cleaner Data'!AF19+'Bloom Cleaner Data'!FK19+'OPERATING LEASES'!BX19)/CALCULATIONS!OX19</f>
        <v>0.29049577651410591</v>
      </c>
      <c r="PP19" s="947">
        <f>('Bloom Cleaner Data'!AG19+'Bloom Cleaner Data'!FL19+'OPERATING LEASES'!BY19)/CALCULATIONS!OY19</f>
        <v>0.28096865621873957</v>
      </c>
      <c r="PQ19" s="947">
        <f>('Bloom Cleaner Data'!AH19+'Bloom Cleaner Data'!FM19+'OPERATING LEASES'!BZ19)/CALCULATIONS!OZ19</f>
        <v>0.28468241560998203</v>
      </c>
      <c r="PR19" s="947"/>
      <c r="PS19" s="18">
        <f t="shared" si="116"/>
        <v>0.28538228278094252</v>
      </c>
      <c r="PT19" s="18">
        <f t="shared" si="117"/>
        <v>0.29258903968572825</v>
      </c>
      <c r="PU19" s="18">
        <f t="shared" si="118"/>
        <v>0.28304859649227876</v>
      </c>
      <c r="PV19" s="10">
        <f t="shared" si="119"/>
        <v>-2.8002704802152265E-2</v>
      </c>
      <c r="PW19" s="10"/>
      <c r="PX19" s="506">
        <f>'Bloom Cleaner Data'!D19/'Bloom Cleaner Data'!GF19</f>
        <v>1.2808747659034616</v>
      </c>
      <c r="PY19" s="506">
        <f>'Bloom Cleaner Data'!E19/'Bloom Cleaner Data'!GG19</f>
        <v>1.2842321964529331</v>
      </c>
      <c r="PZ19" s="506">
        <f>'Bloom Cleaner Data'!F19/'Bloom Cleaner Data'!GH19</f>
        <v>1.2586346622734761</v>
      </c>
      <c r="QA19" s="506">
        <f>'Bloom Cleaner Data'!G19/'Bloom Cleaner Data'!GI19</f>
        <v>1.6658552580466151</v>
      </c>
      <c r="QB19" s="506">
        <f>'Bloom Cleaner Data'!H19/'Bloom Cleaner Data'!GJ19</f>
        <v>1.4926609266092661</v>
      </c>
      <c r="QC19" s="506">
        <f>'Bloom Cleaner Data'!I19/'Bloom Cleaner Data'!GK19</f>
        <v>1.5866241090712743</v>
      </c>
      <c r="QD19" s="506">
        <f>'Bloom Cleaner Data'!J19/'Bloom Cleaner Data'!GL19</f>
        <v>1.6116399435069169</v>
      </c>
      <c r="QE19" s="506">
        <f>'Bloom Cleaner Data'!K19/'Bloom Cleaner Data'!GM19</f>
        <v>1.6350283523286901</v>
      </c>
      <c r="QF19" s="506">
        <f>'Bloom Cleaner Data'!L19/'Bloom Cleaner Data'!GN19</f>
        <v>1.5919005581135761</v>
      </c>
      <c r="QG19" s="506">
        <f>'Bloom Cleaner Data'!M19/'Bloom Cleaner Data'!GO19</f>
        <v>1.574875244928936</v>
      </c>
      <c r="QH19" s="506">
        <f>'Bloom Cleaner Data'!N19/'Bloom Cleaner Data'!GP19</f>
        <v>1.6411028488005051</v>
      </c>
      <c r="QI19" s="506">
        <f>'Bloom Cleaner Data'!O19/'Bloom Cleaner Data'!GQ19</f>
        <v>1.6970283772302464</v>
      </c>
      <c r="QJ19" s="506">
        <f>'Bloom Cleaner Data'!P19/'Bloom Cleaner Data'!GR19</f>
        <v>1.2606102407778979</v>
      </c>
      <c r="QK19" s="506">
        <f>'Bloom Cleaner Data'!Q19/'Bloom Cleaner Data'!GS19</f>
        <v>0.68292671521655812</v>
      </c>
      <c r="QL19" s="506">
        <f>'Bloom Cleaner Data'!R19/'Bloom Cleaner Data'!GT19</f>
        <v>0.8056764866383116</v>
      </c>
      <c r="QM19" s="506"/>
      <c r="QN19" s="506">
        <f t="shared" si="120"/>
        <v>1.4234279787340207</v>
      </c>
      <c r="QO19" s="10">
        <f t="shared" si="121"/>
        <v>-0.3598805826759805</v>
      </c>
      <c r="QP19" s="506">
        <f t="shared" si="122"/>
        <v>1.4065116228510506</v>
      </c>
      <c r="QQ19" s="18"/>
      <c r="QR19" s="506">
        <f>'Bloom Cleaner Data'!GF19/CALCULATIONS!DK19</f>
        <v>2.6055715663772774</v>
      </c>
      <c r="QS19" s="506">
        <f>'Bloom Cleaner Data'!GG19/CALCULATIONS!DL19</f>
        <v>2.7572712184251835</v>
      </c>
      <c r="QT19" s="506">
        <f>'Bloom Cleaner Data'!GH19/CALCULATIONS!DM19</f>
        <v>2.5209026927417835</v>
      </c>
      <c r="QU19" s="506">
        <f>'Bloom Cleaner Data'!GI19/CALCULATIONS!DN19</f>
        <v>2.4462766999575498</v>
      </c>
      <c r="QV19" s="506">
        <f>'Bloom Cleaner Data'!GJ19/CALCULATIONS!DO19</f>
        <v>2.4672167653746104</v>
      </c>
      <c r="QW19" s="506">
        <f>'Bloom Cleaner Data'!GK19/CALCULATIONS!DP19</f>
        <v>2.5224819286707008</v>
      </c>
      <c r="QX19" s="506">
        <f>'Bloom Cleaner Data'!GL19/CALCULATIONS!DQ19</f>
        <v>2.5732014657683457</v>
      </c>
      <c r="QY19" s="506">
        <f>'Bloom Cleaner Data'!GM19/CALCULATIONS!DR19</f>
        <v>2.6844766372912527</v>
      </c>
      <c r="QZ19" s="506">
        <f>'Bloom Cleaner Data'!GN19/CALCULATIONS!DS19</f>
        <v>2.610924805737262</v>
      </c>
      <c r="RA19" s="506">
        <f>'Bloom Cleaner Data'!GO19/CALCULATIONS!DT19</f>
        <v>2.70034922687999</v>
      </c>
      <c r="RB19" s="506">
        <f>'Bloom Cleaner Data'!GP19/CALCULATIONS!DU19</f>
        <v>2.2208693830138322</v>
      </c>
      <c r="RC19" s="506">
        <f>'Bloom Cleaner Data'!GQ19/CALCULATIONS!DV19</f>
        <v>2.3003124827121808</v>
      </c>
      <c r="RD19" s="506">
        <f>'Bloom Cleaner Data'!GR19/CALCULATIONS!DW19</f>
        <v>2.6311839073752794</v>
      </c>
      <c r="RE19" s="506">
        <f>'Bloom Cleaner Data'!GS19/CALCULATIONS!DX19</f>
        <v>2.7586335616905293</v>
      </c>
      <c r="RF19" s="506">
        <f>'Bloom Cleaner Data'!GT19/CALCULATIONS!DY19</f>
        <v>2.8092609035856122</v>
      </c>
      <c r="RG19" s="506"/>
      <c r="RH19" s="506">
        <f t="shared" si="123"/>
        <v>2.5573915739076094</v>
      </c>
      <c r="RI19" s="506">
        <f t="shared" si="124"/>
        <v>2.5876902637838097</v>
      </c>
      <c r="RJ19" s="18"/>
      <c r="RK19" s="506">
        <f>'Bloom Cleaner Data'!GF19/($RK$1*DK19+(1-$RK$1)*'Bloom Cleaner Data'!GV19)</f>
        <v>2.6055715663772774</v>
      </c>
      <c r="RL19" s="506">
        <f>'Bloom Cleaner Data'!GG19/($RK$1*DL19+(1-$RK$1)*'Bloom Cleaner Data'!GW19)</f>
        <v>2.7572712184251835</v>
      </c>
      <c r="RM19" s="506">
        <f>'Bloom Cleaner Data'!GH19/($RK$1*DM19+(1-$RK$1)*'Bloom Cleaner Data'!GX19)</f>
        <v>2.5209026927417835</v>
      </c>
      <c r="RN19" s="506">
        <f>'Bloom Cleaner Data'!GI19/($RK$1*DN19+(1-$RK$1)*'Bloom Cleaner Data'!GY19)</f>
        <v>2.4462766999575498</v>
      </c>
      <c r="RO19" s="506">
        <f>'Bloom Cleaner Data'!GJ19/($RK$1*DO19+(1-$RK$1)*'Bloom Cleaner Data'!GZ19)</f>
        <v>2.4672167653746104</v>
      </c>
      <c r="RP19" s="506">
        <f>'Bloom Cleaner Data'!GK19/($RK$1*DP19+(1-$RK$1)*'Bloom Cleaner Data'!HA19)</f>
        <v>2.5224819286707008</v>
      </c>
      <c r="RQ19" s="506">
        <f>'Bloom Cleaner Data'!GL19/($RK$1*DQ19+(1-$RK$1)*'Bloom Cleaner Data'!HB19)</f>
        <v>2.5732014657683457</v>
      </c>
      <c r="RR19" s="506">
        <f>'Bloom Cleaner Data'!GM19/($RK$1*DR19+(1-$RK$1)*'Bloom Cleaner Data'!HC19)</f>
        <v>2.6844766372912527</v>
      </c>
      <c r="RS19" s="506">
        <f>'Bloom Cleaner Data'!GN19/($RK$1*DS19+(1-$RK$1)*'Bloom Cleaner Data'!HD19)</f>
        <v>2.610924805737262</v>
      </c>
      <c r="RT19" s="506">
        <f>'Bloom Cleaner Data'!GO19/($RK$1*DT19+(1-$RK$1)*'Bloom Cleaner Data'!HE19)</f>
        <v>2.70034922687999</v>
      </c>
      <c r="RU19" s="506">
        <f>'Bloom Cleaner Data'!GP19/($RK$1*DU19+(1-$RK$1)*'Bloom Cleaner Data'!HF19)</f>
        <v>2.2208693830138322</v>
      </c>
      <c r="RV19" s="506">
        <f>'Bloom Cleaner Data'!GQ19/($RK$1*DV19+(1-$RK$1)*'Bloom Cleaner Data'!HG19)</f>
        <v>2.3003124827121808</v>
      </c>
      <c r="RW19" s="506">
        <f>'Bloom Cleaner Data'!GR19/($RK$1*DW19+(1-$RK$1)*'Bloom Cleaner Data'!HH19)</f>
        <v>2.6311839073752794</v>
      </c>
      <c r="RX19" s="506">
        <f>'Bloom Cleaner Data'!GS19/($RK$1*DX19+(1-$RK$1)*'Bloom Cleaner Data'!HI19)</f>
        <v>2.7586335616905293</v>
      </c>
      <c r="RY19" s="506">
        <f>'Bloom Cleaner Data'!GT19/($RK$1*DY19+(1-$RK$1)*'Bloom Cleaner Data'!HJ19)</f>
        <v>2.8092609035856122</v>
      </c>
      <c r="RZ19" s="506"/>
      <c r="SA19" s="506">
        <f t="shared" si="125"/>
        <v>2.5573915739076094</v>
      </c>
      <c r="SB19" s="506">
        <f t="shared" si="126"/>
        <v>2.5876902637838097</v>
      </c>
      <c r="SC19" s="18"/>
      <c r="SD19" s="15">
        <f>'Bloom Cleaner Data'!HM19</f>
        <v>10.122400000000001</v>
      </c>
      <c r="SE19" s="15">
        <f>'Bloom Cleaner Data'!HN19</f>
        <v>8.0076999999999998</v>
      </c>
      <c r="SF19" s="15">
        <f>'Bloom Cleaner Data'!HO19</f>
        <v>8.6042000000000005</v>
      </c>
      <c r="SG19" s="15">
        <f>'Bloom Cleaner Data'!HP19</f>
        <v>7.1349999999999998</v>
      </c>
      <c r="SH19" s="15">
        <f>'Bloom Cleaner Data'!HQ19</f>
        <v>8.3999000000000006</v>
      </c>
      <c r="SI19" s="15">
        <f>'Bloom Cleaner Data'!HR19</f>
        <v>9.0390999999999995</v>
      </c>
      <c r="SJ19" s="15">
        <f>'Bloom Cleaner Data'!HS19</f>
        <v>8.1005000000000003</v>
      </c>
      <c r="SK19" s="15">
        <f>'Bloom Cleaner Data'!HT19</f>
        <v>10.4245</v>
      </c>
      <c r="SL19" s="15">
        <f>'Bloom Cleaner Data'!HU19</f>
        <v>10.604800000000001</v>
      </c>
      <c r="SM19" s="15">
        <f>'Bloom Cleaner Data'!HV19</f>
        <v>9.3407</v>
      </c>
      <c r="SN19" s="15">
        <f>'Bloom Cleaner Data'!HW19</f>
        <v>10.1852</v>
      </c>
      <c r="SO19" s="15">
        <f>'Bloom Cleaner Data'!HX19</f>
        <v>10.2643</v>
      </c>
      <c r="SP19" s="15">
        <f>'Bloom Cleaner Data'!HY19</f>
        <v>6.3807</v>
      </c>
      <c r="SQ19" s="15">
        <f>'Bloom Cleaner Data'!HZ19</f>
        <v>6.5594000000000001</v>
      </c>
      <c r="SR19" s="15">
        <f>'Bloom Cleaner Data'!IA19</f>
        <v>5.6787999999999998</v>
      </c>
      <c r="SS19" s="15"/>
      <c r="ST19" s="15">
        <f t="shared" si="127"/>
        <v>8.589813333333332</v>
      </c>
      <c r="SU19" s="487">
        <f t="shared" si="128"/>
        <v>-0.33999674577531908</v>
      </c>
      <c r="SV19" s="15">
        <f t="shared" si="129"/>
        <v>-2.9254000000000007</v>
      </c>
    </row>
    <row r="20" spans="1:518">
      <c r="A20" s="11" t="s">
        <v>27</v>
      </c>
      <c r="B20" s="72"/>
      <c r="C20" s="83" t="s">
        <v>54</v>
      </c>
      <c r="D20" s="1133" t="s">
        <v>1041</v>
      </c>
      <c r="E20" s="224"/>
      <c r="F20" s="224"/>
      <c r="G20" s="13">
        <f>'Bloom Cleaner Data'!D20</f>
        <v>7462.4336999999996</v>
      </c>
      <c r="H20" s="13">
        <f>'Bloom Cleaner Data'!F20</f>
        <v>7333.4517999999998</v>
      </c>
      <c r="I20" s="13">
        <f>'Bloom Cleaner Data'!H20</f>
        <v>7339.8116</v>
      </c>
      <c r="J20" s="13">
        <f>'Bloom Cleaner Data'!J20</f>
        <v>6129.4525000000003</v>
      </c>
      <c r="K20" s="13">
        <f>'Bloom Cleaner Data'!L20</f>
        <v>3610.3515000000002</v>
      </c>
      <c r="L20" s="13">
        <f>'Bloom Cleaner Data'!N20</f>
        <v>3097.4506999999999</v>
      </c>
      <c r="M20" s="13">
        <f>'Bloom Cleaner Data'!P20</f>
        <v>3024.9229999999998</v>
      </c>
      <c r="N20" s="13">
        <f>'Bloom Cleaner Data'!R20</f>
        <v>2680.5724</v>
      </c>
      <c r="O20" s="13"/>
      <c r="P20" s="13">
        <f t="shared" si="0"/>
        <v>4745.1447857142857</v>
      </c>
      <c r="Q20" s="13">
        <f t="shared" si="49"/>
        <v>2934.3153666666672</v>
      </c>
      <c r="R20" s="10">
        <f t="shared" si="1"/>
        <v>-0.63447330491761056</v>
      </c>
      <c r="S20" s="144">
        <f>R20</f>
        <v>-0.63447330491761056</v>
      </c>
      <c r="T20" s="10">
        <f t="shared" si="2"/>
        <v>-0.53269772601197163</v>
      </c>
      <c r="U20" s="10"/>
      <c r="V20" s="1277" t="s">
        <v>54</v>
      </c>
      <c r="W20" s="1238">
        <f>'Bloom Cleaner Data'!D20/'Bloom Cleaner Data'!$F20</f>
        <v>1.0175881567804128</v>
      </c>
      <c r="X20" s="1238">
        <f>'Bloom Cleaner Data'!E20/'Bloom Cleaner Data'!$F20</f>
        <v>1.011982692788681</v>
      </c>
      <c r="Y20" s="1238">
        <f>'Bloom Cleaner Data'!F20/'Bloom Cleaner Data'!$F20</f>
        <v>1</v>
      </c>
      <c r="Z20" s="1238">
        <f>'Bloom Cleaner Data'!G20/'Bloom Cleaner Data'!$F20</f>
        <v>1.1968241885765174</v>
      </c>
      <c r="AA20" s="1238">
        <f>'Bloom Cleaner Data'!H20/'Bloom Cleaner Data'!$F20</f>
        <v>1.0008672314448157</v>
      </c>
      <c r="AB20" s="1238">
        <f>'Bloom Cleaner Data'!I20/'Bloom Cleaner Data'!$F20</f>
        <v>0.99560123924179877</v>
      </c>
      <c r="AC20" s="1238">
        <f>'Bloom Cleaner Data'!J20/'Bloom Cleaner Data'!$F20</f>
        <v>0.83582092951098419</v>
      </c>
      <c r="AD20" s="1238">
        <f>'Bloom Cleaner Data'!K20/'Bloom Cleaner Data'!$F20</f>
        <v>0.67237313811757782</v>
      </c>
      <c r="AE20" s="1238">
        <f>'Bloom Cleaner Data'!L20/'Bloom Cleaner Data'!$F20</f>
        <v>0.49231270600292215</v>
      </c>
      <c r="AF20" s="1238">
        <f>'Bloom Cleaner Data'!M20/'Bloom Cleaner Data'!$F20</f>
        <v>0.49892780368448048</v>
      </c>
      <c r="AG20" s="1238">
        <f>'Bloom Cleaner Data'!N20/'Bloom Cleaner Data'!$F20</f>
        <v>0.42237281766820911</v>
      </c>
      <c r="AH20" s="1238">
        <f>'Bloom Cleaner Data'!O20/'Bloom Cleaner Data'!$F20</f>
        <v>0.47029445260688835</v>
      </c>
      <c r="AI20" s="1238">
        <f>'Bloom Cleaner Data'!P20/'Bloom Cleaner Data'!$F20</f>
        <v>0.41248283652726808</v>
      </c>
      <c r="AJ20" s="1238">
        <f>'Bloom Cleaner Data'!Q20/'Bloom Cleaner Data'!$F20</f>
        <v>0.4689415153720653</v>
      </c>
      <c r="AK20" s="1238">
        <f>'Bloom Cleaner Data'!R20/'Bloom Cleaner Data'!$F20</f>
        <v>0.36552669508238944</v>
      </c>
      <c r="AL20" s="13"/>
      <c r="AM20" s="13">
        <f>AVERAGE('Bloom Cleaner Data'!BW20:CI20)</f>
        <v>12327.062853846153</v>
      </c>
      <c r="AN20" s="18">
        <f>('Bloom Cleaner Data'!CI20-'Bloom Cleaner Data'!BW20)/'Bloom Cleaner Data'!BW20</f>
        <v>-0.24274022759190655</v>
      </c>
      <c r="AO20" s="18">
        <f>('Bloom Cleaner Data'!CI20+'Bloom Cleaner Data'!CH20-'Bloom Cleaner Data'!BW20-'Bloom Cleaner Data'!BV20)/('Bloom Cleaner Data'!BW20+'Bloom Cleaner Data'!BV20)</f>
        <v>-0.19620161270952033</v>
      </c>
      <c r="AP20" s="13"/>
      <c r="AQ20" s="13">
        <f>'Bloom Cleaner Data'!BW20</f>
        <v>14702.051799999999</v>
      </c>
      <c r="AR20" s="13">
        <f>'Bloom Cleaner Data'!BY20</f>
        <v>9656.3045000000002</v>
      </c>
      <c r="AS20" s="13">
        <f>'Bloom Cleaner Data'!CA20</f>
        <v>15824.1525</v>
      </c>
      <c r="AT20" s="13">
        <f>'Bloom Cleaner Data'!CC20</f>
        <v>11137.288500000001</v>
      </c>
      <c r="AU20" s="13">
        <f>'Bloom Cleaner Data'!CE20</f>
        <v>11550.1507</v>
      </c>
      <c r="AV20" s="13">
        <f>'Bloom Cleaner Data'!CG20</f>
        <v>11296.8127</v>
      </c>
      <c r="AW20" s="13">
        <f>'Bloom Cleaner Data'!CI20</f>
        <v>11133.2724</v>
      </c>
      <c r="AX20" s="13"/>
      <c r="AY20" s="13">
        <f t="shared" si="3"/>
        <v>12185.719014285714</v>
      </c>
      <c r="AZ20" s="10">
        <f t="shared" si="4"/>
        <v>-0.24274022759190655</v>
      </c>
      <c r="BA20" s="10"/>
      <c r="BB20" s="13">
        <f>'Bloom Cleaner Data'!T20+'OPERATING LEASES'!AU20</f>
        <v>6324.9891477013016</v>
      </c>
      <c r="BC20" s="13">
        <f>'Bloom Cleaner Data'!U20+'OPERATING LEASES'!AV20</f>
        <v>6268.0611213239335</v>
      </c>
      <c r="BD20" s="13">
        <f>'Bloom Cleaner Data'!V20+'OPERATING LEASES'!AW20</f>
        <v>6553.9972949465655</v>
      </c>
      <c r="BE20" s="13">
        <f>'Bloom Cleaner Data'!W20+'OPERATING LEASES'!AX20</f>
        <v>1095.6334685691975</v>
      </c>
      <c r="BF20" s="13">
        <f>'Bloom Cleaner Data'!X20+'OPERATING LEASES'!AY20</f>
        <v>2266.8660421918298</v>
      </c>
      <c r="BG20" s="13">
        <f>'Bloom Cleaner Data'!Y20+'OPERATING LEASES'!AZ20</f>
        <v>7587.2256842423631</v>
      </c>
      <c r="BH20" s="13">
        <f>'Bloom Cleaner Data'!Z20+'OPERATING LEASES'!BA20</f>
        <v>9025.1817262928962</v>
      </c>
      <c r="BI20" s="13">
        <f>'Bloom Cleaner Data'!AA20+'OPERATING LEASES'!BB20</f>
        <v>8682.6509683434306</v>
      </c>
      <c r="BJ20" s="13">
        <f>'Bloom Cleaner Data'!AB20+'OPERATING LEASES'!BC20</f>
        <v>6746.5278103939636</v>
      </c>
      <c r="BK20" s="13">
        <f>'Bloom Cleaner Data'!AC20+'OPERATING LEASES'!BD20</f>
        <v>7206.4984063754</v>
      </c>
      <c r="BL20" s="13">
        <f>'Bloom Cleaner Data'!AD20+'OPERATING LEASES'!BE20</f>
        <v>8070.8030023568363</v>
      </c>
      <c r="BM20" s="13">
        <f>'Bloom Cleaner Data'!AE20+'OPERATING LEASES'!BF20</f>
        <v>7897.7075983382729</v>
      </c>
      <c r="BN20" s="13">
        <f>'Bloom Cleaner Data'!AF20+'OPERATING LEASES'!BG20</f>
        <v>7844.124094319709</v>
      </c>
      <c r="BO20" s="13">
        <f>'Bloom Cleaner Data'!AG20+'OPERATING LEASES'!BH20</f>
        <v>8233.51219431971</v>
      </c>
      <c r="BP20" s="13">
        <f>'Bloom Cleaner Data'!AH20+'OPERATING LEASES'!BI20</f>
        <v>8070.4121943197088</v>
      </c>
      <c r="BQ20" s="13"/>
      <c r="BR20" s="1099">
        <f t="shared" si="50"/>
        <v>6867.7800373084528</v>
      </c>
      <c r="BS20" s="10">
        <f t="shared" si="51"/>
        <v>0.23137252445044021</v>
      </c>
      <c r="BT20" s="10"/>
      <c r="BU20" s="13">
        <f>'Bloom Cleaner Data'!BU20+'OPERATING LEASES'!AU20</f>
        <v>14856.558047701301</v>
      </c>
      <c r="BV20" s="13">
        <f>'Bloom Cleaner Data'!BV20+'OPERATING LEASES'!AV20</f>
        <v>14836.887421323932</v>
      </c>
      <c r="BW20" s="13">
        <f>'Bloom Cleaner Data'!BW20+'OPERATING LEASES'!AW20</f>
        <v>15163.249094946565</v>
      </c>
      <c r="BX20" s="13">
        <f>'Bloom Cleaner Data'!BX20+'OPERATING LEASES'!AX20</f>
        <v>10077.085968569198</v>
      </c>
      <c r="BY20" s="13">
        <f>'Bloom Cleaner Data'!BY20+'OPERATING LEASES'!AY20</f>
        <v>9823.3741421918294</v>
      </c>
      <c r="BZ20" s="13">
        <f>'Bloom Cleaner Data'!BZ20+'OPERATING LEASES'!AZ20</f>
        <v>15817.219384242364</v>
      </c>
      <c r="CA20" s="13">
        <f>'Bloom Cleaner Data'!CA20+'OPERATING LEASES'!BA20</f>
        <v>15974.534226292897</v>
      </c>
      <c r="CB20" s="13">
        <f>'Bloom Cleaner Data'!CB20+'OPERATING LEASES'!BB20</f>
        <v>14401.070868343431</v>
      </c>
      <c r="CC20" s="13">
        <f>'Bloom Cleaner Data'!CC20+'OPERATING LEASES'!BC20</f>
        <v>11270.982310393963</v>
      </c>
      <c r="CD20" s="13">
        <f>'Bloom Cleaner Data'!CD20+'OPERATING LEASES'!BD20</f>
        <v>11490.361406375399</v>
      </c>
      <c r="CE20" s="13">
        <f>'Bloom Cleaner Data'!CE20+'OPERATING LEASES'!BE20</f>
        <v>11683.453702356837</v>
      </c>
      <c r="CF20" s="13">
        <f>'Bloom Cleaner Data'!CF20+'OPERATING LEASES'!BF20</f>
        <v>11926.389298338272</v>
      </c>
      <c r="CG20" s="13">
        <f>'Bloom Cleaner Data'!CG20+'OPERATING LEASES'!BG20</f>
        <v>11429.72489431971</v>
      </c>
      <c r="CH20" s="13">
        <f>'Bloom Cleaner Data'!CH20+'OPERATING LEASES'!BH20</f>
        <v>12254.07219431971</v>
      </c>
      <c r="CI20" s="13">
        <f>'Bloom Cleaner Data'!CI20+'OPERATING LEASES'!BI20</f>
        <v>11266.18459431971</v>
      </c>
      <c r="CJ20" s="13"/>
      <c r="CK20" s="1099">
        <f t="shared" si="52"/>
        <v>12505.9770834623</v>
      </c>
      <c r="CL20" s="10">
        <f t="shared" si="53"/>
        <v>-0.25700722030119683</v>
      </c>
      <c r="CM20" s="18">
        <f t="shared" si="54"/>
        <v>1.4513938294743376E-2</v>
      </c>
      <c r="CN20" s="13"/>
      <c r="CO20" s="18">
        <f>$CO$1*BU20/('Bloom Cleaner Data'!D20+'Bloom Cleaner Data'!T20+'OPERATING LEASES'!AU20)+(1-$CO$1)*'Bloom Cleaner Data'!BU20/('Bloom Cleaner Data'!D20+'Bloom Cleaner Data'!T20)-1</f>
        <v>7.7544238093651296E-2</v>
      </c>
      <c r="CP20" s="18">
        <f>$CO$1*BV20/('Bloom Cleaner Data'!E20+'Bloom Cleaner Data'!U20+'OPERATING LEASES'!AV20)+(1-$CO$1)*'Bloom Cleaner Data'!BV20/('Bloom Cleaner Data'!E20+'Bloom Cleaner Data'!U20)-1</f>
        <v>8.382405762090861E-2</v>
      </c>
      <c r="CQ20" s="18">
        <f>$CO$1*BW20/('Bloom Cleaner Data'!F20+'Bloom Cleaner Data'!V20+'OPERATING LEASES'!AW20)+(1-$CO$1)*'Bloom Cleaner Data'!BW20/('Bloom Cleaner Data'!F20+'Bloom Cleaner Data'!V20)-1</f>
        <v>9.1867123420401597E-2</v>
      </c>
      <c r="CR20" s="18">
        <f>$CO$1*BX20/('Bloom Cleaner Data'!G20+'Bloom Cleaner Data'!W20+'OPERATING LEASES'!AX20)+(1-$CO$1)*'Bloom Cleaner Data'!BX20/('Bloom Cleaner Data'!G20+'Bloom Cleaner Data'!W20)-1</f>
        <v>2.0724263437940538E-2</v>
      </c>
      <c r="CS20" s="18">
        <f>$CO$1*BY20/('Bloom Cleaner Data'!H20+'Bloom Cleaner Data'!X20+'OPERATING LEASES'!AY20)+(1-$CO$1)*'Bloom Cleaner Data'!BY20/('Bloom Cleaner Data'!H20+'Bloom Cleaner Data'!X20)-1</f>
        <v>2.255686180707106E-2</v>
      </c>
      <c r="CT20" s="18">
        <f>$CO$1*BZ20/('Bloom Cleaner Data'!I20+'Bloom Cleaner Data'!Y20+'OPERATING LEASES'!AZ20)+(1-$CO$1)*'Bloom Cleaner Data'!BZ20/('Bloom Cleaner Data'!I20+'Bloom Cleaner Data'!Y20)-1</f>
        <v>6.2384056764482665E-2</v>
      </c>
      <c r="CU20" s="18">
        <f>$CO$1*CA20/('Bloom Cleaner Data'!J20+'Bloom Cleaner Data'!Z20+'OPERATING LEASES'!BA20)+(1-$CO$1)*'Bloom Cleaner Data'!CA20/('Bloom Cleaner Data'!J20+'Bloom Cleaner Data'!Z20)-1</f>
        <v>5.4102262565829395E-2</v>
      </c>
      <c r="CV20" s="18">
        <f>$CO$1*CB20/('Bloom Cleaner Data'!K20+'Bloom Cleaner Data'!AA20+'OPERATING LEASES'!BB20)+(1-$CO$1)*'Bloom Cleaner Data'!CB20/('Bloom Cleaner Data'!K20+'Bloom Cleaner Data'!AA20)-1</f>
        <v>5.7854762628174461E-2</v>
      </c>
      <c r="CW20" s="18">
        <f>$CO$1*CC20/('Bloom Cleaner Data'!L20+'Bloom Cleaner Data'!AB20+'OPERATING LEASES'!BC20)+(1-$CO$1)*'Bloom Cleaner Data'!CC20/('Bloom Cleaner Data'!L20+'Bloom Cleaner Data'!AB20)-1</f>
        <v>8.8260466556043138E-2</v>
      </c>
      <c r="CX20" s="18">
        <f>$CO$1*CD20/('Bloom Cleaner Data'!M20+'Bloom Cleaner Data'!AC20+'OPERATING LEASES'!BD20)+(1-$CO$1)*'Bloom Cleaner Data'!CD20/('Bloom Cleaner Data'!M20+'Bloom Cleaner Data'!AC20)-1</f>
        <v>5.7522246764223794E-2</v>
      </c>
      <c r="CY20" s="18">
        <f>$CO$1*CE20/('Bloom Cleaner Data'!N20+'Bloom Cleaner Data'!AD20+'OPERATING LEASES'!BE20)+(1-$CO$1)*'Bloom Cleaner Data'!CE20/('Bloom Cleaner Data'!N20+'Bloom Cleaner Data'!AD20)-1</f>
        <v>4.6130757209721818E-2</v>
      </c>
      <c r="CZ20" s="18">
        <f>$CO$1*CF20/('Bloom Cleaner Data'!O20+'Bloom Cleaner Data'!AE20+'OPERATING LEASES'!BF20)+(1-$CO$1)*'Bloom Cleaner Data'!CF20/('Bloom Cleaner Data'!O20+'Bloom Cleaner Data'!AE20)-1</f>
        <v>5.1099055826838713E-2</v>
      </c>
      <c r="DA20" s="18">
        <f>$CO$1*CG20/('Bloom Cleaner Data'!P20+'Bloom Cleaner Data'!AF20+'OPERATING LEASES'!BG20)+(1-$CO$1)*'Bloom Cleaner Data'!CG20/('Bloom Cleaner Data'!P20+'Bloom Cleaner Data'!AF20)-1</f>
        <v>5.1584816510089171E-2</v>
      </c>
      <c r="DB20" s="18">
        <f>$CO$1*CH20/('Bloom Cleaner Data'!Q20+'Bloom Cleaner Data'!AG20+'OPERATING LEASES'!BH20)+(1-$CO$1)*'Bloom Cleaner Data'!CH20/('Bloom Cleaner Data'!Q20+'Bloom Cleaner Data'!AG20)-1</f>
        <v>4.9826634008434567E-2</v>
      </c>
      <c r="DC20" s="18">
        <f>$CO$1*CI20/('Bloom Cleaner Data'!R20+'Bloom Cleaner Data'!AH20+'OPERATING LEASES'!BI20)+(1-$CO$1)*'Bloom Cleaner Data'!CI20/('Bloom Cleaner Data'!R20+'Bloom Cleaner Data'!AH20)-1</f>
        <v>4.7921192285235392E-2</v>
      </c>
      <c r="DD20" s="18"/>
      <c r="DE20" s="18">
        <f t="shared" si="55"/>
        <v>5.3987269214191252E-2</v>
      </c>
      <c r="DF20" s="13"/>
      <c r="DG20" s="2203">
        <f>AVERAGE('Bloom Cleaner Data'!GX20:HJ20)</f>
        <v>1978.7124078973163</v>
      </c>
      <c r="DH20" s="2124">
        <f>('Bloom Cleaner Data'!HJ20-'Bloom Cleaner Data'!GX20)/'Bloom Cleaner Data'!GX20</f>
        <v>1.8591980546801817E-2</v>
      </c>
      <c r="DI20" s="2124">
        <f>('Bloom Cleaner Data'!HJ20+'Bloom Cleaner Data'!HI20-'Bloom Cleaner Data'!GX20-'Bloom Cleaner Data'!GW20)/('Bloom Cleaner Data'!GX20+'Bloom Cleaner Data'!GW20)</f>
        <v>-1.682725635222156E-2</v>
      </c>
      <c r="DJ20" s="13"/>
      <c r="DK20" s="13">
        <f>'Bloom Cleaner Data'!GV20+'OPERATING LEASES'!BL20</f>
        <v>2638.0534857142861</v>
      </c>
      <c r="DL20" s="13">
        <f>'Bloom Cleaner Data'!GW20+'OPERATING LEASES'!BM20</f>
        <v>2385.1432392857141</v>
      </c>
      <c r="DM20" s="13">
        <f>'Bloom Cleaner Data'!GX20+'OPERATING LEASES'!BN20</f>
        <v>2133.0329928571427</v>
      </c>
      <c r="DN20" s="13">
        <f>'Bloom Cleaner Data'!GY20+'OPERATING LEASES'!BO20</f>
        <v>1830.7227464285713</v>
      </c>
      <c r="DO20" s="13">
        <f>'Bloom Cleaner Data'!GZ20+'OPERATING LEASES'!BP20</f>
        <v>1517.7125000000001</v>
      </c>
      <c r="DP20" s="13">
        <f>'Bloom Cleaner Data'!HA20+'OPERATING LEASES'!BQ20</f>
        <v>1612.4690962230582</v>
      </c>
      <c r="DQ20" s="13">
        <f>'Bloom Cleaner Data'!HB20+'OPERATING LEASES'!BR20</f>
        <v>1593.5562229362395</v>
      </c>
      <c r="DR20" s="13">
        <f>'Bloom Cleaner Data'!HC20+'OPERATING LEASES'!BS20</f>
        <v>1868.1518652785687</v>
      </c>
      <c r="DS20" s="13">
        <f>'Bloom Cleaner Data'!HD20+'OPERATING LEASES'!BT20</f>
        <v>2150.7195497934836</v>
      </c>
      <c r="DT20" s="13">
        <f>'Bloom Cleaner Data'!HE20+'OPERATING LEASES'!BU20</f>
        <v>2361.3918325918062</v>
      </c>
      <c r="DU20" s="13">
        <f>'Bloom Cleaner Data'!HF20+'OPERATING LEASES'!BV20</f>
        <v>2287.0628627918381</v>
      </c>
      <c r="DV20" s="13">
        <f>'Bloom Cleaner Data'!HG20+'OPERATING LEASES'!BW20</f>
        <v>2221.1207027228461</v>
      </c>
      <c r="DW20" s="13">
        <f>'Bloom Cleaner Data'!HH20+'OPERATING LEASES'!BX20</f>
        <v>2228.8509494478644</v>
      </c>
      <c r="DX20" s="13">
        <f>'Bloom Cleaner Data'!HI20+'OPERATING LEASES'!BY20</f>
        <v>2186.547235995426</v>
      </c>
      <c r="DY20" s="13">
        <f>'Bloom Cleaner Data'!HJ20+'OPERATING LEASES'!BZ20</f>
        <v>2110.9817848839825</v>
      </c>
      <c r="DZ20" s="13"/>
      <c r="EA20" s="1099">
        <f t="shared" si="56"/>
        <v>2007.8707955346786</v>
      </c>
      <c r="EB20" s="10">
        <f t="shared" si="57"/>
        <v>-1.0337959162845949E-2</v>
      </c>
      <c r="EC20" s="18">
        <f t="shared" si="58"/>
        <v>1.4736041236203432E-2</v>
      </c>
      <c r="ED20" s="18">
        <f>(AVERAGE(DV20:DY20)-AVERAGE('Bloom Cleaner Data'!HG20:HJ20))/AVERAGE('Bloom Cleaner Data'!HG20:HJ20)</f>
        <v>9.6681561836707564E-3</v>
      </c>
      <c r="EE20" s="165"/>
      <c r="EF20" s="22">
        <f>'Bloom Cleaner Data'!DT20</f>
        <v>2.7625000000000002</v>
      </c>
      <c r="EG20" s="22">
        <f>'Bloom Cleaner Data'!DX20</f>
        <v>3.6478000000000002</v>
      </c>
      <c r="EH20" s="22">
        <f>'Bloom Cleaner Data'!EB20</f>
        <v>1.7433000000000001</v>
      </c>
      <c r="EI20" s="22">
        <f>'Bloom Cleaner Data'!EF20</f>
        <v>1.7985</v>
      </c>
      <c r="EJ20" s="22"/>
      <c r="EK20" s="22">
        <f>AVERAGE('Bloom Cleaner Data'!DT20:EF20)</f>
        <v>2.2663538461538462</v>
      </c>
      <c r="EL20" s="2124">
        <f t="shared" si="5"/>
        <v>-0.34895927601809962</v>
      </c>
      <c r="EM20" s="13"/>
      <c r="EN20" s="15">
        <f>'Bloom Cleaner Data'!DA20</f>
        <v>5.6357592022700924</v>
      </c>
      <c r="EO20" s="15">
        <f>'Bloom Cleaner Data'!DB20</f>
        <v>6.2499456645875426</v>
      </c>
      <c r="EP20" s="15">
        <f>'Bloom Cleaner Data'!DC20</f>
        <v>7.1650917686047073</v>
      </c>
      <c r="EQ20" s="15">
        <f>'Bloom Cleaner Data'!DD20</f>
        <v>5.4940644344400669</v>
      </c>
      <c r="ER20" s="15">
        <f>'Bloom Cleaner Data'!DE20</f>
        <v>6.4746577041705775</v>
      </c>
      <c r="ES20" s="15">
        <f>'Bloom Cleaner Data'!DF20</f>
        <v>9.8637999999999995</v>
      </c>
      <c r="ET20" s="15">
        <f>'Bloom Cleaner Data'!DG20</f>
        <v>10.0799</v>
      </c>
      <c r="EU20" s="15">
        <f>'Bloom Cleaner Data'!DH20</f>
        <v>7.7252000000000001</v>
      </c>
      <c r="EV20" s="15">
        <f>'Bloom Cleaner Data'!DI20</f>
        <v>5.2295999999999996</v>
      </c>
      <c r="EW20" s="15">
        <f>'Bloom Cleaner Data'!DJ20</f>
        <v>4.8525999999999998</v>
      </c>
      <c r="EX20" s="15">
        <f>'Bloom Cleaner Data'!DK20</f>
        <v>5.0970000000000004</v>
      </c>
      <c r="EY20" s="15">
        <f>'Bloom Cleaner Data'!DL20</f>
        <v>5.3601999999999999</v>
      </c>
      <c r="EZ20" s="15">
        <f>'Bloom Cleaner Data'!DM20</f>
        <v>5.1165000000000003</v>
      </c>
      <c r="FA20" s="15">
        <f>'Bloom Cleaner Data'!DN20</f>
        <v>5.5971000000000002</v>
      </c>
      <c r="FB20" s="15">
        <f>'Bloom Cleaner Data'!DO20</f>
        <v>5.3268000000000004</v>
      </c>
      <c r="FC20" s="15"/>
      <c r="FD20" s="15">
        <f t="shared" si="59"/>
        <v>6.4140395313242591</v>
      </c>
      <c r="FE20" s="18">
        <f t="shared" si="6"/>
        <v>-0.25656220854833328</v>
      </c>
      <c r="FF20" s="15">
        <f t="shared" si="60"/>
        <v>6.4248700000000003</v>
      </c>
      <c r="FG20" s="2206"/>
      <c r="FH20" s="15">
        <f>('Bloom Cleaner Data'!BU20+'OPERATING LEASES'!AU20)/DK20</f>
        <v>5.6316364047026521</v>
      </c>
      <c r="FI20" s="15">
        <f>('Bloom Cleaner Data'!BV20+'OPERATING LEASES'!AV20)/DL20</f>
        <v>6.2205435618898841</v>
      </c>
      <c r="FJ20" s="15">
        <f>('Bloom Cleaner Data'!BW20+'OPERATING LEASES'!AW20)/DM20</f>
        <v>7.1087738191221241</v>
      </c>
      <c r="FK20" s="15">
        <f>('Bloom Cleaner Data'!BX20+'OPERATING LEASES'!AX20)/DN20</f>
        <v>5.5044304159261026</v>
      </c>
      <c r="FL20" s="15">
        <f>('Bloom Cleaner Data'!BY20+'OPERATING LEASES'!AY20)/DO20</f>
        <v>6.4724868130109154</v>
      </c>
      <c r="FM20" s="15">
        <f>('Bloom Cleaner Data'!BZ20+'OPERATING LEASES'!AZ20)/DP20</f>
        <v>9.8093162971566912</v>
      </c>
      <c r="FN20" s="15">
        <f>('Bloom Cleaner Data'!CA20+'OPERATING LEASES'!BA20)/DQ20</f>
        <v>10.024455991178456</v>
      </c>
      <c r="FO20" s="15">
        <f>('Bloom Cleaner Data'!CB20+'OPERATING LEASES'!BB20)/DR20</f>
        <v>7.7087260067028982</v>
      </c>
      <c r="FP20" s="15">
        <f>('Bloom Cleaner Data'!CC20+'OPERATING LEASES'!BC20)/DS20</f>
        <v>5.2405634716419565</v>
      </c>
      <c r="FQ20" s="15">
        <f>('Bloom Cleaner Data'!CD20+'OPERATING LEASES'!BD20)/DT20</f>
        <v>4.8659274787801134</v>
      </c>
      <c r="FR20" s="15">
        <f>('Bloom Cleaner Data'!CE20+'OPERATING LEASES'!BE20)/DU20</f>
        <v>5.1084969689441504</v>
      </c>
      <c r="FS20" s="15">
        <f>('Bloom Cleaner Data'!CF20+'OPERATING LEASES'!BF20)/DV20</f>
        <v>5.3695367765100972</v>
      </c>
      <c r="FT20" s="15">
        <f>('Bloom Cleaner Data'!CG20+'OPERATING LEASES'!BG20)/DW20</f>
        <v>5.1280795143125681</v>
      </c>
      <c r="FU20" s="15">
        <f>('Bloom Cleaner Data'!CH20+'OPERATING LEASES'!BH20)/DX20</f>
        <v>5.6043025243591593</v>
      </c>
      <c r="FV20" s="15">
        <f>('Bloom Cleaner Data'!CI20+'OPERATING LEASES'!BI20)/DY20</f>
        <v>5.3369406950798908</v>
      </c>
      <c r="FW20" s="15"/>
      <c r="FX20" s="506">
        <f t="shared" si="61"/>
        <v>6.4063105209788551</v>
      </c>
      <c r="FY20" s="10">
        <f t="shared" si="62"/>
        <v>-0.24924595564935845</v>
      </c>
      <c r="FZ20" s="15">
        <f t="shared" si="7"/>
        <v>-7.7290103454039638E-3</v>
      </c>
      <c r="GA20" s="15">
        <f t="shared" si="63"/>
        <v>6.4196345724665971</v>
      </c>
      <c r="GB20" s="15">
        <f t="shared" si="64"/>
        <v>-5.2354275334032252E-3</v>
      </c>
      <c r="GC20" s="15">
        <f t="shared" si="8"/>
        <v>9.9512958411738239E-3</v>
      </c>
      <c r="GD20" s="13"/>
      <c r="GE20" s="15">
        <f t="shared" si="9"/>
        <v>5.6316364047026521</v>
      </c>
      <c r="GF20" s="15">
        <f t="shared" si="10"/>
        <v>6.2205435618898841</v>
      </c>
      <c r="GG20" s="15">
        <f t="shared" si="11"/>
        <v>7.1087738191221241</v>
      </c>
      <c r="GH20" s="15">
        <f t="shared" si="12"/>
        <v>5.5044304159261026</v>
      </c>
      <c r="GI20" s="15">
        <f t="shared" si="13"/>
        <v>6.4724868130109154</v>
      </c>
      <c r="GJ20" s="15">
        <f t="shared" si="14"/>
        <v>9.8093162971566912</v>
      </c>
      <c r="GK20" s="15">
        <f t="shared" si="15"/>
        <v>10.024455991178456</v>
      </c>
      <c r="GL20" s="15">
        <f t="shared" si="16"/>
        <v>7.7087260067028982</v>
      </c>
      <c r="GM20" s="15">
        <f t="shared" si="17"/>
        <v>5.2405634716419565</v>
      </c>
      <c r="GN20" s="15">
        <f t="shared" si="18"/>
        <v>4.8659274787801134</v>
      </c>
      <c r="GO20" s="15">
        <f t="shared" si="19"/>
        <v>5.1084969689441504</v>
      </c>
      <c r="GP20" s="15">
        <f t="shared" si="20"/>
        <v>5.3695367765100972</v>
      </c>
      <c r="GQ20" s="15">
        <f t="shared" si="21"/>
        <v>5.1280795143125681</v>
      </c>
      <c r="GR20" s="15">
        <f t="shared" si="22"/>
        <v>5.6043025243591593</v>
      </c>
      <c r="GS20" s="15">
        <f t="shared" si="23"/>
        <v>5.3369406950798908</v>
      </c>
      <c r="GT20" s="15"/>
      <c r="GU20" s="15">
        <f t="shared" si="65"/>
        <v>6.3422811159545107</v>
      </c>
      <c r="GV20" s="10">
        <f t="shared" si="66"/>
        <v>-0.24924595564935845</v>
      </c>
      <c r="GW20" s="506">
        <f t="shared" si="67"/>
        <v>6.4196345724665971</v>
      </c>
      <c r="GX20" s="2057"/>
      <c r="GY20" s="10">
        <f>'Bloom Cleaner Data'!T20/('Bloom Cleaner Data'!T20+'Bloom Cleaner Data'!D20)</f>
        <v>0.42738047570990084</v>
      </c>
      <c r="GZ20" s="10">
        <f>'Bloom Cleaner Data'!U20/('Bloom Cleaner Data'!U20+'Bloom Cleaner Data'!E20)</f>
        <v>0.4326691654983868</v>
      </c>
      <c r="HA20" s="10">
        <f>'Bloom Cleaner Data'!V20/('Bloom Cleaner Data'!V20+'Bloom Cleaner Data'!F20)</f>
        <v>0.45379753715031623</v>
      </c>
      <c r="HB20" s="10">
        <f>'Bloom Cleaner Data'!W20/('Bloom Cleaner Data'!W20+'Bloom Cleaner Data'!G20)</f>
        <v>8.1760952005065723E-2</v>
      </c>
      <c r="HC20" s="10">
        <f>'Bloom Cleaner Data'!X20/('Bloom Cleaner Data'!X20+'Bloom Cleaner Data'!H20)</f>
        <v>0.22244529645722577</v>
      </c>
      <c r="HD20" s="10">
        <f>'Bloom Cleaner Data'!Y20/('Bloom Cleaner Data'!Y20+'Bloom Cleaner Data'!I20)</f>
        <v>0.50432141708418554</v>
      </c>
      <c r="HE20" s="10">
        <f>'Bloom Cleaner Data'!Z20/('Bloom Cleaner Data'!Z20+'Bloom Cleaner Data'!J20)</f>
        <v>0.59148564715236562</v>
      </c>
      <c r="HF20" s="10">
        <f>'Bloom Cleaner Data'!AA20/('Bloom Cleaner Data'!AA20+'Bloom Cleaner Data'!K20)</f>
        <v>0.63397974136255719</v>
      </c>
      <c r="HG20" s="10">
        <f>'Bloom Cleaner Data'!AB20/('Bloom Cleaner Data'!AB20+'Bloom Cleaner Data'!L20)</f>
        <v>0.64684671915617686</v>
      </c>
      <c r="HH20" s="10">
        <f>'Bloom Cleaner Data'!AC20/('Bloom Cleaner Data'!AC20+'Bloom Cleaner Data'!M20)</f>
        <v>0.6590654390575057</v>
      </c>
      <c r="HI20" s="10">
        <f>'Bloom Cleaner Data'!AD20/('Bloom Cleaner Data'!AD20+'Bloom Cleaner Data'!N20)</f>
        <v>0.71930543377959999</v>
      </c>
      <c r="HJ20" s="10">
        <f>'Bloom Cleaner Data'!AE20/('Bloom Cleaner Data'!AE20+'Bloom Cleaner Data'!O20)</f>
        <v>0.69243435783196583</v>
      </c>
      <c r="HK20" s="10">
        <f>'Bloom Cleaner Data'!AF20/('Bloom Cleaner Data'!AF20+'Bloom Cleaner Data'!P20)</f>
        <v>0.71824841731450295</v>
      </c>
      <c r="HL20" s="10">
        <f>'Bloom Cleaner Data'!AG20/('Bloom Cleaner Data'!AG20+'Bloom Cleaner Data'!Q20)</f>
        <v>0.70198517101171964</v>
      </c>
      <c r="HM20" s="10">
        <f>'Bloom Cleaner Data'!AH20/('Bloom Cleaner Data'!AH20+'Bloom Cleaner Data'!R20)</f>
        <v>0.74754623070756221</v>
      </c>
      <c r="HN20" s="15"/>
      <c r="HO20" s="10">
        <f t="shared" si="68"/>
        <v>0.56717095077467305</v>
      </c>
      <c r="HP20" s="10">
        <f t="shared" si="69"/>
        <v>0.64731222518720821</v>
      </c>
      <c r="HQ20" s="10"/>
      <c r="HR20" s="479">
        <f t="shared" si="24"/>
        <v>0.74636029262142722</v>
      </c>
      <c r="HS20" s="480">
        <f t="shared" si="25"/>
        <v>0.76263996099996301</v>
      </c>
      <c r="HT20" s="480">
        <f t="shared" si="26"/>
        <v>0.83082294206938134</v>
      </c>
      <c r="HU20" s="480">
        <f t="shared" si="27"/>
        <v>8.9041031508732771E-2</v>
      </c>
      <c r="HV20" s="480">
        <f t="shared" si="28"/>
        <v>0.2860831468753231</v>
      </c>
      <c r="HW20" s="480">
        <f t="shared" si="29"/>
        <v>1.0174363679736369</v>
      </c>
      <c r="HX20" s="480">
        <f t="shared" si="30"/>
        <v>1.4478944081873544</v>
      </c>
      <c r="HY20" s="480">
        <f t="shared" si="31"/>
        <v>1.7320892120087228</v>
      </c>
      <c r="HZ20" s="480">
        <f t="shared" si="32"/>
        <v>1.8316316292194814</v>
      </c>
      <c r="IA20" s="480">
        <f t="shared" si="33"/>
        <v>1.9331141942182588</v>
      </c>
      <c r="IB20" s="480">
        <f t="shared" si="34"/>
        <v>2.5625912302655864</v>
      </c>
      <c r="IC20" s="480">
        <f t="shared" si="35"/>
        <v>2.2513384555927218</v>
      </c>
      <c r="ID20" s="480">
        <f t="shared" si="36"/>
        <v>2.5492258480629086</v>
      </c>
      <c r="IE20" s="480">
        <f t="shared" si="37"/>
        <v>2.3555377207062596</v>
      </c>
      <c r="IF20" s="481">
        <f t="shared" si="38"/>
        <v>2.961121288870987</v>
      </c>
      <c r="IG20" s="15"/>
      <c r="IH20" s="10">
        <f t="shared" si="70"/>
        <v>1.6806098058122581</v>
      </c>
      <c r="II20" s="10">
        <f t="shared" si="71"/>
        <v>2.5640822357355009</v>
      </c>
      <c r="IJ20" s="10"/>
      <c r="IK20" s="18">
        <f>('Bloom Cleaner Data'!T20+'OPERATING LEASES'!AU20)/('Bloom Cleaner Data'!T20+'OPERATING LEASES'!AU20+'Bloom Cleaner Data'!D20)</f>
        <v>0.45875064669941784</v>
      </c>
      <c r="IL20" s="18">
        <f>('Bloom Cleaner Data'!U20+'OPERATING LEASES'!AV20)/('Bloom Cleaner Data'!U20+'OPERATING LEASES'!AV20+'Bloom Cleaner Data'!E20)</f>
        <v>0.45787740009170802</v>
      </c>
      <c r="IM20" s="18">
        <f>('Bloom Cleaner Data'!V20+'OPERATING LEASES'!AW20)/('Bloom Cleaner Data'!V20+'OPERATING LEASES'!AW20+'Bloom Cleaner Data'!F20)</f>
        <v>0.47193672863445219</v>
      </c>
      <c r="IN20" s="18">
        <f>('Bloom Cleaner Data'!W20+'OPERATING LEASES'!AX20)/('Bloom Cleaner Data'!W20+'OPERATING LEASES'!AX20+'Bloom Cleaner Data'!G20)</f>
        <v>0.11097847817230026</v>
      </c>
      <c r="IO20" s="18">
        <f>('Bloom Cleaner Data'!X20+'OPERATING LEASES'!AY20)/('Bloom Cleaner Data'!X20+'OPERATING LEASES'!AY20+'Bloom Cleaner Data'!H20)</f>
        <v>0.23596774312858371</v>
      </c>
      <c r="IP20" s="18">
        <f>('Bloom Cleaner Data'!Y20+'OPERATING LEASES'!AZ20)/('Bloom Cleaner Data'!Y20+'OPERATING LEASES'!AZ20+'Bloom Cleaner Data'!I20)</f>
        <v>0.50960585461963459</v>
      </c>
      <c r="IQ20" s="18">
        <f>('Bloom Cleaner Data'!Z20+'OPERATING LEASES'!BA20)/('Bloom Cleaner Data'!Z20+'OPERATING LEASES'!BA20+'Bloom Cleaner Data'!J20)</f>
        <v>0.59553939682915213</v>
      </c>
      <c r="IR20" s="18">
        <f>('Bloom Cleaner Data'!AA20+'OPERATING LEASES'!BB20)/('Bloom Cleaner Data'!AA20+'OPERATING LEASES'!BB20+'Bloom Cleaner Data'!K20)</f>
        <v>0.63779865838246408</v>
      </c>
      <c r="IS20" s="18">
        <f>('Bloom Cleaner Data'!AB20+'OPERATING LEASES'!BC20)/('Bloom Cleaner Data'!AB20+'OPERATING LEASES'!BC20+'Bloom Cleaner Data'!L20)</f>
        <v>0.65140546763186458</v>
      </c>
      <c r="IT20" s="18">
        <f>('Bloom Cleaner Data'!AC20+'OPERATING LEASES'!BD20)/('Bloom Cleaner Data'!AC20+'OPERATING LEASES'!BD20+'Bloom Cleaner Data'!M20)</f>
        <v>0.66325436742001864</v>
      </c>
      <c r="IU20" s="18">
        <f>('Bloom Cleaner Data'!AD20+'OPERATING LEASES'!BE20)/('Bloom Cleaner Data'!AD20+'OPERATING LEASES'!BE20+'Bloom Cleaner Data'!N20)</f>
        <v>0.72265577210639964</v>
      </c>
      <c r="IV20" s="18">
        <f>('Bloom Cleaner Data'!AE20+'OPERATING LEASES'!BF20)/('Bloom Cleaner Data'!AE20+'OPERATING LEASES'!BF20+'Bloom Cleaner Data'!O20)</f>
        <v>0.69604243096160234</v>
      </c>
      <c r="IW20" s="18">
        <f>('Bloom Cleaner Data'!AF20+'OPERATING LEASES'!BG20)/('Bloom Cleaner Data'!AF20+'OPERATING LEASES'!BG20+'Bloom Cleaner Data'!P20)</f>
        <v>0.72169381788943943</v>
      </c>
      <c r="IX20" s="18">
        <f>('Bloom Cleaner Data'!AG20+'OPERATING LEASES'!BH20)/('Bloom Cleaner Data'!AG20+'OPERATING LEASES'!BH20+'Bloom Cleaner Data'!Q20)</f>
        <v>0.70537860851161116</v>
      </c>
      <c r="IY20" s="18">
        <f>('Bloom Cleaner Data'!AH20+'OPERATING LEASES'!BI20)/('Bloom Cleaner Data'!AH20+'OPERATING LEASES'!BI20+'Bloom Cleaner Data'!R20)</f>
        <v>0.7506672643344422</v>
      </c>
      <c r="IZ20" s="15"/>
      <c r="JA20" s="10">
        <f t="shared" si="72"/>
        <v>0.5748403529709204</v>
      </c>
      <c r="JB20" s="10">
        <f t="shared" si="73"/>
        <v>0.5906099669472562</v>
      </c>
      <c r="JC20" s="10">
        <f t="shared" si="39"/>
        <v>7.6694021962473435E-3</v>
      </c>
      <c r="JD20" s="10">
        <f t="shared" si="40"/>
        <v>1.3522205581530675E-2</v>
      </c>
      <c r="JE20" s="7"/>
      <c r="JF20" s="485">
        <f t="shared" si="74"/>
        <v>0.84757726526954613</v>
      </c>
      <c r="JG20" s="452">
        <f t="shared" si="41"/>
        <v>0.84460120306580977</v>
      </c>
      <c r="JH20" s="452">
        <f t="shared" si="41"/>
        <v>0.8937124663376893</v>
      </c>
      <c r="JI20" s="452">
        <f t="shared" si="41"/>
        <v>0.12483216148034813</v>
      </c>
      <c r="JJ20" s="452">
        <f t="shared" si="41"/>
        <v>0.30884526275740237</v>
      </c>
      <c r="JK20" s="452">
        <f t="shared" si="41"/>
        <v>1.0391760575044549</v>
      </c>
      <c r="JL20" s="452">
        <f t="shared" si="41"/>
        <v>1.4724286918436673</v>
      </c>
      <c r="JM20" s="452">
        <f t="shared" si="41"/>
        <v>1.7608953504538458</v>
      </c>
      <c r="JN20" s="452">
        <f t="shared" si="41"/>
        <v>1.8686623201076022</v>
      </c>
      <c r="JO20" s="452">
        <f t="shared" si="41"/>
        <v>1.9696005033190365</v>
      </c>
      <c r="JP20" s="452">
        <f t="shared" si="41"/>
        <v>2.6056275899263981</v>
      </c>
      <c r="JQ20" s="452">
        <f t="shared" si="41"/>
        <v>2.2899328783409052</v>
      </c>
      <c r="JR20" s="452">
        <f t="shared" si="41"/>
        <v>2.5931648819886353</v>
      </c>
      <c r="JS20" s="452">
        <f t="shared" si="41"/>
        <v>2.39418667106326</v>
      </c>
      <c r="JT20" s="486">
        <f t="shared" si="41"/>
        <v>3.0107048010789441</v>
      </c>
      <c r="JU20" s="15"/>
      <c r="JV20" s="10">
        <f t="shared" si="75"/>
        <v>1.7178284335540146</v>
      </c>
      <c r="JW20" s="10">
        <f t="shared" si="76"/>
        <v>2.3687622300004363</v>
      </c>
      <c r="JX20" s="10">
        <f t="shared" si="77"/>
        <v>3.7218627741756549E-2</v>
      </c>
      <c r="JY20" s="10">
        <f t="shared" si="78"/>
        <v>2.2145906570959436E-2</v>
      </c>
      <c r="JZ20" s="7"/>
      <c r="KA20" s="15">
        <f>'Bloom Cleaner Data'!T20/'Bloom Cleaner Data'!BU20*'Bloom Cleaner Data'!DA20</f>
        <v>2.2259958434914671</v>
      </c>
      <c r="KB20" s="15">
        <f>'Bloom Cleaner Data'!U20/'Bloom Cleaner Data'!BV20*'Bloom Cleaner Data'!DB20</f>
        <v>2.4860757269612583</v>
      </c>
      <c r="KC20" s="15">
        <f>'Bloom Cleaner Data'!V20/'Bloom Cleaner Data'!BW20*'Bloom Cleaner Data'!DC20</f>
        <v>2.9693454846727425</v>
      </c>
      <c r="KD20" s="15">
        <f>'Bloom Cleaner Data'!W20/'Bloom Cleaner Data'!BX20*'Bloom Cleaner Data'!DD20</f>
        <v>0.43978615644344399</v>
      </c>
      <c r="KE20" s="15">
        <f>'Bloom Cleaner Data'!X20/'Bloom Cleaner Data'!BY20*'Bloom Cleaner Data'!DE20</f>
        <v>1.4079364355638997</v>
      </c>
      <c r="KF20" s="15">
        <f>'Bloom Cleaner Data'!Y20/'Bloom Cleaner Data'!BZ20*'Bloom Cleaner Data'!DF20</f>
        <v>4.6794563834706517</v>
      </c>
      <c r="KG20" s="15">
        <f>'Bloom Cleaner Data'!Z20/'Bloom Cleaner Data'!CA20*'Bloom Cleaner Data'!DG20</f>
        <v>5.6531998487754711</v>
      </c>
      <c r="KH20" s="15">
        <f>'Bloom Cleaner Data'!AA20/'Bloom Cleaner Data'!CB20*'Bloom Cleaner Data'!DH20</f>
        <v>4.6270981089622412</v>
      </c>
      <c r="KI20" s="15">
        <f>'Bloom Cleaner Data'!AB20/'Bloom Cleaner Data'!CC20*'Bloom Cleaner Data'!DI20</f>
        <v>3.1051073774734306</v>
      </c>
      <c r="KJ20" s="15">
        <f>'Bloom Cleaner Data'!AC20/'Bloom Cleaner Data'!CD20*'Bloom Cleaner Data'!DJ20</f>
        <v>3.022176088590661</v>
      </c>
      <c r="KK20" s="15">
        <f>'Bloom Cleaner Data'!AD20/'Bloom Cleaner Data'!CE20*'Bloom Cleaner Data'!DK20</f>
        <v>3.5027627388446114</v>
      </c>
      <c r="KL20" s="15">
        <f>'Bloom Cleaner Data'!AE20/'Bloom Cleaner Data'!CF20*'Bloom Cleaner Data'!DL20</f>
        <v>3.529111741645246</v>
      </c>
      <c r="KM20" s="15">
        <f>'Bloom Cleaner Data'!AF20/'Bloom Cleaner Data'!CG20*'Bloom Cleaner Data'!DM20</f>
        <v>3.4925263199548313</v>
      </c>
      <c r="KN20" s="15">
        <f>'Bloom Cleaner Data'!AG20/'Bloom Cleaner Data'!CH20*'Bloom Cleaner Data'!DN20</f>
        <v>3.7405552158374284</v>
      </c>
      <c r="KO20" s="15">
        <f>'Bloom Cleaner Data'!AH20/'Bloom Cleaner Data'!CI20*'Bloom Cleaner Data'!DO20</f>
        <v>3.7977580607836385</v>
      </c>
      <c r="KP20" s="15"/>
      <c r="KQ20" s="15">
        <f t="shared" si="79"/>
        <v>3.6769465321919661</v>
      </c>
      <c r="KR20" s="15">
        <f t="shared" si="80"/>
        <v>3.6399878345552859</v>
      </c>
      <c r="KS20" s="15">
        <f t="shared" si="81"/>
        <v>3.3820630739244848</v>
      </c>
      <c r="KT20" s="18">
        <f t="shared" si="82"/>
        <v>0.27898827549270411</v>
      </c>
      <c r="KU20" s="18"/>
      <c r="KV20" s="1694" t="s">
        <v>54</v>
      </c>
      <c r="KW20" s="506">
        <f>('Bloom Cleaner Data'!T20+'OPERATING LEASES'!AU20)/DK20</f>
        <v>2.397597009292149</v>
      </c>
      <c r="KX20" s="506">
        <f>('Bloom Cleaner Data'!U20+'OPERATING LEASES'!AV20)/DL20</f>
        <v>2.627960039498948</v>
      </c>
      <c r="KY20" s="506">
        <f>('Bloom Cleaner Data'!V20+'OPERATING LEASES'!AW20)/DM20</f>
        <v>3.0726188094107512</v>
      </c>
      <c r="KZ20" s="506">
        <f>('Bloom Cleaner Data'!W20+'OPERATING LEASES'!AX20)/DN20</f>
        <v>0.59847045146873934</v>
      </c>
      <c r="LA20" s="506">
        <f>('Bloom Cleaner Data'!X20+'OPERATING LEASES'!AY20)/DO20</f>
        <v>1.4936070185834469</v>
      </c>
      <c r="LB20" s="506">
        <f>('Bloom Cleaner Data'!Y20+'OPERATING LEASES'!AZ20)/DP20</f>
        <v>4.7053464168796681</v>
      </c>
      <c r="LC20" s="506">
        <f>('Bloom Cleaner Data'!Z20+'OPERATING LEASES'!BA20)/DQ20</f>
        <v>5.6635477282774271</v>
      </c>
      <c r="LD20" s="506">
        <f>('Bloom Cleaner Data'!AA20+'OPERATING LEASES'!BB20)/DR20</f>
        <v>4.647722238068007</v>
      </c>
      <c r="LE20" s="506">
        <f>('Bloom Cleaner Data'!AB20+'OPERATING LEASES'!BC20)/DS20</f>
        <v>3.1368700819415429</v>
      </c>
      <c r="LF20" s="506">
        <f>('Bloom Cleaner Data'!AC20+'OPERATING LEASES'!BD20)/DT20</f>
        <v>3.0518011906841074</v>
      </c>
      <c r="LG20" s="506">
        <f>('Bloom Cleaner Data'!AD20+'OPERATING LEASES'!BE20)/DU20</f>
        <v>3.5288942571979569</v>
      </c>
      <c r="LH20" s="506">
        <f>('Bloom Cleaner Data'!AE20+'OPERATING LEASES'!BF20)/DV20</f>
        <v>3.5557309373851518</v>
      </c>
      <c r="LI20" s="506">
        <f>('Bloom Cleaner Data'!AF20+'OPERATING LEASES'!BG20)/DW20</f>
        <v>3.5193578539932746</v>
      </c>
      <c r="LJ20" s="506">
        <f>('Bloom Cleaner Data'!AG20+'OPERATING LEASES'!BH20)/DX20</f>
        <v>3.7655313632277432</v>
      </c>
      <c r="LK20" s="506">
        <f>('Bloom Cleaner Data'!AH20+'OPERATING LEASES'!BI20)/DY20</f>
        <v>3.8230610288109381</v>
      </c>
      <c r="LL20" s="15"/>
      <c r="LM20" s="15">
        <f t="shared" si="83"/>
        <v>3.7026500820106523</v>
      </c>
      <c r="LN20" s="15">
        <f t="shared" si="84"/>
        <v>3.6659202958542774</v>
      </c>
      <c r="LO20" s="15">
        <f t="shared" si="85"/>
        <v>2.5932461298991516E-2</v>
      </c>
      <c r="LP20" s="15">
        <f t="shared" si="86"/>
        <v>3.4278891827637503</v>
      </c>
      <c r="LQ20" s="18">
        <f t="shared" si="87"/>
        <v>0.24423537898737996</v>
      </c>
      <c r="LR20" s="15">
        <f t="shared" si="88"/>
        <v>4.5826108839265522E-2</v>
      </c>
      <c r="LS20" s="18"/>
      <c r="LT20" s="15">
        <f t="shared" si="89"/>
        <v>2.397597009292149</v>
      </c>
      <c r="LU20" s="15">
        <f t="shared" si="90"/>
        <v>2.627960039498948</v>
      </c>
      <c r="LV20" s="15">
        <f t="shared" si="91"/>
        <v>3.0726188094107512</v>
      </c>
      <c r="LW20" s="15">
        <f t="shared" si="92"/>
        <v>0.59847045146873934</v>
      </c>
      <c r="LX20" s="15">
        <f t="shared" si="93"/>
        <v>1.4936070185834469</v>
      </c>
      <c r="LY20" s="15">
        <f t="shared" si="94"/>
        <v>4.7053464168796681</v>
      </c>
      <c r="LZ20" s="15">
        <f t="shared" si="95"/>
        <v>5.6635477282774271</v>
      </c>
      <c r="MA20" s="15">
        <f t="shared" si="96"/>
        <v>4.647722238068007</v>
      </c>
      <c r="MB20" s="15">
        <f t="shared" si="97"/>
        <v>3.1368700819415429</v>
      </c>
      <c r="MC20" s="15">
        <f t="shared" si="98"/>
        <v>3.0518011906841074</v>
      </c>
      <c r="MD20" s="15">
        <f t="shared" si="99"/>
        <v>3.5288942571979569</v>
      </c>
      <c r="ME20" s="15">
        <f t="shared" si="100"/>
        <v>3.5557309373851518</v>
      </c>
      <c r="MF20" s="15">
        <f t="shared" si="101"/>
        <v>3.5193578539932746</v>
      </c>
      <c r="MG20" s="15">
        <f t="shared" si="102"/>
        <v>3.7655313632277432</v>
      </c>
      <c r="MH20" s="15">
        <f t="shared" si="103"/>
        <v>3.8230610288109381</v>
      </c>
      <c r="MI20" s="15"/>
      <c r="MJ20" s="15">
        <f t="shared" si="104"/>
        <v>3.7026500820106523</v>
      </c>
      <c r="MK20" s="15">
        <f t="shared" si="105"/>
        <v>3.6659202958542774</v>
      </c>
      <c r="ML20" s="506">
        <f t="shared" si="106"/>
        <v>3.4278891827637503</v>
      </c>
      <c r="MM20" s="10">
        <f t="shared" si="107"/>
        <v>0.24423537898737996</v>
      </c>
      <c r="MN20" s="18"/>
      <c r="MO20" s="15">
        <f>('Bloom Cleaner Data'!T20+'Bloom Cleaner Data'!EY20)/'Bloom Cleaner Data'!GV20</f>
        <v>2.8053158147156383</v>
      </c>
      <c r="MP20" s="15">
        <f>('Bloom Cleaner Data'!U20+'Bloom Cleaner Data'!EZ20)/'Bloom Cleaner Data'!GW20</f>
        <v>3.4247562154089435</v>
      </c>
      <c r="MQ20" s="15">
        <f>('Bloom Cleaner Data'!V20+'Bloom Cleaner Data'!FA20)/'Bloom Cleaner Data'!GX20</f>
        <v>3.9448316194746331</v>
      </c>
      <c r="MR20" s="15">
        <f>('Bloom Cleaner Data'!W20+'Bloom Cleaner Data'!FB20)/'Bloom Cleaner Data'!GY20</f>
        <v>3.9554305008441193</v>
      </c>
      <c r="MS20" s="15">
        <f>('Bloom Cleaner Data'!X20+'Bloom Cleaner Data'!FC20)/'Bloom Cleaner Data'!GZ20</f>
        <v>4.6027417862411149</v>
      </c>
      <c r="MT20" s="15">
        <f>('Bloom Cleaner Data'!Y20+'Bloom Cleaner Data'!FD20)/'Bloom Cleaner Data'!HA20</f>
        <v>7.5101857568841375</v>
      </c>
      <c r="MU20" s="15">
        <f>('Bloom Cleaner Data'!Z20+'Bloom Cleaner Data'!FE20)/'Bloom Cleaner Data'!HB20</f>
        <v>7.8859296894415039</v>
      </c>
      <c r="MV20" s="15">
        <f>('Bloom Cleaner Data'!AA20+'Bloom Cleaner Data'!FF20)/'Bloom Cleaner Data'!HC20</f>
        <v>6.3626867921163592</v>
      </c>
      <c r="MW20" s="15">
        <f>('Bloom Cleaner Data'!AB20+'Bloom Cleaner Data'!FG20)/'Bloom Cleaner Data'!HD20</f>
        <v>5.4200328503154056</v>
      </c>
      <c r="MX20" s="15">
        <f>('Bloom Cleaner Data'!AC20+'Bloom Cleaner Data'!FH20)/'Bloom Cleaner Data'!HE20</f>
        <v>4.7569470372232194</v>
      </c>
      <c r="MY20" s="15">
        <f>('Bloom Cleaner Data'!AD20+'Bloom Cleaner Data'!FI20)/'Bloom Cleaner Data'!HF20</f>
        <v>4.8176833225214981</v>
      </c>
      <c r="MZ20" s="15">
        <f>('Bloom Cleaner Data'!AE20+'Bloom Cleaner Data'!FJ20)/'Bloom Cleaner Data'!HG20</f>
        <v>5.1141804235881176</v>
      </c>
      <c r="NA20" s="15">
        <f>('Bloom Cleaner Data'!AF20+'Bloom Cleaner Data'!FK20)/'Bloom Cleaner Data'!HH20</f>
        <v>4.6280300587040806</v>
      </c>
      <c r="NB20" s="15">
        <f>('Bloom Cleaner Data'!AG20+'Bloom Cleaner Data'!FL20)/'Bloom Cleaner Data'!HI20</f>
        <v>5.0962906074996122</v>
      </c>
      <c r="NC20" s="15">
        <f>('Bloom Cleaner Data'!AH20+'Bloom Cleaner Data'!FM20)/'Bloom Cleaner Data'!HJ20</f>
        <v>5.22341849463775</v>
      </c>
      <c r="ND20" s="15"/>
      <c r="NE20" s="15">
        <f t="shared" si="43"/>
        <v>1.4256604338541115</v>
      </c>
      <c r="NF20" s="15">
        <f t="shared" si="108"/>
        <v>4.9825797202804809</v>
      </c>
      <c r="NG20" s="15">
        <f t="shared" si="44"/>
        <v>1.3056331880885148</v>
      </c>
      <c r="NH20" s="15">
        <f t="shared" si="109"/>
        <v>5.0154798961073901</v>
      </c>
      <c r="NI20" s="15">
        <f t="shared" si="110"/>
        <v>5.3321837645762731</v>
      </c>
      <c r="NJ20" s="18">
        <f t="shared" si="111"/>
        <v>0.32411697088693414</v>
      </c>
      <c r="NK20" s="15">
        <f t="shared" si="45"/>
        <v>1.9501206906517883</v>
      </c>
      <c r="NL20" s="2818"/>
      <c r="NM20" s="1694" t="s">
        <v>54</v>
      </c>
      <c r="NN20" s="15">
        <f>KW20+'Bloom Cleaner Data'!EY20/CALCULATIONS!DK20</f>
        <v>2.947061418505037</v>
      </c>
      <c r="NO20" s="15">
        <f>KX20+'Bloom Cleaner Data'!EZ20/CALCULATIONS!DL20</f>
        <v>3.5239230008848534</v>
      </c>
      <c r="NP20" s="15">
        <f>KY20+'Bloom Cleaner Data'!FA20/CALCULATIONS!DM20</f>
        <v>4.0110009191590432</v>
      </c>
      <c r="NQ20" s="15">
        <f>KZ20+'Bloom Cleaner Data'!FB20/CALCULATIONS!DN20</f>
        <v>4.010947852641265</v>
      </c>
      <c r="NR20" s="15">
        <f>LA20+'Bloom Cleaner Data'!FC20/CALCULATIONS!DO20</f>
        <v>4.6330242006913886</v>
      </c>
      <c r="NS20" s="15">
        <f>LB20+'Bloom Cleaner Data'!FD20/CALCULATIONS!DP20</f>
        <v>7.4921905247920293</v>
      </c>
      <c r="NT20" s="15">
        <f>LC20+'Bloom Cleaner Data'!FE20/CALCULATIONS!DQ20</f>
        <v>7.8630935927726293</v>
      </c>
      <c r="NU20" s="15">
        <f>LD20+'Bloom Cleaner Data'!FF20/CALCULATIONS!DR20</f>
        <v>6.3625281698236185</v>
      </c>
      <c r="NV20" s="15">
        <f>LE20+'Bloom Cleaner Data'!FG20/CALCULATIONS!DS20</f>
        <v>5.4291319440115604</v>
      </c>
      <c r="NW20" s="15">
        <f>LF20+'Bloom Cleaner Data'!FH20/CALCULATIONS!DT20</f>
        <v>4.7711261853605915</v>
      </c>
      <c r="NX20" s="15">
        <f>LG20+'Bloom Cleaner Data'!FI20/CALCULATIONS!DU20</f>
        <v>4.8317443224395626</v>
      </c>
      <c r="NY20" s="15">
        <f>LH20+'Bloom Cleaner Data'!FJ20/CALCULATIONS!DV20</f>
        <v>5.1258392145827107</v>
      </c>
      <c r="NZ20" s="15">
        <f>LI20+'Bloom Cleaner Data'!FK20/CALCULATIONS!DW20</f>
        <v>4.6441971801137871</v>
      </c>
      <c r="OA20" s="15">
        <f>LJ20+'Bloom Cleaner Data'!FL20/CALCULATIONS!DX20</f>
        <v>5.1082876282957539</v>
      </c>
      <c r="OB20" s="15">
        <f>LK20+'Bloom Cleaner Data'!FM20/CALCULATIONS!DY20</f>
        <v>5.2345843405403958</v>
      </c>
      <c r="OC20" s="15"/>
      <c r="OD20" s="15">
        <f t="shared" si="46"/>
        <v>1.4115233117294577</v>
      </c>
      <c r="OE20" s="15">
        <f t="shared" si="112"/>
        <v>4.9956897163166456</v>
      </c>
      <c r="OF20" s="15">
        <f t="shared" si="47"/>
        <v>1.2930396343059933</v>
      </c>
      <c r="OG20" s="15">
        <f t="shared" si="113"/>
        <v>5.0282270908831617</v>
      </c>
      <c r="OH20" s="15">
        <f t="shared" si="114"/>
        <v>5.3475150827095632</v>
      </c>
      <c r="OI20" s="18">
        <f t="shared" si="115"/>
        <v>0.30505687882960952</v>
      </c>
      <c r="OJ20" s="15">
        <f t="shared" si="48"/>
        <v>1.9196258999458129</v>
      </c>
      <c r="OK20" s="15"/>
      <c r="OL20" s="13">
        <f>'Bloom Cleaner Data'!GF20+('Bloom Cleaner Data'!T20+'Bloom Cleaner Data'!EY20)+'Bloom Cleaner Data'!CK20</f>
        <v>10475.7624</v>
      </c>
      <c r="OM20" s="13">
        <f>'Bloom Cleaner Data'!GG20+('Bloom Cleaner Data'!U20+'Bloom Cleaner Data'!EZ20)+'Bloom Cleaner Data'!CL20</f>
        <v>11643.1</v>
      </c>
      <c r="ON20" s="13">
        <f>'Bloom Cleaner Data'!GH20+('Bloom Cleaner Data'!V20+'Bloom Cleaner Data'!FA20)+'Bloom Cleaner Data'!CM20</f>
        <v>12037.3</v>
      </c>
      <c r="OO20" s="13">
        <f>'Bloom Cleaner Data'!GI20+('Bloom Cleaner Data'!W20+'Bloom Cleaner Data'!FB20)+'Bloom Cleaner Data'!CN20</f>
        <v>12927.699999999999</v>
      </c>
      <c r="OP20" s="13">
        <f>'Bloom Cleaner Data'!GJ20+('Bloom Cleaner Data'!X20+'Bloom Cleaner Data'!FC20)+'Bloom Cleaner Data'!CO20</f>
        <v>11690.370699999999</v>
      </c>
      <c r="OQ20" s="13">
        <f>'Bloom Cleaner Data'!GK20+('Bloom Cleaner Data'!Y20+'Bloom Cleaner Data'!FD20)+'Bloom Cleaner Data'!CP20</f>
        <v>18095.300000000003</v>
      </c>
      <c r="OR20" s="13">
        <f>'Bloom Cleaner Data'!GL20+('Bloom Cleaner Data'!Z20+'Bloom Cleaner Data'!FE20)+'Bloom Cleaner Data'!CQ20</f>
        <v>17300.600000000002</v>
      </c>
      <c r="OS20" s="13">
        <f>'Bloom Cleaner Data'!GM20+('Bloom Cleaner Data'!AA20+'Bloom Cleaner Data'!FF20)+'Bloom Cleaner Data'!CR20</f>
        <v>16311.83</v>
      </c>
      <c r="OT20" s="13">
        <f>'Bloom Cleaner Data'!GN20+('Bloom Cleaner Data'!AB20+'Bloom Cleaner Data'!FG20)+'Bloom Cleaner Data'!CS20</f>
        <v>16199.122199999998</v>
      </c>
      <c r="OU20" s="13">
        <f>'Bloom Cleaner Data'!GO20+('Bloom Cleaner Data'!AC20+'Bloom Cleaner Data'!FH20)+'Bloom Cleaner Data'!CT20</f>
        <v>15288</v>
      </c>
      <c r="OV20" s="13">
        <f>'Bloom Cleaner Data'!GP20+('Bloom Cleaner Data'!AD20+'Bloom Cleaner Data'!FI20)+'Bloom Cleaner Data'!CU20</f>
        <v>14026.7</v>
      </c>
      <c r="OW20" s="13">
        <f>'Bloom Cleaner Data'!GQ20+('Bloom Cleaner Data'!AE20+'Bloom Cleaner Data'!FJ20)+'Bloom Cleaner Data'!CV20</f>
        <v>14822.3</v>
      </c>
      <c r="OX20" s="13">
        <f>'Bloom Cleaner Data'!GR20+('Bloom Cleaner Data'!AF20+'Bloom Cleaner Data'!FK20)+'Bloom Cleaner Data'!CW20</f>
        <v>13633.0332</v>
      </c>
      <c r="OY20" s="13">
        <f>'Bloom Cleaner Data'!GS20+('Bloom Cleaner Data'!AG20+'Bloom Cleaner Data'!FL20)+'Bloom Cleaner Data'!CX20</f>
        <v>14676.4</v>
      </c>
      <c r="OZ20" s="13">
        <f>'Bloom Cleaner Data'!GT20+('Bloom Cleaner Data'!AH20+'Bloom Cleaner Data'!FM20)+'Bloom Cleaner Data'!CY20</f>
        <v>14026.7</v>
      </c>
      <c r="PA20" s="166"/>
      <c r="PB20" s="1694" t="s">
        <v>54</v>
      </c>
      <c r="PC20" s="947">
        <f>('Bloom Cleaner Data'!T20+'Bloom Cleaner Data'!EY20+'OPERATING LEASES'!BL20)/CALCULATIONS!OL20</f>
        <v>0.68301799072058811</v>
      </c>
      <c r="PD20" s="947">
        <f>('Bloom Cleaner Data'!U20+'Bloom Cleaner Data'!EZ20+'OPERATING LEASES'!BM20)/CALCULATIONS!OM20</f>
        <v>0.67897237327564952</v>
      </c>
      <c r="PE20" s="947">
        <f>('Bloom Cleaner Data'!V20+'Bloom Cleaner Data'!FA20+'OPERATING LEASES'!BN20)/CALCULATIONS!ON20</f>
        <v>0.67918328801783978</v>
      </c>
      <c r="PF20" s="947">
        <f>('Bloom Cleaner Data'!W20+'Bloom Cleaner Data'!FB20+'OPERATING LEASES'!BO20)/CALCULATIONS!OO20</f>
        <v>0.54785636628546242</v>
      </c>
      <c r="PG20" s="947">
        <f>('Bloom Cleaner Data'!X20+'Bloom Cleaner Data'!FC20+'OPERATING LEASES'!BP20)/CALCULATIONS!OP20</f>
        <v>0.58944594460122635</v>
      </c>
      <c r="PH20" s="947">
        <f>('Bloom Cleaner Data'!Y20+'Bloom Cleaner Data'!FD20+'OPERATING LEASES'!BQ20)/CALCULATIONS!OQ20</f>
        <v>0.66023765148961322</v>
      </c>
      <c r="PI20" s="947">
        <f>('Bloom Cleaner Data'!Z20+'Bloom Cleaner Data'!FE20+'OPERATING LEASES'!BR20)/CALCULATIONS!OR20</f>
        <v>0.71694532270557076</v>
      </c>
      <c r="PJ20" s="947">
        <f>('Bloom Cleaner Data'!AA20+'Bloom Cleaner Data'!FF20+'OPERATING LEASES'!BS20)/CALCULATIONS!OS20</f>
        <v>0.72134771052665447</v>
      </c>
      <c r="PK20" s="947">
        <f>('Bloom Cleaner Data'!AB20+'Bloom Cleaner Data'!FG20+'OPERATING LEASES'!BT20)/CALCULATIONS!OT20</f>
        <v>0.71385981642881857</v>
      </c>
      <c r="PL20" s="947">
        <f>('Bloom Cleaner Data'!AC20+'Bloom Cleaner Data'!FH20+'OPERATING LEASES'!BU20)/CALCULATIONS!OU20</f>
        <v>0.72959348672161173</v>
      </c>
      <c r="PM20" s="947">
        <f>('Bloom Cleaner Data'!AD20+'Bloom Cleaner Data'!FI20+'OPERATING LEASES'!BV20)/CALCULATIONS!OV20</f>
        <v>0.77981238994203916</v>
      </c>
      <c r="PN20" s="947">
        <f>('Bloom Cleaner Data'!AE20+'Bloom Cleaner Data'!FJ20+'OPERATING LEASES'!BW20)/CALCULATIONS!OW20</f>
        <v>0.76054078483096421</v>
      </c>
      <c r="PO20" s="947">
        <f>('Bloom Cleaner Data'!AF20+'Bloom Cleaner Data'!FK20+'OPERATING LEASES'!BX20)/CALCULATIONS!OX20</f>
        <v>0.75106132654323765</v>
      </c>
      <c r="PP20" s="947">
        <f>('Bloom Cleaner Data'!AG20+'Bloom Cleaner Data'!FL20+'OPERATING LEASES'!BY20)/CALCULATIONS!OY20</f>
        <v>0.75342269902700942</v>
      </c>
      <c r="PQ20" s="947">
        <f>('Bloom Cleaner Data'!AH20+'Bloom Cleaner Data'!FM20+'OPERATING LEASES'!BZ20)/CALCULATIONS!OZ20</f>
        <v>0.77980800188212485</v>
      </c>
      <c r="PR20" s="947"/>
      <c r="PS20" s="18">
        <f t="shared" si="116"/>
        <v>0.76143067581745727</v>
      </c>
      <c r="PT20" s="18">
        <f t="shared" si="117"/>
        <v>0.76120820307083403</v>
      </c>
      <c r="PU20" s="18">
        <f t="shared" si="118"/>
        <v>0.70639344530785952</v>
      </c>
      <c r="PV20" s="10">
        <f t="shared" si="119"/>
        <v>0.14815546206673155</v>
      </c>
      <c r="PW20" s="10"/>
      <c r="PX20" s="506">
        <f>'Bloom Cleaner Data'!D20/'Bloom Cleaner Data'!GF20</f>
        <v>3.1256967224187013</v>
      </c>
      <c r="PY20" s="506">
        <f>'Bloom Cleaner Data'!E20/'Bloom Cleaner Data'!GG20</f>
        <v>2.7498615310508372</v>
      </c>
      <c r="PZ20" s="506">
        <f>'Bloom Cleaner Data'!F20/'Bloom Cleaner Data'!GH20</f>
        <v>2.7495976153874997</v>
      </c>
      <c r="QA20" s="506">
        <f>'Bloom Cleaner Data'!G20/'Bloom Cleaner Data'!GI20</f>
        <v>1.5413400242347612</v>
      </c>
      <c r="QB20" s="506">
        <f>'Bloom Cleaner Data'!H20/'Bloom Cleaner Data'!GJ20</f>
        <v>1.5924453322157293</v>
      </c>
      <c r="QC20" s="506">
        <f>'Bloom Cleaner Data'!I20/'Bloom Cleaner Data'!GK20</f>
        <v>1.3922151097381918</v>
      </c>
      <c r="QD20" s="506">
        <f>'Bloom Cleaner Data'!J20/'Bloom Cleaner Data'!GL20</f>
        <v>1.4946967664845885</v>
      </c>
      <c r="QE20" s="506">
        <f>'Bloom Cleaner Data'!K20/'Bloom Cleaner Data'!GM20</f>
        <v>1.3044158943095345</v>
      </c>
      <c r="QF20" s="506">
        <f>'Bloom Cleaner Data'!L20/'Bloom Cleaner Data'!GN20</f>
        <v>0.96477412801461238</v>
      </c>
      <c r="QG20" s="506">
        <f>'Bloom Cleaner Data'!M20/'Bloom Cleaner Data'!GO20</f>
        <v>1.0365050991501417</v>
      </c>
      <c r="QH20" s="506">
        <f>'Bloom Cleaner Data'!N20/'Bloom Cleaner Data'!GP20</f>
        <v>1.1939446864279379</v>
      </c>
      <c r="QI20" s="506">
        <f>'Bloom Cleaner Data'!O20/'Bloom Cleaner Data'!GQ20</f>
        <v>1.1532792844006019</v>
      </c>
      <c r="QJ20" s="506">
        <f>'Bloom Cleaner Data'!P20/'Bloom Cleaner Data'!GR20</f>
        <v>1.0598724764012948</v>
      </c>
      <c r="QK20" s="506">
        <f>'Bloom Cleaner Data'!Q20/'Bloom Cleaner Data'!GS20</f>
        <v>1.1245046105552285</v>
      </c>
      <c r="QL20" s="506">
        <f>'Bloom Cleaner Data'!R20/'Bloom Cleaner Data'!GT20</f>
        <v>1.0332545966156574</v>
      </c>
      <c r="QM20" s="506"/>
      <c r="QN20" s="506">
        <f t="shared" si="120"/>
        <v>1.3569881249181368</v>
      </c>
      <c r="QO20" s="10">
        <f t="shared" si="121"/>
        <v>-0.62421607044125937</v>
      </c>
      <c r="QP20" s="506">
        <f t="shared" si="122"/>
        <v>1.6856971647625845</v>
      </c>
      <c r="QQ20" s="18"/>
      <c r="QR20" s="506">
        <f>'Bloom Cleaner Data'!GF20/CALCULATIONS!DK20</f>
        <v>0.90500306871282743</v>
      </c>
      <c r="QS20" s="506">
        <f>'Bloom Cleaner Data'!GG20/CALCULATIONS!DL20</f>
        <v>1.1315043707011148</v>
      </c>
      <c r="QT20" s="506">
        <f>'Bloom Cleaner Data'!GH20/CALCULATIONS!DM20</f>
        <v>1.2503791591275333</v>
      </c>
      <c r="QU20" s="506">
        <f>'Bloom Cleaner Data'!GI20/CALCULATIONS!DN20</f>
        <v>3.1104109079917266</v>
      </c>
      <c r="QV20" s="506">
        <f>'Bloom Cleaner Data'!GJ20/CALCULATIONS!DO20</f>
        <v>3.0369026413105247</v>
      </c>
      <c r="QW20" s="506">
        <f>'Bloom Cleaner Data'!GK20/CALCULATIONS!DP20</f>
        <v>3.2523414013229179</v>
      </c>
      <c r="QX20" s="506">
        <f>'Bloom Cleaner Data'!GL20/CALCULATIONS!DQ20</f>
        <v>2.5733638644038472</v>
      </c>
      <c r="QY20" s="506">
        <f>'Bloom Cleaner Data'!GM20/CALCULATIONS!DR20</f>
        <v>2.0234409580167254</v>
      </c>
      <c r="QZ20" s="506">
        <f>'Bloom Cleaner Data'!GN20/CALCULATIONS!DS20</f>
        <v>1.739963167377788</v>
      </c>
      <c r="RA20" s="506">
        <f>'Bloom Cleaner Data'!GO20/CALCULATIONS!DT20</f>
        <v>1.494881091430539</v>
      </c>
      <c r="RB20" s="506">
        <f>'Bloom Cleaner Data'!GP20/CALCULATIONS!DU20</f>
        <v>1.1343369883734262</v>
      </c>
      <c r="RC20" s="506">
        <f>'Bloom Cleaner Data'!GQ20/CALCULATIONS!DV20</f>
        <v>1.3463923848595805</v>
      </c>
      <c r="RD20" s="506">
        <f>'Bloom Cleaner Data'!GR20/CALCULATIONS!DW20</f>
        <v>1.2805002957721376</v>
      </c>
      <c r="RE20" s="506">
        <f>'Bloom Cleaner Data'!GS20/CALCULATIONS!DX20</f>
        <v>1.3986434638388929</v>
      </c>
      <c r="RF20" s="506">
        <f>'Bloom Cleaner Data'!GT20/CALCULATIONS!DY20</f>
        <v>1.2289542328488545</v>
      </c>
      <c r="RG20" s="506"/>
      <c r="RH20" s="506">
        <f t="shared" si="123"/>
        <v>1.913116196667269</v>
      </c>
      <c r="RI20" s="506">
        <f t="shared" si="124"/>
        <v>1.5800529385468658</v>
      </c>
      <c r="RJ20" s="18"/>
      <c r="RK20" s="506">
        <f>'Bloom Cleaner Data'!GF20/($RK$1*DK20+(1-$RK$1)*'Bloom Cleaner Data'!GV20)</f>
        <v>0.90500306871282743</v>
      </c>
      <c r="RL20" s="506">
        <f>'Bloom Cleaner Data'!GG20/($RK$1*DL20+(1-$RK$1)*'Bloom Cleaner Data'!GW20)</f>
        <v>1.1315043707011148</v>
      </c>
      <c r="RM20" s="506">
        <f>'Bloom Cleaner Data'!GH20/($RK$1*DM20+(1-$RK$1)*'Bloom Cleaner Data'!GX20)</f>
        <v>1.2503791591275333</v>
      </c>
      <c r="RN20" s="506">
        <f>'Bloom Cleaner Data'!GI20/($RK$1*DN20+(1-$RK$1)*'Bloom Cleaner Data'!GY20)</f>
        <v>3.1104109079917266</v>
      </c>
      <c r="RO20" s="506">
        <f>'Bloom Cleaner Data'!GJ20/($RK$1*DO20+(1-$RK$1)*'Bloom Cleaner Data'!GZ20)</f>
        <v>3.0369026413105247</v>
      </c>
      <c r="RP20" s="506">
        <f>'Bloom Cleaner Data'!GK20/($RK$1*DP20+(1-$RK$1)*'Bloom Cleaner Data'!HA20)</f>
        <v>3.2523414013229179</v>
      </c>
      <c r="RQ20" s="506">
        <f>'Bloom Cleaner Data'!GL20/($RK$1*DQ20+(1-$RK$1)*'Bloom Cleaner Data'!HB20)</f>
        <v>2.5733638644038472</v>
      </c>
      <c r="RR20" s="506">
        <f>'Bloom Cleaner Data'!GM20/($RK$1*DR20+(1-$RK$1)*'Bloom Cleaner Data'!HC20)</f>
        <v>2.0234409580167254</v>
      </c>
      <c r="RS20" s="506">
        <f>'Bloom Cleaner Data'!GN20/($RK$1*DS20+(1-$RK$1)*'Bloom Cleaner Data'!HD20)</f>
        <v>1.739963167377788</v>
      </c>
      <c r="RT20" s="506">
        <f>'Bloom Cleaner Data'!GO20/($RK$1*DT20+(1-$RK$1)*'Bloom Cleaner Data'!HE20)</f>
        <v>1.494881091430539</v>
      </c>
      <c r="RU20" s="506">
        <f>'Bloom Cleaner Data'!GP20/($RK$1*DU20+(1-$RK$1)*'Bloom Cleaner Data'!HF20)</f>
        <v>1.1343369883734262</v>
      </c>
      <c r="RV20" s="506">
        <f>'Bloom Cleaner Data'!GQ20/($RK$1*DV20+(1-$RK$1)*'Bloom Cleaner Data'!HG20)</f>
        <v>1.3463923848595805</v>
      </c>
      <c r="RW20" s="506">
        <f>'Bloom Cleaner Data'!GR20/($RK$1*DW20+(1-$RK$1)*'Bloom Cleaner Data'!HH20)</f>
        <v>1.2805002957721376</v>
      </c>
      <c r="RX20" s="506">
        <f>'Bloom Cleaner Data'!GS20/($RK$1*DX20+(1-$RK$1)*'Bloom Cleaner Data'!HI20)</f>
        <v>1.3986434638388929</v>
      </c>
      <c r="RY20" s="506">
        <f>'Bloom Cleaner Data'!GT20/($RK$1*DY20+(1-$RK$1)*'Bloom Cleaner Data'!HJ20)</f>
        <v>1.2289542328488545</v>
      </c>
      <c r="RZ20" s="506"/>
      <c r="SA20" s="506">
        <f t="shared" si="125"/>
        <v>1.913116196667269</v>
      </c>
      <c r="SB20" s="506">
        <f t="shared" si="126"/>
        <v>1.5800529385468658</v>
      </c>
      <c r="SC20" s="18"/>
      <c r="SD20" s="15">
        <f>'Bloom Cleaner Data'!HM20</f>
        <v>7.4585999999999997</v>
      </c>
      <c r="SE20" s="15">
        <f>'Bloom Cleaner Data'!HN20</f>
        <v>7.2892999999999999</v>
      </c>
      <c r="SF20" s="15">
        <f>'Bloom Cleaner Data'!HO20</f>
        <v>8.7288999999999994</v>
      </c>
      <c r="SG20" s="15">
        <f>'Bloom Cleaner Data'!HP20</f>
        <v>8.5761000000000003</v>
      </c>
      <c r="SH20" s="15">
        <f>'Bloom Cleaner Data'!HQ20</f>
        <v>7.1652000000000005</v>
      </c>
      <c r="SI20" s="15">
        <f>'Bloom Cleaner Data'!HR20</f>
        <v>6.6730999999999998</v>
      </c>
      <c r="SJ20" s="15">
        <f>'Bloom Cleaner Data'!HS20</f>
        <v>6.5318000000000005</v>
      </c>
      <c r="SK20" s="15">
        <f>'Bloom Cleaner Data'!HT20</f>
        <v>5.6299000000000001</v>
      </c>
      <c r="SL20" s="15">
        <f>'Bloom Cleaner Data'!HU20</f>
        <v>6.4733000000000001</v>
      </c>
      <c r="SM20" s="15">
        <f>'Bloom Cleaner Data'!HV20</f>
        <v>6.7033000000000005</v>
      </c>
      <c r="SN20" s="15">
        <f>'Bloom Cleaner Data'!HW20</f>
        <v>6.7747999999999999</v>
      </c>
      <c r="SO20" s="15">
        <f>'Bloom Cleaner Data'!HX20</f>
        <v>6.3288000000000002</v>
      </c>
      <c r="SP20" s="15">
        <f>'Bloom Cleaner Data'!HY20</f>
        <v>6.0407000000000002</v>
      </c>
      <c r="SQ20" s="15">
        <f>'Bloom Cleaner Data'!HZ20</f>
        <v>6.0693000000000001</v>
      </c>
      <c r="SR20" s="15">
        <f>'Bloom Cleaner Data'!IA20</f>
        <v>7.3448000000000002</v>
      </c>
      <c r="SS20" s="15"/>
      <c r="ST20" s="15">
        <f t="shared" si="127"/>
        <v>6.9191933333333333</v>
      </c>
      <c r="SU20" s="487">
        <f t="shared" si="128"/>
        <v>-0.15856522585892832</v>
      </c>
      <c r="SV20" s="15">
        <f t="shared" si="129"/>
        <v>-1.3840999999999992</v>
      </c>
    </row>
    <row r="21" spans="1:518">
      <c r="A21" s="11" t="s">
        <v>32</v>
      </c>
      <c r="B21" s="72"/>
      <c r="C21" s="83" t="s">
        <v>50</v>
      </c>
      <c r="D21" s="1133" t="s">
        <v>32</v>
      </c>
      <c r="E21" s="224" t="s">
        <v>64</v>
      </c>
      <c r="F21" s="224"/>
      <c r="G21" s="13">
        <f>'Bloom Cleaner Data'!D21*'Bloom Cleaner Data'!D46</f>
        <v>11800.137071250001</v>
      </c>
      <c r="H21" s="13">
        <f>'Bloom Cleaner Data'!F21*'Bloom Cleaner Data'!F46</f>
        <v>12953.6977276</v>
      </c>
      <c r="I21" s="13">
        <f>'Bloom Cleaner Data'!H21*'Bloom Cleaner Data'!H46</f>
        <v>16365.549964319998</v>
      </c>
      <c r="J21" s="13">
        <f>'Bloom Cleaner Data'!J21*'Bloom Cleaner Data'!J46</f>
        <v>18182.167807499998</v>
      </c>
      <c r="K21" s="13">
        <f>'Bloom Cleaner Data'!L21*'Bloom Cleaner Data'!L46</f>
        <v>17779.096174847302</v>
      </c>
      <c r="L21" s="13">
        <f>'Bloom Cleaner Data'!N21*'Bloom Cleaner Data'!N46</f>
        <v>20424.937992540152</v>
      </c>
      <c r="M21" s="13">
        <f>'Bloom Cleaner Data'!P21*'Bloom Cleaner Data'!P46</f>
        <v>22410.465322609998</v>
      </c>
      <c r="N21" s="13">
        <f>'Bloom Cleaner Data'!R21*'Bloom Cleaner Data'!R46</f>
        <v>28491.576306321644</v>
      </c>
      <c r="O21" s="13"/>
      <c r="P21" s="13">
        <f t="shared" si="0"/>
        <v>19515.355899391296</v>
      </c>
      <c r="Q21" s="13">
        <f t="shared" si="49"/>
        <v>23775.65987382393</v>
      </c>
      <c r="R21" s="10">
        <f t="shared" si="1"/>
        <v>1.1994936816856254</v>
      </c>
      <c r="S21" s="18">
        <f>('Bloom Cleaner Data'!R21-'Bloom Cleaner Data'!F21)/'Bloom Cleaner Data'!F21</f>
        <v>1.2980141891936237</v>
      </c>
      <c r="T21" s="10">
        <f t="shared" si="2"/>
        <v>1.3012692605912644</v>
      </c>
      <c r="U21" s="10"/>
      <c r="V21" s="1277" t="s">
        <v>50</v>
      </c>
      <c r="W21" s="1238">
        <f>'Bloom Cleaner Data'!D21/'Bloom Cleaner Data'!$F21</f>
        <v>0.98689333108427757</v>
      </c>
      <c r="X21" s="1238">
        <f>'Bloom Cleaner Data'!E21/'Bloom Cleaner Data'!$F21</f>
        <v>0.95234434837593107</v>
      </c>
      <c r="Y21" s="1238">
        <f>'Bloom Cleaner Data'!F21/'Bloom Cleaner Data'!$F21</f>
        <v>1</v>
      </c>
      <c r="Z21" s="1238">
        <f>'Bloom Cleaner Data'!G21/'Bloom Cleaner Data'!$F21</f>
        <v>1.024390173064393</v>
      </c>
      <c r="AA21" s="1238">
        <f>'Bloom Cleaner Data'!H21/'Bloom Cleaner Data'!$F21</f>
        <v>1.3230699510174049</v>
      </c>
      <c r="AB21" s="1238">
        <f>'Bloom Cleaner Data'!I21/'Bloom Cleaner Data'!$F21</f>
        <v>1.4265949254571519</v>
      </c>
      <c r="AC21" s="1238">
        <f>'Bloom Cleaner Data'!J21/'Bloom Cleaner Data'!$F21</f>
        <v>1.5488086070591938</v>
      </c>
      <c r="AD21" s="1238">
        <f>'Bloom Cleaner Data'!K21/'Bloom Cleaner Data'!$F21</f>
        <v>1.2732817542907013</v>
      </c>
      <c r="AE21" s="1238">
        <f>'Bloom Cleaner Data'!L21/'Bloom Cleaner Data'!$F21</f>
        <v>1.3995590785650471</v>
      </c>
      <c r="AF21" s="1238">
        <f>'Bloom Cleaner Data'!M21/'Bloom Cleaner Data'!$F21</f>
        <v>1.6618492640238904</v>
      </c>
      <c r="AG21" s="1238">
        <f>'Bloom Cleaner Data'!N21/'Bloom Cleaner Data'!$F21</f>
        <v>1.5528689116035814</v>
      </c>
      <c r="AH21" s="1238">
        <f>'Bloom Cleaner Data'!O21/'Bloom Cleaner Data'!$F21</f>
        <v>1.7132663728762054</v>
      </c>
      <c r="AI21" s="1238">
        <f>'Bloom Cleaner Data'!P21/'Bloom Cleaner Data'!$F21</f>
        <v>1.7157169642453682</v>
      </c>
      <c r="AJ21" s="1238">
        <f>'Bloom Cleaner Data'!Q21/'Bloom Cleaner Data'!$F21</f>
        <v>2.065776047223534</v>
      </c>
      <c r="AK21" s="1238">
        <f>'Bloom Cleaner Data'!R21/'Bloom Cleaner Data'!$F21</f>
        <v>2.2980141891936237</v>
      </c>
      <c r="AL21" s="13"/>
      <c r="AM21" s="13">
        <f>AVERAGE('Bloom Cleaner Data'!BW21:CI21)</f>
        <v>25604.909484615382</v>
      </c>
      <c r="AN21" s="18">
        <f>('Bloom Cleaner Data'!CI21-'Bloom Cleaner Data'!BW21)/'Bloom Cleaner Data'!BW21</f>
        <v>0.58793748625840481</v>
      </c>
      <c r="AO21" s="18">
        <f>('Bloom Cleaner Data'!CI21+'Bloom Cleaner Data'!CH21-'Bloom Cleaner Data'!BW21-'Bloom Cleaner Data'!BV21)/('Bloom Cleaner Data'!BW21+'Bloom Cleaner Data'!BV21)</f>
        <v>0.51704196619347975</v>
      </c>
      <c r="AP21" s="13"/>
      <c r="AQ21" s="13">
        <f>'Bloom Cleaner Data'!BW21*'Bloom Cleaner Data'!BW46</f>
        <v>25471.6297276</v>
      </c>
      <c r="AR21" s="13">
        <f>'Bloom Cleaner Data'!BY21*'Bloom Cleaner Data'!BY46</f>
        <v>27523.332364319998</v>
      </c>
      <c r="AS21" s="13">
        <f>'Bloom Cleaner Data'!CA21*'Bloom Cleaner Data'!CA46</f>
        <v>28481.6958075</v>
      </c>
      <c r="AT21" s="13">
        <f>'Bloom Cleaner Data'!CC21*'Bloom Cleaner Data'!CC46</f>
        <v>27807.859351279298</v>
      </c>
      <c r="AU21" s="13">
        <f>'Bloom Cleaner Data'!CE21*'Bloom Cleaner Data'!CE46</f>
        <v>32413.647985458632</v>
      </c>
      <c r="AV21" s="13">
        <f>'Bloom Cleaner Data'!CG21*'Bloom Cleaner Data'!CG46</f>
        <v>32910.707822609998</v>
      </c>
      <c r="AW21" s="13">
        <f>'Bloom Cleaner Data'!CI21*'Bloom Cleaner Data'!CI46</f>
        <v>38713.295887645676</v>
      </c>
      <c r="AX21" s="13"/>
      <c r="AY21" s="13">
        <f t="shared" si="3"/>
        <v>30474.595563773375</v>
      </c>
      <c r="AZ21" s="10">
        <f t="shared" si="4"/>
        <v>0.51985940050383017</v>
      </c>
      <c r="BA21" s="10"/>
      <c r="BB21" s="13">
        <f>'Bloom Cleaner Data'!T21+'OPERATING LEASES'!AU21</f>
        <v>17646.966063629818</v>
      </c>
      <c r="BC21" s="13">
        <f>'Bloom Cleaner Data'!U21+'OPERATING LEASES'!AV21</f>
        <v>17067.591788831563</v>
      </c>
      <c r="BD21" s="13">
        <f>'Bloom Cleaner Data'!V21+'OPERATING LEASES'!AW21</f>
        <v>16263.217514033307</v>
      </c>
      <c r="BE21" s="13">
        <f>'Bloom Cleaner Data'!W21+'OPERATING LEASES'!AX21</f>
        <v>16043.843239235051</v>
      </c>
      <c r="BF21" s="13">
        <f>'Bloom Cleaner Data'!X21+'OPERATING LEASES'!AY21</f>
        <v>15375.468964436797</v>
      </c>
      <c r="BG21" s="13">
        <f>'Bloom Cleaner Data'!Y21+'OPERATING LEASES'!AZ21</f>
        <v>15400.78226583902</v>
      </c>
      <c r="BH21" s="13">
        <f>'Bloom Cleaner Data'!Z21+'OPERATING LEASES'!BA21</f>
        <v>15253.095567241242</v>
      </c>
      <c r="BI21" s="13">
        <f>'Bloom Cleaner Data'!AA21+'OPERATING LEASES'!BB21</f>
        <v>15105.408868643466</v>
      </c>
      <c r="BJ21" s="13">
        <f>'Bloom Cleaner Data'!AB21+'OPERATING LEASES'!BC21</f>
        <v>14520.72217004569</v>
      </c>
      <c r="BK21" s="13">
        <f>'Bloom Cleaner Data'!AC21+'OPERATING LEASES'!BD21</f>
        <v>15717.38110551623</v>
      </c>
      <c r="BL21" s="13">
        <f>'Bloom Cleaner Data'!AD21+'OPERATING LEASES'!BE21</f>
        <v>15658.040040986769</v>
      </c>
      <c r="BM21" s="13">
        <f>'Bloom Cleaner Data'!AE21+'OPERATING LEASES'!BF21</f>
        <v>15323.698976457308</v>
      </c>
      <c r="BN21" s="13">
        <f>'Bloom Cleaner Data'!AF21+'OPERATING LEASES'!BG21</f>
        <v>14340.357911927847</v>
      </c>
      <c r="BO21" s="13">
        <f>'Bloom Cleaner Data'!AG21+'OPERATING LEASES'!BH21</f>
        <v>14383.357911927847</v>
      </c>
      <c r="BP21" s="13">
        <f>'Bloom Cleaner Data'!AH21+'OPERATING LEASES'!BI21</f>
        <v>14568.357911927847</v>
      </c>
      <c r="BQ21" s="13"/>
      <c r="BR21" s="1099">
        <f t="shared" si="50"/>
        <v>15227.210188324496</v>
      </c>
      <c r="BS21" s="10">
        <f t="shared" si="51"/>
        <v>-0.10421428605028427</v>
      </c>
      <c r="BT21" s="10"/>
      <c r="BU21" s="13">
        <f>'Bloom Cleaner Data'!BU21+'OPERATING LEASES'!AU21</f>
        <v>28135.719563629817</v>
      </c>
      <c r="BV21" s="13">
        <f>'Bloom Cleaner Data'!BV21+'OPERATING LEASES'!AV21</f>
        <v>27190.962088831562</v>
      </c>
      <c r="BW21" s="13">
        <f>'Bloom Cleaner Data'!BW21+'OPERATING LEASES'!AW21</f>
        <v>26886.963914033309</v>
      </c>
      <c r="BX21" s="13">
        <f>'Bloom Cleaner Data'!BX21+'OPERATING LEASES'!AX21</f>
        <v>26931.241239235052</v>
      </c>
      <c r="BY21" s="13">
        <f>'Bloom Cleaner Data'!BY21+'OPERATING LEASES'!AY21</f>
        <v>29430.290264436797</v>
      </c>
      <c r="BZ21" s="13">
        <f>'Bloom Cleaner Data'!BZ21+'OPERATING LEASES'!AZ21</f>
        <v>30555.459665839022</v>
      </c>
      <c r="CA21" s="13">
        <f>'Bloom Cleaner Data'!CA21+'OPERATING LEASES'!BA21</f>
        <v>31724.818067241242</v>
      </c>
      <c r="CB21" s="13">
        <f>'Bloom Cleaner Data'!CB21+'OPERATING LEASES'!BB21</f>
        <v>28620.238968643465</v>
      </c>
      <c r="CC21" s="13">
        <f>'Bloom Cleaner Data'!CC21+'OPERATING LEASES'!BC21</f>
        <v>29372.691270045689</v>
      </c>
      <c r="CD21" s="13">
        <f>'Bloom Cleaner Data'!CD21+'OPERATING LEASES'!BD21</f>
        <v>33340.871105516228</v>
      </c>
      <c r="CE21" s="13">
        <f>'Bloom Cleaner Data'!CE21+'OPERATING LEASES'!BE21</f>
        <v>32125.821040986768</v>
      </c>
      <c r="CF21" s="13">
        <f>'Bloom Cleaner Data'!CF21+'OPERATING LEASES'!BF21</f>
        <v>33502.454376457303</v>
      </c>
      <c r="CG21" s="13">
        <f>'Bloom Cleaner Data'!CG21+'OPERATING LEASES'!BG21</f>
        <v>32545.101211927846</v>
      </c>
      <c r="CH21" s="13">
        <f>'Bloom Cleaner Data'!CH21+'OPERATING LEASES'!BH21</f>
        <v>36290.389011927844</v>
      </c>
      <c r="CI21" s="13">
        <f>'Bloom Cleaner Data'!CI21+'OPERATING LEASES'!BI21</f>
        <v>38938.215611927844</v>
      </c>
      <c r="CJ21" s="13"/>
      <c r="CK21" s="1099">
        <f t="shared" si="52"/>
        <v>31558.811980632185</v>
      </c>
      <c r="CL21" s="10">
        <f t="shared" si="53"/>
        <v>0.44821913461209123</v>
      </c>
      <c r="CM21" s="18">
        <f t="shared" si="54"/>
        <v>0.23252972245788189</v>
      </c>
      <c r="CN21" s="13"/>
      <c r="CO21" s="18">
        <f>$CO$1*BU21/('Bloom Cleaner Data'!D21+'Bloom Cleaner Data'!T21+'OPERATING LEASES'!AU21)+(1-$CO$1)*'Bloom Cleaner Data'!BU21/('Bloom Cleaner Data'!D21+'Bloom Cleaner Data'!T21)-1</f>
        <v>8.1813500639604797E-4</v>
      </c>
      <c r="CP21" s="18">
        <f>$CO$1*BV21/('Bloom Cleaner Data'!E21+'Bloom Cleaner Data'!U21+'OPERATING LEASES'!AV21)+(1-$CO$1)*'Bloom Cleaner Data'!BV21/('Bloom Cleaner Data'!E21+'Bloom Cleaner Data'!U21)-1</f>
        <v>8.8342597606305695E-4</v>
      </c>
      <c r="CQ21" s="18">
        <f>$CO$1*BW21/('Bloom Cleaner Data'!F21+'Bloom Cleaner Data'!V21+'OPERATING LEASES'!AW21)+(1-$CO$1)*'Bloom Cleaner Data'!BW21/('Bloom Cleaner Data'!F21+'Bloom Cleaner Data'!V21)-1</f>
        <v>7.0716188471853236E-4</v>
      </c>
      <c r="CR21" s="18">
        <f>$CO$1*BX21/('Bloom Cleaner Data'!G21+'Bloom Cleaner Data'!W21+'OPERATING LEASES'!AX21)+(1-$CO$1)*'Bloom Cleaner Data'!BX21/('Bloom Cleaner Data'!G21+'Bloom Cleaner Data'!W21)-1</f>
        <v>8.9195320273138812E-4</v>
      </c>
      <c r="CS21" s="18">
        <f>$CO$1*BY21/('Bloom Cleaner Data'!H21+'Bloom Cleaner Data'!X21+'OPERATING LEASES'!AY21)+(1-$CO$1)*'Bloom Cleaner Data'!BY21/('Bloom Cleaner Data'!H21+'Bloom Cleaner Data'!X21)-1</f>
        <v>8.1615191117889729E-4</v>
      </c>
      <c r="CT21" s="18">
        <f>$CO$1*BZ21/('Bloom Cleaner Data'!I21+'Bloom Cleaner Data'!Y21+'OPERATING LEASES'!AZ21)+(1-$CO$1)*'Bloom Cleaner Data'!BZ21/('Bloom Cleaner Data'!I21+'Bloom Cleaner Data'!Y21)-1</f>
        <v>8.5163642870145218E-4</v>
      </c>
      <c r="CU21" s="18">
        <f>$CO$1*CA21/('Bloom Cleaner Data'!J21+'Bloom Cleaner Data'!Z21+'OPERATING LEASES'!BA21)+(1-$CO$1)*'Bloom Cleaner Data'!CA21/('Bloom Cleaner Data'!J21+'Bloom Cleaner Data'!Z21)-1</f>
        <v>1.4836880463242608E-3</v>
      </c>
      <c r="CV21" s="18">
        <f>$CO$1*CB21/('Bloom Cleaner Data'!K21+'Bloom Cleaner Data'!AA21+'OPERATING LEASES'!BB21)+(1-$CO$1)*'Bloom Cleaner Data'!CB21/('Bloom Cleaner Data'!K21+'Bloom Cleaner Data'!AA21)-1</f>
        <v>4.1945958341416123E-4</v>
      </c>
      <c r="CW21" s="18">
        <f>$CO$1*CC21/('Bloom Cleaner Data'!L21+'Bloom Cleaner Data'!AB21+'OPERATING LEASES'!BC21)+(1-$CO$1)*'Bloom Cleaner Data'!CC21/('Bloom Cleaner Data'!L21+'Bloom Cleaner Data'!AB21)-1</f>
        <v>3.4056823701988925E-4</v>
      </c>
      <c r="CX21" s="18">
        <f>$CO$1*CD21/('Bloom Cleaner Data'!M21+'Bloom Cleaner Data'!AC21+'OPERATING LEASES'!BD21)+(1-$CO$1)*'Bloom Cleaner Data'!CD21/('Bloom Cleaner Data'!M21+'Bloom Cleaner Data'!AC21)-1</f>
        <v>0</v>
      </c>
      <c r="CY21" s="18">
        <f>$CO$1*CE21/('Bloom Cleaner Data'!N21+'Bloom Cleaner Data'!AD21+'OPERATING LEASES'!BE21)+(1-$CO$1)*'Bloom Cleaner Data'!CE21/('Bloom Cleaner Data'!N21+'Bloom Cleaner Data'!AD21)-1</f>
        <v>0</v>
      </c>
      <c r="CZ21" s="18">
        <f>$CO$1*CF21/('Bloom Cleaner Data'!O21+'Bloom Cleaner Data'!AE21+'OPERATING LEASES'!BF21)+(1-$CO$1)*'Bloom Cleaner Data'!CF21/('Bloom Cleaner Data'!O21+'Bloom Cleaner Data'!AE21)-1</f>
        <v>2.9857471439975747E-4</v>
      </c>
      <c r="DA21" s="18">
        <f>$CO$1*CG21/('Bloom Cleaner Data'!P21+'Bloom Cleaner Data'!AF21+'OPERATING LEASES'!BG21)+(1-$CO$1)*'Bloom Cleaner Data'!CG21/('Bloom Cleaner Data'!P21+'Bloom Cleaner Data'!AF21)-1</f>
        <v>3.0736034705602933E-4</v>
      </c>
      <c r="DB21" s="18">
        <f>$CO$1*CH21/('Bloom Cleaner Data'!Q21+'Bloom Cleaner Data'!AG21+'OPERATING LEASES'!BH21)+(1-$CO$1)*'Bloom Cleaner Data'!CH21/('Bloom Cleaner Data'!Q21+'Bloom Cleaner Data'!AG21)-1</f>
        <v>0</v>
      </c>
      <c r="DC21" s="18">
        <f>$CO$1*CI21/('Bloom Cleaner Data'!R21+'Bloom Cleaner Data'!AH21+'OPERATING LEASES'!BI21)+(1-$CO$1)*'Bloom Cleaner Data'!CI21/('Bloom Cleaner Data'!R21+'Bloom Cleaner Data'!AH21)-1</f>
        <v>0</v>
      </c>
      <c r="DD21" s="18"/>
      <c r="DE21" s="18">
        <f t="shared" si="55"/>
        <v>4.705041811957206E-4</v>
      </c>
      <c r="DF21" s="13"/>
      <c r="DG21" s="2203">
        <f>AVERAGE('Bloom Cleaner Data'!GX21:HJ21)</f>
        <v>5797.8487973031724</v>
      </c>
      <c r="DH21" s="2124">
        <f>('Bloom Cleaner Data'!HJ21-'Bloom Cleaner Data'!GX21)/'Bloom Cleaner Data'!GX21</f>
        <v>4.6280834637076926E-2</v>
      </c>
      <c r="DI21" s="2124">
        <f>('Bloom Cleaner Data'!HJ21+'Bloom Cleaner Data'!HI21-'Bloom Cleaner Data'!GX21-'Bloom Cleaner Data'!GW21)/('Bloom Cleaner Data'!GX21+'Bloom Cleaner Data'!GW21)</f>
        <v>5.4138982247428934E-2</v>
      </c>
      <c r="DJ21" s="13"/>
      <c r="DK21" s="13">
        <f>'Bloom Cleaner Data'!GV21+'OPERATING LEASES'!BL21</f>
        <v>5109.1229494471681</v>
      </c>
      <c r="DL21" s="13">
        <f>'Bloom Cleaner Data'!GW21+'OPERATING LEASES'!BM21</f>
        <v>6635.3796168541712</v>
      </c>
      <c r="DM21" s="13">
        <f>'Bloom Cleaner Data'!GX21+'OPERATING LEASES'!BN21</f>
        <v>6658.6187658495346</v>
      </c>
      <c r="DN21" s="13">
        <f>'Bloom Cleaner Data'!GY21+'OPERATING LEASES'!BO21</f>
        <v>6751.7367423644228</v>
      </c>
      <c r="DO21" s="13">
        <f>'Bloom Cleaner Data'!GZ21+'OPERATING LEASES'!BP21</f>
        <v>6799.9756176853052</v>
      </c>
      <c r="DP21" s="13">
        <f>'Bloom Cleaner Data'!HA21+'OPERATING LEASES'!BQ21</f>
        <v>6797.5588638833815</v>
      </c>
      <c r="DQ21" s="13">
        <f>'Bloom Cleaner Data'!HB21+'OPERATING LEASES'!BR21</f>
        <v>6847.0171030065158</v>
      </c>
      <c r="DR21" s="13">
        <f>'Bloom Cleaner Data'!HC21+'OPERATING LEASES'!BS21</f>
        <v>6902.5150171359764</v>
      </c>
      <c r="DS21" s="13">
        <f>'Bloom Cleaner Data'!HD21+'OPERATING LEASES'!BT21</f>
        <v>6955.1711825049797</v>
      </c>
      <c r="DT21" s="13">
        <f>'Bloom Cleaner Data'!HE21+'OPERATING LEASES'!BU21</f>
        <v>6590.3239267310209</v>
      </c>
      <c r="DU21" s="13">
        <f>'Bloom Cleaner Data'!HF21+'OPERATING LEASES'!BV21</f>
        <v>6593.4774210257965</v>
      </c>
      <c r="DV21" s="13">
        <f>'Bloom Cleaner Data'!HG21+'OPERATING LEASES'!BW21</f>
        <v>6497.6182696298765</v>
      </c>
      <c r="DW21" s="13">
        <f>'Bloom Cleaner Data'!HH21+'OPERATING LEASES'!BX21</f>
        <v>6357.7788738582258</v>
      </c>
      <c r="DX21" s="13">
        <f>'Bloom Cleaner Data'!HI21+'OPERATING LEASES'!BY21</f>
        <v>6831.72567199065</v>
      </c>
      <c r="DY21" s="13">
        <f>'Bloom Cleaner Data'!HJ21+'OPERATING LEASES'!BZ21</f>
        <v>6819.7490521327018</v>
      </c>
      <c r="DZ21" s="13"/>
      <c r="EA21" s="1099">
        <f t="shared" si="56"/>
        <v>6723.3281929075683</v>
      </c>
      <c r="EB21" s="10">
        <f t="shared" si="57"/>
        <v>2.4198755319881943E-2</v>
      </c>
      <c r="EC21" s="18">
        <f t="shared" si="58"/>
        <v>0.15962461732959921</v>
      </c>
      <c r="ED21" s="18">
        <f>(AVERAGE(DV21:DY21)-AVERAGE('Bloom Cleaner Data'!HG21:HJ21))/AVERAGE('Bloom Cleaner Data'!HG21:HJ21)</f>
        <v>0.15735228247957297</v>
      </c>
      <c r="EE21" s="165"/>
      <c r="EF21" s="22">
        <f>'Bloom Cleaner Data'!DT21</f>
        <v>1.0083</v>
      </c>
      <c r="EG21" s="22">
        <f>'Bloom Cleaner Data'!DX21</f>
        <v>1.2972000000000001</v>
      </c>
      <c r="EH21" s="22">
        <f>'Bloom Cleaner Data'!EB21</f>
        <v>1.3721000000000001</v>
      </c>
      <c r="EI21" s="22">
        <f>'Bloom Cleaner Data'!EF21</f>
        <v>1.8414000000000001</v>
      </c>
      <c r="EJ21" s="22"/>
      <c r="EK21" s="22">
        <f>AVERAGE('Bloom Cleaner Data'!DT21:EF21)</f>
        <v>1.3321076923076924</v>
      </c>
      <c r="EL21" s="2124">
        <f t="shared" si="5"/>
        <v>0.82624218982445718</v>
      </c>
      <c r="EM21" s="13"/>
      <c r="EN21" s="15">
        <f>'Bloom Cleaner Data'!DA21</f>
        <v>5.4602000000000004</v>
      </c>
      <c r="EO21" s="15">
        <f>'Bloom Cleaner Data'!DB21</f>
        <v>3.7688000000000001</v>
      </c>
      <c r="EP21" s="15">
        <f>'Bloom Cleaner Data'!DC21</f>
        <v>3.6842000000000001</v>
      </c>
      <c r="EQ21" s="15">
        <f>'Bloom Cleaner Data'!DD21</f>
        <v>3.6183999999999998</v>
      </c>
      <c r="ER21" s="15">
        <f>'Bloom Cleaner Data'!DE21</f>
        <v>3.9988000000000001</v>
      </c>
      <c r="ES21" s="15">
        <f>'Bloom Cleaner Data'!DF21</f>
        <v>4.1863000000000001</v>
      </c>
      <c r="ET21" s="15">
        <f>'Bloom Cleaner Data'!DG21</f>
        <v>4.3438999999999997</v>
      </c>
      <c r="EU21" s="15">
        <f>'Bloom Cleaner Data'!DH21</f>
        <v>3.7786</v>
      </c>
      <c r="EV21" s="15">
        <f>'Bloom Cleaner Data'!DI21</f>
        <v>3.8651</v>
      </c>
      <c r="EW21" s="15">
        <f>'Bloom Cleaner Data'!DJ21</f>
        <v>4.8223000000000003</v>
      </c>
      <c r="EX21" s="15">
        <f>'Bloom Cleaner Data'!DK21</f>
        <v>4.6090999999999998</v>
      </c>
      <c r="EY21" s="15">
        <f>'Bloom Cleaner Data'!DL21</f>
        <v>4.9389000000000003</v>
      </c>
      <c r="EZ21" s="15">
        <f>'Bloom Cleaner Data'!DM21</f>
        <v>4.8936999999999999</v>
      </c>
      <c r="FA21" s="15">
        <f>'Bloom Cleaner Data'!DN21</f>
        <v>5.1340000000000003</v>
      </c>
      <c r="FB21" s="15">
        <f>'Bloom Cleaner Data'!DO21</f>
        <v>5.5914999999999999</v>
      </c>
      <c r="FC21" s="15"/>
      <c r="FD21" s="15">
        <f t="shared" si="59"/>
        <v>4.4203692307692313</v>
      </c>
      <c r="FE21" s="18">
        <f t="shared" si="6"/>
        <v>0.51769719342055254</v>
      </c>
      <c r="FF21" s="15">
        <f t="shared" si="60"/>
        <v>4.6163399999999992</v>
      </c>
      <c r="FG21" s="2206"/>
      <c r="FH21" s="15">
        <f>('Bloom Cleaner Data'!BU21+'OPERATING LEASES'!AU21)/DK21</f>
        <v>5.5069568381935765</v>
      </c>
      <c r="FI21" s="15">
        <f>('Bloom Cleaner Data'!BV21+'OPERATING LEASES'!AV21)/DL21</f>
        <v>4.0978758803437954</v>
      </c>
      <c r="FJ21" s="15">
        <f>('Bloom Cleaner Data'!BW21+'OPERATING LEASES'!AW21)/DM21</f>
        <v>4.0379191029722445</v>
      </c>
      <c r="FK21" s="15">
        <f>('Bloom Cleaner Data'!BX21+'OPERATING LEASES'!AX21)/DN21</f>
        <v>3.9887872212570707</v>
      </c>
      <c r="FL21" s="15">
        <f>('Bloom Cleaner Data'!BY21+'OPERATING LEASES'!AY21)/DO21</f>
        <v>4.327999381041133</v>
      </c>
      <c r="FM21" s="15">
        <f>('Bloom Cleaner Data'!BZ21+'OPERATING LEASES'!AZ21)/DP21</f>
        <v>4.4950636364747822</v>
      </c>
      <c r="FN21" s="15">
        <f>('Bloom Cleaner Data'!CA21+'OPERATING LEASES'!BA21)/DQ21</f>
        <v>4.6333779498390504</v>
      </c>
      <c r="FO21" s="15">
        <f>('Bloom Cleaner Data'!CB21+'OPERATING LEASES'!BB21)/DR21</f>
        <v>4.1463493954872561</v>
      </c>
      <c r="FP21" s="15">
        <f>('Bloom Cleaner Data'!CC21+'OPERATING LEASES'!BC21)/DS21</f>
        <v>4.2231442619169002</v>
      </c>
      <c r="FQ21" s="15">
        <f>('Bloom Cleaner Data'!CD21+'OPERATING LEASES'!BD21)/DT21</f>
        <v>5.0590640879247646</v>
      </c>
      <c r="FR21" s="15">
        <f>('Bloom Cleaner Data'!CE21+'OPERATING LEASES'!BE21)/DU21</f>
        <v>4.8723638513633851</v>
      </c>
      <c r="FS21" s="15">
        <f>('Bloom Cleaner Data'!CF21+'OPERATING LEASES'!BF21)/DV21</f>
        <v>5.1561130534628496</v>
      </c>
      <c r="FT21" s="15">
        <f>('Bloom Cleaner Data'!CG21+'OPERATING LEASES'!BG21)/DW21</f>
        <v>5.118941985501583</v>
      </c>
      <c r="FU21" s="15">
        <f>('Bloom Cleaner Data'!CH21+'OPERATING LEASES'!BH21)/DX21</f>
        <v>5.3120383859548967</v>
      </c>
      <c r="FV21" s="15">
        <f>('Bloom Cleaner Data'!CI21+'OPERATING LEASES'!BI21)/DY21</f>
        <v>5.7096258695546744</v>
      </c>
      <c r="FW21" s="15"/>
      <c r="FX21" s="506">
        <f t="shared" si="61"/>
        <v>4.6985221679038922</v>
      </c>
      <c r="FY21" s="10">
        <f t="shared" si="62"/>
        <v>0.4140020451008824</v>
      </c>
      <c r="FZ21" s="15">
        <f t="shared" si="7"/>
        <v>0.27815293713466094</v>
      </c>
      <c r="GA21" s="15">
        <f t="shared" si="63"/>
        <v>4.8726082477480146</v>
      </c>
      <c r="GB21" s="15">
        <f t="shared" si="64"/>
        <v>0.25626824774801538</v>
      </c>
      <c r="GC21" s="15">
        <f t="shared" si="8"/>
        <v>0.20037662916747667</v>
      </c>
      <c r="GD21" s="13"/>
      <c r="GE21" s="15">
        <f t="shared" si="9"/>
        <v>5.5069568381935765</v>
      </c>
      <c r="GF21" s="15">
        <f t="shared" si="10"/>
        <v>4.0978758803437954</v>
      </c>
      <c r="GG21" s="15">
        <f t="shared" si="11"/>
        <v>4.0379191029722445</v>
      </c>
      <c r="GH21" s="15">
        <f t="shared" si="12"/>
        <v>3.9887872212570707</v>
      </c>
      <c r="GI21" s="15">
        <f t="shared" si="13"/>
        <v>4.327999381041133</v>
      </c>
      <c r="GJ21" s="15">
        <f t="shared" si="14"/>
        <v>4.4950636364747822</v>
      </c>
      <c r="GK21" s="15">
        <f t="shared" si="15"/>
        <v>4.6333779498390504</v>
      </c>
      <c r="GL21" s="15">
        <f t="shared" si="16"/>
        <v>4.1463493954872561</v>
      </c>
      <c r="GM21" s="15">
        <f t="shared" si="17"/>
        <v>4.2231442619169002</v>
      </c>
      <c r="GN21" s="15">
        <f t="shared" si="18"/>
        <v>5.0590640879247646</v>
      </c>
      <c r="GO21" s="15">
        <f t="shared" si="19"/>
        <v>4.8723638513633851</v>
      </c>
      <c r="GP21" s="15">
        <f t="shared" si="20"/>
        <v>5.1561130534628496</v>
      </c>
      <c r="GQ21" s="15">
        <f t="shared" si="21"/>
        <v>5.118941985501583</v>
      </c>
      <c r="GR21" s="15">
        <f t="shared" si="22"/>
        <v>5.3120383859548967</v>
      </c>
      <c r="GS21" s="15">
        <f t="shared" si="23"/>
        <v>5.7096258695546744</v>
      </c>
      <c r="GT21" s="15"/>
      <c r="GU21" s="15">
        <f t="shared" si="65"/>
        <v>4.7123747267525307</v>
      </c>
      <c r="GV21" s="10">
        <f t="shared" si="66"/>
        <v>0.4140020451008824</v>
      </c>
      <c r="GW21" s="506">
        <f t="shared" si="67"/>
        <v>4.8726082477480146</v>
      </c>
      <c r="GX21" s="2057"/>
      <c r="GY21" s="10">
        <f>'Bloom Cleaner Data'!T21/('Bloom Cleaner Data'!T21+'Bloom Cleaner Data'!D21)</f>
        <v>0.5216257693003078</v>
      </c>
      <c r="GZ21" s="10">
        <f>'Bloom Cleaner Data'!U21/('Bloom Cleaner Data'!U21+'Bloom Cleaner Data'!E21)</f>
        <v>0.51981777821779784</v>
      </c>
      <c r="HA21" s="10">
        <f>'Bloom Cleaner Data'!V21/('Bloom Cleaner Data'!V21+'Bloom Cleaner Data'!F21)</f>
        <v>0.49098226519643151</v>
      </c>
      <c r="HB21" s="10">
        <f>'Bloom Cleaner Data'!W21/('Bloom Cleaner Data'!W21+'Bloom Cleaner Data'!G21)</f>
        <v>0.48203920032414393</v>
      </c>
      <c r="HC21" s="10">
        <f>'Bloom Cleaner Data'!X21/('Bloom Cleaner Data'!X21+'Bloom Cleaner Data'!H21)</f>
        <v>0.40478820411708633</v>
      </c>
      <c r="HD21" s="10">
        <f>'Bloom Cleaner Data'!Y21/('Bloom Cleaner Data'!Y21+'Bloom Cleaner Data'!I21)</f>
        <v>0.38537982220315425</v>
      </c>
      <c r="HE21" s="10">
        <f>'Bloom Cleaner Data'!Z21/('Bloom Cleaner Data'!Z21+'Bloom Cleaner Data'!J21)</f>
        <v>0.36045090044096534</v>
      </c>
      <c r="HF21" s="10">
        <f>'Bloom Cleaner Data'!AA21/('Bloom Cleaner Data'!AA21+'Bloom Cleaner Data'!K21)</f>
        <v>0.40069540092089195</v>
      </c>
      <c r="HG21" s="10">
        <f>'Bloom Cleaner Data'!AB21/('Bloom Cleaner Data'!AB21+'Bloom Cleaner Data'!L21)</f>
        <v>0.36036938180546013</v>
      </c>
      <c r="HH21" s="10">
        <f>'Bloom Cleaner Data'!AC21/('Bloom Cleaner Data'!AC21+'Bloom Cleaner Data'!M21)</f>
        <v>0.3536338426340403</v>
      </c>
      <c r="HI21" s="10">
        <f>'Bloom Cleaner Data'!AD21/('Bloom Cleaner Data'!AD21+'Bloom Cleaner Data'!N21)</f>
        <v>0.36986611313533241</v>
      </c>
      <c r="HJ21" s="10">
        <f>'Bloom Cleaner Data'!AE21/('Bloom Cleaner Data'!AE21+'Bloom Cleaner Data'!O21)</f>
        <v>0.34132408236189626</v>
      </c>
      <c r="HK21" s="10">
        <f>'Bloom Cleaner Data'!AF21/('Bloom Cleaner Data'!AF21+'Bloom Cleaner Data'!P21)</f>
        <v>0.31879752285002305</v>
      </c>
      <c r="HL21" s="10">
        <f>'Bloom Cleaner Data'!AG21/('Bloom Cleaner Data'!AG21+'Bloom Cleaner Data'!Q21)</f>
        <v>0.28091223579942448</v>
      </c>
      <c r="HM21" s="10">
        <f>'Bloom Cleaner Data'!AH21/('Bloom Cleaner Data'!AH21+'Bloom Cleaner Data'!R21)</f>
        <v>0.26403640782716253</v>
      </c>
      <c r="HN21" s="15"/>
      <c r="HO21" s="10">
        <f t="shared" si="68"/>
        <v>0.37025195227815472</v>
      </c>
      <c r="HP21" s="10">
        <f t="shared" si="69"/>
        <v>-0.46222821771061889</v>
      </c>
      <c r="HQ21" s="10"/>
      <c r="HR21" s="479">
        <f t="shared" si="24"/>
        <v>1.0904136047156092</v>
      </c>
      <c r="HS21" s="480">
        <f t="shared" si="25"/>
        <v>1.0825427403132248</v>
      </c>
      <c r="HT21" s="480">
        <f t="shared" si="26"/>
        <v>0.96456809188760995</v>
      </c>
      <c r="HU21" s="480">
        <f t="shared" si="27"/>
        <v>0.93064803480457947</v>
      </c>
      <c r="HV21" s="480">
        <f t="shared" si="28"/>
        <v>0.68007423057978789</v>
      </c>
      <c r="HW21" s="480">
        <f t="shared" si="29"/>
        <v>0.62702110364254304</v>
      </c>
      <c r="HX21" s="480">
        <f t="shared" si="30"/>
        <v>0.56360160727220798</v>
      </c>
      <c r="HY21" s="480">
        <f t="shared" si="31"/>
        <v>0.66860057729675504</v>
      </c>
      <c r="HZ21" s="480">
        <f t="shared" si="32"/>
        <v>0.56340233183749167</v>
      </c>
      <c r="IA21" s="480">
        <f t="shared" si="33"/>
        <v>0.54711070281765983</v>
      </c>
      <c r="IB21" s="480">
        <f t="shared" si="34"/>
        <v>0.58696432749500382</v>
      </c>
      <c r="IC21" s="480">
        <f t="shared" si="35"/>
        <v>0.51819730040506795</v>
      </c>
      <c r="ID21" s="480">
        <f t="shared" si="36"/>
        <v>0.46799231292260113</v>
      </c>
      <c r="IE21" s="480">
        <f t="shared" si="37"/>
        <v>0.39065083538407908</v>
      </c>
      <c r="IF21" s="481">
        <f t="shared" si="38"/>
        <v>0.35876286630922755</v>
      </c>
      <c r="IG21" s="15"/>
      <c r="IH21" s="10">
        <f t="shared" si="70"/>
        <v>0.60519956328112423</v>
      </c>
      <c r="II21" s="10">
        <f t="shared" si="71"/>
        <v>-0.62805853798548616</v>
      </c>
      <c r="IJ21" s="10"/>
      <c r="IK21" s="18">
        <f>('Bloom Cleaner Data'!T21+'OPERATING LEASES'!AU21)/('Bloom Cleaner Data'!T21+'OPERATING LEASES'!AU21+'Bloom Cleaner Data'!D21)</f>
        <v>0.62772176927557632</v>
      </c>
      <c r="IL21" s="18">
        <f>('Bloom Cleaner Data'!U21+'OPERATING LEASES'!AV21)/('Bloom Cleaner Data'!U21+'OPERATING LEASES'!AV21+'Bloom Cleaner Data'!E21)</f>
        <v>0.62824808062908566</v>
      </c>
      <c r="IM21" s="18">
        <f>('Bloom Cleaner Data'!V21+'OPERATING LEASES'!AW21)/('Bloom Cleaner Data'!V21+'OPERATING LEASES'!AW21+'Bloom Cleaner Data'!F21)</f>
        <v>0.60530144993751922</v>
      </c>
      <c r="IN21" s="18">
        <f>('Bloom Cleaner Data'!W21+'OPERATING LEASES'!AX21)/('Bloom Cleaner Data'!W21+'OPERATING LEASES'!AX21+'Bloom Cleaner Data'!G21)</f>
        <v>0.59626489005645689</v>
      </c>
      <c r="IO21" s="18">
        <f>('Bloom Cleaner Data'!X21+'OPERATING LEASES'!AY21)/('Bloom Cleaner Data'!X21+'OPERATING LEASES'!AY21+'Bloom Cleaner Data'!H21)</f>
        <v>0.52286326585817222</v>
      </c>
      <c r="IP21" s="18">
        <f>('Bloom Cleaner Data'!Y21+'OPERATING LEASES'!AZ21)/('Bloom Cleaner Data'!Y21+'OPERATING LEASES'!AZ21+'Bloom Cleaner Data'!I21)</f>
        <v>0.5044564310802967</v>
      </c>
      <c r="IQ21" s="18">
        <f>('Bloom Cleaner Data'!Z21+'OPERATING LEASES'!BA21)/('Bloom Cleaner Data'!Z21+'OPERATING LEASES'!BA21+'Bloom Cleaner Data'!J21)</f>
        <v>0.48150713962887542</v>
      </c>
      <c r="IR21" s="18">
        <f>('Bloom Cleaner Data'!AA21+'OPERATING LEASES'!BB21)/('Bloom Cleaner Data'!AA21+'OPERATING LEASES'!BB21+'Bloom Cleaner Data'!K21)</f>
        <v>0.52800904261181547</v>
      </c>
      <c r="IS21" s="18">
        <f>('Bloom Cleaner Data'!AB21+'OPERATING LEASES'!BC21)/('Bloom Cleaner Data'!AB21+'OPERATING LEASES'!BC21+'Bloom Cleaner Data'!L21)</f>
        <v>0.4945296749708698</v>
      </c>
      <c r="IT21" s="18">
        <f>('Bloom Cleaner Data'!AC21+'OPERATING LEASES'!BD21)/('Bloom Cleaner Data'!AC21+'OPERATING LEASES'!BD21+'Bloom Cleaner Data'!M21)</f>
        <v>0.47141483063757739</v>
      </c>
      <c r="IU21" s="18">
        <f>('Bloom Cleaner Data'!AD21+'OPERATING LEASES'!BE21)/('Bloom Cleaner Data'!AD21+'OPERATING LEASES'!BE21+'Bloom Cleaner Data'!N21)</f>
        <v>0.4873973499699798</v>
      </c>
      <c r="IV21" s="18">
        <f>('Bloom Cleaner Data'!AE21+'OPERATING LEASES'!BF21)/('Bloom Cleaner Data'!AE21+'OPERATING LEASES'!BF21+'Bloom Cleaner Data'!O21)</f>
        <v>0.45752690454446737</v>
      </c>
      <c r="IW21" s="18">
        <f>('Bloom Cleaner Data'!AF21+'OPERATING LEASES'!BG21)/('Bloom Cleaner Data'!AF21+'OPERATING LEASES'!BG21+'Bloom Cleaner Data'!P21)</f>
        <v>0.44076573847172978</v>
      </c>
      <c r="IX21" s="18">
        <f>('Bloom Cleaner Data'!AG21+'OPERATING LEASES'!BH21)/('Bloom Cleaner Data'!AG21+'OPERATING LEASES'!BH21+'Bloom Cleaner Data'!Q21)</f>
        <v>0.39634069249575571</v>
      </c>
      <c r="IY21" s="18">
        <f>('Bloom Cleaner Data'!AH21+'OPERATING LEASES'!BI21)/('Bloom Cleaner Data'!AH21+'OPERATING LEASES'!BI21+'Bloom Cleaner Data'!R21)</f>
        <v>0.37414035756341019</v>
      </c>
      <c r="IZ21" s="15"/>
      <c r="JA21" s="10">
        <f t="shared" si="72"/>
        <v>0.48927059752514818</v>
      </c>
      <c r="JB21" s="10">
        <f t="shared" si="73"/>
        <v>-0.38189416595312975</v>
      </c>
      <c r="JC21" s="10">
        <f t="shared" si="39"/>
        <v>0.11901864524699346</v>
      </c>
      <c r="JD21" s="10">
        <f t="shared" si="40"/>
        <v>0.32145312000294263</v>
      </c>
      <c r="JE21" s="7"/>
      <c r="JF21" s="485">
        <f t="shared" si="74"/>
        <v>1.6861629756165972</v>
      </c>
      <c r="JG21" s="452">
        <f t="shared" ref="JG21:JG27" si="131">IL21/(1-IL21)</f>
        <v>1.6899659366714743</v>
      </c>
      <c r="JH21" s="452">
        <f t="shared" ref="JH21:JH27" si="132">IM21/(1-IM21)</f>
        <v>1.5335791069962126</v>
      </c>
      <c r="JI21" s="452">
        <f t="shared" ref="JI21:JI27" si="133">IN21/(1-IN21)</f>
        <v>1.4768715312865321</v>
      </c>
      <c r="JJ21" s="452">
        <f t="shared" ref="JJ21:JJ27" si="134">IO21/(1-IO21)</f>
        <v>1.0958352783266365</v>
      </c>
      <c r="JK21" s="452">
        <f t="shared" ref="JK21:JK27" si="135">IP21/(1-IP21)</f>
        <v>1.0179860313393303</v>
      </c>
      <c r="JL21" s="452">
        <f t="shared" ref="JL21:JL27" si="136">IQ21/(1-IQ21)</f>
        <v>0.92866686589324365</v>
      </c>
      <c r="JM21" s="452">
        <f t="shared" ref="JM21:JM27" si="137">IR21/(1-IR21)</f>
        <v>1.1186846577180489</v>
      </c>
      <c r="JN21" s="452">
        <f t="shared" ref="JN21:JN27" si="138">IS21/(1-IS21)</f>
        <v>0.97835550473189536</v>
      </c>
      <c r="JO21" s="452">
        <f t="shared" ref="JO21:JO27" si="139">IT21/(1-IT21)</f>
        <v>0.89184271137647719</v>
      </c>
      <c r="JP21" s="452">
        <f t="shared" ref="JP21:JP27" si="140">IU21/(1-IU21)</f>
        <v>0.95082877535150412</v>
      </c>
      <c r="JQ21" s="452">
        <f t="shared" ref="JQ21:JQ27" si="141">IV21/(1-IV21)</f>
        <v>0.84340939371429458</v>
      </c>
      <c r="JR21" s="452">
        <f t="shared" ref="JR21:JR27" si="142">IW21/(1-IW21)</f>
        <v>0.78815939722149586</v>
      </c>
      <c r="JS21" s="452">
        <f t="shared" ref="JS21:JS27" si="143">IX21/(1-IX21)</f>
        <v>0.65656354100523684</v>
      </c>
      <c r="JT21" s="486">
        <f t="shared" ref="JT21:JT27" si="144">IY21/(1-IY21)</f>
        <v>0.59780233808783556</v>
      </c>
      <c r="JU21" s="15"/>
      <c r="JV21" s="10">
        <f t="shared" si="75"/>
        <v>0.9906603948499032</v>
      </c>
      <c r="JW21" s="10">
        <f t="shared" si="76"/>
        <v>-0.61019139126201472</v>
      </c>
      <c r="JX21" s="10">
        <f t="shared" si="77"/>
        <v>0.38546083156877897</v>
      </c>
      <c r="JY21" s="10">
        <f t="shared" si="78"/>
        <v>0.6369152506967799</v>
      </c>
      <c r="JZ21" s="7"/>
      <c r="KA21" s="15">
        <f>'Bloom Cleaner Data'!T21/'Bloom Cleaner Data'!BU21*'Bloom Cleaner Data'!DA21</f>
        <v>2.8451898881013387</v>
      </c>
      <c r="KB21" s="15">
        <f>'Bloom Cleaner Data'!U21/'Bloom Cleaner Data'!BV21*'Bloom Cleaner Data'!DB21</f>
        <v>1.9568562773613456</v>
      </c>
      <c r="KC21" s="15">
        <f>'Bloom Cleaner Data'!V21/'Bloom Cleaner Data'!BW21*'Bloom Cleaner Data'!DC21</f>
        <v>1.8072287015392849</v>
      </c>
      <c r="KD21" s="15">
        <f>'Bloom Cleaner Data'!W21/'Bloom Cleaner Data'!BX21*'Bloom Cleaner Data'!DD21</f>
        <v>1.7422170118411813</v>
      </c>
      <c r="KE21" s="15">
        <f>'Bloom Cleaner Data'!X21/'Bloom Cleaner Data'!BY21*'Bloom Cleaner Data'!DE21</f>
        <v>1.6170207467732107</v>
      </c>
      <c r="KF21" s="15">
        <f>'Bloom Cleaner Data'!Y21/'Bloom Cleaner Data'!BZ21*'Bloom Cleaner Data'!DF21</f>
        <v>1.6116132343017484</v>
      </c>
      <c r="KG21" s="15">
        <f>'Bloom Cleaner Data'!Z21/'Bloom Cleaner Data'!CA21*'Bloom Cleaner Data'!DG21</f>
        <v>1.562902406056111</v>
      </c>
      <c r="KH21" s="15">
        <f>'Bloom Cleaner Data'!AA21/'Bloom Cleaner Data'!CB21*'Bloom Cleaner Data'!DH21</f>
        <v>1.5132616733867856</v>
      </c>
      <c r="KI21" s="15">
        <f>'Bloom Cleaner Data'!AB21/'Bloom Cleaner Data'!CC21*'Bloom Cleaner Data'!DI21</f>
        <v>1.3922636866092839</v>
      </c>
      <c r="KJ21" s="15">
        <f>'Bloom Cleaner Data'!AC21/'Bloom Cleaner Data'!CD21*'Bloom Cleaner Data'!DJ21</f>
        <v>1.7053284793341326</v>
      </c>
      <c r="KK21" s="15">
        <f>'Bloom Cleaner Data'!AD21/'Bloom Cleaner Data'!CE21*'Bloom Cleaner Data'!DK21</f>
        <v>1.7047499020520605</v>
      </c>
      <c r="KL21" s="15">
        <f>'Bloom Cleaner Data'!AE21/'Bloom Cleaner Data'!CF21*'Bloom Cleaner Data'!DL21</f>
        <v>1.6851545875484568</v>
      </c>
      <c r="KM21" s="15">
        <f>'Bloom Cleaner Data'!AF21/'Bloom Cleaner Data'!CG21*'Bloom Cleaner Data'!DM21</f>
        <v>1.5595155624118588</v>
      </c>
      <c r="KN21" s="15">
        <f>'Bloom Cleaner Data'!AG21/'Bloom Cleaner Data'!CH21*'Bloom Cleaner Data'!DN21</f>
        <v>1.4422034185942454</v>
      </c>
      <c r="KO21" s="15">
        <f>'Bloom Cleaner Data'!AH21/'Bloom Cleaner Data'!CI21*'Bloom Cleaner Data'!DO21</f>
        <v>1.4763595743655793</v>
      </c>
      <c r="KP21" s="15"/>
      <c r="KQ21" s="15">
        <f t="shared" si="79"/>
        <v>1.4926928517905613</v>
      </c>
      <c r="KR21" s="15">
        <f t="shared" si="80"/>
        <v>1.5408082857300351</v>
      </c>
      <c r="KS21" s="15">
        <f t="shared" si="81"/>
        <v>1.60152453729338</v>
      </c>
      <c r="KT21" s="18">
        <f t="shared" si="82"/>
        <v>-0.18308093872783887</v>
      </c>
      <c r="KU21" s="18"/>
      <c r="KV21" s="1694" t="s">
        <v>50</v>
      </c>
      <c r="KW21" s="506">
        <f>('Bloom Cleaner Data'!T21+'OPERATING LEASES'!AU21)/DK21</f>
        <v>3.4540108426122931</v>
      </c>
      <c r="KX21" s="506">
        <f>('Bloom Cleaner Data'!U21+'OPERATING LEASES'!AV21)/DL21</f>
        <v>2.5722102990881019</v>
      </c>
      <c r="KY21" s="506">
        <f>('Bloom Cleaner Data'!V21+'OPERATING LEASES'!AW21)/DM21</f>
        <v>2.4424310935840725</v>
      </c>
      <c r="KZ21" s="506">
        <f>('Bloom Cleaner Data'!W21+'OPERATING LEASES'!AX21)/DN21</f>
        <v>2.376254266338083</v>
      </c>
      <c r="LA21" s="506">
        <f>('Bloom Cleaner Data'!X21+'OPERATING LEASES'!AY21)/DO21</f>
        <v>2.2611064846245092</v>
      </c>
      <c r="LB21" s="506">
        <f>('Bloom Cleaner Data'!Y21+'OPERATING LEASES'!AZ21)/DP21</f>
        <v>2.265634262862521</v>
      </c>
      <c r="LC21" s="506">
        <f>('Bloom Cleaner Data'!Z21+'OPERATING LEASES'!BA21)/DQ21</f>
        <v>2.2276993525463267</v>
      </c>
      <c r="LD21" s="506">
        <f>('Bloom Cleaner Data'!AA21+'OPERATING LEASES'!BB21)/DR21</f>
        <v>2.1883920326349502</v>
      </c>
      <c r="LE21" s="506">
        <f>('Bloom Cleaner Data'!AB21+'OPERATING LEASES'!BC21)/DS21</f>
        <v>2.0877591347530133</v>
      </c>
      <c r="LF21" s="506">
        <f>('Bloom Cleaner Data'!AC21+'OPERATING LEASES'!BD21)/DT21</f>
        <v>2.3849178401937028</v>
      </c>
      <c r="LG21" s="506">
        <f>('Bloom Cleaner Data'!AD21+'OPERATING LEASES'!BE21)/DU21</f>
        <v>2.3747772292440383</v>
      </c>
      <c r="LH21" s="506">
        <f>('Bloom Cleaner Data'!AE21+'OPERATING LEASES'!BF21)/DV21</f>
        <v>2.3583562992736709</v>
      </c>
      <c r="LI21" s="506">
        <f>('Bloom Cleaner Data'!AF21+'OPERATING LEASES'!BG21)/DW21</f>
        <v>2.2555609744296414</v>
      </c>
      <c r="LJ21" s="506">
        <f>('Bloom Cleaner Data'!AG21+'OPERATING LEASES'!BH21)/DX21</f>
        <v>2.1053769724534006</v>
      </c>
      <c r="LK21" s="506">
        <f>('Bloom Cleaner Data'!AH21+'OPERATING LEASES'!BI21)/DY21</f>
        <v>2.136201464388483</v>
      </c>
      <c r="LL21" s="15"/>
      <c r="LM21" s="15">
        <f t="shared" si="83"/>
        <v>2.1657131370905085</v>
      </c>
      <c r="LN21" s="15">
        <f t="shared" si="84"/>
        <v>2.2138739276362989</v>
      </c>
      <c r="LO21" s="15">
        <f t="shared" si="85"/>
        <v>0.67306564190626372</v>
      </c>
      <c r="LP21" s="15">
        <f t="shared" si="86"/>
        <v>2.2664974928712622</v>
      </c>
      <c r="LQ21" s="18">
        <f t="shared" si="87"/>
        <v>-0.12537902502142731</v>
      </c>
      <c r="LR21" s="15">
        <f t="shared" si="88"/>
        <v>0.66497295557788227</v>
      </c>
      <c r="LS21" s="18"/>
      <c r="LT21" s="15">
        <f t="shared" si="89"/>
        <v>3.4540108426122931</v>
      </c>
      <c r="LU21" s="15">
        <f t="shared" ref="LU21:LU27" si="145">$LT$1*KX21+(1-$LT$1)*KB21</f>
        <v>2.5722102990881019</v>
      </c>
      <c r="LV21" s="15">
        <f t="shared" ref="LV21:LV27" si="146">$LT$1*KY21+(1-$LT$1)*KC21</f>
        <v>2.4424310935840725</v>
      </c>
      <c r="LW21" s="15">
        <f t="shared" ref="LW21:LW27" si="147">$LT$1*KZ21+(1-$LT$1)*KD21</f>
        <v>2.376254266338083</v>
      </c>
      <c r="LX21" s="15">
        <f t="shared" ref="LX21:LX27" si="148">$LT$1*LA21+(1-$LT$1)*KE21</f>
        <v>2.2611064846245092</v>
      </c>
      <c r="LY21" s="15">
        <f t="shared" ref="LY21:LY27" si="149">$LT$1*LB21+(1-$LT$1)*KF21</f>
        <v>2.265634262862521</v>
      </c>
      <c r="LZ21" s="15">
        <f t="shared" ref="LZ21:LZ27" si="150">$LT$1*LC21+(1-$LT$1)*KG21</f>
        <v>2.2276993525463267</v>
      </c>
      <c r="MA21" s="15">
        <f t="shared" ref="MA21:MA27" si="151">$LT$1*LD21+(1-$LT$1)*KH21</f>
        <v>2.1883920326349502</v>
      </c>
      <c r="MB21" s="15">
        <f t="shared" ref="MB21:MB27" si="152">$LT$1*LE21+(1-$LT$1)*KI21</f>
        <v>2.0877591347530133</v>
      </c>
      <c r="MC21" s="15">
        <f t="shared" ref="MC21:MC27" si="153">$LT$1*LF21+(1-$LT$1)*KJ21</f>
        <v>2.3849178401937028</v>
      </c>
      <c r="MD21" s="15">
        <f t="shared" ref="MD21:MD27" si="154">$LT$1*LG21+(1-$LT$1)*KK21</f>
        <v>2.3747772292440383</v>
      </c>
      <c r="ME21" s="15">
        <f t="shared" ref="ME21:ME27" si="155">$LT$1*LH21+(1-$LT$1)*KL21</f>
        <v>2.3583562992736709</v>
      </c>
      <c r="MF21" s="15">
        <f t="shared" ref="MF21:MF27" si="156">$LT$1*LI21+(1-$LT$1)*KM21</f>
        <v>2.2555609744296414</v>
      </c>
      <c r="MG21" s="15">
        <f t="shared" ref="MG21:MG27" si="157">$LT$1*LJ21+(1-$LT$1)*KN21</f>
        <v>2.1053769724534006</v>
      </c>
      <c r="MH21" s="15">
        <f t="shared" ref="MH21:MH27" si="158">$LT$1*LK21+(1-$LT$1)*KO21</f>
        <v>2.136201464388483</v>
      </c>
      <c r="MI21" s="15"/>
      <c r="MJ21" s="15">
        <f t="shared" si="104"/>
        <v>2.1657131370905085</v>
      </c>
      <c r="MK21" s="15">
        <f t="shared" si="105"/>
        <v>2.2138739276362989</v>
      </c>
      <c r="ML21" s="506">
        <f t="shared" si="106"/>
        <v>2.2664974928712622</v>
      </c>
      <c r="MM21" s="10">
        <f t="shared" si="107"/>
        <v>-0.12537902502142731</v>
      </c>
      <c r="MN21" s="18"/>
      <c r="MO21" s="15">
        <f>('Bloom Cleaner Data'!T21+'Bloom Cleaner Data'!EY21)/'Bloom Cleaner Data'!GV21</f>
        <v>2.9212311530742543</v>
      </c>
      <c r="MP21" s="15">
        <f>('Bloom Cleaner Data'!U21+'Bloom Cleaner Data'!EZ21)/'Bloom Cleaner Data'!GW21</f>
        <v>2.216744260049416</v>
      </c>
      <c r="MQ21" s="15">
        <f>('Bloom Cleaner Data'!V21+'Bloom Cleaner Data'!FA21)/'Bloom Cleaner Data'!GX21</f>
        <v>1.8499845276975124</v>
      </c>
      <c r="MR21" s="15">
        <f>('Bloom Cleaner Data'!W21+'Bloom Cleaner Data'!FB21)/'Bloom Cleaner Data'!GY21</f>
        <v>1.7894343670582422</v>
      </c>
      <c r="MS21" s="15">
        <f>('Bloom Cleaner Data'!X21+'Bloom Cleaner Data'!FC21)/'Bloom Cleaner Data'!GZ21</f>
        <v>1.6620980386031912</v>
      </c>
      <c r="MT21" s="15">
        <f>('Bloom Cleaner Data'!Y21+'Bloom Cleaner Data'!FD21)/'Bloom Cleaner Data'!HA21</f>
        <v>1.6712459820605419</v>
      </c>
      <c r="MU21" s="15">
        <f>('Bloom Cleaner Data'!Z21+'Bloom Cleaner Data'!FE21)/'Bloom Cleaner Data'!HB21</f>
        <v>1.6019032114789218</v>
      </c>
      <c r="MV21" s="15">
        <f>('Bloom Cleaner Data'!AA21+'Bloom Cleaner Data'!FF21)/'Bloom Cleaner Data'!HC21</f>
        <v>1.5719282203169334</v>
      </c>
      <c r="MW21" s="15">
        <f>('Bloom Cleaner Data'!AB21+'Bloom Cleaner Data'!FG21)/'Bloom Cleaner Data'!HD21</f>
        <v>1.4393828714108181</v>
      </c>
      <c r="MX21" s="15">
        <f>('Bloom Cleaner Data'!AC21+'Bloom Cleaner Data'!FH21)/'Bloom Cleaner Data'!HE21</f>
        <v>1.7638706621447109</v>
      </c>
      <c r="MY21" s="15">
        <f>('Bloom Cleaner Data'!AD21+'Bloom Cleaner Data'!FI21)/'Bloom Cleaner Data'!HF21</f>
        <v>1.7636560128823304</v>
      </c>
      <c r="MZ21" s="15">
        <f>('Bloom Cleaner Data'!AE21+'Bloom Cleaner Data'!FJ21)/'Bloom Cleaner Data'!HG21</f>
        <v>1.7408192797128297</v>
      </c>
      <c r="NA21" s="15">
        <f>('Bloom Cleaner Data'!AF21+'Bloom Cleaner Data'!FK21)/'Bloom Cleaner Data'!HH21</f>
        <v>1.6584161383017479</v>
      </c>
      <c r="NB21" s="15">
        <f>('Bloom Cleaner Data'!AG21+'Bloom Cleaner Data'!FL21)/'Bloom Cleaner Data'!HI21</f>
        <v>1.5979168982368117</v>
      </c>
      <c r="NC21" s="15">
        <f>('Bloom Cleaner Data'!AH21+'Bloom Cleaner Data'!FM21)/'Bloom Cleaner Data'!HJ21</f>
        <v>1.5359678243656993</v>
      </c>
      <c r="ND21" s="15"/>
      <c r="NE21" s="15">
        <f t="shared" si="43"/>
        <v>5.9608250000120044E-2</v>
      </c>
      <c r="NF21" s="15">
        <f t="shared" si="108"/>
        <v>1.5974336203014197</v>
      </c>
      <c r="NG21" s="15">
        <f t="shared" si="44"/>
        <v>0.10474076851085834</v>
      </c>
      <c r="NH21" s="15">
        <f t="shared" si="109"/>
        <v>1.6332800351542722</v>
      </c>
      <c r="NI21" s="15">
        <f t="shared" si="110"/>
        <v>1.6651249257130993</v>
      </c>
      <c r="NJ21" s="18">
        <f t="shared" si="111"/>
        <v>-0.16974017816388862</v>
      </c>
      <c r="NK21" s="15">
        <f t="shared" si="45"/>
        <v>6.3600388419719378E-2</v>
      </c>
      <c r="NL21" s="2818"/>
      <c r="NM21" s="1694" t="s">
        <v>50</v>
      </c>
      <c r="NN21" s="15">
        <f>KW21+'Bloom Cleaner Data'!EY21/CALCULATIONS!DK21</f>
        <v>3.5137079771337869</v>
      </c>
      <c r="NO21" s="15">
        <f>KX21+'Bloom Cleaner Data'!EZ21/CALCULATIONS!DL21</f>
        <v>2.7910372666231398</v>
      </c>
      <c r="NP21" s="15">
        <f>KY21+'Bloom Cleaner Data'!FA21/CALCULATIONS!DM21</f>
        <v>2.4787749673678006</v>
      </c>
      <c r="NQ21" s="15">
        <f>KZ21+'Bloom Cleaner Data'!FB21/CALCULATIONS!DN21</f>
        <v>2.4168364173394337</v>
      </c>
      <c r="NR21" s="15">
        <f>LA21+'Bloom Cleaner Data'!FC21/CALCULATIONS!DO21</f>
        <v>2.3002242719454209</v>
      </c>
      <c r="NS21" s="15">
        <f>LB21+'Bloom Cleaner Data'!FD21/CALCULATIONS!DP21</f>
        <v>2.3172704468262855</v>
      </c>
      <c r="NT21" s="15">
        <f>LC21+'Bloom Cleaner Data'!FE21/CALCULATIONS!DQ21</f>
        <v>2.2614366715167389</v>
      </c>
      <c r="NU21" s="15">
        <f>LD21+'Bloom Cleaner Data'!FF21/CALCULATIONS!DR21</f>
        <v>2.2390981881639278</v>
      </c>
      <c r="NV21" s="15">
        <f>LE21+'Bloom Cleaner Data'!FG21/CALCULATIONS!DS21</f>
        <v>2.1284482842468258</v>
      </c>
      <c r="NW21" s="15">
        <f>LF21+'Bloom Cleaner Data'!FH21/CALCULATIONS!DT21</f>
        <v>2.4351429890149059</v>
      </c>
      <c r="NX21" s="15">
        <f>LG21+'Bloom Cleaner Data'!FI21/CALCULATIONS!DU21</f>
        <v>2.4254333517530675</v>
      </c>
      <c r="NY21" s="15">
        <f>LH21+'Bloom Cleaner Data'!FJ21/CALCULATIONS!DV21</f>
        <v>2.406219991336596</v>
      </c>
      <c r="NZ21" s="15">
        <f>LI21+'Bloom Cleaner Data'!FK21/CALCULATIONS!DW21</f>
        <v>2.34049629708145</v>
      </c>
      <c r="OA21" s="15">
        <f>LJ21+'Bloom Cleaner Data'!FL21/CALCULATIONS!DX21</f>
        <v>2.2406283048932116</v>
      </c>
      <c r="OB21" s="15">
        <f>LK21+'Bloom Cleaner Data'!FM21/CALCULATIONS!DY21</f>
        <v>2.1879628997875771</v>
      </c>
      <c r="OC21" s="15"/>
      <c r="OD21" s="15">
        <f t="shared" si="46"/>
        <v>5.1761435399094058E-2</v>
      </c>
      <c r="OE21" s="15">
        <f t="shared" si="112"/>
        <v>2.2563625005874126</v>
      </c>
      <c r="OF21" s="15">
        <f t="shared" si="47"/>
        <v>9.0649363496904112E-2</v>
      </c>
      <c r="OG21" s="15">
        <f t="shared" si="113"/>
        <v>2.2938268732747087</v>
      </c>
      <c r="OH21" s="15">
        <f t="shared" si="114"/>
        <v>2.3213825447133263</v>
      </c>
      <c r="OI21" s="18">
        <f t="shared" si="115"/>
        <v>-0.11732088285893714</v>
      </c>
      <c r="OJ21" s="15">
        <f t="shared" si="48"/>
        <v>5.4885051842064048E-2</v>
      </c>
      <c r="OK21" s="15"/>
      <c r="OL21" s="13">
        <f>'Bloom Cleaner Data'!GF21+('Bloom Cleaner Data'!T21+'Bloom Cleaner Data'!EY21)+'Bloom Cleaner Data'!CK21</f>
        <v>8145.9999999999982</v>
      </c>
      <c r="OM21" s="13">
        <f>'Bloom Cleaner Data'!GG21+('Bloom Cleaner Data'!U21+'Bloom Cleaner Data'!EZ21)+'Bloom Cleaner Data'!CL21</f>
        <v>9782.9999999999982</v>
      </c>
      <c r="ON21" s="13">
        <f>'Bloom Cleaner Data'!GH21+('Bloom Cleaner Data'!V21+'Bloom Cleaner Data'!FA21)+'Bloom Cleaner Data'!CM21</f>
        <v>8232</v>
      </c>
      <c r="OO21" s="13">
        <f>'Bloom Cleaner Data'!GI21+('Bloom Cleaner Data'!W21+'Bloom Cleaner Data'!FB21)+'Bloom Cleaner Data'!CN21</f>
        <v>10090.000000000002</v>
      </c>
      <c r="OP21" s="13">
        <f>'Bloom Cleaner Data'!GJ21+('Bloom Cleaner Data'!X21+'Bloom Cleaner Data'!FC21)+'Bloom Cleaner Data'!CO21</f>
        <v>10385</v>
      </c>
      <c r="OQ21" s="13">
        <f>'Bloom Cleaner Data'!GK21+('Bloom Cleaner Data'!Y21+'Bloom Cleaner Data'!FD21)+'Bloom Cleaner Data'!CP21</f>
        <v>11814</v>
      </c>
      <c r="OR21" s="13">
        <f>'Bloom Cleaner Data'!GL21+('Bloom Cleaner Data'!Z21+'Bloom Cleaner Data'!FE21)+'Bloom Cleaner Data'!CQ21</f>
        <v>11530</v>
      </c>
      <c r="OS21" s="13">
        <f>'Bloom Cleaner Data'!GM21+('Bloom Cleaner Data'!AA21+'Bloom Cleaner Data'!FF21)+'Bloom Cleaner Data'!CR21</f>
        <v>10873</v>
      </c>
      <c r="OT21" s="13">
        <f>'Bloom Cleaner Data'!GN21+('Bloom Cleaner Data'!AB21+'Bloom Cleaner Data'!FG21)+'Bloom Cleaner Data'!CS21</f>
        <v>8977.9999999999982</v>
      </c>
      <c r="OU21" s="13">
        <f>'Bloom Cleaner Data'!GO21+('Bloom Cleaner Data'!AC21+'Bloom Cleaner Data'!FH21)+'Bloom Cleaner Data'!CT21</f>
        <v>11281</v>
      </c>
      <c r="OV21" s="13">
        <f>'Bloom Cleaner Data'!GP21+('Bloom Cleaner Data'!AD21+'Bloom Cleaner Data'!FI21)+'Bloom Cleaner Data'!CU21</f>
        <v>11718</v>
      </c>
      <c r="OW21" s="13">
        <f>'Bloom Cleaner Data'!GQ21+('Bloom Cleaner Data'!AE21+'Bloom Cleaner Data'!FJ21)+'Bloom Cleaner Data'!CV21</f>
        <v>10313</v>
      </c>
      <c r="OX21" s="13">
        <f>'Bloom Cleaner Data'!GR21+('Bloom Cleaner Data'!AF21+'Bloom Cleaner Data'!FK21)+'Bloom Cleaner Data'!CW21</f>
        <v>8837</v>
      </c>
      <c r="OY21" s="13">
        <f>'Bloom Cleaner Data'!GS21+('Bloom Cleaner Data'!AG21+'Bloom Cleaner Data'!FL21)+'Bloom Cleaner Data'!CX21</f>
        <v>9220</v>
      </c>
      <c r="OZ21" s="13">
        <f>'Bloom Cleaner Data'!GT21+('Bloom Cleaner Data'!AH21+'Bloom Cleaner Data'!FM21)+'Bloom Cleaner Data'!CY21</f>
        <v>9711</v>
      </c>
      <c r="PA21" s="166"/>
      <c r="PB21" s="1694" t="s">
        <v>50</v>
      </c>
      <c r="PC21" s="947">
        <f>('Bloom Cleaner Data'!T21+'Bloom Cleaner Data'!EY21+'OPERATING LEASES'!BL21)/CALCULATIONS!OL21</f>
        <v>1.5731822805233071</v>
      </c>
      <c r="PD21" s="947">
        <f>('Bloom Cleaner Data'!U21+'Bloom Cleaner Data'!EZ21+'OPERATING LEASES'!BM21)/CALCULATIONS!OM21</f>
        <v>1.3731326937398698</v>
      </c>
      <c r="PE21" s="947">
        <f>('Bloom Cleaner Data'!V21+'Bloom Cleaner Data'!FA21+'OPERATING LEASES'!BN21)/CALCULATIONS!ON21</f>
        <v>1.3932909898653341</v>
      </c>
      <c r="PF21" s="947">
        <f>('Bloom Cleaner Data'!W21+'Bloom Cleaner Data'!FB21+'OPERATING LEASES'!BO21)/CALCULATIONS!OO21</f>
        <v>1.1231700410590397</v>
      </c>
      <c r="PG21" s="947">
        <f>('Bloom Cleaner Data'!X21+'Bloom Cleaner Data'!FC21+'OPERATING LEASES'!BP21)/CALCULATIONS!OP21</f>
        <v>1.0310062590274434</v>
      </c>
      <c r="PH21" s="947">
        <f>('Bloom Cleaner Data'!Y21+'Bloom Cleaner Data'!FD21+'OPERATING LEASES'!BQ21)/CALCULATIONS!OQ21</f>
        <v>0.90981303961401727</v>
      </c>
      <c r="PI21" s="947">
        <f>('Bloom Cleaner Data'!Z21+'Bloom Cleaner Data'!FE21+'OPERATING LEASES'!BR21)/CALCULATIONS!OR21</f>
        <v>0.90304098005203814</v>
      </c>
      <c r="PJ21" s="947">
        <f>('Bloom Cleaner Data'!AA21+'Bloom Cleaner Data'!FF21+'OPERATING LEASES'!BS21)/CALCULATIONS!OS21</f>
        <v>0.94864285385818081</v>
      </c>
      <c r="PK21" s="947">
        <f>('Bloom Cleaner Data'!AB21+'Bloom Cleaner Data'!FG21+'OPERATING LEASES'!BT21)/CALCULATIONS!OT21</f>
        <v>1.0686260859879708</v>
      </c>
      <c r="PL21" s="947">
        <f>('Bloom Cleaner Data'!AC21+'Bloom Cleaner Data'!FH21+'OPERATING LEASES'!BU21)/CALCULATIONS!OU21</f>
        <v>0.96704913128268766</v>
      </c>
      <c r="PM21" s="947">
        <f>('Bloom Cleaner Data'!AD21+'Bloom Cleaner Data'!FI21+'OPERATING LEASES'!BV21)/CALCULATIONS!OV21</f>
        <v>0.93219299368492914</v>
      </c>
      <c r="PN21" s="947">
        <f>('Bloom Cleaner Data'!AE21+'Bloom Cleaner Data'!FJ21+'OPERATING LEASES'!BW21)/CALCULATIONS!OW21</f>
        <v>1.0313772665567731</v>
      </c>
      <c r="PO21" s="947">
        <f>('Bloom Cleaner Data'!AF21+'Bloom Cleaner Data'!FK21+'OPERATING LEASES'!BX21)/CALCULATIONS!OX21</f>
        <v>1.1262589113952699</v>
      </c>
      <c r="PP21" s="947">
        <f>('Bloom Cleaner Data'!AG21+'Bloom Cleaner Data'!FL21+'OPERATING LEASES'!BY21)/CALCULATIONS!OY21</f>
        <v>1.1257863340563992</v>
      </c>
      <c r="PQ21" s="947">
        <f>('Bloom Cleaner Data'!AH21+'Bloom Cleaner Data'!FM21+'OPERATING LEASES'!BZ21)/CALCULATIONS!OZ21</f>
        <v>1.0291164658634537</v>
      </c>
      <c r="PR21" s="947"/>
      <c r="PS21" s="18">
        <f t="shared" si="116"/>
        <v>1.0937205704383743</v>
      </c>
      <c r="PT21" s="18">
        <f t="shared" si="117"/>
        <v>1.0781347444679739</v>
      </c>
      <c r="PU21" s="18">
        <f t="shared" si="118"/>
        <v>1.0453362578695029</v>
      </c>
      <c r="PV21" s="10">
        <f t="shared" si="119"/>
        <v>-0.26137721886587306</v>
      </c>
      <c r="PW21" s="10"/>
      <c r="PX21" s="506">
        <f>'Bloom Cleaner Data'!D21/'Bloom Cleaner Data'!GF21</f>
        <v>-2.9120070951585979</v>
      </c>
      <c r="PY21" s="506">
        <f>'Bloom Cleaner Data'!E21/'Bloom Cleaner Data'!GG21</f>
        <v>-3.8459140517897947</v>
      </c>
      <c r="PZ21" s="506">
        <f>'Bloom Cleaner Data'!F21/'Bloom Cleaner Data'!GH21</f>
        <v>-4.6965218777679363</v>
      </c>
      <c r="QA21" s="506">
        <f>'Bloom Cleaner Data'!G21/'Bloom Cleaner Data'!GI21</f>
        <v>-34.161628930817606</v>
      </c>
      <c r="QB21" s="506">
        <f>'Bloom Cleaner Data'!H21/'Bloom Cleaner Data'!GJ21</f>
        <v>25.372190415913199</v>
      </c>
      <c r="QC21" s="506">
        <f>'Bloom Cleaner Data'!I21/'Bloom Cleaner Data'!GK21</f>
        <v>7.7543195284469508</v>
      </c>
      <c r="QD21" s="506">
        <f>'Bloom Cleaner Data'!J21/'Bloom Cleaner Data'!GL21</f>
        <v>8.2329436090225556</v>
      </c>
      <c r="QE21" s="506">
        <f>'Bloom Cleaner Data'!K21/'Bloom Cleaner Data'!GM21</f>
        <v>9.1050776129467295</v>
      </c>
      <c r="QF21" s="506">
        <f>'Bloom Cleaner Data'!L21/'Bloom Cleaner Data'!GN21</f>
        <v>45.950368730650155</v>
      </c>
      <c r="QG21" s="506">
        <f>'Bloom Cleaner Data'!M21/'Bloom Cleaner Data'!GO21</f>
        <v>13.473616207951071</v>
      </c>
      <c r="QH21" s="506">
        <f>'Bloom Cleaner Data'!N21/'Bloom Cleaner Data'!GP21</f>
        <v>9.585437136204888</v>
      </c>
      <c r="QI21" s="506">
        <f>'Bloom Cleaner Data'!O21/'Bloom Cleaner Data'!GQ21</f>
        <v>31.48831091854419</v>
      </c>
      <c r="QJ21" s="506">
        <f>'Bloom Cleaner Data'!P21/'Bloom Cleaner Data'!GR21</f>
        <v>-79.80150570175438</v>
      </c>
      <c r="QK21" s="506">
        <f>'Bloom Cleaner Data'!Q21/'Bloom Cleaner Data'!GS21</f>
        <v>-83.614622519083966</v>
      </c>
      <c r="QL21" s="506">
        <f>'Bloom Cleaner Data'!R21/'Bloom Cleaner Data'!GT21</f>
        <v>39.625784878048783</v>
      </c>
      <c r="QM21" s="506"/>
      <c r="QN21" s="506">
        <f t="shared" si="120"/>
        <v>-0.89894076859195104</v>
      </c>
      <c r="QO21" s="10">
        <f t="shared" si="121"/>
        <v>-9.4372618523564267</v>
      </c>
      <c r="QP21" s="506">
        <f t="shared" si="122"/>
        <v>-2.8477384125874075</v>
      </c>
      <c r="QQ21" s="18"/>
      <c r="QR21" s="506">
        <f>'Bloom Cleaner Data'!GF21/CALCULATIONS!DK21</f>
        <v>-0.70344754580409696</v>
      </c>
      <c r="QS21" s="506">
        <f>'Bloom Cleaner Data'!GG21/CALCULATIONS!DL21</f>
        <v>-0.39575731180923523</v>
      </c>
      <c r="QT21" s="506">
        <f>'Bloom Cleaner Data'!GH21/CALCULATIONS!DM21</f>
        <v>-0.33910936778371253</v>
      </c>
      <c r="QU21" s="506">
        <f>'Bloom Cleaner Data'!GI21/CALCULATIONS!DN21</f>
        <v>-4.7098992767990844E-2</v>
      </c>
      <c r="QV21" s="506">
        <f>'Bloom Cleaner Data'!GJ21/CALCULATIONS!DO21</f>
        <v>8.1323821009264122E-2</v>
      </c>
      <c r="QW21" s="506">
        <f>'Bloom Cleaner Data'!GK21/CALCULATIONS!DP21</f>
        <v>0.28701480032280469</v>
      </c>
      <c r="QX21" s="506">
        <f>'Bloom Cleaner Data'!GL21/CALCULATIONS!DQ21</f>
        <v>0.29136775474447091</v>
      </c>
      <c r="QY21" s="506">
        <f>'Bloom Cleaner Data'!GM21/CALCULATIONS!DR21</f>
        <v>0.21484922471278203</v>
      </c>
      <c r="QZ21" s="506">
        <f>'Bloom Cleaner Data'!GN21/CALCULATIONS!DS21</f>
        <v>4.6440266030040124E-2</v>
      </c>
      <c r="RA21" s="506">
        <f>'Bloom Cleaner Data'!GO21/CALCULATIONS!DT21</f>
        <v>0.19847279352910402</v>
      </c>
      <c r="RB21" s="506">
        <f>'Bloom Cleaner Data'!GP21/CALCULATIONS!DU21</f>
        <v>0.26056053434285031</v>
      </c>
      <c r="RC21" s="506">
        <f>'Bloom Cleaner Data'!GQ21/CALCULATIONS!DV21</f>
        <v>8.8801769518674356E-2</v>
      </c>
      <c r="RD21" s="506">
        <f>'Bloom Cleaner Data'!GR21/CALCULATIONS!DW21</f>
        <v>-3.5861580675208025E-2</v>
      </c>
      <c r="RE21" s="506">
        <f>'Bloom Cleaner Data'!GS21/CALCULATIONS!DX21</f>
        <v>-3.8350486038128288E-2</v>
      </c>
      <c r="RF21" s="506">
        <f>'Bloom Cleaner Data'!GT21/CALCULATIONS!DY21</f>
        <v>9.0179271304370728E-2</v>
      </c>
      <c r="RG21" s="506"/>
      <c r="RH21" s="506">
        <f t="shared" si="123"/>
        <v>8.4506908326870883E-2</v>
      </c>
      <c r="RI21" s="506">
        <f t="shared" si="124"/>
        <v>0.124051060829884</v>
      </c>
      <c r="RJ21" s="18"/>
      <c r="RK21" s="506">
        <f>'Bloom Cleaner Data'!GF21/($RK$1*DK21+(1-$RK$1)*'Bloom Cleaner Data'!GV21)</f>
        <v>-0.70344754580409696</v>
      </c>
      <c r="RL21" s="506">
        <f>'Bloom Cleaner Data'!GG21/($RK$1*DL21+(1-$RK$1)*'Bloom Cleaner Data'!GW21)</f>
        <v>-0.39575731180923523</v>
      </c>
      <c r="RM21" s="506">
        <f>'Bloom Cleaner Data'!GH21/($RK$1*DM21+(1-$RK$1)*'Bloom Cleaner Data'!GX21)</f>
        <v>-0.33910936778371253</v>
      </c>
      <c r="RN21" s="506">
        <f>'Bloom Cleaner Data'!GI21/($RK$1*DN21+(1-$RK$1)*'Bloom Cleaner Data'!GY21)</f>
        <v>-4.7098992767990844E-2</v>
      </c>
      <c r="RO21" s="506">
        <f>'Bloom Cleaner Data'!GJ21/($RK$1*DO21+(1-$RK$1)*'Bloom Cleaner Data'!GZ21)</f>
        <v>8.1323821009264122E-2</v>
      </c>
      <c r="RP21" s="506">
        <f>'Bloom Cleaner Data'!GK21/($RK$1*DP21+(1-$RK$1)*'Bloom Cleaner Data'!HA21)</f>
        <v>0.28701480032280469</v>
      </c>
      <c r="RQ21" s="506">
        <f>'Bloom Cleaner Data'!GL21/($RK$1*DQ21+(1-$RK$1)*'Bloom Cleaner Data'!HB21)</f>
        <v>0.29136775474447091</v>
      </c>
      <c r="RR21" s="506">
        <f>'Bloom Cleaner Data'!GM21/($RK$1*DR21+(1-$RK$1)*'Bloom Cleaner Data'!HC21)</f>
        <v>0.21484922471278203</v>
      </c>
      <c r="RS21" s="506">
        <f>'Bloom Cleaner Data'!GN21/($RK$1*DS21+(1-$RK$1)*'Bloom Cleaner Data'!HD21)</f>
        <v>4.6440266030040124E-2</v>
      </c>
      <c r="RT21" s="506">
        <f>'Bloom Cleaner Data'!GO21/($RK$1*DT21+(1-$RK$1)*'Bloom Cleaner Data'!HE21)</f>
        <v>0.19847279352910402</v>
      </c>
      <c r="RU21" s="506">
        <f>'Bloom Cleaner Data'!GP21/($RK$1*DU21+(1-$RK$1)*'Bloom Cleaner Data'!HF21)</f>
        <v>0.26056053434285031</v>
      </c>
      <c r="RV21" s="506">
        <f>'Bloom Cleaner Data'!GQ21/($RK$1*DV21+(1-$RK$1)*'Bloom Cleaner Data'!HG21)</f>
        <v>8.8801769518674356E-2</v>
      </c>
      <c r="RW21" s="506">
        <f>'Bloom Cleaner Data'!GR21/($RK$1*DW21+(1-$RK$1)*'Bloom Cleaner Data'!HH21)</f>
        <v>-3.5861580675208025E-2</v>
      </c>
      <c r="RX21" s="506">
        <f>'Bloom Cleaner Data'!GS21/($RK$1*DX21+(1-$RK$1)*'Bloom Cleaner Data'!HI21)</f>
        <v>-3.8350486038128288E-2</v>
      </c>
      <c r="RY21" s="506">
        <f>'Bloom Cleaner Data'!GT21/($RK$1*DY21+(1-$RK$1)*'Bloom Cleaner Data'!HJ21)</f>
        <v>9.0179271304370728E-2</v>
      </c>
      <c r="RZ21" s="506"/>
      <c r="SA21" s="506">
        <f t="shared" si="125"/>
        <v>8.4506908326870883E-2</v>
      </c>
      <c r="SB21" s="506">
        <f t="shared" si="126"/>
        <v>0.124051060829884</v>
      </c>
      <c r="SC21" s="18"/>
      <c r="SD21" s="15">
        <f>'Bloom Cleaner Data'!HM21</f>
        <v>6.2939999999999996</v>
      </c>
      <c r="SE21" s="15">
        <f>'Bloom Cleaner Data'!HN21</f>
        <v>7.6182999999999996</v>
      </c>
      <c r="SF21" s="15">
        <f>'Bloom Cleaner Data'!HO21</f>
        <v>9.3204999999999991</v>
      </c>
      <c r="SG21" s="15">
        <f>'Bloom Cleaner Data'!HP21</f>
        <v>8.7264999999999997</v>
      </c>
      <c r="SH21" s="15">
        <f>'Bloom Cleaner Data'!HQ21</f>
        <v>12.158099999999999</v>
      </c>
      <c r="SI21" s="15">
        <f>'Bloom Cleaner Data'!HR21</f>
        <v>11.8354</v>
      </c>
      <c r="SJ21" s="15">
        <f>'Bloom Cleaner Data'!HS21</f>
        <v>10.957000000000001</v>
      </c>
      <c r="SK21" s="15">
        <f>'Bloom Cleaner Data'!HT21</f>
        <v>9.4048999999999996</v>
      </c>
      <c r="SL21" s="15">
        <f>'Bloom Cleaner Data'!HU21</f>
        <v>7.9688999999999997</v>
      </c>
      <c r="SM21" s="15">
        <f>'Bloom Cleaner Data'!HV21</f>
        <v>8.4113000000000007</v>
      </c>
      <c r="SN21" s="15">
        <f>'Bloom Cleaner Data'!HW21</f>
        <v>7.0164</v>
      </c>
      <c r="SO21" s="15">
        <f>'Bloom Cleaner Data'!HX21</f>
        <v>7.1776</v>
      </c>
      <c r="SP21" s="15">
        <f>'Bloom Cleaner Data'!HY21</f>
        <v>7.0678999999999998</v>
      </c>
      <c r="SQ21" s="15">
        <f>'Bloom Cleaner Data'!HZ21</f>
        <v>7.6516000000000002</v>
      </c>
      <c r="SR21" s="15">
        <f>'Bloom Cleaner Data'!IA21</f>
        <v>8.2772000000000006</v>
      </c>
      <c r="SS21" s="15"/>
      <c r="ST21" s="15">
        <f t="shared" si="127"/>
        <v>8.6590399999999992</v>
      </c>
      <c r="SU21" s="487">
        <f t="shared" si="128"/>
        <v>-0.11193605493267514</v>
      </c>
      <c r="SV21" s="15">
        <f t="shared" si="129"/>
        <v>-1.0432999999999986</v>
      </c>
    </row>
    <row r="22" spans="1:518">
      <c r="A22" s="11" t="s">
        <v>32</v>
      </c>
      <c r="B22" s="72"/>
      <c r="C22" s="83" t="s">
        <v>277</v>
      </c>
      <c r="D22" s="1133" t="s">
        <v>32</v>
      </c>
      <c r="E22" s="224" t="s">
        <v>64</v>
      </c>
      <c r="F22" s="224"/>
      <c r="G22" s="13">
        <f>'Bloom Cleaner Data'!D22*'Bloom Cleaner Data'!D46</f>
        <v>90254.080086500006</v>
      </c>
      <c r="H22" s="13">
        <f>'Bloom Cleaner Data'!F22*'Bloom Cleaner Data'!F46</f>
        <v>99246.950977300003</v>
      </c>
      <c r="I22" s="13">
        <f>'Bloom Cleaner Data'!H22*'Bloom Cleaner Data'!H46</f>
        <v>101177.32265927999</v>
      </c>
      <c r="J22" s="13">
        <f>'Bloom Cleaner Data'!J22*'Bloom Cleaner Data'!J46</f>
        <v>96797.953652850003</v>
      </c>
      <c r="K22" s="13">
        <f>'Bloom Cleaner Data'!L22*'Bloom Cleaner Data'!L46</f>
        <v>101425.24772559275</v>
      </c>
      <c r="L22" s="13">
        <f>'Bloom Cleaner Data'!N22*'Bloom Cleaner Data'!N46</f>
        <v>106617.25853855044</v>
      </c>
      <c r="M22" s="13">
        <f>'Bloom Cleaner Data'!P22*'Bloom Cleaner Data'!P46</f>
        <v>109445.15877078001</v>
      </c>
      <c r="N22" s="13">
        <f>'Bloom Cleaner Data'!R22*'Bloom Cleaner Data'!R46</f>
        <v>106720.85775234729</v>
      </c>
      <c r="O22" s="13"/>
      <c r="P22" s="13">
        <f t="shared" si="0"/>
        <v>103061.53572524291</v>
      </c>
      <c r="Q22" s="13">
        <f t="shared" si="49"/>
        <v>107594.42502055924</v>
      </c>
      <c r="R22" s="10">
        <f t="shared" si="1"/>
        <v>7.5306160052783275E-2</v>
      </c>
      <c r="S22" s="18">
        <f>('Bloom Cleaner Data'!R22-'Bloom Cleaner Data'!F22)/'Bloom Cleaner Data'!F22</f>
        <v>0.1234716580930814</v>
      </c>
      <c r="T22" s="10">
        <f t="shared" si="2"/>
        <v>0.17708173895842222</v>
      </c>
      <c r="U22" s="10"/>
      <c r="V22" s="1277" t="s">
        <v>277</v>
      </c>
      <c r="W22" s="1238">
        <f>'Bloom Cleaner Data'!D22/'Bloom Cleaner Data'!$F22</f>
        <v>0.98520496394155388</v>
      </c>
      <c r="X22" s="1238">
        <f>'Bloom Cleaner Data'!E22/'Bloom Cleaner Data'!$F22</f>
        <v>0.98520496394155388</v>
      </c>
      <c r="Y22" s="1238">
        <f>'Bloom Cleaner Data'!F22/'Bloom Cleaner Data'!$F22</f>
        <v>1</v>
      </c>
      <c r="Z22" s="1238">
        <f>'Bloom Cleaner Data'!G22/'Bloom Cleaner Data'!$F22</f>
        <v>1.0147950360584461</v>
      </c>
      <c r="AA22" s="1238">
        <f>'Bloom Cleaner Data'!H22/'Bloom Cleaner Data'!$F22</f>
        <v>1.0676083697816543</v>
      </c>
      <c r="AB22" s="1238">
        <f>'Bloom Cleaner Data'!I22/'Bloom Cleaner Data'!$F22</f>
        <v>1.120421703504862</v>
      </c>
      <c r="AC22" s="1238">
        <f>'Bloom Cleaner Data'!J22/'Bloom Cleaner Data'!$F22</f>
        <v>1.0762046228931996</v>
      </c>
      <c r="AD22" s="1238">
        <f>'Bloom Cleaner Data'!K22/'Bloom Cleaner Data'!$F22</f>
        <v>1.0319875422815368</v>
      </c>
      <c r="AE22" s="1238">
        <f>'Bloom Cleaner Data'!L22/'Bloom Cleaner Data'!$F22</f>
        <v>1.0420875776264942</v>
      </c>
      <c r="AF22" s="1238">
        <f>'Bloom Cleaner Data'!M22/'Bloom Cleaner Data'!$F22</f>
        <v>1.0521876129714518</v>
      </c>
      <c r="AG22" s="1238">
        <f>'Bloom Cleaner Data'!N22/'Bloom Cleaner Data'!$F22</f>
        <v>1.0579816743820289</v>
      </c>
      <c r="AH22" s="1238">
        <f>'Bloom Cleaner Data'!O22/'Bloom Cleaner Data'!$F22</f>
        <v>1.0637757357926059</v>
      </c>
      <c r="AI22" s="1238">
        <f>'Bloom Cleaner Data'!P22/'Bloom Cleaner Data'!$F22</f>
        <v>1.0936236969428437</v>
      </c>
      <c r="AJ22" s="1238">
        <f>'Bloom Cleaner Data'!Q22/'Bloom Cleaner Data'!$F22</f>
        <v>1.1234716580930815</v>
      </c>
      <c r="AK22" s="1238">
        <f>'Bloom Cleaner Data'!R22/'Bloom Cleaner Data'!$F22</f>
        <v>1.1234716580930815</v>
      </c>
      <c r="AL22" s="13"/>
      <c r="AM22" s="13">
        <f>AVERAGE('Bloom Cleaner Data'!BW22:CI22)</f>
        <v>115682.86421153847</v>
      </c>
      <c r="AN22" s="18">
        <f>('Bloom Cleaner Data'!CI22-'Bloom Cleaner Data'!BW22)/'Bloom Cleaner Data'!BW22</f>
        <v>6.0084264955185915E-2</v>
      </c>
      <c r="AO22" s="18">
        <f>('Bloom Cleaner Data'!CI22+'Bloom Cleaner Data'!CH22-'Bloom Cleaner Data'!BW22-'Bloom Cleaner Data'!BV22)/('Bloom Cleaner Data'!BW22+'Bloom Cleaner Data'!BV22)</f>
        <v>6.5231021284097968E-2</v>
      </c>
      <c r="AP22" s="13"/>
      <c r="AQ22" s="13">
        <f>'Bloom Cleaner Data'!BW22*'Bloom Cleaner Data'!BW46</f>
        <v>139250.46522730001</v>
      </c>
      <c r="AR22" s="13">
        <f>'Bloom Cleaner Data'!BY22*'Bloom Cleaner Data'!BY46</f>
        <v>138545.86265927998</v>
      </c>
      <c r="AS22" s="13">
        <f>'Bloom Cleaner Data'!CA22*'Bloom Cleaner Data'!CA46</f>
        <v>130661.08365285001</v>
      </c>
      <c r="AT22" s="13">
        <f>'Bloom Cleaner Data'!CC22*'Bloom Cleaner Data'!CC46</f>
        <v>135724.52818794074</v>
      </c>
      <c r="AU22" s="13">
        <f>'Bloom Cleaner Data'!CE22*'Bloom Cleaner Data'!CE46</f>
        <v>137355.53701511765</v>
      </c>
      <c r="AV22" s="13">
        <f>'Bloom Cleaner Data'!CG22*'Bloom Cleaner Data'!CG46</f>
        <v>141235.95162078002</v>
      </c>
      <c r="AW22" s="13">
        <f>'Bloom Cleaner Data'!CI22*'Bloom Cleaner Data'!CI46</f>
        <v>141288.57854166534</v>
      </c>
      <c r="AX22" s="13"/>
      <c r="AY22" s="13">
        <f t="shared" si="3"/>
        <v>137723.14384356196</v>
      </c>
      <c r="AZ22" s="10">
        <f t="shared" si="4"/>
        <v>1.4636312424798681E-2</v>
      </c>
      <c r="BA22" s="10"/>
      <c r="BB22" s="13">
        <f>'Bloom Cleaner Data'!T22+'OPERATING LEASES'!AU22</f>
        <v>37611.448440713102</v>
      </c>
      <c r="BC22" s="13">
        <f>'Bloom Cleaner Data'!U22+'OPERATING LEASES'!AV22</f>
        <v>37667.568137933697</v>
      </c>
      <c r="BD22" s="13">
        <f>'Bloom Cleaner Data'!V22+'OPERATING LEASES'!AW22</f>
        <v>37749.687835154284</v>
      </c>
      <c r="BE22" s="13">
        <f>'Bloom Cleaner Data'!W22+'OPERATING LEASES'!AX22</f>
        <v>37831.807532374871</v>
      </c>
      <c r="BF22" s="13">
        <f>'Bloom Cleaner Data'!X22+'OPERATING LEASES'!AY22</f>
        <v>37361.427229595458</v>
      </c>
      <c r="BG22" s="13">
        <f>'Bloom Cleaner Data'!Y22+'OPERATING LEASES'!AZ22</f>
        <v>36757.606757869318</v>
      </c>
      <c r="BH22" s="13">
        <f>'Bloom Cleaner Data'!Z22+'OPERATING LEASES'!BA22</f>
        <v>35165.286286143171</v>
      </c>
      <c r="BI22" s="13">
        <f>'Bloom Cleaner Data'!AA22+'OPERATING LEASES'!BB22</f>
        <v>33572.965814417024</v>
      </c>
      <c r="BJ22" s="13">
        <f>'Bloom Cleaner Data'!AB22+'OPERATING LEASES'!BC22</f>
        <v>32423.145342690881</v>
      </c>
      <c r="BK22" s="13">
        <f>'Bloom Cleaner Data'!AC22+'OPERATING LEASES'!BD22</f>
        <v>31454.362857183747</v>
      </c>
      <c r="BL22" s="13">
        <f>'Bloom Cleaner Data'!AD22+'OPERATING LEASES'!BE22</f>
        <v>28944.080371676613</v>
      </c>
      <c r="BM22" s="13">
        <f>'Bloom Cleaner Data'!AE22+'OPERATING LEASES'!BF22</f>
        <v>26433.797886169479</v>
      </c>
      <c r="BN22" s="13">
        <f>'Bloom Cleaner Data'!AF22+'OPERATING LEASES'!BG22</f>
        <v>30307.015400662345</v>
      </c>
      <c r="BO22" s="13">
        <f>'Bloom Cleaner Data'!AG22+'OPERATING LEASES'!BH22</f>
        <v>34076.515400662342</v>
      </c>
      <c r="BP22" s="13">
        <f>'Bloom Cleaner Data'!AH22+'OPERATING LEASES'!BI22</f>
        <v>34076.515400662342</v>
      </c>
      <c r="BQ22" s="13"/>
      <c r="BR22" s="1099">
        <f t="shared" si="50"/>
        <v>33550.324162712444</v>
      </c>
      <c r="BS22" s="10">
        <f t="shared" si="51"/>
        <v>-9.730338567386275E-2</v>
      </c>
      <c r="BT22" s="10"/>
      <c r="BU22" s="13">
        <f>'Bloom Cleaner Data'!BU22+'OPERATING LEASES'!AU22</f>
        <v>118088.41304071312</v>
      </c>
      <c r="BV22" s="13">
        <f>'Bloom Cleaner Data'!BV22+'OPERATING LEASES'!AV22</f>
        <v>118144.5327379337</v>
      </c>
      <c r="BW22" s="13">
        <f>'Bloom Cleaner Data'!BW22+'OPERATING LEASES'!AW22</f>
        <v>119302.25003515428</v>
      </c>
      <c r="BX22" s="13">
        <f>'Bloom Cleaner Data'!BX22+'OPERATING LEASES'!AX22</f>
        <v>120459.96733237486</v>
      </c>
      <c r="BY22" s="13">
        <f>'Bloom Cleaner Data'!BY22+'OPERATING LEASES'!AY22</f>
        <v>124195.67367959546</v>
      </c>
      <c r="BZ22" s="13">
        <f>'Bloom Cleaner Data'!BZ22+'OPERATING LEASES'!AZ22</f>
        <v>127797.93985786932</v>
      </c>
      <c r="CA22" s="13">
        <f>'Bloom Cleaner Data'!CA22+'OPERATING LEASES'!BA22</f>
        <v>123291.97883614319</v>
      </c>
      <c r="CB22" s="13">
        <f>'Bloom Cleaner Data'!CB22+'OPERATING LEASES'!BB22</f>
        <v>118786.01781441702</v>
      </c>
      <c r="CC22" s="13">
        <f>'Bloom Cleaner Data'!CC22+'OPERATING LEASES'!BC22</f>
        <v>118408.32584269087</v>
      </c>
      <c r="CD22" s="13">
        <f>'Bloom Cleaner Data'!CD22+'OPERATING LEASES'!BD22</f>
        <v>118211.67185718374</v>
      </c>
      <c r="CE22" s="13">
        <f>'Bloom Cleaner Data'!CE22+'OPERATING LEASES'!BE22</f>
        <v>116057.15722167661</v>
      </c>
      <c r="CF22" s="13">
        <f>'Bloom Cleaner Data'!CF22+'OPERATING LEASES'!BF22</f>
        <v>113902.64258616947</v>
      </c>
      <c r="CG22" s="13">
        <f>'Bloom Cleaner Data'!CG22+'OPERATING LEASES'!BG22</f>
        <v>120188.00880066236</v>
      </c>
      <c r="CH22" s="13">
        <f>'Bloom Cleaner Data'!CH22+'OPERATING LEASES'!BH22</f>
        <v>126369.65750066235</v>
      </c>
      <c r="CI22" s="13">
        <f>'Bloom Cleaner Data'!CI22+'OPERATING LEASES'!BI22</f>
        <v>126369.65750066235</v>
      </c>
      <c r="CJ22" s="13"/>
      <c r="CK22" s="1099">
        <f t="shared" si="52"/>
        <v>121026.22683578938</v>
      </c>
      <c r="CL22" s="10">
        <f t="shared" si="53"/>
        <v>5.9239515293513234E-2</v>
      </c>
      <c r="CM22" s="18">
        <f t="shared" si="54"/>
        <v>4.6189750406594329E-2</v>
      </c>
      <c r="CN22" s="13"/>
      <c r="CO22" s="18">
        <f>$CO$1*BU22/('Bloom Cleaner Data'!D22+'Bloom Cleaner Data'!T22+'OPERATING LEASES'!AU22)+(1-$CO$1)*'Bloom Cleaner Data'!BU22/('Bloom Cleaner Data'!D22+'Bloom Cleaner Data'!T22)-1</f>
        <v>3.6461171181565444E-3</v>
      </c>
      <c r="CP22" s="18">
        <f>$CO$1*BV22/('Bloom Cleaner Data'!E22+'Bloom Cleaner Data'!U22+'OPERATING LEASES'!AV22)+(1-$CO$1)*'Bloom Cleaner Data'!BV22/('Bloom Cleaner Data'!E22+'Bloom Cleaner Data'!U22)-1</f>
        <v>3.6443788684630274E-3</v>
      </c>
      <c r="CQ22" s="18">
        <f>$CO$1*BW22/('Bloom Cleaner Data'!F22+'Bloom Cleaner Data'!V22+'OPERATING LEASES'!AW22)+(1-$CO$1)*'Bloom Cleaner Data'!BW22/('Bloom Cleaner Data'!F22+'Bloom Cleaner Data'!V22)-1</f>
        <v>2.5420221463543502E-3</v>
      </c>
      <c r="CR22" s="18">
        <f>$CO$1*BX22/('Bloom Cleaner Data'!G22+'Bloom Cleaner Data'!W22+'OPERATING LEASES'!AX22)+(1-$CO$1)*'Bloom Cleaner Data'!BX22/('Bloom Cleaner Data'!G22+'Bloom Cleaner Data'!W22)-1</f>
        <v>1.4632041485103109E-3</v>
      </c>
      <c r="CS22" s="18">
        <f>$CO$1*BY22/('Bloom Cleaner Data'!H22+'Bloom Cleaner Data'!X22+'OPERATING LEASES'!AY22)+(1-$CO$1)*'Bloom Cleaner Data'!BY22/('Bloom Cleaner Data'!H22+'Bloom Cleaner Data'!X22)-1</f>
        <v>7.3325199850993172E-4</v>
      </c>
      <c r="CT22" s="18">
        <f>$CO$1*BZ22/('Bloom Cleaner Data'!I22+'Bloom Cleaner Data'!Y22+'OPERATING LEASES'!AZ22)+(1-$CO$1)*'Bloom Cleaner Data'!BZ22/('Bloom Cleaner Data'!I22+'Bloom Cleaner Data'!Y22)-1</f>
        <v>4.6951317952181881E-5</v>
      </c>
      <c r="CU22" s="18">
        <f>$CO$1*CA22/('Bloom Cleaner Data'!J22+'Bloom Cleaner Data'!Z22+'OPERATING LEASES'!BA22)+(1-$CO$1)*'Bloom Cleaner Data'!CA22/('Bloom Cleaner Data'!J22+'Bloom Cleaner Data'!Z22)-1</f>
        <v>5.5869576634415274E-3</v>
      </c>
      <c r="CV22" s="18">
        <f>$CO$1*CB22/('Bloom Cleaner Data'!K22+'Bloom Cleaner Data'!AA22+'OPERATING LEASES'!BB22)+(1-$CO$1)*'Bloom Cleaner Data'!CB22/('Bloom Cleaner Data'!K22+'Bloom Cleaner Data'!AA22)-1</f>
        <v>1.1616220070036487E-2</v>
      </c>
      <c r="CW22" s="18">
        <f>$CO$1*CC22/('Bloom Cleaner Data'!L22+'Bloom Cleaner Data'!AB22+'OPERATING LEASES'!BC22)+(1-$CO$1)*'Bloom Cleaner Data'!CC22/('Bloom Cleaner Data'!L22+'Bloom Cleaner Data'!AB22)-1</f>
        <v>1.1234676339328509E-2</v>
      </c>
      <c r="CX22" s="18">
        <f>$CO$1*CD22/('Bloom Cleaner Data'!M22+'Bloom Cleaner Data'!AC22+'OPERATING LEASES'!BD22)+(1-$CO$1)*'Bloom Cleaner Data'!CD22/('Bloom Cleaner Data'!M22+'Bloom Cleaner Data'!AC22)-1</f>
        <v>1.0834183207143466E-2</v>
      </c>
      <c r="CY22" s="18">
        <f>$CO$1*CE22/('Bloom Cleaner Data'!N22+'Bloom Cleaner Data'!AD22+'OPERATING LEASES'!BE22)+(1-$CO$1)*'Bloom Cleaner Data'!CE22/('Bloom Cleaner Data'!N22+'Bloom Cleaner Data'!AD22)-1</f>
        <v>1.0025659664496533E-2</v>
      </c>
      <c r="CZ22" s="18">
        <f>$CO$1*CF22/('Bloom Cleaner Data'!O22+'Bloom Cleaner Data'!AE22+'OPERATING LEASES'!BF22)+(1-$CO$1)*'Bloom Cleaner Data'!CF22/('Bloom Cleaner Data'!O22+'Bloom Cleaner Data'!AE22)-1</f>
        <v>9.1879156157577135E-3</v>
      </c>
      <c r="DA22" s="18">
        <f>$CO$1*CG22/('Bloom Cleaner Data'!P22+'Bloom Cleaner Data'!AF22+'OPERATING LEASES'!BG22)+(1-$CO$1)*'Bloom Cleaner Data'!CG22/('Bloom Cleaner Data'!P22+'Bloom Cleaner Data'!AF22)-1</f>
        <v>8.593198653739087E-3</v>
      </c>
      <c r="DB22" s="18">
        <f>$CO$1*CH22/('Bloom Cleaner Data'!Q22+'Bloom Cleaner Data'!AG22+'OPERATING LEASES'!BH22)+(1-$CO$1)*'Bloom Cleaner Data'!CH22/('Bloom Cleaner Data'!Q22+'Bloom Cleaner Data'!AG22)-1</f>
        <v>8.0648598202692767E-3</v>
      </c>
      <c r="DC22" s="18">
        <f>$CO$1*CI22/('Bloom Cleaner Data'!R22+'Bloom Cleaner Data'!AH22+'OPERATING LEASES'!BI22)+(1-$CO$1)*'Bloom Cleaner Data'!CI22/('Bloom Cleaner Data'!R22+'Bloom Cleaner Data'!AH22)-1</f>
        <v>8.0648598202692767E-3</v>
      </c>
      <c r="DD22" s="18"/>
      <c r="DE22" s="18">
        <f t="shared" si="55"/>
        <v>6.7687661896775886E-3</v>
      </c>
      <c r="DF22" s="13"/>
      <c r="DG22" s="2203">
        <f>AVERAGE('Bloom Cleaner Data'!GX22:HJ22)</f>
        <v>15428.995160965906</v>
      </c>
      <c r="DH22" s="2124">
        <f>('Bloom Cleaner Data'!HJ22-'Bloom Cleaner Data'!GX22)/'Bloom Cleaner Data'!GX22</f>
        <v>-6.3903152035443847E-2</v>
      </c>
      <c r="DI22" s="2124">
        <f>('Bloom Cleaner Data'!HJ22+'Bloom Cleaner Data'!HI22-'Bloom Cleaner Data'!GX22-'Bloom Cleaner Data'!GW22)/('Bloom Cleaner Data'!GX22+'Bloom Cleaner Data'!GW22)</f>
        <v>-6.756505709826946E-2</v>
      </c>
      <c r="DJ22" s="13"/>
      <c r="DK22" s="13">
        <f>'Bloom Cleaner Data'!GV22+'OPERATING LEASES'!BL22</f>
        <v>15711.94727268295</v>
      </c>
      <c r="DL22" s="13">
        <f>'Bloom Cleaner Data'!GW22+'OPERATING LEASES'!BM22</f>
        <v>15692.514236968664</v>
      </c>
      <c r="DM22" s="13">
        <f>'Bloom Cleaner Data'!GX22+'OPERATING LEASES'!BN22</f>
        <v>15557.58397837007</v>
      </c>
      <c r="DN22" s="13">
        <f>'Bloom Cleaner Data'!GY22+'OPERATING LEASES'!BO22</f>
        <v>15426.600077451742</v>
      </c>
      <c r="DO22" s="13">
        <f>'Bloom Cleaner Data'!GZ22+'OPERATING LEASES'!BP22</f>
        <v>15445.719394008451</v>
      </c>
      <c r="DP22" s="13">
        <f>'Bloom Cleaner Data'!HA22+'OPERATING LEASES'!BQ22</f>
        <v>15470.516134055193</v>
      </c>
      <c r="DQ22" s="13">
        <f>'Bloom Cleaner Data'!HB22+'OPERATING LEASES'!BR22</f>
        <v>16989.223013147333</v>
      </c>
      <c r="DR22" s="13">
        <f>'Bloom Cleaner Data'!HC22+'OPERATING LEASES'!BS22</f>
        <v>19030.202204996385</v>
      </c>
      <c r="DS22" s="13">
        <f>'Bloom Cleaner Data'!HD22+'OPERATING LEASES'!BT22</f>
        <v>19000.198338911865</v>
      </c>
      <c r="DT22" s="13">
        <f>'Bloom Cleaner Data'!HE22+'OPERATING LEASES'!BU22</f>
        <v>18997.352790392641</v>
      </c>
      <c r="DU22" s="13">
        <f>'Bloom Cleaner Data'!HF22+'OPERATING LEASES'!BV22</f>
        <v>16613.859640643634</v>
      </c>
      <c r="DV22" s="13">
        <f>'Bloom Cleaner Data'!HG22+'OPERATING LEASES'!BW22</f>
        <v>14721.421517664856</v>
      </c>
      <c r="DW22" s="13">
        <f>'Bloom Cleaner Data'!HH22+'OPERATING LEASES'!BX22</f>
        <v>14661.775468477652</v>
      </c>
      <c r="DX22" s="13">
        <f>'Bloom Cleaner Data'!HI22+'OPERATING LEASES'!BY22</f>
        <v>14594.923070789908</v>
      </c>
      <c r="DY22" s="13">
        <f>'Bloom Cleaner Data'!HJ22+'OPERATING LEASES'!BZ22</f>
        <v>14594.923070789908</v>
      </c>
      <c r="DZ22" s="13"/>
      <c r="EA22" s="1099">
        <f t="shared" si="56"/>
        <v>16238.792207669203</v>
      </c>
      <c r="EB22" s="10">
        <f t="shared" si="57"/>
        <v>-6.1877275348059417E-2</v>
      </c>
      <c r="EC22" s="18">
        <f t="shared" si="58"/>
        <v>5.2485404153344843E-2</v>
      </c>
      <c r="ED22" s="18">
        <f>(AVERAGE(DV22:DY22)-AVERAGE('Bloom Cleaner Data'!HG22:HJ22))/AVERAGE('Bloom Cleaner Data'!HG22:HJ22)</f>
        <v>5.9788090256518336E-2</v>
      </c>
      <c r="EE22" s="165"/>
      <c r="EF22" s="22">
        <f>'Bloom Cleaner Data'!DT22</f>
        <v>2.5393499999999998</v>
      </c>
      <c r="EG22" s="22">
        <f>'Bloom Cleaner Data'!DX22</f>
        <v>2.5481499999999997</v>
      </c>
      <c r="EH22" s="22">
        <f>'Bloom Cleaner Data'!EB22</f>
        <v>2.4313500000000001</v>
      </c>
      <c r="EI22" s="22">
        <f>'Bloom Cleaner Data'!EF22</f>
        <v>2.7191000000000001</v>
      </c>
      <c r="EJ22" s="22"/>
      <c r="EK22" s="22">
        <f>AVERAGE('Bloom Cleaner Data'!DT22:EF22)</f>
        <v>2.543480769230769</v>
      </c>
      <c r="EL22" s="2124">
        <f t="shared" si="5"/>
        <v>7.0785831019749279E-2</v>
      </c>
      <c r="EM22" s="13"/>
      <c r="EN22" s="15">
        <f>'Bloom Cleaner Data'!DA22</f>
        <v>7.6178999999999997</v>
      </c>
      <c r="EO22" s="15">
        <f>'Bloom Cleaner Data'!DB22</f>
        <v>7.6178999999999997</v>
      </c>
      <c r="EP22" s="15">
        <f>'Bloom Cleaner Data'!DC22</f>
        <v>7.7526499999999992</v>
      </c>
      <c r="EQ22" s="15">
        <f>'Bloom Cleaner Data'!DD22</f>
        <v>7.8873999999999995</v>
      </c>
      <c r="ER22" s="15">
        <f>'Bloom Cleaner Data'!DE22</f>
        <v>8.1181000000000001</v>
      </c>
      <c r="ES22" s="15">
        <f>'Bloom Cleaner Data'!DF22</f>
        <v>8.3488000000000007</v>
      </c>
      <c r="ET22" s="15">
        <f>'Bloom Cleaner Data'!DG22</f>
        <v>7.2866499999999998</v>
      </c>
      <c r="EU22" s="15">
        <f>'Bloom Cleaner Data'!DH22</f>
        <v>6.2244999999999999</v>
      </c>
      <c r="EV22" s="15">
        <f>'Bloom Cleaner Data'!DI22</f>
        <v>6.2142999999999997</v>
      </c>
      <c r="EW22" s="15">
        <f>'Bloom Cleaner Data'!DJ22</f>
        <v>6.2041000000000004</v>
      </c>
      <c r="EX22" s="15">
        <f>'Bloom Cleaner Data'!DK22</f>
        <v>7.0024499999999996</v>
      </c>
      <c r="EY22" s="15">
        <f>'Bloom Cleaner Data'!DL22</f>
        <v>7.8007999999999997</v>
      </c>
      <c r="EZ22" s="15">
        <f>'Bloom Cleaner Data'!DM22</f>
        <v>8.2901500000000006</v>
      </c>
      <c r="FA22" s="15">
        <f>'Bloom Cleaner Data'!DN22</f>
        <v>8.7795000000000005</v>
      </c>
      <c r="FB22" s="15">
        <f>'Bloom Cleaner Data'!DO22</f>
        <v>8.7795000000000005</v>
      </c>
      <c r="FC22" s="15"/>
      <c r="FD22" s="15">
        <f t="shared" si="59"/>
        <v>7.5914538461538452</v>
      </c>
      <c r="FE22" s="18">
        <f t="shared" si="6"/>
        <v>0.13245148433116438</v>
      </c>
      <c r="FF22" s="15">
        <f t="shared" si="60"/>
        <v>7.4930750000000002</v>
      </c>
      <c r="FG22" s="2206"/>
      <c r="FH22" s="15">
        <f>('Bloom Cleaner Data'!BU22+'OPERATING LEASES'!AU22)/DK22</f>
        <v>7.5158356243992479</v>
      </c>
      <c r="FI22" s="15">
        <f>('Bloom Cleaner Data'!BV22+'OPERATING LEASES'!AV22)/DL22</f>
        <v>7.5287191685069184</v>
      </c>
      <c r="FJ22" s="15">
        <f>('Bloom Cleaner Data'!BW22+'OPERATING LEASES'!AW22)/DM22</f>
        <v>7.6684304067406543</v>
      </c>
      <c r="FK22" s="15">
        <f>('Bloom Cleaner Data'!BX22+'OPERATING LEASES'!AX22)/DN22</f>
        <v>7.8085882000950377</v>
      </c>
      <c r="FL22" s="15">
        <f>('Bloom Cleaner Data'!BY22+'OPERATING LEASES'!AY22)/DO22</f>
        <v>8.0407827250682935</v>
      </c>
      <c r="FM22" s="15">
        <f>('Bloom Cleaner Data'!BZ22+'OPERATING LEASES'!AZ22)/DP22</f>
        <v>8.2607418363081084</v>
      </c>
      <c r="FN22" s="15">
        <f>('Bloom Cleaner Data'!CA22+'OPERATING LEASES'!BA22)/DQ22</f>
        <v>7.2570698931158928</v>
      </c>
      <c r="FO22" s="15">
        <f>('Bloom Cleaner Data'!CB22+'OPERATING LEASES'!BB22)/DR22</f>
        <v>6.2419734974350254</v>
      </c>
      <c r="FP22" s="15">
        <f>('Bloom Cleaner Data'!CC22+'OPERATING LEASES'!BC22)/DS22</f>
        <v>6.2319520949522929</v>
      </c>
      <c r="FQ22" s="15">
        <f>('Bloom Cleaner Data'!CD22+'OPERATING LEASES'!BD22)/DT22</f>
        <v>6.2225339057221625</v>
      </c>
      <c r="FR22" s="15">
        <f>('Bloom Cleaner Data'!CE22+'OPERATING LEASES'!BE22)/DU22</f>
        <v>6.985562640589424</v>
      </c>
      <c r="FS22" s="15">
        <f>('Bloom Cleaner Data'!CF22+'OPERATING LEASES'!BF22)/DV22</f>
        <v>7.7372040770310724</v>
      </c>
      <c r="FT22" s="15">
        <f>('Bloom Cleaner Data'!CG22+'OPERATING LEASES'!BG22)/DW22</f>
        <v>8.1973707112800032</v>
      </c>
      <c r="FU22" s="15">
        <f>('Bloom Cleaner Data'!CH22+'OPERATING LEASES'!BH22)/DX22</f>
        <v>8.6584668441025876</v>
      </c>
      <c r="FV22" s="15">
        <f>('Bloom Cleaner Data'!CI22+'OPERATING LEASES'!BI22)/DY22</f>
        <v>8.6584668441025876</v>
      </c>
      <c r="FW22" s="15"/>
      <c r="FX22" s="506">
        <f t="shared" si="61"/>
        <v>7.5360879751187033</v>
      </c>
      <c r="FY22" s="10">
        <f t="shared" si="62"/>
        <v>0.12910548637067604</v>
      </c>
      <c r="FZ22" s="15">
        <f t="shared" si="7"/>
        <v>-5.53658710351419E-2</v>
      </c>
      <c r="GA22" s="15">
        <f t="shared" si="63"/>
        <v>7.4451342344639162</v>
      </c>
      <c r="GB22" s="15">
        <f t="shared" si="64"/>
        <v>-4.7940765536083951E-2</v>
      </c>
      <c r="GC22" s="15">
        <f t="shared" si="8"/>
        <v>-8.306577657886649E-2</v>
      </c>
      <c r="GD22" s="13"/>
      <c r="GE22" s="15">
        <f t="shared" si="9"/>
        <v>7.5158356243992479</v>
      </c>
      <c r="GF22" s="15">
        <f t="shared" si="10"/>
        <v>7.5287191685069184</v>
      </c>
      <c r="GG22" s="15">
        <f t="shared" si="11"/>
        <v>7.6684304067406543</v>
      </c>
      <c r="GH22" s="15">
        <f t="shared" si="12"/>
        <v>7.8085882000950377</v>
      </c>
      <c r="GI22" s="15">
        <f t="shared" si="13"/>
        <v>8.0407827250682935</v>
      </c>
      <c r="GJ22" s="15">
        <f t="shared" si="14"/>
        <v>8.2607418363081084</v>
      </c>
      <c r="GK22" s="15">
        <f t="shared" si="15"/>
        <v>7.2570698931158928</v>
      </c>
      <c r="GL22" s="15">
        <f t="shared" si="16"/>
        <v>6.2419734974350254</v>
      </c>
      <c r="GM22" s="15">
        <f t="shared" si="17"/>
        <v>6.2319520949522929</v>
      </c>
      <c r="GN22" s="15">
        <f t="shared" si="18"/>
        <v>6.2225339057221625</v>
      </c>
      <c r="GO22" s="15">
        <f t="shared" si="19"/>
        <v>6.985562640589424</v>
      </c>
      <c r="GP22" s="15">
        <f t="shared" si="20"/>
        <v>7.7372040770310724</v>
      </c>
      <c r="GQ22" s="15">
        <f t="shared" si="21"/>
        <v>8.1973707112800032</v>
      </c>
      <c r="GR22" s="15">
        <f t="shared" si="22"/>
        <v>8.6584668441025876</v>
      </c>
      <c r="GS22" s="15">
        <f t="shared" si="23"/>
        <v>8.6584668441025876</v>
      </c>
      <c r="GT22" s="15"/>
      <c r="GU22" s="15">
        <f t="shared" si="65"/>
        <v>7.534246564629953</v>
      </c>
      <c r="GV22" s="10">
        <f t="shared" si="66"/>
        <v>0.12910548637067604</v>
      </c>
      <c r="GW22" s="506">
        <f t="shared" si="67"/>
        <v>7.4451342344639162</v>
      </c>
      <c r="GX22" s="2057"/>
      <c r="GY22" s="10">
        <f>'Bloom Cleaner Data'!T22/('Bloom Cleaner Data'!T22+'Bloom Cleaner Data'!D22)</f>
        <v>0.28826619072476106</v>
      </c>
      <c r="GZ22" s="10">
        <f>'Bloom Cleaner Data'!U22/('Bloom Cleaner Data'!U22+'Bloom Cleaner Data'!E22)</f>
        <v>0.28826619072476106</v>
      </c>
      <c r="HA22" s="10">
        <f>'Bloom Cleaner Data'!V22/('Bloom Cleaner Data'!V22+'Bloom Cleaner Data'!F22)</f>
        <v>0.28538116440443967</v>
      </c>
      <c r="HB22" s="10">
        <f>'Bloom Cleaner Data'!W22/('Bloom Cleaner Data'!W22+'Bloom Cleaner Data'!G22)</f>
        <v>0.28255779723527519</v>
      </c>
      <c r="HC22" s="10">
        <f>'Bloom Cleaner Data'!X22/('Bloom Cleaner Data'!X22+'Bloom Cleaner Data'!H22)</f>
        <v>0.26915972908795438</v>
      </c>
      <c r="HD22" s="10">
        <f>'Bloom Cleaner Data'!Y22/('Bloom Cleaner Data'!Y22+'Bloom Cleaner Data'!I22)</f>
        <v>0.25658544866959876</v>
      </c>
      <c r="HE22" s="10">
        <f>'Bloom Cleaner Data'!Z22/('Bloom Cleaner Data'!Z22+'Bloom Cleaner Data'!J22)</f>
        <v>0.25484314342526393</v>
      </c>
      <c r="HF22" s="10">
        <f>'Bloom Cleaner Data'!AA22/('Bloom Cleaner Data'!AA22+'Bloom Cleaner Data'!K22)</f>
        <v>0.25294226469411024</v>
      </c>
      <c r="HG22" s="10">
        <f>'Bloom Cleaner Data'!AB22/('Bloom Cleaner Data'!AB22+'Bloom Cleaner Data'!L22)</f>
        <v>0.24393417066161427</v>
      </c>
      <c r="HH22" s="10">
        <f>'Bloom Cleaner Data'!AC22/('Bloom Cleaner Data'!AC22+'Bloom Cleaner Data'!M22)</f>
        <v>0.23488546489811918</v>
      </c>
      <c r="HI22" s="10">
        <f>'Bloom Cleaner Data'!AD22/('Bloom Cleaner Data'!AD22+'Bloom Cleaner Data'!N22)</f>
        <v>0.21562690186393707</v>
      </c>
      <c r="HJ22" s="10">
        <f>'Bloom Cleaner Data'!AE22/('Bloom Cleaner Data'!AE22+'Bloom Cleaner Data'!O22)</f>
        <v>0.19560005562349242</v>
      </c>
      <c r="HK22" s="10">
        <f>'Bloom Cleaner Data'!AF22/('Bloom Cleaner Data'!AF22+'Bloom Cleaner Data'!P22)</f>
        <v>0.21810751551571012</v>
      </c>
      <c r="HL22" s="10">
        <f>'Bloom Cleaner Data'!AG22/('Bloom Cleaner Data'!AG22+'Bloom Cleaner Data'!Q22)</f>
        <v>0.23828807339295358</v>
      </c>
      <c r="HM22" s="10">
        <f>'Bloom Cleaner Data'!AH22/('Bloom Cleaner Data'!AH22+'Bloom Cleaner Data'!R22)</f>
        <v>0.23828807339295358</v>
      </c>
      <c r="HN22" s="15"/>
      <c r="HO22" s="10">
        <f t="shared" si="68"/>
        <v>0.24509229252810941</v>
      </c>
      <c r="HP22" s="10">
        <f t="shared" si="69"/>
        <v>-0.16501821733667812</v>
      </c>
      <c r="HQ22" s="10"/>
      <c r="HR22" s="479">
        <f t="shared" si="24"/>
        <v>0.40501966742075035</v>
      </c>
      <c r="HS22" s="480">
        <f t="shared" si="25"/>
        <v>0.40501966742075035</v>
      </c>
      <c r="HT22" s="480">
        <f t="shared" si="26"/>
        <v>0.39934738659190844</v>
      </c>
      <c r="HU22" s="480">
        <f t="shared" si="27"/>
        <v>0.39384050191975684</v>
      </c>
      <c r="HV22" s="480">
        <f t="shared" si="28"/>
        <v>0.36828803748329153</v>
      </c>
      <c r="HW22" s="480">
        <f t="shared" si="29"/>
        <v>0.34514450680366437</v>
      </c>
      <c r="HX22" s="480">
        <f t="shared" si="30"/>
        <v>0.3419993269560746</v>
      </c>
      <c r="HY22" s="480">
        <f t="shared" si="31"/>
        <v>0.33858462705100117</v>
      </c>
      <c r="HZ22" s="480">
        <f t="shared" si="32"/>
        <v>0.32263615309142452</v>
      </c>
      <c r="IA22" s="480">
        <f t="shared" si="33"/>
        <v>0.30699386055558647</v>
      </c>
      <c r="IB22" s="480">
        <f t="shared" si="34"/>
        <v>0.27490348964840822</v>
      </c>
      <c r="IC22" s="480">
        <f t="shared" si="35"/>
        <v>0.24316269163233536</v>
      </c>
      <c r="ID22" s="480">
        <f t="shared" si="36"/>
        <v>0.27894821838525097</v>
      </c>
      <c r="IE22" s="480">
        <f t="shared" si="37"/>
        <v>0.3128322730279135</v>
      </c>
      <c r="IF22" s="481">
        <f t="shared" si="38"/>
        <v>0.3128322730279135</v>
      </c>
      <c r="IG22" s="15"/>
      <c r="IH22" s="10">
        <f t="shared" si="70"/>
        <v>0.3261164112441946</v>
      </c>
      <c r="II22" s="10">
        <f t="shared" si="71"/>
        <v>-0.21664124135712551</v>
      </c>
      <c r="IJ22" s="10"/>
      <c r="IK22" s="18">
        <f>('Bloom Cleaner Data'!T22+'OPERATING LEASES'!AU22)/('Bloom Cleaner Data'!T22+'OPERATING LEASES'!AU22+'Bloom Cleaner Data'!D22)</f>
        <v>0.31966374358589222</v>
      </c>
      <c r="IL22" s="18">
        <f>('Bloom Cleaner Data'!U22+'OPERATING LEASES'!AV22)/('Bloom Cleaner Data'!U22+'OPERATING LEASES'!AV22+'Bloom Cleaner Data'!E22)</f>
        <v>0.31998808705892523</v>
      </c>
      <c r="IM22" s="18">
        <f>('Bloom Cleaner Data'!V22+'OPERATING LEASES'!AW22)/('Bloom Cleaner Data'!V22+'OPERATING LEASES'!AW22+'Bloom Cleaner Data'!F22)</f>
        <v>0.31722493386752887</v>
      </c>
      <c r="IN22" s="18">
        <f>('Bloom Cleaner Data'!W22+'OPERATING LEASES'!AX22)/('Bloom Cleaner Data'!W22+'OPERATING LEASES'!AX22+'Bloom Cleaner Data'!G22)</f>
        <v>0.31452078253983817</v>
      </c>
      <c r="IO22" s="18">
        <f>('Bloom Cleaner Data'!X22+'OPERATING LEASES'!AY22)/('Bloom Cleaner Data'!X22+'OPERATING LEASES'!AY22+'Bloom Cleaner Data'!H22)</f>
        <v>0.30104770531086128</v>
      </c>
      <c r="IP22" s="18">
        <f>('Bloom Cleaner Data'!Y22+'OPERATING LEASES'!AZ22)/('Bloom Cleaner Data'!Y22+'OPERATING LEASES'!AZ22+'Bloom Cleaner Data'!I22)</f>
        <v>0.28763634700867102</v>
      </c>
      <c r="IQ22" s="18">
        <f>('Bloom Cleaner Data'!Z22+'OPERATING LEASES'!BA22)/('Bloom Cleaner Data'!Z22+'OPERATING LEASES'!BA22+'Bloom Cleaner Data'!J22)</f>
        <v>0.28681308861822175</v>
      </c>
      <c r="IR22" s="18">
        <f>('Bloom Cleaner Data'!AA22+'OPERATING LEASES'!BB22)/('Bloom Cleaner Data'!AA22+'OPERATING LEASES'!BB22+'Bloom Cleaner Data'!K22)</f>
        <v>0.28591712558949872</v>
      </c>
      <c r="IS22" s="18">
        <f>('Bloom Cleaner Data'!AB22+'OPERATING LEASES'!BC22)/('Bloom Cleaner Data'!AB22+'OPERATING LEASES'!BC22+'Bloom Cleaner Data'!L22)</f>
        <v>0.2769012115759335</v>
      </c>
      <c r="IT22" s="18">
        <f>('Bloom Cleaner Data'!AC22+'OPERATING LEASES'!BD22)/('Bloom Cleaner Data'!AC22+'OPERATING LEASES'!BD22+'Bloom Cleaner Data'!M22)</f>
        <v>0.26896790044096014</v>
      </c>
      <c r="IU22" s="18">
        <f>('Bloom Cleaner Data'!AD22+'OPERATING LEASES'!BE22)/('Bloom Cleaner Data'!AD22+'OPERATING LEASES'!BE22+'Bloom Cleaner Data'!N22)</f>
        <v>0.25189539853148013</v>
      </c>
      <c r="IV22" s="18">
        <f>('Bloom Cleaner Data'!AE22+'OPERATING LEASES'!BF22)/('Bloom Cleaner Data'!AE22+'OPERATING LEASES'!BF22+'Bloom Cleaner Data'!O22)</f>
        <v>0.23420588657870867</v>
      </c>
      <c r="IW22" s="18">
        <f>('Bloom Cleaner Data'!AF22+'OPERATING LEASES'!BG22)/('Bloom Cleaner Data'!AF22+'OPERATING LEASES'!BG22+'Bloom Cleaner Data'!P22)</f>
        <v>0.25433027728498075</v>
      </c>
      <c r="IX22" s="18">
        <f>('Bloom Cleaner Data'!AG22+'OPERATING LEASES'!BH22)/('Bloom Cleaner Data'!AG22+'OPERATING LEASES'!BH22+'Bloom Cleaner Data'!Q22)</f>
        <v>0.2718321660431175</v>
      </c>
      <c r="IY22" s="18">
        <f>('Bloom Cleaner Data'!AH22+'OPERATING LEASES'!BI22)/('Bloom Cleaner Data'!AH22+'OPERATING LEASES'!BI22+'Bloom Cleaner Data'!R22)</f>
        <v>0.2718321660431175</v>
      </c>
      <c r="IZ22" s="15"/>
      <c r="JA22" s="10">
        <f t="shared" si="72"/>
        <v>0.27870192226407053</v>
      </c>
      <c r="JB22" s="10">
        <f t="shared" si="73"/>
        <v>-0.14309331637647091</v>
      </c>
      <c r="JC22" s="10">
        <f t="shared" si="39"/>
        <v>3.3609629735961127E-2</v>
      </c>
      <c r="JD22" s="10">
        <f t="shared" si="40"/>
        <v>0.13713050455108242</v>
      </c>
      <c r="JE22" s="7"/>
      <c r="JF22" s="485">
        <f t="shared" si="74"/>
        <v>0.46986139658463089</v>
      </c>
      <c r="JG22" s="452">
        <f t="shared" si="131"/>
        <v>0.47056247246458643</v>
      </c>
      <c r="JH22" s="452">
        <f t="shared" si="132"/>
        <v>0.464611186908781</v>
      </c>
      <c r="JI22" s="452">
        <f t="shared" si="133"/>
        <v>0.45883343291602746</v>
      </c>
      <c r="JJ22" s="452">
        <f t="shared" si="134"/>
        <v>0.43071280772424281</v>
      </c>
      <c r="JK22" s="452">
        <f t="shared" si="135"/>
        <v>0.40377740470171375</v>
      </c>
      <c r="JL22" s="452">
        <f t="shared" si="136"/>
        <v>0.40215697181336374</v>
      </c>
      <c r="JM22" s="452">
        <f t="shared" si="137"/>
        <v>0.40039767908666435</v>
      </c>
      <c r="JN22" s="452">
        <f t="shared" si="138"/>
        <v>0.38293690434666139</v>
      </c>
      <c r="JO22" s="452">
        <f t="shared" si="139"/>
        <v>0.36792898780122263</v>
      </c>
      <c r="JP22" s="452">
        <f t="shared" si="140"/>
        <v>0.33671146793778922</v>
      </c>
      <c r="JQ22" s="452">
        <f t="shared" si="141"/>
        <v>0.30583401265956645</v>
      </c>
      <c r="JR22" s="452">
        <f t="shared" si="142"/>
        <v>0.34107630970847519</v>
      </c>
      <c r="JS22" s="452">
        <f t="shared" si="143"/>
        <v>0.37330976921347186</v>
      </c>
      <c r="JT22" s="486">
        <f t="shared" si="144"/>
        <v>0.37330976921347186</v>
      </c>
      <c r="JU22" s="15"/>
      <c r="JV22" s="10">
        <f t="shared" si="75"/>
        <v>0.38781513107934235</v>
      </c>
      <c r="JW22" s="10">
        <f t="shared" si="76"/>
        <v>-0.19651144928896153</v>
      </c>
      <c r="JX22" s="10">
        <f t="shared" si="77"/>
        <v>6.1698719835147742E-2</v>
      </c>
      <c r="JY22" s="10">
        <f t="shared" si="78"/>
        <v>0.18919231816563808</v>
      </c>
      <c r="JZ22" s="7"/>
      <c r="KA22" s="15">
        <f>'Bloom Cleaner Data'!T22/'Bloom Cleaner Data'!BU22*'Bloom Cleaner Data'!DA22</f>
        <v>2.1876385174440953</v>
      </c>
      <c r="KB22" s="15">
        <f>'Bloom Cleaner Data'!U22/'Bloom Cleaner Data'!BV22*'Bloom Cleaner Data'!DB22</f>
        <v>2.1876385174440953</v>
      </c>
      <c r="KC22" s="15">
        <f>'Bloom Cleaner Data'!V22/'Bloom Cleaner Data'!BW22*'Bloom Cleaner Data'!DC22</f>
        <v>2.2065894789024019</v>
      </c>
      <c r="KD22" s="15">
        <f>'Bloom Cleaner Data'!W22/'Bloom Cleaner Data'!BX22*'Bloom Cleaner Data'!DD22</f>
        <v>2.2252385696638308</v>
      </c>
      <c r="KE22" s="15">
        <f>'Bloom Cleaner Data'!X22/'Bloom Cleaner Data'!BY22*'Bloom Cleaner Data'!DE22</f>
        <v>2.183391579873339</v>
      </c>
      <c r="KF22" s="15">
        <f>'Bloom Cleaner Data'!Y22/'Bloom Cleaner Data'!BZ22*'Bloom Cleaner Data'!DF22</f>
        <v>2.1420756367353047</v>
      </c>
      <c r="KG22" s="15">
        <f>'Bloom Cleaner Data'!Z22/'Bloom Cleaner Data'!CA22*'Bloom Cleaner Data'!DG22</f>
        <v>1.8461759171816603</v>
      </c>
      <c r="KH22" s="15">
        <f>'Bloom Cleaner Data'!AA22/'Bloom Cleaner Data'!CB22*'Bloom Cleaner Data'!DH22</f>
        <v>1.5555352773444855</v>
      </c>
      <c r="KI22" s="15">
        <f>'Bloom Cleaner Data'!AB22/'Bloom Cleaner Data'!CC22*'Bloom Cleaner Data'!DI22</f>
        <v>1.4982800009749109</v>
      </c>
      <c r="KJ22" s="15">
        <f>'Bloom Cleaner Data'!AC22/'Bloom Cleaner Data'!CD22*'Bloom Cleaner Data'!DJ22</f>
        <v>1.4409139595545788</v>
      </c>
      <c r="KK22" s="15">
        <f>'Bloom Cleaner Data'!AD22/'Bloom Cleaner Data'!CE22*'Bloom Cleaner Data'!DK22</f>
        <v>1.4942098995879616</v>
      </c>
      <c r="KL22" s="15">
        <f>'Bloom Cleaner Data'!AE22/'Bloom Cleaner Data'!CF22*'Bloom Cleaner Data'!DL22</f>
        <v>1.5112516665503732</v>
      </c>
      <c r="KM22" s="15">
        <f>'Bloom Cleaner Data'!AF22/'Bloom Cleaner Data'!CG22*'Bloom Cleaner Data'!DM22</f>
        <v>1.7919969895757746</v>
      </c>
      <c r="KN22" s="15">
        <f>'Bloom Cleaner Data'!AG22/'Bloom Cleaner Data'!CH22*'Bloom Cleaner Data'!DN22</f>
        <v>2.0745484630130444</v>
      </c>
      <c r="KO22" s="15">
        <f>'Bloom Cleaner Data'!AH22/'Bloom Cleaner Data'!CI22*'Bloom Cleaner Data'!DO22</f>
        <v>2.0745484630130444</v>
      </c>
      <c r="KP22" s="15"/>
      <c r="KQ22" s="15">
        <f t="shared" si="79"/>
        <v>1.9803646385339544</v>
      </c>
      <c r="KR22" s="15">
        <f t="shared" si="80"/>
        <v>1.8630863955380592</v>
      </c>
      <c r="KS22" s="15">
        <f t="shared" si="81"/>
        <v>1.8495966078439008</v>
      </c>
      <c r="KT22" s="18">
        <f t="shared" si="82"/>
        <v>-5.9839411522544322E-2</v>
      </c>
      <c r="KU22" s="18"/>
      <c r="KV22" s="1694" t="s">
        <v>277</v>
      </c>
      <c r="KW22" s="506">
        <f>('Bloom Cleaner Data'!T22+'OPERATING LEASES'!AU22)/DK22</f>
        <v>2.3938120328410841</v>
      </c>
      <c r="KX22" s="506">
        <f>('Bloom Cleaner Data'!U22+'OPERATING LEASES'!AV22)/DL22</f>
        <v>2.4003526502589283</v>
      </c>
      <c r="KY22" s="506">
        <f>('Bloom Cleaner Data'!V22+'OPERATING LEASES'!AW22)/DM22</f>
        <v>2.4264492409385809</v>
      </c>
      <c r="KZ22" s="506">
        <f>('Bloom Cleaner Data'!W22+'OPERATING LEASES'!AX22)/DN22</f>
        <v>2.4523749460305031</v>
      </c>
      <c r="LA22" s="506">
        <f>('Bloom Cleaner Data'!X22+'OPERATING LEASES'!AY22)/DO22</f>
        <v>2.4188855356318548</v>
      </c>
      <c r="LB22" s="506">
        <f>('Bloom Cleaner Data'!Y22+'OPERATING LEASES'!AZ22)/DP22</f>
        <v>2.3759780500764887</v>
      </c>
      <c r="LC22" s="506">
        <f>('Bloom Cleaner Data'!Z22+'OPERATING LEASES'!BA22)/DQ22</f>
        <v>2.0698584190065699</v>
      </c>
      <c r="LD22" s="506">
        <f>('Bloom Cleaner Data'!AA22+'OPERATING LEASES'!BB22)/DR22</f>
        <v>1.764193856311334</v>
      </c>
      <c r="LE22" s="506">
        <f>('Bloom Cleaner Data'!AB22+'OPERATING LEASES'!BC22)/DS22</f>
        <v>1.7064635202406915</v>
      </c>
      <c r="LF22" s="506">
        <f>('Bloom Cleaner Data'!AC22+'OPERATING LEASES'!BD22)/DT22</f>
        <v>1.6557234686451092</v>
      </c>
      <c r="LG22" s="506">
        <f>('Bloom Cleaner Data'!AD22+'OPERATING LEASES'!BE22)/DU22</f>
        <v>1.742164734609212</v>
      </c>
      <c r="LH22" s="506">
        <f>('Bloom Cleaner Data'!AE22+'OPERATING LEASES'!BF22)/DV22</f>
        <v>1.7956009108529667</v>
      </c>
      <c r="LI22" s="506">
        <f>('Bloom Cleaner Data'!AF22+'OPERATING LEASES'!BG22)/DW22</f>
        <v>2.0670767647357211</v>
      </c>
      <c r="LJ22" s="506">
        <f>('Bloom Cleaner Data'!AG22+'OPERATING LEASES'!BH22)/DX22</f>
        <v>2.3348198024327131</v>
      </c>
      <c r="LK22" s="506">
        <f>('Bloom Cleaner Data'!AH22+'OPERATING LEASES'!BI22)/DY22</f>
        <v>2.3348198024327131</v>
      </c>
      <c r="LL22" s="15"/>
      <c r="LM22" s="15">
        <f t="shared" si="83"/>
        <v>2.2455721232003825</v>
      </c>
      <c r="LN22" s="15">
        <f t="shared" si="84"/>
        <v>2.1330793201135285</v>
      </c>
      <c r="LO22" s="15">
        <f t="shared" si="85"/>
        <v>0.26999292457546931</v>
      </c>
      <c r="LP22" s="15">
        <f t="shared" si="86"/>
        <v>2.0880314655341889</v>
      </c>
      <c r="LQ22" s="18">
        <f t="shared" si="87"/>
        <v>-3.7762767487534328E-2</v>
      </c>
      <c r="LR22" s="15">
        <f t="shared" si="88"/>
        <v>0.23843485769028816</v>
      </c>
      <c r="LS22" s="18"/>
      <c r="LT22" s="15">
        <f t="shared" si="89"/>
        <v>2.3938120328410841</v>
      </c>
      <c r="LU22" s="15">
        <f t="shared" si="145"/>
        <v>2.4003526502589283</v>
      </c>
      <c r="LV22" s="15">
        <f t="shared" si="146"/>
        <v>2.4264492409385809</v>
      </c>
      <c r="LW22" s="15">
        <f t="shared" si="147"/>
        <v>2.4523749460305031</v>
      </c>
      <c r="LX22" s="15">
        <f t="shared" si="148"/>
        <v>2.4188855356318548</v>
      </c>
      <c r="LY22" s="15">
        <f t="shared" si="149"/>
        <v>2.3759780500764887</v>
      </c>
      <c r="LZ22" s="15">
        <f t="shared" si="150"/>
        <v>2.0698584190065699</v>
      </c>
      <c r="MA22" s="15">
        <f t="shared" si="151"/>
        <v>1.764193856311334</v>
      </c>
      <c r="MB22" s="15">
        <f t="shared" si="152"/>
        <v>1.7064635202406915</v>
      </c>
      <c r="MC22" s="15">
        <f t="shared" si="153"/>
        <v>1.6557234686451092</v>
      </c>
      <c r="MD22" s="15">
        <f t="shared" si="154"/>
        <v>1.742164734609212</v>
      </c>
      <c r="ME22" s="15">
        <f t="shared" si="155"/>
        <v>1.7956009108529667</v>
      </c>
      <c r="MF22" s="15">
        <f t="shared" si="156"/>
        <v>2.0670767647357211</v>
      </c>
      <c r="MG22" s="15">
        <f t="shared" si="157"/>
        <v>2.3348198024327131</v>
      </c>
      <c r="MH22" s="15">
        <f t="shared" si="158"/>
        <v>2.3348198024327131</v>
      </c>
      <c r="MI22" s="15"/>
      <c r="MJ22" s="15">
        <f t="shared" si="104"/>
        <v>2.2455721232003825</v>
      </c>
      <c r="MK22" s="15">
        <f t="shared" si="105"/>
        <v>2.1330793201135285</v>
      </c>
      <c r="ML22" s="506">
        <f t="shared" si="106"/>
        <v>2.0880314655341889</v>
      </c>
      <c r="MM22" s="10">
        <f t="shared" si="107"/>
        <v>-3.7762767487534328E-2</v>
      </c>
      <c r="MN22" s="18"/>
      <c r="MO22" s="15">
        <f>('Bloom Cleaner Data'!T22+'Bloom Cleaner Data'!EY22)/'Bloom Cleaner Data'!GV22</f>
        <v>2.4860847455880526</v>
      </c>
      <c r="MP22" s="15">
        <f>('Bloom Cleaner Data'!U22+'Bloom Cleaner Data'!EZ22)/'Bloom Cleaner Data'!GW22</f>
        <v>2.4860847455880526</v>
      </c>
      <c r="MQ22" s="15">
        <f>('Bloom Cleaner Data'!V22+'Bloom Cleaner Data'!FA22)/'Bloom Cleaner Data'!GX22</f>
        <v>2.6668538359527134</v>
      </c>
      <c r="MR22" s="15">
        <f>('Bloom Cleaner Data'!W22+'Bloom Cleaner Data'!FB22)/'Bloom Cleaner Data'!GY22</f>
        <v>2.8497142597862859</v>
      </c>
      <c r="MS22" s="15">
        <f>('Bloom Cleaner Data'!X22+'Bloom Cleaner Data'!FC22)/'Bloom Cleaner Data'!GZ22</f>
        <v>2.7084539752023087</v>
      </c>
      <c r="MT22" s="15">
        <f>('Bloom Cleaner Data'!Y22+'Bloom Cleaner Data'!FD22)/'Bloom Cleaner Data'!HA22</f>
        <v>2.5683091466292933</v>
      </c>
      <c r="MU22" s="15">
        <f>('Bloom Cleaner Data'!Z22+'Bloom Cleaner Data'!FE22)/'Bloom Cleaner Data'!HB22</f>
        <v>2.2544582923122709</v>
      </c>
      <c r="MV22" s="15">
        <f>('Bloom Cleaner Data'!AA22+'Bloom Cleaner Data'!FF22)/'Bloom Cleaner Data'!HC22</f>
        <v>1.9377071181151013</v>
      </c>
      <c r="MW22" s="15">
        <f>('Bloom Cleaner Data'!AB22+'Bloom Cleaner Data'!FG22)/'Bloom Cleaner Data'!HD22</f>
        <v>1.8853071018032976</v>
      </c>
      <c r="MX22" s="15">
        <f>('Bloom Cleaner Data'!AC22+'Bloom Cleaner Data'!FH22)/'Bloom Cleaner Data'!HE22</f>
        <v>1.8328074190059251</v>
      </c>
      <c r="MY22" s="15">
        <f>('Bloom Cleaner Data'!AD22+'Bloom Cleaner Data'!FI22)/'Bloom Cleaner Data'!HF22</f>
        <v>1.8556062298784697</v>
      </c>
      <c r="MZ22" s="15">
        <f>('Bloom Cleaner Data'!AE22+'Bloom Cleaner Data'!FJ22)/'Bloom Cleaner Data'!HG22</f>
        <v>1.8199447913779299</v>
      </c>
      <c r="NA22" s="15">
        <f>('Bloom Cleaner Data'!AF22+'Bloom Cleaner Data'!FK22)/'Bloom Cleaner Data'!HH22</f>
        <v>2.2227442941122142</v>
      </c>
      <c r="NB22" s="15">
        <f>('Bloom Cleaner Data'!AG22+'Bloom Cleaner Data'!FL22)/'Bloom Cleaner Data'!HI22</f>
        <v>2.628347417122459</v>
      </c>
      <c r="NC22" s="15">
        <f>('Bloom Cleaner Data'!AH22+'Bloom Cleaner Data'!FM22)/'Bloom Cleaner Data'!HJ22</f>
        <v>2.628347417122459</v>
      </c>
      <c r="ND22" s="15"/>
      <c r="NE22" s="15">
        <f t="shared" si="43"/>
        <v>0.5537989541094146</v>
      </c>
      <c r="NF22" s="15">
        <f t="shared" si="108"/>
        <v>2.4931463761190442</v>
      </c>
      <c r="NG22" s="15">
        <f t="shared" si="44"/>
        <v>0.51278173758508983</v>
      </c>
      <c r="NH22" s="15">
        <f t="shared" si="109"/>
        <v>2.3248459799337655</v>
      </c>
      <c r="NI22" s="15">
        <f t="shared" si="110"/>
        <v>2.2968154844939019</v>
      </c>
      <c r="NJ22" s="18">
        <f t="shared" si="111"/>
        <v>-1.4438893617316781E-2</v>
      </c>
      <c r="NK22" s="15">
        <f t="shared" si="45"/>
        <v>0.44721887665000115</v>
      </c>
      <c r="NL22" s="2818"/>
      <c r="NM22" s="1694" t="s">
        <v>277</v>
      </c>
      <c r="NN22" s="15">
        <f>KW22+'Bloom Cleaner Data'!EY22/CALCULATIONS!DK22</f>
        <v>2.675317560019749</v>
      </c>
      <c r="NO22" s="15">
        <f>KX22+'Bloom Cleaner Data'!EZ22/CALCULATIONS!DL22</f>
        <v>2.6822067835870493</v>
      </c>
      <c r="NP22" s="15">
        <f>KY22+'Bloom Cleaner Data'!FA22/CALCULATIONS!DM22</f>
        <v>2.8614782280492816</v>
      </c>
      <c r="NQ22" s="15">
        <f>KZ22+'Bloom Cleaner Data'!FB22/CALCULATIONS!DN22</f>
        <v>3.0431078330079777</v>
      </c>
      <c r="NR22" s="15">
        <f>LA22+'Bloom Cleaner Data'!FC22/CALCULATIONS!DO22</f>
        <v>2.9162725335453428</v>
      </c>
      <c r="NS22" s="15">
        <f>LB22+'Bloom Cleaner Data'!FD22/CALCULATIONS!DP22</f>
        <v>2.7801016065128183</v>
      </c>
      <c r="NT22" s="15">
        <f>LC22+'Bloom Cleaner Data'!FE22/CALCULATIONS!DQ22</f>
        <v>2.4591346086758712</v>
      </c>
      <c r="NU22" s="15">
        <f>LD22+'Bloom Cleaner Data'!FF22/CALCULATIONS!DR22</f>
        <v>2.1307164988384173</v>
      </c>
      <c r="NV22" s="15">
        <f>LE22+'Bloom Cleaner Data'!FG22/CALCULATIONS!DS22</f>
        <v>2.0778543801744265</v>
      </c>
      <c r="NW22" s="15">
        <f>LF22+'Bloom Cleaner Data'!FH22/CALCULATIONS!DT22</f>
        <v>2.031460029352127</v>
      </c>
      <c r="NX22" s="15">
        <f>LG22+'Bloom Cleaner Data'!FI22/CALCULATIONS!DU22</f>
        <v>2.0861847349959839</v>
      </c>
      <c r="NY22" s="15">
        <f>LH22+'Bloom Cleaner Data'!FJ22/CALCULATIONS!DV22</f>
        <v>2.0872167711045497</v>
      </c>
      <c r="NZ22" s="15">
        <f>LI22+'Bloom Cleaner Data'!FK22/CALCULATIONS!DW22</f>
        <v>2.4734395557094002</v>
      </c>
      <c r="OA22" s="15">
        <f>LJ22+'Bloom Cleaner Data'!FL22/CALCULATIONS!DX22</f>
        <v>2.8571247137382461</v>
      </c>
      <c r="OB22" s="15">
        <f>LK22+'Bloom Cleaner Data'!FM22/CALCULATIONS!DY22</f>
        <v>2.8571247137382461</v>
      </c>
      <c r="OC22" s="15"/>
      <c r="OD22" s="15">
        <f t="shared" si="46"/>
        <v>0.52230491130553292</v>
      </c>
      <c r="OE22" s="15">
        <f t="shared" si="112"/>
        <v>2.7292296610619644</v>
      </c>
      <c r="OF22" s="15">
        <f t="shared" si="47"/>
        <v>0.48365753786158194</v>
      </c>
      <c r="OG22" s="15">
        <f t="shared" si="113"/>
        <v>2.5687264385726105</v>
      </c>
      <c r="OH22" s="15">
        <f t="shared" si="114"/>
        <v>2.5124012467263603</v>
      </c>
      <c r="OI22" s="18">
        <f t="shared" si="115"/>
        <v>-1.5214214346839373E-3</v>
      </c>
      <c r="OJ22" s="15">
        <f t="shared" si="48"/>
        <v>0.42436978119217139</v>
      </c>
      <c r="OK22" s="15"/>
      <c r="OL22" s="13">
        <f>'Bloom Cleaner Data'!GF22+('Bloom Cleaner Data'!T22+'Bloom Cleaner Data'!EY22)+'Bloom Cleaner Data'!CK22</f>
        <v>128083</v>
      </c>
      <c r="OM22" s="13">
        <f>'Bloom Cleaner Data'!GG22+('Bloom Cleaner Data'!U22+'Bloom Cleaner Data'!EZ22)+'Bloom Cleaner Data'!CL22</f>
        <v>128083</v>
      </c>
      <c r="ON22" s="13">
        <f>'Bloom Cleaner Data'!GH22+('Bloom Cleaner Data'!V22+'Bloom Cleaner Data'!FA22)+'Bloom Cleaner Data'!CM22</f>
        <v>130194</v>
      </c>
      <c r="OO22" s="13">
        <f>'Bloom Cleaner Data'!GI22+('Bloom Cleaner Data'!W22+'Bloom Cleaner Data'!FB22)+'Bloom Cleaner Data'!CN22</f>
        <v>132305</v>
      </c>
      <c r="OP22" s="13">
        <f>'Bloom Cleaner Data'!GJ22+('Bloom Cleaner Data'!X22+'Bloom Cleaner Data'!FC22)+'Bloom Cleaner Data'!CO22</f>
        <v>128772</v>
      </c>
      <c r="OQ22" s="13">
        <f>'Bloom Cleaner Data'!GK22+('Bloom Cleaner Data'!Y22+'Bloom Cleaner Data'!FD22)+'Bloom Cleaner Data'!CP22</f>
        <v>125239</v>
      </c>
      <c r="OR22" s="13">
        <f>'Bloom Cleaner Data'!GL22+('Bloom Cleaner Data'!Z22+'Bloom Cleaner Data'!FE22)+'Bloom Cleaner Data'!CQ22</f>
        <v>123620</v>
      </c>
      <c r="OS22" s="13">
        <f>'Bloom Cleaner Data'!GM22+('Bloom Cleaner Data'!AA22+'Bloom Cleaner Data'!FF22)+'Bloom Cleaner Data'!CR22</f>
        <v>122001</v>
      </c>
      <c r="OT22" s="13">
        <f>'Bloom Cleaner Data'!GN22+('Bloom Cleaner Data'!AB22+'Bloom Cleaner Data'!FG22)+'Bloom Cleaner Data'!CS22</f>
        <v>117426.5</v>
      </c>
      <c r="OU22" s="13">
        <f>'Bloom Cleaner Data'!GO22+('Bloom Cleaner Data'!AC22+'Bloom Cleaner Data'!FH22)+'Bloom Cleaner Data'!CT22</f>
        <v>112852</v>
      </c>
      <c r="OV22" s="13">
        <f>'Bloom Cleaner Data'!GP22+('Bloom Cleaner Data'!AD22+'Bloom Cleaner Data'!FI22)+'Bloom Cleaner Data'!CU22</f>
        <v>104835.5</v>
      </c>
      <c r="OW22" s="13">
        <f>'Bloom Cleaner Data'!GQ22+('Bloom Cleaner Data'!AE22+'Bloom Cleaner Data'!FJ22)+'Bloom Cleaner Data'!CV22</f>
        <v>96819</v>
      </c>
      <c r="OX22" s="13">
        <f>'Bloom Cleaner Data'!GR22+('Bloom Cleaner Data'!AF22+'Bloom Cleaner Data'!FK22)+'Bloom Cleaner Data'!CW22</f>
        <v>103248.5</v>
      </c>
      <c r="OY22" s="13">
        <f>'Bloom Cleaner Data'!GS22+('Bloom Cleaner Data'!AG22+'Bloom Cleaner Data'!FL22)+'Bloom Cleaner Data'!CX22</f>
        <v>109678</v>
      </c>
      <c r="OZ22" s="13">
        <f>'Bloom Cleaner Data'!GT22+('Bloom Cleaner Data'!AH22+'Bloom Cleaner Data'!FM22)+'Bloom Cleaner Data'!CY22</f>
        <v>109678</v>
      </c>
      <c r="PA22" s="166"/>
      <c r="PB22" s="1694" t="s">
        <v>277</v>
      </c>
      <c r="PC22" s="947">
        <f>('Bloom Cleaner Data'!T22+'Bloom Cleaner Data'!EY22+'OPERATING LEASES'!BL22)/CALCULATIONS!OL22</f>
        <v>0.29462034105117108</v>
      </c>
      <c r="PD22" s="947">
        <f>('Bloom Cleaner Data'!U22+'Bloom Cleaner Data'!EZ22+'OPERATING LEASES'!BM22)/CALCULATIONS!OM22</f>
        <v>0.29446861884202319</v>
      </c>
      <c r="PE22" s="947">
        <f>('Bloom Cleaner Data'!V22+'Bloom Cleaner Data'!FA22+'OPERATING LEASES'!BN22)/CALCULATIONS!ON22</f>
        <v>0.30775604921446897</v>
      </c>
      <c r="PF22" s="947">
        <f>('Bloom Cleaner Data'!W22+'Bloom Cleaner Data'!FB22+'OPERATING LEASES'!BO22)/CALCULATIONS!OO22</f>
        <v>0.32061946287528276</v>
      </c>
      <c r="PG22" s="947">
        <f>('Bloom Cleaner Data'!X22+'Bloom Cleaner Data'!FC22+'OPERATING LEASES'!BP22)/CALCULATIONS!OP22</f>
        <v>0.31406769328736062</v>
      </c>
      <c r="PH22" s="947">
        <f>('Bloom Cleaner Data'!Y22+'Bloom Cleaner Data'!FD22+'OPERATING LEASES'!BQ22)/CALCULATIONS!OQ22</f>
        <v>0.30720861712405878</v>
      </c>
      <c r="PI22" s="947">
        <f>('Bloom Cleaner Data'!Z22+'Bloom Cleaner Data'!FE22+'OPERATING LEASES'!BR22)/CALCULATIONS!OR22</f>
        <v>0.30180694871380037</v>
      </c>
      <c r="PJ22" s="947">
        <f>('Bloom Cleaner Data'!AA22+'Bloom Cleaner Data'!FF22+'OPERATING LEASES'!BS22)/CALCULATIONS!OS22</f>
        <v>0.29626191588593537</v>
      </c>
      <c r="PK22" s="947">
        <f>('Bloom Cleaner Data'!AB22+'Bloom Cleaner Data'!FG22+'OPERATING LEASES'!BT22)/CALCULATIONS!OT22</f>
        <v>0.29926485929496321</v>
      </c>
      <c r="PL22" s="947">
        <f>('Bloom Cleaner Data'!AC22+'Bloom Cleaner Data'!FH22+'OPERATING LEASES'!BU22)/CALCULATIONS!OU22</f>
        <v>0.30275244346577818</v>
      </c>
      <c r="PM22" s="947">
        <f>('Bloom Cleaner Data'!AD22+'Bloom Cleaner Data'!FI22+'OPERATING LEASES'!BV22)/CALCULATIONS!OV22</f>
        <v>0.28754870726042225</v>
      </c>
      <c r="PN22" s="947">
        <f>('Bloom Cleaner Data'!AE22+'Bloom Cleaner Data'!FJ22+'OPERATING LEASES'!BW22)/CALCULATIONS!OW22</f>
        <v>0.26982726789163286</v>
      </c>
      <c r="PO22" s="947">
        <f>('Bloom Cleaner Data'!AF22+'Bloom Cleaner Data'!FK22+'OPERATING LEASES'!BX22)/CALCULATIONS!OX22</f>
        <v>0.30581073817053034</v>
      </c>
      <c r="PP22" s="947">
        <f>('Bloom Cleaner Data'!AG22+'Bloom Cleaner Data'!FL22+'OPERATING LEASES'!BY22)/CALCULATIONS!OY22</f>
        <v>0.33743321358886924</v>
      </c>
      <c r="PQ22" s="947">
        <f>('Bloom Cleaner Data'!AH22+'Bloom Cleaner Data'!FM22+'OPERATING LEASES'!BZ22)/CALCULATIONS!OZ22</f>
        <v>0.33743321358886924</v>
      </c>
      <c r="PR22" s="947"/>
      <c r="PS22" s="18">
        <f t="shared" si="116"/>
        <v>0.32689238844942292</v>
      </c>
      <c r="PT22" s="18">
        <f t="shared" si="117"/>
        <v>0.31262610830997539</v>
      </c>
      <c r="PU22" s="18">
        <f t="shared" si="118"/>
        <v>0.30675316387399787</v>
      </c>
      <c r="PV22" s="10">
        <f t="shared" si="119"/>
        <v>9.6430807615803679E-2</v>
      </c>
      <c r="PW22" s="10"/>
      <c r="PX22" s="506">
        <f>'Bloom Cleaner Data'!D22/'Bloom Cleaner Data'!GF22</f>
        <v>0.88148843299196133</v>
      </c>
      <c r="PY22" s="506">
        <f>'Bloom Cleaner Data'!E22/'Bloom Cleaner Data'!GG22</f>
        <v>0.88148843299196133</v>
      </c>
      <c r="PZ22" s="506">
        <f>'Bloom Cleaner Data'!F22/'Bloom Cleaner Data'!GH22</f>
        <v>0.89604321075471594</v>
      </c>
      <c r="QA22" s="506">
        <f>'Bloom Cleaner Data'!G22/'Bloom Cleaner Data'!GI22</f>
        <v>0.91064090873949388</v>
      </c>
      <c r="QB22" s="506">
        <f>'Bloom Cleaner Data'!H22/'Bloom Cleaner Data'!GJ22</f>
        <v>0.9740740965952478</v>
      </c>
      <c r="QC22" s="506">
        <f>'Bloom Cleaner Data'!I22/'Bloom Cleaner Data'!GK22</f>
        <v>1.0396675814574983</v>
      </c>
      <c r="QD22" s="506">
        <f>'Bloom Cleaner Data'!J22/'Bloom Cleaner Data'!GL22</f>
        <v>1.0118633889361408</v>
      </c>
      <c r="QE22" s="506">
        <f>'Bloom Cleaner Data'!K22/'Bloom Cleaner Data'!GM22</f>
        <v>0.98331283422459892</v>
      </c>
      <c r="QF22" s="506">
        <f>'Bloom Cleaner Data'!L22/'Bloom Cleaner Data'!GN22</f>
        <v>1.0358794731883967</v>
      </c>
      <c r="QG22" s="506">
        <f>'Bloom Cleaner Data'!M22/'Bloom Cleaner Data'!GO22</f>
        <v>1.0931984987596224</v>
      </c>
      <c r="QH22" s="506">
        <f>'Bloom Cleaner Data'!N22/'Bloom Cleaner Data'!GP22</f>
        <v>1.1563700021523602</v>
      </c>
      <c r="QI22" s="506">
        <f>'Bloom Cleaner Data'!O22/'Bloom Cleaner Data'!GQ22</f>
        <v>1.2264707217050743</v>
      </c>
      <c r="QJ22" s="506">
        <f>'Bloom Cleaner Data'!P22/'Bloom Cleaner Data'!GR22</f>
        <v>1.2431028735310576</v>
      </c>
      <c r="QK22" s="506">
        <f>'Bloom Cleaner Data'!Q22/'Bloom Cleaner Data'!GS22</f>
        <v>1.259272460269286</v>
      </c>
      <c r="QL22" s="506">
        <f>'Bloom Cleaner Data'!R22/'Bloom Cleaner Data'!GT22</f>
        <v>1.259272460269286</v>
      </c>
      <c r="QM22" s="506"/>
      <c r="QN22" s="506">
        <f t="shared" si="120"/>
        <v>1.0837821931217524</v>
      </c>
      <c r="QO22" s="10">
        <f t="shared" si="121"/>
        <v>0.40537023790251214</v>
      </c>
      <c r="QP22" s="506">
        <f t="shared" si="122"/>
        <v>1.0336362190766659</v>
      </c>
      <c r="QQ22" s="18"/>
      <c r="QR22" s="506">
        <f>'Bloom Cleaner Data'!GF22/CALCULATIONS!DK22</f>
        <v>5.7796782552779922</v>
      </c>
      <c r="QS22" s="506">
        <f>'Bloom Cleaner Data'!GG22/CALCULATIONS!DL22</f>
        <v>5.7868355974511987</v>
      </c>
      <c r="QT22" s="506">
        <f>'Bloom Cleaner Data'!GH22/CALCULATIONS!DM22</f>
        <v>5.8284435504940113</v>
      </c>
      <c r="QU22" s="506">
        <f>'Bloom Cleaner Data'!GI22/CALCULATIONS!DN22</f>
        <v>5.8692777115770305</v>
      </c>
      <c r="QV22" s="506">
        <f>'Bloom Cleaner Data'!GJ22/CALCULATIONS!DO22</f>
        <v>5.7654808900998269</v>
      </c>
      <c r="QW22" s="506">
        <f>'Bloom Cleaner Data'!GK22/CALCULATIONS!DP22</f>
        <v>5.6598628798978643</v>
      </c>
      <c r="QX22" s="506">
        <f>'Bloom Cleaner Data'!GL22/CALCULATIONS!DQ22</f>
        <v>5.086548097763238</v>
      </c>
      <c r="QY22" s="506">
        <f>'Bloom Cleaner Data'!GM22/CALCULATIONS!DR22</f>
        <v>4.4808772435224995</v>
      </c>
      <c r="QZ22" s="506">
        <f>'Bloom Cleaner Data'!GN22/CALCULATIONS!DS22</f>
        <v>4.3019024613340457</v>
      </c>
      <c r="RA22" s="506">
        <f>'Bloom Cleaner Data'!GO22/CALCULATIONS!DT22</f>
        <v>4.1164682712819012</v>
      </c>
      <c r="RB22" s="506">
        <f>'Bloom Cleaner Data'!GP22/CALCULATIONS!DU22</f>
        <v>4.4743967752167748</v>
      </c>
      <c r="RC22" s="506">
        <f>'Bloom Cleaner Data'!GQ22/CALCULATIONS!DV22</f>
        <v>4.7870377134054394</v>
      </c>
      <c r="RD22" s="506">
        <f>'Bloom Cleaner Data'!GR22/CALCULATIONS!DW22</f>
        <v>4.8752622186637433</v>
      </c>
      <c r="RE22" s="506">
        <f>'Bloom Cleaner Data'!GS22/CALCULATIONS!DX22</f>
        <v>4.9666585872642628</v>
      </c>
      <c r="RF22" s="506">
        <f>'Bloom Cleaner Data'!GT22/CALCULATIONS!DY22</f>
        <v>4.9666585872642628</v>
      </c>
      <c r="RG22" s="506"/>
      <c r="RH22" s="506">
        <f t="shared" si="123"/>
        <v>5.0137596144449921</v>
      </c>
      <c r="RI22" s="506">
        <f t="shared" si="124"/>
        <v>4.6728677728573516</v>
      </c>
      <c r="RJ22" s="18"/>
      <c r="RK22" s="506">
        <f>'Bloom Cleaner Data'!GF22/($RK$1*DK22+(1-$RK$1)*'Bloom Cleaner Data'!GV22)</f>
        <v>5.7796782552779922</v>
      </c>
      <c r="RL22" s="506">
        <f>'Bloom Cleaner Data'!GG22/($RK$1*DL22+(1-$RK$1)*'Bloom Cleaner Data'!GW22)</f>
        <v>5.7868355974511987</v>
      </c>
      <c r="RM22" s="506">
        <f>'Bloom Cleaner Data'!GH22/($RK$1*DM22+(1-$RK$1)*'Bloom Cleaner Data'!GX22)</f>
        <v>5.8284435504940113</v>
      </c>
      <c r="RN22" s="506">
        <f>'Bloom Cleaner Data'!GI22/($RK$1*DN22+(1-$RK$1)*'Bloom Cleaner Data'!GY22)</f>
        <v>5.8692777115770305</v>
      </c>
      <c r="RO22" s="506">
        <f>'Bloom Cleaner Data'!GJ22/($RK$1*DO22+(1-$RK$1)*'Bloom Cleaner Data'!GZ22)</f>
        <v>5.7654808900998269</v>
      </c>
      <c r="RP22" s="506">
        <f>'Bloom Cleaner Data'!GK22/($RK$1*DP22+(1-$RK$1)*'Bloom Cleaner Data'!HA22)</f>
        <v>5.6598628798978643</v>
      </c>
      <c r="RQ22" s="506">
        <f>'Bloom Cleaner Data'!GL22/($RK$1*DQ22+(1-$RK$1)*'Bloom Cleaner Data'!HB22)</f>
        <v>5.086548097763238</v>
      </c>
      <c r="RR22" s="506">
        <f>'Bloom Cleaner Data'!GM22/($RK$1*DR22+(1-$RK$1)*'Bloom Cleaner Data'!HC22)</f>
        <v>4.4808772435224995</v>
      </c>
      <c r="RS22" s="506">
        <f>'Bloom Cleaner Data'!GN22/($RK$1*DS22+(1-$RK$1)*'Bloom Cleaner Data'!HD22)</f>
        <v>4.3019024613340457</v>
      </c>
      <c r="RT22" s="506">
        <f>'Bloom Cleaner Data'!GO22/($RK$1*DT22+(1-$RK$1)*'Bloom Cleaner Data'!HE22)</f>
        <v>4.1164682712819012</v>
      </c>
      <c r="RU22" s="506">
        <f>'Bloom Cleaner Data'!GP22/($RK$1*DU22+(1-$RK$1)*'Bloom Cleaner Data'!HF22)</f>
        <v>4.4743967752167748</v>
      </c>
      <c r="RV22" s="506">
        <f>'Bloom Cleaner Data'!GQ22/($RK$1*DV22+(1-$RK$1)*'Bloom Cleaner Data'!HG22)</f>
        <v>4.7870377134054394</v>
      </c>
      <c r="RW22" s="506">
        <f>'Bloom Cleaner Data'!GR22/($RK$1*DW22+(1-$RK$1)*'Bloom Cleaner Data'!HH22)</f>
        <v>4.8752622186637433</v>
      </c>
      <c r="RX22" s="506">
        <f>'Bloom Cleaner Data'!GS22/($RK$1*DX22+(1-$RK$1)*'Bloom Cleaner Data'!HI22)</f>
        <v>4.9666585872642628</v>
      </c>
      <c r="RY22" s="506">
        <f>'Bloom Cleaner Data'!GT22/($RK$1*DY22+(1-$RK$1)*'Bloom Cleaner Data'!HJ22)</f>
        <v>4.9666585872642628</v>
      </c>
      <c r="RZ22" s="506"/>
      <c r="SA22" s="506">
        <f t="shared" si="125"/>
        <v>5.0137596144449921</v>
      </c>
      <c r="SB22" s="506">
        <f t="shared" si="126"/>
        <v>4.6728677728573516</v>
      </c>
      <c r="SC22" s="18"/>
      <c r="SD22" s="15">
        <f>'Bloom Cleaner Data'!HM22</f>
        <v>9.7568999999999999</v>
      </c>
      <c r="SE22" s="15">
        <f>'Bloom Cleaner Data'!HN22</f>
        <v>9.7568999999999999</v>
      </c>
      <c r="SF22" s="15">
        <f>'Bloom Cleaner Data'!HO22</f>
        <v>10.1822</v>
      </c>
      <c r="SG22" s="15">
        <f>'Bloom Cleaner Data'!HP22</f>
        <v>10.6075</v>
      </c>
      <c r="SH22" s="15">
        <f>'Bloom Cleaner Data'!HQ22</f>
        <v>10.01585</v>
      </c>
      <c r="SI22" s="15">
        <f>'Bloom Cleaner Data'!HR22</f>
        <v>9.4242000000000008</v>
      </c>
      <c r="SJ22" s="15">
        <f>'Bloom Cleaner Data'!HS22</f>
        <v>8.7265000000000015</v>
      </c>
      <c r="SK22" s="15">
        <f>'Bloom Cleaner Data'!HT22</f>
        <v>8.0288000000000004</v>
      </c>
      <c r="SL22" s="15">
        <f>'Bloom Cleaner Data'!HU22</f>
        <v>7.6562000000000001</v>
      </c>
      <c r="SM22" s="15">
        <f>'Bloom Cleaner Data'!HV22</f>
        <v>7.2835999999999999</v>
      </c>
      <c r="SN22" s="15">
        <f>'Bloom Cleaner Data'!HW22</f>
        <v>6.9275500000000001</v>
      </c>
      <c r="SO22" s="15">
        <f>'Bloom Cleaner Data'!HX22</f>
        <v>6.5715000000000003</v>
      </c>
      <c r="SP22" s="15">
        <f>'Bloom Cleaner Data'!HY22</f>
        <v>6.3370499999999996</v>
      </c>
      <c r="SQ22" s="15">
        <f>'Bloom Cleaner Data'!HZ22</f>
        <v>6.1025999999999998</v>
      </c>
      <c r="SR22" s="15">
        <f>'Bloom Cleaner Data'!IA22</f>
        <v>6.1025999999999998</v>
      </c>
      <c r="SS22" s="15"/>
      <c r="ST22" s="15">
        <f t="shared" si="127"/>
        <v>8.2319966666666655</v>
      </c>
      <c r="SU22" s="487">
        <f t="shared" si="128"/>
        <v>-0.40065997525092811</v>
      </c>
      <c r="SV22" s="15">
        <f t="shared" si="129"/>
        <v>-4.0796000000000001</v>
      </c>
    </row>
    <row r="23" spans="1:518">
      <c r="A23" s="11" t="s">
        <v>503</v>
      </c>
      <c r="B23" s="72"/>
      <c r="C23" s="83" t="s">
        <v>282</v>
      </c>
      <c r="D23" s="1133" t="s">
        <v>1040</v>
      </c>
      <c r="E23" s="224" t="s">
        <v>62</v>
      </c>
      <c r="F23" s="224"/>
      <c r="G23" s="13">
        <f>'Bloom Cleaner Data'!D23*'Bloom Cleaner Data'!D47</f>
        <v>22703.273435815001</v>
      </c>
      <c r="H23" s="13">
        <f>'Bloom Cleaner Data'!F23*'Bloom Cleaner Data'!F47</f>
        <v>23706.009373500001</v>
      </c>
      <c r="I23" s="13">
        <f>'Bloom Cleaner Data'!H23*'Bloom Cleaner Data'!H47</f>
        <v>26645.874666435</v>
      </c>
      <c r="J23" s="13">
        <f>'Bloom Cleaner Data'!J23*'Bloom Cleaner Data'!J47</f>
        <v>21891.801258240001</v>
      </c>
      <c r="K23" s="13">
        <f>'Bloom Cleaner Data'!L23*'Bloom Cleaner Data'!L47</f>
        <v>22631.967317260645</v>
      </c>
      <c r="L23" s="13">
        <f>'Bloom Cleaner Data'!N23*'Bloom Cleaner Data'!N47</f>
        <v>21801.412306646962</v>
      </c>
      <c r="M23" s="13">
        <f>'Bloom Cleaner Data'!P23*'Bloom Cleaner Data'!P47</f>
        <v>22237.728897879999</v>
      </c>
      <c r="N23" s="13">
        <f>'Bloom Cleaner Data'!R23*'Bloom Cleaner Data'!R47</f>
        <v>21731.57918967646</v>
      </c>
      <c r="O23" s="13"/>
      <c r="P23" s="13">
        <f t="shared" si="0"/>
        <v>22949.481858519866</v>
      </c>
      <c r="Q23" s="13">
        <f t="shared" si="49"/>
        <v>21923.573464734476</v>
      </c>
      <c r="R23" s="10">
        <f t="shared" si="1"/>
        <v>-8.3288171902550459E-2</v>
      </c>
      <c r="S23" s="18">
        <f>('Bloom Cleaner Data'!R23-'Bloom Cleaner Data'!F23)/'Bloom Cleaner Data'!F23</f>
        <v>-0.16249794344851631</v>
      </c>
      <c r="T23" s="10">
        <f t="shared" si="2"/>
        <v>1.8487407003088485E-2</v>
      </c>
      <c r="U23" s="10"/>
      <c r="V23" s="1277" t="s">
        <v>282</v>
      </c>
      <c r="W23" s="1238">
        <f>'Bloom Cleaner Data'!D23/'Bloom Cleaner Data'!$F23</f>
        <v>1.0297915084271616</v>
      </c>
      <c r="X23" s="1238">
        <f>'Bloom Cleaner Data'!E23/'Bloom Cleaner Data'!$F23</f>
        <v>1.0178748758649645</v>
      </c>
      <c r="Y23" s="1238">
        <f>'Bloom Cleaner Data'!F23/'Bloom Cleaner Data'!$F23</f>
        <v>1</v>
      </c>
      <c r="Z23" s="1238">
        <f>'Bloom Cleaner Data'!G23/'Bloom Cleaner Data'!$F23</f>
        <v>1.0844091358078531</v>
      </c>
      <c r="AA23" s="1238">
        <f>'Bloom Cleaner Data'!H23/'Bloom Cleaner Data'!$F23</f>
        <v>1.0585899210909633</v>
      </c>
      <c r="AB23" s="1238">
        <f>'Bloom Cleaner Data'!I23/'Bloom Cleaner Data'!$F23</f>
        <v>1.0447230085330246</v>
      </c>
      <c r="AC23" s="1238">
        <f>'Bloom Cleaner Data'!J23/'Bloom Cleaner Data'!$F23</f>
        <v>0.88863698636468436</v>
      </c>
      <c r="AD23" s="1238">
        <f>'Bloom Cleaner Data'!K23/'Bloom Cleaner Data'!$F23</f>
        <v>0.87408172538112483</v>
      </c>
      <c r="AE23" s="1238">
        <f>'Bloom Cleaner Data'!L23/'Bloom Cleaner Data'!$F23</f>
        <v>0.8957230549295514</v>
      </c>
      <c r="AF23" s="1238">
        <f>'Bloom Cleaner Data'!M23/'Bloom Cleaner Data'!$F23</f>
        <v>0.88365755497557186</v>
      </c>
      <c r="AG23" s="1238">
        <f>'Bloom Cleaner Data'!N23/'Bloom Cleaner Data'!$F23</f>
        <v>0.84497120341400589</v>
      </c>
      <c r="AH23" s="1238">
        <f>'Bloom Cleaner Data'!O23/'Bloom Cleaner Data'!$F23</f>
        <v>0.90549044645091115</v>
      </c>
      <c r="AI23" s="1238">
        <f>'Bloom Cleaner Data'!P23/'Bloom Cleaner Data'!$F23</f>
        <v>0.84382206140255234</v>
      </c>
      <c r="AJ23" s="1238">
        <f>'Bloom Cleaner Data'!Q23/'Bloom Cleaner Data'!$F23</f>
        <v>0.89112670228038704</v>
      </c>
      <c r="AK23" s="1238">
        <f>'Bloom Cleaner Data'!R23/'Bloom Cleaner Data'!$F23</f>
        <v>0.83750205655148369</v>
      </c>
      <c r="AL23" s="13"/>
      <c r="AM23" s="13">
        <f>AVERAGE('Bloom Cleaner Data'!BW23:CI23)</f>
        <v>278325.22735384613</v>
      </c>
      <c r="AN23" s="18">
        <f>('Bloom Cleaner Data'!CI23-'Bloom Cleaner Data'!BW23)/'Bloom Cleaner Data'!BW23</f>
        <v>-9.1718645460854245E-2</v>
      </c>
      <c r="AO23" s="18">
        <f>('Bloom Cleaner Data'!CI23+'Bloom Cleaner Data'!CH23-'Bloom Cleaner Data'!BW23-'Bloom Cleaner Data'!BV23)/('Bloom Cleaner Data'!BW23+'Bloom Cleaner Data'!BV23)</f>
        <v>-8.440284096734027E-2</v>
      </c>
      <c r="AP23" s="13"/>
      <c r="AQ23" s="13">
        <f>'Bloom Cleaner Data'!BW23*'Bloom Cleaner Data'!BW47</f>
        <v>30216.145873500001</v>
      </c>
      <c r="AR23" s="13">
        <f>'Bloom Cleaner Data'!BY23*'Bloom Cleaner Data'!BY47</f>
        <v>32974.985166434999</v>
      </c>
      <c r="AS23" s="13">
        <f>'Bloom Cleaner Data'!CA23*'Bloom Cleaner Data'!CA47</f>
        <v>30228.221898240001</v>
      </c>
      <c r="AT23" s="13">
        <f>'Bloom Cleaner Data'!CC23*'Bloom Cleaner Data'!CC47</f>
        <v>30964.705482508645</v>
      </c>
      <c r="AU23" s="13">
        <f>'Bloom Cleaner Data'!CE23*'Bloom Cleaner Data'!CE47</f>
        <v>30893.733623843465</v>
      </c>
      <c r="AV23" s="13">
        <f>'Bloom Cleaner Data'!CG23*'Bloom Cleaner Data'!CG47</f>
        <v>29900.150177879997</v>
      </c>
      <c r="AW23" s="13">
        <f>'Bloom Cleaner Data'!CI23*'Bloom Cleaner Data'!CI47</f>
        <v>30040.449045980571</v>
      </c>
      <c r="AX23" s="13"/>
      <c r="AY23" s="13">
        <f t="shared" si="3"/>
        <v>30745.484466912523</v>
      </c>
      <c r="AZ23" s="10">
        <f t="shared" si="4"/>
        <v>-5.8146670410907384E-3</v>
      </c>
      <c r="BA23" s="10"/>
      <c r="BB23" s="13">
        <f>'Bloom Cleaner Data'!T23+'OPERATING LEASES'!AU23</f>
        <v>56764.439674022702</v>
      </c>
      <c r="BC23" s="13">
        <f>'Bloom Cleaner Data'!U23+'OPERATING LEASES'!AV23</f>
        <v>55013.267838133324</v>
      </c>
      <c r="BD23" s="13">
        <f>'Bloom Cleaner Data'!V23+'OPERATING LEASES'!AW23</f>
        <v>61717.096002243947</v>
      </c>
      <c r="BE23" s="13">
        <f>'Bloom Cleaner Data'!W23+'OPERATING LEASES'!AX23</f>
        <v>56503.924166354562</v>
      </c>
      <c r="BF23" s="13">
        <f>'Bloom Cleaner Data'!X23+'OPERATING LEASES'!AY23</f>
        <v>56730.752330465184</v>
      </c>
      <c r="BG23" s="13">
        <f>'Bloom Cleaner Data'!Y23+'OPERATING LEASES'!AZ23</f>
        <v>52997.611721428228</v>
      </c>
      <c r="BH23" s="13">
        <f>'Bloom Cleaner Data'!Z23+'OPERATING LEASES'!BA23</f>
        <v>76195.471112391271</v>
      </c>
      <c r="BI23" s="13">
        <f>'Bloom Cleaner Data'!AA23+'OPERATING LEASES'!BB23</f>
        <v>74521.330503354315</v>
      </c>
      <c r="BJ23" s="13">
        <f>'Bloom Cleaner Data'!AB23+'OPERATING LEASES'!BC23</f>
        <v>73697.189894317358</v>
      </c>
      <c r="BK23" s="13">
        <f>'Bloom Cleaner Data'!AC23+'OPERATING LEASES'!BD23</f>
        <v>82621.049285280402</v>
      </c>
      <c r="BL23" s="13">
        <f>'Bloom Cleaner Data'!AD23+'OPERATING LEASES'!BE23</f>
        <v>81961.908676243445</v>
      </c>
      <c r="BM23" s="13">
        <f>'Bloom Cleaner Data'!AE23+'OPERATING LEASES'!BF23</f>
        <v>79435.768067206489</v>
      </c>
      <c r="BN23" s="13">
        <f>'Bloom Cleaner Data'!AF23+'OPERATING LEASES'!BG23</f>
        <v>68115.627458169532</v>
      </c>
      <c r="BO23" s="13">
        <f>'Bloom Cleaner Data'!AG23+'OPERATING LEASES'!BH23</f>
        <v>64048.62745816954</v>
      </c>
      <c r="BP23" s="13">
        <f>'Bloom Cleaner Data'!AH23+'OPERATING LEASES'!BI23</f>
        <v>74692.627458169532</v>
      </c>
      <c r="BQ23" s="13"/>
      <c r="BR23" s="1099">
        <f t="shared" si="50"/>
        <v>69479.921856445697</v>
      </c>
      <c r="BS23" s="10">
        <f t="shared" si="51"/>
        <v>0.21024209330027152</v>
      </c>
      <c r="BT23" s="10"/>
      <c r="BU23" s="13">
        <f>'Bloom Cleaner Data'!BU23+'OPERATING LEASES'!AU23</f>
        <v>296721.6461740227</v>
      </c>
      <c r="BV23" s="13">
        <f>'Bloom Cleaner Data'!BV23+'OPERATING LEASES'!AV23</f>
        <v>292752.18913813331</v>
      </c>
      <c r="BW23" s="13">
        <f>'Bloom Cleaner Data'!BW23+'OPERATING LEASES'!AW23</f>
        <v>295213.60600224393</v>
      </c>
      <c r="BX23" s="13">
        <f>'Bloom Cleaner Data'!BX23+'OPERATING LEASES'!AX23</f>
        <v>308884.87636635458</v>
      </c>
      <c r="BY23" s="13">
        <f>'Bloom Cleaner Data'!BY23+'OPERATING LEASES'!AY23</f>
        <v>302830.12183046516</v>
      </c>
      <c r="BZ23" s="13">
        <f>'Bloom Cleaner Data'!BZ23+'OPERATING LEASES'!AZ23</f>
        <v>295651.7484214282</v>
      </c>
      <c r="CA23" s="13">
        <f>'Bloom Cleaner Data'!CA23+'OPERATING LEASES'!BA23</f>
        <v>283987.41511239129</v>
      </c>
      <c r="CB23" s="13">
        <f>'Bloom Cleaner Data'!CB23+'OPERATING LEASES'!BB23</f>
        <v>279999.4099033543</v>
      </c>
      <c r="CC23" s="13">
        <f>'Bloom Cleaner Data'!CC23+'OPERATING LEASES'!BC23</f>
        <v>283568.25509431737</v>
      </c>
      <c r="CD23" s="13">
        <f>'Bloom Cleaner Data'!CD23+'OPERATING LEASES'!BD23</f>
        <v>287089.17118528043</v>
      </c>
      <c r="CE23" s="13">
        <f>'Bloom Cleaner Data'!CE23+'OPERATING LEASES'!BE23</f>
        <v>277128.25887624343</v>
      </c>
      <c r="CF23" s="13">
        <f>'Bloom Cleaner Data'!CF23+'OPERATING LEASES'!BF23</f>
        <v>287969.18686720647</v>
      </c>
      <c r="CG23" s="13">
        <f>'Bloom Cleaner Data'!CG23+'OPERATING LEASES'!BG23</f>
        <v>262855.16295816953</v>
      </c>
      <c r="CH23" s="13">
        <f>'Bloom Cleaner Data'!CH23+'OPERATING LEASES'!BH23</f>
        <v>269870.48255816952</v>
      </c>
      <c r="CI23" s="13">
        <f>'Bloom Cleaner Data'!CI23+'OPERATING LEASES'!BI23</f>
        <v>268086.24455816956</v>
      </c>
      <c r="CJ23" s="13"/>
      <c r="CK23" s="1099">
        <f t="shared" si="52"/>
        <v>284856.45690259949</v>
      </c>
      <c r="CL23" s="10">
        <f t="shared" si="53"/>
        <v>-9.1890620528744096E-2</v>
      </c>
      <c r="CM23" s="18">
        <f t="shared" si="54"/>
        <v>2.3466178796828715E-2</v>
      </c>
      <c r="CN23" s="13"/>
      <c r="CO23" s="18">
        <f>$CO$1*BU23/('Bloom Cleaner Data'!D23+'Bloom Cleaner Data'!T23+'OPERATING LEASES'!AU23)+(1-$CO$1)*'Bloom Cleaner Data'!BU23/('Bloom Cleaner Data'!D23+'Bloom Cleaner Data'!T23)-1</f>
        <v>2.461026159895674E-2</v>
      </c>
      <c r="CP23" s="18">
        <f>$CO$1*BV23/('Bloom Cleaner Data'!E23+'Bloom Cleaner Data'!U23+'OPERATING LEASES'!AV23)+(1-$CO$1)*'Bloom Cleaner Data'!BV23/('Bloom Cleaner Data'!E23+'Bloom Cleaner Data'!U23)-1</f>
        <v>2.6663235560936194E-2</v>
      </c>
      <c r="CQ23" s="18">
        <f>$CO$1*BW23/('Bloom Cleaner Data'!F23+'Bloom Cleaner Data'!V23+'OPERATING LEASES'!AW23)+(1-$CO$1)*'Bloom Cleaner Data'!BW23/('Bloom Cleaner Data'!F23+'Bloom Cleaner Data'!V23)-1</f>
        <v>2.5718212350138048E-2</v>
      </c>
      <c r="CR23" s="18">
        <f>$CO$1*BX23/('Bloom Cleaner Data'!G23+'Bloom Cleaner Data'!W23+'OPERATING LEASES'!AX23)+(1-$CO$1)*'Bloom Cleaner Data'!BX23/('Bloom Cleaner Data'!G23+'Bloom Cleaner Data'!W23)-1</f>
        <v>2.387275037531178E-2</v>
      </c>
      <c r="CS23" s="18">
        <f>$CO$1*BY23/('Bloom Cleaner Data'!H23+'Bloom Cleaner Data'!X23+'OPERATING LEASES'!AY23)+(1-$CO$1)*'Bloom Cleaner Data'!BY23/('Bloom Cleaner Data'!H23+'Bloom Cleaner Data'!X23)-1</f>
        <v>2.2825519532938765E-2</v>
      </c>
      <c r="CT23" s="18">
        <f>$CO$1*BZ23/('Bloom Cleaner Data'!I23+'Bloom Cleaner Data'!Y23+'OPERATING LEASES'!AZ23)+(1-$CO$1)*'Bloom Cleaner Data'!BZ23/('Bloom Cleaner Data'!I23+'Bloom Cleaner Data'!Y23)-1</f>
        <v>2.2295699952698866E-2</v>
      </c>
      <c r="CU23" s="18">
        <f>$CO$1*CA23/('Bloom Cleaner Data'!J23+'Bloom Cleaner Data'!Z23+'OPERATING LEASES'!BA23)+(1-$CO$1)*'Bloom Cleaner Data'!CA23/('Bloom Cleaner Data'!J23+'Bloom Cleaner Data'!Z23)-1</f>
        <v>2.4813124342825121E-2</v>
      </c>
      <c r="CV23" s="18">
        <f>$CO$1*CB23/('Bloom Cleaner Data'!K23+'Bloom Cleaner Data'!AA23+'OPERATING LEASES'!BB23)+(1-$CO$1)*'Bloom Cleaner Data'!CB23/('Bloom Cleaner Data'!K23+'Bloom Cleaner Data'!AA23)-1</f>
        <v>2.8855791273486808E-2</v>
      </c>
      <c r="CW23" s="18">
        <f>$CO$1*CC23/('Bloom Cleaner Data'!L23+'Bloom Cleaner Data'!AB23+'OPERATING LEASES'!BC23)+(1-$CO$1)*'Bloom Cleaner Data'!CC23/('Bloom Cleaner Data'!L23+'Bloom Cleaner Data'!AB23)-1</f>
        <v>2.6620542726683238E-2</v>
      </c>
      <c r="CX23" s="18">
        <f>$CO$1*CD23/('Bloom Cleaner Data'!M23+'Bloom Cleaner Data'!AC23+'OPERATING LEASES'!BD23)+(1-$CO$1)*'Bloom Cleaner Data'!CD23/('Bloom Cleaner Data'!M23+'Bloom Cleaner Data'!AC23)-1</f>
        <v>1.6564500548496008E-2</v>
      </c>
      <c r="CY23" s="18">
        <f>$CO$1*CE23/('Bloom Cleaner Data'!N23+'Bloom Cleaner Data'!AD23+'OPERATING LEASES'!BE23)+(1-$CO$1)*'Bloom Cleaner Data'!CE23/('Bloom Cleaner Data'!N23+'Bloom Cleaner Data'!AD23)-1</f>
        <v>1.5102273183202675E-2</v>
      </c>
      <c r="CZ23" s="18">
        <f>$CO$1*CF23/('Bloom Cleaner Data'!O23+'Bloom Cleaner Data'!AE23+'OPERATING LEASES'!BF23)+(1-$CO$1)*'Bloom Cleaner Data'!CF23/('Bloom Cleaner Data'!O23+'Bloom Cleaner Data'!AE23)-1</f>
        <v>1.339727865262752E-2</v>
      </c>
      <c r="DA23" s="18">
        <f>$CO$1*CG23/('Bloom Cleaner Data'!P23+'Bloom Cleaner Data'!AF23+'OPERATING LEASES'!BG23)+(1-$CO$1)*'Bloom Cleaner Data'!CG23/('Bloom Cleaner Data'!P23+'Bloom Cleaner Data'!AF23)-1</f>
        <v>1.5280080301530941E-2</v>
      </c>
      <c r="DB23" s="18">
        <f>$CO$1*CH23/('Bloom Cleaner Data'!Q23+'Bloom Cleaner Data'!AG23+'OPERATING LEASES'!BH23)+(1-$CO$1)*'Bloom Cleaner Data'!CH23/('Bloom Cleaner Data'!Q23+'Bloom Cleaner Data'!AG23)-1</f>
        <v>1.6356122380095206E-2</v>
      </c>
      <c r="DC23" s="18">
        <f>$CO$1*CI23/('Bloom Cleaner Data'!R23+'Bloom Cleaner Data'!AH23+'OPERATING LEASES'!BI23)+(1-$CO$1)*'Bloom Cleaner Data'!CI23/('Bloom Cleaner Data'!R23+'Bloom Cleaner Data'!AH23)-1</f>
        <v>1.5296505012799777E-2</v>
      </c>
      <c r="DD23" s="18"/>
      <c r="DE23" s="18">
        <f t="shared" si="55"/>
        <v>2.0538338510218059E-2</v>
      </c>
      <c r="DF23" s="13"/>
      <c r="DG23" s="2203">
        <f>AVERAGE('Bloom Cleaner Data'!GX23:HJ23)</f>
        <v>36774.407060527075</v>
      </c>
      <c r="DH23" s="2124">
        <f>('Bloom Cleaner Data'!HJ23-'Bloom Cleaner Data'!GX23)/'Bloom Cleaner Data'!GX23</f>
        <v>-0.10909869884550361</v>
      </c>
      <c r="DI23" s="2124">
        <f>('Bloom Cleaner Data'!HJ23+'Bloom Cleaner Data'!HI23-'Bloom Cleaner Data'!GX23-'Bloom Cleaner Data'!GW23)/('Bloom Cleaner Data'!GX23+'Bloom Cleaner Data'!GW23)</f>
        <v>-8.7494053465624291E-2</v>
      </c>
      <c r="DJ23" s="13"/>
      <c r="DK23" s="13">
        <f>'Bloom Cleaner Data'!GV23+'OPERATING LEASES'!BL23</f>
        <v>38274.75565929147</v>
      </c>
      <c r="DL23" s="13">
        <f>'Bloom Cleaner Data'!GW23+'OPERATING LEASES'!BM23</f>
        <v>38300.711432403987</v>
      </c>
      <c r="DM23" s="13">
        <f>'Bloom Cleaner Data'!GX23+'OPERATING LEASES'!BN23</f>
        <v>39200.247989181604</v>
      </c>
      <c r="DN23" s="13">
        <f>'Bloom Cleaner Data'!GY23+'OPERATING LEASES'!BO23</f>
        <v>40251.449204553879</v>
      </c>
      <c r="DO23" s="13">
        <f>'Bloom Cleaner Data'!GZ23+'OPERATING LEASES'!BP23</f>
        <v>38675.27375402287</v>
      </c>
      <c r="DP23" s="13">
        <f>'Bloom Cleaner Data'!HA23+'OPERATING LEASES'!BQ23</f>
        <v>38804.532415068541</v>
      </c>
      <c r="DQ23" s="13">
        <f>'Bloom Cleaner Data'!HB23+'OPERATING LEASES'!BR23</f>
        <v>38270.445038990583</v>
      </c>
      <c r="DR23" s="13">
        <f>'Bloom Cleaner Data'!HC23+'OPERATING LEASES'!BS23</f>
        <v>37658.954546235633</v>
      </c>
      <c r="DS23" s="13">
        <f>'Bloom Cleaner Data'!HD23+'OPERATING LEASES'!BT23</f>
        <v>38078.264027537865</v>
      </c>
      <c r="DT23" s="13">
        <f>'Bloom Cleaner Data'!HE23+'OPERATING LEASES'!BU23</f>
        <v>37970.40529186224</v>
      </c>
      <c r="DU23" s="13">
        <f>'Bloom Cleaner Data'!HF23+'OPERATING LEASES'!BV23</f>
        <v>38197.870922418064</v>
      </c>
      <c r="DV23" s="13">
        <f>'Bloom Cleaner Data'!HG23+'OPERATING LEASES'!BW23</f>
        <v>37387.145927393271</v>
      </c>
      <c r="DW23" s="13">
        <f>'Bloom Cleaner Data'!HH23+'OPERATING LEASES'!BX23</f>
        <v>35970.342595626178</v>
      </c>
      <c r="DX23" s="13">
        <f>'Bloom Cleaner Data'!HI23+'OPERATING LEASES'!BY23</f>
        <v>35624.046116249388</v>
      </c>
      <c r="DY23" s="13">
        <f>'Bloom Cleaner Data'!HJ23+'OPERATING LEASES'!BZ23</f>
        <v>34863.300564854639</v>
      </c>
      <c r="DZ23" s="13"/>
      <c r="EA23" s="1099">
        <f t="shared" si="56"/>
        <v>37765.559876461142</v>
      </c>
      <c r="EB23" s="10">
        <f t="shared" si="57"/>
        <v>-0.11063571397619387</v>
      </c>
      <c r="EC23" s="18">
        <f t="shared" si="58"/>
        <v>2.6952244649457606E-2</v>
      </c>
      <c r="ED23" s="18">
        <f>(AVERAGE(DV23:DY23)-AVERAGE('Bloom Cleaner Data'!HG23:HJ23))/AVERAGE('Bloom Cleaner Data'!HG23:HJ23)</f>
        <v>2.7242245434465982E-2</v>
      </c>
      <c r="EE23" s="165"/>
      <c r="EF23" s="22">
        <f>'Bloom Cleaner Data'!DT23</f>
        <v>2.6749999999999998</v>
      </c>
      <c r="EG23" s="22">
        <f>'Bloom Cleaner Data'!DX23</f>
        <v>2.6560000000000001</v>
      </c>
      <c r="EH23" s="22">
        <f>'Bloom Cleaner Data'!EB23</f>
        <v>2.5550999999999999</v>
      </c>
      <c r="EI23" s="22">
        <f>'Bloom Cleaner Data'!EF23</f>
        <v>2.548</v>
      </c>
      <c r="EJ23" s="22"/>
      <c r="EK23" s="22">
        <f>AVERAGE('Bloom Cleaner Data'!DT23:EF23)</f>
        <v>2.6416384615384612</v>
      </c>
      <c r="EL23" s="2124">
        <f t="shared" si="5"/>
        <v>-4.7476635514018616E-2</v>
      </c>
      <c r="EM23" s="13"/>
      <c r="EN23" s="15">
        <f>'Bloom Cleaner Data'!DA23</f>
        <v>7.819</v>
      </c>
      <c r="EO23" s="15">
        <f>'Bloom Cleaner Data'!DB23</f>
        <v>7.6972000000000005</v>
      </c>
      <c r="EP23" s="15">
        <f>'Bloom Cleaner Data'!DC23</f>
        <v>7.5711000000000004</v>
      </c>
      <c r="EQ23" s="15">
        <f>'Bloom Cleaner Data'!DD23</f>
        <v>7.7084999999999999</v>
      </c>
      <c r="ER23" s="15">
        <f>'Bloom Cleaner Data'!DE23</f>
        <v>7.8613</v>
      </c>
      <c r="ES23" s="15">
        <f>'Bloom Cleaner Data'!DF23</f>
        <v>7.6444000000000001</v>
      </c>
      <c r="ET23" s="15">
        <f>'Bloom Cleaner Data'!DG23</f>
        <v>7.4409000000000001</v>
      </c>
      <c r="EU23" s="15">
        <f>'Bloom Cleaner Data'!DH23</f>
        <v>7.4561000000000002</v>
      </c>
      <c r="EV23" s="15">
        <f>'Bloom Cleaner Data'!DI23</f>
        <v>7.4679000000000002</v>
      </c>
      <c r="EW23" s="15">
        <f>'Bloom Cleaner Data'!DJ23</f>
        <v>7.5846999999999998</v>
      </c>
      <c r="EX23" s="15">
        <f>'Bloom Cleaner Data'!DK23</f>
        <v>7.2706999999999997</v>
      </c>
      <c r="EY23" s="15">
        <f>'Bloom Cleaner Data'!DL23</f>
        <v>7.73</v>
      </c>
      <c r="EZ23" s="15">
        <f>'Bloom Cleaner Data'!DM23</f>
        <v>7.3254000000000001</v>
      </c>
      <c r="FA23" s="15">
        <f>'Bloom Cleaner Data'!DN23</f>
        <v>7.6009000000000002</v>
      </c>
      <c r="FB23" s="15">
        <f>'Bloom Cleaner Data'!DO23</f>
        <v>7.7187999999999999</v>
      </c>
      <c r="FC23" s="15"/>
      <c r="FD23" s="15">
        <f t="shared" si="59"/>
        <v>7.5677461538461541</v>
      </c>
      <c r="FE23" s="18">
        <f t="shared" si="6"/>
        <v>1.950839376048388E-2</v>
      </c>
      <c r="FF23" s="15">
        <f t="shared" si="60"/>
        <v>7.5239799999999999</v>
      </c>
      <c r="FG23" s="2206"/>
      <c r="FH23" s="15">
        <f>('Bloom Cleaner Data'!BU23+'OPERATING LEASES'!AU23)/DK23</f>
        <v>7.7524112450340725</v>
      </c>
      <c r="FI23" s="15">
        <f>('Bloom Cleaner Data'!BV23+'OPERATING LEASES'!AV23)/DL23</f>
        <v>7.6435183104837279</v>
      </c>
      <c r="FJ23" s="15">
        <f>('Bloom Cleaner Data'!BW23+'OPERATING LEASES'!AW23)/DM23</f>
        <v>7.5309116943269423</v>
      </c>
      <c r="FK23" s="15">
        <f>('Bloom Cleaner Data'!BX23+'OPERATING LEASES'!AX23)/DN23</f>
        <v>7.6738821202842225</v>
      </c>
      <c r="FL23" s="15">
        <f>('Bloom Cleaner Data'!BY23+'OPERATING LEASES'!AY23)/DO23</f>
        <v>7.8300705447227976</v>
      </c>
      <c r="FM23" s="15">
        <f>('Bloom Cleaner Data'!BZ23+'OPERATING LEASES'!AZ23)/DP23</f>
        <v>7.6190004110607701</v>
      </c>
      <c r="FN23" s="15">
        <f>('Bloom Cleaner Data'!CA23+'OPERATING LEASES'!BA23)/DQ23</f>
        <v>7.4205412250382787</v>
      </c>
      <c r="FO23" s="15">
        <f>('Bloom Cleaner Data'!CB23+'OPERATING LEASES'!BB23)/DR23</f>
        <v>7.4351349706106715</v>
      </c>
      <c r="FP23" s="15">
        <f>('Bloom Cleaner Data'!CC23+'OPERATING LEASES'!BC23)/DS23</f>
        <v>7.4469848438795241</v>
      </c>
      <c r="FQ23" s="15">
        <f>('Bloom Cleaner Data'!CD23+'OPERATING LEASES'!BD23)/DT23</f>
        <v>7.560866653346177</v>
      </c>
      <c r="FR23" s="15">
        <f>('Bloom Cleaner Data'!CE23+'OPERATING LEASES'!BE23)/DU23</f>
        <v>7.2550708242117965</v>
      </c>
      <c r="FS23" s="15">
        <f>('Bloom Cleaner Data'!CF23+'OPERATING LEASES'!BF23)/DV23</f>
        <v>7.7023581159805437</v>
      </c>
      <c r="FT23" s="15">
        <f>('Bloom Cleaner Data'!CG23+'OPERATING LEASES'!BG23)/DW23</f>
        <v>7.307552388731807</v>
      </c>
      <c r="FU23" s="15">
        <f>('Bloom Cleaner Data'!CH23+'OPERATING LEASES'!BH23)/DX23</f>
        <v>7.5755146306941263</v>
      </c>
      <c r="FV23" s="15">
        <f>('Bloom Cleaner Data'!CI23+'OPERATING LEASES'!BI23)/DY23</f>
        <v>7.6896404016441506</v>
      </c>
      <c r="FW23" s="15"/>
      <c r="FX23" s="506">
        <f t="shared" si="61"/>
        <v>7.5421176018870622</v>
      </c>
      <c r="FY23" s="10">
        <f t="shared" si="62"/>
        <v>2.1076957712408067E-2</v>
      </c>
      <c r="FZ23" s="15">
        <f t="shared" si="7"/>
        <v>-2.5628551959091972E-2</v>
      </c>
      <c r="GA23" s="15">
        <f t="shared" si="63"/>
        <v>7.5012664465197858</v>
      </c>
      <c r="GB23" s="15">
        <f t="shared" si="64"/>
        <v>-2.2713553480214088E-2</v>
      </c>
      <c r="GC23" s="15">
        <f t="shared" si="8"/>
        <v>-2.3132727747515958E-2</v>
      </c>
      <c r="GD23" s="13"/>
      <c r="GE23" s="15">
        <f t="shared" si="9"/>
        <v>7.7524112450340725</v>
      </c>
      <c r="GF23" s="15">
        <f t="shared" si="10"/>
        <v>7.6435183104837279</v>
      </c>
      <c r="GG23" s="15">
        <f t="shared" si="11"/>
        <v>7.5309116943269423</v>
      </c>
      <c r="GH23" s="15">
        <f t="shared" si="12"/>
        <v>7.6738821202842225</v>
      </c>
      <c r="GI23" s="15">
        <f t="shared" si="13"/>
        <v>7.8300705447227976</v>
      </c>
      <c r="GJ23" s="15">
        <f t="shared" si="14"/>
        <v>7.6190004110607701</v>
      </c>
      <c r="GK23" s="15">
        <f t="shared" si="15"/>
        <v>7.4205412250382787</v>
      </c>
      <c r="GL23" s="15">
        <f t="shared" si="16"/>
        <v>7.4351349706106715</v>
      </c>
      <c r="GM23" s="15">
        <f t="shared" si="17"/>
        <v>7.4469848438795241</v>
      </c>
      <c r="GN23" s="15">
        <f t="shared" si="18"/>
        <v>7.560866653346177</v>
      </c>
      <c r="GO23" s="15">
        <f t="shared" si="19"/>
        <v>7.2550708242117965</v>
      </c>
      <c r="GP23" s="15">
        <f t="shared" si="20"/>
        <v>7.7023581159805437</v>
      </c>
      <c r="GQ23" s="15">
        <f t="shared" si="21"/>
        <v>7.307552388731807</v>
      </c>
      <c r="GR23" s="15">
        <f t="shared" si="22"/>
        <v>7.5755146306941263</v>
      </c>
      <c r="GS23" s="15">
        <f t="shared" si="23"/>
        <v>7.6896404016441506</v>
      </c>
      <c r="GT23" s="15"/>
      <c r="GU23" s="15">
        <f t="shared" si="65"/>
        <v>7.5628972253366413</v>
      </c>
      <c r="GV23" s="10">
        <f t="shared" si="66"/>
        <v>2.1076957712408067E-2</v>
      </c>
      <c r="GW23" s="506">
        <f t="shared" si="67"/>
        <v>7.5012664465197858</v>
      </c>
      <c r="GX23" s="2057"/>
      <c r="GY23" s="10">
        <f>'Bloom Cleaner Data'!T23/('Bloom Cleaner Data'!T23+'Bloom Cleaner Data'!D23)</f>
        <v>0.17487362058508851</v>
      </c>
      <c r="GZ23" s="10">
        <f>'Bloom Cleaner Data'!U23/('Bloom Cleaner Data'!U23+'Bloom Cleaner Data'!E23)</f>
        <v>0.171949315579423</v>
      </c>
      <c r="HA23" s="10">
        <f>'Bloom Cleaner Data'!V23/('Bloom Cleaner Data'!V23+'Bloom Cleaner Data'!F23)</f>
        <v>0.19476996626321205</v>
      </c>
      <c r="HB23" s="10">
        <f>'Bloom Cleaner Data'!W23/('Bloom Cleaner Data'!W23+'Bloom Cleaner Data'!G23)</f>
        <v>0.16845913688819275</v>
      </c>
      <c r="HC23" s="10">
        <f>'Bloom Cleaner Data'!X23/('Bloom Cleaner Data'!X23+'Bloom Cleaner Data'!H23)</f>
        <v>0.17306919408268159</v>
      </c>
      <c r="HD23" s="10">
        <f>'Bloom Cleaner Data'!Y23/('Bloom Cleaner Data'!Y23+'Bloom Cleaner Data'!I23)</f>
        <v>0.16417722938883428</v>
      </c>
      <c r="HE23" s="10">
        <f>'Bloom Cleaner Data'!Z23/('Bloom Cleaner Data'!Z23+'Bloom Cleaner Data'!J23)</f>
        <v>0.25737672071638173</v>
      </c>
      <c r="HF23" s="10">
        <f>'Bloom Cleaner Data'!AA23/('Bloom Cleaner Data'!AA23+'Bloom Cleaner Data'!K23)</f>
        <v>0.25599152056031982</v>
      </c>
      <c r="HG23" s="10">
        <f>'Bloom Cleaner Data'!AB23/('Bloom Cleaner Data'!AB23+'Bloom Cleaner Data'!L23)</f>
        <v>0.24917967201704444</v>
      </c>
      <c r="HH23" s="10">
        <f>'Bloom Cleaner Data'!AC23/('Bloom Cleaner Data'!AC23+'Bloom Cleaner Data'!M23)</f>
        <v>0.27602601201041127</v>
      </c>
      <c r="HI23" s="10">
        <f>'Bloom Cleaner Data'!AD23/('Bloom Cleaner Data'!AD23+'Bloom Cleaner Data'!N23)</f>
        <v>0.28339579044916141</v>
      </c>
      <c r="HJ23" s="10">
        <f>'Bloom Cleaner Data'!AE23/('Bloom Cleaner Data'!AE23+'Bloom Cleaner Data'!O23)</f>
        <v>0.26301843064142427</v>
      </c>
      <c r="HK23" s="10">
        <f>'Bloom Cleaner Data'!AF23/('Bloom Cleaner Data'!AF23+'Bloom Cleaner Data'!P23)</f>
        <v>0.24461769844286613</v>
      </c>
      <c r="HL23" s="10">
        <f>'Bloom Cleaner Data'!AG23/('Bloom Cleaner Data'!AG23+'Bloom Cleaner Data'!Q23)</f>
        <v>0.22267117396642327</v>
      </c>
      <c r="HM23" s="10">
        <f>'Bloom Cleaner Data'!AH23/('Bloom Cleaner Data'!AH23+'Bloom Cleaner Data'!R23)</f>
        <v>0.26525179681706468</v>
      </c>
      <c r="HN23" s="15"/>
      <c r="HO23" s="10">
        <f t="shared" si="68"/>
        <v>0.23215418017261674</v>
      </c>
      <c r="HP23" s="10">
        <f t="shared" si="69"/>
        <v>0.36187217108516367</v>
      </c>
      <c r="HQ23" s="10"/>
      <c r="HR23" s="479">
        <f t="shared" si="24"/>
        <v>0.21193555914318188</v>
      </c>
      <c r="HS23" s="480">
        <f t="shared" si="25"/>
        <v>0.20765554429768196</v>
      </c>
      <c r="HT23" s="480">
        <f t="shared" si="26"/>
        <v>0.24188114961305343</v>
      </c>
      <c r="HU23" s="480">
        <f t="shared" si="27"/>
        <v>0.20258672106357095</v>
      </c>
      <c r="HV23" s="480">
        <f t="shared" si="28"/>
        <v>0.20929102271222691</v>
      </c>
      <c r="HW23" s="480">
        <f t="shared" si="29"/>
        <v>0.19642588735502564</v>
      </c>
      <c r="HX23" s="480">
        <f t="shared" si="30"/>
        <v>0.346577770851277</v>
      </c>
      <c r="HY23" s="480">
        <f t="shared" si="31"/>
        <v>0.34407070300208065</v>
      </c>
      <c r="HZ23" s="480">
        <f t="shared" si="32"/>
        <v>0.33187656584426029</v>
      </c>
      <c r="IA23" s="480">
        <f t="shared" si="33"/>
        <v>0.3812650959696921</v>
      </c>
      <c r="IB23" s="480">
        <f t="shared" si="34"/>
        <v>0.39547045171112166</v>
      </c>
      <c r="IC23" s="480">
        <f t="shared" si="35"/>
        <v>0.35688603565804183</v>
      </c>
      <c r="ID23" s="480">
        <f t="shared" si="36"/>
        <v>0.32383297561859048</v>
      </c>
      <c r="IE23" s="480">
        <f t="shared" si="37"/>
        <v>0.28645685906520724</v>
      </c>
      <c r="IF23" s="481">
        <f t="shared" si="38"/>
        <v>0.36101047361258143</v>
      </c>
      <c r="IG23" s="15"/>
      <c r="IH23" s="10">
        <f t="shared" si="70"/>
        <v>0.30597167015974841</v>
      </c>
      <c r="II23" s="10">
        <f t="shared" si="71"/>
        <v>0.49251181495583163</v>
      </c>
      <c r="IJ23" s="10"/>
      <c r="IK23" s="18">
        <f>('Bloom Cleaner Data'!T23+'OPERATING LEASES'!AU23)/('Bloom Cleaner Data'!T23+'OPERATING LEASES'!AU23+'Bloom Cleaner Data'!D23)</f>
        <v>0.19601342919824533</v>
      </c>
      <c r="IL23" s="18">
        <f>('Bloom Cleaner Data'!U23+'OPERATING LEASES'!AV23)/('Bloom Cleaner Data'!U23+'OPERATING LEASES'!AV23+'Bloom Cleaner Data'!E23)</f>
        <v>0.19292801780152893</v>
      </c>
      <c r="IM23" s="18">
        <f>('Bloom Cleaner Data'!V23+'OPERATING LEASES'!AW23)/('Bloom Cleaner Data'!V23+'OPERATING LEASES'!AW23+'Bloom Cleaner Data'!F23)</f>
        <v>0.21443574447711036</v>
      </c>
      <c r="IN23" s="18">
        <f>('Bloom Cleaner Data'!W23+'OPERATING LEASES'!AX23)/('Bloom Cleaner Data'!W23+'OPERATING LEASES'!AX23+'Bloom Cleaner Data'!G23)</f>
        <v>0.18729576185072533</v>
      </c>
      <c r="IO23" s="18">
        <f>('Bloom Cleaner Data'!X23+'OPERATING LEASES'!AY23)/('Bloom Cleaner Data'!X23+'OPERATING LEASES'!AY23+'Bloom Cleaner Data'!H23)</f>
        <v>0.19161126005287984</v>
      </c>
      <c r="IP23" s="18">
        <f>('Bloom Cleaner Data'!Y23+'OPERATING LEASES'!AZ23)/('Bloom Cleaner Data'!Y23+'OPERATING LEASES'!AZ23+'Bloom Cleaner Data'!I23)</f>
        <v>0.18325354360276136</v>
      </c>
      <c r="IQ23" s="18">
        <f>('Bloom Cleaner Data'!Z23+'OPERATING LEASES'!BA23)/('Bloom Cleaner Data'!Z23+'OPERATING LEASES'!BA23+'Bloom Cleaner Data'!J23)</f>
        <v>0.27496330702034705</v>
      </c>
      <c r="IR23" s="18">
        <f>('Bloom Cleaner Data'!AA23+'OPERATING LEASES'!BB23)/('Bloom Cleaner Data'!AA23+'OPERATING LEASES'!BB23+'Bloom Cleaner Data'!K23)</f>
        <v>0.27382808588148794</v>
      </c>
      <c r="IS23" s="18">
        <f>('Bloom Cleaner Data'!AB23+'OPERATING LEASES'!BC23)/('Bloom Cleaner Data'!AB23+'OPERATING LEASES'!BC23+'Bloom Cleaner Data'!L23)</f>
        <v>0.26681071568314529</v>
      </c>
      <c r="IT23" s="18">
        <f>('Bloom Cleaner Data'!AC23+'OPERATING LEASES'!BD23)/('Bloom Cleaner Data'!AC23+'OPERATING LEASES'!BD23+'Bloom Cleaner Data'!M23)</f>
        <v>0.29255588204432437</v>
      </c>
      <c r="IU23" s="18">
        <f>('Bloom Cleaner Data'!AD23+'OPERATING LEASES'!BE23)/('Bloom Cleaner Data'!AD23+'OPERATING LEASES'!BE23+'Bloom Cleaner Data'!N23)</f>
        <v>0.3002209884660052</v>
      </c>
      <c r="IV23" s="18">
        <f>('Bloom Cleaner Data'!AE23+'OPERATING LEASES'!BF23)/('Bloom Cleaner Data'!AE23+'OPERATING LEASES'!BF23+'Bloom Cleaner Data'!O23)</f>
        <v>0.27954376668816983</v>
      </c>
      <c r="IW23" s="18">
        <f>('Bloom Cleaner Data'!AF23+'OPERATING LEASES'!BG23)/('Bloom Cleaner Data'!AF23+'OPERATING LEASES'!BG23+'Bloom Cleaner Data'!P23)</f>
        <v>0.26309713279828179</v>
      </c>
      <c r="IX23" s="18">
        <f>('Bloom Cleaner Data'!AG23+'OPERATING LEASES'!BH23)/('Bloom Cleaner Data'!AG23+'OPERATING LEASES'!BH23+'Bloom Cleaner Data'!Q23)</f>
        <v>0.24121279967371478</v>
      </c>
      <c r="IY23" s="18">
        <f>('Bloom Cleaner Data'!AH23+'OPERATING LEASES'!BI23)/('Bloom Cleaner Data'!AH23+'OPERATING LEASES'!BI23+'Bloom Cleaner Data'!R23)</f>
        <v>0.28287599661626001</v>
      </c>
      <c r="IZ23" s="15"/>
      <c r="JA23" s="10">
        <f t="shared" si="72"/>
        <v>0.2501311526811702</v>
      </c>
      <c r="JB23" s="10">
        <f t="shared" si="73"/>
        <v>0.31916438327965047</v>
      </c>
      <c r="JC23" s="10">
        <f t="shared" si="39"/>
        <v>1.7976972508553457E-2</v>
      </c>
      <c r="JD23" s="10">
        <f t="shared" si="40"/>
        <v>7.7435489187344358E-2</v>
      </c>
      <c r="JE23" s="7"/>
      <c r="JF23" s="485">
        <f t="shared" si="74"/>
        <v>0.24380186972871457</v>
      </c>
      <c r="JG23" s="452">
        <f t="shared" si="131"/>
        <v>0.23904685338721751</v>
      </c>
      <c r="JH23" s="452">
        <f t="shared" si="132"/>
        <v>0.27297034325266872</v>
      </c>
      <c r="JI23" s="452">
        <f t="shared" si="133"/>
        <v>0.23045993001985984</v>
      </c>
      <c r="JJ23" s="452">
        <f t="shared" si="134"/>
        <v>0.23702861084558635</v>
      </c>
      <c r="JK23" s="452">
        <f t="shared" si="135"/>
        <v>0.22437017285769875</v>
      </c>
      <c r="JL23" s="452">
        <f t="shared" si="136"/>
        <v>0.37924054007576063</v>
      </c>
      <c r="JM23" s="452">
        <f t="shared" si="137"/>
        <v>0.37708437982469101</v>
      </c>
      <c r="JN23" s="452">
        <f t="shared" si="138"/>
        <v>0.36390427600390368</v>
      </c>
      <c r="JO23" s="452">
        <f t="shared" si="139"/>
        <v>0.41353921054532566</v>
      </c>
      <c r="JP23" s="452">
        <f t="shared" si="140"/>
        <v>0.42902256786451315</v>
      </c>
      <c r="JQ23" s="452">
        <f t="shared" si="141"/>
        <v>0.38800936651370022</v>
      </c>
      <c r="JR23" s="452">
        <f t="shared" si="142"/>
        <v>0.35703095280027208</v>
      </c>
      <c r="JS23" s="452">
        <f t="shared" si="143"/>
        <v>0.31789255218062606</v>
      </c>
      <c r="JT23" s="486">
        <f t="shared" si="144"/>
        <v>0.39445897122605489</v>
      </c>
      <c r="JU23" s="15"/>
      <c r="JV23" s="10">
        <f t="shared" si="75"/>
        <v>0.33730860569312776</v>
      </c>
      <c r="JW23" s="10">
        <f t="shared" si="76"/>
        <v>0.44506163756013967</v>
      </c>
      <c r="JX23" s="10">
        <f t="shared" si="77"/>
        <v>3.1336935533379351E-2</v>
      </c>
      <c r="JY23" s="10">
        <f t="shared" si="78"/>
        <v>0.10241776801433373</v>
      </c>
      <c r="JZ23" s="7"/>
      <c r="KA23" s="15">
        <f>'Bloom Cleaner Data'!T23/'Bloom Cleaner Data'!BU23*'Bloom Cleaner Data'!DA23</f>
        <v>1.3336523065889581</v>
      </c>
      <c r="KB23" s="15">
        <f>'Bloom Cleaner Data'!U23/'Bloom Cleaner Data'!BV23*'Bloom Cleaner Data'!DB23</f>
        <v>1.288285534826958</v>
      </c>
      <c r="KC23" s="15">
        <f>'Bloom Cleaner Data'!V23/'Bloom Cleaner Data'!BW23*'Bloom Cleaner Data'!DC23</f>
        <v>1.4367473005401992</v>
      </c>
      <c r="KD23" s="15">
        <f>'Bloom Cleaner Data'!W23/'Bloom Cleaner Data'!BX23*'Bloom Cleaner Data'!DD23</f>
        <v>1.267604661436323</v>
      </c>
      <c r="KE23" s="15">
        <f>'Bloom Cleaner Data'!X23/'Bloom Cleaner Data'!BY23*'Bloom Cleaner Data'!DE23</f>
        <v>1.3295061239115544</v>
      </c>
      <c r="KF23" s="15">
        <f>'Bloom Cleaner Data'!Y23/'Bloom Cleaner Data'!BZ23*'Bloom Cleaner Data'!DF23</f>
        <v>1.2270397233141206</v>
      </c>
      <c r="KG23" s="15">
        <f>'Bloom Cleaner Data'!Z23/'Bloom Cleaner Data'!CA23*'Bloom Cleaner Data'!DG23</f>
        <v>1.867648172617095</v>
      </c>
      <c r="KH23" s="15">
        <f>'Bloom Cleaner Data'!AA23/'Bloom Cleaner Data'!CB23*'Bloom Cleaner Data'!DH23</f>
        <v>1.8538889642607779</v>
      </c>
      <c r="KI23" s="15">
        <f>'Bloom Cleaner Data'!AB23/'Bloom Cleaner Data'!CC23*'Bloom Cleaner Data'!DI23</f>
        <v>1.8114670342799222</v>
      </c>
      <c r="KJ23" s="15">
        <f>'Bloom Cleaner Data'!AC23/'Bloom Cleaner Data'!CD23*'Bloom Cleaner Data'!DJ23</f>
        <v>2.0586767512491186</v>
      </c>
      <c r="KK23" s="15">
        <f>'Bloom Cleaner Data'!AD23/'Bloom Cleaner Data'!CE23*'Bloom Cleaner Data'!DK23</f>
        <v>2.0291048833379013</v>
      </c>
      <c r="KL23" s="15">
        <f>'Bloom Cleaner Data'!AE23/'Bloom Cleaner Data'!CF23*'Bloom Cleaner Data'!DL23</f>
        <v>2.005645940956331</v>
      </c>
      <c r="KM23" s="15">
        <f>'Bloom Cleaner Data'!AF23/'Bloom Cleaner Data'!CG23*'Bloom Cleaner Data'!DM23</f>
        <v>1.7642879843123347</v>
      </c>
      <c r="KN23" s="15">
        <f>'Bloom Cleaner Data'!AG23/'Bloom Cleaner Data'!CH23*'Bloom Cleaner Data'!DN23</f>
        <v>1.6646094654713059</v>
      </c>
      <c r="KO23" s="15">
        <f>'Bloom Cleaner Data'!AH23/'Bloom Cleaner Data'!CI23*'Bloom Cleaner Data'!DO23</f>
        <v>2.0158325637615944</v>
      </c>
      <c r="KP23" s="15"/>
      <c r="KQ23" s="15">
        <f t="shared" si="79"/>
        <v>1.8149100045150783</v>
      </c>
      <c r="KR23" s="15">
        <f t="shared" si="80"/>
        <v>1.8625939886253915</v>
      </c>
      <c r="KS23" s="15">
        <f t="shared" si="81"/>
        <v>1.717850736111429</v>
      </c>
      <c r="KT23" s="18">
        <f t="shared" si="82"/>
        <v>0.40305296763297643</v>
      </c>
      <c r="KU23" s="18"/>
      <c r="KV23" s="1694" t="s">
        <v>282</v>
      </c>
      <c r="KW23" s="506">
        <f>('Bloom Cleaner Data'!T23+'OPERATING LEASES'!AU23)/DK23</f>
        <v>1.4830777805433939</v>
      </c>
      <c r="KX23" s="506">
        <f>('Bloom Cleaner Data'!U23+'OPERATING LEASES'!AV23)/DL23</f>
        <v>1.4363510697503603</v>
      </c>
      <c r="KY23" s="506">
        <f>('Bloom Cleaner Data'!V23+'OPERATING LEASES'!AW23)/DM23</f>
        <v>1.5744057542512611</v>
      </c>
      <c r="KZ23" s="506">
        <f>('Bloom Cleaner Data'!W23+'OPERATING LEASES'!AX23)/DN23</f>
        <v>1.4037736599049444</v>
      </c>
      <c r="LA23" s="506">
        <f>('Bloom Cleaner Data'!X23+'OPERATING LEASES'!AY23)/DO23</f>
        <v>1.4668481131194124</v>
      </c>
      <c r="LB23" s="506">
        <f>('Bloom Cleaner Data'!Y23+'OPERATING LEASES'!AZ23)/DP23</f>
        <v>1.3657582870615455</v>
      </c>
      <c r="LC23" s="506">
        <f>('Bloom Cleaner Data'!Z23+'OPERATING LEASES'!BA23)/DQ23</f>
        <v>1.9909742631621352</v>
      </c>
      <c r="LD23" s="506">
        <f>('Bloom Cleaner Data'!AA23+'OPERATING LEASES'!BB23)/DR23</f>
        <v>1.9788475649758426</v>
      </c>
      <c r="LE23" s="506">
        <f>('Bloom Cleaner Data'!AB23+'OPERATING LEASES'!BC23)/DS23</f>
        <v>1.9354135955625551</v>
      </c>
      <c r="LF23" s="506">
        <f>('Bloom Cleaner Data'!AC23+'OPERATING LEASES'!BD23)/DT23</f>
        <v>2.1759327731744706</v>
      </c>
      <c r="LG23" s="506">
        <f>('Bloom Cleaner Data'!AD23+'OPERATING LEASES'!BE23)/DU23</f>
        <v>2.1457192952641915</v>
      </c>
      <c r="LH23" s="506">
        <f>('Bloom Cleaner Data'!AE23+'OPERATING LEASES'!BF23)/DV23</f>
        <v>2.1246812533236059</v>
      </c>
      <c r="LI23" s="506">
        <f>('Bloom Cleaner Data'!AF23+'OPERATING LEASES'!BG23)/DW23</f>
        <v>1.8936607922786943</v>
      </c>
      <c r="LJ23" s="506">
        <f>('Bloom Cleaner Data'!AG23+'OPERATING LEASES'!BH23)/DX23</f>
        <v>1.7979043494712605</v>
      </c>
      <c r="LK23" s="506">
        <f>('Bloom Cleaner Data'!AH23+'OPERATING LEASES'!BI23)/DY23</f>
        <v>2.1424428051274771</v>
      </c>
      <c r="LL23" s="15"/>
      <c r="LM23" s="15">
        <f t="shared" si="83"/>
        <v>1.9446693156258104</v>
      </c>
      <c r="LN23" s="15">
        <f t="shared" si="84"/>
        <v>1.9896723000502594</v>
      </c>
      <c r="LO23" s="15">
        <f t="shared" si="85"/>
        <v>0.12707831142486792</v>
      </c>
      <c r="LP23" s="15">
        <f t="shared" si="86"/>
        <v>1.845874038975184</v>
      </c>
      <c r="LQ23" s="18">
        <f t="shared" si="87"/>
        <v>0.36079457239176377</v>
      </c>
      <c r="LR23" s="15">
        <f t="shared" si="88"/>
        <v>0.12802330286375496</v>
      </c>
      <c r="LS23" s="18"/>
      <c r="LT23" s="15">
        <f t="shared" si="89"/>
        <v>1.4830777805433939</v>
      </c>
      <c r="LU23" s="15">
        <f t="shared" si="145"/>
        <v>1.4363510697503603</v>
      </c>
      <c r="LV23" s="15">
        <f t="shared" si="146"/>
        <v>1.5744057542512611</v>
      </c>
      <c r="LW23" s="15">
        <f t="shared" si="147"/>
        <v>1.4037736599049444</v>
      </c>
      <c r="LX23" s="15">
        <f t="shared" si="148"/>
        <v>1.4668481131194124</v>
      </c>
      <c r="LY23" s="15">
        <f t="shared" si="149"/>
        <v>1.3657582870615455</v>
      </c>
      <c r="LZ23" s="15">
        <f t="shared" si="150"/>
        <v>1.9909742631621352</v>
      </c>
      <c r="MA23" s="15">
        <f t="shared" si="151"/>
        <v>1.9788475649758426</v>
      </c>
      <c r="MB23" s="15">
        <f t="shared" si="152"/>
        <v>1.9354135955625551</v>
      </c>
      <c r="MC23" s="15">
        <f t="shared" si="153"/>
        <v>2.1759327731744706</v>
      </c>
      <c r="MD23" s="15">
        <f t="shared" si="154"/>
        <v>2.1457192952641915</v>
      </c>
      <c r="ME23" s="15">
        <f t="shared" si="155"/>
        <v>2.1246812533236059</v>
      </c>
      <c r="MF23" s="15">
        <f t="shared" si="156"/>
        <v>1.8936607922786943</v>
      </c>
      <c r="MG23" s="15">
        <f t="shared" si="157"/>
        <v>1.7979043494712605</v>
      </c>
      <c r="MH23" s="15">
        <f t="shared" si="158"/>
        <v>2.1424428051274771</v>
      </c>
      <c r="MI23" s="15"/>
      <c r="MJ23" s="15">
        <f t="shared" si="104"/>
        <v>1.9446693156258104</v>
      </c>
      <c r="MK23" s="15">
        <f t="shared" si="105"/>
        <v>1.9896723000502594</v>
      </c>
      <c r="ML23" s="506">
        <f t="shared" si="106"/>
        <v>1.845874038975184</v>
      </c>
      <c r="MM23" s="10">
        <f t="shared" si="107"/>
        <v>0.36079457239176377</v>
      </c>
      <c r="MN23" s="18"/>
      <c r="MO23" s="15">
        <f>('Bloom Cleaner Data'!T23+'Bloom Cleaner Data'!EY23)/'Bloom Cleaner Data'!GV23</f>
        <v>1.6467342463908932</v>
      </c>
      <c r="MP23" s="15">
        <f>('Bloom Cleaner Data'!U23+'Bloom Cleaner Data'!EZ23)/'Bloom Cleaner Data'!GW23</f>
        <v>1.7446269006967341</v>
      </c>
      <c r="MQ23" s="15">
        <f>('Bloom Cleaner Data'!V23+'Bloom Cleaner Data'!FA23)/'Bloom Cleaner Data'!GX23</f>
        <v>1.7355354633737949</v>
      </c>
      <c r="MR23" s="15">
        <f>('Bloom Cleaner Data'!W23+'Bloom Cleaner Data'!FB23)/'Bloom Cleaner Data'!GY23</f>
        <v>1.5939356621568033</v>
      </c>
      <c r="MS23" s="15">
        <f>('Bloom Cleaner Data'!X23+'Bloom Cleaner Data'!FC23)/'Bloom Cleaner Data'!GZ23</f>
        <v>1.7367556241371174</v>
      </c>
      <c r="MT23" s="15">
        <f>('Bloom Cleaner Data'!Y23+'Bloom Cleaner Data'!FD23)/'Bloom Cleaner Data'!HA23</f>
        <v>1.9056577223278572</v>
      </c>
      <c r="MU23" s="15">
        <f>('Bloom Cleaner Data'!Z23+'Bloom Cleaner Data'!FE23)/'Bloom Cleaner Data'!HB23</f>
        <v>2.0196981703274668</v>
      </c>
      <c r="MV23" s="15">
        <f>('Bloom Cleaner Data'!AA23+'Bloom Cleaner Data'!FF23)/'Bloom Cleaner Data'!HC23</f>
        <v>2.2604538455799057</v>
      </c>
      <c r="MW23" s="15">
        <f>('Bloom Cleaner Data'!AB23+'Bloom Cleaner Data'!FG23)/'Bloom Cleaner Data'!HD23</f>
        <v>1.9471700667835212</v>
      </c>
      <c r="MX23" s="15">
        <f>('Bloom Cleaner Data'!AC23+'Bloom Cleaner Data'!FH23)/'Bloom Cleaner Data'!HE23</f>
        <v>2.5690419957660522</v>
      </c>
      <c r="MY23" s="15">
        <f>('Bloom Cleaner Data'!AD23+'Bloom Cleaner Data'!FI23)/'Bloom Cleaner Data'!HF23</f>
        <v>2.3006297982381838</v>
      </c>
      <c r="MZ23" s="15">
        <f>('Bloom Cleaner Data'!AE23+'Bloom Cleaner Data'!FJ23)/'Bloom Cleaner Data'!HG23</f>
        <v>2.3155350385619373</v>
      </c>
      <c r="NA23" s="15">
        <f>('Bloom Cleaner Data'!AF23+'Bloom Cleaner Data'!FK23)/'Bloom Cleaner Data'!HH23</f>
        <v>1.8797425879278662</v>
      </c>
      <c r="NB23" s="15">
        <f>('Bloom Cleaner Data'!AG23+'Bloom Cleaner Data'!FL23)/'Bloom Cleaner Data'!HI23</f>
        <v>2.4116143195942694</v>
      </c>
      <c r="NC23" s="15">
        <f>('Bloom Cleaner Data'!AH23+'Bloom Cleaner Data'!FM23)/'Bloom Cleaner Data'!HJ23</f>
        <v>2.5504075680166332</v>
      </c>
      <c r="ND23" s="15"/>
      <c r="NE23" s="15">
        <f t="shared" si="43"/>
        <v>0.53457500425503879</v>
      </c>
      <c r="NF23" s="15">
        <f t="shared" si="108"/>
        <v>2.2805881585129231</v>
      </c>
      <c r="NG23" s="15">
        <f t="shared" si="44"/>
        <v>0.46567815399784473</v>
      </c>
      <c r="NH23" s="15">
        <f t="shared" si="109"/>
        <v>2.2893248785251763</v>
      </c>
      <c r="NI23" s="15">
        <f t="shared" si="110"/>
        <v>2.0943213740608773</v>
      </c>
      <c r="NJ23" s="18">
        <f t="shared" si="111"/>
        <v>0.46952201314213843</v>
      </c>
      <c r="NK23" s="15">
        <f t="shared" si="45"/>
        <v>0.37647063794944824</v>
      </c>
      <c r="NL23" s="2818"/>
      <c r="NM23" s="1694" t="s">
        <v>282</v>
      </c>
      <c r="NN23" s="15">
        <f>KW23+'Bloom Cleaner Data'!EY23/CALCULATIONS!DK23</f>
        <v>1.785731574159132</v>
      </c>
      <c r="NO23" s="15">
        <f>KX23+'Bloom Cleaner Data'!EZ23/CALCULATIONS!DL23</f>
        <v>1.8783271941332147</v>
      </c>
      <c r="NP23" s="15">
        <f>KY23+'Bloom Cleaner Data'!FA23/CALCULATIONS!DM23</f>
        <v>1.8645314698625168</v>
      </c>
      <c r="NQ23" s="15">
        <f>KZ23+'Bloom Cleaner Data'!FB23/CALCULATIONS!DN23</f>
        <v>1.72145166287616</v>
      </c>
      <c r="NR23" s="15">
        <f>LA23+'Bloom Cleaner Data'!FC23/CALCULATIONS!DO23</f>
        <v>1.863587386319876</v>
      </c>
      <c r="NS23" s="15">
        <f>LB23+'Bloom Cleaner Data'!FD23/CALCULATIONS!DP23</f>
        <v>2.0270212479324701</v>
      </c>
      <c r="NT23" s="15">
        <f>LC23+'Bloom Cleaner Data'!FE23/CALCULATIONS!DQ23</f>
        <v>2.1391042364149762</v>
      </c>
      <c r="NU23" s="15">
        <f>LD23+'Bloom Cleaner Data'!FF23/CALCULATIONS!DR23</f>
        <v>2.3748224447801092</v>
      </c>
      <c r="NV23" s="15">
        <f>LE23+'Bloom Cleaner Data'!FG23/CALCULATIONS!DS23</f>
        <v>2.0676412621483724</v>
      </c>
      <c r="NW23" s="15">
        <f>LF23+'Bloom Cleaner Data'!FH23/CALCULATIONS!DT23</f>
        <v>2.6732674698901571</v>
      </c>
      <c r="NX23" s="15">
        <f>LG23+'Bloom Cleaner Data'!FI23/CALCULATIONS!DU23</f>
        <v>2.4103937327618716</v>
      </c>
      <c r="NY23" s="15">
        <f>LH23+'Bloom Cleaner Data'!FJ23/CALCULATIONS!DV23</f>
        <v>2.4266299503951476</v>
      </c>
      <c r="NZ23" s="15">
        <f>LI23+'Bloom Cleaner Data'!FK23/CALCULATIONS!DW23</f>
        <v>2.0060589433180342</v>
      </c>
      <c r="OA23" s="15">
        <f>LJ23+'Bloom Cleaner Data'!FL23/CALCULATIONS!DX23</f>
        <v>2.5249413602443322</v>
      </c>
      <c r="OB23" s="15">
        <f>LK23+'Bloom Cleaner Data'!FM23/CALCULATIONS!DY23</f>
        <v>2.6624165226553771</v>
      </c>
      <c r="OC23" s="15"/>
      <c r="OD23" s="15">
        <f t="shared" si="46"/>
        <v>0.5199737175279</v>
      </c>
      <c r="OE23" s="15">
        <f t="shared" si="112"/>
        <v>2.3978056087392479</v>
      </c>
      <c r="OF23" s="15">
        <f t="shared" si="47"/>
        <v>0.4531362931134375</v>
      </c>
      <c r="OG23" s="15">
        <f t="shared" si="113"/>
        <v>2.4050116941532229</v>
      </c>
      <c r="OH23" s="15">
        <f t="shared" si="114"/>
        <v>2.2124513607384153</v>
      </c>
      <c r="OI23" s="18">
        <f t="shared" si="115"/>
        <v>0.42792790880150344</v>
      </c>
      <c r="OJ23" s="15">
        <f t="shared" si="48"/>
        <v>0.36657732176323132</v>
      </c>
      <c r="OK23" s="15"/>
      <c r="OL23" s="13">
        <f>'Bloom Cleaner Data'!GF23+('Bloom Cleaner Data'!T23+'Bloom Cleaner Data'!EY23)+'Bloom Cleaner Data'!CK23</f>
        <v>210554.99999999997</v>
      </c>
      <c r="OM23" s="13">
        <f>'Bloom Cleaner Data'!GG23+('Bloom Cleaner Data'!U23+'Bloom Cleaner Data'!EZ23)+'Bloom Cleaner Data'!CL23</f>
        <v>214092</v>
      </c>
      <c r="ON23" s="13">
        <f>'Bloom Cleaner Data'!GH23+('Bloom Cleaner Data'!V23+'Bloom Cleaner Data'!FA23)+'Bloom Cleaner Data'!CM23</f>
        <v>209415</v>
      </c>
      <c r="OO23" s="13">
        <f>'Bloom Cleaner Data'!GI23+('Bloom Cleaner Data'!W23+'Bloom Cleaner Data'!FB23)+'Bloom Cleaner Data'!CN23</f>
        <v>201236</v>
      </c>
      <c r="OP23" s="13">
        <f>'Bloom Cleaner Data'!GJ23+('Bloom Cleaner Data'!X23+'Bloom Cleaner Data'!FC23)+'Bloom Cleaner Data'!CO23</f>
        <v>204858.99999999997</v>
      </c>
      <c r="OQ23" s="13">
        <f>'Bloom Cleaner Data'!GK23+('Bloom Cleaner Data'!Y23+'Bloom Cleaner Data'!FD23)+'Bloom Cleaner Data'!CP23</f>
        <v>202034.99999999997</v>
      </c>
      <c r="OR23" s="13">
        <f>'Bloom Cleaner Data'!GL23+('Bloom Cleaner Data'!Z23+'Bloom Cleaner Data'!FE23)+'Bloom Cleaner Data'!CQ23</f>
        <v>199188.00000000003</v>
      </c>
      <c r="OS23" s="13">
        <f>'Bloom Cleaner Data'!GM23+('Bloom Cleaner Data'!AA23+'Bloom Cleaner Data'!FF23)+'Bloom Cleaner Data'!CR23</f>
        <v>213260</v>
      </c>
      <c r="OT23" s="13">
        <f>'Bloom Cleaner Data'!GN23+('Bloom Cleaner Data'!AB23+'Bloom Cleaner Data'!FG23)+'Bloom Cleaner Data'!CS23</f>
        <v>202541</v>
      </c>
      <c r="OU23" s="13">
        <f>'Bloom Cleaner Data'!GO23+('Bloom Cleaner Data'!AC23+'Bloom Cleaner Data'!FH23)+'Bloom Cleaner Data'!CT23</f>
        <v>215821.00000000003</v>
      </c>
      <c r="OV23" s="13">
        <f>'Bloom Cleaner Data'!GP23+('Bloom Cleaner Data'!AD23+'Bloom Cleaner Data'!FI23)+'Bloom Cleaner Data'!CU23</f>
        <v>195796</v>
      </c>
      <c r="OW23" s="13">
        <f>'Bloom Cleaner Data'!GQ23+('Bloom Cleaner Data'!AE23+'Bloom Cleaner Data'!FJ23)+'Bloom Cleaner Data'!CV23</f>
        <v>193976.99999999997</v>
      </c>
      <c r="OX23" s="13">
        <f>'Bloom Cleaner Data'!GR23+('Bloom Cleaner Data'!AF23+'Bloom Cleaner Data'!FK23)+'Bloom Cleaner Data'!CW23</f>
        <v>183177</v>
      </c>
      <c r="OY23" s="13">
        <f>'Bloom Cleaner Data'!GS23+('Bloom Cleaner Data'!AG23+'Bloom Cleaner Data'!FL23)+'Bloom Cleaner Data'!CX23</f>
        <v>199774</v>
      </c>
      <c r="OZ23" s="13">
        <f>'Bloom Cleaner Data'!GT23+('Bloom Cleaner Data'!AH23+'Bloom Cleaner Data'!FM23)+'Bloom Cleaner Data'!CY23</f>
        <v>196985</v>
      </c>
      <c r="PA23" s="166"/>
      <c r="PB23" s="1694" t="s">
        <v>282</v>
      </c>
      <c r="PC23" s="947">
        <f>('Bloom Cleaner Data'!T23+'Bloom Cleaner Data'!EY23+'OPERATING LEASES'!BL23)/CALCULATIONS!OL23</f>
        <v>0.29542806935412197</v>
      </c>
      <c r="PD23" s="947">
        <f>('Bloom Cleaner Data'!U23+'Bloom Cleaner Data'!EZ23+'OPERATING LEASES'!BM23)/CALCULATIONS!OM23</f>
        <v>0.30791750325627698</v>
      </c>
      <c r="PE23" s="947">
        <f>('Bloom Cleaner Data'!V23+'Bloom Cleaner Data'!FA23+'OPERATING LEASES'!BN23)/CALCULATIONS!ON23</f>
        <v>0.32088193812013738</v>
      </c>
      <c r="PF23" s="947">
        <f>('Bloom Cleaner Data'!W23+'Bloom Cleaner Data'!FB23+'OPERATING LEASES'!BO23)/CALCULATIONS!OO23</f>
        <v>0.31567069528173031</v>
      </c>
      <c r="PG23" s="947">
        <f>('Bloom Cleaner Data'!X23+'Bloom Cleaner Data'!FC23+'OPERATING LEASES'!BP23)/CALCULATIONS!OP23</f>
        <v>0.32429195202553956</v>
      </c>
      <c r="PH23" s="947">
        <f>('Bloom Cleaner Data'!Y23+'Bloom Cleaner Data'!FD23+'OPERATING LEASES'!BQ23)/CALCULATIONS!OQ23</f>
        <v>0.36156799873784251</v>
      </c>
      <c r="PI23" s="947">
        <f>('Bloom Cleaner Data'!Z23+'Bloom Cleaner Data'!FE23+'OPERATING LEASES'!BR23)/CALCULATIONS!OR23</f>
        <v>0.38299825416189726</v>
      </c>
      <c r="PJ23" s="947">
        <f>('Bloom Cleaner Data'!AA23+'Bloom Cleaner Data'!FF23+'OPERATING LEASES'!BS23)/CALCULATIONS!OS23</f>
        <v>0.39336922946168995</v>
      </c>
      <c r="PK23" s="947">
        <f>('Bloom Cleaner Data'!AB23+'Bloom Cleaner Data'!FG23+'OPERATING LEASES'!BT23)/CALCULATIONS!OT23</f>
        <v>0.3615129159034467</v>
      </c>
      <c r="PL23" s="947">
        <f>('Bloom Cleaner Data'!AC23+'Bloom Cleaner Data'!FH23+'OPERATING LEASES'!BU23)/CALCULATIONS!OU23</f>
        <v>0.44493563242223871</v>
      </c>
      <c r="PM23" s="947">
        <f>('Bloom Cleaner Data'!AD23+'Bloom Cleaner Data'!FI23+'OPERATING LEASES'!BV23)/CALCULATIONS!OV23</f>
        <v>0.44242843954932687</v>
      </c>
      <c r="PN23" s="947">
        <f>('Bloom Cleaner Data'!AE23+'Bloom Cleaner Data'!FJ23+'OPERATING LEASES'!BW23)/CALCULATIONS!OW23</f>
        <v>0.43979948331503227</v>
      </c>
      <c r="PO23" s="947">
        <f>('Bloom Cleaner Data'!AF23+'Bloom Cleaner Data'!FK23+'OPERATING LEASES'!BX23)/CALCULATIONS!OX23</f>
        <v>0.36455040752932955</v>
      </c>
      <c r="PP23" s="947">
        <f>('Bloom Cleaner Data'!AG23+'Bloom Cleaner Data'!FL23+'OPERATING LEASES'!BY23)/CALCULATIONS!OY23</f>
        <v>0.42331459549290701</v>
      </c>
      <c r="PQ23" s="947">
        <f>('Bloom Cleaner Data'!AH23+'Bloom Cleaner Data'!FM23+'OPERATING LEASES'!BZ23)/CALCULATIONS!OZ23</f>
        <v>0.44388785948168641</v>
      </c>
      <c r="PR23" s="947"/>
      <c r="PS23" s="18">
        <f t="shared" si="116"/>
        <v>0.41058428750130765</v>
      </c>
      <c r="PT23" s="18">
        <f t="shared" si="117"/>
        <v>0.41788808645473879</v>
      </c>
      <c r="PU23" s="18">
        <f t="shared" si="118"/>
        <v>0.38609303088329266</v>
      </c>
      <c r="PV23" s="10">
        <f t="shared" si="119"/>
        <v>0.38333700576034269</v>
      </c>
      <c r="PW23" s="10"/>
      <c r="PX23" s="506">
        <f>'Bloom Cleaner Data'!D23/'Bloom Cleaner Data'!GF23</f>
        <v>1.6339076519835227</v>
      </c>
      <c r="PY23" s="506">
        <f>'Bloom Cleaner Data'!E23/'Bloom Cleaner Data'!GG23</f>
        <v>1.6232818984002482</v>
      </c>
      <c r="PZ23" s="506">
        <f>'Bloom Cleaner Data'!F23/'Bloom Cleaner Data'!GH23</f>
        <v>1.6630465899729316</v>
      </c>
      <c r="QA23" s="506">
        <f>'Bloom Cleaner Data'!G23/'Bloom Cleaner Data'!GI23</f>
        <v>1.8633876148566999</v>
      </c>
      <c r="QB23" s="506">
        <f>'Bloom Cleaner Data'!H23/'Bloom Cleaner Data'!GJ23</f>
        <v>1.8041033392379302</v>
      </c>
      <c r="QC23" s="506">
        <f>'Bloom Cleaner Data'!I23/'Bloom Cleaner Data'!GK23</f>
        <v>1.9121358107342346</v>
      </c>
      <c r="QD23" s="506">
        <f>'Bloom Cleaner Data'!J23/'Bloom Cleaner Data'!GL23</f>
        <v>1.7170835313221091</v>
      </c>
      <c r="QE23" s="506">
        <f>'Bloom Cleaner Data'!K23/'Bloom Cleaner Data'!GM23</f>
        <v>1.6132922937517347</v>
      </c>
      <c r="QF23" s="506">
        <f>'Bloom Cleaner Data'!L23/'Bloom Cleaner Data'!GN23</f>
        <v>1.6472650941094176</v>
      </c>
      <c r="QG23" s="506">
        <f>'Bloom Cleaner Data'!M23/'Bloom Cleaner Data'!GO23</f>
        <v>1.7210526842168736</v>
      </c>
      <c r="QH23" s="506">
        <f>'Bloom Cleaner Data'!N23/'Bloom Cleaner Data'!GP23</f>
        <v>1.8021087453188818</v>
      </c>
      <c r="QI23" s="506">
        <f>'Bloom Cleaner Data'!O23/'Bloom Cleaner Data'!GQ23</f>
        <v>1.934721441734315</v>
      </c>
      <c r="QJ23" s="506">
        <f>'Bloom Cleaner Data'!P23/'Bloom Cleaner Data'!GR23</f>
        <v>1.6824538387597445</v>
      </c>
      <c r="QK23" s="506">
        <f>'Bloom Cleaner Data'!Q23/'Bloom Cleaner Data'!GS23</f>
        <v>1.8018785781998996</v>
      </c>
      <c r="QL23" s="506">
        <f>'Bloom Cleaner Data'!R23/'Bloom Cleaner Data'!GT23</f>
        <v>1.7786623686113903</v>
      </c>
      <c r="QM23" s="506"/>
      <c r="QN23" s="506">
        <f t="shared" si="120"/>
        <v>1.7647070716020126</v>
      </c>
      <c r="QO23" s="10">
        <f t="shared" si="121"/>
        <v>6.9520468840467323E-2</v>
      </c>
      <c r="QP23" s="506">
        <f t="shared" si="122"/>
        <v>1.6919324810226537</v>
      </c>
      <c r="QQ23" s="18"/>
      <c r="QR23" s="506">
        <f>'Bloom Cleaner Data'!GF23/CALCULATIONS!DK23</f>
        <v>3.7230544661989855</v>
      </c>
      <c r="QS23" s="506">
        <f>'Bloom Cleaner Data'!GG23/CALCULATIONS!DL23</f>
        <v>3.701550041706406</v>
      </c>
      <c r="QT23" s="506">
        <f>'Bloom Cleaner Data'!GH23/CALCULATIONS!DM23</f>
        <v>3.4681413249609983</v>
      </c>
      <c r="QU23" s="506">
        <f>'Bloom Cleaner Data'!GI23/CALCULATIONS!DN23</f>
        <v>3.2688760926678371</v>
      </c>
      <c r="QV23" s="506">
        <f>'Bloom Cleaner Data'!GJ23/CALCULATIONS!DO23</f>
        <v>3.4302278205904266</v>
      </c>
      <c r="QW23" s="506">
        <f>'Bloom Cleaner Data'!GK23/CALCULATIONS!DP23</f>
        <v>3.1833910193447128</v>
      </c>
      <c r="QX23" s="506">
        <f>'Bloom Cleaner Data'!GL23/CALCULATIONS!DQ23</f>
        <v>3.0574507268151234</v>
      </c>
      <c r="QY23" s="506">
        <f>'Bloom Cleaner Data'!GM23/CALCULATIONS!DR23</f>
        <v>3.2528252968255815</v>
      </c>
      <c r="QZ23" s="506">
        <f>'Bloom Cleaner Data'!GN23/CALCULATIONS!DS23</f>
        <v>3.2286660944177874</v>
      </c>
      <c r="RA23" s="506">
        <f>'Bloom Cleaner Data'!GO23/CALCULATIONS!DT23</f>
        <v>3.0572757680013329</v>
      </c>
      <c r="RB23" s="506">
        <f>'Bloom Cleaner Data'!GP23/CALCULATIONS!DU23</f>
        <v>2.7753117501054985</v>
      </c>
      <c r="RC23" s="506">
        <f>'Bloom Cleaner Data'!GQ23/CALCULATIONS!DV23</f>
        <v>2.830304303128651</v>
      </c>
      <c r="RD23" s="506">
        <f>'Bloom Cleaner Data'!GR23/CALCULATIONS!DW23</f>
        <v>3.1524859597469725</v>
      </c>
      <c r="RE23" s="506">
        <f>'Bloom Cleaner Data'!GS23/CALCULATIONS!DX23</f>
        <v>3.1387787797915734</v>
      </c>
      <c r="RF23" s="506">
        <f>'Bloom Cleaner Data'!GT23/CALCULATIONS!DY23</f>
        <v>3.0536122018039884</v>
      </c>
      <c r="RG23" s="506"/>
      <c r="RH23" s="506">
        <f t="shared" si="123"/>
        <v>3.1459497798615752</v>
      </c>
      <c r="RI23" s="506">
        <f t="shared" si="124"/>
        <v>3.0607456534040569</v>
      </c>
      <c r="RJ23" s="18"/>
      <c r="RK23" s="506">
        <f>'Bloom Cleaner Data'!GF23/($RK$1*DK23+(1-$RK$1)*'Bloom Cleaner Data'!GV23)</f>
        <v>3.7230544661989855</v>
      </c>
      <c r="RL23" s="506">
        <f>'Bloom Cleaner Data'!GG23/($RK$1*DL23+(1-$RK$1)*'Bloom Cleaner Data'!GW23)</f>
        <v>3.701550041706406</v>
      </c>
      <c r="RM23" s="506">
        <f>'Bloom Cleaner Data'!GH23/($RK$1*DM23+(1-$RK$1)*'Bloom Cleaner Data'!GX23)</f>
        <v>3.4681413249609983</v>
      </c>
      <c r="RN23" s="506">
        <f>'Bloom Cleaner Data'!GI23/($RK$1*DN23+(1-$RK$1)*'Bloom Cleaner Data'!GY23)</f>
        <v>3.2688760926678371</v>
      </c>
      <c r="RO23" s="506">
        <f>'Bloom Cleaner Data'!GJ23/($RK$1*DO23+(1-$RK$1)*'Bloom Cleaner Data'!GZ23)</f>
        <v>3.4302278205904266</v>
      </c>
      <c r="RP23" s="506">
        <f>'Bloom Cleaner Data'!GK23/($RK$1*DP23+(1-$RK$1)*'Bloom Cleaner Data'!HA23)</f>
        <v>3.1833910193447128</v>
      </c>
      <c r="RQ23" s="506">
        <f>'Bloom Cleaner Data'!GL23/($RK$1*DQ23+(1-$RK$1)*'Bloom Cleaner Data'!HB23)</f>
        <v>3.0574507268151234</v>
      </c>
      <c r="RR23" s="506">
        <f>'Bloom Cleaner Data'!GM23/($RK$1*DR23+(1-$RK$1)*'Bloom Cleaner Data'!HC23)</f>
        <v>3.2528252968255815</v>
      </c>
      <c r="RS23" s="506">
        <f>'Bloom Cleaner Data'!GN23/($RK$1*DS23+(1-$RK$1)*'Bloom Cleaner Data'!HD23)</f>
        <v>3.2286660944177874</v>
      </c>
      <c r="RT23" s="506">
        <f>'Bloom Cleaner Data'!GO23/($RK$1*DT23+(1-$RK$1)*'Bloom Cleaner Data'!HE23)</f>
        <v>3.0572757680013329</v>
      </c>
      <c r="RU23" s="506">
        <f>'Bloom Cleaner Data'!GP23/($RK$1*DU23+(1-$RK$1)*'Bloom Cleaner Data'!HF23)</f>
        <v>2.7753117501054985</v>
      </c>
      <c r="RV23" s="506">
        <f>'Bloom Cleaner Data'!GQ23/($RK$1*DV23+(1-$RK$1)*'Bloom Cleaner Data'!HG23)</f>
        <v>2.830304303128651</v>
      </c>
      <c r="RW23" s="506">
        <f>'Bloom Cleaner Data'!GR23/($RK$1*DW23+(1-$RK$1)*'Bloom Cleaner Data'!HH23)</f>
        <v>3.1524859597469725</v>
      </c>
      <c r="RX23" s="506">
        <f>'Bloom Cleaner Data'!GS23/($RK$1*DX23+(1-$RK$1)*'Bloom Cleaner Data'!HI23)</f>
        <v>3.1387787797915734</v>
      </c>
      <c r="RY23" s="506">
        <f>'Bloom Cleaner Data'!GT23/($RK$1*DY23+(1-$RK$1)*'Bloom Cleaner Data'!HJ23)</f>
        <v>3.0536122018039884</v>
      </c>
      <c r="RZ23" s="506"/>
      <c r="SA23" s="506">
        <f t="shared" si="125"/>
        <v>3.1459497798615752</v>
      </c>
      <c r="SB23" s="506">
        <f t="shared" si="126"/>
        <v>3.0607456534040569</v>
      </c>
      <c r="SC23" s="18"/>
      <c r="SD23" s="15">
        <f>'Bloom Cleaner Data'!HM23</f>
        <v>6.8726000000000003</v>
      </c>
      <c r="SE23" s="15">
        <f>'Bloom Cleaner Data'!HN23</f>
        <v>7.2943999999999996</v>
      </c>
      <c r="SF23" s="15">
        <f>'Bloom Cleaner Data'!HO23</f>
        <v>8.4779</v>
      </c>
      <c r="SG23" s="15">
        <f>'Bloom Cleaner Data'!HP23</f>
        <v>8.6692999999999998</v>
      </c>
      <c r="SH23" s="15">
        <f>'Bloom Cleaner Data'!HQ23</f>
        <v>9.4322999999999997</v>
      </c>
      <c r="SI23" s="15">
        <f>'Bloom Cleaner Data'!HR23</f>
        <v>9.8923000000000005</v>
      </c>
      <c r="SJ23" s="15">
        <f>'Bloom Cleaner Data'!HS23</f>
        <v>9.0198</v>
      </c>
      <c r="SK23" s="15">
        <f>'Bloom Cleaner Data'!HT23</f>
        <v>7.8665000000000003</v>
      </c>
      <c r="SL23" s="15">
        <f>'Bloom Cleaner Data'!HU23</f>
        <v>6.7896999999999998</v>
      </c>
      <c r="SM23" s="15">
        <f>'Bloom Cleaner Data'!HV23</f>
        <v>6.6597999999999997</v>
      </c>
      <c r="SN23" s="15">
        <f>'Bloom Cleaner Data'!HW23</f>
        <v>6.8837000000000002</v>
      </c>
      <c r="SO23" s="15">
        <f>'Bloom Cleaner Data'!HX23</f>
        <v>6.6165000000000003</v>
      </c>
      <c r="SP23" s="15">
        <f>'Bloom Cleaner Data'!HY23</f>
        <v>6.4081999999999999</v>
      </c>
      <c r="SQ23" s="15">
        <f>'Bloom Cleaner Data'!HZ23</f>
        <v>7.3038999999999996</v>
      </c>
      <c r="SR23" s="15">
        <f>'Bloom Cleaner Data'!IA23</f>
        <v>7.8311999999999999</v>
      </c>
      <c r="SS23" s="15"/>
      <c r="ST23" s="15">
        <f t="shared" si="127"/>
        <v>7.7345399999999991</v>
      </c>
      <c r="SU23" s="487">
        <f t="shared" si="128"/>
        <v>-7.6280682716238696E-2</v>
      </c>
      <c r="SV23" s="15">
        <f t="shared" si="129"/>
        <v>-0.64670000000000005</v>
      </c>
    </row>
    <row r="24" spans="1:518">
      <c r="A24" s="11" t="s">
        <v>503</v>
      </c>
      <c r="B24" s="72"/>
      <c r="C24" s="83" t="s">
        <v>280</v>
      </c>
      <c r="D24" s="1133" t="s">
        <v>1040</v>
      </c>
      <c r="E24" s="224" t="s">
        <v>62</v>
      </c>
      <c r="F24" s="224"/>
      <c r="G24" s="13">
        <f>'Bloom Cleaner Data'!D24*'Bloom Cleaner Data'!D47</f>
        <v>4732.1626889950003</v>
      </c>
      <c r="H24" s="13">
        <f>'Bloom Cleaner Data'!F24*'Bloom Cleaner Data'!F47</f>
        <v>5347.4330097450002</v>
      </c>
      <c r="I24" s="13">
        <f>'Bloom Cleaner Data'!H24*'Bloom Cleaner Data'!H47</f>
        <v>6831.5163936569998</v>
      </c>
      <c r="J24" s="13">
        <f>'Bloom Cleaner Data'!J24*'Bloom Cleaner Data'!J47</f>
        <v>6048.8866043039998</v>
      </c>
      <c r="K24" s="13">
        <f>'Bloom Cleaner Data'!L24*'Bloom Cleaner Data'!L47</f>
        <v>6646.1286079213432</v>
      </c>
      <c r="L24" s="13">
        <f>'Bloom Cleaner Data'!N24*'Bloom Cleaner Data'!N47</f>
        <v>5419.4248909514572</v>
      </c>
      <c r="M24" s="13">
        <f>'Bloom Cleaner Data'!P24*'Bloom Cleaner Data'!P47</f>
        <v>6069.2591283679994</v>
      </c>
      <c r="N24" s="13">
        <f>'Bloom Cleaner Data'!R24*'Bloom Cleaner Data'!R47</f>
        <v>4026.3480952657014</v>
      </c>
      <c r="O24" s="13"/>
      <c r="P24" s="13">
        <f t="shared" si="0"/>
        <v>5769.8566757446433</v>
      </c>
      <c r="Q24" s="13">
        <f t="shared" si="49"/>
        <v>5171.6773715283862</v>
      </c>
      <c r="R24" s="10">
        <f t="shared" si="1"/>
        <v>-0.24705029723080094</v>
      </c>
      <c r="S24" s="18">
        <f>('Bloom Cleaner Data'!R24-'Bloom Cleaner Data'!F24)/'Bloom Cleaner Data'!F24</f>
        <v>-0.31210997259871948</v>
      </c>
      <c r="T24" s="10">
        <f t="shared" si="2"/>
        <v>-0.14527471832516198</v>
      </c>
      <c r="U24" s="10"/>
      <c r="V24" s="1277" t="s">
        <v>280</v>
      </c>
      <c r="W24" s="1238">
        <f>'Bloom Cleaner Data'!D24/'Bloom Cleaner Data'!$F24</f>
        <v>0.95155433636140985</v>
      </c>
      <c r="X24" s="1238">
        <f>'Bloom Cleaner Data'!E24/'Bloom Cleaner Data'!$F24</f>
        <v>1.0268409539218977</v>
      </c>
      <c r="Y24" s="1238">
        <f>'Bloom Cleaner Data'!F24/'Bloom Cleaner Data'!$F24</f>
        <v>1</v>
      </c>
      <c r="Z24" s="1238">
        <f>'Bloom Cleaner Data'!G24/'Bloom Cleaner Data'!$F24</f>
        <v>1.2131503931143877</v>
      </c>
      <c r="AA24" s="1238">
        <f>'Bloom Cleaner Data'!H24/'Bloom Cleaner Data'!$F24</f>
        <v>1.2031727519241628</v>
      </c>
      <c r="AB24" s="1238">
        <f>'Bloom Cleaner Data'!I24/'Bloom Cleaner Data'!$F24</f>
        <v>1.2817680573378236</v>
      </c>
      <c r="AC24" s="1238">
        <f>'Bloom Cleaner Data'!J24/'Bloom Cleaner Data'!$F24</f>
        <v>1.088507512325539</v>
      </c>
      <c r="AD24" s="1238">
        <f>'Bloom Cleaner Data'!K24/'Bloom Cleaner Data'!$F24</f>
        <v>1.0916194365665111</v>
      </c>
      <c r="AE24" s="1238">
        <f>'Bloom Cleaner Data'!L24/'Bloom Cleaner Data'!$F24</f>
        <v>1.1660932608620662</v>
      </c>
      <c r="AF24" s="1238">
        <f>'Bloom Cleaner Data'!M24/'Bloom Cleaner Data'!$F24</f>
        <v>1.1636040583268044</v>
      </c>
      <c r="AG24" s="1238">
        <f>'Bloom Cleaner Data'!N24/'Bloom Cleaner Data'!$F24</f>
        <v>0.93115843336996673</v>
      </c>
      <c r="AH24" s="1238">
        <f>'Bloom Cleaner Data'!O24/'Bloom Cleaner Data'!$F24</f>
        <v>1.0296361477855254</v>
      </c>
      <c r="AI24" s="1238">
        <f>'Bloom Cleaner Data'!P24/'Bloom Cleaner Data'!$F24</f>
        <v>1.0209611667655738</v>
      </c>
      <c r="AJ24" s="1238">
        <f>'Bloom Cleaner Data'!Q24/'Bloom Cleaner Data'!$F24</f>
        <v>0.97953640198099112</v>
      </c>
      <c r="AK24" s="1238">
        <f>'Bloom Cleaner Data'!R24/'Bloom Cleaner Data'!$F24</f>
        <v>0.68789002740128058</v>
      </c>
      <c r="AL24" s="13"/>
      <c r="AM24" s="13">
        <f>AVERAGE('Bloom Cleaner Data'!BW24:CI24)</f>
        <v>64318.611592307687</v>
      </c>
      <c r="AN24" s="18">
        <f>('Bloom Cleaner Data'!CI24-'Bloom Cleaner Data'!BW24)/'Bloom Cleaner Data'!BW24</f>
        <v>-0.20410268956475741</v>
      </c>
      <c r="AO24" s="18">
        <f>('Bloom Cleaner Data'!CI24+'Bloom Cleaner Data'!CH24-'Bloom Cleaner Data'!BW24-'Bloom Cleaner Data'!BV24)/('Bloom Cleaner Data'!BW24+'Bloom Cleaner Data'!BV24)</f>
        <v>-5.3999627115135729E-2</v>
      </c>
      <c r="AP24" s="13"/>
      <c r="AQ24" s="13">
        <f>'Bloom Cleaner Data'!BW24*'Bloom Cleaner Data'!BW47</f>
        <v>5793.5697597449998</v>
      </c>
      <c r="AR24" s="13">
        <f>'Bloom Cleaner Data'!BY24*'Bloom Cleaner Data'!BY47</f>
        <v>7018.8847836570003</v>
      </c>
      <c r="AS24" s="13">
        <f>'Bloom Cleaner Data'!CA24*'Bloom Cleaner Data'!CA47</f>
        <v>7529.6530043040002</v>
      </c>
      <c r="AT24" s="13">
        <f>'Bloom Cleaner Data'!CC24*'Bloom Cleaner Data'!CC47</f>
        <v>8110.3142127853434</v>
      </c>
      <c r="AU24" s="13">
        <f>'Bloom Cleaner Data'!CE24*'Bloom Cleaner Data'!CE47</f>
        <v>7433.6008714788277</v>
      </c>
      <c r="AV24" s="13">
        <f>'Bloom Cleaner Data'!CG24*'Bloom Cleaner Data'!CG47</f>
        <v>7843.7685683679993</v>
      </c>
      <c r="AW24" s="13">
        <f>'Bloom Cleaner Data'!CI24*'Bloom Cleaner Data'!CI47</f>
        <v>5047.1967011916249</v>
      </c>
      <c r="AX24" s="13"/>
      <c r="AY24" s="13">
        <f t="shared" si="3"/>
        <v>6968.14112878997</v>
      </c>
      <c r="AZ24" s="10">
        <f t="shared" si="4"/>
        <v>-0.12882783663697975</v>
      </c>
      <c r="BA24" s="10"/>
      <c r="BB24" s="13">
        <f>'Bloom Cleaner Data'!T24+'OPERATING LEASES'!AU24</f>
        <v>7186.380248444696</v>
      </c>
      <c r="BC24" s="13">
        <f>'Bloom Cleaner Data'!U24+'OPERATING LEASES'!AV24</f>
        <v>8387.737368728518</v>
      </c>
      <c r="BD24" s="13">
        <f>'Bloom Cleaner Data'!V24+'OPERATING LEASES'!AW24</f>
        <v>9199.094489012341</v>
      </c>
      <c r="BE24" s="13">
        <f>'Bloom Cleaner Data'!W24+'OPERATING LEASES'!AX24</f>
        <v>7082.451609296163</v>
      </c>
      <c r="BF24" s="13">
        <f>'Bloom Cleaner Data'!X24+'OPERATING LEASES'!AY24</f>
        <v>6212.8087295799851</v>
      </c>
      <c r="BG24" s="13">
        <f>'Bloom Cleaner Data'!Y24+'OPERATING LEASES'!AZ24</f>
        <v>5123.4972447563505</v>
      </c>
      <c r="BH24" s="13">
        <f>'Bloom Cleaner Data'!Z24+'OPERATING LEASES'!BA24</f>
        <v>17723.185759932716</v>
      </c>
      <c r="BI24" s="13">
        <f>'Bloom Cleaner Data'!AA24+'OPERATING LEASES'!BB24</f>
        <v>16124.874275109079</v>
      </c>
      <c r="BJ24" s="13">
        <f>'Bloom Cleaner Data'!AB24+'OPERATING LEASES'!BC24</f>
        <v>16838.562790285447</v>
      </c>
      <c r="BK24" s="13">
        <f>'Bloom Cleaner Data'!AC24+'OPERATING LEASES'!BD24</f>
        <v>16758.2744428021</v>
      </c>
      <c r="BL24" s="13">
        <f>'Bloom Cleaner Data'!AD24+'OPERATING LEASES'!BE24</f>
        <v>21941.986095318753</v>
      </c>
      <c r="BM24" s="13">
        <f>'Bloom Cleaner Data'!AE24+'OPERATING LEASES'!BF24</f>
        <v>20578.697747835409</v>
      </c>
      <c r="BN24" s="13">
        <f>'Bloom Cleaner Data'!AF24+'OPERATING LEASES'!BG24</f>
        <v>20071.409400352066</v>
      </c>
      <c r="BO24" s="13">
        <f>'Bloom Cleaner Data'!AG24+'OPERATING LEASES'!BH24</f>
        <v>15787.409400352064</v>
      </c>
      <c r="BP24" s="13">
        <f>'Bloom Cleaner Data'!AH24+'OPERATING LEASES'!BI24</f>
        <v>13743.409400352064</v>
      </c>
      <c r="BQ24" s="13"/>
      <c r="BR24" s="1099">
        <f t="shared" si="50"/>
        <v>14398.897029614194</v>
      </c>
      <c r="BS24" s="10">
        <f t="shared" si="51"/>
        <v>0.49399589457066467</v>
      </c>
      <c r="BT24" s="10"/>
      <c r="BU24" s="13">
        <f>'Bloom Cleaner Data'!BU24+'OPERATING LEASES'!AU24</f>
        <v>55779.404748444693</v>
      </c>
      <c r="BV24" s="13">
        <f>'Bloom Cleaner Data'!BV24+'OPERATING LEASES'!AV24</f>
        <v>60760.438968728515</v>
      </c>
      <c r="BW24" s="13">
        <f>'Bloom Cleaner Data'!BW24+'OPERATING LEASES'!AW24</f>
        <v>60203.886189012344</v>
      </c>
      <c r="BX24" s="13">
        <f>'Bloom Cleaner Data'!BX24+'OPERATING LEASES'!AX24</f>
        <v>68958.082109296156</v>
      </c>
      <c r="BY24" s="13">
        <f>'Bloom Cleaner Data'!BY24+'OPERATING LEASES'!AY24</f>
        <v>67578.571629579994</v>
      </c>
      <c r="BZ24" s="13">
        <f>'Bloom Cleaner Data'!BZ24+'OPERATING LEASES'!AZ24</f>
        <v>70497.68294475635</v>
      </c>
      <c r="CA24" s="13">
        <f>'Bloom Cleaner Data'!CA24+'OPERATING LEASES'!BA24</f>
        <v>73240.930659932725</v>
      </c>
      <c r="CB24" s="13">
        <f>'Bloom Cleaner Data'!CB24+'OPERATING LEASES'!BB24</f>
        <v>71801.329775109072</v>
      </c>
      <c r="CC24" s="13">
        <f>'Bloom Cleaner Data'!CC24+'OPERATING LEASES'!BC24</f>
        <v>76313.242290285445</v>
      </c>
      <c r="CD24" s="13">
        <f>'Bloom Cleaner Data'!CD24+'OPERATING LEASES'!BD24</f>
        <v>76106.002642802094</v>
      </c>
      <c r="CE24" s="13">
        <f>'Bloom Cleaner Data'!CE24+'OPERATING LEASES'!BE24</f>
        <v>69434.803395318755</v>
      </c>
      <c r="CF24" s="13">
        <f>'Bloom Cleaner Data'!CF24+'OPERATING LEASES'!BF24</f>
        <v>73093.956447835415</v>
      </c>
      <c r="CG24" s="13">
        <f>'Bloom Cleaner Data'!CG24+'OPERATING LEASES'!BG24</f>
        <v>72144.237200352058</v>
      </c>
      <c r="CH24" s="13">
        <f>'Bloom Cleaner Data'!CH24+'OPERATING LEASES'!BH24</f>
        <v>65746.541400352056</v>
      </c>
      <c r="CI24" s="13">
        <f>'Bloom Cleaner Data'!CI24+'OPERATING LEASES'!BI24</f>
        <v>48828.345400352067</v>
      </c>
      <c r="CJ24" s="13"/>
      <c r="CK24" s="1099">
        <f t="shared" si="52"/>
        <v>68765.200929614191</v>
      </c>
      <c r="CL24" s="10">
        <f t="shared" si="53"/>
        <v>-0.18895027395650743</v>
      </c>
      <c r="CM24" s="18">
        <f t="shared" si="54"/>
        <v>6.9133789228719975E-2</v>
      </c>
      <c r="CN24" s="13"/>
      <c r="CO24" s="18">
        <f>$CO$1*BU24/('Bloom Cleaner Data'!D24+'Bloom Cleaner Data'!T24+'OPERATING LEASES'!AU24)+(1-$CO$1)*'Bloom Cleaner Data'!BU24/('Bloom Cleaner Data'!D24+'Bloom Cleaner Data'!T24)-1</f>
        <v>1.130726224788603E-3</v>
      </c>
      <c r="CP24" s="18">
        <f>$CO$1*BV24/('Bloom Cleaner Data'!E24+'Bloom Cleaner Data'!U24+'OPERATING LEASES'!AV24)+(1-$CO$1)*'Bloom Cleaner Data'!BV24/('Bloom Cleaner Data'!E24+'Bloom Cleaner Data'!U24)-1</f>
        <v>4.9376669769563009E-5</v>
      </c>
      <c r="CQ24" s="18">
        <f>$CO$1*BW24/('Bloom Cleaner Data'!F24+'Bloom Cleaner Data'!V24+'OPERATING LEASES'!AW24)+(1-$CO$1)*'Bloom Cleaner Data'!BW24/('Bloom Cleaner Data'!F24+'Bloom Cleaner Data'!V24)-1</f>
        <v>6.6445308342322207E-5</v>
      </c>
      <c r="CR24" s="18">
        <f>$CO$1*BX24/('Bloom Cleaner Data'!G24+'Bloom Cleaner Data'!W24+'OPERATING LEASES'!AX24)+(1-$CO$1)*'Bloom Cleaner Data'!BX24/('Bloom Cleaner Data'!G24+'Bloom Cleaner Data'!W24)-1</f>
        <v>5.8009618540966201E-5</v>
      </c>
      <c r="CS24" s="18">
        <f>$CO$1*BY24/('Bloom Cleaner Data'!H24+'Bloom Cleaner Data'!X24+'OPERATING LEASES'!AY24)+(1-$CO$1)*'Bloom Cleaner Data'!BY24/('Bloom Cleaner Data'!H24+'Bloom Cleaner Data'!X24)-1</f>
        <v>4.439474099382501E-5</v>
      </c>
      <c r="CT24" s="18">
        <f>$CO$1*BZ24/('Bloom Cleaner Data'!I24+'Bloom Cleaner Data'!Y24+'OPERATING LEASES'!AZ24)+(1-$CO$1)*'Bloom Cleaner Data'!BZ24/('Bloom Cleaner Data'!I24+'Bloom Cleaner Data'!Y24)-1</f>
        <v>4.2556401059989923E-5</v>
      </c>
      <c r="CU24" s="18">
        <f>$CO$1*CA24/('Bloom Cleaner Data'!J24+'Bloom Cleaner Data'!Z24+'OPERATING LEASES'!BA24)+(1-$CO$1)*'Bloom Cleaner Data'!CA24/('Bloom Cleaner Data'!J24+'Bloom Cleaner Data'!Z24)-1</f>
        <v>4.0962380736031534E-5</v>
      </c>
      <c r="CV24" s="18">
        <f>$CO$1*CB24/('Bloom Cleaner Data'!K24+'Bloom Cleaner Data'!AA24+'OPERATING LEASES'!BB24)+(1-$CO$1)*'Bloom Cleaner Data'!CB24/('Bloom Cleaner Data'!K24+'Bloom Cleaner Data'!AA24)-1</f>
        <v>4.1783701785202965E-5</v>
      </c>
      <c r="CW24" s="18">
        <f>$CO$1*CC24/('Bloom Cleaner Data'!L24+'Bloom Cleaner Data'!AB24+'OPERATING LEASES'!BC24)+(1-$CO$1)*'Bloom Cleaner Data'!CC24/('Bloom Cleaner Data'!L24+'Bloom Cleaner Data'!AB24)-1</f>
        <v>3.9313202395474534E-5</v>
      </c>
      <c r="CX24" s="18">
        <f>$CO$1*CD24/('Bloom Cleaner Data'!M24+'Bloom Cleaner Data'!AC24+'OPERATING LEASES'!BD24)+(1-$CO$1)*'Bloom Cleaner Data'!CD24/('Bloom Cleaner Data'!M24+'Bloom Cleaner Data'!AC24)-1</f>
        <v>3.9420258016287235E-5</v>
      </c>
      <c r="CY24" s="18">
        <f>$CO$1*CE24/('Bloom Cleaner Data'!N24+'Bloom Cleaner Data'!AD24+'OPERATING LEASES'!BE24)+(1-$CO$1)*'Bloom Cleaner Data'!CE24/('Bloom Cleaner Data'!N24+'Bloom Cleaner Data'!AD24)-1</f>
        <v>4.3207865175531879E-5</v>
      </c>
      <c r="CZ24" s="18">
        <f>$CO$1*CF24/('Bloom Cleaner Data'!O24+'Bloom Cleaner Data'!AE24+'OPERATING LEASES'!BF24)+(1-$CO$1)*'Bloom Cleaner Data'!CF24/('Bloom Cleaner Data'!O24+'Bloom Cleaner Data'!AE24)-1</f>
        <v>4.1044749525820379E-5</v>
      </c>
      <c r="DA24" s="18">
        <f>$CO$1*CG24/('Bloom Cleaner Data'!P24+'Bloom Cleaner Data'!AF24+'OPERATING LEASES'!BG24)+(1-$CO$1)*'Bloom Cleaner Data'!CG24/('Bloom Cleaner Data'!P24+'Bloom Cleaner Data'!AF24)-1</f>
        <v>4.1585092194429407E-5</v>
      </c>
      <c r="DB24" s="18">
        <f>$CO$1*CH24/('Bloom Cleaner Data'!Q24+'Bloom Cleaner Data'!AG24+'OPERATING LEASES'!BH24)+(1-$CO$1)*'Bloom Cleaner Data'!CH24/('Bloom Cleaner Data'!Q24+'Bloom Cleaner Data'!AG24)-1</f>
        <v>3.0420776499395785E-5</v>
      </c>
      <c r="DC24" s="18">
        <f>$CO$1*CI24/('Bloom Cleaner Data'!R24+'Bloom Cleaner Data'!AH24+'OPERATING LEASES'!BI24)+(1-$CO$1)*'Bloom Cleaner Data'!CI24/('Bloom Cleaner Data'!R24+'Bloom Cleaner Data'!AH24)-1</f>
        <v>4.0961492890900786E-5</v>
      </c>
      <c r="DD24" s="18"/>
      <c r="DE24" s="18">
        <f t="shared" si="55"/>
        <v>4.3854276012013677E-5</v>
      </c>
      <c r="DF24" s="13"/>
      <c r="DG24" s="2203">
        <f>AVERAGE('Bloom Cleaner Data'!GX24:HJ24)</f>
        <v>9690.3904682109751</v>
      </c>
      <c r="DH24" s="2124">
        <f>('Bloom Cleaner Data'!HJ24-'Bloom Cleaner Data'!GX24)/'Bloom Cleaner Data'!GX24</f>
        <v>-0.19962781206585886</v>
      </c>
      <c r="DI24" s="2124">
        <f>('Bloom Cleaner Data'!HJ24+'Bloom Cleaner Data'!HI24-'Bloom Cleaner Data'!GX24-'Bloom Cleaner Data'!GW24)/('Bloom Cleaner Data'!GX24+'Bloom Cleaner Data'!GW24)</f>
        <v>-0.16659056149686743</v>
      </c>
      <c r="DJ24" s="13"/>
      <c r="DK24" s="13">
        <f>'Bloom Cleaner Data'!GV24+'OPERATING LEASES'!BL24</f>
        <v>10108.499614729817</v>
      </c>
      <c r="DL24" s="13">
        <f>'Bloom Cleaner Data'!GW24+'OPERATING LEASES'!BM24</f>
        <v>10163.576356111642</v>
      </c>
      <c r="DM24" s="13">
        <f>'Bloom Cleaner Data'!GX24+'OPERATING LEASES'!BN24</f>
        <v>10930.548711059435</v>
      </c>
      <c r="DN24" s="13">
        <f>'Bloom Cleaner Data'!GY24+'OPERATING LEASES'!BO24</f>
        <v>11156.482501395927</v>
      </c>
      <c r="DO24" s="13">
        <f>'Bloom Cleaner Data'!GZ24+'OPERATING LEASES'!BP24</f>
        <v>11442.549874545548</v>
      </c>
      <c r="DP24" s="13">
        <f>'Bloom Cleaner Data'!HA24+'OPERATING LEASES'!BQ24</f>
        <v>11614.786372127508</v>
      </c>
      <c r="DQ24" s="13">
        <f>'Bloom Cleaner Data'!HB24+'OPERATING LEASES'!BR24</f>
        <v>11125.089153294433</v>
      </c>
      <c r="DR24" s="13">
        <f>'Bloom Cleaner Data'!HC24+'OPERATING LEASES'!BS24</f>
        <v>11325.516161101097</v>
      </c>
      <c r="DS24" s="13">
        <f>'Bloom Cleaner Data'!HD24+'OPERATING LEASES'!BT24</f>
        <v>11650.76238621785</v>
      </c>
      <c r="DT24" s="13">
        <f>'Bloom Cleaner Data'!HE24+'OPERATING LEASES'!BU24</f>
        <v>10646.979080244164</v>
      </c>
      <c r="DU24" s="13">
        <f>'Bloom Cleaner Data'!HF24+'OPERATING LEASES'!BV24</f>
        <v>9440.1006627025872</v>
      </c>
      <c r="DV24" s="13">
        <f>'Bloom Cleaner Data'!HG24+'OPERATING LEASES'!BW24</f>
        <v>8979.3262947695857</v>
      </c>
      <c r="DW24" s="13">
        <f>'Bloom Cleaner Data'!HH24+'OPERATING LEASES'!BX24</f>
        <v>8851.4798405549263</v>
      </c>
      <c r="DX24" s="13">
        <f>'Bloom Cleaner Data'!HI24+'OPERATING LEASES'!BY24</f>
        <v>8834.5283263170477</v>
      </c>
      <c r="DY24" s="13">
        <f>'Bloom Cleaner Data'!HJ24+'OPERATING LEASES'!BZ24</f>
        <v>8854.480293841134</v>
      </c>
      <c r="DZ24" s="13"/>
      <c r="EA24" s="1099">
        <f t="shared" si="56"/>
        <v>10373.279204474711</v>
      </c>
      <c r="EB24" s="10">
        <f t="shared" si="57"/>
        <v>-0.18993268060895724</v>
      </c>
      <c r="EC24" s="18">
        <f t="shared" si="58"/>
        <v>7.0470714106302665E-2</v>
      </c>
      <c r="ED24" s="18">
        <f>(AVERAGE(DV24:DY24)-AVERAGE('Bloom Cleaner Data'!HG24:HJ24))/AVERAGE('Bloom Cleaner Data'!HG24:HJ24)</f>
        <v>9.0400991438285172E-2</v>
      </c>
      <c r="EE24" s="165"/>
      <c r="EF24" s="22">
        <f>'Bloom Cleaner Data'!DT24</f>
        <v>1.413</v>
      </c>
      <c r="EG24" s="22">
        <f>'Bloom Cleaner Data'!DX24</f>
        <v>1.7396</v>
      </c>
      <c r="EH24" s="22">
        <f>'Bloom Cleaner Data'!EB24</f>
        <v>1.7812000000000001</v>
      </c>
      <c r="EI24" s="22">
        <f>'Bloom Cleaner Data'!EF24</f>
        <v>1.19</v>
      </c>
      <c r="EJ24" s="22"/>
      <c r="EK24" s="22">
        <f>AVERAGE('Bloom Cleaner Data'!DT24:EF24)</f>
        <v>1.6592076923076922</v>
      </c>
      <c r="EL24" s="2124">
        <f t="shared" si="5"/>
        <v>-0.15782024062278846</v>
      </c>
      <c r="EM24" s="13"/>
      <c r="EN24" s="15">
        <f>'Bloom Cleaner Data'!DA24</f>
        <v>5.4878</v>
      </c>
      <c r="EO24" s="15">
        <f>'Bloom Cleaner Data'!DB24</f>
        <v>5.9777000000000005</v>
      </c>
      <c r="EP24" s="15">
        <f>'Bloom Cleaner Data'!DC24</f>
        <v>5.4551999999999996</v>
      </c>
      <c r="EQ24" s="15">
        <f>'Bloom Cleaner Data'!DD24</f>
        <v>6.1658999999999997</v>
      </c>
      <c r="ER24" s="15">
        <f>'Bloom Cleaner Data'!DE24</f>
        <v>5.8586999999999998</v>
      </c>
      <c r="ES24" s="15">
        <f>'Bloom Cleaner Data'!DF24</f>
        <v>6.0357000000000003</v>
      </c>
      <c r="ET24" s="15">
        <f>'Bloom Cleaner Data'!DG24</f>
        <v>6.5808</v>
      </c>
      <c r="EU24" s="15">
        <f>'Bloom Cleaner Data'!DH24</f>
        <v>6.3246000000000002</v>
      </c>
      <c r="EV24" s="15">
        <f>'Bloom Cleaner Data'!DI24</f>
        <v>6.5476000000000001</v>
      </c>
      <c r="EW24" s="15">
        <f>'Bloom Cleaner Data'!DJ24</f>
        <v>7.1837</v>
      </c>
      <c r="EX24" s="15">
        <f>'Bloom Cleaner Data'!DK24</f>
        <v>7.4165999999999999</v>
      </c>
      <c r="EY24" s="15">
        <f>'Bloom Cleaner Data'!DL24</f>
        <v>8.2784999999999993</v>
      </c>
      <c r="EZ24" s="15">
        <f>'Bloom Cleaner Data'!DM24</f>
        <v>8.3038000000000007</v>
      </c>
      <c r="FA24" s="15">
        <f>'Bloom Cleaner Data'!DN24</f>
        <v>7.5301</v>
      </c>
      <c r="FB24" s="15">
        <f>'Bloom Cleaner Data'!DO24</f>
        <v>5.4246999999999996</v>
      </c>
      <c r="FC24" s="15"/>
      <c r="FD24" s="15">
        <f t="shared" si="59"/>
        <v>6.700453846153847</v>
      </c>
      <c r="FE24" s="18">
        <f t="shared" si="6"/>
        <v>-5.5909957471770005E-3</v>
      </c>
      <c r="FF24" s="15">
        <f t="shared" si="60"/>
        <v>6.9626100000000006</v>
      </c>
      <c r="FG24" s="2206"/>
      <c r="FH24" s="15">
        <f>('Bloom Cleaner Data'!BU24+'OPERATING LEASES'!AU24)/DK24</f>
        <v>5.518069631932768</v>
      </c>
      <c r="FI24" s="15">
        <f>('Bloom Cleaner Data'!BV24+'OPERATING LEASES'!AV24)/DL24</f>
        <v>5.9782537996274874</v>
      </c>
      <c r="FJ24" s="15">
        <f>('Bloom Cleaner Data'!BW24+'OPERATING LEASES'!AW24)/DM24</f>
        <v>5.5078558067353534</v>
      </c>
      <c r="FK24" s="15">
        <f>('Bloom Cleaner Data'!BX24+'OPERATING LEASES'!AX24)/DN24</f>
        <v>6.1809877889978271</v>
      </c>
      <c r="FL24" s="15">
        <f>('Bloom Cleaner Data'!BY24+'OPERATING LEASES'!AY24)/DO24</f>
        <v>5.9059014267363148</v>
      </c>
      <c r="FM24" s="15">
        <f>('Bloom Cleaner Data'!BZ24+'OPERATING LEASES'!AZ24)/DP24</f>
        <v>6.0696495558396677</v>
      </c>
      <c r="FN24" s="15">
        <f>('Bloom Cleaner Data'!CA24+'OPERATING LEASES'!BA24)/DQ24</f>
        <v>6.5834016834142988</v>
      </c>
      <c r="FO24" s="15">
        <f>('Bloom Cleaner Data'!CB24+'OPERATING LEASES'!BB24)/DR24</f>
        <v>6.3397843200930417</v>
      </c>
      <c r="FP24" s="15">
        <f>('Bloom Cleaner Data'!CC24+'OPERATING LEASES'!BC24)/DS24</f>
        <v>6.5500642585037534</v>
      </c>
      <c r="FQ24" s="15">
        <f>('Bloom Cleaner Data'!CD24+'OPERATING LEASES'!BD24)/DT24</f>
        <v>7.1481311336489242</v>
      </c>
      <c r="FR24" s="15">
        <f>('Bloom Cleaner Data'!CE24+'OPERATING LEASES'!BE24)/DU24</f>
        <v>7.3553032829038081</v>
      </c>
      <c r="FS24" s="15">
        <f>('Bloom Cleaner Data'!CF24+'OPERATING LEASES'!BF24)/DV24</f>
        <v>8.1402495074059509</v>
      </c>
      <c r="FT24" s="15">
        <f>('Bloom Cleaner Data'!CG24+'OPERATING LEASES'!BG24)/DW24</f>
        <v>8.150528329715895</v>
      </c>
      <c r="FU24" s="15">
        <f>('Bloom Cleaner Data'!CH24+'OPERATING LEASES'!BH24)/DX24</f>
        <v>7.4419979167988677</v>
      </c>
      <c r="FV24" s="15">
        <f>('Bloom Cleaner Data'!CI24+'OPERATING LEASES'!BI24)/DY24</f>
        <v>5.5145354419406587</v>
      </c>
      <c r="FW24" s="15"/>
      <c r="FX24" s="506">
        <f t="shared" si="61"/>
        <v>6.6837223425180285</v>
      </c>
      <c r="FY24" s="10">
        <f t="shared" si="62"/>
        <v>1.2127469272410992E-3</v>
      </c>
      <c r="FZ24" s="15">
        <f t="shared" si="7"/>
        <v>-1.6731503635818434E-2</v>
      </c>
      <c r="GA24" s="15">
        <f t="shared" si="63"/>
        <v>6.9293645430264856</v>
      </c>
      <c r="GB24" s="15">
        <f t="shared" si="64"/>
        <v>-3.3245456973514997E-2</v>
      </c>
      <c r="GC24" s="15">
        <f t="shared" si="8"/>
        <v>-7.0217104246962592E-2</v>
      </c>
      <c r="GD24" s="13"/>
      <c r="GE24" s="15">
        <f t="shared" si="9"/>
        <v>5.518069631932768</v>
      </c>
      <c r="GF24" s="15">
        <f t="shared" si="10"/>
        <v>5.9782537996274874</v>
      </c>
      <c r="GG24" s="15">
        <f t="shared" si="11"/>
        <v>5.5078558067353534</v>
      </c>
      <c r="GH24" s="15">
        <f t="shared" si="12"/>
        <v>6.1809877889978271</v>
      </c>
      <c r="GI24" s="15">
        <f t="shared" si="13"/>
        <v>5.9059014267363148</v>
      </c>
      <c r="GJ24" s="15">
        <f t="shared" si="14"/>
        <v>6.0696495558396677</v>
      </c>
      <c r="GK24" s="15">
        <f t="shared" si="15"/>
        <v>6.5834016834142988</v>
      </c>
      <c r="GL24" s="15">
        <f t="shared" si="16"/>
        <v>6.3397843200930417</v>
      </c>
      <c r="GM24" s="15">
        <f t="shared" si="17"/>
        <v>6.5500642585037534</v>
      </c>
      <c r="GN24" s="15">
        <f t="shared" si="18"/>
        <v>7.1481311336489242</v>
      </c>
      <c r="GO24" s="15">
        <f t="shared" si="19"/>
        <v>7.3553032829038081</v>
      </c>
      <c r="GP24" s="15">
        <f t="shared" si="20"/>
        <v>8.1402495074059509</v>
      </c>
      <c r="GQ24" s="15">
        <f t="shared" si="21"/>
        <v>8.150528329715895</v>
      </c>
      <c r="GR24" s="15">
        <f t="shared" si="22"/>
        <v>7.4419979167988677</v>
      </c>
      <c r="GS24" s="15">
        <f t="shared" si="23"/>
        <v>5.5145354419406587</v>
      </c>
      <c r="GT24" s="15"/>
      <c r="GU24" s="15">
        <f t="shared" si="65"/>
        <v>6.5589809256196414</v>
      </c>
      <c r="GV24" s="10">
        <f t="shared" si="66"/>
        <v>1.2127469272410992E-3</v>
      </c>
      <c r="GW24" s="506">
        <f t="shared" si="67"/>
        <v>6.9293645430264856</v>
      </c>
      <c r="GX24" s="2057"/>
      <c r="GY24" s="10">
        <f>'Bloom Cleaner Data'!T24/('Bloom Cleaner Data'!T24+'Bloom Cleaner Data'!D24)</f>
        <v>3.620437934170171E-2</v>
      </c>
      <c r="GZ24" s="10">
        <f>'Bloom Cleaner Data'!U24/('Bloom Cleaner Data'!U24+'Bloom Cleaner Data'!E24)</f>
        <v>5.8127717443812905E-2</v>
      </c>
      <c r="HA24" s="10">
        <f>'Bloom Cleaner Data'!V24/('Bloom Cleaner Data'!V24+'Bloom Cleaner Data'!F24)</f>
        <v>7.6938681429221417E-2</v>
      </c>
      <c r="HB24" s="10">
        <f>'Bloom Cleaner Data'!W24/('Bloom Cleaner Data'!W24+'Bloom Cleaner Data'!G24)</f>
        <v>3.6472007294463753E-2</v>
      </c>
      <c r="HC24" s="10">
        <f>'Bloom Cleaner Data'!X24/('Bloom Cleaner Data'!X24+'Bloom Cleaner Data'!H24)</f>
        <v>2.6648578246243074E-2</v>
      </c>
      <c r="HD24" s="10">
        <f>'Bloom Cleaner Data'!Y24/('Bloom Cleaner Data'!Y24+'Bloom Cleaner Data'!I24)</f>
        <v>1.1925601351508903E-2</v>
      </c>
      <c r="HE24" s="10">
        <f>'Bloom Cleaner Data'!Z24/('Bloom Cleaner Data'!Z24+'Bloom Cleaner Data'!J24)</f>
        <v>0.19662311016403874</v>
      </c>
      <c r="HF24" s="10">
        <f>'Bloom Cleaner Data'!AA24/('Bloom Cleaner Data'!AA24+'Bloom Cleaner Data'!K24)</f>
        <v>0.17958912757371634</v>
      </c>
      <c r="HG24" s="10">
        <f>'Bloom Cleaner Data'!AB24/('Bloom Cleaner Data'!AB24+'Bloom Cleaner Data'!L24)</f>
        <v>0.18049989458897103</v>
      </c>
      <c r="HH24" s="10">
        <f>'Bloom Cleaner Data'!AC24/('Bloom Cleaner Data'!AC24+'Bloom Cleaner Data'!M24)</f>
        <v>0.17674788502726119</v>
      </c>
      <c r="HI24" s="10">
        <f>'Bloom Cleaner Data'!AD24/('Bloom Cleaner Data'!AD24+'Bloom Cleaner Data'!N24)</f>
        <v>0.27092204887327215</v>
      </c>
      <c r="HJ24" s="10">
        <f>'Bloom Cleaner Data'!AE24/('Bloom Cleaner Data'!AE24+'Bloom Cleaner Data'!O24)</f>
        <v>0.23360196688711238</v>
      </c>
      <c r="HK24" s="10">
        <f>'Bloom Cleaner Data'!AF24/('Bloom Cleaner Data'!AF24+'Bloom Cleaner Data'!P24)</f>
        <v>0.22619724704887639</v>
      </c>
      <c r="HL24" s="10">
        <f>'Bloom Cleaner Data'!AG24/('Bloom Cleaner Data'!AG24+'Bloom Cleaner Data'!Q24)</f>
        <v>0.17960679692420939</v>
      </c>
      <c r="HM24" s="10">
        <f>'Bloom Cleaner Data'!AH24/('Bloom Cleaner Data'!AH24+'Bloom Cleaner Data'!R24)</f>
        <v>0.2022242346359609</v>
      </c>
      <c r="HN24" s="15"/>
      <c r="HO24" s="10">
        <f t="shared" si="68"/>
        <v>0.1536920907726812</v>
      </c>
      <c r="HP24" s="10">
        <f t="shared" si="69"/>
        <v>1.6283818604559013</v>
      </c>
      <c r="HQ24" s="10"/>
      <c r="HR24" s="479">
        <f t="shared" si="24"/>
        <v>3.7564374194783277E-2</v>
      </c>
      <c r="HS24" s="480">
        <f t="shared" si="25"/>
        <v>6.171507381665127E-2</v>
      </c>
      <c r="HT24" s="480">
        <f t="shared" si="26"/>
        <v>8.3351647264722759E-2</v>
      </c>
      <c r="HU24" s="480">
        <f t="shared" si="27"/>
        <v>3.7852566371270921E-2</v>
      </c>
      <c r="HV24" s="480">
        <f t="shared" si="28"/>
        <v>2.7378167484697791E-2</v>
      </c>
      <c r="HW24" s="480">
        <f t="shared" si="29"/>
        <v>1.2069537848385698E-2</v>
      </c>
      <c r="HX24" s="480">
        <f t="shared" si="30"/>
        <v>0.2447457882491324</v>
      </c>
      <c r="HY24" s="480">
        <f t="shared" si="31"/>
        <v>0.21890144756687505</v>
      </c>
      <c r="HZ24" s="480">
        <f t="shared" si="32"/>
        <v>0.22025609685362935</v>
      </c>
      <c r="IA24" s="480">
        <f t="shared" si="33"/>
        <v>0.21469472329641573</v>
      </c>
      <c r="IB24" s="480">
        <f t="shared" si="34"/>
        <v>0.371595449368048</v>
      </c>
      <c r="IC24" s="480">
        <f t="shared" si="35"/>
        <v>0.30480501879459238</v>
      </c>
      <c r="ID24" s="480">
        <f t="shared" si="36"/>
        <v>0.29231900014080708</v>
      </c>
      <c r="IE24" s="480">
        <f t="shared" si="37"/>
        <v>0.21892769985274577</v>
      </c>
      <c r="IF24" s="481">
        <f t="shared" si="38"/>
        <v>0.25348505609678729</v>
      </c>
      <c r="IG24" s="15"/>
      <c r="IH24" s="10">
        <f t="shared" si="70"/>
        <v>0.19233709224523923</v>
      </c>
      <c r="II24" s="10">
        <f t="shared" si="71"/>
        <v>2.0411523277005559</v>
      </c>
      <c r="IJ24" s="10"/>
      <c r="IK24" s="18">
        <f>('Bloom Cleaner Data'!T24+'OPERATING LEASES'!AU24)/('Bloom Cleaner Data'!T24+'OPERATING LEASES'!AU24+'Bloom Cleaner Data'!D24)</f>
        <v>0.12898140647966524</v>
      </c>
      <c r="IL24" s="18">
        <f>('Bloom Cleaner Data'!U24+'OPERATING LEASES'!AV24)/('Bloom Cleaner Data'!U24+'OPERATING LEASES'!AV24+'Bloom Cleaner Data'!E24)</f>
        <v>0.1380528460563592</v>
      </c>
      <c r="IM24" s="18">
        <f>('Bloom Cleaner Data'!V24+'OPERATING LEASES'!AW24)/('Bloom Cleaner Data'!V24+'OPERATING LEASES'!AW24+'Bloom Cleaner Data'!F24)</f>
        <v>0.15280916744808323</v>
      </c>
      <c r="IN24" s="18">
        <f>('Bloom Cleaner Data'!W24+'OPERATING LEASES'!AX24)/('Bloom Cleaner Data'!W24+'OPERATING LEASES'!AX24+'Bloom Cleaner Data'!G24)</f>
        <v>0.10271257904746049</v>
      </c>
      <c r="IO24" s="18">
        <f>('Bloom Cleaner Data'!X24+'OPERATING LEASES'!AY24)/('Bloom Cleaner Data'!X24+'OPERATING LEASES'!AY24+'Bloom Cleaner Data'!H24)</f>
        <v>9.1938678131143467E-2</v>
      </c>
      <c r="IP24" s="18">
        <f>('Bloom Cleaner Data'!Y24+'OPERATING LEASES'!AZ24)/('Bloom Cleaner Data'!Y24+'OPERATING LEASES'!AZ24+'Bloom Cleaner Data'!I24)</f>
        <v>7.2679201192683063E-2</v>
      </c>
      <c r="IQ24" s="18">
        <f>('Bloom Cleaner Data'!Z24+'OPERATING LEASES'!BA24)/('Bloom Cleaner Data'!Z24+'OPERATING LEASES'!BA24+'Bloom Cleaner Data'!J24)</f>
        <v>0.24199462765035201</v>
      </c>
      <c r="IR24" s="18">
        <f>('Bloom Cleaner Data'!AA24+'OPERATING LEASES'!BB24)/('Bloom Cleaner Data'!AA24+'OPERATING LEASES'!BB24+'Bloom Cleaner Data'!K24)</f>
        <v>0.2245856460117715</v>
      </c>
      <c r="IS24" s="18">
        <f>('Bloom Cleaner Data'!AB24+'OPERATING LEASES'!BC24)/('Bloom Cleaner Data'!AB24+'OPERATING LEASES'!BC24+'Bloom Cleaner Data'!L24)</f>
        <v>0.22065927567404742</v>
      </c>
      <c r="IT24" s="18">
        <f>('Bloom Cleaner Data'!AC24+'OPERATING LEASES'!BD24)/('Bloom Cleaner Data'!AC24+'OPERATING LEASES'!BD24+'Bloom Cleaner Data'!M24)</f>
        <v>0.22020516748148458</v>
      </c>
      <c r="IU24" s="18">
        <f>('Bloom Cleaner Data'!AD24+'OPERATING LEASES'!BE24)/('Bloom Cleaner Data'!AD24+'OPERATING LEASES'!BE24+'Bloom Cleaner Data'!N24)</f>
        <v>0.31602212563008453</v>
      </c>
      <c r="IV24" s="18">
        <f>('Bloom Cleaner Data'!AE24+'OPERATING LEASES'!BF24)/('Bloom Cleaner Data'!AE24+'OPERATING LEASES'!BF24+'Bloom Cleaner Data'!O24)</f>
        <v>0.28154916487544268</v>
      </c>
      <c r="IW24" s="18">
        <f>('Bloom Cleaner Data'!AF24+'OPERATING LEASES'!BG24)/('Bloom Cleaner Data'!AF24+'OPERATING LEASES'!BG24+'Bloom Cleaner Data'!P24)</f>
        <v>0.27822380346221887</v>
      </c>
      <c r="IX24" s="18">
        <f>('Bloom Cleaner Data'!AG24+'OPERATING LEASES'!BH24)/('Bloom Cleaner Data'!AG24+'OPERATING LEASES'!BH24+'Bloom Cleaner Data'!Q24)</f>
        <v>0.24013262643683941</v>
      </c>
      <c r="IY24" s="18">
        <f>('Bloom Cleaner Data'!AH24+'OPERATING LEASES'!BI24)/('Bloom Cleaner Data'!AH24+'OPERATING LEASES'!BI24+'Bloom Cleaner Data'!R24)</f>
        <v>0.28147528322389997</v>
      </c>
      <c r="IZ24" s="15"/>
      <c r="JA24" s="10">
        <f t="shared" si="72"/>
        <v>0.20961441125119315</v>
      </c>
      <c r="JB24" s="10">
        <f t="shared" si="73"/>
        <v>0.84200521424561081</v>
      </c>
      <c r="JC24" s="10">
        <f t="shared" si="39"/>
        <v>5.592232047851195E-2</v>
      </c>
      <c r="JD24" s="10">
        <f t="shared" si="40"/>
        <v>0.36385945559959909</v>
      </c>
      <c r="JE24" s="7"/>
      <c r="JF24" s="485">
        <f t="shared" si="74"/>
        <v>0.1480811172564872</v>
      </c>
      <c r="JG24" s="452">
        <f t="shared" si="131"/>
        <v>0.1601639328173777</v>
      </c>
      <c r="JH24" s="452">
        <f t="shared" si="132"/>
        <v>0.18037160174147532</v>
      </c>
      <c r="JI24" s="452">
        <f t="shared" si="133"/>
        <v>0.11447009804107496</v>
      </c>
      <c r="JJ24" s="452">
        <f t="shared" si="134"/>
        <v>0.10124721306478174</v>
      </c>
      <c r="JK24" s="452">
        <f t="shared" si="135"/>
        <v>7.8375467568677595E-2</v>
      </c>
      <c r="JL24" s="452">
        <f t="shared" si="136"/>
        <v>0.31925186347983592</v>
      </c>
      <c r="JM24" s="452">
        <f t="shared" si="137"/>
        <v>0.28963307792362702</v>
      </c>
      <c r="JN24" s="452">
        <f t="shared" si="138"/>
        <v>0.28313582081174365</v>
      </c>
      <c r="JO24" s="452">
        <f t="shared" si="139"/>
        <v>0.28238859543385858</v>
      </c>
      <c r="JP24" s="452">
        <f t="shared" si="140"/>
        <v>0.46203559716197845</v>
      </c>
      <c r="JQ24" s="452">
        <f t="shared" si="141"/>
        <v>0.39188369072830254</v>
      </c>
      <c r="JR24" s="452">
        <f t="shared" si="142"/>
        <v>0.38547101552642482</v>
      </c>
      <c r="JS24" s="452">
        <f t="shared" si="143"/>
        <v>0.31601913016848254</v>
      </c>
      <c r="JT24" s="486">
        <f t="shared" si="144"/>
        <v>0.39174057155171005</v>
      </c>
      <c r="JU24" s="15"/>
      <c r="JV24" s="10">
        <f t="shared" si="75"/>
        <v>0.27661721101553638</v>
      </c>
      <c r="JW24" s="10">
        <f t="shared" si="76"/>
        <v>1.1718528181237067</v>
      </c>
      <c r="JX24" s="10">
        <f t="shared" si="77"/>
        <v>8.4280118770297147E-2</v>
      </c>
      <c r="JY24" s="10">
        <f t="shared" si="78"/>
        <v>0.43818962731762556</v>
      </c>
      <c r="JZ24" s="7"/>
      <c r="KA24" s="15">
        <f>'Bloom Cleaner Data'!T24/'Bloom Cleaner Data'!BU24*'Bloom Cleaner Data'!DA24</f>
        <v>0.19843411889804996</v>
      </c>
      <c r="KB24" s="15">
        <f>'Bloom Cleaner Data'!U24/'Bloom Cleaner Data'!BV24*'Bloom Cleaner Data'!DB24</f>
        <v>0.34745130976478439</v>
      </c>
      <c r="KC24" s="15">
        <f>'Bloom Cleaner Data'!V24/'Bloom Cleaner Data'!BW24*'Bloom Cleaner Data'!DC24</f>
        <v>0.41968551144657651</v>
      </c>
      <c r="KD24" s="15">
        <f>'Bloom Cleaner Data'!W24/'Bloom Cleaner Data'!BX24*'Bloom Cleaner Data'!DD24</f>
        <v>0.2248687422373829</v>
      </c>
      <c r="KE24" s="15">
        <f>'Bloom Cleaner Data'!X24/'Bloom Cleaner Data'!BY24*'Bloom Cleaner Data'!DE24</f>
        <v>0.15611859619514573</v>
      </c>
      <c r="KF24" s="15">
        <f>'Bloom Cleaner Data'!Y24/'Bloom Cleaner Data'!BZ24*'Bloom Cleaner Data'!DF24</f>
        <v>7.197608835815171E-2</v>
      </c>
      <c r="KG24" s="15">
        <f>'Bloom Cleaner Data'!Z24/'Bloom Cleaner Data'!CA24*'Bloom Cleaner Data'!DG24</f>
        <v>1.2938811904940553</v>
      </c>
      <c r="KH24" s="15">
        <f>'Bloom Cleaner Data'!AA24/'Bloom Cleaner Data'!CB24*'Bloom Cleaner Data'!DH24</f>
        <v>1.1357791853083579</v>
      </c>
      <c r="KI24" s="15">
        <f>'Bloom Cleaner Data'!AB24/'Bloom Cleaner Data'!CC24*'Bloom Cleaner Data'!DI24</f>
        <v>1.1817922556896128</v>
      </c>
      <c r="KJ24" s="15">
        <f>'Bloom Cleaner Data'!AC24/'Bloom Cleaner Data'!CD24*'Bloom Cleaner Data'!DJ24</f>
        <v>1.2696509424617648</v>
      </c>
      <c r="KK24" s="15">
        <f>'Bloom Cleaner Data'!AD24/'Bloom Cleaner Data'!CE24*'Bloom Cleaner Data'!DK24</f>
        <v>2.0092279288600334</v>
      </c>
      <c r="KL24" s="15">
        <f>'Bloom Cleaner Data'!AE24/'Bloom Cleaner Data'!CF24*'Bloom Cleaner Data'!DL24</f>
        <v>1.9337892139450727</v>
      </c>
      <c r="KM24" s="15">
        <f>'Bloom Cleaner Data'!AF24/'Bloom Cleaner Data'!CG24*'Bloom Cleaner Data'!DM24</f>
        <v>1.8782129644288121</v>
      </c>
      <c r="KN24" s="15">
        <f>'Bloom Cleaner Data'!AG24/'Bloom Cleaner Data'!CH24*'Bloom Cleaner Data'!DN24</f>
        <v>1.3524127230281229</v>
      </c>
      <c r="KO24" s="15">
        <f>'Bloom Cleaner Data'!AH24/'Bloom Cleaner Data'!CI24*'Bloom Cleaner Data'!DO24</f>
        <v>1.0969559167124168</v>
      </c>
      <c r="KP24" s="15"/>
      <c r="KQ24" s="15">
        <f t="shared" si="79"/>
        <v>1.4425272013897839</v>
      </c>
      <c r="KR24" s="15">
        <f t="shared" si="80"/>
        <v>1.5653427045286061</v>
      </c>
      <c r="KS24" s="15">
        <f t="shared" si="81"/>
        <v>1.078796250705039</v>
      </c>
      <c r="KT24" s="18">
        <f t="shared" si="82"/>
        <v>1.6137569365485536</v>
      </c>
      <c r="KU24" s="18"/>
      <c r="KV24" s="1694" t="s">
        <v>280</v>
      </c>
      <c r="KW24" s="506">
        <f>('Bloom Cleaner Data'!T24+'OPERATING LEASES'!AU24)/DK24</f>
        <v>0.71092452117947436</v>
      </c>
      <c r="KX24" s="506">
        <f>('Bloom Cleaner Data'!U24+'OPERATING LEASES'!AV24)/DL24</f>
        <v>0.825274202194067</v>
      </c>
      <c r="KY24" s="506">
        <f>('Bloom Cleaner Data'!V24+'OPERATING LEASES'!AW24)/DM24</f>
        <v>0.84159494021601833</v>
      </c>
      <c r="KZ24" s="506">
        <f>('Bloom Cleaner Data'!W24+'OPERATING LEASES'!AX24)/DN24</f>
        <v>0.63482837071720311</v>
      </c>
      <c r="LA24" s="506">
        <f>('Bloom Cleaner Data'!X24+'OPERATING LEASES'!AY24)/DO24</f>
        <v>0.54295666592641645</v>
      </c>
      <c r="LB24" s="506">
        <f>('Bloom Cleaner Data'!Y24+'OPERATING LEASES'!AZ24)/DP24</f>
        <v>0.44111850882177417</v>
      </c>
      <c r="LC24" s="506">
        <f>('Bloom Cleaner Data'!Z24+'OPERATING LEASES'!BA24)/DQ24</f>
        <v>1.5930825825952515</v>
      </c>
      <c r="LD24" s="506">
        <f>('Bloom Cleaner Data'!AA24+'OPERATING LEASES'!BB24)/DR24</f>
        <v>1.4237650669284265</v>
      </c>
      <c r="LE24" s="506">
        <f>('Bloom Cleaner Data'!AB24+'OPERATING LEASES'!BC24)/DS24</f>
        <v>1.4452756164870766</v>
      </c>
      <c r="LF24" s="506">
        <f>('Bloom Cleaner Data'!AC24+'OPERATING LEASES'!BD24)/DT24</f>
        <v>1.5739933662401624</v>
      </c>
      <c r="LG24" s="506">
        <f>('Bloom Cleaner Data'!AD24+'OPERATING LEASES'!BE24)/DU24</f>
        <v>2.3243381484278607</v>
      </c>
      <c r="LH24" s="506">
        <f>('Bloom Cleaner Data'!AE24+'OPERATING LEASES'!BF24)/DV24</f>
        <v>2.2917863848897442</v>
      </c>
      <c r="LI24" s="506">
        <f>('Bloom Cleaner Data'!AF24+'OPERATING LEASES'!BG24)/DW24</f>
        <v>2.2675766947342137</v>
      </c>
      <c r="LJ24" s="506">
        <f>('Bloom Cleaner Data'!AG24+'OPERATING LEASES'!BH24)/DX24</f>
        <v>1.7870121434013835</v>
      </c>
      <c r="LK24" s="506">
        <f>('Bloom Cleaner Data'!AH24+'OPERATING LEASES'!BI24)/DY24</f>
        <v>1.5521418473212367</v>
      </c>
      <c r="LL24" s="15"/>
      <c r="LM24" s="15">
        <f t="shared" si="83"/>
        <v>1.8689102284856114</v>
      </c>
      <c r="LN24" s="15">
        <f t="shared" si="84"/>
        <v>1.9746292675866448</v>
      </c>
      <c r="LO24" s="15">
        <f t="shared" si="85"/>
        <v>0.40928656305803868</v>
      </c>
      <c r="LP24" s="15">
        <f t="shared" si="86"/>
        <v>1.4399592566697517</v>
      </c>
      <c r="LQ24" s="18">
        <f t="shared" si="87"/>
        <v>0.8442860967329926</v>
      </c>
      <c r="LR24" s="15">
        <f t="shared" si="88"/>
        <v>0.36116300596471262</v>
      </c>
      <c r="LS24" s="18"/>
      <c r="LT24" s="15">
        <f t="shared" si="89"/>
        <v>0.71092452117947436</v>
      </c>
      <c r="LU24" s="15">
        <f t="shared" si="145"/>
        <v>0.825274202194067</v>
      </c>
      <c r="LV24" s="15">
        <f t="shared" si="146"/>
        <v>0.84159494021601833</v>
      </c>
      <c r="LW24" s="15">
        <f t="shared" si="147"/>
        <v>0.63482837071720311</v>
      </c>
      <c r="LX24" s="15">
        <f t="shared" si="148"/>
        <v>0.54295666592641645</v>
      </c>
      <c r="LY24" s="15">
        <f t="shared" si="149"/>
        <v>0.44111850882177417</v>
      </c>
      <c r="LZ24" s="15">
        <f t="shared" si="150"/>
        <v>1.5930825825952515</v>
      </c>
      <c r="MA24" s="15">
        <f t="shared" si="151"/>
        <v>1.4237650669284265</v>
      </c>
      <c r="MB24" s="15">
        <f t="shared" si="152"/>
        <v>1.4452756164870766</v>
      </c>
      <c r="MC24" s="15">
        <f t="shared" si="153"/>
        <v>1.5739933662401624</v>
      </c>
      <c r="MD24" s="15">
        <f t="shared" si="154"/>
        <v>2.3243381484278607</v>
      </c>
      <c r="ME24" s="15">
        <f t="shared" si="155"/>
        <v>2.2917863848897442</v>
      </c>
      <c r="MF24" s="15">
        <f t="shared" si="156"/>
        <v>2.2675766947342137</v>
      </c>
      <c r="MG24" s="15">
        <f t="shared" si="157"/>
        <v>1.7870121434013835</v>
      </c>
      <c r="MH24" s="15">
        <f t="shared" si="158"/>
        <v>1.5521418473212367</v>
      </c>
      <c r="MI24" s="15"/>
      <c r="MJ24" s="15">
        <f t="shared" si="104"/>
        <v>1.8689102284856114</v>
      </c>
      <c r="MK24" s="15">
        <f t="shared" si="105"/>
        <v>1.9746292675866448</v>
      </c>
      <c r="ML24" s="506">
        <f t="shared" si="106"/>
        <v>1.4399592566697517</v>
      </c>
      <c r="MM24" s="10">
        <f t="shared" si="107"/>
        <v>0.8442860967329926</v>
      </c>
      <c r="MN24" s="18"/>
      <c r="MO24" s="15">
        <f>('Bloom Cleaner Data'!T24+'Bloom Cleaner Data'!EY24)/'Bloom Cleaner Data'!GV24</f>
        <v>0.34124572832988842</v>
      </c>
      <c r="MP24" s="15">
        <f>('Bloom Cleaner Data'!U24+'Bloom Cleaner Data'!EZ24)/'Bloom Cleaner Data'!GW24</f>
        <v>0.45420228457803652</v>
      </c>
      <c r="MQ24" s="15">
        <f>('Bloom Cleaner Data'!V24+'Bloom Cleaner Data'!FA24)/'Bloom Cleaner Data'!GX24</f>
        <v>0.52552010760529921</v>
      </c>
      <c r="MR24" s="15">
        <f>('Bloom Cleaner Data'!W24+'Bloom Cleaner Data'!FB24)/'Bloom Cleaner Data'!GY24</f>
        <v>0.37014047878954359</v>
      </c>
      <c r="MS24" s="15">
        <f>('Bloom Cleaner Data'!X24+'Bloom Cleaner Data'!FC24)/'Bloom Cleaner Data'!GZ24</f>
        <v>0.23362032787773593</v>
      </c>
      <c r="MT24" s="15">
        <f>('Bloom Cleaner Data'!Y24+'Bloom Cleaner Data'!FD24)/'Bloom Cleaner Data'!HA24</f>
        <v>0.20361296478503754</v>
      </c>
      <c r="MU24" s="15">
        <f>('Bloom Cleaner Data'!Z24+'Bloom Cleaner Data'!FE24)/'Bloom Cleaner Data'!HB24</f>
        <v>1.4822448465474327</v>
      </c>
      <c r="MV24" s="15">
        <f>('Bloom Cleaner Data'!AA24+'Bloom Cleaner Data'!FF24)/'Bloom Cleaner Data'!HC24</f>
        <v>1.3978462296250151</v>
      </c>
      <c r="MW24" s="15">
        <f>('Bloom Cleaner Data'!AB24+'Bloom Cleaner Data'!FG24)/'Bloom Cleaner Data'!HD24</f>
        <v>1.2743580129487579</v>
      </c>
      <c r="MX24" s="15">
        <f>('Bloom Cleaner Data'!AC24+'Bloom Cleaner Data'!FH24)/'Bloom Cleaner Data'!HE24</f>
        <v>1.324060283532648</v>
      </c>
      <c r="MY24" s="15">
        <f>('Bloom Cleaner Data'!AD24+'Bloom Cleaner Data'!FI24)/'Bloom Cleaner Data'!HF24</f>
        <v>2.1398214821213504</v>
      </c>
      <c r="MZ24" s="15">
        <f>('Bloom Cleaner Data'!AE24+'Bloom Cleaner Data'!FJ24)/'Bloom Cleaner Data'!HG24</f>
        <v>2.0101452543807397</v>
      </c>
      <c r="NA24" s="15">
        <f>('Bloom Cleaner Data'!AF24+'Bloom Cleaner Data'!FK24)/'Bloom Cleaner Data'!HH24</f>
        <v>2.0846547415452568</v>
      </c>
      <c r="NB24" s="15">
        <f>('Bloom Cleaner Data'!AG24+'Bloom Cleaner Data'!FL24)/'Bloom Cleaner Data'!HI24</f>
        <v>1.4001434820195149</v>
      </c>
      <c r="NC24" s="15">
        <f>('Bloom Cleaner Data'!AH24+'Bloom Cleaner Data'!FM24)/'Bloom Cleaner Data'!HJ24</f>
        <v>1.188235280073171</v>
      </c>
      <c r="ND24" s="15"/>
      <c r="NE24" s="15">
        <f t="shared" si="43"/>
        <v>9.1279363360754262E-2</v>
      </c>
      <c r="NF24" s="15">
        <f t="shared" si="108"/>
        <v>1.5576778345459807</v>
      </c>
      <c r="NG24" s="15">
        <f t="shared" si="44"/>
        <v>0.11515063315619689</v>
      </c>
      <c r="NH24" s="15">
        <f t="shared" si="109"/>
        <v>1.6707946895046706</v>
      </c>
      <c r="NI24" s="15">
        <f t="shared" si="110"/>
        <v>1.2026464224501157</v>
      </c>
      <c r="NJ24" s="18">
        <f t="shared" si="111"/>
        <v>1.2610653005985744</v>
      </c>
      <c r="NK24" s="15">
        <f t="shared" si="45"/>
        <v>0.12385017174507662</v>
      </c>
      <c r="NL24" s="2818"/>
      <c r="NM24" s="1694" t="s">
        <v>280</v>
      </c>
      <c r="NN24" s="15">
        <f>KW24+'Bloom Cleaner Data'!EY24/CALCULATIONS!DK24</f>
        <v>0.84071628553668831</v>
      </c>
      <c r="NO24" s="15">
        <f>KX24+'Bloom Cleaner Data'!EZ24/CALCULATIONS!DL24</f>
        <v>0.92297603127541017</v>
      </c>
      <c r="NP24" s="15">
        <f>KY24+'Bloom Cleaner Data'!FA24/CALCULATIONS!DM24</f>
        <v>0.93966869921362106</v>
      </c>
      <c r="NQ24" s="15">
        <f>KZ24+'Bloom Cleaner Data'!FB24/CALCULATIONS!DN24</f>
        <v>0.77044459203164428</v>
      </c>
      <c r="NR24" s="15">
        <f>LA24+'Bloom Cleaner Data'!FC24/CALCULATIONS!DO24</f>
        <v>0.61584251821841907</v>
      </c>
      <c r="NS24" s="15">
        <f>LB24+'Bloom Cleaner Data'!FD24/CALCULATIONS!DP24</f>
        <v>0.56535669571282432</v>
      </c>
      <c r="NT24" s="15">
        <f>LC24+'Bloom Cleaner Data'!FE24/CALCULATIONS!DQ24</f>
        <v>1.7708789105837119</v>
      </c>
      <c r="NU24" s="15">
        <f>LD24+'Bloom Cleaner Data'!FF24/CALCULATIONS!DR24</f>
        <v>1.6720539713810258</v>
      </c>
      <c r="NV24" s="15">
        <f>LE24+'Bloom Cleaner Data'!FG24/CALCULATIONS!DS24</f>
        <v>1.5333385231011276</v>
      </c>
      <c r="NW24" s="15">
        <f>LF24+'Bloom Cleaner Data'!FH24/CALCULATIONS!DT24</f>
        <v>1.62527551828394</v>
      </c>
      <c r="NX24" s="15">
        <f>LG24+'Bloom Cleaner Data'!FI24/CALCULATIONS!DU24</f>
        <v>2.4458410900788694</v>
      </c>
      <c r="NY24" s="15">
        <f>LH24+'Bloom Cleaner Data'!FJ24/CALCULATIONS!DV24</f>
        <v>2.362170284444451</v>
      </c>
      <c r="NZ24" s="15">
        <f>LI24+'Bloom Cleaner Data'!FK24/CALCULATIONS!DW24</f>
        <v>2.4565846380540184</v>
      </c>
      <c r="OA24" s="15">
        <f>LJ24+'Bloom Cleaner Data'!FL24/CALCULATIONS!DX24</f>
        <v>1.8307043458305896</v>
      </c>
      <c r="OB24" s="15">
        <f>LK24+'Bloom Cleaner Data'!FM24/CALCULATIONS!DY24</f>
        <v>1.635715357616891</v>
      </c>
      <c r="OC24" s="15"/>
      <c r="OD24" s="15">
        <f t="shared" si="46"/>
        <v>8.3573510295654296E-2</v>
      </c>
      <c r="OE24" s="15">
        <f t="shared" si="112"/>
        <v>1.9743347805004996</v>
      </c>
      <c r="OF24" s="15">
        <f t="shared" si="47"/>
        <v>0.10542455201488821</v>
      </c>
      <c r="OG24" s="15">
        <f t="shared" si="113"/>
        <v>2.0712936564864872</v>
      </c>
      <c r="OH24" s="15">
        <f t="shared" si="114"/>
        <v>1.5556827034270104</v>
      </c>
      <c r="OI24" s="18">
        <f t="shared" si="115"/>
        <v>0.74073623925727161</v>
      </c>
      <c r="OJ24" s="15">
        <f t="shared" si="48"/>
        <v>0.11572344675725876</v>
      </c>
      <c r="OK24" s="15"/>
      <c r="OL24" s="13">
        <f>'Bloom Cleaner Data'!GF24+('Bloom Cleaner Data'!T24+'Bloom Cleaner Data'!EY24)+'Bloom Cleaner Data'!CK24</f>
        <v>31663</v>
      </c>
      <c r="OM24" s="13">
        <f>'Bloom Cleaner Data'!GG24+('Bloom Cleaner Data'!U24+'Bloom Cleaner Data'!EZ24)+'Bloom Cleaner Data'!CL24</f>
        <v>32545</v>
      </c>
      <c r="ON24" s="13">
        <f>'Bloom Cleaner Data'!GH24+('Bloom Cleaner Data'!V24+'Bloom Cleaner Data'!FA24)+'Bloom Cleaner Data'!CM24</f>
        <v>32186</v>
      </c>
      <c r="OO24" s="13">
        <f>'Bloom Cleaner Data'!GI24+('Bloom Cleaner Data'!W24+'Bloom Cleaner Data'!FB24)+'Bloom Cleaner Data'!CN24</f>
        <v>31483</v>
      </c>
      <c r="OP24" s="13">
        <f>'Bloom Cleaner Data'!GJ24+('Bloom Cleaner Data'!X24+'Bloom Cleaner Data'!FC24)+'Bloom Cleaner Data'!CO24</f>
        <v>31392</v>
      </c>
      <c r="OQ24" s="13">
        <f>'Bloom Cleaner Data'!GK24+('Bloom Cleaner Data'!Y24+'Bloom Cleaner Data'!FD24)+'Bloom Cleaner Data'!CP24</f>
        <v>32223</v>
      </c>
      <c r="OR24" s="13">
        <f>'Bloom Cleaner Data'!GL24+('Bloom Cleaner Data'!Z24+'Bloom Cleaner Data'!FE24)+'Bloom Cleaner Data'!CQ24</f>
        <v>35398.000000000007</v>
      </c>
      <c r="OS24" s="13">
        <f>'Bloom Cleaner Data'!GM24+('Bloom Cleaner Data'!AA24+'Bloom Cleaner Data'!FF24)+'Bloom Cleaner Data'!CR24</f>
        <v>36180</v>
      </c>
      <c r="OT24" s="13">
        <f>'Bloom Cleaner Data'!GN24+('Bloom Cleaner Data'!AB24+'Bloom Cleaner Data'!FG24)+'Bloom Cleaner Data'!CS24</f>
        <v>35580</v>
      </c>
      <c r="OU24" s="13">
        <f>'Bloom Cleaner Data'!GO24+('Bloom Cleaner Data'!AC24+'Bloom Cleaner Data'!FH24)+'Bloom Cleaner Data'!CT24</f>
        <v>35561</v>
      </c>
      <c r="OV24" s="13">
        <f>'Bloom Cleaner Data'!GP24+('Bloom Cleaner Data'!AD24+'Bloom Cleaner Data'!FI24)+'Bloom Cleaner Data'!CU24</f>
        <v>35783</v>
      </c>
      <c r="OW24" s="13">
        <f>'Bloom Cleaner Data'!GQ24+('Bloom Cleaner Data'!AE24+'Bloom Cleaner Data'!FJ24)+'Bloom Cleaner Data'!CV24</f>
        <v>33571.000000000007</v>
      </c>
      <c r="OX24" s="13">
        <f>'Bloom Cleaner Data'!GR24+('Bloom Cleaner Data'!AF24+'Bloom Cleaner Data'!FK24)+'Bloom Cleaner Data'!CW24</f>
        <v>37326</v>
      </c>
      <c r="OY24" s="13">
        <f>'Bloom Cleaner Data'!GS24+('Bloom Cleaner Data'!AG24+'Bloom Cleaner Data'!FL24)+'Bloom Cleaner Data'!CX24</f>
        <v>32150</v>
      </c>
      <c r="OZ24" s="13">
        <f>'Bloom Cleaner Data'!GT24+('Bloom Cleaner Data'!AH24+'Bloom Cleaner Data'!FM24)+'Bloom Cleaner Data'!CY24</f>
        <v>30928</v>
      </c>
      <c r="PA24" s="166"/>
      <c r="PB24" s="1694" t="s">
        <v>280</v>
      </c>
      <c r="PC24" s="947">
        <f>('Bloom Cleaner Data'!T24+'Bloom Cleaner Data'!EY24+'OPERATING LEASES'!BL24)/CALCULATIONS!OL24</f>
        <v>0.12811709024954768</v>
      </c>
      <c r="PD24" s="947">
        <f>('Bloom Cleaner Data'!U24+'Bloom Cleaner Data'!EZ24+'OPERATING LEASES'!BM24)/CALCULATIONS!OM24</f>
        <v>0.1562929350569541</v>
      </c>
      <c r="PE24" s="947">
        <f>('Bloom Cleaner Data'!V24+'Bloom Cleaner Data'!FA24+'OPERATING LEASES'!BN24)/CALCULATIONS!ON24</f>
        <v>0.19028570540874026</v>
      </c>
      <c r="PF24" s="947">
        <f>('Bloom Cleaner Data'!W24+'Bloom Cleaner Data'!FB24+'OPERATING LEASES'!BO24)/CALCULATIONS!OO24</f>
        <v>0.14599999546240375</v>
      </c>
      <c r="PG24" s="947">
        <f>('Bloom Cleaner Data'!X24+'Bloom Cleaner Data'!FC24+'OPERATING LEASES'!BP24)/CALCULATIONS!OP24</f>
        <v>0.10179345056065239</v>
      </c>
      <c r="PH24" s="947">
        <f>('Bloom Cleaner Data'!Y24+'Bloom Cleaner Data'!FD24+'OPERATING LEASES'!BQ24)/CALCULATIONS!OQ24</f>
        <v>8.9526502808552899E-2</v>
      </c>
      <c r="PI24" s="947">
        <f>('Bloom Cleaner Data'!Z24+'Bloom Cleaner Data'!FE24+'OPERATING LEASES'!BR24)/CALCULATIONS!OR24</f>
        <v>0.45734575399740091</v>
      </c>
      <c r="PJ24" s="947">
        <f>('Bloom Cleaner Data'!AA24+'Bloom Cleaner Data'!FF24+'OPERATING LEASES'!BS24)/CALCULATIONS!OS24</f>
        <v>0.43102370093974574</v>
      </c>
      <c r="PK24" s="947">
        <f>('Bloom Cleaner Data'!AB24+'Bloom Cleaner Data'!FG24+'OPERATING LEASES'!BT24)/CALCULATIONS!OT24</f>
        <v>0.41292158516020239</v>
      </c>
      <c r="PL24" s="947">
        <f>('Bloom Cleaner Data'!AC24+'Bloom Cleaner Data'!FH24+'OPERATING LEASES'!BU24)/CALCULATIONS!OU24</f>
        <v>0.39084776862292964</v>
      </c>
      <c r="PM24" s="947">
        <f>('Bloom Cleaner Data'!AD24+'Bloom Cleaner Data'!FI24+'OPERATING LEASES'!BV24)/CALCULATIONS!OV24</f>
        <v>0.54358564122628061</v>
      </c>
      <c r="PN24" s="947">
        <f>('Bloom Cleaner Data'!AE24+'Bloom Cleaner Data'!FJ24+'OPERATING LEASES'!BW24)/CALCULATIONS!OW24</f>
        <v>0.51652654076435012</v>
      </c>
      <c r="PO24" s="947">
        <f>('Bloom Cleaner Data'!AF24+'Bloom Cleaner Data'!FK24+'OPERATING LEASES'!BX24)/CALCULATIONS!OX24</f>
        <v>0.4726330171998071</v>
      </c>
      <c r="PP24" s="947">
        <f>('Bloom Cleaner Data'!AG24+'Bloom Cleaner Data'!FL24+'OPERATING LEASES'!BY24)/CALCULATIONS!OY24</f>
        <v>0.37544323483670294</v>
      </c>
      <c r="PQ24" s="947">
        <f>('Bloom Cleaner Data'!AH24+'Bloom Cleaner Data'!FM24+'OPERATING LEASES'!BZ24)/CALCULATIONS!OZ24</f>
        <v>0.33563437661665807</v>
      </c>
      <c r="PR24" s="947"/>
      <c r="PS24" s="18">
        <f t="shared" si="116"/>
        <v>0.39457020955105609</v>
      </c>
      <c r="PT24" s="18">
        <f t="shared" si="117"/>
        <v>0.42505929235437956</v>
      </c>
      <c r="PU24" s="18">
        <f t="shared" si="118"/>
        <v>0.34335132873880209</v>
      </c>
      <c r="PV24" s="10">
        <f t="shared" si="119"/>
        <v>0.76384440384370356</v>
      </c>
      <c r="PW24" s="10"/>
      <c r="PX24" s="506">
        <f>'Bloom Cleaner Data'!D24/'Bloom Cleaner Data'!GF24</f>
        <v>1.7049016160196733</v>
      </c>
      <c r="PY24" s="506">
        <f>'Bloom Cleaner Data'!E24/'Bloom Cleaner Data'!GG24</f>
        <v>1.8494085390401527</v>
      </c>
      <c r="PZ24" s="506">
        <f>'Bloom Cleaner Data'!F24/'Bloom Cleaner Data'!GH24</f>
        <v>1.898834346029264</v>
      </c>
      <c r="QA24" s="506">
        <f>'Bloom Cleaner Data'!G24/'Bloom Cleaner Data'!GI24</f>
        <v>2.2397781096148277</v>
      </c>
      <c r="QB24" s="506">
        <f>'Bloom Cleaner Data'!H24/'Bloom Cleaner Data'!GJ24</f>
        <v>2.1251173298701298</v>
      </c>
      <c r="QC24" s="506">
        <f>'Bloom Cleaner Data'!I24/'Bloom Cleaner Data'!GK24</f>
        <v>2.1799114879285049</v>
      </c>
      <c r="QD24" s="506">
        <f>'Bloom Cleaner Data'!J24/'Bloom Cleaner Data'!GL24</f>
        <v>2.7995332778618254</v>
      </c>
      <c r="QE24" s="506">
        <f>'Bloom Cleaner Data'!K24/'Bloom Cleaner Data'!GM24</f>
        <v>2.6288344272358106</v>
      </c>
      <c r="QF24" s="506">
        <f>'Bloom Cleaner Data'!L24/'Bloom Cleaner Data'!GN24</f>
        <v>2.7723139800484802</v>
      </c>
      <c r="QG24" s="506">
        <f>'Bloom Cleaner Data'!M24/'Bloom Cleaner Data'!GO24</f>
        <v>2.6646638318890035</v>
      </c>
      <c r="QH24" s="506">
        <f>'Bloom Cleaner Data'!N24/'Bloom Cleaner Data'!GP24</f>
        <v>2.79582110561639</v>
      </c>
      <c r="QI24" s="506">
        <f>'Bloom Cleaner Data'!O24/'Bloom Cleaner Data'!GQ24</f>
        <v>3.1017282161842883</v>
      </c>
      <c r="QJ24" s="506">
        <f>'Bloom Cleaner Data'!P24/'Bloom Cleaner Data'!GR24</f>
        <v>2.5488192177786479</v>
      </c>
      <c r="QK24" s="506">
        <f>'Bloom Cleaner Data'!Q24/'Bloom Cleaner Data'!GS24</f>
        <v>2.3989018967587032</v>
      </c>
      <c r="QL24" s="506">
        <f>'Bloom Cleaner Data'!R24/'Bloom Cleaner Data'!GT24</f>
        <v>1.6476276710656086</v>
      </c>
      <c r="QM24" s="506"/>
      <c r="QN24" s="506">
        <f t="shared" si="120"/>
        <v>2.446298838298576</v>
      </c>
      <c r="QO24" s="10">
        <f t="shared" si="121"/>
        <v>-0.13229520283797519</v>
      </c>
      <c r="QP24" s="506">
        <f t="shared" si="122"/>
        <v>2.2877880359292329</v>
      </c>
      <c r="QQ24" s="18"/>
      <c r="QR24" s="506">
        <f>'Bloom Cleaner Data'!GF24/CALCULATIONS!DK24</f>
        <v>2.8159470826433641</v>
      </c>
      <c r="QS24" s="506">
        <f>'Bloom Cleaner Data'!GG24/CALCULATIONS!DL24</f>
        <v>2.7861255731081509</v>
      </c>
      <c r="QT24" s="506">
        <f>'Bloom Cleaner Data'!GH24/CALCULATIONS!DM24</f>
        <v>2.4572416911535555</v>
      </c>
      <c r="QU24" s="506">
        <f>'Bloom Cleaner Data'!GI24/CALCULATIONS!DN24</f>
        <v>2.4760492383279065</v>
      </c>
      <c r="QV24" s="506">
        <f>'Bloom Cleaner Data'!GJ24/CALCULATIONS!DO24</f>
        <v>2.5234760011169977</v>
      </c>
      <c r="QW24" s="506">
        <f>'Bloom Cleaner Data'!GK24/CALCULATIONS!DP24</f>
        <v>2.5818813225840698</v>
      </c>
      <c r="QX24" s="506">
        <f>'Bloom Cleaner Data'!GL24/CALCULATIONS!DQ24</f>
        <v>1.7824576258903788</v>
      </c>
      <c r="QY24" s="506">
        <f>'Bloom Cleaner Data'!GM24/CALCULATIONS!DR24</f>
        <v>1.8699368486831967</v>
      </c>
      <c r="QZ24" s="506">
        <f>'Bloom Cleaner Data'!GN24/CALCULATIONS!DS24</f>
        <v>1.8412528973534319</v>
      </c>
      <c r="RA24" s="506">
        <f>'Bloom Cleaner Data'!GO24/CALCULATIONS!DT24</f>
        <v>2.0917670479248529</v>
      </c>
      <c r="RB24" s="506">
        <f>'Bloom Cleaner Data'!GP24/CALCULATIONS!DU24</f>
        <v>1.7993452196024691</v>
      </c>
      <c r="RC24" s="506">
        <f>'Bloom Cleaner Data'!GQ24/CALCULATIONS!DV24</f>
        <v>1.8854421194006106</v>
      </c>
      <c r="RD24" s="506">
        <f>'Bloom Cleaner Data'!GR24/CALCULATIONS!DW24</f>
        <v>2.3079756569517582</v>
      </c>
      <c r="RE24" s="506">
        <f>'Bloom Cleaner Data'!GS24/CALCULATIONS!DX24</f>
        <v>2.3572282787259522</v>
      </c>
      <c r="RF24" s="506">
        <f>'Bloom Cleaner Data'!GT24/CALCULATIONS!DY24</f>
        <v>2.4047712901694145</v>
      </c>
      <c r="RG24" s="506"/>
      <c r="RH24" s="506">
        <f t="shared" si="123"/>
        <v>2.1829865567603535</v>
      </c>
      <c r="RI24" s="506">
        <f t="shared" si="124"/>
        <v>2.0377974427446737</v>
      </c>
      <c r="RJ24" s="18"/>
      <c r="RK24" s="506">
        <f>'Bloom Cleaner Data'!GF24/($RK$1*DK24+(1-$RK$1)*'Bloom Cleaner Data'!GV24)</f>
        <v>2.8159470826433641</v>
      </c>
      <c r="RL24" s="506">
        <f>'Bloom Cleaner Data'!GG24/($RK$1*DL24+(1-$RK$1)*'Bloom Cleaner Data'!GW24)</f>
        <v>2.7861255731081509</v>
      </c>
      <c r="RM24" s="506">
        <f>'Bloom Cleaner Data'!GH24/($RK$1*DM24+(1-$RK$1)*'Bloom Cleaner Data'!GX24)</f>
        <v>2.4572416911535555</v>
      </c>
      <c r="RN24" s="506">
        <f>'Bloom Cleaner Data'!GI24/($RK$1*DN24+(1-$RK$1)*'Bloom Cleaner Data'!GY24)</f>
        <v>2.4760492383279065</v>
      </c>
      <c r="RO24" s="506">
        <f>'Bloom Cleaner Data'!GJ24/($RK$1*DO24+(1-$RK$1)*'Bloom Cleaner Data'!GZ24)</f>
        <v>2.5234760011169977</v>
      </c>
      <c r="RP24" s="506">
        <f>'Bloom Cleaner Data'!GK24/($RK$1*DP24+(1-$RK$1)*'Bloom Cleaner Data'!HA24)</f>
        <v>2.5818813225840698</v>
      </c>
      <c r="RQ24" s="506">
        <f>'Bloom Cleaner Data'!GL24/($RK$1*DQ24+(1-$RK$1)*'Bloom Cleaner Data'!HB24)</f>
        <v>1.7824576258903788</v>
      </c>
      <c r="RR24" s="506">
        <f>'Bloom Cleaner Data'!GM24/($RK$1*DR24+(1-$RK$1)*'Bloom Cleaner Data'!HC24)</f>
        <v>1.8699368486831967</v>
      </c>
      <c r="RS24" s="506">
        <f>'Bloom Cleaner Data'!GN24/($RK$1*DS24+(1-$RK$1)*'Bloom Cleaner Data'!HD24)</f>
        <v>1.8412528973534319</v>
      </c>
      <c r="RT24" s="506">
        <f>'Bloom Cleaner Data'!GO24/($RK$1*DT24+(1-$RK$1)*'Bloom Cleaner Data'!HE24)</f>
        <v>2.0917670479248529</v>
      </c>
      <c r="RU24" s="506">
        <f>'Bloom Cleaner Data'!GP24/($RK$1*DU24+(1-$RK$1)*'Bloom Cleaner Data'!HF24)</f>
        <v>1.7993452196024691</v>
      </c>
      <c r="RV24" s="506">
        <f>'Bloom Cleaner Data'!GQ24/($RK$1*DV24+(1-$RK$1)*'Bloom Cleaner Data'!HG24)</f>
        <v>1.8854421194006106</v>
      </c>
      <c r="RW24" s="506">
        <f>'Bloom Cleaner Data'!GR24/($RK$1*DW24+(1-$RK$1)*'Bloom Cleaner Data'!HH24)</f>
        <v>2.3079756569517582</v>
      </c>
      <c r="RX24" s="506">
        <f>'Bloom Cleaner Data'!GS24/($RK$1*DX24+(1-$RK$1)*'Bloom Cleaner Data'!HI24)</f>
        <v>2.3572282787259522</v>
      </c>
      <c r="RY24" s="506">
        <f>'Bloom Cleaner Data'!GT24/($RK$1*DY24+(1-$RK$1)*'Bloom Cleaner Data'!HJ24)</f>
        <v>2.4047712901694145</v>
      </c>
      <c r="RZ24" s="506"/>
      <c r="SA24" s="506">
        <f t="shared" si="125"/>
        <v>2.1829865567603535</v>
      </c>
      <c r="SB24" s="506">
        <f t="shared" si="126"/>
        <v>2.0377974427446737</v>
      </c>
      <c r="SC24" s="18"/>
      <c r="SD24" s="15">
        <f>'Bloom Cleaner Data'!HM24</f>
        <v>8.3986999999999998</v>
      </c>
      <c r="SE24" s="15">
        <f>'Bloom Cleaner Data'!HN24</f>
        <v>9.0451999999999995</v>
      </c>
      <c r="SF24" s="15">
        <f>'Bloom Cleaner Data'!HO24</f>
        <v>10.833600000000001</v>
      </c>
      <c r="SG24" s="15">
        <f>'Bloom Cleaner Data'!HP24</f>
        <v>11.3103</v>
      </c>
      <c r="SH24" s="15">
        <f>'Bloom Cleaner Data'!HQ24</f>
        <v>12.945600000000001</v>
      </c>
      <c r="SI24" s="15">
        <f>'Bloom Cleaner Data'!HR24</f>
        <v>12.838699999999999</v>
      </c>
      <c r="SJ24" s="15">
        <f>'Bloom Cleaner Data'!HS24</f>
        <v>10.1486</v>
      </c>
      <c r="SK24" s="15">
        <f>'Bloom Cleaner Data'!HT24</f>
        <v>7.8585000000000003</v>
      </c>
      <c r="SL24" s="15">
        <f>'Bloom Cleaner Data'!HU24</f>
        <v>6.5148999999999999</v>
      </c>
      <c r="SM24" s="15">
        <f>'Bloom Cleaner Data'!HV24</f>
        <v>6.5583</v>
      </c>
      <c r="SN24" s="15">
        <f>'Bloom Cleaner Data'!HW24</f>
        <v>5.6955</v>
      </c>
      <c r="SO24" s="15">
        <f>'Bloom Cleaner Data'!HX24</f>
        <v>5.7134</v>
      </c>
      <c r="SP24" s="15">
        <f>'Bloom Cleaner Data'!HY24</f>
        <v>5.6101999999999999</v>
      </c>
      <c r="SQ24" s="15">
        <f>'Bloom Cleaner Data'!HZ24</f>
        <v>6.6901999999999999</v>
      </c>
      <c r="SR24" s="15">
        <f>'Bloom Cleaner Data'!IA24</f>
        <v>6.7249999999999996</v>
      </c>
      <c r="SS24" s="15"/>
      <c r="ST24" s="15">
        <f t="shared" si="127"/>
        <v>8.4591133333333328</v>
      </c>
      <c r="SU24" s="487">
        <f t="shared" si="128"/>
        <v>-0.37924604932801659</v>
      </c>
      <c r="SV24" s="15">
        <f t="shared" si="129"/>
        <v>-4.1086000000000009</v>
      </c>
    </row>
    <row r="25" spans="1:518">
      <c r="A25" s="11" t="s">
        <v>504</v>
      </c>
      <c r="B25" s="72">
        <v>1</v>
      </c>
      <c r="C25" s="83" t="s">
        <v>288</v>
      </c>
      <c r="D25" s="1133" t="s">
        <v>1040</v>
      </c>
      <c r="E25" s="224" t="s">
        <v>63</v>
      </c>
      <c r="F25" s="224"/>
      <c r="G25" s="13">
        <f>'Bloom Cleaner Data'!D25*'Bloom Cleaner Data'!D48</f>
        <v>13817.30563961</v>
      </c>
      <c r="H25" s="13">
        <f>'Bloom Cleaner Data'!F25*'Bloom Cleaner Data'!F48</f>
        <v>14416.151804649999</v>
      </c>
      <c r="I25" s="13">
        <f>'Bloom Cleaner Data'!H25*'Bloom Cleaner Data'!H48</f>
        <v>17022.577324620001</v>
      </c>
      <c r="J25" s="13">
        <f>'Bloom Cleaner Data'!J25*'Bloom Cleaner Data'!J48</f>
        <v>16383.100039600002</v>
      </c>
      <c r="K25" s="13">
        <f>'Bloom Cleaner Data'!L25*'Bloom Cleaner Data'!L48</f>
        <v>15157.985486674395</v>
      </c>
      <c r="L25" s="13">
        <f>'Bloom Cleaner Data'!N25*'Bloom Cleaner Data'!N48</f>
        <v>16454.992848035115</v>
      </c>
      <c r="M25" s="13">
        <f>'Bloom Cleaner Data'!P25*'Bloom Cleaner Data'!P48</f>
        <v>16892.767568949999</v>
      </c>
      <c r="N25" s="13">
        <f>'Bloom Cleaner Data'!R25*'Bloom Cleaner Data'!R48</f>
        <v>17428.290742138299</v>
      </c>
      <c r="O25" s="13"/>
      <c r="P25" s="13">
        <f t="shared" si="0"/>
        <v>16250.837973523972</v>
      </c>
      <c r="Q25" s="13">
        <f t="shared" si="49"/>
        <v>16925.35038637447</v>
      </c>
      <c r="R25" s="10">
        <f t="shared" si="1"/>
        <v>0.20894195471198634</v>
      </c>
      <c r="S25" s="18">
        <f>('Bloom Cleaner Data'!R25-'Bloom Cleaner Data'!F25)/'Bloom Cleaner Data'!F25</f>
        <v>0.1272838779318437</v>
      </c>
      <c r="T25" s="10">
        <f t="shared" si="2"/>
        <v>0.31071753361762527</v>
      </c>
      <c r="U25" s="10"/>
      <c r="V25" s="1277" t="s">
        <v>288</v>
      </c>
      <c r="W25" s="1238">
        <f>'Bloom Cleaner Data'!D25/'Bloom Cleaner Data'!$F25</f>
        <v>1.078143187139347</v>
      </c>
      <c r="X25" s="1238">
        <f>'Bloom Cleaner Data'!E25/'Bloom Cleaner Data'!$F25</f>
        <v>1.0487882887528372</v>
      </c>
      <c r="Y25" s="1238">
        <f>'Bloom Cleaner Data'!F25/'Bloom Cleaner Data'!$F25</f>
        <v>1</v>
      </c>
      <c r="Z25" s="1238">
        <f>'Bloom Cleaner Data'!G25/'Bloom Cleaner Data'!$F25</f>
        <v>1.0601926602333713</v>
      </c>
      <c r="AA25" s="1238">
        <f>'Bloom Cleaner Data'!H25/'Bloom Cleaner Data'!$F25</f>
        <v>1.1203853204667424</v>
      </c>
      <c r="AB25" s="1238">
        <f>'Bloom Cleaner Data'!I25/'Bloom Cleaner Data'!$F25</f>
        <v>1.115893701869253</v>
      </c>
      <c r="AC25" s="1238">
        <f>'Bloom Cleaner Data'!J25/'Bloom Cleaner Data'!$F25</f>
        <v>1.0506950101353865</v>
      </c>
      <c r="AD25" s="1238">
        <f>'Bloom Cleaner Data'!K25/'Bloom Cleaner Data'!$F25</f>
        <v>1.0106296005117381</v>
      </c>
      <c r="AE25" s="1238">
        <f>'Bloom Cleaner Data'!L25/'Bloom Cleaner Data'!$F25</f>
        <v>0.97001093262901461</v>
      </c>
      <c r="AF25" s="1238">
        <f>'Bloom Cleaner Data'!M25/'Bloom Cleaner Data'!$F25</f>
        <v>0.99455001706317647</v>
      </c>
      <c r="AG25" s="1238">
        <f>'Bloom Cleaner Data'!N25/'Bloom Cleaner Data'!$F25</f>
        <v>1.0389763401054615</v>
      </c>
      <c r="AH25" s="1238">
        <f>'Bloom Cleaner Data'!O25/'Bloom Cleaner Data'!$F25</f>
        <v>1.0302546079744606</v>
      </c>
      <c r="AI25" s="1238">
        <f>'Bloom Cleaner Data'!P25/'Bloom Cleaner Data'!$F25</f>
        <v>1.0733077374198514</v>
      </c>
      <c r="AJ25" s="1238">
        <f>'Bloom Cleaner Data'!Q25/'Bloom Cleaner Data'!$F25</f>
        <v>1.1970564196149549</v>
      </c>
      <c r="AK25" s="1238">
        <f>'Bloom Cleaner Data'!R25/'Bloom Cleaner Data'!$F25</f>
        <v>1.1272838779318437</v>
      </c>
      <c r="AL25" s="13"/>
      <c r="AM25" s="13">
        <f>AVERAGE('Bloom Cleaner Data'!BW25:CI25)</f>
        <v>29104.848176923078</v>
      </c>
      <c r="AN25" s="18">
        <f>('Bloom Cleaner Data'!CI25-'Bloom Cleaner Data'!BW25)/'Bloom Cleaner Data'!BW25</f>
        <v>4.5386419334171112E-2</v>
      </c>
      <c r="AO25" s="18">
        <f>('Bloom Cleaner Data'!CI25+'Bloom Cleaner Data'!CH25-'Bloom Cleaner Data'!BW25-'Bloom Cleaner Data'!BV25)/('Bloom Cleaner Data'!BW25+'Bloom Cleaner Data'!BV25)</f>
        <v>5.2008372716049814E-2</v>
      </c>
      <c r="AP25" s="13"/>
      <c r="AQ25" s="13">
        <f>'Bloom Cleaner Data'!BW25*'Bloom Cleaner Data'!BW48</f>
        <v>21912.407304649998</v>
      </c>
      <c r="AR25" s="13">
        <f>'Bloom Cleaner Data'!BY25*'Bloom Cleaner Data'!BY48</f>
        <v>24366.665124619998</v>
      </c>
      <c r="AS25" s="13">
        <f>'Bloom Cleaner Data'!CA25*'Bloom Cleaner Data'!CA48</f>
        <v>24307.343639600003</v>
      </c>
      <c r="AT25" s="13">
        <f>'Bloom Cleaner Data'!CC25*'Bloom Cleaner Data'!CC48</f>
        <v>22120.272865212395</v>
      </c>
      <c r="AU25" s="13">
        <f>'Bloom Cleaner Data'!CE25*'Bloom Cleaner Data'!CE48</f>
        <v>23902.975024525455</v>
      </c>
      <c r="AV25" s="13">
        <f>'Bloom Cleaner Data'!CG25*'Bloom Cleaner Data'!CG48</f>
        <v>23707.202468949996</v>
      </c>
      <c r="AW25" s="13">
        <f>'Bloom Cleaner Data'!CI25*'Bloom Cleaner Data'!CI48</f>
        <v>24566.263133136898</v>
      </c>
      <c r="AX25" s="13"/>
      <c r="AY25" s="13">
        <f t="shared" si="3"/>
        <v>23554.732794384963</v>
      </c>
      <c r="AZ25" s="10">
        <f t="shared" si="4"/>
        <v>0.12111201620114687</v>
      </c>
      <c r="BA25" s="10"/>
      <c r="BB25" s="13">
        <f>'Bloom Cleaner Data'!T25+'OPERATING LEASES'!AU25</f>
        <v>10223.065141230851</v>
      </c>
      <c r="BC25" s="13">
        <f>'Bloom Cleaner Data'!U25+'OPERATING LEASES'!AV25</f>
        <v>9607.9220024551159</v>
      </c>
      <c r="BD25" s="13">
        <f>'Bloom Cleaner Data'!V25+'OPERATING LEASES'!AW25</f>
        <v>10278.778863679383</v>
      </c>
      <c r="BE25" s="13">
        <f>'Bloom Cleaner Data'!W25+'OPERATING LEASES'!AX25</f>
        <v>9777.6357249036482</v>
      </c>
      <c r="BF25" s="13">
        <f>'Bloom Cleaner Data'!X25+'OPERATING LEASES'!AY25</f>
        <v>9780.4925861279135</v>
      </c>
      <c r="BG25" s="13">
        <f>'Bloom Cleaner Data'!Y25+'OPERATING LEASES'!AZ25</f>
        <v>9460.4923396991471</v>
      </c>
      <c r="BH25" s="13">
        <f>'Bloom Cleaner Data'!Z25+'OPERATING LEASES'!BA25</f>
        <v>10207.492093270379</v>
      </c>
      <c r="BI25" s="13">
        <f>'Bloom Cleaner Data'!AA25+'OPERATING LEASES'!BB25</f>
        <v>9638.4918468416108</v>
      </c>
      <c r="BJ25" s="13">
        <f>'Bloom Cleaner Data'!AB25+'OPERATING LEASES'!BC25</f>
        <v>8969.4916004128445</v>
      </c>
      <c r="BK25" s="13">
        <f>'Bloom Cleaner Data'!AC25+'OPERATING LEASES'!BD25</f>
        <v>8983.7393790524275</v>
      </c>
      <c r="BL25" s="13">
        <f>'Bloom Cleaner Data'!AD25+'OPERATING LEASES'!BE25</f>
        <v>9477.9871576920104</v>
      </c>
      <c r="BM25" s="13">
        <f>'Bloom Cleaner Data'!AE25+'OPERATING LEASES'!BF25</f>
        <v>9326.2349363315916</v>
      </c>
      <c r="BN25" s="13">
        <f>'Bloom Cleaner Data'!AF25+'OPERATING LEASES'!BG25</f>
        <v>8787.4827149711746</v>
      </c>
      <c r="BO25" s="13">
        <f>'Bloom Cleaner Data'!AG25+'OPERATING LEASES'!BH25</f>
        <v>8652.4827149711746</v>
      </c>
      <c r="BP25" s="13">
        <f>'Bloom Cleaner Data'!AH25+'OPERATING LEASES'!BI25</f>
        <v>9341.4827149711746</v>
      </c>
      <c r="BQ25" s="13"/>
      <c r="BR25" s="1099">
        <f t="shared" si="50"/>
        <v>9437.0988209941916</v>
      </c>
      <c r="BS25" s="10">
        <f t="shared" si="51"/>
        <v>-9.1187500104724956E-2</v>
      </c>
      <c r="BT25" s="10"/>
      <c r="BU25" s="13">
        <f>'Bloom Cleaner Data'!BU25+'OPERATING LEASES'!AU25</f>
        <v>31033.39784123085</v>
      </c>
      <c r="BV25" s="13">
        <f>'Bloom Cleaner Data'!BV25+'OPERATING LEASES'!AV25</f>
        <v>29832.331602455117</v>
      </c>
      <c r="BW25" s="13">
        <f>'Bloom Cleaner Data'!BW25+'OPERATING LEASES'!AW25</f>
        <v>29552.911763679382</v>
      </c>
      <c r="BX25" s="13">
        <f>'Bloom Cleaner Data'!BX25+'OPERATING LEASES'!AX25</f>
        <v>30572.768324903649</v>
      </c>
      <c r="BY25" s="13">
        <f>'Bloom Cleaner Data'!BY25+'OPERATING LEASES'!AY25</f>
        <v>31094.684886127914</v>
      </c>
      <c r="BZ25" s="13">
        <f>'Bloom Cleaner Data'!BZ25+'OPERATING LEASES'!AZ25</f>
        <v>30703.316339699148</v>
      </c>
      <c r="CA25" s="13">
        <f>'Bloom Cleaner Data'!CA25+'OPERATING LEASES'!BA25</f>
        <v>30198.14109327038</v>
      </c>
      <c r="CB25" s="13">
        <f>'Bloom Cleaner Data'!CB25+'OPERATING LEASES'!BB25</f>
        <v>28869.652346841613</v>
      </c>
      <c r="CC25" s="13">
        <f>'Bloom Cleaner Data'!CC25+'OPERATING LEASES'!BC25</f>
        <v>27429.648300412842</v>
      </c>
      <c r="CD25" s="13">
        <f>'Bloom Cleaner Data'!CD25+'OPERATING LEASES'!BD25</f>
        <v>27913.289179052426</v>
      </c>
      <c r="CE25" s="13">
        <f>'Bloom Cleaner Data'!CE25+'OPERATING LEASES'!BE25</f>
        <v>29238.909557692008</v>
      </c>
      <c r="CF25" s="13">
        <f>'Bloom Cleaner Data'!CF25+'OPERATING LEASES'!BF25</f>
        <v>28922.390936331591</v>
      </c>
      <c r="CG25" s="13">
        <f>'Bloom Cleaner Data'!CG25+'OPERATING LEASES'!BG25</f>
        <v>29210.912214971173</v>
      </c>
      <c r="CH25" s="13">
        <f>'Bloom Cleaner Data'!CH25+'OPERATING LEASES'!BH25</f>
        <v>31432.896114971176</v>
      </c>
      <c r="CI25" s="13">
        <f>'Bloom Cleaner Data'!CI25+'OPERATING LEASES'!BI25</f>
        <v>30782.789914971174</v>
      </c>
      <c r="CJ25" s="13"/>
      <c r="CK25" s="1099">
        <f t="shared" si="52"/>
        <v>29686.331613301882</v>
      </c>
      <c r="CL25" s="10">
        <f t="shared" si="53"/>
        <v>4.1616141283354564E-2</v>
      </c>
      <c r="CM25" s="18">
        <f t="shared" si="54"/>
        <v>1.99789201044469E-2</v>
      </c>
      <c r="CN25" s="13"/>
      <c r="CO25" s="18">
        <f>$CO$1*BU25/('Bloom Cleaner Data'!D25+'Bloom Cleaner Data'!T25+'OPERATING LEASES'!AU25)+(1-$CO$1)*'Bloom Cleaner Data'!BU25/('Bloom Cleaner Data'!D25+'Bloom Cleaner Data'!T25)-1</f>
        <v>1.0386008596000362E-2</v>
      </c>
      <c r="CP25" s="18">
        <f>$CO$1*BV25/('Bloom Cleaner Data'!E25+'Bloom Cleaner Data'!U25+'OPERATING LEASES'!AV25)+(1-$CO$1)*'Bloom Cleaner Data'!BV25/('Bloom Cleaner Data'!E25+'Bloom Cleaner Data'!U25)-1</f>
        <v>9.8506053794751303E-3</v>
      </c>
      <c r="CQ25" s="18">
        <f>$CO$1*BW25/('Bloom Cleaner Data'!F25+'Bloom Cleaner Data'!V25+'OPERATING LEASES'!AW25)+(1-$CO$1)*'Bloom Cleaner Data'!BW25/('Bloom Cleaner Data'!F25+'Bloom Cleaner Data'!V25)-1</f>
        <v>9.1514702916875024E-3</v>
      </c>
      <c r="CR25" s="18">
        <f>$CO$1*BX25/('Bloom Cleaner Data'!G25+'Bloom Cleaner Data'!W25+'OPERATING LEASES'!AX25)+(1-$CO$1)*'Bloom Cleaner Data'!BX25/('Bloom Cleaner Data'!G25+'Bloom Cleaner Data'!W25)-1</f>
        <v>2.1550866956467907E-2</v>
      </c>
      <c r="CS25" s="18">
        <f>$CO$1*BY25/('Bloom Cleaner Data'!H25+'Bloom Cleaner Data'!X25+'OPERATING LEASES'!AY25)+(1-$CO$1)*'Bloom Cleaner Data'!BY25/('Bloom Cleaner Data'!H25+'Bloom Cleaner Data'!X25)-1</f>
        <v>6.4361070991680869E-4</v>
      </c>
      <c r="CT25" s="18">
        <f>$CO$1*BZ25/('Bloom Cleaner Data'!I25+'Bloom Cleaner Data'!Y25+'OPERATING LEASES'!AZ25)+(1-$CO$1)*'Bloom Cleaner Data'!BZ25/('Bloom Cleaner Data'!I25+'Bloom Cleaner Data'!Y25)-1</f>
        <v>1.1085998665052443E-3</v>
      </c>
      <c r="CU25" s="18">
        <f>$CO$1*CA25/('Bloom Cleaner Data'!J25+'Bloom Cleaner Data'!Z25+'OPERATING LEASES'!BA25)+(1-$CO$1)*'Bloom Cleaner Data'!CA25/('Bloom Cleaner Data'!J25+'Bloom Cleaner Data'!Z25)-1</f>
        <v>6.9589097042332959E-4</v>
      </c>
      <c r="CV25" s="18">
        <f>$CO$1*CB25/('Bloom Cleaner Data'!K25+'Bloom Cleaner Data'!AA25+'OPERATING LEASES'!BB25)+(1-$CO$1)*'Bloom Cleaner Data'!CB25/('Bloom Cleaner Data'!K25+'Bloom Cleaner Data'!AA25)-1</f>
        <v>7.9731955456940895E-4</v>
      </c>
      <c r="CW25" s="18">
        <f>$CO$1*CC25/('Bloom Cleaner Data'!L25+'Bloom Cleaner Data'!AB25+'OPERATING LEASES'!BC25)+(1-$CO$1)*'Bloom Cleaner Data'!CC25/('Bloom Cleaner Data'!L25+'Bloom Cleaner Data'!AB25)-1</f>
        <v>8.7573188332989993E-4</v>
      </c>
      <c r="CX25" s="18">
        <f>$CO$1*CD25/('Bloom Cleaner Data'!M25+'Bloom Cleaner Data'!AC25+'OPERATING LEASES'!BD25)+(1-$CO$1)*'Bloom Cleaner Data'!CD25/('Bloom Cleaner Data'!M25+'Bloom Cleaner Data'!AC25)-1</f>
        <v>9.6821774409061589E-4</v>
      </c>
      <c r="CY25" s="18">
        <f>$CO$1*CE25/('Bloom Cleaner Data'!N25+'Bloom Cleaner Data'!AD25+'OPERATING LEASES'!BE25)+(1-$CO$1)*'Bloom Cleaner Data'!CE25/('Bloom Cleaner Data'!N25+'Bloom Cleaner Data'!AD25)-1</f>
        <v>4.7904339865834089E-4</v>
      </c>
      <c r="CZ25" s="18">
        <f>$CO$1*CF25/('Bloom Cleaner Data'!O25+'Bloom Cleaner Data'!AE25+'OPERATING LEASES'!BF25)+(1-$CO$1)*'Bloom Cleaner Data'!CF25/('Bloom Cleaner Data'!O25+'Bloom Cleaner Data'!AE25)-1</f>
        <v>5.1889843787833456E-4</v>
      </c>
      <c r="DA25" s="18">
        <f>$CO$1*CG25/('Bloom Cleaner Data'!P25+'Bloom Cleaner Data'!AF25+'OPERATING LEASES'!BG25)+(1-$CO$1)*'Bloom Cleaner Data'!CG25/('Bloom Cleaner Data'!P25+'Bloom Cleaner Data'!AF25)-1</f>
        <v>8.2228636668491006E-4</v>
      </c>
      <c r="DB25" s="18">
        <f>$CO$1*CH25/('Bloom Cleaner Data'!Q25+'Bloom Cleaner Data'!AG25+'OPERATING LEASES'!BH25)+(1-$CO$1)*'Bloom Cleaner Data'!CH25/('Bloom Cleaner Data'!Q25+'Bloom Cleaner Data'!AG25)-1</f>
        <v>9.2345229693258091E-4</v>
      </c>
      <c r="DC25" s="18">
        <f>$CO$1*CI25/('Bloom Cleaner Data'!R25+'Bloom Cleaner Data'!AH25+'OPERATING LEASES'!BI25)+(1-$CO$1)*'Bloom Cleaner Data'!CI25/('Bloom Cleaner Data'!R25+'Bloom Cleaner Data'!AH25)-1</f>
        <v>5.200412537096355E-4</v>
      </c>
      <c r="DD25" s="18"/>
      <c r="DE25" s="18">
        <f t="shared" si="55"/>
        <v>3.0042638254503475E-3</v>
      </c>
      <c r="DF25" s="13"/>
      <c r="DG25" s="2203">
        <f>AVERAGE('Bloom Cleaner Data'!GX25:HJ25)</f>
        <v>4287.6151603281269</v>
      </c>
      <c r="DH25" s="2124">
        <f>('Bloom Cleaner Data'!HJ25-'Bloom Cleaner Data'!GX25)/'Bloom Cleaner Data'!GX25</f>
        <v>-0.14171703838468855</v>
      </c>
      <c r="DI25" s="2124">
        <f>('Bloom Cleaner Data'!HJ25+'Bloom Cleaner Data'!HI25-'Bloom Cleaner Data'!GX25-'Bloom Cleaner Data'!GW25)/('Bloom Cleaner Data'!GX25+'Bloom Cleaner Data'!GW25)</f>
        <v>-0.1333416217850284</v>
      </c>
      <c r="DJ25" s="13"/>
      <c r="DK25" s="13">
        <f>'Bloom Cleaner Data'!GV25+'OPERATING LEASES'!BL25</f>
        <v>4805.6834962812554</v>
      </c>
      <c r="DL25" s="13">
        <f>'Bloom Cleaner Data'!GW25+'OPERATING LEASES'!BM25</f>
        <v>4717.1568288891194</v>
      </c>
      <c r="DM25" s="13">
        <f>'Bloom Cleaner Data'!GX25+'OPERATING LEASES'!BN25</f>
        <v>4735.6082324435811</v>
      </c>
      <c r="DN25" s="13">
        <f>'Bloom Cleaner Data'!GY25+'OPERATING LEASES'!BO25</f>
        <v>4740.076315967246</v>
      </c>
      <c r="DO25" s="13">
        <f>'Bloom Cleaner Data'!GZ25+'OPERATING LEASES'!BP25</f>
        <v>4439.496162843775</v>
      </c>
      <c r="DP25" s="13">
        <f>'Bloom Cleaner Data'!HA25+'OPERATING LEASES'!BQ25</f>
        <v>4504.2192192907851</v>
      </c>
      <c r="DQ25" s="13">
        <f>'Bloom Cleaner Data'!HB25+'OPERATING LEASES'!BR25</f>
        <v>4414.9654133662643</v>
      </c>
      <c r="DR25" s="13">
        <f>'Bloom Cleaner Data'!HC25+'OPERATING LEASES'!BS25</f>
        <v>4403.6706708759348</v>
      </c>
      <c r="DS25" s="13">
        <f>'Bloom Cleaner Data'!HD25+'OPERATING LEASES'!BT25</f>
        <v>4378.3616864851037</v>
      </c>
      <c r="DT25" s="13">
        <f>'Bloom Cleaner Data'!HE25+'OPERATING LEASES'!BU25</f>
        <v>4352.4774334004405</v>
      </c>
      <c r="DU25" s="13">
        <f>'Bloom Cleaner Data'!HF25+'OPERATING LEASES'!BV25</f>
        <v>4336.6547197093278</v>
      </c>
      <c r="DV25" s="13">
        <f>'Bloom Cleaner Data'!HG25+'OPERATING LEASES'!BW25</f>
        <v>4215.7205993764383</v>
      </c>
      <c r="DW25" s="13">
        <f>'Bloom Cleaner Data'!HH25+'OPERATING LEASES'!BX25</f>
        <v>4181.8571201241575</v>
      </c>
      <c r="DX25" s="13">
        <f>'Bloom Cleaner Data'!HI25+'OPERATING LEASES'!BY25</f>
        <v>4114.8699601775697</v>
      </c>
      <c r="DY25" s="13">
        <f>'Bloom Cleaner Data'!HJ25+'OPERATING LEASES'!BZ25</f>
        <v>4059.8677644907516</v>
      </c>
      <c r="DZ25" s="13"/>
      <c r="EA25" s="1099">
        <f t="shared" si="56"/>
        <v>4375.2188691193369</v>
      </c>
      <c r="EB25" s="10">
        <f t="shared" si="57"/>
        <v>-0.14269349042079571</v>
      </c>
      <c r="EC25" s="18">
        <f t="shared" si="58"/>
        <v>2.0431803115582275E-2</v>
      </c>
      <c r="ED25" s="18">
        <f>(AVERAGE(DV25:DY25)-AVERAGE('Bloom Cleaner Data'!HG25:HJ25))/AVERAGE('Bloom Cleaner Data'!HG25:HJ25)</f>
        <v>2.1284049275235424E-2</v>
      </c>
      <c r="EE25" s="165"/>
      <c r="EF25" s="22">
        <f>'Bloom Cleaner Data'!DT25</f>
        <v>2.4013999999999998</v>
      </c>
      <c r="EG25" s="22">
        <f>'Bloom Cleaner Data'!DX25</f>
        <v>2.5186000000000002</v>
      </c>
      <c r="EH25" s="22">
        <f>'Bloom Cleaner Data'!EB25</f>
        <v>2.5236999999999998</v>
      </c>
      <c r="EI25" s="22">
        <f>'Bloom Cleaner Data'!EF25</f>
        <v>2.6587000000000001</v>
      </c>
      <c r="EJ25" s="22"/>
      <c r="EK25" s="22">
        <f>AVERAGE('Bloom Cleaner Data'!DT25:EF25)</f>
        <v>2.5073538461538467</v>
      </c>
      <c r="EL25" s="2124">
        <f t="shared" si="5"/>
        <v>0.1071458315982345</v>
      </c>
      <c r="EM25" s="13"/>
      <c r="EN25" s="15">
        <f>'Bloom Cleaner Data'!DA25</f>
        <v>6.4729999999999999</v>
      </c>
      <c r="EO25" s="15">
        <f>'Bloom Cleaner Data'!DB25</f>
        <v>6.3314000000000004</v>
      </c>
      <c r="EP25" s="15">
        <f>'Bloom Cleaner Data'!DC25</f>
        <v>6.2408999999999999</v>
      </c>
      <c r="EQ25" s="15">
        <f>'Bloom Cleaner Data'!DD25</f>
        <v>6.4499000000000004</v>
      </c>
      <c r="ER25" s="15">
        <f>'Bloom Cleaner Data'!DE25</f>
        <v>7.0103999999999997</v>
      </c>
      <c r="ES25" s="15">
        <f>'Bloom Cleaner Data'!DF25</f>
        <v>6.8187999999999995</v>
      </c>
      <c r="ET25" s="15">
        <f>'Bloom Cleaner Data'!DG25</f>
        <v>6.8426</v>
      </c>
      <c r="EU25" s="15">
        <f>'Bloom Cleaner Data'!DH25</f>
        <v>6.5529999999999999</v>
      </c>
      <c r="EV25" s="15">
        <f>'Bloom Cleaner Data'!DI25</f>
        <v>6.2568000000000001</v>
      </c>
      <c r="EW25" s="15">
        <f>'Bloom Cleaner Data'!DJ25</f>
        <v>6.4077000000000002</v>
      </c>
      <c r="EX25" s="15">
        <f>'Bloom Cleaner Data'!DK25</f>
        <v>6.7430000000000003</v>
      </c>
      <c r="EY25" s="15">
        <f>'Bloom Cleaner Data'!DL25</f>
        <v>6.8638000000000003</v>
      </c>
      <c r="EZ25" s="15">
        <f>'Bloom Cleaner Data'!DM25</f>
        <v>6.9911000000000003</v>
      </c>
      <c r="FA25" s="15">
        <f>'Bloom Cleaner Data'!DN25</f>
        <v>7.6589999999999998</v>
      </c>
      <c r="FB25" s="15">
        <f>'Bloom Cleaner Data'!DO25</f>
        <v>7.6013999999999999</v>
      </c>
      <c r="FC25" s="15"/>
      <c r="FD25" s="15">
        <f t="shared" si="59"/>
        <v>6.8029538461538461</v>
      </c>
      <c r="FE25" s="18">
        <f t="shared" si="6"/>
        <v>0.21799740422054512</v>
      </c>
      <c r="FF25" s="15">
        <f t="shared" si="60"/>
        <v>6.8737200000000005</v>
      </c>
      <c r="FG25" s="2206"/>
      <c r="FH25" s="15">
        <f>('Bloom Cleaner Data'!BU25+'OPERATING LEASES'!AU25)/DK25</f>
        <v>6.4576449666827171</v>
      </c>
      <c r="FI25" s="15">
        <f>('Bloom Cleaner Data'!BV25+'OPERATING LEASES'!AV25)/DL25</f>
        <v>6.3242187369633349</v>
      </c>
      <c r="FJ25" s="15">
        <f>('Bloom Cleaner Data'!BW25+'OPERATING LEASES'!AW25)/DM25</f>
        <v>6.2405736102097356</v>
      </c>
      <c r="FK25" s="15">
        <f>('Bloom Cleaner Data'!BX25+'OPERATING LEASES'!AX25)/DN25</f>
        <v>6.4498472781793303</v>
      </c>
      <c r="FL25" s="15">
        <f>('Bloom Cleaner Data'!BY25+'OPERATING LEASES'!AY25)/DO25</f>
        <v>7.0041022101503119</v>
      </c>
      <c r="FM25" s="15">
        <f>('Bloom Cleaner Data'!BZ25+'OPERATING LEASES'!AZ25)/DP25</f>
        <v>6.8165679432746522</v>
      </c>
      <c r="FN25" s="15">
        <f>('Bloom Cleaner Data'!CA25+'OPERATING LEASES'!BA25)/DQ25</f>
        <v>6.8399496407935167</v>
      </c>
      <c r="FO25" s="15">
        <f>('Bloom Cleaner Data'!CB25+'OPERATING LEASES'!BB25)/DR25</f>
        <v>6.5558154786127876</v>
      </c>
      <c r="FP25" s="15">
        <f>('Bloom Cleaner Data'!CC25+'OPERATING LEASES'!BC25)/DS25</f>
        <v>6.2648201004227762</v>
      </c>
      <c r="FQ25" s="15">
        <f>('Bloom Cleaner Data'!CD25+'OPERATING LEASES'!BD25)/DT25</f>
        <v>6.4131956124226788</v>
      </c>
      <c r="FR25" s="15">
        <f>('Bloom Cleaner Data'!CE25+'OPERATING LEASES'!BE25)/DU25</f>
        <v>6.7422728917767749</v>
      </c>
      <c r="FS25" s="15">
        <f>('Bloom Cleaner Data'!CF25+'OPERATING LEASES'!BF25)/DV25</f>
        <v>6.8606043153356984</v>
      </c>
      <c r="FT25" s="15">
        <f>('Bloom Cleaner Data'!CG25+'OPERATING LEASES'!BG25)/DW25</f>
        <v>6.9851530972688787</v>
      </c>
      <c r="FU25" s="15">
        <f>('Bloom Cleaner Data'!CH25+'OPERATING LEASES'!BH25)/DX25</f>
        <v>7.6388552783366075</v>
      </c>
      <c r="FV25" s="15">
        <f>('Bloom Cleaner Data'!CI25+'OPERATING LEASES'!BI25)/DY25</f>
        <v>7.5822149145373468</v>
      </c>
      <c r="FW25" s="15"/>
      <c r="FX25" s="506">
        <f t="shared" si="61"/>
        <v>6.7995363362554677</v>
      </c>
      <c r="FY25" s="10">
        <f t="shared" si="62"/>
        <v>0.2149868566781509</v>
      </c>
      <c r="FZ25" s="15">
        <f t="shared" si="7"/>
        <v>-3.4175098983784125E-3</v>
      </c>
      <c r="GA25" s="15">
        <f t="shared" si="63"/>
        <v>6.8699449272781719</v>
      </c>
      <c r="GB25" s="15">
        <f t="shared" si="64"/>
        <v>-3.7750727218286428E-3</v>
      </c>
      <c r="GC25" s="15">
        <f t="shared" si="8"/>
        <v>-9.8399005489389069E-3</v>
      </c>
      <c r="GD25" s="13"/>
      <c r="GE25" s="15">
        <f t="shared" si="9"/>
        <v>6.4576449666827171</v>
      </c>
      <c r="GF25" s="15">
        <f t="shared" si="10"/>
        <v>6.3242187369633349</v>
      </c>
      <c r="GG25" s="15">
        <f t="shared" si="11"/>
        <v>6.2405736102097356</v>
      </c>
      <c r="GH25" s="15">
        <f t="shared" si="12"/>
        <v>6.4498472781793303</v>
      </c>
      <c r="GI25" s="15">
        <f t="shared" si="13"/>
        <v>7.0041022101503119</v>
      </c>
      <c r="GJ25" s="15">
        <f t="shared" si="14"/>
        <v>6.8165679432746522</v>
      </c>
      <c r="GK25" s="15">
        <f t="shared" si="15"/>
        <v>6.8399496407935167</v>
      </c>
      <c r="GL25" s="15">
        <f t="shared" si="16"/>
        <v>6.5558154786127876</v>
      </c>
      <c r="GM25" s="15">
        <f t="shared" si="17"/>
        <v>6.2648201004227762</v>
      </c>
      <c r="GN25" s="15">
        <f t="shared" si="18"/>
        <v>6.4131956124226788</v>
      </c>
      <c r="GO25" s="15">
        <f t="shared" si="19"/>
        <v>6.7422728917767749</v>
      </c>
      <c r="GP25" s="15">
        <f t="shared" si="20"/>
        <v>6.8606043153356984</v>
      </c>
      <c r="GQ25" s="15">
        <f t="shared" si="21"/>
        <v>6.9851530972688787</v>
      </c>
      <c r="GR25" s="15">
        <f t="shared" si="22"/>
        <v>7.6388552783366075</v>
      </c>
      <c r="GS25" s="15">
        <f t="shared" si="23"/>
        <v>7.5822149145373468</v>
      </c>
      <c r="GT25" s="15"/>
      <c r="GU25" s="15">
        <f t="shared" si="65"/>
        <v>6.7450557383311427</v>
      </c>
      <c r="GV25" s="10">
        <f t="shared" si="66"/>
        <v>0.2149868566781509</v>
      </c>
      <c r="GW25" s="506">
        <f t="shared" si="67"/>
        <v>6.8699449272781719</v>
      </c>
      <c r="GX25" s="2057"/>
      <c r="GY25" s="10">
        <f>'Bloom Cleaner Data'!T25/('Bloom Cleaner Data'!T25+'Bloom Cleaner Data'!D25)</f>
        <v>0.31696315154531601</v>
      </c>
      <c r="GZ25" s="10">
        <f>'Bloom Cleaner Data'!U25/('Bloom Cleaner Data'!U25+'Bloom Cleaner Data'!E25)</f>
        <v>0.30912496126493366</v>
      </c>
      <c r="HA25" s="10">
        <f>'Bloom Cleaner Data'!V25/('Bloom Cleaner Data'!V25+'Bloom Cleaner Data'!F25)</f>
        <v>0.33594058046528269</v>
      </c>
      <c r="HB25" s="10">
        <f>'Bloom Cleaner Data'!W25/('Bloom Cleaner Data'!W25+'Bloom Cleaner Data'!G25)</f>
        <v>0.31202667433038866</v>
      </c>
      <c r="HC25" s="10">
        <f>'Bloom Cleaner Data'!X25/('Bloom Cleaner Data'!X25+'Bloom Cleaner Data'!H25)</f>
        <v>0.30094028853886984</v>
      </c>
      <c r="HD25" s="10">
        <f>'Bloom Cleaner Data'!Y25/('Bloom Cleaner Data'!Y25+'Bloom Cleaner Data'!I25)</f>
        <v>0.29486840537400577</v>
      </c>
      <c r="HE25" s="10">
        <f>'Bloom Cleaner Data'!Z25/('Bloom Cleaner Data'!Z25+'Bloom Cleaner Data'!J25)</f>
        <v>0.32552398875033944</v>
      </c>
      <c r="HF25" s="10">
        <f>'Bloom Cleaner Data'!AA25/('Bloom Cleaner Data'!AA25+'Bloom Cleaner Data'!K25)</f>
        <v>0.32124627866611094</v>
      </c>
      <c r="HG25" s="10">
        <f>'Bloom Cleaner Data'!AB25/('Bloom Cleaner Data'!AB25+'Bloom Cleaner Data'!L25)</f>
        <v>0.31413507347596675</v>
      </c>
      <c r="HH25" s="10">
        <f>'Bloom Cleaner Data'!AC25/('Bloom Cleaner Data'!AC25+'Bloom Cleaner Data'!M25)</f>
        <v>0.30877752629693711</v>
      </c>
      <c r="HI25" s="10">
        <f>'Bloom Cleaner Data'!AD25/('Bloom Cleaner Data'!AD25+'Bloom Cleaner Data'!N25)</f>
        <v>0.3112561178010792</v>
      </c>
      <c r="HJ25" s="10">
        <f>'Bloom Cleaner Data'!AE25/('Bloom Cleaner Data'!AE25+'Bloom Cleaner Data'!O25)</f>
        <v>0.30904237232753157</v>
      </c>
      <c r="HK25" s="10">
        <f>'Bloom Cleaner Data'!AF25/('Bloom Cleaner Data'!AF25+'Bloom Cleaner Data'!P25)</f>
        <v>0.28684368621999612</v>
      </c>
      <c r="HL25" s="10">
        <f>'Bloom Cleaner Data'!AG25/('Bloom Cleaner Data'!AG25+'Bloom Cleaner Data'!Q25)</f>
        <v>0.26183095159419262</v>
      </c>
      <c r="HM25" s="10">
        <f>'Bloom Cleaner Data'!AH25/('Bloom Cleaner Data'!AH25+'Bloom Cleaner Data'!R25)</f>
        <v>0.29018390059321952</v>
      </c>
      <c r="HN25" s="15"/>
      <c r="HO25" s="10">
        <f t="shared" si="68"/>
        <v>0.30558583418722468</v>
      </c>
      <c r="HP25" s="10">
        <f t="shared" si="69"/>
        <v>-0.13620468181810452</v>
      </c>
      <c r="HQ25" s="10"/>
      <c r="HR25" s="479">
        <f t="shared" si="24"/>
        <v>0.46404985655227776</v>
      </c>
      <c r="HS25" s="480">
        <f t="shared" si="25"/>
        <v>0.44743975962847821</v>
      </c>
      <c r="HT25" s="480">
        <f t="shared" si="26"/>
        <v>0.50588933848820972</v>
      </c>
      <c r="HU25" s="480">
        <f t="shared" si="27"/>
        <v>0.45354472722716388</v>
      </c>
      <c r="HV25" s="480">
        <f t="shared" si="28"/>
        <v>0.43049296591540598</v>
      </c>
      <c r="HW25" s="480">
        <f t="shared" si="29"/>
        <v>0.41817500112217443</v>
      </c>
      <c r="HX25" s="480">
        <f t="shared" si="30"/>
        <v>0.4826324188271911</v>
      </c>
      <c r="HY25" s="480">
        <f t="shared" si="31"/>
        <v>0.47328842342815702</v>
      </c>
      <c r="HZ25" s="480">
        <f t="shared" si="32"/>
        <v>0.45801303044901975</v>
      </c>
      <c r="IA25" s="480">
        <f t="shared" si="33"/>
        <v>0.44671222080314266</v>
      </c>
      <c r="IB25" s="480">
        <f t="shared" si="34"/>
        <v>0.4519185227567411</v>
      </c>
      <c r="IC25" s="480">
        <f t="shared" si="35"/>
        <v>0.44726674972611419</v>
      </c>
      <c r="ID25" s="480">
        <f t="shared" si="36"/>
        <v>0.40221713063103065</v>
      </c>
      <c r="IE25" s="480">
        <f t="shared" si="37"/>
        <v>0.35470323790960606</v>
      </c>
      <c r="IF25" s="481">
        <f t="shared" si="38"/>
        <v>0.40881560848751802</v>
      </c>
      <c r="IG25" s="15"/>
      <c r="IH25" s="10">
        <f t="shared" si="70"/>
        <v>0.44105149044395964</v>
      </c>
      <c r="II25" s="10">
        <f t="shared" si="71"/>
        <v>-0.1918872816944216</v>
      </c>
      <c r="IJ25" s="10"/>
      <c r="IK25" s="18">
        <f>('Bloom Cleaner Data'!T25+'OPERATING LEASES'!AU25)/('Bloom Cleaner Data'!T25+'OPERATING LEASES'!AU25+'Bloom Cleaner Data'!D25)</f>
        <v>0.33284276625171083</v>
      </c>
      <c r="IL25" s="18">
        <f>('Bloom Cleaner Data'!U25+'OPERATING LEASES'!AV25)/('Bloom Cleaner Data'!U25+'OPERATING LEASES'!AV25+'Bloom Cleaner Data'!E25)</f>
        <v>0.325236591625295</v>
      </c>
      <c r="IM25" s="18">
        <f>('Bloom Cleaner Data'!V25+'OPERATING LEASES'!AW25)/('Bloom Cleaner Data'!V25+'OPERATING LEASES'!AW25+'Bloom Cleaner Data'!F25)</f>
        <v>0.35099231121562197</v>
      </c>
      <c r="IN25" s="18">
        <f>('Bloom Cleaner Data'!W25+'OPERATING LEASES'!AX25)/('Bloom Cleaner Data'!W25+'OPERATING LEASES'!AX25+'Bloom Cleaner Data'!G25)</f>
        <v>0.32670748508644687</v>
      </c>
      <c r="IO25" s="18">
        <f>('Bloom Cleaner Data'!X25+'OPERATING LEASES'!AY25)/('Bloom Cleaner Data'!X25+'OPERATING LEASES'!AY25+'Bloom Cleaner Data'!H25)</f>
        <v>0.31474148883466341</v>
      </c>
      <c r="IP25" s="18">
        <f>('Bloom Cleaner Data'!Y25+'OPERATING LEASES'!AZ25)/('Bloom Cleaner Data'!Y25+'OPERATING LEASES'!AZ25+'Bloom Cleaner Data'!I25)</f>
        <v>0.30846766308426782</v>
      </c>
      <c r="IQ25" s="18">
        <f>('Bloom Cleaner Data'!Z25+'OPERATING LEASES'!BA25)/('Bloom Cleaner Data'!Z25+'OPERATING LEASES'!BA25+'Bloom Cleaner Data'!J25)</f>
        <v>0.33825245611310373</v>
      </c>
      <c r="IR25" s="18">
        <f>('Bloom Cleaner Data'!AA25+'OPERATING LEASES'!BB25)/('Bloom Cleaner Data'!AA25+'OPERATING LEASES'!BB25+'Bloom Cleaner Data'!K25)</f>
        <v>0.33412860982799336</v>
      </c>
      <c r="IS25" s="18">
        <f>('Bloom Cleaner Data'!AB25+'OPERATING LEASES'!BC25)/('Bloom Cleaner Data'!AB25+'OPERATING LEASES'!BC25+'Bloom Cleaner Data'!L25)</f>
        <v>0.32728624048925437</v>
      </c>
      <c r="IT25" s="18">
        <f>('Bloom Cleaner Data'!AC25+'OPERATING LEASES'!BD25)/('Bloom Cleaner Data'!AC25+'OPERATING LEASES'!BD25+'Bloom Cleaner Data'!M25)</f>
        <v>0.32215614352162769</v>
      </c>
      <c r="IU25" s="18">
        <f>('Bloom Cleaner Data'!AD25+'OPERATING LEASES'!BE25)/('Bloom Cleaner Data'!AD25+'OPERATING LEASES'!BE25+'Bloom Cleaner Data'!N25)</f>
        <v>0.32431194146150577</v>
      </c>
      <c r="IV25" s="18">
        <f>('Bloom Cleaner Data'!AE25+'OPERATING LEASES'!BF25)/('Bloom Cleaner Data'!AE25+'OPERATING LEASES'!BF25+'Bloom Cleaner Data'!O25)</f>
        <v>0.32262458264990379</v>
      </c>
      <c r="IW25" s="18">
        <f>('Bloom Cleaner Data'!AF25+'OPERATING LEASES'!BG25)/('Bloom Cleaner Data'!AF25+'OPERATING LEASES'!BG25+'Bloom Cleaner Data'!P25)</f>
        <v>0.30107613475000317</v>
      </c>
      <c r="IX25" s="18">
        <f>('Bloom Cleaner Data'!AG25+'OPERATING LEASES'!BH25)/('Bloom Cleaner Data'!AG25+'OPERATING LEASES'!BH25+'Bloom Cleaner Data'!Q25)</f>
        <v>0.27552258749341224</v>
      </c>
      <c r="IY25" s="18">
        <f>('Bloom Cleaner Data'!AH25+'OPERATING LEASES'!BI25)/('Bloom Cleaner Data'!AH25+'OPERATING LEASES'!BI25+'Bloom Cleaner Data'!R25)</f>
        <v>0.30362227391248225</v>
      </c>
      <c r="IZ25" s="15"/>
      <c r="JA25" s="10">
        <f t="shared" si="72"/>
        <v>0.31922230141848357</v>
      </c>
      <c r="JB25" s="10">
        <f t="shared" si="73"/>
        <v>-0.13496032758973828</v>
      </c>
      <c r="JC25" s="10">
        <f t="shared" si="39"/>
        <v>1.3636467231258886E-2</v>
      </c>
      <c r="JD25" s="10">
        <f t="shared" si="40"/>
        <v>4.4624016252350789E-2</v>
      </c>
      <c r="JE25" s="7"/>
      <c r="JF25" s="485">
        <f t="shared" si="74"/>
        <v>0.49889703568332833</v>
      </c>
      <c r="JG25" s="452">
        <f t="shared" si="131"/>
        <v>0.48200093186542042</v>
      </c>
      <c r="JH25" s="452">
        <f t="shared" si="132"/>
        <v>0.54081379509239258</v>
      </c>
      <c r="JI25" s="452">
        <f t="shared" si="133"/>
        <v>0.48523855211489203</v>
      </c>
      <c r="JJ25" s="452">
        <f t="shared" si="134"/>
        <v>0.4593032902275383</v>
      </c>
      <c r="JK25" s="452">
        <f t="shared" si="135"/>
        <v>0.4460639750558138</v>
      </c>
      <c r="JL25" s="452">
        <f t="shared" si="136"/>
        <v>0.51115030080250168</v>
      </c>
      <c r="JM25" s="452">
        <f t="shared" si="137"/>
        <v>0.50179150923075688</v>
      </c>
      <c r="JN25" s="452">
        <f t="shared" si="138"/>
        <v>0.48651634645809033</v>
      </c>
      <c r="JO25" s="452">
        <f t="shared" si="139"/>
        <v>0.47526600771354283</v>
      </c>
      <c r="JP25" s="452">
        <f t="shared" si="140"/>
        <v>0.47997287707435426</v>
      </c>
      <c r="JQ25" s="452">
        <f t="shared" si="141"/>
        <v>0.47628622826617545</v>
      </c>
      <c r="JR25" s="452">
        <f t="shared" si="142"/>
        <v>0.43077100342297192</v>
      </c>
      <c r="JS25" s="452">
        <f t="shared" si="143"/>
        <v>0.38030528314215301</v>
      </c>
      <c r="JT25" s="486">
        <f t="shared" si="144"/>
        <v>0.43600227654944312</v>
      </c>
      <c r="JU25" s="15"/>
      <c r="JV25" s="10">
        <f t="shared" si="75"/>
        <v>0.46996011116543279</v>
      </c>
      <c r="JW25" s="10">
        <f t="shared" si="76"/>
        <v>-0.19380333766272265</v>
      </c>
      <c r="JX25" s="10">
        <f t="shared" si="77"/>
        <v>2.8908620721473155E-2</v>
      </c>
      <c r="JY25" s="10">
        <f t="shared" si="78"/>
        <v>6.5544775038338318E-2</v>
      </c>
      <c r="JZ25" s="7"/>
      <c r="KA25" s="15">
        <f>'Bloom Cleaner Data'!T25/'Bloom Cleaner Data'!BU25*'Bloom Cleaner Data'!DA25</f>
        <v>2.0301158211176595</v>
      </c>
      <c r="KB25" s="15">
        <f>'Bloom Cleaner Data'!U25/'Bloom Cleaner Data'!BV25*'Bloom Cleaner Data'!DB25</f>
        <v>1.937650994686634</v>
      </c>
      <c r="KC25" s="15">
        <f>'Bloom Cleaner Data'!V25/'Bloom Cleaner Data'!BW25*'Bloom Cleaner Data'!DC25</f>
        <v>2.0771219997399091</v>
      </c>
      <c r="KD25" s="15">
        <f>'Bloom Cleaner Data'!W25/'Bloom Cleaner Data'!BX25*'Bloom Cleaner Data'!DD25</f>
        <v>1.9691780245538166</v>
      </c>
      <c r="KE25" s="15">
        <f>'Bloom Cleaner Data'!X25/'Bloom Cleaner Data'!BY25*'Bloom Cleaner Data'!DE25</f>
        <v>2.1083275275947786</v>
      </c>
      <c r="KF25" s="15">
        <f>'Bloom Cleaner Data'!Y25/'Bloom Cleaner Data'!BZ25*'Bloom Cleaner Data'!DF25</f>
        <v>2.0083784097569111</v>
      </c>
      <c r="KG25" s="15">
        <f>'Bloom Cleaner Data'!Z25/'Bloom Cleaner Data'!CA25*'Bloom Cleaner Data'!DG25</f>
        <v>2.2258517018443871</v>
      </c>
      <c r="KH25" s="15">
        <f>'Bloom Cleaner Data'!AA25/'Bloom Cleaner Data'!CB25*'Bloom Cleaner Data'!DH25</f>
        <v>2.103417322276667</v>
      </c>
      <c r="KI25" s="15">
        <f>'Bloom Cleaner Data'!AB25/'Bloom Cleaner Data'!CC25*'Bloom Cleaner Data'!DI25</f>
        <v>1.963727010257861</v>
      </c>
      <c r="KJ25" s="15">
        <f>'Bloom Cleaner Data'!AC25/'Bloom Cleaner Data'!CD25*'Bloom Cleaner Data'!DJ25</f>
        <v>1.9766022015895068</v>
      </c>
      <c r="KK25" s="15">
        <f>'Bloom Cleaner Data'!AD25/'Bloom Cleaner Data'!CE25*'Bloom Cleaner Data'!DK25</f>
        <v>2.097775659312922</v>
      </c>
      <c r="KL25" s="15">
        <f>'Bloom Cleaner Data'!AE25/'Bloom Cleaner Data'!CF25*'Bloom Cleaner Data'!DL25</f>
        <v>2.1200828689804769</v>
      </c>
      <c r="KM25" s="15">
        <f>'Bloom Cleaner Data'!AF25/'Bloom Cleaner Data'!CG25*'Bloom Cleaner Data'!DM25</f>
        <v>2.0036717522349594</v>
      </c>
      <c r="KN25" s="15">
        <f>'Bloom Cleaner Data'!AG25/'Bloom Cleaner Data'!CH25*'Bloom Cleaner Data'!DN25</f>
        <v>2.003478177054185</v>
      </c>
      <c r="KO25" s="15">
        <f>'Bloom Cleaner Data'!AH25/'Bloom Cleaner Data'!CI25*'Bloom Cleaner Data'!DO25</f>
        <v>2.2046352760279206</v>
      </c>
      <c r="KP25" s="15"/>
      <c r="KQ25" s="15">
        <f t="shared" si="79"/>
        <v>2.070595068439022</v>
      </c>
      <c r="KR25" s="15">
        <f t="shared" si="80"/>
        <v>2.0829670185743856</v>
      </c>
      <c r="KS25" s="15">
        <f t="shared" si="81"/>
        <v>2.0663267639403311</v>
      </c>
      <c r="KT25" s="18">
        <f t="shared" si="82"/>
        <v>6.1389401442947689E-2</v>
      </c>
      <c r="KU25" s="18"/>
      <c r="KV25" s="1694" t="s">
        <v>288</v>
      </c>
      <c r="KW25" s="506">
        <f>('Bloom Cleaner Data'!T25+'OPERATING LEASES'!AU25)/DK25</f>
        <v>2.1272863993522848</v>
      </c>
      <c r="KX25" s="506">
        <f>('Bloom Cleaner Data'!U25+'OPERATING LEASES'!AV25)/DL25</f>
        <v>2.0368035982212112</v>
      </c>
      <c r="KY25" s="506">
        <f>('Bloom Cleaner Data'!V25+'OPERATING LEASES'!AW25)/DM25</f>
        <v>2.1705298156337389</v>
      </c>
      <c r="KZ25" s="506">
        <f>('Bloom Cleaner Data'!W25+'OPERATING LEASES'!AX25)/DN25</f>
        <v>2.0627591357478918</v>
      </c>
      <c r="LA25" s="506">
        <f>('Bloom Cleaner Data'!X25+'OPERATING LEASES'!AY25)/DO25</f>
        <v>2.203063642218106</v>
      </c>
      <c r="LB25" s="506">
        <f>('Bloom Cleaner Data'!Y25+'OPERATING LEASES'!AZ25)/DP25</f>
        <v>2.1003623223269217</v>
      </c>
      <c r="LC25" s="506">
        <f>('Bloom Cleaner Data'!Z25+'OPERATING LEASES'!BA25)/DQ25</f>
        <v>2.3120208512545299</v>
      </c>
      <c r="LD25" s="506">
        <f>('Bloom Cleaner Data'!AA25+'OPERATING LEASES'!BB25)/DR25</f>
        <v>2.1887403866475821</v>
      </c>
      <c r="LE25" s="506">
        <f>('Bloom Cleaner Data'!AB25+'OPERATING LEASES'!BC25)/DS25</f>
        <v>2.048595397703072</v>
      </c>
      <c r="LF25" s="506">
        <f>('Bloom Cleaner Data'!AC25+'OPERATING LEASES'!BD25)/DT25</f>
        <v>2.0640519144596094</v>
      </c>
      <c r="LG25" s="506">
        <f>('Bloom Cleaner Data'!AD25+'OPERATING LEASES'!BE25)/DU25</f>
        <v>2.1855526368323117</v>
      </c>
      <c r="LH25" s="506">
        <f>('Bloom Cleaner Data'!AE25+'OPERATING LEASES'!BF25)/DV25</f>
        <v>2.2122516700255388</v>
      </c>
      <c r="LI25" s="506">
        <f>('Bloom Cleaner Data'!AF25+'OPERATING LEASES'!BG25)/DW25</f>
        <v>2.1013349960436423</v>
      </c>
      <c r="LJ25" s="506">
        <f>('Bloom Cleaner Data'!AG25+'OPERATING LEASES'!BH25)/DX25</f>
        <v>2.1027353959437862</v>
      </c>
      <c r="LK25" s="506">
        <f>('Bloom Cleaner Data'!AH25+'OPERATING LEASES'!BI25)/DY25</f>
        <v>2.3009327536910358</v>
      </c>
      <c r="LL25" s="15"/>
      <c r="LM25" s="15">
        <f t="shared" si="83"/>
        <v>2.1683343818928216</v>
      </c>
      <c r="LN25" s="15">
        <f t="shared" si="84"/>
        <v>2.1793137039260007</v>
      </c>
      <c r="LO25" s="15">
        <f t="shared" si="85"/>
        <v>9.6346685351615058E-2</v>
      </c>
      <c r="LP25" s="15">
        <f t="shared" si="86"/>
        <v>2.1579177629636748</v>
      </c>
      <c r="LQ25" s="18">
        <f t="shared" si="87"/>
        <v>6.0078851309961184E-2</v>
      </c>
      <c r="LR25" s="15">
        <f t="shared" si="88"/>
        <v>9.1590999023343667E-2</v>
      </c>
      <c r="LS25" s="18"/>
      <c r="LT25" s="15">
        <f t="shared" si="89"/>
        <v>2.1272863993522848</v>
      </c>
      <c r="LU25" s="15">
        <f t="shared" si="145"/>
        <v>2.0368035982212112</v>
      </c>
      <c r="LV25" s="15">
        <f t="shared" si="146"/>
        <v>2.1705298156337389</v>
      </c>
      <c r="LW25" s="15">
        <f t="shared" si="147"/>
        <v>2.0627591357478918</v>
      </c>
      <c r="LX25" s="15">
        <f t="shared" si="148"/>
        <v>2.203063642218106</v>
      </c>
      <c r="LY25" s="15">
        <f t="shared" si="149"/>
        <v>2.1003623223269217</v>
      </c>
      <c r="LZ25" s="15">
        <f t="shared" si="150"/>
        <v>2.3120208512545299</v>
      </c>
      <c r="MA25" s="15">
        <f t="shared" si="151"/>
        <v>2.1887403866475821</v>
      </c>
      <c r="MB25" s="15">
        <f t="shared" si="152"/>
        <v>2.048595397703072</v>
      </c>
      <c r="MC25" s="15">
        <f t="shared" si="153"/>
        <v>2.0640519144596094</v>
      </c>
      <c r="MD25" s="15">
        <f t="shared" si="154"/>
        <v>2.1855526368323117</v>
      </c>
      <c r="ME25" s="15">
        <f t="shared" si="155"/>
        <v>2.2122516700255388</v>
      </c>
      <c r="MF25" s="15">
        <f t="shared" si="156"/>
        <v>2.1013349960436423</v>
      </c>
      <c r="MG25" s="15">
        <f t="shared" si="157"/>
        <v>2.1027353959437862</v>
      </c>
      <c r="MH25" s="15">
        <f t="shared" si="158"/>
        <v>2.3009327536910358</v>
      </c>
      <c r="MI25" s="15"/>
      <c r="MJ25" s="15">
        <f t="shared" si="104"/>
        <v>2.1683343818928216</v>
      </c>
      <c r="MK25" s="15">
        <f t="shared" si="105"/>
        <v>2.1793137039260007</v>
      </c>
      <c r="ML25" s="506">
        <f t="shared" si="106"/>
        <v>2.1579177629636748</v>
      </c>
      <c r="MM25" s="10">
        <f t="shared" si="107"/>
        <v>6.0078851309961184E-2</v>
      </c>
      <c r="MN25" s="18"/>
      <c r="MO25" s="15">
        <f>('Bloom Cleaner Data'!T25+'Bloom Cleaner Data'!EY25)/'Bloom Cleaner Data'!GV25</f>
        <v>2.143694706051364</v>
      </c>
      <c r="MP25" s="15">
        <f>('Bloom Cleaner Data'!U25+'Bloom Cleaner Data'!EZ25)/'Bloom Cleaner Data'!GW25</f>
        <v>2.1257893242525752</v>
      </c>
      <c r="MQ25" s="15">
        <f>('Bloom Cleaner Data'!V25+'Bloom Cleaner Data'!FA25)/'Bloom Cleaner Data'!GX25</f>
        <v>2.1926976908330813</v>
      </c>
      <c r="MR25" s="15">
        <f>('Bloom Cleaner Data'!W25+'Bloom Cleaner Data'!FB25)/'Bloom Cleaner Data'!GY25</f>
        <v>2.0896256135379052</v>
      </c>
      <c r="MS25" s="15">
        <f>('Bloom Cleaner Data'!X25+'Bloom Cleaner Data'!FC25)/'Bloom Cleaner Data'!GZ25</f>
        <v>2.2194131822067864</v>
      </c>
      <c r="MT25" s="15">
        <f>('Bloom Cleaner Data'!Y25+'Bloom Cleaner Data'!FD25)/'Bloom Cleaner Data'!HA25</f>
        <v>2.1179798473848677</v>
      </c>
      <c r="MU25" s="15">
        <f>('Bloom Cleaner Data'!Z25+'Bloom Cleaner Data'!FE25)/'Bloom Cleaner Data'!HB25</f>
        <v>2.2884379034629623</v>
      </c>
      <c r="MV25" s="15">
        <f>('Bloom Cleaner Data'!AA25+'Bloom Cleaner Data'!FF25)/'Bloom Cleaner Data'!HC25</f>
        <v>2.1739862677495947</v>
      </c>
      <c r="MW25" s="15">
        <f>('Bloom Cleaner Data'!AB25+'Bloom Cleaner Data'!FG25)/'Bloom Cleaner Data'!HD25</f>
        <v>2.0367504921646553</v>
      </c>
      <c r="MX25" s="15">
        <f>('Bloom Cleaner Data'!AC25+'Bloom Cleaner Data'!FH25)/'Bloom Cleaner Data'!HE25</f>
        <v>2.0501044625202391</v>
      </c>
      <c r="MY25" s="15">
        <f>('Bloom Cleaner Data'!AD25+'Bloom Cleaner Data'!FI25)/'Bloom Cleaner Data'!HF25</f>
        <v>2.1422041218420729</v>
      </c>
      <c r="MZ25" s="15">
        <f>('Bloom Cleaner Data'!AE25+'Bloom Cleaner Data'!FJ25)/'Bloom Cleaner Data'!HG25</f>
        <v>2.1578463911957035</v>
      </c>
      <c r="NA25" s="15">
        <f>('Bloom Cleaner Data'!AF25+'Bloom Cleaner Data'!FK25)/'Bloom Cleaner Data'!HH25</f>
        <v>2.1350520572565816</v>
      </c>
      <c r="NB25" s="15">
        <f>('Bloom Cleaner Data'!AG25+'Bloom Cleaner Data'!FL25)/'Bloom Cleaner Data'!HI25</f>
        <v>2.1735379727520927</v>
      </c>
      <c r="NC25" s="15">
        <f>('Bloom Cleaner Data'!AH25+'Bloom Cleaner Data'!FM25)/'Bloom Cleaner Data'!HJ25</f>
        <v>2.2481792767988797</v>
      </c>
      <c r="ND25" s="15"/>
      <c r="NE25" s="15">
        <f t="shared" si="43"/>
        <v>4.3544000770959101E-2</v>
      </c>
      <c r="NF25" s="15">
        <f t="shared" si="108"/>
        <v>2.1855897689358517</v>
      </c>
      <c r="NG25" s="15">
        <f t="shared" si="44"/>
        <v>0.11499470049682969</v>
      </c>
      <c r="NH25" s="15">
        <f t="shared" si="109"/>
        <v>2.1786539245008143</v>
      </c>
      <c r="NI25" s="15">
        <f t="shared" si="110"/>
        <v>2.155831944592725</v>
      </c>
      <c r="NJ25" s="18">
        <f t="shared" si="111"/>
        <v>2.5302888855927547E-2</v>
      </c>
      <c r="NK25" s="15">
        <f t="shared" si="45"/>
        <v>8.9505180652393879E-2</v>
      </c>
      <c r="NL25" s="2818"/>
      <c r="NM25" s="1694" t="s">
        <v>288</v>
      </c>
      <c r="NN25" s="15">
        <f>KW25+'Bloom Cleaner Data'!EY25/CALCULATIONS!DK25</f>
        <v>2.2379886543825367</v>
      </c>
      <c r="NO25" s="15">
        <f>KX25+'Bloom Cleaner Data'!EZ25/CALCULATIONS!DL25</f>
        <v>2.220388760091681</v>
      </c>
      <c r="NP25" s="15">
        <f>KY25+'Bloom Cleaner Data'!FA25/CALCULATIONS!DM25</f>
        <v>2.2835036879939401</v>
      </c>
      <c r="NQ25" s="15">
        <f>KZ25+'Bloom Cleaner Data'!FB25/CALCULATIONS!DN25</f>
        <v>2.180689726467913</v>
      </c>
      <c r="NR25" s="15">
        <f>LA25+'Bloom Cleaner Data'!FC25/CALCULATIONS!DO25</f>
        <v>2.3118597718425562</v>
      </c>
      <c r="NS25" s="15">
        <f>LB25+'Bloom Cleaner Data'!FD25/CALCULATIONS!DP25</f>
        <v>2.2078171277962273</v>
      </c>
      <c r="NT25" s="15">
        <f>LC25+'Bloom Cleaner Data'!FE25/CALCULATIONS!DQ25</f>
        <v>2.3734029855696823</v>
      </c>
      <c r="NU25" s="15">
        <f>LD25+'Bloom Cleaner Data'!FF25/CALCULATIONS!DR25</f>
        <v>2.2580007884340154</v>
      </c>
      <c r="NV25" s="15">
        <f>LE25+'Bloom Cleaner Data'!FG25/CALCULATIONS!DS25</f>
        <v>2.1203117204932238</v>
      </c>
      <c r="NW25" s="15">
        <f>LF25+'Bloom Cleaner Data'!FH25/CALCULATIONS!DT25</f>
        <v>2.136194735371304</v>
      </c>
      <c r="NX25" s="15">
        <f>LG25+'Bloom Cleaner Data'!FI25/CALCULATIONS!DU25</f>
        <v>2.2291346170026554</v>
      </c>
      <c r="NY25" s="15">
        <f>LH25+'Bloom Cleaner Data'!FJ25/CALCULATIONS!DV25</f>
        <v>2.2492560198923384</v>
      </c>
      <c r="NZ25" s="15">
        <f>LI25+'Bloom Cleaner Data'!FK25/CALCULATIONS!DW25</f>
        <v>2.2299859720444739</v>
      </c>
      <c r="OA25" s="15">
        <f>LJ25+'Bloom Cleaner Data'!FL25/CALCULATIONS!DX25</f>
        <v>2.2692048121414343</v>
      </c>
      <c r="OB25" s="15">
        <f>LK25+'Bloom Cleaner Data'!FM25/CALCULATIONS!DY25</f>
        <v>2.3435449790233798</v>
      </c>
      <c r="OC25" s="15"/>
      <c r="OD25" s="15">
        <f t="shared" si="46"/>
        <v>4.2612225332343989E-2</v>
      </c>
      <c r="OE25" s="15">
        <f t="shared" si="112"/>
        <v>2.2809119210697624</v>
      </c>
      <c r="OF25" s="15">
        <f t="shared" si="47"/>
        <v>0.1125775391769408</v>
      </c>
      <c r="OG25" s="15">
        <f t="shared" si="113"/>
        <v>2.2729979457754066</v>
      </c>
      <c r="OH25" s="15">
        <f t="shared" si="114"/>
        <v>2.2456082264671653</v>
      </c>
      <c r="OI25" s="18">
        <f t="shared" si="115"/>
        <v>2.6293494223425577E-2</v>
      </c>
      <c r="OJ25" s="15">
        <f t="shared" si="48"/>
        <v>8.7690463503490523E-2</v>
      </c>
      <c r="OK25" s="15"/>
      <c r="OL25" s="13">
        <f>'Bloom Cleaner Data'!GF25+('Bloom Cleaner Data'!T25+'Bloom Cleaner Data'!EY25)+'Bloom Cleaner Data'!CK25</f>
        <v>16970</v>
      </c>
      <c r="OM25" s="13">
        <f>'Bloom Cleaner Data'!GG25+('Bloom Cleaner Data'!U25+'Bloom Cleaner Data'!EZ25)+'Bloom Cleaner Data'!CL25</f>
        <v>16815</v>
      </c>
      <c r="ON25" s="13">
        <f>'Bloom Cleaner Data'!GH25+('Bloom Cleaner Data'!V25+'Bloom Cleaner Data'!FA25)+'Bloom Cleaner Data'!CM25</f>
        <v>16171</v>
      </c>
      <c r="OO25" s="13">
        <f>'Bloom Cleaner Data'!GI25+('Bloom Cleaner Data'!W25+'Bloom Cleaner Data'!FB25)+'Bloom Cleaner Data'!CN25</f>
        <v>16663.97</v>
      </c>
      <c r="OP25" s="13">
        <f>'Bloom Cleaner Data'!GJ25+('Bloom Cleaner Data'!X25+'Bloom Cleaner Data'!FC25)+'Bloom Cleaner Data'!CO25</f>
        <v>15020</v>
      </c>
      <c r="OQ25" s="13">
        <f>'Bloom Cleaner Data'!GK25+('Bloom Cleaner Data'!Y25+'Bloom Cleaner Data'!FD25)+'Bloom Cleaner Data'!CP25</f>
        <v>15623</v>
      </c>
      <c r="OR25" s="13">
        <f>'Bloom Cleaner Data'!GL25+('Bloom Cleaner Data'!Z25+'Bloom Cleaner Data'!FE25)+'Bloom Cleaner Data'!CQ25</f>
        <v>15092</v>
      </c>
      <c r="OS25" s="13">
        <f>'Bloom Cleaner Data'!GM25+('Bloom Cleaner Data'!AA25+'Bloom Cleaner Data'!FF25)+'Bloom Cleaner Data'!CR25</f>
        <v>14501</v>
      </c>
      <c r="OT25" s="13">
        <f>'Bloom Cleaner Data'!GN25+('Bloom Cleaner Data'!AB25+'Bloom Cleaner Data'!FG25)+'Bloom Cleaner Data'!CS25</f>
        <v>13078</v>
      </c>
      <c r="OU25" s="13">
        <f>'Bloom Cleaner Data'!GO25+('Bloom Cleaner Data'!AC25+'Bloom Cleaner Data'!FH25)+'Bloom Cleaner Data'!CT25</f>
        <v>13478</v>
      </c>
      <c r="OV25" s="13">
        <f>'Bloom Cleaner Data'!GP25+('Bloom Cleaner Data'!AD25+'Bloom Cleaner Data'!FI25)+'Bloom Cleaner Data'!CU25</f>
        <v>13084</v>
      </c>
      <c r="OW25" s="13">
        <f>'Bloom Cleaner Data'!GQ25+('Bloom Cleaner Data'!AE25+'Bloom Cleaner Data'!FJ25)+'Bloom Cleaner Data'!CV25</f>
        <v>13187</v>
      </c>
      <c r="OX25" s="13">
        <f>'Bloom Cleaner Data'!GR25+('Bloom Cleaner Data'!AF25+'Bloom Cleaner Data'!FK25)+'Bloom Cleaner Data'!CW25</f>
        <v>12923</v>
      </c>
      <c r="OY25" s="13">
        <f>'Bloom Cleaner Data'!GS25+('Bloom Cleaner Data'!AG25+'Bloom Cleaner Data'!FL25)+'Bloom Cleaner Data'!CX25</f>
        <v>13975</v>
      </c>
      <c r="OZ25" s="13">
        <f>'Bloom Cleaner Data'!GT25+('Bloom Cleaner Data'!AH25+'Bloom Cleaner Data'!FM25)+'Bloom Cleaner Data'!CY25</f>
        <v>13633</v>
      </c>
      <c r="PA25" s="166"/>
      <c r="PB25" s="1694" t="s">
        <v>288</v>
      </c>
      <c r="PC25" s="947">
        <f>('Bloom Cleaner Data'!T25+'Bloom Cleaner Data'!EY25+'OPERATING LEASES'!BL25)/CALCULATIONS!OL25</f>
        <v>0.59886354070207937</v>
      </c>
      <c r="PD25" s="947">
        <f>('Bloom Cleaner Data'!U25+'Bloom Cleaner Data'!EZ25+'OPERATING LEASES'!BM25)/CALCULATIONS!OM25</f>
        <v>0.58871012276453838</v>
      </c>
      <c r="PE25" s="947">
        <f>('Bloom Cleaner Data'!V25+'Bloom Cleaner Data'!FA25+'OPERATING LEASES'!BN25)/CALCULATIONS!ON25</f>
        <v>0.63425930015813137</v>
      </c>
      <c r="PF25" s="947">
        <f>('Bloom Cleaner Data'!W25+'Bloom Cleaner Data'!FB25+'OPERATING LEASES'!BO25)/CALCULATIONS!OO25</f>
        <v>0.58791833947304095</v>
      </c>
      <c r="PG25" s="947">
        <f>('Bloom Cleaner Data'!X25+'Bloom Cleaner Data'!FC25+'OPERATING LEASES'!BP25)/CALCULATIONS!OP25</f>
        <v>0.64856857523302258</v>
      </c>
      <c r="PH25" s="947">
        <f>('Bloom Cleaner Data'!Y25+'Bloom Cleaner Data'!FD25+'OPERATING LEASES'!BQ25)/CALCULATIONS!OQ25</f>
        <v>0.6043153523651027</v>
      </c>
      <c r="PI25" s="947">
        <f>('Bloom Cleaner Data'!Z25+'Bloom Cleaner Data'!FE25+'OPERATING LEASES'!BR25)/CALCULATIONS!OR25</f>
        <v>0.66220100053008213</v>
      </c>
      <c r="PJ25" s="947">
        <f>('Bloom Cleaner Data'!AA25+'Bloom Cleaner Data'!FF25+'OPERATING LEASES'!BS25)/CALCULATIONS!OS25</f>
        <v>0.65358639059375212</v>
      </c>
      <c r="PK25" s="947">
        <f>('Bloom Cleaner Data'!AB25+'Bloom Cleaner Data'!FG25+'OPERATING LEASES'!BT25)/CALCULATIONS!OT25</f>
        <v>0.67566715094051077</v>
      </c>
      <c r="PL25" s="947">
        <f>('Bloom Cleaner Data'!AC25+'Bloom Cleaner Data'!FH25+'OPERATING LEASES'!BU25)/CALCULATIONS!OU25</f>
        <v>0.65577236978780229</v>
      </c>
      <c r="PM25" s="947">
        <f>('Bloom Cleaner Data'!AD25+'Bloom Cleaner Data'!FI25+'OPERATING LEASES'!BV25)/CALCULATIONS!OV25</f>
        <v>0.70281450626719655</v>
      </c>
      <c r="PN25" s="947">
        <f>('Bloom Cleaner Data'!AE25+'Bloom Cleaner Data'!FJ25+'OPERATING LEASES'!BW25)/CALCULATIONS!OW25</f>
        <v>0.68239554106316824</v>
      </c>
      <c r="PO25" s="947">
        <f>('Bloom Cleaner Data'!AF25+'Bloom Cleaner Data'!FK25+'OPERATING LEASES'!BX25)/CALCULATIONS!OX25</f>
        <v>0.68326820397740462</v>
      </c>
      <c r="PP25" s="947">
        <f>('Bloom Cleaner Data'!AG25+'Bloom Cleaner Data'!FL25+'OPERATING LEASES'!BY25)/CALCULATIONS!OY25</f>
        <v>0.63269230769230766</v>
      </c>
      <c r="PQ25" s="947">
        <f>('Bloom Cleaner Data'!AH25+'Bloom Cleaner Data'!FM25+'OPERATING LEASES'!BZ25)/CALCULATIONS!OZ25</f>
        <v>0.66154734834592532</v>
      </c>
      <c r="PR25" s="947"/>
      <c r="PS25" s="18">
        <f t="shared" si="116"/>
        <v>0.65916928667187924</v>
      </c>
      <c r="PT25" s="18">
        <f t="shared" si="117"/>
        <v>0.66497585026970141</v>
      </c>
      <c r="PU25" s="18">
        <f t="shared" si="118"/>
        <v>0.65269279895595744</v>
      </c>
      <c r="PV25" s="10">
        <f t="shared" si="119"/>
        <v>4.3023489259031114E-2</v>
      </c>
      <c r="PW25" s="10"/>
      <c r="PX25" s="506">
        <f>'Bloom Cleaner Data'!D25/'Bloom Cleaner Data'!GF25</f>
        <v>3.100050332829047</v>
      </c>
      <c r="PY25" s="506">
        <f>'Bloom Cleaner Data'!E25/'Bloom Cleaner Data'!GG25</f>
        <v>2.9579180293812137</v>
      </c>
      <c r="PZ25" s="506">
        <f>'Bloom Cleaner Data'!F25/'Bloom Cleaner Data'!GH25</f>
        <v>3.303690752650791</v>
      </c>
      <c r="QA25" s="506">
        <f>'Bloom Cleaner Data'!G25/'Bloom Cleaner Data'!GI25</f>
        <v>3.1878124663819016</v>
      </c>
      <c r="QB25" s="506">
        <f>'Bloom Cleaner Data'!H25/'Bloom Cleaner Data'!GJ25</f>
        <v>3.9802228598130838</v>
      </c>
      <c r="QC25" s="506">
        <f>'Bloom Cleaner Data'!I25/'Bloom Cleaner Data'!GK25</f>
        <v>3.4010301475304683</v>
      </c>
      <c r="QD25" s="506">
        <f>'Bloom Cleaner Data'!J25/'Bloom Cleaner Data'!GL25</f>
        <v>3.8685875629600934</v>
      </c>
      <c r="QE25" s="506">
        <f>'Bloom Cleaner Data'!K25/'Bloom Cleaner Data'!GM25</f>
        <v>3.77964590712318</v>
      </c>
      <c r="QF25" s="506">
        <f>'Bloom Cleaner Data'!L25/'Bloom Cleaner Data'!GN25</f>
        <v>4.2914703677839849</v>
      </c>
      <c r="QG25" s="506">
        <f>'Bloom Cleaner Data'!M25/'Bloom Cleaner Data'!GO25</f>
        <v>4.0278179842318345</v>
      </c>
      <c r="QH25" s="506">
        <f>'Bloom Cleaner Data'!N25/'Bloom Cleaner Data'!GP25</f>
        <v>4.9903771544099067</v>
      </c>
      <c r="QI25" s="506">
        <f>'Bloom Cleaner Data'!O25/'Bloom Cleaner Data'!GQ25</f>
        <v>4.5986744950681064</v>
      </c>
      <c r="QJ25" s="506">
        <f>'Bloom Cleaner Data'!P25/'Bloom Cleaner Data'!GR25</f>
        <v>4.9084286573628484</v>
      </c>
      <c r="QK25" s="506">
        <f>'Bloom Cleaner Data'!Q25/'Bloom Cleaner Data'!GS25</f>
        <v>4.382857522635331</v>
      </c>
      <c r="QL25" s="506">
        <f>'Bloom Cleaner Data'!R25/'Bloom Cleaner Data'!GT25</f>
        <v>4.5731712273212377</v>
      </c>
      <c r="QM25" s="506"/>
      <c r="QN25" s="506">
        <f t="shared" si="120"/>
        <v>4.0995220850209826</v>
      </c>
      <c r="QO25" s="10">
        <f t="shared" si="121"/>
        <v>0.38426129130029807</v>
      </c>
      <c r="QP25" s="506">
        <f t="shared" si="122"/>
        <v>4.0700430544472406</v>
      </c>
      <c r="QQ25" s="18"/>
      <c r="QR25" s="506">
        <f>'Bloom Cleaner Data'!GF25/CALCULATIONS!DK25</f>
        <v>1.375454710056325</v>
      </c>
      <c r="QS25" s="506">
        <f>'Bloom Cleaner Data'!GG25/CALCULATIONS!DL25</f>
        <v>1.4286147873499937</v>
      </c>
      <c r="QT25" s="506">
        <f>'Bloom Cleaner Data'!GH25/CALCULATIONS!DM25</f>
        <v>1.2148386685761468</v>
      </c>
      <c r="QU25" s="506">
        <f>'Bloom Cleaner Data'!GI25/CALCULATIONS!DN25</f>
        <v>1.3335228335263956</v>
      </c>
      <c r="QV25" s="506">
        <f>'Bloom Cleaner Data'!GJ25/CALCULATIONS!DO25</f>
        <v>1.2050917049499126</v>
      </c>
      <c r="QW25" s="506">
        <f>'Bloom Cleaner Data'!GK25/CALCULATIONS!DP25</f>
        <v>1.3844796836913043</v>
      </c>
      <c r="QX25" s="506">
        <f>'Bloom Cleaner Data'!GL25/CALCULATIONS!DQ25</f>
        <v>1.1692050824162961</v>
      </c>
      <c r="QY25" s="506">
        <f>'Bloom Cleaner Data'!GM25/CALCULATIONS!DR25</f>
        <v>1.1540372520611626</v>
      </c>
      <c r="QZ25" s="506">
        <f>'Bloom Cleaner Data'!GN25/CALCULATIONS!DS25</f>
        <v>0.98118892581685668</v>
      </c>
      <c r="RA25" s="506">
        <f>'Bloom Cleaner Data'!GO25/CALCULATIONS!DT25</f>
        <v>1.0782364921610912</v>
      </c>
      <c r="RB25" s="506">
        <f>'Bloom Cleaner Data'!GP25/CALCULATIONS!DU25</f>
        <v>0.91245447372513555</v>
      </c>
      <c r="RC25" s="506">
        <f>'Bloom Cleaner Data'!GQ25/CALCULATIONS!DV25</f>
        <v>1.0100289854668774</v>
      </c>
      <c r="RD25" s="506">
        <f>'Bloom Cleaner Data'!GR25/CALCULATIONS!DW25</f>
        <v>0.99381683319601555</v>
      </c>
      <c r="RE25" s="506">
        <f>'Bloom Cleaner Data'!GS25/CALCULATIONS!DX25</f>
        <v>1.2615222474189662</v>
      </c>
      <c r="RF25" s="506">
        <f>'Bloom Cleaner Data'!GT25/CALCULATIONS!DY25</f>
        <v>1.1539784721504744</v>
      </c>
      <c r="RG25" s="506"/>
      <c r="RH25" s="506">
        <f t="shared" si="123"/>
        <v>1.1424924350120489</v>
      </c>
      <c r="RI25" s="506">
        <f t="shared" si="124"/>
        <v>1.0793854182680971</v>
      </c>
      <c r="RJ25" s="18"/>
      <c r="RK25" s="506">
        <f>'Bloom Cleaner Data'!GF25/($RK$1*DK25+(1-$RK$1)*'Bloom Cleaner Data'!GV25)</f>
        <v>1.375454710056325</v>
      </c>
      <c r="RL25" s="506">
        <f>'Bloom Cleaner Data'!GG25/($RK$1*DL25+(1-$RK$1)*'Bloom Cleaner Data'!GW25)</f>
        <v>1.4286147873499937</v>
      </c>
      <c r="RM25" s="506">
        <f>'Bloom Cleaner Data'!GH25/($RK$1*DM25+(1-$RK$1)*'Bloom Cleaner Data'!GX25)</f>
        <v>1.2148386685761468</v>
      </c>
      <c r="RN25" s="506">
        <f>'Bloom Cleaner Data'!GI25/($RK$1*DN25+(1-$RK$1)*'Bloom Cleaner Data'!GY25)</f>
        <v>1.3335228335263956</v>
      </c>
      <c r="RO25" s="506">
        <f>'Bloom Cleaner Data'!GJ25/($RK$1*DO25+(1-$RK$1)*'Bloom Cleaner Data'!GZ25)</f>
        <v>1.2050917049499126</v>
      </c>
      <c r="RP25" s="506">
        <f>'Bloom Cleaner Data'!GK25/($RK$1*DP25+(1-$RK$1)*'Bloom Cleaner Data'!HA25)</f>
        <v>1.3844796836913043</v>
      </c>
      <c r="RQ25" s="506">
        <f>'Bloom Cleaner Data'!GL25/($RK$1*DQ25+(1-$RK$1)*'Bloom Cleaner Data'!HB25)</f>
        <v>1.1692050824162961</v>
      </c>
      <c r="RR25" s="506">
        <f>'Bloom Cleaner Data'!GM25/($RK$1*DR25+(1-$RK$1)*'Bloom Cleaner Data'!HC25)</f>
        <v>1.1540372520611626</v>
      </c>
      <c r="RS25" s="506">
        <f>'Bloom Cleaner Data'!GN25/($RK$1*DS25+(1-$RK$1)*'Bloom Cleaner Data'!HD25)</f>
        <v>0.98118892581685668</v>
      </c>
      <c r="RT25" s="506">
        <f>'Bloom Cleaner Data'!GO25/($RK$1*DT25+(1-$RK$1)*'Bloom Cleaner Data'!HE25)</f>
        <v>1.0782364921610912</v>
      </c>
      <c r="RU25" s="506">
        <f>'Bloom Cleaner Data'!GP25/($RK$1*DU25+(1-$RK$1)*'Bloom Cleaner Data'!HF25)</f>
        <v>0.91245447372513555</v>
      </c>
      <c r="RV25" s="506">
        <f>'Bloom Cleaner Data'!GQ25/($RK$1*DV25+(1-$RK$1)*'Bloom Cleaner Data'!HG25)</f>
        <v>1.0100289854668774</v>
      </c>
      <c r="RW25" s="506">
        <f>'Bloom Cleaner Data'!GR25/($RK$1*DW25+(1-$RK$1)*'Bloom Cleaner Data'!HH25)</f>
        <v>0.99381683319601555</v>
      </c>
      <c r="RX25" s="506">
        <f>'Bloom Cleaner Data'!GS25/($RK$1*DX25+(1-$RK$1)*'Bloom Cleaner Data'!HI25)</f>
        <v>1.2615222474189662</v>
      </c>
      <c r="RY25" s="506">
        <f>'Bloom Cleaner Data'!GT25/($RK$1*DY25+(1-$RK$1)*'Bloom Cleaner Data'!HJ25)</f>
        <v>1.1539784721504744</v>
      </c>
      <c r="RZ25" s="506"/>
      <c r="SA25" s="506">
        <f t="shared" si="125"/>
        <v>1.1424924350120489</v>
      </c>
      <c r="SB25" s="506">
        <f t="shared" si="126"/>
        <v>1.0793854182680971</v>
      </c>
      <c r="SC25" s="18"/>
      <c r="SD25" s="15">
        <f>'Bloom Cleaner Data'!HM25</f>
        <v>5.6532</v>
      </c>
      <c r="SE25" s="15">
        <f>'Bloom Cleaner Data'!HN25</f>
        <v>6.0940000000000003</v>
      </c>
      <c r="SF25" s="15">
        <f>'Bloom Cleaner Data'!HO25</f>
        <v>5.8245000000000005</v>
      </c>
      <c r="SG25" s="15">
        <f>'Bloom Cleaner Data'!HP25</f>
        <v>5.7889999999999997</v>
      </c>
      <c r="SH25" s="15">
        <f>'Bloom Cleaner Data'!HQ25</f>
        <v>6.0361000000000002</v>
      </c>
      <c r="SI25" s="15">
        <f>'Bloom Cleaner Data'!HR25</f>
        <v>5.7984999999999998</v>
      </c>
      <c r="SJ25" s="15">
        <f>'Bloom Cleaner Data'!HS25</f>
        <v>5.6901999999999999</v>
      </c>
      <c r="SK25" s="15">
        <f>'Bloom Cleaner Data'!HT25</f>
        <v>5.4062999999999999</v>
      </c>
      <c r="SL25" s="15">
        <f>'Bloom Cleaner Data'!HU25</f>
        <v>4.9265999999999996</v>
      </c>
      <c r="SM25" s="15">
        <f>'Bloom Cleaner Data'!HV25</f>
        <v>5.056</v>
      </c>
      <c r="SN25" s="15">
        <f>'Bloom Cleaner Data'!HW25</f>
        <v>5.4055999999999997</v>
      </c>
      <c r="SO25" s="15">
        <f>'Bloom Cleaner Data'!HX25</f>
        <v>5.0545</v>
      </c>
      <c r="SP25" s="15">
        <f>'Bloom Cleaner Data'!HY25</f>
        <v>5.1757999999999997</v>
      </c>
      <c r="SQ25" s="15">
        <f>'Bloom Cleaner Data'!HZ25</f>
        <v>4.9328000000000003</v>
      </c>
      <c r="SR25" s="15">
        <f>'Bloom Cleaner Data'!IA25</f>
        <v>5.4858000000000002</v>
      </c>
      <c r="SS25" s="15"/>
      <c r="ST25" s="15">
        <f t="shared" si="127"/>
        <v>5.4885933333333323</v>
      </c>
      <c r="SU25" s="487">
        <f t="shared" si="128"/>
        <v>-5.8150914241565835E-2</v>
      </c>
      <c r="SV25" s="15">
        <f t="shared" si="129"/>
        <v>-0.33870000000000022</v>
      </c>
    </row>
    <row r="26" spans="1:518">
      <c r="A26" s="11" t="s">
        <v>27</v>
      </c>
      <c r="B26" s="72"/>
      <c r="C26" s="2201" t="s">
        <v>353</v>
      </c>
      <c r="D26" s="1133" t="s">
        <v>1038</v>
      </c>
      <c r="E26" s="224"/>
      <c r="F26" s="224"/>
      <c r="G26" s="13">
        <f>'Bloom Cleaner Data'!D26</f>
        <v>693.7373</v>
      </c>
      <c r="H26" s="13">
        <f>'Bloom Cleaner Data'!F26</f>
        <v>505.78710000000001</v>
      </c>
      <c r="I26" s="13">
        <f>'Bloom Cleaner Data'!H26</f>
        <v>481.93720000000002</v>
      </c>
      <c r="J26" s="13">
        <f>'Bloom Cleaner Data'!J26</f>
        <v>541.87490000000003</v>
      </c>
      <c r="K26" s="13">
        <f>'Bloom Cleaner Data'!L26</f>
        <v>434</v>
      </c>
      <c r="L26" s="13">
        <f>'Bloom Cleaner Data'!N26</f>
        <v>469.67329999999998</v>
      </c>
      <c r="M26" s="13">
        <f>'Bloom Cleaner Data'!P26</f>
        <v>536.01220000000001</v>
      </c>
      <c r="N26" s="13">
        <f>'Bloom Cleaner Data'!R26</f>
        <v>562.64409999999998</v>
      </c>
      <c r="O26" s="13"/>
      <c r="P26" s="13">
        <f>AVERAGE(H26:N26)</f>
        <v>504.56125714285719</v>
      </c>
      <c r="Q26" s="13">
        <f t="shared" si="49"/>
        <v>522.7765333333333</v>
      </c>
      <c r="R26" s="10">
        <f t="shared" si="1"/>
        <v>0.11241291049139049</v>
      </c>
      <c r="S26" s="144">
        <f>R26</f>
        <v>0.11241291049139049</v>
      </c>
      <c r="T26" s="10">
        <f t="shared" si="2"/>
        <v>0.21418848939702945</v>
      </c>
      <c r="U26" s="10"/>
      <c r="V26" s="441" t="s">
        <v>353</v>
      </c>
      <c r="W26" s="1238">
        <f>'Bloom Cleaner Data'!D26/'Bloom Cleaner Data'!$F26</f>
        <v>1.3715994338329309</v>
      </c>
      <c r="X26" s="1238">
        <f>'Bloom Cleaner Data'!E26/'Bloom Cleaner Data'!$F26</f>
        <v>1.1571325168237783</v>
      </c>
      <c r="Y26" s="1238">
        <f>'Bloom Cleaner Data'!F26/'Bloom Cleaner Data'!$F26</f>
        <v>1</v>
      </c>
      <c r="Z26" s="1238">
        <f>'Bloom Cleaner Data'!G26/'Bloom Cleaner Data'!$F26</f>
        <v>0.97642298508601744</v>
      </c>
      <c r="AA26" s="1238">
        <f>'Bloom Cleaner Data'!H26/'Bloom Cleaner Data'!$F26</f>
        <v>0.95284597017203487</v>
      </c>
      <c r="AB26" s="1238">
        <f>'Bloom Cleaner Data'!I26/'Bloom Cleaner Data'!$F26</f>
        <v>1.0673421682759405</v>
      </c>
      <c r="AC26" s="1238">
        <f>'Bloom Cleaner Data'!J26/'Bloom Cleaner Data'!$F26</f>
        <v>1.0713497833376928</v>
      </c>
      <c r="AD26" s="1238">
        <f>'Bloom Cleaner Data'!K26/'Bloom Cleaner Data'!$F26</f>
        <v>0.81679940038012033</v>
      </c>
      <c r="AE26" s="1238">
        <f>'Bloom Cleaner Data'!L26/'Bloom Cleaner Data'!$F26</f>
        <v>0.85806854306881297</v>
      </c>
      <c r="AF26" s="1238">
        <f>'Bloom Cleaner Data'!M26/'Bloom Cleaner Data'!$F26</f>
        <v>0.86773664255177718</v>
      </c>
      <c r="AG26" s="1238">
        <f>'Bloom Cleaner Data'!N26/'Bloom Cleaner Data'!$F26</f>
        <v>0.92859881163438129</v>
      </c>
      <c r="AH26" s="1238">
        <f>'Bloom Cleaner Data'!O26/'Bloom Cleaner Data'!$F26</f>
        <v>0.97940615725470259</v>
      </c>
      <c r="AI26" s="1238">
        <f>'Bloom Cleaner Data'!P26/'Bloom Cleaner Data'!$F26</f>
        <v>1.0597585426753668</v>
      </c>
      <c r="AJ26" s="1238">
        <f>'Bloom Cleaner Data'!Q26/'Bloom Cleaner Data'!$F26</f>
        <v>1.2024347793765402</v>
      </c>
      <c r="AK26" s="1238">
        <f>'Bloom Cleaner Data'!R26/'Bloom Cleaner Data'!$F26</f>
        <v>1.1124129104913905</v>
      </c>
      <c r="AL26" s="13"/>
      <c r="AM26" s="13">
        <f>AVERAGE('Bloom Cleaner Data'!BW26:CI26)</f>
        <v>813.47762307692312</v>
      </c>
      <c r="AN26" s="18">
        <f>('Bloom Cleaner Data'!CI26-'Bloom Cleaner Data'!BW26)/'Bloom Cleaner Data'!BW26</f>
        <v>0.19711467196299834</v>
      </c>
      <c r="AO26" s="18">
        <f>('Bloom Cleaner Data'!CI26+'Bloom Cleaner Data'!CH26-'Bloom Cleaner Data'!BW26-'Bloom Cleaner Data'!BV26)/('Bloom Cleaner Data'!BW26+'Bloom Cleaner Data'!BV26)</f>
        <v>0.15731081723901302</v>
      </c>
      <c r="AP26" s="13"/>
      <c r="AQ26" s="13">
        <f>'Bloom Cleaner Data'!BW26</f>
        <v>776.48710000000005</v>
      </c>
      <c r="AR26" s="13">
        <f>'Bloom Cleaner Data'!BY26</f>
        <v>771.35829999999999</v>
      </c>
      <c r="AS26" s="13">
        <f>'Bloom Cleaner Data'!CA26</f>
        <v>837.41330000000005</v>
      </c>
      <c r="AT26" s="13">
        <f>'Bloom Cleaner Data'!CC26</f>
        <v>704.38350000000003</v>
      </c>
      <c r="AU26" s="13">
        <f>'Bloom Cleaner Data'!CE26</f>
        <v>814.87329999999997</v>
      </c>
      <c r="AV26" s="13">
        <f>'Bloom Cleaner Data'!CG26</f>
        <v>880.1499</v>
      </c>
      <c r="AW26" s="13">
        <f>'Bloom Cleaner Data'!CI26</f>
        <v>929.54409999999996</v>
      </c>
      <c r="AX26" s="13"/>
      <c r="AY26" s="13">
        <f>AVERAGE(AQ26:AW26)</f>
        <v>816.31564285714296</v>
      </c>
      <c r="AZ26" s="10">
        <f t="shared" si="4"/>
        <v>0.19711467196299834</v>
      </c>
      <c r="BA26" s="10"/>
      <c r="BB26" s="13">
        <f>'Bloom Cleaner Data'!T26+'OPERATING LEASES'!AU26</f>
        <v>450.4121838892076</v>
      </c>
      <c r="BC26" s="13">
        <f>'Bloom Cleaner Data'!U26+'OPERATING LEASES'!AV26</f>
        <v>429.7988843338033</v>
      </c>
      <c r="BD26" s="13">
        <f>'Bloom Cleaner Data'!V26+'OPERATING LEASES'!AW26</f>
        <v>430.31358477839899</v>
      </c>
      <c r="BE26" s="13">
        <f>'Bloom Cleaner Data'!W26+'OPERATING LEASES'!AX26</f>
        <v>431.9282852229947</v>
      </c>
      <c r="BF26" s="13">
        <f>'Bloom Cleaner Data'!X26+'OPERATING LEASES'!AY26</f>
        <v>457.17038566759044</v>
      </c>
      <c r="BG26" s="13">
        <f>'Bloom Cleaner Data'!Y26+'OPERATING LEASES'!AZ26</f>
        <v>469.35520810008836</v>
      </c>
      <c r="BH26" s="13">
        <f>'Bloom Cleaner Data'!Z26+'OPERATING LEASES'!BA26</f>
        <v>458.44363053258621</v>
      </c>
      <c r="BI26" s="13">
        <f>'Bloom Cleaner Data'!AA26+'OPERATING LEASES'!BB26</f>
        <v>418.87965296508418</v>
      </c>
      <c r="BJ26" s="13">
        <f>'Bloom Cleaner Data'!AB26+'OPERATING LEASES'!BC26</f>
        <v>428.25977539758208</v>
      </c>
      <c r="BK26" s="13">
        <f>'Bloom Cleaner Data'!AC26+'OPERATING LEASES'!BD26</f>
        <v>482.46193795340048</v>
      </c>
      <c r="BL26" s="13">
        <f>'Bloom Cleaner Data'!AD26+'OPERATING LEASES'!BE26</f>
        <v>485.33200050921891</v>
      </c>
      <c r="BM26" s="13">
        <f>'Bloom Cleaner Data'!AE26+'OPERATING LEASES'!BF26</f>
        <v>458.40206306503734</v>
      </c>
      <c r="BN26" s="13">
        <f>'Bloom Cleaner Data'!AF26+'OPERATING LEASES'!BG26</f>
        <v>466.42232562085576</v>
      </c>
      <c r="BO26" s="13">
        <f>'Bloom Cleaner Data'!AG26+'OPERATING LEASES'!BH26</f>
        <v>477.88622562085573</v>
      </c>
      <c r="BP26" s="13">
        <f>'Bloom Cleaner Data'!AH26+'OPERATING LEASES'!BI26</f>
        <v>489.17212562085575</v>
      </c>
      <c r="BQ26" s="13"/>
      <c r="BR26" s="1099">
        <f>AVERAGE(BD26:BP26)</f>
        <v>458.00209238881149</v>
      </c>
      <c r="BS26" s="10">
        <f t="shared" si="51"/>
        <v>0.13678057798888102</v>
      </c>
      <c r="BT26" s="10"/>
      <c r="BU26" s="13">
        <f>'Bloom Cleaner Data'!BU26+'OPERATING LEASES'!AU26</f>
        <v>1144.6576838892076</v>
      </c>
      <c r="BV26" s="13">
        <f>'Bloom Cleaner Data'!BV26+'OPERATING LEASES'!AV26</f>
        <v>1015.4615843338033</v>
      </c>
      <c r="BW26" s="13">
        <f>'Bloom Cleaner Data'!BW26+'OPERATING LEASES'!AW26</f>
        <v>936.600684778399</v>
      </c>
      <c r="BX26" s="13">
        <f>'Bloom Cleaner Data'!BX26+'OPERATING LEASES'!AX26</f>
        <v>951.13408522299471</v>
      </c>
      <c r="BY26" s="13">
        <f>'Bloom Cleaner Data'!BY26+'OPERATING LEASES'!AY26</f>
        <v>939.70128566759035</v>
      </c>
      <c r="BZ26" s="13">
        <f>'Bloom Cleaner Data'!BZ26+'OPERATING LEASES'!AZ26</f>
        <v>1009.7031081000883</v>
      </c>
      <c r="CA26" s="13">
        <f>'Bloom Cleaner Data'!CA26+'OPERATING LEASES'!BA26</f>
        <v>1000.7807305325863</v>
      </c>
      <c r="CB26" s="13">
        <f>'Bloom Cleaner Data'!CB26+'OPERATING LEASES'!BB26</f>
        <v>832.50625296508429</v>
      </c>
      <c r="CC26" s="13">
        <f>'Bloom Cleaner Data'!CC26+'OPERATING LEASES'!BC26</f>
        <v>862.77537539758214</v>
      </c>
      <c r="CD26" s="13">
        <f>'Bloom Cleaner Data'!CD26+'OPERATING LEASES'!BD26</f>
        <v>921.75193795340044</v>
      </c>
      <c r="CE26" s="13">
        <f>'Bloom Cleaner Data'!CE26+'OPERATING LEASES'!BE26</f>
        <v>955.40530050921893</v>
      </c>
      <c r="CF26" s="13">
        <f>'Bloom Cleaner Data'!CF26+'OPERATING LEASES'!BF26</f>
        <v>954.17306306503735</v>
      </c>
      <c r="CG26" s="13">
        <f>'Bloom Cleaner Data'!CG26+'OPERATING LEASES'!BG26</f>
        <v>1002.8220256208557</v>
      </c>
      <c r="CH26" s="13">
        <f>'Bloom Cleaner Data'!CH26+'OPERATING LEASES'!BH26</f>
        <v>1086.4304256208557</v>
      </c>
      <c r="CI26" s="13">
        <f>'Bloom Cleaner Data'!CI26+'OPERATING LEASES'!BI26</f>
        <v>1052.2162256208558</v>
      </c>
      <c r="CJ26" s="13"/>
      <c r="CK26" s="1099">
        <f>AVERAGE(BW26:CI26)</f>
        <v>962.00003854265765</v>
      </c>
      <c r="CL26" s="10">
        <f t="shared" si="53"/>
        <v>0.12344165739085655</v>
      </c>
      <c r="CM26" s="18">
        <f t="shared" si="54"/>
        <v>0.18257713703784342</v>
      </c>
      <c r="CN26" s="13"/>
      <c r="CO26" s="18">
        <f>$CO$1*BU26/('Bloom Cleaner Data'!D26+'Bloom Cleaner Data'!T26+'OPERATING LEASES'!AU26)+(1-$CO$1)*'Bloom Cleaner Data'!BU26/('Bloom Cleaner Data'!D26+'Bloom Cleaner Data'!T26)-1</f>
        <v>4.441727301860432E-4</v>
      </c>
      <c r="CP26" s="18">
        <f>$CO$1*BV26/('Bloom Cleaner Data'!E26+'Bloom Cleaner Data'!U26+'OPERATING LEASES'!AV26)+(1-$CO$1)*'Bloom Cleaner Data'!BV26/('Bloom Cleaner Data'!E26+'Bloom Cleaner Data'!U26)-1</f>
        <v>3.940647603786207E-4</v>
      </c>
      <c r="CQ26" s="18">
        <f>$CO$1*BW26/('Bloom Cleaner Data'!F26+'Bloom Cleaner Data'!V26+'OPERATING LEASES'!AW26)+(1-$CO$1)*'Bloom Cleaner Data'!BW26/('Bloom Cleaner Data'!F26+'Bloom Cleaner Data'!V26)-1</f>
        <v>5.341305781849659E-4</v>
      </c>
      <c r="CR26" s="18">
        <f>$CO$1*BX26/('Bloom Cleaner Data'!G26+'Bloom Cleaner Data'!W26+'OPERATING LEASES'!AX26)+(1-$CO$1)*'Bloom Cleaner Data'!BX26/('Bloom Cleaner Data'!G26+'Bloom Cleaner Data'!W26)-1</f>
        <v>2.7375147804260314E-2</v>
      </c>
      <c r="CS26" s="18">
        <f>$CO$1*BY26/('Bloom Cleaner Data'!H26+'Bloom Cleaner Data'!X26+'OPERATING LEASES'!AY26)+(1-$CO$1)*'Bloom Cleaner Data'!BY26/('Bloom Cleaner Data'!H26+'Bloom Cleaner Data'!X26)-1</f>
        <v>6.3219593693064624E-4</v>
      </c>
      <c r="CT26" s="18">
        <f>$CO$1*BZ26/('Bloom Cleaner Data'!I26+'Bloom Cleaner Data'!Y26+'OPERATING LEASES'!AZ26)+(1-$CO$1)*'Bloom Cleaner Data'!BZ26/('Bloom Cleaner Data'!I26+'Bloom Cleaner Data'!Y26)-1</f>
        <v>4.9544040836457803E-4</v>
      </c>
      <c r="CU26" s="18">
        <f>$CO$1*CA26/('Bloom Cleaner Data'!J26+'Bloom Cleaner Data'!Z26+'OPERATING LEASES'!BA26)+(1-$CO$1)*'Bloom Cleaner Data'!CA26/('Bloom Cleaner Data'!J26+'Bloom Cleaner Data'!Z26)-1</f>
        <v>4.6205282206845943E-4</v>
      </c>
      <c r="CV26" s="18">
        <f>$CO$1*CB26/('Bloom Cleaner Data'!K26+'Bloom Cleaner Data'!AA26+'OPERATING LEASES'!BB26)+(1-$CO$1)*'Bloom Cleaner Data'!CB26/('Bloom Cleaner Data'!K26+'Bloom Cleaner Data'!AA26)-1</f>
        <v>6.0095702191920175E-4</v>
      </c>
      <c r="CW26" s="18">
        <f>$CO$1*CC26/('Bloom Cleaner Data'!L26+'Bloom Cleaner Data'!AB26+'OPERATING LEASES'!BC26)+(1-$CO$1)*'Bloom Cleaner Data'!CC26/('Bloom Cleaner Data'!L26+'Bloom Cleaner Data'!AB26)-1</f>
        <v>5.9796364704856053E-4</v>
      </c>
      <c r="CX26" s="18">
        <f>$CO$1*CD26/('Bloom Cleaner Data'!M26+'Bloom Cleaner Data'!AC26+'OPERATING LEASES'!BD26)+(1-$CO$1)*'Bloom Cleaner Data'!CD26/('Bloom Cleaner Data'!M26+'Bloom Cleaner Data'!AC26)-1</f>
        <v>4.3414463412161375E-4</v>
      </c>
      <c r="CY26" s="18">
        <f>$CO$1*CE26/('Bloom Cleaner Data'!N26+'Bloom Cleaner Data'!AD26+'OPERATING LEASES'!BE26)+(1-$CO$1)*'Bloom Cleaner Data'!CE26/('Bloom Cleaner Data'!N26+'Bloom Cleaner Data'!AD26)-1</f>
        <v>4.1884584283113924E-4</v>
      </c>
      <c r="CZ26" s="18">
        <f>$CO$1*CF26/('Bloom Cleaner Data'!O26+'Bloom Cleaner Data'!AE26+'OPERATING LEASES'!BF26)+(1-$CO$1)*'Bloom Cleaner Data'!CF26/('Bloom Cleaner Data'!O26+'Bloom Cleaner Data'!AE26)-1</f>
        <v>4.1938697525645274E-4</v>
      </c>
      <c r="DA26" s="18">
        <f>$CO$1*CG26/('Bloom Cleaner Data'!P26+'Bloom Cleaner Data'!AF26+'OPERATING LEASES'!BG26)+(1-$CO$1)*'Bloom Cleaner Data'!CG26/('Bloom Cleaner Data'!P26+'Bloom Cleaner Data'!AF26)-1</f>
        <v>3.8655891242367346E-4</v>
      </c>
      <c r="DB26" s="18">
        <f>$CO$1*CH26/('Bloom Cleaner Data'!Q26+'Bloom Cleaner Data'!AG26+'OPERATING LEASES'!BH26)+(1-$CO$1)*'Bloom Cleaner Data'!CH26/('Bloom Cleaner Data'!Q26+'Bloom Cleaner Data'!AG26)-1</f>
        <v>3.3902293194065791E-4</v>
      </c>
      <c r="DC26" s="18">
        <f>$CO$1*CI26/('Bloom Cleaner Data'!R26+'Bloom Cleaner Data'!AH26+'OPERATING LEASES'!BI26)+(1-$CO$1)*'Bloom Cleaner Data'!CI26/('Bloom Cleaner Data'!R26+'Bloom Cleaner Data'!AH26)-1</f>
        <v>3.8029457072119577E-4</v>
      </c>
      <c r="DD26" s="18"/>
      <c r="DE26" s="18">
        <f t="shared" si="55"/>
        <v>2.5443186220054969E-3</v>
      </c>
      <c r="DF26" s="13"/>
      <c r="DG26" s="2203">
        <f>AVERAGE('Bloom Cleaner Data'!GX26:HJ26)</f>
        <v>225.65520219924653</v>
      </c>
      <c r="DH26" s="2124">
        <f>('Bloom Cleaner Data'!HJ26-'Bloom Cleaner Data'!GX26)/'Bloom Cleaner Data'!GX26</f>
        <v>0.35055897101340627</v>
      </c>
      <c r="DI26" s="2124">
        <f>('Bloom Cleaner Data'!HJ26+'Bloom Cleaner Data'!HI26-'Bloom Cleaner Data'!GX26-'Bloom Cleaner Data'!GW26)/('Bloom Cleaner Data'!GX26+'Bloom Cleaner Data'!GW26)</f>
        <v>0.36885142407304877</v>
      </c>
      <c r="DJ26" s="13"/>
      <c r="DK26" s="13">
        <f>'Bloom Cleaner Data'!GV26+'OPERATING LEASES'!BL26</f>
        <v>205.95435121087667</v>
      </c>
      <c r="DL26" s="13">
        <f>'Bloom Cleaner Data'!GW26+'OPERATING LEASES'!BM26</f>
        <v>208.12613146660726</v>
      </c>
      <c r="DM26" s="13">
        <f>'Bloom Cleaner Data'!GX26+'OPERATING LEASES'!BN26</f>
        <v>213.38958131548142</v>
      </c>
      <c r="DN26" s="13">
        <f>'Bloom Cleaner Data'!GY26+'OPERATING LEASES'!BO26</f>
        <v>217.46591362956485</v>
      </c>
      <c r="DO26" s="13">
        <f>'Bloom Cleaner Data'!GZ26+'OPERATING LEASES'!BP26</f>
        <v>223.11650288149858</v>
      </c>
      <c r="DP26" s="13">
        <f>'Bloom Cleaner Data'!HA26+'OPERATING LEASES'!BQ26</f>
        <v>230.38110697822634</v>
      </c>
      <c r="DQ26" s="13">
        <f>'Bloom Cleaner Data'!HB26+'OPERATING LEASES'!BR26</f>
        <v>234.94124203914922</v>
      </c>
      <c r="DR26" s="13">
        <f>'Bloom Cleaner Data'!HC26+'OPERATING LEASES'!BS26</f>
        <v>242.61291376721579</v>
      </c>
      <c r="DS26" s="13">
        <f>'Bloom Cleaner Data'!HD26+'OPERATING LEASES'!BT26</f>
        <v>268.98734557513023</v>
      </c>
      <c r="DT26" s="13">
        <f>'Bloom Cleaner Data'!HE26+'OPERATING LEASES'!BU26</f>
        <v>272.23447954626971</v>
      </c>
      <c r="DU26" s="13">
        <f>'Bloom Cleaner Data'!HF26+'OPERATING LEASES'!BV26</f>
        <v>278.29269509064852</v>
      </c>
      <c r="DV26" s="13">
        <f>'Bloom Cleaner Data'!HG26+'OPERATING LEASES'!BW26</f>
        <v>285.73583191462166</v>
      </c>
      <c r="DW26" s="13">
        <f>'Bloom Cleaner Data'!HH26+'OPERATING LEASES'!BX26</f>
        <v>267.23925101483485</v>
      </c>
      <c r="DX26" s="13">
        <f>'Bloom Cleaner Data'!HI26+'OPERATING LEASES'!BY26</f>
        <v>268.56504847373282</v>
      </c>
      <c r="DY26" s="13">
        <f>'Bloom Cleaner Data'!HJ26+'OPERATING LEASES'!BZ26</f>
        <v>269.36342886383039</v>
      </c>
      <c r="DZ26" s="13"/>
      <c r="EA26" s="1099">
        <f t="shared" si="56"/>
        <v>251.71733393001574</v>
      </c>
      <c r="EB26" s="10">
        <f t="shared" si="57"/>
        <v>0.26230824955598742</v>
      </c>
      <c r="EC26" s="18">
        <f t="shared" si="58"/>
        <v>0.11549537292633368</v>
      </c>
      <c r="ED26" s="18">
        <f>(AVERAGE(DV26:DY26)-AVERAGE('Bloom Cleaner Data'!HG26:HJ26))/AVERAGE('Bloom Cleaner Data'!HG26:HJ26)</f>
        <v>8.6594975921186451E-2</v>
      </c>
      <c r="EE26" s="165"/>
      <c r="EF26" s="22">
        <f>'Bloom Cleaner Data'!DT26</f>
        <v>0.84570000000000001</v>
      </c>
      <c r="EG26" s="22">
        <f>'Bloom Cleaner Data'!DX26</f>
        <v>0.93479999999999996</v>
      </c>
      <c r="EH26" s="22">
        <f>'Bloom Cleaner Data'!EB26</f>
        <v>0.96409999999999996</v>
      </c>
      <c r="EI26" s="22">
        <f>'Bloom Cleaner Data'!EF26</f>
        <v>1.1364000000000001</v>
      </c>
      <c r="EJ26" s="22"/>
      <c r="EK26" s="22">
        <f>AVERAGE('Bloom Cleaner Data'!DT26:EF26)</f>
        <v>0.9397923076923077</v>
      </c>
      <c r="EL26" s="2124">
        <f t="shared" si="5"/>
        <v>0.3437389145086911</v>
      </c>
      <c r="EM26" s="13"/>
      <c r="EN26" s="15">
        <f>'Bloom Cleaner Data'!DA26</f>
        <v>5.6487999999999996</v>
      </c>
      <c r="EO26" s="15">
        <f>'Bloom Cleaner Data'!DB26</f>
        <v>4.8243999999999998</v>
      </c>
      <c r="EP26" s="15">
        <f>'Bloom Cleaner Data'!DC26</f>
        <v>4.2282999999999999</v>
      </c>
      <c r="EQ26" s="15">
        <f>'Bloom Cleaner Data'!DD26</f>
        <v>4.1868999999999996</v>
      </c>
      <c r="ER26" s="15">
        <f>'Bloom Cleaner Data'!DE26</f>
        <v>3.9797000000000002</v>
      </c>
      <c r="ES26" s="15">
        <f>'Bloom Cleaner Data'!DF26</f>
        <v>4.1874000000000002</v>
      </c>
      <c r="ET26" s="15">
        <f>'Bloom Cleaner Data'!DG26</f>
        <v>4.0549999999999997</v>
      </c>
      <c r="EU26" s="15">
        <f>'Bloom Cleaner Data'!DH26</f>
        <v>3.1294</v>
      </c>
      <c r="EV26" s="15">
        <f>'Bloom Cleaner Data'!DI26</f>
        <v>2.9176000000000002</v>
      </c>
      <c r="EW26" s="15">
        <f>'Bloom Cleaner Data'!DJ26</f>
        <v>3.1364999999999998</v>
      </c>
      <c r="EX26" s="15">
        <f>'Bloom Cleaner Data'!DK26</f>
        <v>3.2101999999999999</v>
      </c>
      <c r="EY26" s="15">
        <f>'Bloom Cleaner Data'!DL26</f>
        <v>3.1295999999999999</v>
      </c>
      <c r="EZ26" s="15">
        <f>'Bloom Cleaner Data'!DM26</f>
        <v>3.5794000000000001</v>
      </c>
      <c r="FA26" s="15">
        <f>'Bloom Cleaner Data'!DN26</f>
        <v>3.8984000000000001</v>
      </c>
      <c r="FB26" s="15">
        <f>'Bloom Cleaner Data'!DO26</f>
        <v>3.7479</v>
      </c>
      <c r="FC26" s="15"/>
      <c r="FD26" s="15">
        <f t="shared" si="59"/>
        <v>3.6451000000000002</v>
      </c>
      <c r="FE26" s="18">
        <f t="shared" si="6"/>
        <v>-0.11361540098857696</v>
      </c>
      <c r="FF26" s="15">
        <f t="shared" si="60"/>
        <v>3.4991399999999997</v>
      </c>
      <c r="FG26" s="2206"/>
      <c r="FH26" s="15">
        <f>('Bloom Cleaner Data'!BU26+'OPERATING LEASES'!AU26)/DK26</f>
        <v>5.5578222900335454</v>
      </c>
      <c r="FI26" s="15">
        <f>('Bloom Cleaner Data'!BV26+'OPERATING LEASES'!AV26)/DL26</f>
        <v>4.879068174563792</v>
      </c>
      <c r="FJ26" s="15">
        <f>('Bloom Cleaner Data'!BW26+'OPERATING LEASES'!AW26)/DM26</f>
        <v>4.3891584537752149</v>
      </c>
      <c r="FK26" s="15">
        <f>('Bloom Cleaner Data'!BX26+'OPERATING LEASES'!AX26)/DN26</f>
        <v>4.3737157209987982</v>
      </c>
      <c r="FL26" s="15">
        <f>('Bloom Cleaner Data'!BY26+'OPERATING LEASES'!AY26)/DO26</f>
        <v>4.2117067699231718</v>
      </c>
      <c r="FM26" s="15">
        <f>('Bloom Cleaner Data'!BZ26+'OPERATING LEASES'!AZ26)/DP26</f>
        <v>4.3827513520694943</v>
      </c>
      <c r="FN26" s="15">
        <f>('Bloom Cleaner Data'!CA26+'OPERATING LEASES'!BA26)/DQ26</f>
        <v>4.2597064774426538</v>
      </c>
      <c r="FO26" s="15">
        <f>('Bloom Cleaner Data'!CB26+'OPERATING LEASES'!BB26)/DR26</f>
        <v>3.4314177264441255</v>
      </c>
      <c r="FP26" s="15">
        <f>('Bloom Cleaner Data'!CC26+'OPERATING LEASES'!BC26)/DS26</f>
        <v>3.2074942914242124</v>
      </c>
      <c r="FQ26" s="15">
        <f>('Bloom Cleaner Data'!CD26+'OPERATING LEASES'!BD26)/DT26</f>
        <v>3.3858750717016983</v>
      </c>
      <c r="FR26" s="15">
        <f>('Bloom Cleaner Data'!CE26+'OPERATING LEASES'!BE26)/DU26</f>
        <v>3.4330951453756771</v>
      </c>
      <c r="FS26" s="15">
        <f>('Bloom Cleaner Data'!CF26+'OPERATING LEASES'!BF26)/DV26</f>
        <v>3.3393538943696282</v>
      </c>
      <c r="FT26" s="15">
        <f>('Bloom Cleaner Data'!CG26+'OPERATING LEASES'!BG26)/DW26</f>
        <v>3.7525252065804793</v>
      </c>
      <c r="FU26" s="15">
        <f>('Bloom Cleaner Data'!CH26+'OPERATING LEASES'!BH26)/DX26</f>
        <v>4.0453157691035688</v>
      </c>
      <c r="FV26" s="15">
        <f>('Bloom Cleaner Data'!CI26+'OPERATING LEASES'!BI26)/DY26</f>
        <v>3.9063069179772585</v>
      </c>
      <c r="FW26" s="15"/>
      <c r="FX26" s="506">
        <f>AVERAGE(FJ26:FV26)</f>
        <v>3.8552632920912293</v>
      </c>
      <c r="FY26" s="10">
        <f t="shared" si="62"/>
        <v>-0.11001004882442665</v>
      </c>
      <c r="FZ26" s="15">
        <f t="shared" si="7"/>
        <v>0.21016329209122908</v>
      </c>
      <c r="GA26" s="15">
        <f t="shared" si="63"/>
        <v>3.7143841852488797</v>
      </c>
      <c r="GB26" s="15">
        <f t="shared" si="64"/>
        <v>0.21524418524888</v>
      </c>
      <c r="GC26" s="15">
        <f t="shared" si="8"/>
        <v>0.18221938668132198</v>
      </c>
      <c r="GD26" s="13"/>
      <c r="GE26" s="15">
        <f t="shared" si="9"/>
        <v>5.5578222900335454</v>
      </c>
      <c r="GF26" s="15">
        <f t="shared" si="10"/>
        <v>4.879068174563792</v>
      </c>
      <c r="GG26" s="15">
        <f t="shared" si="11"/>
        <v>4.3891584537752149</v>
      </c>
      <c r="GH26" s="15">
        <f t="shared" si="12"/>
        <v>4.3737157209987982</v>
      </c>
      <c r="GI26" s="15">
        <f t="shared" si="13"/>
        <v>4.2117067699231718</v>
      </c>
      <c r="GJ26" s="15">
        <f t="shared" si="14"/>
        <v>4.3827513520694943</v>
      </c>
      <c r="GK26" s="15">
        <f t="shared" si="15"/>
        <v>4.2597064774426538</v>
      </c>
      <c r="GL26" s="15">
        <f t="shared" si="16"/>
        <v>3.4314177264441255</v>
      </c>
      <c r="GM26" s="15">
        <f t="shared" si="17"/>
        <v>3.2074942914242124</v>
      </c>
      <c r="GN26" s="15">
        <f t="shared" si="18"/>
        <v>3.3858750717016983</v>
      </c>
      <c r="GO26" s="15">
        <f t="shared" si="19"/>
        <v>3.4330951453756771</v>
      </c>
      <c r="GP26" s="15">
        <f t="shared" si="20"/>
        <v>3.3393538943696282</v>
      </c>
      <c r="GQ26" s="15">
        <f t="shared" si="21"/>
        <v>3.7525252065804793</v>
      </c>
      <c r="GR26" s="15">
        <f t="shared" si="22"/>
        <v>4.0453157691035688</v>
      </c>
      <c r="GS26" s="15">
        <f t="shared" si="23"/>
        <v>3.9063069179772585</v>
      </c>
      <c r="GT26" s="15"/>
      <c r="GU26" s="15">
        <f t="shared" si="65"/>
        <v>4.0370208841188875</v>
      </c>
      <c r="GV26" s="10">
        <f t="shared" si="66"/>
        <v>-0.11001004882442665</v>
      </c>
      <c r="GW26" s="506">
        <f t="shared" si="67"/>
        <v>3.7143841852488797</v>
      </c>
      <c r="GX26" s="2057"/>
      <c r="GY26" s="10">
        <f>'Bloom Cleaner Data'!T26/('Bloom Cleaner Data'!T26+'Bloom Cleaner Data'!D26)</f>
        <v>0.30085502334909831</v>
      </c>
      <c r="GZ26" s="10">
        <f>'Bloom Cleaner Data'!U26/('Bloom Cleaner Data'!U26+'Bloom Cleaner Data'!E26)</f>
        <v>0.31871946017444364</v>
      </c>
      <c r="HA26" s="10">
        <f>'Bloom Cleaner Data'!V26/('Bloom Cleaner Data'!V26+'Bloom Cleaner Data'!F26)</f>
        <v>0.34820166469262176</v>
      </c>
      <c r="HB26" s="10">
        <f>'Bloom Cleaner Data'!W26/('Bloom Cleaner Data'!W26+'Bloom Cleaner Data'!G26)</f>
        <v>0.35151431829956359</v>
      </c>
      <c r="HC26" s="10">
        <f>'Bloom Cleaner Data'!X26/('Bloom Cleaner Data'!X26+'Bloom Cleaner Data'!H26)</f>
        <v>0.37472841902702853</v>
      </c>
      <c r="HD26" s="10">
        <f>'Bloom Cleaner Data'!Y26/('Bloom Cleaner Data'!Y26+'Bloom Cleaner Data'!I26)</f>
        <v>0.3598752068986002</v>
      </c>
      <c r="HE26" s="10">
        <f>'Bloom Cleaner Data'!Z26/('Bloom Cleaner Data'!Z26+'Bloom Cleaner Data'!J26)</f>
        <v>0.35256086048515856</v>
      </c>
      <c r="HF26" s="10">
        <f>'Bloom Cleaner Data'!AA26/('Bloom Cleaner Data'!AA26+'Bloom Cleaner Data'!K26)</f>
        <v>0.38442821369321373</v>
      </c>
      <c r="HG26" s="10">
        <f>'Bloom Cleaner Data'!AB26/('Bloom Cleaner Data'!AB26+'Bloom Cleaner Data'!L26)</f>
        <v>0.38340702850634334</v>
      </c>
      <c r="HH26" s="10">
        <f>'Bloom Cleaner Data'!AC26/('Bloom Cleaner Data'!AC26+'Bloom Cleaner Data'!M26)</f>
        <v>0.43140862039927969</v>
      </c>
      <c r="HI26" s="10">
        <f>'Bloom Cleaner Data'!AD26/('Bloom Cleaner Data'!AD26+'Bloom Cleaner Data'!N26)</f>
        <v>0.42334107207688698</v>
      </c>
      <c r="HJ26" s="10">
        <f>'Bloom Cleaner Data'!AE26/('Bloom Cleaner Data'!AE26+'Bloom Cleaner Data'!O26)</f>
        <v>0.39748422165218672</v>
      </c>
      <c r="HK26" s="10">
        <f>'Bloom Cleaner Data'!AF26/('Bloom Cleaner Data'!AF26+'Bloom Cleaner Data'!P26)</f>
        <v>0.39073072456836072</v>
      </c>
      <c r="HL26" s="10">
        <f>'Bloom Cleaner Data'!AG26/('Bloom Cleaner Data'!AG26+'Bloom Cleaner Data'!Q26)</f>
        <v>0.36871263260853515</v>
      </c>
      <c r="HM26" s="10">
        <f>'Bloom Cleaner Data'!AH26/('Bloom Cleaner Data'!AH26+'Bloom Cleaner Data'!R26)</f>
        <v>0.39444904186551905</v>
      </c>
      <c r="HN26" s="15"/>
      <c r="HO26" s="10">
        <f>AVERAGE(HA26:HM26)</f>
        <v>0.38160323267486906</v>
      </c>
      <c r="HP26" s="10">
        <f t="shared" si="69"/>
        <v>0.13281779457810056</v>
      </c>
      <c r="HQ26" s="10"/>
      <c r="HR26" s="479">
        <f t="shared" si="24"/>
        <v>0.43031850817305062</v>
      </c>
      <c r="HS26" s="480">
        <f t="shared" si="25"/>
        <v>0.4678241070206593</v>
      </c>
      <c r="HT26" s="480">
        <f t="shared" si="26"/>
        <v>0.53421686713638994</v>
      </c>
      <c r="HU26" s="480">
        <f t="shared" si="27"/>
        <v>0.54205409343477728</v>
      </c>
      <c r="HV26" s="480">
        <f t="shared" si="28"/>
        <v>0.59930505468347339</v>
      </c>
      <c r="HW26" s="480">
        <f t="shared" si="29"/>
        <v>0.5621953887381983</v>
      </c>
      <c r="HX26" s="480">
        <f t="shared" si="30"/>
        <v>0.54454672102361634</v>
      </c>
      <c r="HY26" s="480">
        <f t="shared" si="31"/>
        <v>0.62450590206488754</v>
      </c>
      <c r="HZ26" s="480">
        <f t="shared" si="32"/>
        <v>0.62181543778801851</v>
      </c>
      <c r="IA26" s="480">
        <f t="shared" si="33"/>
        <v>0.75873225637403452</v>
      </c>
      <c r="IB26" s="480">
        <f t="shared" si="34"/>
        <v>0.73412731786116003</v>
      </c>
      <c r="IC26" s="480">
        <f t="shared" si="35"/>
        <v>0.65970757270813196</v>
      </c>
      <c r="ID26" s="480">
        <f t="shared" si="36"/>
        <v>0.64131040300948361</v>
      </c>
      <c r="IE26" s="480">
        <f t="shared" si="37"/>
        <v>0.5840646457604376</v>
      </c>
      <c r="IF26" s="481">
        <f t="shared" si="38"/>
        <v>0.65138868424995489</v>
      </c>
      <c r="IG26" s="15"/>
      <c r="IH26" s="10">
        <f t="shared" si="70"/>
        <v>0.61984387267942787</v>
      </c>
      <c r="II26" s="10">
        <f t="shared" si="71"/>
        <v>0.2193338030333101</v>
      </c>
      <c r="IJ26" s="10"/>
      <c r="IK26" s="18">
        <f>('Bloom Cleaner Data'!T26+'OPERATING LEASES'!AU26)/('Bloom Cleaner Data'!T26+'OPERATING LEASES'!AU26+'Bloom Cleaner Data'!D26)</f>
        <v>0.39366550457914007</v>
      </c>
      <c r="IL26" s="18">
        <f>('Bloom Cleaner Data'!U26+'OPERATING LEASES'!AV26)/('Bloom Cleaner Data'!U26+'OPERATING LEASES'!AV26+'Bloom Cleaner Data'!E26)</f>
        <v>0.42342148591495099</v>
      </c>
      <c r="IM26" s="18">
        <f>('Bloom Cleaner Data'!V26+'OPERATING LEASES'!AW26)/('Bloom Cleaner Data'!V26+'OPERATING LEASES'!AW26+'Bloom Cleaner Data'!F26)</f>
        <v>0.45968728767703676</v>
      </c>
      <c r="IN26" s="18">
        <f>('Bloom Cleaner Data'!W26+'OPERATING LEASES'!AX26)/('Bloom Cleaner Data'!W26+'OPERATING LEASES'!AX26+'Bloom Cleaner Data'!G26)</f>
        <v>0.46655081840303986</v>
      </c>
      <c r="IO26" s="18">
        <f>('Bloom Cleaner Data'!X26+'OPERATING LEASES'!AY26)/('Bloom Cleaner Data'!X26+'OPERATING LEASES'!AY26+'Bloom Cleaner Data'!H26)</f>
        <v>0.48681364376648956</v>
      </c>
      <c r="IP26" s="18">
        <f>('Bloom Cleaner Data'!Y26+'OPERATING LEASES'!AZ26)/('Bloom Cleaner Data'!Y26+'OPERATING LEASES'!AZ26+'Bloom Cleaner Data'!I26)</f>
        <v>0.46507507193838304</v>
      </c>
      <c r="IQ26" s="18">
        <f>('Bloom Cleaner Data'!Z26+'OPERATING LEASES'!BA26)/('Bloom Cleaner Data'!Z26+'OPERATING LEASES'!BA26+'Bloom Cleaner Data'!J26)</f>
        <v>0.45829764873845052</v>
      </c>
      <c r="IR26" s="18">
        <f>('Bloom Cleaner Data'!AA26+'OPERATING LEASES'!BB26)/('Bloom Cleaner Data'!AA26+'OPERATING LEASES'!BB26+'Bloom Cleaner Data'!K26)</f>
        <v>0.50345733757684008</v>
      </c>
      <c r="IS26" s="18">
        <f>('Bloom Cleaner Data'!AB26+'OPERATING LEASES'!BC26)/('Bloom Cleaner Data'!AB26+'OPERATING LEASES'!BC26+'Bloom Cleaner Data'!L26)</f>
        <v>0.49667140647969393</v>
      </c>
      <c r="IT26" s="18">
        <f>('Bloom Cleaner Data'!AC26+'OPERATING LEASES'!BD26)/('Bloom Cleaner Data'!AC26+'OPERATING LEASES'!BD26+'Bloom Cleaner Data'!M26)</f>
        <v>0.52364565382593475</v>
      </c>
      <c r="IU26" s="18">
        <f>('Bloom Cleaner Data'!AD26+'OPERATING LEASES'!BE26)/('Bloom Cleaner Data'!AD26+'OPERATING LEASES'!BE26+'Bloom Cleaner Data'!N26)</f>
        <v>0.50819822701553052</v>
      </c>
      <c r="IV26" s="18">
        <f>('Bloom Cleaner Data'!AE26+'OPERATING LEASES'!BF26)/('Bloom Cleaner Data'!AE26+'OPERATING LEASES'!BF26+'Bloom Cleaner Data'!O26)</f>
        <v>0.48061963670049579</v>
      </c>
      <c r="IW26" s="18">
        <f>('Bloom Cleaner Data'!AF26+'OPERATING LEASES'!BG26)/('Bloom Cleaner Data'!AF26+'OPERATING LEASES'!BG26+'Bloom Cleaner Data'!P26)</f>
        <v>0.46528956625070156</v>
      </c>
      <c r="IX26" s="18">
        <f>('Bloom Cleaner Data'!AG26+'OPERATING LEASES'!BH26)/('Bloom Cleaner Data'!AG26+'OPERATING LEASES'!BH26+'Bloom Cleaner Data'!Q26)</f>
        <v>0.44001735291701949</v>
      </c>
      <c r="IY26" s="18">
        <f>('Bloom Cleaner Data'!AH26+'OPERATING LEASES'!BI26)/('Bloom Cleaner Data'!AH26+'OPERATING LEASES'!BI26+'Bloom Cleaner Data'!R26)</f>
        <v>0.46507375880431212</v>
      </c>
      <c r="IZ26" s="15"/>
      <c r="JA26" s="10">
        <f t="shared" si="72"/>
        <v>0.47841518539184064</v>
      </c>
      <c r="JB26" s="10">
        <f t="shared" si="73"/>
        <v>1.1717685634717274E-2</v>
      </c>
      <c r="JC26" s="10">
        <f t="shared" si="39"/>
        <v>9.6811952716971572E-2</v>
      </c>
      <c r="JD26" s="10">
        <f t="shared" si="40"/>
        <v>0.25369793656715856</v>
      </c>
      <c r="JE26" s="7"/>
      <c r="JF26" s="485">
        <f t="shared" si="74"/>
        <v>0.64925467304296247</v>
      </c>
      <c r="JG26" s="452">
        <f t="shared" si="131"/>
        <v>0.7343691718843578</v>
      </c>
      <c r="JH26" s="452">
        <f t="shared" si="132"/>
        <v>0.85078007086064289</v>
      </c>
      <c r="JI26" s="452">
        <f t="shared" si="133"/>
        <v>0.87459280939629513</v>
      </c>
      <c r="JJ26" s="452">
        <f t="shared" si="134"/>
        <v>0.94860987213186798</v>
      </c>
      <c r="JK26" s="452">
        <f t="shared" si="135"/>
        <v>0.86942119826730524</v>
      </c>
      <c r="JL26" s="452">
        <f t="shared" si="136"/>
        <v>0.84603223093113578</v>
      </c>
      <c r="JM26" s="452">
        <f t="shared" si="137"/>
        <v>1.0139256415952984</v>
      </c>
      <c r="JN26" s="452">
        <f t="shared" si="138"/>
        <v>0.98677367603129529</v>
      </c>
      <c r="JO26" s="452">
        <f t="shared" si="139"/>
        <v>1.0992775819758946</v>
      </c>
      <c r="JP26" s="452">
        <f t="shared" si="140"/>
        <v>1.0333395586021583</v>
      </c>
      <c r="JQ26" s="452">
        <f t="shared" si="141"/>
        <v>0.92537121281834678</v>
      </c>
      <c r="JR26" s="452">
        <f t="shared" si="142"/>
        <v>0.87017109987581576</v>
      </c>
      <c r="JS26" s="452">
        <f t="shared" si="143"/>
        <v>0.78576962198583256</v>
      </c>
      <c r="JT26" s="486">
        <f t="shared" si="144"/>
        <v>0.86941660922216346</v>
      </c>
      <c r="JU26" s="15"/>
      <c r="JV26" s="10">
        <f t="shared" si="75"/>
        <v>0.92103701413031169</v>
      </c>
      <c r="JW26" s="10">
        <f t="shared" si="76"/>
        <v>2.1905236147184298E-2</v>
      </c>
      <c r="JX26" s="10">
        <f t="shared" si="77"/>
        <v>0.30119314145088383</v>
      </c>
      <c r="JY26" s="10">
        <f t="shared" si="78"/>
        <v>0.48591775239932961</v>
      </c>
      <c r="JZ26" s="7"/>
      <c r="KA26" s="15">
        <f>'Bloom Cleaner Data'!T26/'Bloom Cleaner Data'!BU26*'Bloom Cleaner Data'!DA26</f>
        <v>1.6985998985669946</v>
      </c>
      <c r="KB26" s="15">
        <f>'Bloom Cleaner Data'!U26/'Bloom Cleaner Data'!BV26*'Bloom Cleaner Data'!DB26</f>
        <v>1.536914539746751</v>
      </c>
      <c r="KC26" s="15">
        <f>'Bloom Cleaner Data'!V26/'Bloom Cleaner Data'!BW26*'Bloom Cleaner Data'!DC26</f>
        <v>1.4713530463030229</v>
      </c>
      <c r="KD26" s="15">
        <f>'Bloom Cleaner Data'!W26/'Bloom Cleaner Data'!BX26*'Bloom Cleaner Data'!DD26</f>
        <v>1.4243548973714515</v>
      </c>
      <c r="KE26" s="15">
        <f>'Bloom Cleaner Data'!X26/'Bloom Cleaner Data'!BY26*'Bloom Cleaner Data'!DE26</f>
        <v>1.4901588584449019</v>
      </c>
      <c r="KF26" s="15">
        <f>'Bloom Cleaner Data'!Y26/'Bloom Cleaner Data'!BZ26*'Bloom Cleaner Data'!DF26</f>
        <v>1.5060485426342829</v>
      </c>
      <c r="KG26" s="15">
        <f>'Bloom Cleaner Data'!Z26/'Bloom Cleaner Data'!CA26*'Bloom Cleaner Data'!DG26</f>
        <v>1.428845220155925</v>
      </c>
      <c r="KH26" s="15">
        <f>'Bloom Cleaner Data'!AA26/'Bloom Cleaner Data'!CB26*'Bloom Cleaner Data'!DH26</f>
        <v>1.2021340429339753</v>
      </c>
      <c r="KI26" s="15">
        <f>'Bloom Cleaner Data'!AB26/'Bloom Cleaner Data'!CC26*'Bloom Cleaner Data'!DI26</f>
        <v>1.1178095242719344</v>
      </c>
      <c r="KJ26" s="15">
        <f>'Bloom Cleaner Data'!AC26/'Bloom Cleaner Data'!CD26*'Bloom Cleaner Data'!DJ26</f>
        <v>1.3524123062580118</v>
      </c>
      <c r="KK26" s="15">
        <f>'Bloom Cleaner Data'!AD26/'Bloom Cleaner Data'!CE26*'Bloom Cleaner Data'!DK26</f>
        <v>1.3583424073411168</v>
      </c>
      <c r="KL26" s="15">
        <f>'Bloom Cleaner Data'!AE26/'Bloom Cleaner Data'!CF26*'Bloom Cleaner Data'!DL26</f>
        <v>1.2433617037313498</v>
      </c>
      <c r="KM26" s="15">
        <f>'Bloom Cleaner Data'!AF26/'Bloom Cleaner Data'!CG26*'Bloom Cleaner Data'!DM26</f>
        <v>1.3979658077334327</v>
      </c>
      <c r="KN26" s="15">
        <f>'Bloom Cleaner Data'!AG26/'Bloom Cleaner Data'!CH26*'Bloom Cleaner Data'!DN26</f>
        <v>1.4368401781234983</v>
      </c>
      <c r="KO26" s="15">
        <f>'Bloom Cleaner Data'!AH26/'Bloom Cleaner Data'!CI26*'Bloom Cleaner Data'!DO26</f>
        <v>1.4777194002952632</v>
      </c>
      <c r="KP26" s="15"/>
      <c r="KQ26" s="15">
        <f>AVERAGE(KM26:KO26)</f>
        <v>1.4375084620507312</v>
      </c>
      <c r="KR26" s="15">
        <f>AVERAGE(KL26:KO26)</f>
        <v>1.3889717724708859</v>
      </c>
      <c r="KS26" s="15">
        <f>AVERAGE(KC26:KO26)</f>
        <v>1.3774881488921666</v>
      </c>
      <c r="KT26" s="18">
        <f>(KO26-KC26)/KC26</f>
        <v>4.3268704327874413E-3</v>
      </c>
      <c r="KU26" s="18"/>
      <c r="KV26" s="21" t="s">
        <v>353</v>
      </c>
      <c r="KW26" s="506">
        <f>('Bloom Cleaner Data'!T26+'OPERATING LEASES'!AU26)/DK26</f>
        <v>2.1869515319345236</v>
      </c>
      <c r="KX26" s="506">
        <f>('Bloom Cleaner Data'!U26+'OPERATING LEASES'!AV26)/DL26</f>
        <v>2.0650885177422436</v>
      </c>
      <c r="KY26" s="506">
        <f>('Bloom Cleaner Data'!V26+'OPERATING LEASES'!AW26)/DM26</f>
        <v>2.0165632367130932</v>
      </c>
      <c r="KZ26" s="506">
        <f>('Bloom Cleaner Data'!W26+'OPERATING LEASES'!AX26)/DN26</f>
        <v>1.9861884467960744</v>
      </c>
      <c r="LA26" s="506">
        <f>('Bloom Cleaner Data'!X26+'OPERATING LEASES'!AY26)/DO26</f>
        <v>2.0490209364315932</v>
      </c>
      <c r="LB26" s="506">
        <f>('Bloom Cleaner Data'!Y26+'OPERATING LEASES'!AZ26)/DP26</f>
        <v>2.0372990400833859</v>
      </c>
      <c r="LC26" s="506">
        <f>('Bloom Cleaner Data'!Z26+'OPERATING LEASES'!BA26)/DQ26</f>
        <v>1.9513118537791414</v>
      </c>
      <c r="LD26" s="506">
        <f>('Bloom Cleaner Data'!AA26+'OPERATING LEASES'!BB26)/DR26</f>
        <v>1.726534859422175</v>
      </c>
      <c r="LE26" s="506">
        <f>('Bloom Cleaner Data'!AB26+'OPERATING LEASES'!BC26)/DS26</f>
        <v>1.5921186719096636</v>
      </c>
      <c r="LF26" s="506">
        <f>('Bloom Cleaner Data'!AC26+'OPERATING LEASES'!BD26)/DT26</f>
        <v>1.7722293618262999</v>
      </c>
      <c r="LG26" s="506">
        <f>('Bloom Cleaner Data'!AD26+'OPERATING LEASES'!BE26)/DU26</f>
        <v>1.7439624146481147</v>
      </c>
      <c r="LH26" s="506">
        <f>('Bloom Cleaner Data'!AE26+'OPERATING LEASES'!BF26)/DV26</f>
        <v>1.604286238773192</v>
      </c>
      <c r="LI26" s="506">
        <f>('Bloom Cleaner Data'!AF26+'OPERATING LEASES'!BG26)/DW26</f>
        <v>1.7453361504705158</v>
      </c>
      <c r="LJ26" s="506">
        <f>('Bloom Cleaner Data'!AG26+'OPERATING LEASES'!BH26)/DX26</f>
        <v>1.7794058770368837</v>
      </c>
      <c r="LK26" s="506">
        <f>('Bloom Cleaner Data'!AH26+'OPERATING LEASES'!BI26)/DY26</f>
        <v>1.8160302149559577</v>
      </c>
      <c r="LL26" s="15"/>
      <c r="LM26" s="15">
        <f>AVERAGE(LI26:LK26)</f>
        <v>1.7802574141544525</v>
      </c>
      <c r="LN26" s="15">
        <f>AVERAGE(LH26:LK26)</f>
        <v>1.7362646203091372</v>
      </c>
      <c r="LO26" s="15">
        <f t="shared" si="85"/>
        <v>0.34729284783825132</v>
      </c>
      <c r="LP26" s="15">
        <f>AVERAGE(KY26:LK26)</f>
        <v>1.832329792526622</v>
      </c>
      <c r="LQ26" s="18">
        <f>(LK26-KY26)/KY26</f>
        <v>-9.9442962217240083E-2</v>
      </c>
      <c r="LR26" s="15">
        <f t="shared" si="88"/>
        <v>0.45484164363445534</v>
      </c>
      <c r="LS26" s="18"/>
      <c r="LT26" s="15">
        <f t="shared" si="89"/>
        <v>2.1869515319345236</v>
      </c>
      <c r="LU26" s="15">
        <f t="shared" si="145"/>
        <v>2.0650885177422436</v>
      </c>
      <c r="LV26" s="15">
        <f t="shared" si="146"/>
        <v>2.0165632367130932</v>
      </c>
      <c r="LW26" s="15">
        <f t="shared" si="147"/>
        <v>1.9861884467960744</v>
      </c>
      <c r="LX26" s="15">
        <f t="shared" si="148"/>
        <v>2.0490209364315932</v>
      </c>
      <c r="LY26" s="15">
        <f t="shared" si="149"/>
        <v>2.0372990400833859</v>
      </c>
      <c r="LZ26" s="15">
        <f t="shared" si="150"/>
        <v>1.9513118537791414</v>
      </c>
      <c r="MA26" s="15">
        <f t="shared" si="151"/>
        <v>1.726534859422175</v>
      </c>
      <c r="MB26" s="15">
        <f t="shared" si="152"/>
        <v>1.5921186719096636</v>
      </c>
      <c r="MC26" s="15">
        <f t="shared" si="153"/>
        <v>1.7722293618262999</v>
      </c>
      <c r="MD26" s="15">
        <f t="shared" si="154"/>
        <v>1.7439624146481147</v>
      </c>
      <c r="ME26" s="15">
        <f t="shared" si="155"/>
        <v>1.604286238773192</v>
      </c>
      <c r="MF26" s="15">
        <f t="shared" si="156"/>
        <v>1.7453361504705158</v>
      </c>
      <c r="MG26" s="15">
        <f t="shared" si="157"/>
        <v>1.7794058770368837</v>
      </c>
      <c r="MH26" s="15">
        <f t="shared" si="158"/>
        <v>1.8160302149559577</v>
      </c>
      <c r="MI26" s="15"/>
      <c r="MJ26" s="15">
        <f>AVERAGE(MF26:MH26)</f>
        <v>1.7802574141544525</v>
      </c>
      <c r="MK26" s="15">
        <f>AVERAGE(ME26:MH26)</f>
        <v>1.7362646203091372</v>
      </c>
      <c r="ML26" s="506">
        <f>AVERAGE(LV26:MH26)</f>
        <v>1.832329792526622</v>
      </c>
      <c r="MM26" s="10">
        <f t="shared" si="107"/>
        <v>-9.9442962217240083E-2</v>
      </c>
      <c r="MN26" s="18"/>
      <c r="MO26" s="15">
        <f>('Bloom Cleaner Data'!T26+'Bloom Cleaner Data'!EY26)/'Bloom Cleaner Data'!GV26</f>
        <v>2.1744443431658884</v>
      </c>
      <c r="MP26" s="15">
        <f>('Bloom Cleaner Data'!U26+'Bloom Cleaner Data'!EZ26)/'Bloom Cleaner Data'!GW26</f>
        <v>1.9652073789822408</v>
      </c>
      <c r="MQ26" s="15">
        <f>('Bloom Cleaner Data'!V26+'Bloom Cleaner Data'!FA26)/'Bloom Cleaner Data'!GX26</f>
        <v>1.8857496666718605</v>
      </c>
      <c r="MR26" s="15">
        <f>('Bloom Cleaner Data'!W26+'Bloom Cleaner Data'!FB26)/'Bloom Cleaner Data'!GY26</f>
        <v>1.9213095010864072</v>
      </c>
      <c r="MS26" s="15">
        <f>('Bloom Cleaner Data'!X26+'Bloom Cleaner Data'!FC26)/'Bloom Cleaner Data'!GZ26</f>
        <v>1.8439755849000397</v>
      </c>
      <c r="MT26" s="15">
        <f>('Bloom Cleaner Data'!Y26+'Bloom Cleaner Data'!FD26)/'Bloom Cleaner Data'!HA26</f>
        <v>2.0062452249984863</v>
      </c>
      <c r="MU26" s="15">
        <f>('Bloom Cleaner Data'!Z26+'Bloom Cleaner Data'!FE26)/'Bloom Cleaner Data'!HB26</f>
        <v>2.0396616593025207</v>
      </c>
      <c r="MV26" s="15">
        <f>('Bloom Cleaner Data'!AA26+'Bloom Cleaner Data'!FF26)/'Bloom Cleaner Data'!HC26</f>
        <v>2.0548105152476093</v>
      </c>
      <c r="MW26" s="15">
        <f>('Bloom Cleaner Data'!AB26+'Bloom Cleaner Data'!FG26)/'Bloom Cleaner Data'!HD26</f>
        <v>1.9021093435607168</v>
      </c>
      <c r="MX26" s="15">
        <f>('Bloom Cleaner Data'!AC26+'Bloom Cleaner Data'!FH26)/'Bloom Cleaner Data'!HE26</f>
        <v>1.7581359981354154</v>
      </c>
      <c r="MY26" s="15">
        <f>('Bloom Cleaner Data'!AD26+'Bloom Cleaner Data'!FI26)/'Bloom Cleaner Data'!HF26</f>
        <v>1.7877487948126416</v>
      </c>
      <c r="MZ26" s="15">
        <f>('Bloom Cleaner Data'!AE26+'Bloom Cleaner Data'!FJ26)/'Bloom Cleaner Data'!HG26</f>
        <v>1.5058829936868672</v>
      </c>
      <c r="NA26" s="15">
        <f>('Bloom Cleaner Data'!AF26+'Bloom Cleaner Data'!FK26)/'Bloom Cleaner Data'!HH26</f>
        <v>1.6518118498678465</v>
      </c>
      <c r="NB26" s="15">
        <f>('Bloom Cleaner Data'!AG26+'Bloom Cleaner Data'!FL26)/'Bloom Cleaner Data'!HI26</f>
        <v>1.5674758022628701</v>
      </c>
      <c r="NC26" s="15">
        <f>('Bloom Cleaner Data'!AH26+'Bloom Cleaner Data'!FM26)/'Bloom Cleaner Data'!HJ26</f>
        <v>1.553117361510874</v>
      </c>
      <c r="ND26" s="15"/>
      <c r="NE26" s="15">
        <f t="shared" si="43"/>
        <v>7.539796121561082E-2</v>
      </c>
      <c r="NF26" s="15">
        <f>AVERAGE(NA26:NC26)</f>
        <v>1.5908016712138633</v>
      </c>
      <c r="NG26" s="15">
        <f t="shared" si="44"/>
        <v>0.15329320916313205</v>
      </c>
      <c r="NH26" s="15">
        <f>AVERAGE(MZ26:NC26)</f>
        <v>1.5695720018321144</v>
      </c>
      <c r="NI26" s="15">
        <f>AVERAGE(MQ26:NC26)</f>
        <v>1.8060026381572429</v>
      </c>
      <c r="NJ26" s="18">
        <f>(NC26-MQ26)/MQ26</f>
        <v>-0.17639260981445418</v>
      </c>
      <c r="NK26" s="15">
        <f t="shared" si="45"/>
        <v>0.42851448926507629</v>
      </c>
      <c r="NL26" s="2818"/>
      <c r="NM26" s="21" t="s">
        <v>353</v>
      </c>
      <c r="NN26" s="15">
        <f>KW26+'Bloom Cleaner Data'!EY26/CALCULATIONS!DK26</f>
        <v>2.5930094739411573</v>
      </c>
      <c r="NO26" s="15">
        <f>KX26+'Bloom Cleaner Data'!EZ26/CALCULATIONS!DL26</f>
        <v>2.4316931313115968</v>
      </c>
      <c r="NP26" s="15">
        <f>KY26+'Bloom Cleaner Data'!FA26/CALCULATIONS!DM26</f>
        <v>2.3731879581773128</v>
      </c>
      <c r="NQ26" s="15">
        <f>KZ26+'Bloom Cleaner Data'!FB26/CALCULATIONS!DN26</f>
        <v>2.4156810437788785</v>
      </c>
      <c r="NR26" s="15">
        <f>LA26+'Bloom Cleaner Data'!FC26/CALCULATIONS!DO26</f>
        <v>2.3563845743262899</v>
      </c>
      <c r="NS26" s="15">
        <f>LB26+'Bloom Cleaner Data'!FD26/CALCULATIONS!DP26</f>
        <v>2.4748349184465659</v>
      </c>
      <c r="NT26" s="15">
        <f>LC26+'Bloom Cleaner Data'!FE26/CALCULATIONS!DQ26</f>
        <v>2.4882205672309095</v>
      </c>
      <c r="NU26" s="15">
        <f>LD26+'Bloom Cleaner Data'!FF26/CALCULATIONS!DR26</f>
        <v>2.4808228202666101</v>
      </c>
      <c r="NV26" s="15">
        <f>LE26+'Bloom Cleaner Data'!FG26/CALCULATIONS!DS26</f>
        <v>2.2960555043102535</v>
      </c>
      <c r="NW26" s="15">
        <f>LF26+'Bloom Cleaner Data'!FH26/CALCULATIONS!DT26</f>
        <v>2.1391924304519283</v>
      </c>
      <c r="NX26" s="15">
        <f>LG26+'Bloom Cleaner Data'!FI26/CALCULATIONS!DU26</f>
        <v>2.1356363677301218</v>
      </c>
      <c r="NY26" s="15">
        <f>LH26+'Bloom Cleaner Data'!FJ26/CALCULATIONS!DV26</f>
        <v>1.8457680282206468</v>
      </c>
      <c r="NZ26" s="15">
        <f>LI26+'Bloom Cleaner Data'!FK26/CALCULATIONS!DW26</f>
        <v>1.9789058815746305</v>
      </c>
      <c r="OA26" s="15">
        <f>LJ26+'Bloom Cleaner Data'!FL26/CALCULATIONS!DX26</f>
        <v>1.8996583081835923</v>
      </c>
      <c r="OB26" s="15">
        <f>LK26+'Bloom Cleaner Data'!FM26/CALCULATIONS!DY26</f>
        <v>1.8854531506487362</v>
      </c>
      <c r="OC26" s="15"/>
      <c r="OD26" s="15">
        <f t="shared" si="46"/>
        <v>6.9422935692778465E-2</v>
      </c>
      <c r="OE26" s="15">
        <f>AVERAGE(NZ26:OB26)</f>
        <v>1.9213391134689861</v>
      </c>
      <c r="OF26" s="15">
        <f t="shared" si="47"/>
        <v>0.14108169931453363</v>
      </c>
      <c r="OG26" s="15">
        <f>AVERAGE(NY26:OB26)</f>
        <v>1.9024463421569013</v>
      </c>
      <c r="OH26" s="15">
        <f>AVERAGE(NP26:OB26)</f>
        <v>2.2130616579497291</v>
      </c>
      <c r="OI26" s="18">
        <f>(OB26-NP26)/NP26</f>
        <v>-0.20551882789055323</v>
      </c>
      <c r="OJ26" s="15">
        <f t="shared" si="48"/>
        <v>0.38073186542310711</v>
      </c>
      <c r="OK26" s="15"/>
      <c r="OL26" s="13">
        <f>'Bloom Cleaner Data'!GF26+('Bloom Cleaner Data'!T26+'Bloom Cleaner Data'!EY26)+'Bloom Cleaner Data'!CK26</f>
        <v>1318.3062</v>
      </c>
      <c r="OM26" s="13">
        <f>'Bloom Cleaner Data'!GG26+('Bloom Cleaner Data'!U26+'Bloom Cleaner Data'!EZ26)+'Bloom Cleaner Data'!CL26</f>
        <v>1292</v>
      </c>
      <c r="ON26" s="13">
        <f>'Bloom Cleaner Data'!GH26+('Bloom Cleaner Data'!V26+'Bloom Cleaner Data'!FA26)+'Bloom Cleaner Data'!CM26</f>
        <v>1300.3</v>
      </c>
      <c r="OO26" s="13">
        <f>'Bloom Cleaner Data'!GI26+('Bloom Cleaner Data'!W26+'Bloom Cleaner Data'!FB26)+'Bloom Cleaner Data'!CN26</f>
        <v>1350.7436500000001</v>
      </c>
      <c r="OP26" s="13">
        <f>'Bloom Cleaner Data'!GJ26+('Bloom Cleaner Data'!X26+'Bloom Cleaner Data'!FC26)+'Bloom Cleaner Data'!CO26</f>
        <v>1333.2509999999997</v>
      </c>
      <c r="OQ26" s="13">
        <f>'Bloom Cleaner Data'!GK26+('Bloom Cleaner Data'!Y26+'Bloom Cleaner Data'!FD26)+'Bloom Cleaner Data'!CP26</f>
        <v>1405.8</v>
      </c>
      <c r="OR26" s="13">
        <f>'Bloom Cleaner Data'!GL26+('Bloom Cleaner Data'!Z26+'Bloom Cleaner Data'!FE26)+'Bloom Cleaner Data'!CQ26</f>
        <v>1411.056</v>
      </c>
      <c r="OS26" s="13">
        <f>'Bloom Cleaner Data'!GM26+('Bloom Cleaner Data'!AA26+'Bloom Cleaner Data'!FF26)+'Bloom Cleaner Data'!CR26</f>
        <v>1456.7</v>
      </c>
      <c r="OT26" s="13">
        <f>'Bloom Cleaner Data'!GN26+('Bloom Cleaner Data'!AB26+'Bloom Cleaner Data'!FG26)+'Bloom Cleaner Data'!CS26</f>
        <v>1494.1346000000001</v>
      </c>
      <c r="OU26" s="13">
        <f>'Bloom Cleaner Data'!GO26+('Bloom Cleaner Data'!AC26+'Bloom Cleaner Data'!FH26)+'Bloom Cleaner Data'!CT26</f>
        <v>1486.1</v>
      </c>
      <c r="OV26" s="13">
        <f>'Bloom Cleaner Data'!GP26+('Bloom Cleaner Data'!AD26+'Bloom Cleaner Data'!FI26)+'Bloom Cleaner Data'!CU26</f>
        <v>1501.1</v>
      </c>
      <c r="OW26" s="13">
        <f>'Bloom Cleaner Data'!GQ26+('Bloom Cleaner Data'!AE26+'Bloom Cleaner Data'!FJ26)+'Bloom Cleaner Data'!CV26</f>
        <v>1466.2</v>
      </c>
      <c r="OX26" s="13">
        <f>'Bloom Cleaner Data'!GR26+('Bloom Cleaner Data'!AF26+'Bloom Cleaner Data'!FK26)+'Bloom Cleaner Data'!CW26</f>
        <v>1489.7997</v>
      </c>
      <c r="OY26" s="13">
        <f>'Bloom Cleaner Data'!GS26+('Bloom Cleaner Data'!AG26+'Bloom Cleaner Data'!FL26)+'Bloom Cleaner Data'!CX26</f>
        <v>1489.0634</v>
      </c>
      <c r="OZ26" s="13">
        <f>'Bloom Cleaner Data'!GT26+('Bloom Cleaner Data'!AH26+'Bloom Cleaner Data'!FM26)+'Bloom Cleaner Data'!CY26</f>
        <v>1464.6999999999998</v>
      </c>
      <c r="PA26" s="166"/>
      <c r="PB26" s="21" t="s">
        <v>353</v>
      </c>
      <c r="PC26" s="947">
        <f>('Bloom Cleaner Data'!T26+'Bloom Cleaner Data'!EY26+'OPERATING LEASES'!BL26)/CALCULATIONS!OL26</f>
        <v>0.31279705731490914</v>
      </c>
      <c r="PD26" s="947">
        <f>('Bloom Cleaner Data'!U26+'Bloom Cleaner Data'!EZ26+'OPERATING LEASES'!BM26)/CALCULATIONS!OM26</f>
        <v>0.2941772397445821</v>
      </c>
      <c r="PE26" s="947">
        <f>('Bloom Cleaner Data'!V26+'Bloom Cleaner Data'!FA26+'OPERATING LEASES'!BN26)/CALCULATIONS!ON26</f>
        <v>0.289201789971545</v>
      </c>
      <c r="PF26" s="947">
        <f>('Bloom Cleaner Data'!W26+'Bloom Cleaner Data'!FB26+'OPERATING LEASES'!BO26)/CALCULATIONS!OO26</f>
        <v>0.28918972245399782</v>
      </c>
      <c r="PG26" s="947">
        <f>('Bloom Cleaner Data'!X26+'Bloom Cleaner Data'!FC26+'OPERATING LEASES'!BP26)/CALCULATIONS!OP26</f>
        <v>0.29004184133370242</v>
      </c>
      <c r="PH26" s="947">
        <f>('Bloom Cleaner Data'!Y26+'Bloom Cleaner Data'!FD26+'OPERATING LEASES'!BQ26)/CALCULATIONS!OQ26</f>
        <v>0.30812375738013947</v>
      </c>
      <c r="PI26" s="947">
        <f>('Bloom Cleaner Data'!Z26+'Bloom Cleaner Data'!FE26+'OPERATING LEASES'!BR26)/CALCULATIONS!OR26</f>
        <v>0.31865899103224815</v>
      </c>
      <c r="PJ26" s="947">
        <f>('Bloom Cleaner Data'!AA26+'Bloom Cleaner Data'!FF26+'OPERATING LEASES'!BS26)/CALCULATIONS!OS26</f>
        <v>0.32195687813207935</v>
      </c>
      <c r="PK26" s="947">
        <f>('Bloom Cleaner Data'!AB26+'Bloom Cleaner Data'!FG26+'OPERATING LEASES'!BT26)/CALCULATIONS!OT26</f>
        <v>0.32579373203726092</v>
      </c>
      <c r="PL26" s="947">
        <f>('Bloom Cleaner Data'!AC26+'Bloom Cleaner Data'!FH26+'OPERATING LEASES'!BU26)/CALCULATIONS!OU26</f>
        <v>0.30880007654262837</v>
      </c>
      <c r="PM26" s="947">
        <f>('Bloom Cleaner Data'!AD26+'Bloom Cleaner Data'!FI26+'OPERATING LEASES'!BV26)/CALCULATIONS!OV26</f>
        <v>0.31860229165278797</v>
      </c>
      <c r="PN26" s="947">
        <f>('Bloom Cleaner Data'!AE26+'Bloom Cleaner Data'!FJ26+'OPERATING LEASES'!BW26)/CALCULATIONS!OW26</f>
        <v>0.28556813957850224</v>
      </c>
      <c r="PO26" s="947">
        <f>('Bloom Cleaner Data'!AF26+'Bloom Cleaner Data'!FK26+'OPERATING LEASES'!BX26)/CALCULATIONS!OX26</f>
        <v>0.28696160463718712</v>
      </c>
      <c r="PP26" s="947">
        <f>('Bloom Cleaner Data'!AG26+'Bloom Cleaner Data'!FL26+'OPERATING LEASES'!BY26)/CALCULATIONS!OY26</f>
        <v>0.27457246783447903</v>
      </c>
      <c r="PQ26" s="947">
        <f>('Bloom Cleaner Data'!AH26+'Bloom Cleaner Data'!FM26+'OPERATING LEASES'!BZ26)/CALCULATIONS!OZ26</f>
        <v>0.27756271762135593</v>
      </c>
      <c r="PR26" s="947"/>
      <c r="PS26" s="18">
        <f>AVERAGE(PO26:PQ26)</f>
        <v>0.27969893003100738</v>
      </c>
      <c r="PT26" s="18">
        <f>AVERAGE(PN26:PQ26)</f>
        <v>0.28116623241788108</v>
      </c>
      <c r="PU26" s="18">
        <f>AVERAGE(PE26:PQ26)</f>
        <v>0.29961800078522416</v>
      </c>
      <c r="PV26" s="10">
        <f t="shared" si="119"/>
        <v>-4.0245505919359138E-2</v>
      </c>
      <c r="PW26" s="10"/>
      <c r="PX26" s="506">
        <f>'Bloom Cleaner Data'!D26/'Bloom Cleaner Data'!GF26</f>
        <v>0.74145702954745663</v>
      </c>
      <c r="PY26" s="506">
        <f>'Bloom Cleaner Data'!E26/'Bloom Cleaner Data'!GG26</f>
        <v>0.62162793414763673</v>
      </c>
      <c r="PZ26" s="506">
        <f>'Bloom Cleaner Data'!F26/'Bloom Cleaner Data'!GH26</f>
        <v>0.5304531725222863</v>
      </c>
      <c r="QA26" s="506">
        <f>'Bloom Cleaner Data'!G26/'Bloom Cleaner Data'!GI26</f>
        <v>0.51214575339624602</v>
      </c>
      <c r="QB26" s="506">
        <f>'Bloom Cleaner Data'!H26/'Bloom Cleaner Data'!GJ26</f>
        <v>0.49416684098058761</v>
      </c>
      <c r="QC26" s="506">
        <f>'Bloom Cleaner Data'!I26/'Bloom Cleaner Data'!GK26</f>
        <v>0.53930859140859144</v>
      </c>
      <c r="QD26" s="506">
        <f>'Bloom Cleaner Data'!J26/'Bloom Cleaner Data'!GL26</f>
        <v>0.5476938182021065</v>
      </c>
      <c r="QE26" s="506">
        <f>'Bloom Cleaner Data'!K26/'Bloom Cleaner Data'!GM26</f>
        <v>0.4069410953506698</v>
      </c>
      <c r="QF26" s="506">
        <f>'Bloom Cleaner Data'!L26/'Bloom Cleaner Data'!GN26</f>
        <v>0.41956649307183574</v>
      </c>
      <c r="QG26" s="506">
        <f>'Bloom Cleaner Data'!M26/'Bloom Cleaner Data'!GO26</f>
        <v>0.41687879939209727</v>
      </c>
      <c r="QH26" s="506">
        <f>'Bloom Cleaner Data'!N26/'Bloom Cleaner Data'!GP26</f>
        <v>0.44863243862833119</v>
      </c>
      <c r="QI26" s="506">
        <f>'Bloom Cleaner Data'!O26/'Bloom Cleaner Data'!GQ26</f>
        <v>0.46296355140186912</v>
      </c>
      <c r="QJ26" s="506">
        <f>'Bloom Cleaner Data'!P26/'Bloom Cleaner Data'!GR26</f>
        <v>0.49482175282923596</v>
      </c>
      <c r="QK26" s="506">
        <f>'Bloom Cleaner Data'!Q26/'Bloom Cleaner Data'!GS26</f>
        <v>0.55229205251976166</v>
      </c>
      <c r="QL26" s="506">
        <f>'Bloom Cleaner Data'!R26/'Bloom Cleaner Data'!GT26</f>
        <v>0.52140126030951717</v>
      </c>
      <c r="QM26" s="506"/>
      <c r="QN26" s="506">
        <f>AVERAGE(PZ26:QL26)</f>
        <v>0.48825120153947199</v>
      </c>
      <c r="QO26" s="10">
        <f t="shared" si="121"/>
        <v>-1.706448878367077E-2</v>
      </c>
      <c r="QP26" s="506">
        <f t="shared" si="122"/>
        <v>0.53750302910727898</v>
      </c>
      <c r="QQ26" s="18"/>
      <c r="QR26" s="506">
        <f>'Bloom Cleaner Data'!GF26/CALCULATIONS!DK26</f>
        <v>4.5429513603332303</v>
      </c>
      <c r="QS26" s="506">
        <f>'Bloom Cleaner Data'!GG26/CALCULATIONS!DL26</f>
        <v>4.5236991307411039</v>
      </c>
      <c r="QT26" s="506">
        <f>'Bloom Cleaner Data'!GH26/CALCULATIONS!DM26</f>
        <v>4.4683531132212009</v>
      </c>
      <c r="QU26" s="506">
        <f>'Bloom Cleaner Data'!GI26/CALCULATIONS!DN26</f>
        <v>4.4342581506479446</v>
      </c>
      <c r="QV26" s="506">
        <f>'Bloom Cleaner Data'!GJ26/CALCULATIONS!DO26</f>
        <v>4.3710437704286482</v>
      </c>
      <c r="QW26" s="506">
        <f>'Bloom Cleaner Data'!GK26/CALCULATIONS!DP26</f>
        <v>4.3449743476343565</v>
      </c>
      <c r="QX26" s="506">
        <f>'Bloom Cleaner Data'!GL26/CALCULATIONS!DQ26</f>
        <v>4.2111618692946911</v>
      </c>
      <c r="QY26" s="506">
        <f>'Bloom Cleaner Data'!GM26/CALCULATIONS!DR26</f>
        <v>4.1844433762255226</v>
      </c>
      <c r="QZ26" s="506">
        <f>'Bloom Cleaner Data'!GN26/CALCULATIONS!DS26</f>
        <v>3.8455377809254001</v>
      </c>
      <c r="RA26" s="506">
        <f>'Bloom Cleaner Data'!GO26/CALCULATIONS!DT26</f>
        <v>3.8672544409315472</v>
      </c>
      <c r="RB26" s="506">
        <f>'Bloom Cleaner Data'!GP26/CALCULATIONS!DU26</f>
        <v>3.76186661909682</v>
      </c>
      <c r="RC26" s="506">
        <f>'Bloom Cleaner Data'!GQ26/CALCULATIONS!DV26</f>
        <v>3.7447176044750234</v>
      </c>
      <c r="RD26" s="506">
        <f>'Bloom Cleaner Data'!GR26/CALCULATIONS!DW26</f>
        <v>4.0534577008669563</v>
      </c>
      <c r="RE26" s="506">
        <f>'Bloom Cleaner Data'!GS26/CALCULATIONS!DX26</f>
        <v>4.1002561809814289</v>
      </c>
      <c r="RF26" s="506">
        <f>'Bloom Cleaner Data'!GT26/CALCULATIONS!DY26</f>
        <v>4.0061117596832734</v>
      </c>
      <c r="RG26" s="506"/>
      <c r="RH26" s="506">
        <f>AVERAGE(QT26:RF26)</f>
        <v>4.1071874395702164</v>
      </c>
      <c r="RI26" s="506">
        <f t="shared" si="124"/>
        <v>3.9749785924978513</v>
      </c>
      <c r="RJ26" s="18"/>
      <c r="RK26" s="506">
        <f>'Bloom Cleaner Data'!GF26/($RK$1*DK26+(1-$RK$1)*'Bloom Cleaner Data'!GV26)</f>
        <v>4.5429513603332303</v>
      </c>
      <c r="RL26" s="506">
        <f>'Bloom Cleaner Data'!GG26/($RK$1*DL26+(1-$RK$1)*'Bloom Cleaner Data'!GW26)</f>
        <v>4.5236991307411039</v>
      </c>
      <c r="RM26" s="506">
        <f>'Bloom Cleaner Data'!GH26/($RK$1*DM26+(1-$RK$1)*'Bloom Cleaner Data'!GX26)</f>
        <v>4.4683531132212009</v>
      </c>
      <c r="RN26" s="506">
        <f>'Bloom Cleaner Data'!GI26/($RK$1*DN26+(1-$RK$1)*'Bloom Cleaner Data'!GY26)</f>
        <v>4.4342581506479446</v>
      </c>
      <c r="RO26" s="506">
        <f>'Bloom Cleaner Data'!GJ26/($RK$1*DO26+(1-$RK$1)*'Bloom Cleaner Data'!GZ26)</f>
        <v>4.3710437704286482</v>
      </c>
      <c r="RP26" s="506">
        <f>'Bloom Cleaner Data'!GK26/($RK$1*DP26+(1-$RK$1)*'Bloom Cleaner Data'!HA26)</f>
        <v>4.3449743476343565</v>
      </c>
      <c r="RQ26" s="506">
        <f>'Bloom Cleaner Data'!GL26/($RK$1*DQ26+(1-$RK$1)*'Bloom Cleaner Data'!HB26)</f>
        <v>4.2111618692946911</v>
      </c>
      <c r="RR26" s="506">
        <f>'Bloom Cleaner Data'!GM26/($RK$1*DR26+(1-$RK$1)*'Bloom Cleaner Data'!HC26)</f>
        <v>4.1844433762255226</v>
      </c>
      <c r="RS26" s="506">
        <f>'Bloom Cleaner Data'!GN26/($RK$1*DS26+(1-$RK$1)*'Bloom Cleaner Data'!HD26)</f>
        <v>3.8455377809254001</v>
      </c>
      <c r="RT26" s="506">
        <f>'Bloom Cleaner Data'!GO26/($RK$1*DT26+(1-$RK$1)*'Bloom Cleaner Data'!HE26)</f>
        <v>3.8672544409315472</v>
      </c>
      <c r="RU26" s="506">
        <f>'Bloom Cleaner Data'!GP26/($RK$1*DU26+(1-$RK$1)*'Bloom Cleaner Data'!HF26)</f>
        <v>3.76186661909682</v>
      </c>
      <c r="RV26" s="506">
        <f>'Bloom Cleaner Data'!GQ26/($RK$1*DV26+(1-$RK$1)*'Bloom Cleaner Data'!HG26)</f>
        <v>3.7447176044750234</v>
      </c>
      <c r="RW26" s="506">
        <f>'Bloom Cleaner Data'!GR26/($RK$1*DW26+(1-$RK$1)*'Bloom Cleaner Data'!HH26)</f>
        <v>4.0534577008669563</v>
      </c>
      <c r="RX26" s="506">
        <f>'Bloom Cleaner Data'!GS26/($RK$1*DX26+(1-$RK$1)*'Bloom Cleaner Data'!HI26)</f>
        <v>4.1002561809814289</v>
      </c>
      <c r="RY26" s="506">
        <f>'Bloom Cleaner Data'!GT26/($RK$1*DY26+(1-$RK$1)*'Bloom Cleaner Data'!HJ26)</f>
        <v>4.0061117596832734</v>
      </c>
      <c r="RZ26" s="506"/>
      <c r="SA26" s="506">
        <f t="shared" si="125"/>
        <v>4.1071874395702164</v>
      </c>
      <c r="SB26" s="506">
        <f t="shared" si="126"/>
        <v>3.9749785924978513</v>
      </c>
      <c r="SC26" s="18"/>
      <c r="SD26" s="15">
        <f>'Bloom Cleaner Data'!HM26</f>
        <v>8.6603999999999992</v>
      </c>
      <c r="SE26" s="15">
        <f>'Bloom Cleaner Data'!HN26</f>
        <v>8.9451000000000001</v>
      </c>
      <c r="SF26" s="15">
        <f>'Bloom Cleaner Data'!HO26</f>
        <v>10.679</v>
      </c>
      <c r="SG26" s="15">
        <f>'Bloom Cleaner Data'!HP26</f>
        <v>10.1425</v>
      </c>
      <c r="SH26" s="15">
        <f>'Bloom Cleaner Data'!HQ26</f>
        <v>9.3558000000000003</v>
      </c>
      <c r="SI26" s="15">
        <f>'Bloom Cleaner Data'!HR26</f>
        <v>10.410600000000001</v>
      </c>
      <c r="SJ26" s="15">
        <f>'Bloom Cleaner Data'!HS26</f>
        <v>12.5008</v>
      </c>
      <c r="SK26" s="15">
        <f>'Bloom Cleaner Data'!HT26</f>
        <v>13.6037</v>
      </c>
      <c r="SL26" s="15">
        <f>'Bloom Cleaner Data'!HU26</f>
        <v>15.7218</v>
      </c>
      <c r="SM26" s="15">
        <f>'Bloom Cleaner Data'!HV26</f>
        <v>12.0525</v>
      </c>
      <c r="SN26" s="15">
        <f>'Bloom Cleaner Data'!HW26</f>
        <v>12.172800000000001</v>
      </c>
      <c r="SO26" s="15">
        <f>'Bloom Cleaner Data'!HX26</f>
        <v>10.081899999999999</v>
      </c>
      <c r="SP26" s="15">
        <f>'Bloom Cleaner Data'!HY26</f>
        <v>12.0137</v>
      </c>
      <c r="SQ26" s="15">
        <f>'Bloom Cleaner Data'!HZ26</f>
        <v>10.7751</v>
      </c>
      <c r="SR26" s="15">
        <f>'Bloom Cleaner Data'!IA26</f>
        <v>11.8957</v>
      </c>
      <c r="SS26" s="15"/>
      <c r="ST26" s="15">
        <f t="shared" si="127"/>
        <v>11.267426666666667</v>
      </c>
      <c r="SU26" s="487">
        <f t="shared" si="128"/>
        <v>0.11393388894091201</v>
      </c>
      <c r="SV26" s="15">
        <f t="shared" si="129"/>
        <v>1.2166999999999994</v>
      </c>
    </row>
    <row r="27" spans="1:518" s="2681" customFormat="1">
      <c r="A27" s="1032" t="s">
        <v>712</v>
      </c>
      <c r="B27" s="72"/>
      <c r="C27" s="2210" t="s">
        <v>354</v>
      </c>
      <c r="D27" s="1132"/>
      <c r="E27" s="1032"/>
      <c r="F27" s="1032"/>
      <c r="G27" s="1515">
        <f>'Bloom Cleaner Data'!D27</f>
        <v>878.23950000000002</v>
      </c>
      <c r="H27" s="1515">
        <f>'Bloom Cleaner Data'!F27</f>
        <v>637.53679999999997</v>
      </c>
      <c r="I27" s="1515">
        <f>'Bloom Cleaner Data'!H27</f>
        <v>559.47109999999998</v>
      </c>
      <c r="J27" s="1515">
        <f>'Bloom Cleaner Data'!J27</f>
        <v>455.38350000000003</v>
      </c>
      <c r="K27" s="1515">
        <f>'Bloom Cleaner Data'!L27</f>
        <v>409.71499999999997</v>
      </c>
      <c r="L27" s="1515">
        <f>'Bloom Cleaner Data'!N27</f>
        <v>396.83420000000001</v>
      </c>
      <c r="M27" s="1515">
        <f>'Bloom Cleaner Data'!P27</f>
        <v>621.59839999999997</v>
      </c>
      <c r="N27" s="1515">
        <f>'Bloom Cleaner Data'!R27</f>
        <v>676.56968707482997</v>
      </c>
      <c r="O27" s="1515"/>
      <c r="P27" s="1515">
        <f>AVERAGE(H27:N27)</f>
        <v>536.72981243926131</v>
      </c>
      <c r="Q27" s="1515">
        <f t="shared" si="49"/>
        <v>565.00076235827657</v>
      </c>
      <c r="R27" s="1517">
        <f t="shared" si="1"/>
        <v>6.1224523940939572E-2</v>
      </c>
      <c r="S27" s="1518">
        <f>R27</f>
        <v>6.1224523940939572E-2</v>
      </c>
      <c r="T27" s="1517">
        <f t="shared" si="2"/>
        <v>0.16300010284657851</v>
      </c>
      <c r="U27" s="1517"/>
      <c r="V27" s="1032" t="s">
        <v>354</v>
      </c>
      <c r="W27" s="1519">
        <f>'Bloom Cleaner Data'!D27/'Bloom Cleaner Data'!$F27</f>
        <v>1.3775510684245993</v>
      </c>
      <c r="X27" s="1519">
        <f>'Bloom Cleaner Data'!E27/'Bloom Cleaner Data'!$F27</f>
        <v>1.2653062536939046</v>
      </c>
      <c r="Y27" s="1519">
        <f>'Bloom Cleaner Data'!F27/'Bloom Cleaner Data'!$F27</f>
        <v>1</v>
      </c>
      <c r="Z27" s="1519">
        <f>'Bloom Cleaner Data'!G27/'Bloom Cleaner Data'!$F27</f>
        <v>0.93877553421229964</v>
      </c>
      <c r="AA27" s="1519">
        <f>'Bloom Cleaner Data'!H27/'Bloom Cleaner Data'!$F27</f>
        <v>0.87755106842459918</v>
      </c>
      <c r="AB27" s="1519">
        <f>'Bloom Cleaner Data'!I27/'Bloom Cleaner Data'!$F27</f>
        <v>0.8265306410547596</v>
      </c>
      <c r="AC27" s="1519">
        <f>'Bloom Cleaner Data'!J27/'Bloom Cleaner Data'!$F27</f>
        <v>0.71428582632406479</v>
      </c>
      <c r="AD27" s="1519">
        <f>'Bloom Cleaner Data'!K27/'Bloom Cleaner Data'!$F27</f>
        <v>0.62755106842459918</v>
      </c>
      <c r="AE27" s="1519">
        <f>'Bloom Cleaner Data'!L27/'Bloom Cleaner Data'!$F27</f>
        <v>0.6426530986132879</v>
      </c>
      <c r="AF27" s="1519">
        <f>'Bloom Cleaner Data'!M27/'Bloom Cleaner Data'!$F27</f>
        <v>0.70510204273698396</v>
      </c>
      <c r="AG27" s="1519">
        <f>'Bloom Cleaner Data'!N27/'Bloom Cleaner Data'!$F27</f>
        <v>0.62244908842909152</v>
      </c>
      <c r="AH27" s="1519">
        <f>'Bloom Cleaner Data'!O27/'Bloom Cleaner Data'!$F27</f>
        <v>0.78071430543303544</v>
      </c>
      <c r="AI27" s="1519">
        <f>'Bloom Cleaner Data'!P27/'Bloom Cleaner Data'!$F27</f>
        <v>0.9750000313707381</v>
      </c>
      <c r="AJ27" s="1519">
        <f>'Bloom Cleaner Data'!Q27/'Bloom Cleaner Data'!$F27</f>
        <v>0.84693887474417162</v>
      </c>
      <c r="AK27" s="1519">
        <f>'Bloom Cleaner Data'!R27/'Bloom Cleaner Data'!$F27</f>
        <v>1.0612245239409395</v>
      </c>
      <c r="AL27" s="1515"/>
      <c r="AM27" s="1515">
        <f>AVERAGE('Bloom Cleaner Data'!BW27:CI27)</f>
        <v>911.65914515960242</v>
      </c>
      <c r="AN27" s="1518">
        <f>('Bloom Cleaner Data'!CI27-'Bloom Cleaner Data'!BW27)/'Bloom Cleaner Data'!BW27</f>
        <v>-0.15062298738894905</v>
      </c>
      <c r="AO27" s="1518">
        <f>('Bloom Cleaner Data'!CI27+'Bloom Cleaner Data'!CH27-'Bloom Cleaner Data'!BW27-'Bloom Cleaner Data'!BV27)/('Bloom Cleaner Data'!BW27+'Bloom Cleaner Data'!BV27)</f>
        <v>-0.264447859548394</v>
      </c>
      <c r="AP27" s="1515"/>
      <c r="AQ27" s="1515">
        <f>'Bloom Cleaner Data'!BW27</f>
        <v>1198.7288000000001</v>
      </c>
      <c r="AR27" s="1515">
        <f>'Bloom Cleaner Data'!BY27</f>
        <v>1083.0990999999999</v>
      </c>
      <c r="AS27" s="1515">
        <f>'Bloom Cleaner Data'!CA27</f>
        <v>898.43550000000005</v>
      </c>
      <c r="AT27" s="1515">
        <f>'Bloom Cleaner Data'!CC27</f>
        <v>809.29100000000005</v>
      </c>
      <c r="AU27" s="1515">
        <f>'Bloom Cleaner Data'!CE27</f>
        <v>714.30319999999995</v>
      </c>
      <c r="AV27" s="1515">
        <f>'Bloom Cleaner Data'!CG27</f>
        <v>958.8134</v>
      </c>
      <c r="AW27" s="1515">
        <f>'Bloom Cleaner Data'!CI27</f>
        <v>1018.17268707483</v>
      </c>
      <c r="AX27" s="1515"/>
      <c r="AY27" s="1515">
        <f>AVERAGE(AQ27:AW27)</f>
        <v>954.40624101069</v>
      </c>
      <c r="AZ27" s="1517">
        <f t="shared" si="4"/>
        <v>-0.15062298738894905</v>
      </c>
      <c r="BA27" s="1517"/>
      <c r="BB27" s="1515">
        <f>'Bloom Cleaner Data'!T27+'OPERATING LEASES'!AU27</f>
        <v>662.4564392141217</v>
      </c>
      <c r="BC27" s="1515">
        <f>'Bloom Cleaner Data'!U27+'OPERATING LEASES'!AV27</f>
        <v>667.56616064711795</v>
      </c>
      <c r="BD27" s="1515">
        <f>'Bloom Cleaner Data'!V27+'OPERATING LEASES'!AW27</f>
        <v>608.57188208011416</v>
      </c>
      <c r="BE27" s="1515">
        <f>'Bloom Cleaner Data'!W27+'OPERATING LEASES'!AX27</f>
        <v>282.53260351311036</v>
      </c>
      <c r="BF27" s="1515">
        <f>'Bloom Cleaner Data'!X27+'OPERATING LEASES'!AY27</f>
        <v>573.49532494610662</v>
      </c>
      <c r="BG27" s="1515">
        <f>'Bloom Cleaner Data'!Y27+'OPERATING LEASES'!AZ27</f>
        <v>536.26825593064473</v>
      </c>
      <c r="BH27" s="1515">
        <f>'Bloom Cleaner Data'!Z27+'OPERATING LEASES'!BA27</f>
        <v>508.05318691518301</v>
      </c>
      <c r="BI27" s="1515">
        <f>'Bloom Cleaner Data'!AA27+'OPERATING LEASES'!BB27</f>
        <v>465.23111789972114</v>
      </c>
      <c r="BJ27" s="1515">
        <f>'Bloom Cleaner Data'!AB27+'OPERATING LEASES'!BC27</f>
        <v>479.71104888425936</v>
      </c>
      <c r="BK27" s="1515">
        <f>'Bloom Cleaner Data'!AC27+'OPERATING LEASES'!BD27</f>
        <v>444.94697986879754</v>
      </c>
      <c r="BL27" s="1515">
        <f>'Bloom Cleaner Data'!AD27+'OPERATING LEASES'!BE27</f>
        <v>412.73791085333573</v>
      </c>
      <c r="BM27" s="1515">
        <f>'Bloom Cleaner Data'!AE27+'OPERATING LEASES'!BF27</f>
        <v>439.13684183787387</v>
      </c>
      <c r="BN27" s="1515">
        <f>'Bloom Cleaner Data'!AF27+'OPERATING LEASES'!BG27</f>
        <v>447.61777282241206</v>
      </c>
      <c r="BO27" s="1515">
        <f>'Bloom Cleaner Data'!AG27+'OPERATING LEASES'!BH27</f>
        <v>484.45177282241207</v>
      </c>
      <c r="BP27" s="1515">
        <f>'Bloom Cleaner Data'!AH27+'OPERATING LEASES'!BI27</f>
        <v>452.0057728224121</v>
      </c>
      <c r="BQ27" s="1515"/>
      <c r="BR27" s="1520">
        <f>AVERAGE(BD27:BP27)</f>
        <v>471.90465163049095</v>
      </c>
      <c r="BS27" s="1517">
        <f t="shared" si="51"/>
        <v>-0.25726806293211429</v>
      </c>
      <c r="BT27" s="1517"/>
      <c r="BU27" s="1515">
        <f>'Bloom Cleaner Data'!BU27+'OPERATING LEASES'!AU27</f>
        <v>1540.6959392141218</v>
      </c>
      <c r="BV27" s="1515">
        <f>'Bloom Cleaner Data'!BV27+'OPERATING LEASES'!AV27</f>
        <v>1474.2454606471181</v>
      </c>
      <c r="BW27" s="1515">
        <f>'Bloom Cleaner Data'!BW27+'OPERATING LEASES'!AW27</f>
        <v>1246.1086820801142</v>
      </c>
      <c r="BX27" s="1515">
        <f>'Bloom Cleaner Data'!BX27+'OPERATING LEASES'!AX27</f>
        <v>866.00890351311045</v>
      </c>
      <c r="BY27" s="1515">
        <f>'Bloom Cleaner Data'!BY27+'OPERATING LEASES'!AY27</f>
        <v>1132.9664249461066</v>
      </c>
      <c r="BZ27" s="1515">
        <f>'Bloom Cleaner Data'!BZ27+'OPERATING LEASES'!AZ27</f>
        <v>1063.2119559306448</v>
      </c>
      <c r="CA27" s="1515">
        <f>'Bloom Cleaner Data'!CA27+'OPERATING LEASES'!BA27</f>
        <v>963.43668691518303</v>
      </c>
      <c r="CB27" s="1515">
        <f>'Bloom Cleaner Data'!CB27+'OPERATING LEASES'!BB27</f>
        <v>865.31801789972121</v>
      </c>
      <c r="CC27" s="1515">
        <f>'Bloom Cleaner Data'!CC27+'OPERATING LEASES'!BC27</f>
        <v>889.42604888425944</v>
      </c>
      <c r="CD27" s="1515">
        <f>'Bloom Cleaner Data'!CD27+'OPERATING LEASES'!BD27</f>
        <v>894.47547986879749</v>
      </c>
      <c r="CE27" s="1515">
        <f>'Bloom Cleaner Data'!CE27+'OPERATING LEASES'!BE27</f>
        <v>809.57211085333563</v>
      </c>
      <c r="CF27" s="1515">
        <f>'Bloom Cleaner Data'!CF27+'OPERATING LEASES'!BF27</f>
        <v>936.87094183787394</v>
      </c>
      <c r="CG27" s="1515">
        <f>'Bloom Cleaner Data'!CG27+'OPERATING LEASES'!BG27</f>
        <v>1069.2161728224121</v>
      </c>
      <c r="CH27" s="1515">
        <f>'Bloom Cleaner Data'!CH27+'OPERATING LEASES'!BH27</f>
        <v>1024.4064728224121</v>
      </c>
      <c r="CI27" s="1515">
        <f>'Bloom Cleaner Data'!CI27+'OPERATING LEASES'!BI27</f>
        <v>1128.5754598972421</v>
      </c>
      <c r="CJ27" s="1515"/>
      <c r="CK27" s="1520">
        <f>AVERAGE(BW27:CI27)</f>
        <v>991.5071814054777</v>
      </c>
      <c r="CL27" s="1517">
        <f t="shared" si="53"/>
        <v>-9.4320201659036138E-2</v>
      </c>
      <c r="CM27" s="1518">
        <f t="shared" si="54"/>
        <v>8.7585405872165567E-2</v>
      </c>
      <c r="CN27" s="1515"/>
      <c r="CO27" s="1518">
        <f>$CO$1*BU27/('Bloom Cleaner Data'!D27+'Bloom Cleaner Data'!T27+'OPERATING LEASES'!AU27)+(1-$CO$1)*'Bloom Cleaner Data'!BU27/('Bloom Cleaner Data'!D27+'Bloom Cleaner Data'!T27)-1</f>
        <v>0</v>
      </c>
      <c r="CP27" s="1518">
        <f>$CO$1*BV27/('Bloom Cleaner Data'!E27+'Bloom Cleaner Data'!U27+'OPERATING LEASES'!AV27)+(1-$CO$1)*'Bloom Cleaner Data'!BV27/('Bloom Cleaner Data'!E27+'Bloom Cleaner Data'!U27)-1</f>
        <v>0</v>
      </c>
      <c r="CQ27" s="1518">
        <f>$CO$1*BW27/('Bloom Cleaner Data'!F27+'Bloom Cleaner Data'!V27+'OPERATING LEASES'!AW27)+(1-$CO$1)*'Bloom Cleaner Data'!BW27/('Bloom Cleaner Data'!F27+'Bloom Cleaner Data'!V27)-1</f>
        <v>0</v>
      </c>
      <c r="CR27" s="1518">
        <f>$CO$1*BX27/('Bloom Cleaner Data'!G27+'Bloom Cleaner Data'!W27+'OPERATING LEASES'!AX27)+(1-$CO$1)*'Bloom Cleaner Data'!BX27/('Bloom Cleaner Data'!G27+'Bloom Cleaner Data'!W27)-1</f>
        <v>-1.7056783785051377E-2</v>
      </c>
      <c r="CS27" s="1518">
        <f>$CO$1*BY27/('Bloom Cleaner Data'!H27+'Bloom Cleaner Data'!X27+'OPERATING LEASES'!AY27)+(1-$CO$1)*'Bloom Cleaner Data'!BY27/('Bloom Cleaner Data'!H27+'Bloom Cleaner Data'!X27)-1</f>
        <v>0</v>
      </c>
      <c r="CT27" s="1518">
        <f>$CO$1*BZ27/('Bloom Cleaner Data'!I27+'Bloom Cleaner Data'!Y27+'OPERATING LEASES'!AZ27)+(1-$CO$1)*'Bloom Cleaner Data'!BZ27/('Bloom Cleaner Data'!I27+'Bloom Cleaner Data'!Y27)-1</f>
        <v>0</v>
      </c>
      <c r="CU27" s="1518">
        <f>$CO$1*CA27/('Bloom Cleaner Data'!J27+'Bloom Cleaner Data'!Z27+'OPERATING LEASES'!BA27)+(1-$CO$1)*'Bloom Cleaner Data'!CA27/('Bloom Cleaner Data'!J27+'Bloom Cleaner Data'!Z27)-1</f>
        <v>0</v>
      </c>
      <c r="CV27" s="1518">
        <f>$CO$1*CB27/('Bloom Cleaner Data'!K27+'Bloom Cleaner Data'!AA27+'OPERATING LEASES'!BB27)+(1-$CO$1)*'Bloom Cleaner Data'!CB27/('Bloom Cleaner Data'!K27+'Bloom Cleaner Data'!AA27)-1</f>
        <v>0</v>
      </c>
      <c r="CW27" s="1518">
        <f>$CO$1*CC27/('Bloom Cleaner Data'!L27+'Bloom Cleaner Data'!AB27+'OPERATING LEASES'!BC27)+(1-$CO$1)*'Bloom Cleaner Data'!CC27/('Bloom Cleaner Data'!L27+'Bloom Cleaner Data'!AB27)-1</f>
        <v>0</v>
      </c>
      <c r="CX27" s="1518">
        <f>$CO$1*CD27/('Bloom Cleaner Data'!M27+'Bloom Cleaner Data'!AC27+'OPERATING LEASES'!BD27)+(1-$CO$1)*'Bloom Cleaner Data'!CD27/('Bloom Cleaner Data'!M27+'Bloom Cleaner Data'!AC27)-1</f>
        <v>0</v>
      </c>
      <c r="CY27" s="1518">
        <f>$CO$1*CE27/('Bloom Cleaner Data'!N27+'Bloom Cleaner Data'!AD27+'OPERATING LEASES'!BE27)+(1-$CO$1)*'Bloom Cleaner Data'!CE27/('Bloom Cleaner Data'!N27+'Bloom Cleaner Data'!AD27)-1</f>
        <v>0</v>
      </c>
      <c r="CZ27" s="1518">
        <f>$CO$1*CF27/('Bloom Cleaner Data'!O27+'Bloom Cleaner Data'!AE27+'OPERATING LEASES'!BF27)+(1-$CO$1)*'Bloom Cleaner Data'!CF27/('Bloom Cleaner Data'!O27+'Bloom Cleaner Data'!AE27)-1</f>
        <v>0</v>
      </c>
      <c r="DA27" s="1518">
        <f>$CO$1*CG27/('Bloom Cleaner Data'!P27+'Bloom Cleaner Data'!AF27+'OPERATING LEASES'!BG27)+(1-$CO$1)*'Bloom Cleaner Data'!CG27/('Bloom Cleaner Data'!P27+'Bloom Cleaner Data'!AF27)-1</f>
        <v>0</v>
      </c>
      <c r="DB27" s="1518">
        <f>$CO$1*CH27/('Bloom Cleaner Data'!Q27+'Bloom Cleaner Data'!AG27+'OPERATING LEASES'!BH27)+(1-$CO$1)*'Bloom Cleaner Data'!CH27/('Bloom Cleaner Data'!Q27+'Bloom Cleaner Data'!AG27)-1</f>
        <v>0</v>
      </c>
      <c r="DC27" s="1518">
        <f>$CO$1*CI27/('Bloom Cleaner Data'!R27+'Bloom Cleaner Data'!AH27+'OPERATING LEASES'!BI27)+(1-$CO$1)*'Bloom Cleaner Data'!CI27/('Bloom Cleaner Data'!R27+'Bloom Cleaner Data'!AH27)-1</f>
        <v>0</v>
      </c>
      <c r="DD27" s="1518"/>
      <c r="DE27" s="1518">
        <f t="shared" si="55"/>
        <v>-1.3120602911577983E-3</v>
      </c>
      <c r="DF27" s="1515"/>
      <c r="DG27" s="1515">
        <f>AVERAGE('Bloom Cleaner Data'!GX27:HJ27)</f>
        <v>261.83595001692174</v>
      </c>
      <c r="DH27" s="1518">
        <f>('Bloom Cleaner Data'!HJ27-'Bloom Cleaner Data'!GX27)/'Bloom Cleaner Data'!GX27</f>
        <v>-4.6967652693503906E-2</v>
      </c>
      <c r="DI27" s="1518">
        <f>('Bloom Cleaner Data'!HJ27+'Bloom Cleaner Data'!HI27-'Bloom Cleaner Data'!GX27-'Bloom Cleaner Data'!GW27)/('Bloom Cleaner Data'!GX27+'Bloom Cleaner Data'!GW27)</f>
        <v>-9.944399872416558E-2</v>
      </c>
      <c r="DJ27" s="1515"/>
      <c r="DK27" s="1515">
        <f>'Bloom Cleaner Data'!GV27+'OPERATING LEASES'!BL27</f>
        <v>285.77706893136519</v>
      </c>
      <c r="DL27" s="1515">
        <f>'Bloom Cleaner Data'!GW27+'OPERATING LEASES'!BM27</f>
        <v>280.6626177715861</v>
      </c>
      <c r="DM27" s="1515">
        <f>'Bloom Cleaner Data'!GX27+'OPERATING LEASES'!BN27</f>
        <v>278.37005374940077</v>
      </c>
      <c r="DN27" s="1515">
        <f>'Bloom Cleaner Data'!GY27+'OPERATING LEASES'!BO27</f>
        <v>272.85499000791168</v>
      </c>
      <c r="DO27" s="1515">
        <f>'Bloom Cleaner Data'!GZ27+'OPERATING LEASES'!BP27</f>
        <v>293.15200551712343</v>
      </c>
      <c r="DP27" s="1515">
        <f>'Bloom Cleaner Data'!HA27+'OPERATING LEASES'!BQ27</f>
        <v>301.29788351737017</v>
      </c>
      <c r="DQ27" s="1515">
        <f>'Bloom Cleaner Data'!HB27+'OPERATING LEASES'!BR27</f>
        <v>301.37325623059257</v>
      </c>
      <c r="DR27" s="1515">
        <f>'Bloom Cleaner Data'!HC27+'OPERATING LEASES'!BS27</f>
        <v>309.24319002137071</v>
      </c>
      <c r="DS27" s="1515">
        <f>'Bloom Cleaner Data'!HD27+'OPERATING LEASES'!BT27</f>
        <v>263.93030963119833</v>
      </c>
      <c r="DT27" s="1515">
        <f>'Bloom Cleaner Data'!HE27+'OPERATING LEASES'!BU27</f>
        <v>261.28590839338972</v>
      </c>
      <c r="DU27" s="1515">
        <f>'Bloom Cleaner Data'!HF27+'OPERATING LEASES'!BV27</f>
        <v>259.91307370915786</v>
      </c>
      <c r="DV27" s="1515">
        <f>'Bloom Cleaner Data'!HG27+'OPERATING LEASES'!BW27</f>
        <v>255.28357761349517</v>
      </c>
      <c r="DW27" s="1515">
        <f>'Bloom Cleaner Data'!HH27+'OPERATING LEASES'!BX27</f>
        <v>255.04474102424808</v>
      </c>
      <c r="DX27" s="1515">
        <f>'Bloom Cleaner Data'!HI27+'OPERATING LEASES'!BY27</f>
        <v>249.27300303260046</v>
      </c>
      <c r="DY27" s="1515">
        <f>'Bloom Cleaner Data'!HJ27+'OPERATING LEASES'!BZ27</f>
        <v>275.59824616498105</v>
      </c>
      <c r="DZ27" s="1515"/>
      <c r="EA27" s="1520">
        <f t="shared" si="56"/>
        <v>275.12463373944922</v>
      </c>
      <c r="EB27" s="1517">
        <f t="shared" si="57"/>
        <v>-9.9572764637786953E-3</v>
      </c>
      <c r="EC27" s="1518">
        <f t="shared" si="58"/>
        <v>5.0751944955108985E-2</v>
      </c>
      <c r="ED27" s="1518">
        <f>(AVERAGE(DV27:DY27)-AVERAGE('Bloom Cleaner Data'!HG27:HJ27))/AVERAGE('Bloom Cleaner Data'!HG27:HJ27)</f>
        <v>7.4642065889698406E-2</v>
      </c>
      <c r="EE27" s="1515"/>
      <c r="EF27" s="22">
        <f>'Bloom Cleaner Data'!DT27</f>
        <v>1.4028</v>
      </c>
      <c r="EG27" s="22">
        <f>'Bloom Cleaner Data'!DX27</f>
        <v>1.0904</v>
      </c>
      <c r="EH27" s="22">
        <f>'Bloom Cleaner Data'!EB27</f>
        <v>0.88700000000000001</v>
      </c>
      <c r="EI27" s="22">
        <f>'Bloom Cleaner Data'!EF27</f>
        <v>1.3070252722398332</v>
      </c>
      <c r="EJ27" s="22"/>
      <c r="EK27" s="22">
        <f>AVERAGE('Bloom Cleaner Data'!DT27:EF27)</f>
        <v>1.1192173286338334</v>
      </c>
      <c r="EL27" s="2124">
        <f t="shared" si="5"/>
        <v>-6.8273971884920751E-2</v>
      </c>
      <c r="EM27" s="1515"/>
      <c r="EN27" s="1516">
        <f>'Bloom Cleaner Data'!DA27</f>
        <v>5.3945999999999996</v>
      </c>
      <c r="EO27" s="1516">
        <f>'Bloom Cleaner Data'!DB27</f>
        <v>5.2461000000000002</v>
      </c>
      <c r="EP27" s="1516">
        <f>'Bloom Cleaner Data'!DC27</f>
        <v>4.4398999999999997</v>
      </c>
      <c r="EQ27" s="1516">
        <f>'Bloom Cleaner Data'!DD27</f>
        <v>3.0899000000000001</v>
      </c>
      <c r="ER27" s="1516">
        <f>'Bloom Cleaner Data'!DE27</f>
        <v>3.8018000000000001</v>
      </c>
      <c r="ES27" s="1516">
        <f>'Bloom Cleaner Data'!DF27</f>
        <v>3.4470000000000001</v>
      </c>
      <c r="ET27" s="1516">
        <f>'Bloom Cleaner Data'!DG27</f>
        <v>3.0916000000000001</v>
      </c>
      <c r="EU27" s="1516">
        <f>'Bloom Cleaner Data'!DH27</f>
        <v>2.6672000000000002</v>
      </c>
      <c r="EV27" s="1516">
        <f>'Bloom Cleaner Data'!DI27</f>
        <v>3.2286999999999999</v>
      </c>
      <c r="EW27" s="1516">
        <f>'Bloom Cleaner Data'!DJ27</f>
        <v>3.2694999999999999</v>
      </c>
      <c r="EX27" s="1516">
        <f>'Bloom Cleaner Data'!DK27</f>
        <v>2.9258999999999999</v>
      </c>
      <c r="EY27" s="1516">
        <f>'Bloom Cleaner Data'!DL27</f>
        <v>3.5007000000000001</v>
      </c>
      <c r="EZ27" s="1516">
        <f>'Bloom Cleaner Data'!DM27</f>
        <v>4.0498000000000003</v>
      </c>
      <c r="FA27" s="1516">
        <f>'Bloom Cleaner Data'!DN27</f>
        <v>3.9569999999999999</v>
      </c>
      <c r="FB27" s="1516">
        <f>'Bloom Cleaner Data'!DO27</f>
        <v>3.9569999999999999</v>
      </c>
      <c r="FC27" s="1516"/>
      <c r="FD27" s="1516">
        <f t="shared" si="59"/>
        <v>3.4943076923076926</v>
      </c>
      <c r="FE27" s="1518">
        <f t="shared" si="6"/>
        <v>-0.10876371089438949</v>
      </c>
      <c r="FF27" s="1516">
        <f t="shared" si="60"/>
        <v>3.40944</v>
      </c>
      <c r="FG27" s="2206"/>
      <c r="FH27" s="1516">
        <f>('Bloom Cleaner Data'!BU27+'OPERATING LEASES'!AU27)/DK27</f>
        <v>5.3912511069394071</v>
      </c>
      <c r="FI27" s="1516">
        <f>('Bloom Cleaner Data'!BV27+'OPERATING LEASES'!AV27)/DL27</f>
        <v>5.252731811426754</v>
      </c>
      <c r="FJ27" s="1516">
        <f>('Bloom Cleaner Data'!BW27+'OPERATING LEASES'!AW27)/DM27</f>
        <v>4.4764466051434839</v>
      </c>
      <c r="FK27" s="1516">
        <f>('Bloom Cleaner Data'!BX27+'OPERATING LEASES'!AX27)/DN27</f>
        <v>3.1738796621897944</v>
      </c>
      <c r="FL27" s="1516">
        <f>('Bloom Cleaner Data'!BY27+'OPERATING LEASES'!AY27)/DO27</f>
        <v>3.8647746002881376</v>
      </c>
      <c r="FM27" s="1516">
        <f>('Bloom Cleaner Data'!BZ27+'OPERATING LEASES'!AZ27)/DP27</f>
        <v>3.5287733970071162</v>
      </c>
      <c r="FN27" s="1516">
        <f>('Bloom Cleaner Data'!CA27+'OPERATING LEASES'!BA27)/DQ27</f>
        <v>3.1968221034782847</v>
      </c>
      <c r="FO27" s="1516">
        <f>('Bloom Cleaner Data'!CB27+'OPERATING LEASES'!BB27)/DR27</f>
        <v>2.798179703940844</v>
      </c>
      <c r="FP27" s="1516">
        <f>('Bloom Cleaner Data'!CC27+'OPERATING LEASES'!BC27)/DS27</f>
        <v>3.3699276529743569</v>
      </c>
      <c r="FQ27" s="1516">
        <f>('Bloom Cleaner Data'!CD27+'OPERATING LEASES'!BD27)/DT27</f>
        <v>3.4233590528046514</v>
      </c>
      <c r="FR27" s="1516">
        <f>('Bloom Cleaner Data'!CE27+'OPERATING LEASES'!BE27)/DU27</f>
        <v>3.1147802582614408</v>
      </c>
      <c r="FS27" s="1516">
        <f>('Bloom Cleaner Data'!CF27+'OPERATING LEASES'!BF27)/DV27</f>
        <v>3.6699224861863882</v>
      </c>
      <c r="FT27" s="1516">
        <f>('Bloom Cleaner Data'!CG27+'OPERATING LEASES'!BG27)/DW27</f>
        <v>4.1922690447506916</v>
      </c>
      <c r="FU27" s="1516">
        <f>('Bloom Cleaner Data'!CH27+'OPERATING LEASES'!BH27)/DX27</f>
        <v>4.1095764898713805</v>
      </c>
      <c r="FV27" s="1516">
        <f>('Bloom Cleaner Data'!CI27+'OPERATING LEASES'!BI27)/DY27</f>
        <v>4.0950023289395112</v>
      </c>
      <c r="FW27" s="1516"/>
      <c r="FX27" s="1521">
        <f>AVERAGE(FJ27:FV27)</f>
        <v>3.6164394912181601</v>
      </c>
      <c r="FY27" s="1517">
        <f t="shared" si="62"/>
        <v>-8.5211398649475509E-2</v>
      </c>
      <c r="FZ27" s="1516">
        <f t="shared" si="7"/>
        <v>0.12213179891046755</v>
      </c>
      <c r="GA27" s="1516">
        <f t="shared" si="63"/>
        <v>3.5498612518214663</v>
      </c>
      <c r="GB27" s="1516">
        <f t="shared" si="64"/>
        <v>0.14042125182146625</v>
      </c>
      <c r="GC27" s="1516">
        <f t="shared" si="8"/>
        <v>0.15823012160188199</v>
      </c>
      <c r="GD27" s="1515"/>
      <c r="GE27" s="1516">
        <f t="shared" si="9"/>
        <v>5.3912511069394071</v>
      </c>
      <c r="GF27" s="1516">
        <f t="shared" si="10"/>
        <v>5.252731811426754</v>
      </c>
      <c r="GG27" s="1516">
        <f t="shared" si="11"/>
        <v>4.4764466051434839</v>
      </c>
      <c r="GH27" s="1516">
        <f t="shared" si="12"/>
        <v>3.1738796621897944</v>
      </c>
      <c r="GI27" s="1516">
        <f t="shared" si="13"/>
        <v>3.8647746002881376</v>
      </c>
      <c r="GJ27" s="1516">
        <f t="shared" si="14"/>
        <v>3.5287733970071162</v>
      </c>
      <c r="GK27" s="1516">
        <f t="shared" si="15"/>
        <v>3.1968221034782847</v>
      </c>
      <c r="GL27" s="1516">
        <f t="shared" si="16"/>
        <v>2.798179703940844</v>
      </c>
      <c r="GM27" s="1516">
        <f t="shared" si="17"/>
        <v>3.3699276529743569</v>
      </c>
      <c r="GN27" s="1516">
        <f t="shared" si="18"/>
        <v>3.4233590528046514</v>
      </c>
      <c r="GO27" s="1516">
        <f t="shared" si="19"/>
        <v>3.1147802582614408</v>
      </c>
      <c r="GP27" s="1516">
        <f t="shared" si="20"/>
        <v>3.6699224861863882</v>
      </c>
      <c r="GQ27" s="1516">
        <f t="shared" si="21"/>
        <v>4.1922690447506916</v>
      </c>
      <c r="GR27" s="1516">
        <f t="shared" si="22"/>
        <v>4.1095764898713805</v>
      </c>
      <c r="GS27" s="1516">
        <f t="shared" si="23"/>
        <v>4.0950023289395112</v>
      </c>
      <c r="GT27" s="1516"/>
      <c r="GU27" s="1516">
        <f t="shared" si="65"/>
        <v>3.843846420280149</v>
      </c>
      <c r="GV27" s="1517">
        <f t="shared" si="66"/>
        <v>-8.5211398649475509E-2</v>
      </c>
      <c r="GW27" s="1521">
        <f t="shared" si="67"/>
        <v>3.5498612518214663</v>
      </c>
      <c r="GX27" s="2076"/>
      <c r="GY27" s="1517">
        <f>'Bloom Cleaner Data'!T27/('Bloom Cleaner Data'!T27+'Bloom Cleaner Data'!D27)</f>
        <v>0.41286439027586175</v>
      </c>
      <c r="GZ27" s="1517">
        <f>'Bloom Cleaner Data'!U27/('Bloom Cleaner Data'!U27+'Bloom Cleaner Data'!E27)</f>
        <v>0.43514176400923932</v>
      </c>
      <c r="HA27" s="1517">
        <f>'Bloom Cleaner Data'!V27/('Bloom Cleaner Data'!V27+'Bloom Cleaner Data'!F27)</f>
        <v>0.46815593318522092</v>
      </c>
      <c r="HB27" s="1517">
        <f>'Bloom Cleaner Data'!W27/('Bloom Cleaner Data'!W27+'Bloom Cleaner Data'!G27)</f>
        <v>0.28100115453513785</v>
      </c>
      <c r="HC27" s="1517">
        <f>'Bloom Cleaner Data'!X27/('Bloom Cleaner Data'!X27+'Bloom Cleaner Data'!H27)</f>
        <v>0.48345345315123989</v>
      </c>
      <c r="HD27" s="1517">
        <f>'Bloom Cleaner Data'!Y27/('Bloom Cleaner Data'!Y27+'Bloom Cleaner Data'!I27)</f>
        <v>0.47608333332504782</v>
      </c>
      <c r="HE27" s="1517">
        <f>'Bloom Cleaner Data'!Z27/('Bloom Cleaner Data'!Z27+'Bloom Cleaner Data'!J27)</f>
        <v>0.49313723689680561</v>
      </c>
      <c r="HF27" s="1517">
        <f>'Bloom Cleaner Data'!AA27/('Bloom Cleaner Data'!AA27+'Bloom Cleaner Data'!K27)</f>
        <v>0.49531762791770773</v>
      </c>
      <c r="HG27" s="1517">
        <f>'Bloom Cleaner Data'!AB27/('Bloom Cleaner Data'!AB27+'Bloom Cleaner Data'!L27)</f>
        <v>0.49373587498192867</v>
      </c>
      <c r="HH27" s="1517">
        <f>'Bloom Cleaner Data'!AC27/('Bloom Cleaner Data'!AC27+'Bloom Cleaner Data'!M27)</f>
        <v>0.4428070579908735</v>
      </c>
      <c r="HI27" s="1517">
        <f>'Bloom Cleaner Data'!AD27/('Bloom Cleaner Data'!AD27+'Bloom Cleaner Data'!N27)</f>
        <v>0.44444571996877513</v>
      </c>
      <c r="HJ27" s="1517">
        <f>'Bloom Cleaner Data'!AE27/('Bloom Cleaner Data'!AE27+'Bloom Cleaner Data'!O27)</f>
        <v>0.40322163899337088</v>
      </c>
      <c r="HK27" s="1517">
        <f>'Bloom Cleaner Data'!AF27/('Bloom Cleaner Data'!AF27+'Bloom Cleaner Data'!P27)</f>
        <v>0.35170034127599797</v>
      </c>
      <c r="HL27" s="1517">
        <f>'Bloom Cleaner Data'!AG27/('Bloom Cleaner Data'!AG27+'Bloom Cleaner Data'!Q27)</f>
        <v>0.40924232582428277</v>
      </c>
      <c r="HM27" s="1517">
        <f>'Bloom Cleaner Data'!AH27/('Bloom Cleaner Data'!AH27+'Bloom Cleaner Data'!R27)</f>
        <v>0.33550595526325888</v>
      </c>
      <c r="HN27" s="1516"/>
      <c r="HO27" s="1517">
        <f>AVERAGE(HA27:HM27)</f>
        <v>0.42906212717766518</v>
      </c>
      <c r="HP27" s="1517">
        <f t="shared" si="69"/>
        <v>-0.28334571564530503</v>
      </c>
      <c r="HQ27" s="1517"/>
      <c r="HR27" s="1522">
        <f t="shared" si="24"/>
        <v>0.70318404034434789</v>
      </c>
      <c r="HS27" s="1523">
        <f t="shared" si="25"/>
        <v>0.77035570393339703</v>
      </c>
      <c r="HT27" s="1523">
        <f t="shared" si="26"/>
        <v>0.88025036358685516</v>
      </c>
      <c r="HU27" s="1523">
        <f t="shared" si="27"/>
        <v>0.39082281746010195</v>
      </c>
      <c r="HV27" s="1523">
        <f t="shared" si="28"/>
        <v>0.9359339561954142</v>
      </c>
      <c r="HW27" s="1523">
        <f t="shared" si="29"/>
        <v>0.90870049305077549</v>
      </c>
      <c r="HX27" s="1523">
        <f t="shared" si="30"/>
        <v>0.97292062624139886</v>
      </c>
      <c r="HY27" s="1523">
        <f t="shared" si="31"/>
        <v>0.98144428122990279</v>
      </c>
      <c r="HZ27" s="1523">
        <f t="shared" si="32"/>
        <v>0.97525352989273062</v>
      </c>
      <c r="IA27" s="1523">
        <f t="shared" si="33"/>
        <v>0.79471045773516025</v>
      </c>
      <c r="IB27" s="1523">
        <f t="shared" si="34"/>
        <v>0.80000413270831994</v>
      </c>
      <c r="IC27" s="1523">
        <f t="shared" si="35"/>
        <v>0.67566397399736122</v>
      </c>
      <c r="ID27" s="1523">
        <f t="shared" si="36"/>
        <v>0.54249657013274155</v>
      </c>
      <c r="IE27" s="1523">
        <f t="shared" si="37"/>
        <v>0.69274144664357951</v>
      </c>
      <c r="IF27" s="1524">
        <f t="shared" si="38"/>
        <v>0.5049043823954501</v>
      </c>
      <c r="IG27" s="1516"/>
      <c r="IH27" s="1517">
        <f t="shared" si="70"/>
        <v>0.7735266947130609</v>
      </c>
      <c r="II27" s="1517">
        <f t="shared" si="71"/>
        <v>-0.4264082092075947</v>
      </c>
      <c r="IJ27" s="1517"/>
      <c r="IK27" s="1518">
        <f>('Bloom Cleaner Data'!T27+'OPERATING LEASES'!AU27)/('Bloom Cleaner Data'!T27+'OPERATING LEASES'!AU27+'Bloom Cleaner Data'!D27)</f>
        <v>0.42997221083871201</v>
      </c>
      <c r="IL27" s="1518">
        <f>('Bloom Cleaner Data'!U27+'OPERATING LEASES'!AV27)/('Bloom Cleaner Data'!U27+'OPERATING LEASES'!AV27+'Bloom Cleaner Data'!E27)</f>
        <v>0.45281886800186638</v>
      </c>
      <c r="IM27" s="1518">
        <f>('Bloom Cleaner Data'!V27+'OPERATING LEASES'!AW27)/('Bloom Cleaner Data'!V27+'OPERATING LEASES'!AW27+'Bloom Cleaner Data'!F27)</f>
        <v>0.48837785245523885</v>
      </c>
      <c r="IN27" s="1518">
        <f>('Bloom Cleaner Data'!W27+'OPERATING LEASES'!AX27)/('Bloom Cleaner Data'!W27+'OPERATING LEASES'!AX27+'Bloom Cleaner Data'!G27)</f>
        <v>0.32068204478749368</v>
      </c>
      <c r="IO27" s="1518">
        <f>('Bloom Cleaner Data'!X27+'OPERATING LEASES'!AY27)/('Bloom Cleaner Data'!X27+'OPERATING LEASES'!AY27+'Bloom Cleaner Data'!H27)</f>
        <v>0.50618916176036455</v>
      </c>
      <c r="IP27" s="1518">
        <f>('Bloom Cleaner Data'!Y27+'OPERATING LEASES'!AZ27)/('Bloom Cleaner Data'!Y27+'OPERATING LEASES'!AZ27+'Bloom Cleaner Data'!I27)</f>
        <v>0.50438508797734638</v>
      </c>
      <c r="IQ27" s="1518">
        <f>('Bloom Cleaner Data'!Z27+'OPERATING LEASES'!BA27)/('Bloom Cleaner Data'!Z27+'OPERATING LEASES'!BA27+'Bloom Cleaner Data'!J27)</f>
        <v>0.52733427511662723</v>
      </c>
      <c r="IR27" s="1518">
        <f>('Bloom Cleaner Data'!AA27+'OPERATING LEASES'!BB27)/('Bloom Cleaner Data'!AA27+'OPERATING LEASES'!BB27+'Bloom Cleaner Data'!K27)</f>
        <v>0.53764177825502679</v>
      </c>
      <c r="IS27" s="1518">
        <f>('Bloom Cleaner Data'!AB27+'OPERATING LEASES'!BC27)/('Bloom Cleaner Data'!AB27+'OPERATING LEASES'!BC27+'Bloom Cleaner Data'!L27)</f>
        <v>0.53934899870094088</v>
      </c>
      <c r="IT27" s="1518">
        <f>('Bloom Cleaner Data'!AC27+'OPERATING LEASES'!BD27)/('Bloom Cleaner Data'!AC27+'OPERATING LEASES'!BD27+'Bloom Cleaner Data'!M27)</f>
        <v>0.49743899065188774</v>
      </c>
      <c r="IU27" s="1518">
        <f>('Bloom Cleaner Data'!AD27+'OPERATING LEASES'!BE27)/('Bloom Cleaner Data'!AD27+'OPERATING LEASES'!BE27+'Bloom Cleaner Data'!N27)</f>
        <v>0.50982229417251801</v>
      </c>
      <c r="IV27" s="1518">
        <f>('Bloom Cleaner Data'!AE27+'OPERATING LEASES'!BF27)/('Bloom Cleaner Data'!AE27+'OPERATING LEASES'!BF27+'Bloom Cleaner Data'!O27)</f>
        <v>0.46872714503922225</v>
      </c>
      <c r="IW27" s="1518">
        <f>('Bloom Cleaner Data'!AF27+'OPERATING LEASES'!BG27)/('Bloom Cleaner Data'!AF27+'OPERATING LEASES'!BG27+'Bloom Cleaner Data'!P27)</f>
        <v>0.41864104210174313</v>
      </c>
      <c r="IX27" s="1518">
        <f>('Bloom Cleaner Data'!AG27+'OPERATING LEASES'!BH27)/('Bloom Cleaner Data'!AG27+'OPERATING LEASES'!BH27+'Bloom Cleaner Data'!Q27)</f>
        <v>0.47290971472258075</v>
      </c>
      <c r="IY27" s="1518">
        <f>('Bloom Cleaner Data'!AH27+'OPERATING LEASES'!BI27)/('Bloom Cleaner Data'!AH27+'OPERATING LEASES'!BI27+'Bloom Cleaner Data'!R27)</f>
        <v>0.40051001362688471</v>
      </c>
      <c r="IZ27" s="1516"/>
      <c r="JA27" s="1517">
        <f t="shared" si="72"/>
        <v>0.47630833841291353</v>
      </c>
      <c r="JB27" s="1517">
        <f t="shared" si="73"/>
        <v>-0.17991773866610272</v>
      </c>
      <c r="JC27" s="1517">
        <f t="shared" si="39"/>
        <v>4.7246211235248359E-2</v>
      </c>
      <c r="JD27" s="1517">
        <f t="shared" si="40"/>
        <v>0.1101150818088513</v>
      </c>
      <c r="JE27" s="1032"/>
      <c r="JF27" s="1525">
        <f t="shared" si="74"/>
        <v>0.75430043765296584</v>
      </c>
      <c r="JG27" s="1526">
        <f t="shared" si="131"/>
        <v>0.82754839580874084</v>
      </c>
      <c r="JH27" s="1526">
        <f t="shared" si="132"/>
        <v>0.95456745725127423</v>
      </c>
      <c r="JI27" s="1526">
        <f t="shared" si="133"/>
        <v>0.47206472657884763</v>
      </c>
      <c r="JJ27" s="1526">
        <f t="shared" si="134"/>
        <v>1.0250669336559239</v>
      </c>
      <c r="JK27" s="1526">
        <f t="shared" si="135"/>
        <v>1.0176955449522307</v>
      </c>
      <c r="JL27" s="1526">
        <f t="shared" si="136"/>
        <v>1.1156600687446578</v>
      </c>
      <c r="JM27" s="1526">
        <f t="shared" si="137"/>
        <v>1.1628251709809074</v>
      </c>
      <c r="JN27" s="1526">
        <f t="shared" si="138"/>
        <v>1.1708408256574923</v>
      </c>
      <c r="JO27" s="1526">
        <f t="shared" si="139"/>
        <v>0.98980816537504868</v>
      </c>
      <c r="JP27" s="1526">
        <f t="shared" si="140"/>
        <v>1.0400764622941663</v>
      </c>
      <c r="JQ27" s="1526">
        <f t="shared" si="141"/>
        <v>0.88227196376112038</v>
      </c>
      <c r="JR27" s="1526">
        <f t="shared" si="142"/>
        <v>0.72010766569285256</v>
      </c>
      <c r="JS27" s="1526">
        <f t="shared" si="143"/>
        <v>0.89720817843128697</v>
      </c>
      <c r="JT27" s="1527">
        <f t="shared" si="144"/>
        <v>0.66808457644130204</v>
      </c>
      <c r="JU27" s="1516"/>
      <c r="JV27" s="1517">
        <f t="shared" si="75"/>
        <v>0.93202136460131624</v>
      </c>
      <c r="JW27" s="1517">
        <f t="shared" si="76"/>
        <v>-0.30011800489712304</v>
      </c>
      <c r="JX27" s="1517">
        <f t="shared" si="77"/>
        <v>0.15849466988825534</v>
      </c>
      <c r="JY27" s="1517">
        <f t="shared" si="78"/>
        <v>0.20489877204179593</v>
      </c>
      <c r="JZ27" s="1032"/>
      <c r="KA27" s="1516">
        <f>'Bloom Cleaner Data'!T27/'Bloom Cleaner Data'!BU27*'Bloom Cleaner Data'!DA27</f>
        <v>2.2272382397821637</v>
      </c>
      <c r="KB27" s="1516">
        <f>'Bloom Cleaner Data'!U27/'Bloom Cleaner Data'!BV27*'Bloom Cleaner Data'!DB27</f>
        <v>2.2827972081688706</v>
      </c>
      <c r="KC27" s="1516">
        <f>'Bloom Cleaner Data'!V27/'Bloom Cleaner Data'!BW27*'Bloom Cleaner Data'!DC27</f>
        <v>2.078565527749062</v>
      </c>
      <c r="KD27" s="1516">
        <f>'Bloom Cleaner Data'!W27/'Bloom Cleaner Data'!BX27*'Bloom Cleaner Data'!DD27</f>
        <v>0.88422855059908712</v>
      </c>
      <c r="KE27" s="1516">
        <f>'Bloom Cleaner Data'!X27/'Bloom Cleaner Data'!BY27*'Bloom Cleaner Data'!DE27</f>
        <v>1.8379933381903839</v>
      </c>
      <c r="KF27" s="1516">
        <f>'Bloom Cleaner Data'!Y27/'Bloom Cleaner Data'!BZ27*'Bloom Cleaner Data'!DF27</f>
        <v>1.64105924997144</v>
      </c>
      <c r="KG27" s="1516">
        <f>'Bloom Cleaner Data'!Z27/'Bloom Cleaner Data'!CA27*'Bloom Cleaner Data'!DG27</f>
        <v>1.5245830815901642</v>
      </c>
      <c r="KH27" s="1516">
        <f>'Bloom Cleaner Data'!AA27/'Bloom Cleaner Data'!CB27*'Bloom Cleaner Data'!DH27</f>
        <v>1.3211111771821102</v>
      </c>
      <c r="KI27" s="1516">
        <f>'Bloom Cleaner Data'!AB27/'Bloom Cleaner Data'!CC27*'Bloom Cleaner Data'!DI27</f>
        <v>1.5941250195541528</v>
      </c>
      <c r="KJ27" s="1516">
        <f>'Bloom Cleaner Data'!AC27/'Bloom Cleaner Data'!CD27*'Bloom Cleaner Data'!DJ27</f>
        <v>1.4477576761011608</v>
      </c>
      <c r="KK27" s="1516">
        <f>'Bloom Cleaner Data'!AD27/'Bloom Cleaner Data'!CE27*'Bloom Cleaner Data'!DK27</f>
        <v>1.3004037320566393</v>
      </c>
      <c r="KL27" s="1516">
        <f>'Bloom Cleaner Data'!AE27/'Bloom Cleaner Data'!CF27*'Bloom Cleaner Data'!DL27</f>
        <v>1.4115579916240935</v>
      </c>
      <c r="KM27" s="1516">
        <f>'Bloom Cleaner Data'!AF27/'Bloom Cleaner Data'!CG27*'Bloom Cleaner Data'!DM27</f>
        <v>1.4243160420995367</v>
      </c>
      <c r="KN27" s="1516">
        <f>'Bloom Cleaner Data'!AG27/'Bloom Cleaner Data'!CH27*'Bloom Cleaner Data'!DN27</f>
        <v>1.6193718832866868</v>
      </c>
      <c r="KO27" s="1516">
        <f>'Bloom Cleaner Data'!AH27/'Bloom Cleaner Data'!CI27*'Bloom Cleaner Data'!DO27</f>
        <v>1.3275970649767153</v>
      </c>
      <c r="KP27" s="1516"/>
      <c r="KQ27" s="1516">
        <f>AVERAGE(KM27:KO27)</f>
        <v>1.4570949967876461</v>
      </c>
      <c r="KR27" s="1516">
        <f>AVERAGE(KL27:KO27)</f>
        <v>1.4457107454967582</v>
      </c>
      <c r="KS27" s="1516">
        <f>AVERAGE(KC27:KO27)</f>
        <v>1.4932823334600944</v>
      </c>
      <c r="KT27" s="1518">
        <f>(KO27-KC27)/KC27</f>
        <v>-0.36129169504008468</v>
      </c>
      <c r="KU27" s="1518"/>
      <c r="KV27" s="1032" t="s">
        <v>354</v>
      </c>
      <c r="KW27" s="1521">
        <f>('Bloom Cleaner Data'!T27+'OPERATING LEASES'!AU27)/DK27</f>
        <v>2.3180881576373897</v>
      </c>
      <c r="KX27" s="1521">
        <f>('Bloom Cleaner Data'!U27+'OPERATING LEASES'!AV27)/DL27</f>
        <v>2.3785360727676554</v>
      </c>
      <c r="KY27" s="1521">
        <f>('Bloom Cleaner Data'!V27+'OPERATING LEASES'!AW27)/DM27</f>
        <v>2.1861973796505194</v>
      </c>
      <c r="KZ27" s="1521">
        <f>('Bloom Cleaner Data'!W27+'OPERATING LEASES'!AX27)/DN27</f>
        <v>1.0354679733176881</v>
      </c>
      <c r="LA27" s="1521">
        <f>('Bloom Cleaner Data'!X27+'OPERATING LEASES'!AY27)/DO27</f>
        <v>1.9563070153126001</v>
      </c>
      <c r="LB27" s="1521">
        <f>('Bloom Cleaner Data'!Y27+'OPERATING LEASES'!AZ27)/DP27</f>
        <v>1.7798606803015535</v>
      </c>
      <c r="LC27" s="1521">
        <f>('Bloom Cleaner Data'!Z27+'OPERATING LEASES'!BA27)/DQ27</f>
        <v>1.6857938666145329</v>
      </c>
      <c r="LD27" s="1521">
        <f>('Bloom Cleaner Data'!AA27+'OPERATING LEASES'!BB27)/DR27</f>
        <v>1.5044183119038794</v>
      </c>
      <c r="LE27" s="1521">
        <f>('Bloom Cleaner Data'!AB27+'OPERATING LEASES'!BC27)/DS27</f>
        <v>1.8175671053263309</v>
      </c>
      <c r="LF27" s="1521">
        <f>('Bloom Cleaner Data'!AC27+'OPERATING LEASES'!BD27)/DT27</f>
        <v>1.702912271866148</v>
      </c>
      <c r="LG27" s="1521">
        <f>('Bloom Cleaner Data'!AD27+'OPERATING LEASES'!BE27)/DU27</f>
        <v>1.5879844171101163</v>
      </c>
      <c r="LH27" s="1521">
        <f>('Bloom Cleaner Data'!AE27+'OPERATING LEASES'!BF27)/DV27</f>
        <v>1.72019228946539</v>
      </c>
      <c r="LI27" s="1521">
        <f>('Bloom Cleaner Data'!AF27+'OPERATING LEASES'!BG27)/DW27</f>
        <v>1.7550558816653088</v>
      </c>
      <c r="LJ27" s="1521">
        <f>('Bloom Cleaner Data'!AG27+'OPERATING LEASES'!BH27)/DX27</f>
        <v>1.9434586454556992</v>
      </c>
      <c r="LK27" s="1521">
        <f>('Bloom Cleaner Data'!AH27+'OPERATING LEASES'!BI27)/DY27</f>
        <v>1.6400894385656881</v>
      </c>
      <c r="LL27" s="1516"/>
      <c r="LM27" s="1516">
        <f>AVERAGE(LI27:LK27)</f>
        <v>1.7795346552288986</v>
      </c>
      <c r="LN27" s="1516">
        <f>AVERAGE(LH27:LK27)</f>
        <v>1.7646990637880215</v>
      </c>
      <c r="LO27" s="1516">
        <f t="shared" si="85"/>
        <v>0.3189883182912634</v>
      </c>
      <c r="LP27" s="1516">
        <f>AVERAGE(KY27:LK27)</f>
        <v>1.7165619443504196</v>
      </c>
      <c r="LQ27" s="1518">
        <f>(LK27-KY27)/KY27</f>
        <v>-0.24979809516198892</v>
      </c>
      <c r="LR27" s="1516">
        <f t="shared" si="88"/>
        <v>0.22327961089032522</v>
      </c>
      <c r="LS27" s="1518"/>
      <c r="LT27" s="1516">
        <f t="shared" si="89"/>
        <v>2.3180881576373897</v>
      </c>
      <c r="LU27" s="1516">
        <f t="shared" si="145"/>
        <v>2.3785360727676554</v>
      </c>
      <c r="LV27" s="1516">
        <f t="shared" si="146"/>
        <v>2.1861973796505194</v>
      </c>
      <c r="LW27" s="1516">
        <f t="shared" si="147"/>
        <v>1.0354679733176881</v>
      </c>
      <c r="LX27" s="1516">
        <f t="shared" si="148"/>
        <v>1.9563070153126001</v>
      </c>
      <c r="LY27" s="1516">
        <f t="shared" si="149"/>
        <v>1.7798606803015535</v>
      </c>
      <c r="LZ27" s="1516">
        <f t="shared" si="150"/>
        <v>1.6857938666145329</v>
      </c>
      <c r="MA27" s="1516">
        <f t="shared" si="151"/>
        <v>1.5044183119038794</v>
      </c>
      <c r="MB27" s="1516">
        <f t="shared" si="152"/>
        <v>1.8175671053263309</v>
      </c>
      <c r="MC27" s="1516">
        <f t="shared" si="153"/>
        <v>1.702912271866148</v>
      </c>
      <c r="MD27" s="1516">
        <f t="shared" si="154"/>
        <v>1.5879844171101163</v>
      </c>
      <c r="ME27" s="1516">
        <f t="shared" si="155"/>
        <v>1.72019228946539</v>
      </c>
      <c r="MF27" s="1516">
        <f t="shared" si="156"/>
        <v>1.7550558816653088</v>
      </c>
      <c r="MG27" s="1516">
        <f t="shared" si="157"/>
        <v>1.9434586454556992</v>
      </c>
      <c r="MH27" s="1516">
        <f t="shared" si="158"/>
        <v>1.6400894385656881</v>
      </c>
      <c r="MI27" s="1516"/>
      <c r="MJ27" s="1516">
        <f>AVERAGE(MF27:MH27)</f>
        <v>1.7795346552288986</v>
      </c>
      <c r="MK27" s="1516">
        <f>AVERAGE(ME27:MH27)</f>
        <v>1.7646990637880215</v>
      </c>
      <c r="ML27" s="1521">
        <f>AVERAGE(LV27:MH27)</f>
        <v>1.7165619443504196</v>
      </c>
      <c r="MM27" s="1517">
        <f t="shared" si="107"/>
        <v>-0.24979809516198892</v>
      </c>
      <c r="MN27" s="1518"/>
      <c r="MO27" s="1516">
        <f>('Bloom Cleaner Data'!T27+'Bloom Cleaner Data'!EY27)/'Bloom Cleaner Data'!GV27</f>
        <v>2.3037318875106254</v>
      </c>
      <c r="MP27" s="1516">
        <f>('Bloom Cleaner Data'!U27+'Bloom Cleaner Data'!EZ27)/'Bloom Cleaner Data'!GW27</f>
        <v>2.3201819935630974</v>
      </c>
      <c r="MQ27" s="1516">
        <f>('Bloom Cleaner Data'!V27+'Bloom Cleaner Data'!FA27)/'Bloom Cleaner Data'!GX27</f>
        <v>2.2407233585277999</v>
      </c>
      <c r="MR27" s="1516">
        <f>('Bloom Cleaner Data'!W27+'Bloom Cleaner Data'!FB27)/'Bloom Cleaner Data'!GY27</f>
        <v>1.0218362856537793</v>
      </c>
      <c r="MS27" s="1516">
        <f>('Bloom Cleaner Data'!X27+'Bloom Cleaner Data'!FC27)/'Bloom Cleaner Data'!GZ27</f>
        <v>2.0020068682542536</v>
      </c>
      <c r="MT27" s="1516">
        <f>('Bloom Cleaner Data'!Y27+'Bloom Cleaner Data'!FD27)/'Bloom Cleaner Data'!HA27</f>
        <v>1.7849844582953069</v>
      </c>
      <c r="MU27" s="1516">
        <f>('Bloom Cleaner Data'!Z27+'Bloom Cleaner Data'!FE27)/'Bloom Cleaner Data'!HB27</f>
        <v>1.7379858974851286</v>
      </c>
      <c r="MV27" s="1516">
        <f>('Bloom Cleaner Data'!AA27+'Bloom Cleaner Data'!FF27)/'Bloom Cleaner Data'!HC27</f>
        <v>1.5315096294556454</v>
      </c>
      <c r="MW27" s="1516">
        <f>('Bloom Cleaner Data'!AB27+'Bloom Cleaner Data'!FG27)/'Bloom Cleaner Data'!HD27</f>
        <v>1.8385442772747997</v>
      </c>
      <c r="MX27" s="1516">
        <f>('Bloom Cleaner Data'!AC27+'Bloom Cleaner Data'!FH27)/'Bloom Cleaner Data'!HE27</f>
        <v>1.543527832161071</v>
      </c>
      <c r="MY27" s="1516">
        <f>('Bloom Cleaner Data'!AD27+'Bloom Cleaner Data'!FI27)/'Bloom Cleaner Data'!HF27</f>
        <v>1.5068911438447989</v>
      </c>
      <c r="MZ27" s="1516">
        <f>('Bloom Cleaner Data'!AE27+'Bloom Cleaner Data'!FJ27)/'Bloom Cleaner Data'!HG27</f>
        <v>1.5699307176640409</v>
      </c>
      <c r="NA27" s="1516">
        <f>('Bloom Cleaner Data'!AF27+'Bloom Cleaner Data'!FK27)/'Bloom Cleaner Data'!HH27</f>
        <v>1.6104741466900652</v>
      </c>
      <c r="NB27" s="1516">
        <f>('Bloom Cleaner Data'!AG27+'Bloom Cleaner Data'!FL27)/'Bloom Cleaner Data'!HI27</f>
        <v>1.8588386830381538</v>
      </c>
      <c r="NC27" s="1516">
        <f>('Bloom Cleaner Data'!AH27+'Bloom Cleaner Data'!FM27)/'Bloom Cleaner Data'!HJ27</f>
        <v>1.5425640777226721</v>
      </c>
      <c r="ND27" s="1516"/>
      <c r="NE27" s="1516">
        <f t="shared" si="43"/>
        <v>0.21496701274595686</v>
      </c>
      <c r="NF27" s="1516">
        <f>AVERAGE(NA27:NC27)</f>
        <v>1.6706256358169638</v>
      </c>
      <c r="NG27" s="1516">
        <f t="shared" si="44"/>
        <v>0.21353063902931768</v>
      </c>
      <c r="NH27" s="1516">
        <f>AVERAGE(MZ27:NC27)</f>
        <v>1.6454519062787329</v>
      </c>
      <c r="NI27" s="1516">
        <f>AVERAGE(MQ27:NC27)</f>
        <v>1.6761397981590398</v>
      </c>
      <c r="NJ27" s="1518">
        <f>(NC27-MQ27)/MQ27</f>
        <v>-0.31157763324421822</v>
      </c>
      <c r="NK27" s="1516">
        <f t="shared" si="45"/>
        <v>0.18285746469894537</v>
      </c>
      <c r="NL27" s="2820"/>
      <c r="NM27" s="1032" t="s">
        <v>354</v>
      </c>
      <c r="NN27" s="1516">
        <f>KW27+'Bloom Cleaner Data'!EY27/CALCULATIONS!DK27</f>
        <v>2.39230684872871</v>
      </c>
      <c r="NO27" s="1516">
        <f>KX27+'Bloom Cleaner Data'!EZ27/CALCULATIONS!DL27</f>
        <v>2.4147966908749177</v>
      </c>
      <c r="NP27" s="1516">
        <f>KY27+'Bloom Cleaner Data'!FA27/CALCULATIONS!DM27</f>
        <v>2.3434736362388566</v>
      </c>
      <c r="NQ27" s="1516">
        <f>KZ27+'Bloom Cleaner Data'!FB27/CALCULATIONS!DN27</f>
        <v>1.1688794971419161</v>
      </c>
      <c r="NR27" s="1516">
        <f>LA27+'Bloom Cleaner Data'!FC27/CALCULATIONS!DO27</f>
        <v>2.1156987271911349</v>
      </c>
      <c r="NS27" s="1516">
        <f>LB27+'Bloom Cleaner Data'!FD27/CALCULATIONS!DP27</f>
        <v>1.9192410155025439</v>
      </c>
      <c r="NT27" s="1516">
        <f>LC27+'Bloom Cleaner Data'!FE27/CALCULATIONS!DQ27</f>
        <v>1.8915719133319533</v>
      </c>
      <c r="NU27" s="1516">
        <f>LD27+'Bloom Cleaner Data'!FF27/CALCULATIONS!DR27</f>
        <v>1.7066378013473766</v>
      </c>
      <c r="NV27" s="1516">
        <f>LE27+'Bloom Cleaner Data'!FG27/CALCULATIONS!DS27</f>
        <v>2.049692775491339</v>
      </c>
      <c r="NW27" s="1516">
        <f>LF27+'Bloom Cleaner Data'!FH27/CALCULATIONS!DT27</f>
        <v>1.7933572566160332</v>
      </c>
      <c r="NX27" s="1516">
        <f>LG27+'Bloom Cleaner Data'!FI27/CALCULATIONS!DU27</f>
        <v>1.7819338759834651</v>
      </c>
      <c r="NY27" s="1516">
        <f>LH27+'Bloom Cleaner Data'!FJ27/CALCULATIONS!DV27</f>
        <v>1.8679965483712531</v>
      </c>
      <c r="NZ27" s="1516">
        <f>LI27+'Bloom Cleaner Data'!FK27/CALCULATIONS!DW27</f>
        <v>1.9278647771673325</v>
      </c>
      <c r="OA27" s="1516">
        <f>LJ27+'Bloom Cleaner Data'!FL27/CALCULATIONS!DX27</f>
        <v>2.1653559200384827</v>
      </c>
      <c r="OB27" s="1516">
        <f>LK27+'Bloom Cleaner Data'!FM27/CALCULATIONS!DY27</f>
        <v>1.8407910060455046</v>
      </c>
      <c r="OC27" s="1516"/>
      <c r="OD27" s="1516">
        <f t="shared" si="46"/>
        <v>0.20070156747981649</v>
      </c>
      <c r="OE27" s="1516">
        <f>AVERAGE(NZ27:OB27)</f>
        <v>1.9780039010837733</v>
      </c>
      <c r="OF27" s="1516">
        <f t="shared" si="47"/>
        <v>0.19846924585487469</v>
      </c>
      <c r="OG27" s="1516">
        <f>AVERAGE(NY27:OB27)</f>
        <v>1.9505020629056433</v>
      </c>
      <c r="OH27" s="1516">
        <f>AVERAGE(NP27:OB27)</f>
        <v>1.8901919038820916</v>
      </c>
      <c r="OI27" s="1518">
        <f>(OB27-NP27)/NP27</f>
        <v>-0.21450321540639533</v>
      </c>
      <c r="OJ27" s="1516">
        <f t="shared" si="48"/>
        <v>0.17362995953167193</v>
      </c>
      <c r="OK27" s="1516"/>
      <c r="OL27" s="1515">
        <f>'Bloom Cleaner Data'!GF27+('Bloom Cleaner Data'!T27+'Bloom Cleaner Data'!EY27)+'Bloom Cleaner Data'!CK27</f>
        <v>1640.3400000000001</v>
      </c>
      <c r="OM27" s="1515">
        <f>'Bloom Cleaner Data'!GG27+('Bloom Cleaner Data'!U27+'Bloom Cleaner Data'!EZ27)+'Bloom Cleaner Data'!CL27</f>
        <v>1665.9839999999999</v>
      </c>
      <c r="ON27" s="1515">
        <f>'Bloom Cleaner Data'!GH27+('Bloom Cleaner Data'!V27+'Bloom Cleaner Data'!FA27)+'Bloom Cleaner Data'!CM27</f>
        <v>1644.2329999999999</v>
      </c>
      <c r="OO27" s="1515">
        <f>'Bloom Cleaner Data'!GI27+('Bloom Cleaner Data'!W27+'Bloom Cleaner Data'!FB27)+'Bloom Cleaner Data'!CN27</f>
        <v>1277.07935</v>
      </c>
      <c r="OP27" s="1515">
        <f>'Bloom Cleaner Data'!GJ27+('Bloom Cleaner Data'!X27+'Bloom Cleaner Data'!FC27)+'Bloom Cleaner Data'!CO27</f>
        <v>1378.1660000000002</v>
      </c>
      <c r="OQ27" s="1515">
        <f>'Bloom Cleaner Data'!GK27+('Bloom Cleaner Data'!Y27+'Bloom Cleaner Data'!FD27)+'Bloom Cleaner Data'!CP27</f>
        <v>1339.6999999999998</v>
      </c>
      <c r="OR27" s="1515">
        <f>'Bloom Cleaner Data'!GL27+('Bloom Cleaner Data'!Z27+'Bloom Cleaner Data'!FE27)+'Bloom Cleaner Data'!CQ27</f>
        <v>1334.81</v>
      </c>
      <c r="OS27" s="1515">
        <f>'Bloom Cleaner Data'!GM27+('Bloom Cleaner Data'!AA27+'Bloom Cleaner Data'!FF27)+'Bloom Cleaner Data'!CR27</f>
        <v>1275.6770000000001</v>
      </c>
      <c r="OT27" s="1515">
        <f>'Bloom Cleaner Data'!GN27+('Bloom Cleaner Data'!AB27+'Bloom Cleaner Data'!FG27)+'Bloom Cleaner Data'!CS27</f>
        <v>1276.116</v>
      </c>
      <c r="OU27" s="1515">
        <f>'Bloom Cleaner Data'!GO27+('Bloom Cleaner Data'!AC27+'Bloom Cleaner Data'!FH27)+'Bloom Cleaner Data'!CT27</f>
        <v>1211.971</v>
      </c>
      <c r="OV27" s="1515">
        <f>'Bloom Cleaner Data'!GP27+('Bloom Cleaner Data'!AD27+'Bloom Cleaner Data'!FI27)+'Bloom Cleaner Data'!CU27</f>
        <v>1166.971</v>
      </c>
      <c r="OW27" s="1515">
        <f>'Bloom Cleaner Data'!GQ27+('Bloom Cleaner Data'!AE27+'Bloom Cleaner Data'!FJ27)+'Bloom Cleaner Data'!CV27</f>
        <v>1186.6420000000001</v>
      </c>
      <c r="OX27" s="1515">
        <f>'Bloom Cleaner Data'!GR27+('Bloom Cleaner Data'!AF27+'Bloom Cleaner Data'!FK27)+'Bloom Cleaner Data'!CW27</f>
        <v>1196.0059999999999</v>
      </c>
      <c r="OY27" s="1515">
        <f>'Bloom Cleaner Data'!GS27+('Bloom Cleaner Data'!AG27+'Bloom Cleaner Data'!FL27)+'Bloom Cleaner Data'!CX27</f>
        <v>1233.4409999999998</v>
      </c>
      <c r="OZ27" s="1515">
        <f>'Bloom Cleaner Data'!GT27+('Bloom Cleaner Data'!AH27+'Bloom Cleaner Data'!FM27)+'Bloom Cleaner Data'!CY27</f>
        <v>1200.9949999999999</v>
      </c>
      <c r="PA27" s="1516"/>
      <c r="PB27" s="1032" t="s">
        <v>354</v>
      </c>
      <c r="PC27" s="1518">
        <f>('Bloom Cleaner Data'!T27+'Bloom Cleaner Data'!EY27+'OPERATING LEASES'!BL27)/CALCULATIONS!OL27</f>
        <v>0.39459693896213149</v>
      </c>
      <c r="PD27" s="1518">
        <f>('Bloom Cleaner Data'!U27+'Bloom Cleaner Data'!EZ27+'OPERATING LEASES'!BM27)/CALCULATIONS!OM27</f>
        <v>0.38418530783780469</v>
      </c>
      <c r="PE27" s="1518">
        <f>('Bloom Cleaner Data'!V27+'Bloom Cleaner Data'!FA27+'OPERATING LEASES'!BN27)/CALCULATIONS!ON27</f>
        <v>0.37303290283589458</v>
      </c>
      <c r="PF27" s="1518">
        <f>('Bloom Cleaner Data'!W27+'Bloom Cleaner Data'!FB27+'OPERATING LEASES'!BO27)/CALCULATIONS!OO27</f>
        <v>0.21817864486203278</v>
      </c>
      <c r="PG27" s="1518">
        <f>('Bloom Cleaner Data'!X27+'Bloom Cleaner Data'!FC27+'OPERATING LEASES'!BP27)/CALCULATIONS!OP27</f>
        <v>0.41984410803923478</v>
      </c>
      <c r="PH27" s="1518">
        <f>('Bloom Cleaner Data'!Y27+'Bloom Cleaner Data'!FD27+'OPERATING LEASES'!BQ27)/CALCULATIONS!OQ27</f>
        <v>0.39586727672240057</v>
      </c>
      <c r="PI27" s="1518">
        <f>('Bloom Cleaner Data'!Z27+'Bloom Cleaner Data'!FE27+'OPERATING LEASES'!BR27)/CALCULATIONS!OR27</f>
        <v>0.3864489374892307</v>
      </c>
      <c r="PJ27" s="1518">
        <f>('Bloom Cleaner Data'!AA27+'Bloom Cleaner Data'!FF27+'OPERATING LEASES'!BS27)/CALCULATIONS!OS27</f>
        <v>0.36625213269111218</v>
      </c>
      <c r="PK27" s="1518">
        <f>('Bloom Cleaner Data'!AB27+'Bloom Cleaner Data'!FG27+'OPERATING LEASES'!BT27)/CALCULATIONS!OT27</f>
        <v>0.37153043884725218</v>
      </c>
      <c r="PL27" s="1518">
        <f>('Bloom Cleaner Data'!AC27+'Bloom Cleaner Data'!FH27+'OPERATING LEASES'!BU27)/CALCULATIONS!OU27</f>
        <v>0.32624992935061981</v>
      </c>
      <c r="PM27" s="1518">
        <f>('Bloom Cleaner Data'!AD27+'Bloom Cleaner Data'!FI27+'OPERATING LEASES'!BV27)/CALCULATIONS!OV27</f>
        <v>0.32876649783927792</v>
      </c>
      <c r="PN27" s="1518">
        <f>('Bloom Cleaner Data'!AE27+'Bloom Cleaner Data'!FJ27+'OPERATING LEASES'!BW27)/CALCULATIONS!OW27</f>
        <v>0.32955894395698115</v>
      </c>
      <c r="PO27" s="1518">
        <f>('Bloom Cleaner Data'!AF27+'Bloom Cleaner Data'!FK27+'OPERATING LEASES'!BX27)/CALCULATIONS!OX27</f>
        <v>0.334093641670694</v>
      </c>
      <c r="PP27" s="1518">
        <f>('Bloom Cleaner Data'!AG27+'Bloom Cleaner Data'!FL27+'OPERATING LEASES'!BY27)/CALCULATIONS!OY27</f>
        <v>0.36292858758546215</v>
      </c>
      <c r="PQ27" s="1518">
        <f>('Bloom Cleaner Data'!AH27+'Bloom Cleaner Data'!FM27+'OPERATING LEASES'!BZ27)/CALCULATIONS!OZ27</f>
        <v>0.34571750923192857</v>
      </c>
      <c r="PR27" s="1518"/>
      <c r="PS27" s="1518">
        <f>AVERAGE(PO27:PQ27)</f>
        <v>0.34757991282936151</v>
      </c>
      <c r="PT27" s="1518">
        <f>AVERAGE(PN27:PQ27)</f>
        <v>0.34307467061126651</v>
      </c>
      <c r="PU27" s="1518">
        <f>AVERAGE(PE27:PQ27)</f>
        <v>0.35065150393247085</v>
      </c>
      <c r="PV27" s="1517">
        <f t="shared" si="119"/>
        <v>-7.3225158950610464E-2</v>
      </c>
      <c r="PW27" s="1517"/>
      <c r="PX27" s="1521">
        <f>'Bloom Cleaner Data'!D27/'Bloom Cleaner Data'!GF27</f>
        <v>0.87686632733139902</v>
      </c>
      <c r="PY27" s="1521">
        <f>'Bloom Cleaner Data'!E27/'Bloom Cleaner Data'!GG27</f>
        <v>0.77986971868090649</v>
      </c>
      <c r="PZ27" s="1521">
        <f>'Bloom Cleaner Data'!F27/'Bloom Cleaner Data'!GH27</f>
        <v>0.61345264900025021</v>
      </c>
      <c r="QA27" s="1521">
        <f>'Bloom Cleaner Data'!G27/'Bloom Cleaner Data'!GI27</f>
        <v>0.58573722151975538</v>
      </c>
      <c r="QB27" s="1521">
        <f>'Bloom Cleaner Data'!H27/'Bloom Cleaner Data'!GJ27</f>
        <v>0.69257587161369227</v>
      </c>
      <c r="QC27" s="1521">
        <f>'Bloom Cleaner Data'!I27/'Bloom Cleaner Data'!GK27</f>
        <v>0.64350025828244017</v>
      </c>
      <c r="QD27" s="1521">
        <f>'Bloom Cleaner Data'!J27/'Bloom Cleaner Data'!GL27</f>
        <v>0.54882541802150553</v>
      </c>
      <c r="QE27" s="1521">
        <f>'Bloom Cleaner Data'!K27/'Bloom Cleaner Data'!GM27</f>
        <v>0.48762600870954648</v>
      </c>
      <c r="QF27" s="1521">
        <f>'Bloom Cleaner Data'!L27/'Bloom Cleaner Data'!GN27</f>
        <v>0.50254821992579191</v>
      </c>
      <c r="QG27" s="1521">
        <f>'Bloom Cleaner Data'!M27/'Bloom Cleaner Data'!GO27</f>
        <v>0.54088767335584176</v>
      </c>
      <c r="QH27" s="1521">
        <f>'Bloom Cleaner Data'!N27/'Bloom Cleaner Data'!GP27</f>
        <v>0.4966063982620274</v>
      </c>
      <c r="QI27" s="1521">
        <f>'Bloom Cleaner Data'!O27/'Bloom Cleaner Data'!GQ27</f>
        <v>0.61251364432340771</v>
      </c>
      <c r="QJ27" s="1521">
        <f>'Bloom Cleaner Data'!P27/'Bloom Cleaner Data'!GR27</f>
        <v>0.76296235379892652</v>
      </c>
      <c r="QK27" s="1521">
        <f>'Bloom Cleaner Data'!Q27/'Bloom Cleaner Data'!GS27</f>
        <v>0.67151946512718286</v>
      </c>
      <c r="QL27" s="1521">
        <f>'Bloom Cleaner Data'!R27/'Bloom Cleaner Data'!GT27</f>
        <v>0.84142190888560697</v>
      </c>
      <c r="QM27" s="1521"/>
      <c r="QN27" s="1521">
        <f>AVERAGE(PZ27:QL27)</f>
        <v>0.61539823775584435</v>
      </c>
      <c r="QO27" s="1517">
        <f t="shared" si="121"/>
        <v>0.37161671769920712</v>
      </c>
      <c r="QP27" s="1521">
        <f t="shared" si="122"/>
        <v>0.70873819316745246</v>
      </c>
      <c r="QQ27" s="1518"/>
      <c r="QR27" s="1521">
        <f>'Bloom Cleaner Data'!GF27/CALCULATIONS!DK27</f>
        <v>3.504710870418176</v>
      </c>
      <c r="QS27" s="1521">
        <f>'Bloom Cleaner Data'!GG27/CALCULATIONS!DL27</f>
        <v>3.6854819078250571</v>
      </c>
      <c r="QT27" s="1521">
        <f>'Bloom Cleaner Data'!GH27/CALCULATIONS!DM27</f>
        <v>3.7333757205636102</v>
      </c>
      <c r="QU27" s="1521">
        <f>'Bloom Cleaner Data'!GI27/CALCULATIONS!DN27</f>
        <v>3.7448316410499665</v>
      </c>
      <c r="QV27" s="1521">
        <f>'Bloom Cleaner Data'!GJ27/CALCULATIONS!DO27</f>
        <v>2.7556079603651717</v>
      </c>
      <c r="QW27" s="1521">
        <f>'Bloom Cleaner Data'!GK27/CALCULATIONS!DP27</f>
        <v>2.7178119887217567</v>
      </c>
      <c r="QX27" s="1521">
        <f>'Bloom Cleaner Data'!GL27/CALCULATIONS!DQ27</f>
        <v>2.7532038190048675</v>
      </c>
      <c r="QY27" s="1521">
        <f>'Bloom Cleaner Data'!GM27/CALCULATIONS!DR27</f>
        <v>2.6531837287776638</v>
      </c>
      <c r="QZ27" s="1521">
        <f>'Bloom Cleaner Data'!GN27/CALCULATIONS!DS27</f>
        <v>3.0889783031710922</v>
      </c>
      <c r="RA27" s="1521">
        <f>'Bloom Cleaner Data'!GO27/CALCULATIONS!DT27</f>
        <v>3.1807838589929327</v>
      </c>
      <c r="RB27" s="1521">
        <f>'Bloom Cleaner Data'!GP27/CALCULATIONS!DU27</f>
        <v>3.0744586587982954</v>
      </c>
      <c r="RC27" s="1521">
        <f>'Bloom Cleaner Data'!GQ27/CALCULATIONS!DV27</f>
        <v>3.1831620646993106</v>
      </c>
      <c r="RD27" s="1521">
        <f>'Bloom Cleaner Data'!GR27/CALCULATIONS!DW27</f>
        <v>3.194408152577989</v>
      </c>
      <c r="RE27" s="1521">
        <f>'Bloom Cleaner Data'!GS27/CALCULATIONS!DX27</f>
        <v>3.2256962856697351</v>
      </c>
      <c r="RF27" s="1521">
        <f>'Bloom Cleaner Data'!GT27/CALCULATIONS!DY27</f>
        <v>2.9175766217273207</v>
      </c>
      <c r="RG27" s="1521"/>
      <c r="RH27" s="1521">
        <f>AVERAGE(QT27:RF27)</f>
        <v>3.0940829849322853</v>
      </c>
      <c r="RI27" s="1521">
        <f t="shared" si="124"/>
        <v>3.0301612770465787</v>
      </c>
      <c r="RJ27" s="1518"/>
      <c r="RK27" s="1521">
        <f>'Bloom Cleaner Data'!GF27/($RK$1*DK27+(1-$RK$1)*'Bloom Cleaner Data'!GV27)</f>
        <v>3.504710870418176</v>
      </c>
      <c r="RL27" s="1521">
        <f>'Bloom Cleaner Data'!GG27/($RK$1*DL27+(1-$RK$1)*'Bloom Cleaner Data'!GW27)</f>
        <v>3.6854819078250571</v>
      </c>
      <c r="RM27" s="1521">
        <f>'Bloom Cleaner Data'!GH27/($RK$1*DM27+(1-$RK$1)*'Bloom Cleaner Data'!GX27)</f>
        <v>3.7333757205636102</v>
      </c>
      <c r="RN27" s="1521">
        <f>'Bloom Cleaner Data'!GI27/($RK$1*DN27+(1-$RK$1)*'Bloom Cleaner Data'!GY27)</f>
        <v>3.7448316410499665</v>
      </c>
      <c r="RO27" s="1521">
        <f>'Bloom Cleaner Data'!GJ27/($RK$1*DO27+(1-$RK$1)*'Bloom Cleaner Data'!GZ27)</f>
        <v>2.7556079603651717</v>
      </c>
      <c r="RP27" s="1521">
        <f>'Bloom Cleaner Data'!GK27/($RK$1*DP27+(1-$RK$1)*'Bloom Cleaner Data'!HA27)</f>
        <v>2.7178119887217567</v>
      </c>
      <c r="RQ27" s="1521">
        <f>'Bloom Cleaner Data'!GL27/($RK$1*DQ27+(1-$RK$1)*'Bloom Cleaner Data'!HB27)</f>
        <v>2.7532038190048675</v>
      </c>
      <c r="RR27" s="1521">
        <f>'Bloom Cleaner Data'!GM27/($RK$1*DR27+(1-$RK$1)*'Bloom Cleaner Data'!HC27)</f>
        <v>2.6531837287776638</v>
      </c>
      <c r="RS27" s="1521">
        <f>'Bloom Cleaner Data'!GN27/($RK$1*DS27+(1-$RK$1)*'Bloom Cleaner Data'!HD27)</f>
        <v>3.0889783031710922</v>
      </c>
      <c r="RT27" s="1521">
        <f>'Bloom Cleaner Data'!GO27/($RK$1*DT27+(1-$RK$1)*'Bloom Cleaner Data'!HE27)</f>
        <v>3.1807838589929327</v>
      </c>
      <c r="RU27" s="1521">
        <f>'Bloom Cleaner Data'!GP27/($RK$1*DU27+(1-$RK$1)*'Bloom Cleaner Data'!HF27)</f>
        <v>3.0744586587982954</v>
      </c>
      <c r="RV27" s="1521">
        <f>'Bloom Cleaner Data'!GQ27/($RK$1*DV27+(1-$RK$1)*'Bloom Cleaner Data'!HG27)</f>
        <v>3.1831620646993106</v>
      </c>
      <c r="RW27" s="1521">
        <f>'Bloom Cleaner Data'!GR27/($RK$1*DW27+(1-$RK$1)*'Bloom Cleaner Data'!HH27)</f>
        <v>3.194408152577989</v>
      </c>
      <c r="RX27" s="1521">
        <f>'Bloom Cleaner Data'!GS27/($RK$1*DX27+(1-$RK$1)*'Bloom Cleaner Data'!HI27)</f>
        <v>3.2256962856697351</v>
      </c>
      <c r="RY27" s="1521">
        <f>'Bloom Cleaner Data'!GT27/($RK$1*DY27+(1-$RK$1)*'Bloom Cleaner Data'!HJ27)</f>
        <v>2.9175766217273207</v>
      </c>
      <c r="RZ27" s="1521"/>
      <c r="SA27" s="1521">
        <f t="shared" si="125"/>
        <v>3.0940829849322853</v>
      </c>
      <c r="SB27" s="1521">
        <f t="shared" si="126"/>
        <v>3.0301612770465787</v>
      </c>
      <c r="SC27" s="1518"/>
      <c r="SD27" s="1516">
        <f>'Bloom Cleaner Data'!HM27</f>
        <v>6.0853000000000002</v>
      </c>
      <c r="SE27" s="1516">
        <f>'Bloom Cleaner Data'!HN27</f>
        <v>5.8943000000000003</v>
      </c>
      <c r="SF27" s="1516">
        <f>'Bloom Cleaner Data'!HO27</f>
        <v>6.2850999999999999</v>
      </c>
      <c r="SG27" s="1516">
        <f>'Bloom Cleaner Data'!HP27</f>
        <v>9.8435000000000006</v>
      </c>
      <c r="SH27" s="1516">
        <f>'Bloom Cleaner Data'!HQ27</f>
        <v>6.6367000000000003</v>
      </c>
      <c r="SI27" s="1516">
        <f>'Bloom Cleaner Data'!HR27</f>
        <v>6.2824999999999998</v>
      </c>
      <c r="SJ27" s="1516">
        <f>'Bloom Cleaner Data'!HS27</f>
        <v>6.0678000000000001</v>
      </c>
      <c r="SK27" s="1516">
        <f>'Bloom Cleaner Data'!HT27</f>
        <v>5.6652000000000005</v>
      </c>
      <c r="SL27" s="1516">
        <f>'Bloom Cleaner Data'!HU27</f>
        <v>7.8646000000000003</v>
      </c>
      <c r="SM27" s="1516">
        <f>'Bloom Cleaner Data'!HV27</f>
        <v>10.9094</v>
      </c>
      <c r="SN27" s="1516">
        <f>'Bloom Cleaner Data'!HW27</f>
        <v>8.6117000000000008</v>
      </c>
      <c r="SO27" s="1516">
        <f>'Bloom Cleaner Data'!HX27</f>
        <v>6.3845999999999998</v>
      </c>
      <c r="SP27" s="1516">
        <f>'Bloom Cleaner Data'!HY27</f>
        <v>10.125500000000001</v>
      </c>
      <c r="SQ27" s="1516">
        <f>'Bloom Cleaner Data'!HZ27</f>
        <v>9.4055999999999997</v>
      </c>
      <c r="SR27" s="1516">
        <f>'Bloom Cleaner Data'!IA27</f>
        <v>9.4055999999999997</v>
      </c>
      <c r="SS27" s="1516"/>
      <c r="ST27" s="1516">
        <f t="shared" si="127"/>
        <v>7.6978266666666668</v>
      </c>
      <c r="SU27" s="1528">
        <f t="shared" si="128"/>
        <v>0.49649170259820846</v>
      </c>
      <c r="SV27" s="1516">
        <f t="shared" si="129"/>
        <v>3.1204999999999998</v>
      </c>
      <c r="SX27" s="2680"/>
    </row>
    <row r="28" spans="1:518" s="2580" customFormat="1">
      <c r="A28" s="11"/>
      <c r="B28" s="3281" t="s">
        <v>1572</v>
      </c>
      <c r="C28" s="2211"/>
      <c r="D28" s="174"/>
      <c r="E28" s="11"/>
      <c r="F28" s="11"/>
      <c r="G28" s="165"/>
      <c r="H28" s="165"/>
      <c r="I28" s="165"/>
      <c r="J28" s="165"/>
      <c r="K28" s="165"/>
      <c r="L28" s="165"/>
      <c r="M28" s="165"/>
      <c r="N28" s="165"/>
      <c r="O28" s="165"/>
      <c r="P28" s="165"/>
      <c r="Q28" s="165"/>
      <c r="R28" s="2668"/>
      <c r="S28" s="947"/>
      <c r="T28" s="2668"/>
      <c r="U28" s="2668"/>
      <c r="V28" s="11"/>
      <c r="W28" s="2669"/>
      <c r="X28" s="2669"/>
      <c r="Y28" s="2669"/>
      <c r="Z28" s="2669"/>
      <c r="AA28" s="2669"/>
      <c r="AB28" s="2669"/>
      <c r="AC28" s="2669"/>
      <c r="AD28" s="2669"/>
      <c r="AE28" s="2669"/>
      <c r="AF28" s="2669"/>
      <c r="AG28" s="2669"/>
      <c r="AH28" s="2669"/>
      <c r="AI28" s="2669"/>
      <c r="AJ28" s="2669"/>
      <c r="AK28" s="2669"/>
      <c r="AL28" s="165"/>
      <c r="AM28" s="165"/>
      <c r="AN28" s="947"/>
      <c r="AO28" s="947"/>
      <c r="AP28" s="165"/>
      <c r="AQ28" s="165"/>
      <c r="AR28" s="165"/>
      <c r="AS28" s="165"/>
      <c r="AT28" s="165"/>
      <c r="AU28" s="165"/>
      <c r="AV28" s="165"/>
      <c r="AW28" s="165"/>
      <c r="AX28" s="165"/>
      <c r="AY28" s="165"/>
      <c r="AZ28" s="2668"/>
      <c r="BA28" s="2668"/>
      <c r="BB28" s="165"/>
      <c r="BC28" s="165"/>
      <c r="BD28" s="165"/>
      <c r="BE28" s="165"/>
      <c r="BF28" s="165"/>
      <c r="BG28" s="165"/>
      <c r="BH28" s="165"/>
      <c r="BI28" s="165"/>
      <c r="BJ28" s="165"/>
      <c r="BK28" s="165"/>
      <c r="BL28" s="165"/>
      <c r="BM28" s="165"/>
      <c r="BN28" s="165"/>
      <c r="BO28" s="165"/>
      <c r="BP28" s="165"/>
      <c r="BQ28" s="165"/>
      <c r="BR28" s="2670"/>
      <c r="BS28" s="2668"/>
      <c r="BT28" s="2668"/>
      <c r="BU28" s="165"/>
      <c r="BV28" s="165"/>
      <c r="BW28" s="165"/>
      <c r="BX28" s="165"/>
      <c r="BY28" s="165"/>
      <c r="BZ28" s="165"/>
      <c r="CA28" s="165"/>
      <c r="CB28" s="165"/>
      <c r="CC28" s="165"/>
      <c r="CD28" s="165"/>
      <c r="CE28" s="165"/>
      <c r="CF28" s="165"/>
      <c r="CG28" s="165"/>
      <c r="CH28" s="165"/>
      <c r="CI28" s="165"/>
      <c r="CJ28" s="165"/>
      <c r="CK28" s="2670"/>
      <c r="CL28" s="2668"/>
      <c r="CM28" s="947"/>
      <c r="CN28" s="165"/>
      <c r="CO28" s="947"/>
      <c r="CP28" s="947"/>
      <c r="CQ28" s="947"/>
      <c r="CR28" s="947"/>
      <c r="CS28" s="947"/>
      <c r="CT28" s="947"/>
      <c r="CU28" s="947"/>
      <c r="CV28" s="947"/>
      <c r="CW28" s="947"/>
      <c r="CX28" s="947"/>
      <c r="CY28" s="947"/>
      <c r="CZ28" s="947"/>
      <c r="DA28" s="947"/>
      <c r="DB28" s="947"/>
      <c r="DC28" s="947"/>
      <c r="DD28" s="947"/>
      <c r="DE28" s="947"/>
      <c r="DF28" s="165"/>
      <c r="DG28" s="165"/>
      <c r="DH28" s="947"/>
      <c r="DI28" s="947"/>
      <c r="DJ28" s="165"/>
      <c r="DK28" s="165"/>
      <c r="DL28" s="165"/>
      <c r="DM28" s="165"/>
      <c r="DN28" s="165"/>
      <c r="DO28" s="165"/>
      <c r="DP28" s="165"/>
      <c r="DQ28" s="165"/>
      <c r="DR28" s="165"/>
      <c r="DS28" s="165"/>
      <c r="DT28" s="165"/>
      <c r="DU28" s="165"/>
      <c r="DV28" s="165"/>
      <c r="DW28" s="165"/>
      <c r="DX28" s="165"/>
      <c r="DY28" s="165"/>
      <c r="DZ28" s="165"/>
      <c r="EA28" s="2670"/>
      <c r="EB28" s="2668"/>
      <c r="EC28" s="947"/>
      <c r="ED28" s="947"/>
      <c r="EE28" s="165"/>
      <c r="EF28" s="22"/>
      <c r="EG28" s="22"/>
      <c r="EH28" s="22"/>
      <c r="EI28" s="22"/>
      <c r="EJ28" s="22"/>
      <c r="EK28" s="22"/>
      <c r="EL28" s="2124"/>
      <c r="EM28" s="165"/>
      <c r="EN28" s="165"/>
      <c r="EO28" s="165"/>
      <c r="EP28" s="166"/>
      <c r="EQ28" s="166"/>
      <c r="ER28" s="166"/>
      <c r="ES28" s="166"/>
      <c r="ET28" s="166"/>
      <c r="EU28" s="166"/>
      <c r="EV28" s="166"/>
      <c r="EW28" s="166"/>
      <c r="EX28" s="166"/>
      <c r="EY28" s="166"/>
      <c r="EZ28" s="166"/>
      <c r="FA28" s="166"/>
      <c r="FB28" s="166"/>
      <c r="FC28" s="166"/>
      <c r="FD28" s="166"/>
      <c r="FE28" s="947"/>
      <c r="FF28" s="947"/>
      <c r="FG28" s="2206"/>
      <c r="FH28" s="166"/>
      <c r="FI28" s="166"/>
      <c r="FJ28" s="166"/>
      <c r="FK28" s="166"/>
      <c r="FL28" s="166"/>
      <c r="FM28" s="166"/>
      <c r="FN28" s="166"/>
      <c r="FO28" s="166"/>
      <c r="FP28" s="166"/>
      <c r="FQ28" s="166"/>
      <c r="FR28" s="166"/>
      <c r="FS28" s="166"/>
      <c r="FT28" s="166"/>
      <c r="FU28" s="166"/>
      <c r="FV28" s="166"/>
      <c r="FW28" s="166"/>
      <c r="FX28" s="1030"/>
      <c r="FY28" s="2668"/>
      <c r="FZ28" s="166"/>
      <c r="GA28" s="166"/>
      <c r="GB28" s="166"/>
      <c r="GC28" s="166"/>
      <c r="GD28" s="165"/>
      <c r="GE28" s="166"/>
      <c r="GF28" s="166"/>
      <c r="GG28" s="166"/>
      <c r="GH28" s="166"/>
      <c r="GI28" s="166"/>
      <c r="GJ28" s="166"/>
      <c r="GK28" s="166"/>
      <c r="GL28" s="166"/>
      <c r="GM28" s="166"/>
      <c r="GN28" s="166"/>
      <c r="GO28" s="166"/>
      <c r="GP28" s="166"/>
      <c r="GQ28" s="166"/>
      <c r="GR28" s="166"/>
      <c r="GS28" s="166"/>
      <c r="GT28" s="166"/>
      <c r="GU28" s="166"/>
      <c r="GV28" s="2668"/>
      <c r="GW28" s="1030"/>
      <c r="GX28" s="72"/>
      <c r="GY28" s="2668"/>
      <c r="GZ28" s="2668"/>
      <c r="HA28" s="2668"/>
      <c r="HB28" s="2668"/>
      <c r="HC28" s="2668"/>
      <c r="HD28" s="2668"/>
      <c r="HE28" s="2668"/>
      <c r="HF28" s="2668"/>
      <c r="HG28" s="2668"/>
      <c r="HH28" s="2668"/>
      <c r="HI28" s="2668"/>
      <c r="HJ28" s="2668"/>
      <c r="HK28" s="2668"/>
      <c r="HL28" s="2668"/>
      <c r="HM28" s="2668"/>
      <c r="HN28" s="166"/>
      <c r="HO28" s="2668"/>
      <c r="HP28" s="2668"/>
      <c r="HQ28" s="2668"/>
      <c r="HR28" s="174"/>
      <c r="HS28" s="174"/>
      <c r="HT28" s="174"/>
      <c r="HU28" s="174"/>
      <c r="HV28" s="174"/>
      <c r="HW28" s="2671"/>
      <c r="HX28" s="2671"/>
      <c r="HY28" s="2671"/>
      <c r="HZ28" s="2671"/>
      <c r="IA28" s="2671"/>
      <c r="IB28" s="2671"/>
      <c r="IC28" s="2671"/>
      <c r="ID28" s="2671"/>
      <c r="IE28" s="2671"/>
      <c r="IF28" s="2671"/>
      <c r="IG28" s="166"/>
      <c r="IH28" s="2668"/>
      <c r="II28" s="2668"/>
      <c r="IJ28" s="2668"/>
      <c r="IK28" s="947"/>
      <c r="IL28" s="947"/>
      <c r="IM28" s="947"/>
      <c r="IN28" s="947"/>
      <c r="IO28" s="947"/>
      <c r="IP28" s="947"/>
      <c r="IQ28" s="947"/>
      <c r="IR28" s="947"/>
      <c r="IS28" s="947"/>
      <c r="IT28" s="947"/>
      <c r="IU28" s="947"/>
      <c r="IV28" s="947"/>
      <c r="IW28" s="947"/>
      <c r="IX28" s="947"/>
      <c r="IY28" s="947"/>
      <c r="IZ28" s="166"/>
      <c r="JA28" s="2668"/>
      <c r="JB28" s="2668"/>
      <c r="JC28" s="2668"/>
      <c r="JD28" s="2668"/>
      <c r="JE28" s="11"/>
      <c r="JF28" s="174"/>
      <c r="JG28" s="174"/>
      <c r="JH28" s="174"/>
      <c r="JI28" s="2671"/>
      <c r="JJ28" s="236"/>
      <c r="JK28" s="236"/>
      <c r="JL28" s="236"/>
      <c r="JM28" s="236"/>
      <c r="JN28" s="236"/>
      <c r="JO28" s="236"/>
      <c r="JP28" s="236"/>
      <c r="JQ28" s="236"/>
      <c r="JR28" s="236"/>
      <c r="JS28" s="236"/>
      <c r="JT28" s="236"/>
      <c r="JU28" s="166"/>
      <c r="JV28" s="2668"/>
      <c r="JW28" s="2668"/>
      <c r="JX28" s="2668"/>
      <c r="JY28" s="2668"/>
      <c r="JZ28" s="11"/>
      <c r="KA28" s="166"/>
      <c r="KB28" s="166"/>
      <c r="KC28" s="166"/>
      <c r="KD28" s="166"/>
      <c r="KE28" s="166"/>
      <c r="KF28" s="166"/>
      <c r="KG28" s="166"/>
      <c r="KH28" s="166"/>
      <c r="KI28" s="166"/>
      <c r="KJ28" s="166"/>
      <c r="KK28" s="166"/>
      <c r="KL28" s="166"/>
      <c r="KM28" s="166"/>
      <c r="KN28" s="166"/>
      <c r="KO28" s="166"/>
      <c r="KP28" s="166"/>
      <c r="KQ28" s="166"/>
      <c r="KR28" s="166"/>
      <c r="KS28" s="166"/>
      <c r="KT28" s="947"/>
      <c r="KU28" s="947"/>
      <c r="KV28" s="11"/>
      <c r="KW28" s="1030"/>
      <c r="KX28" s="1030"/>
      <c r="KY28" s="1030"/>
      <c r="KZ28" s="1030"/>
      <c r="LA28" s="1030"/>
      <c r="LB28" s="1030"/>
      <c r="LC28" s="1030"/>
      <c r="LD28" s="1030"/>
      <c r="LE28" s="1030"/>
      <c r="LF28" s="1030"/>
      <c r="LG28" s="1030"/>
      <c r="LH28" s="1030"/>
      <c r="LI28" s="1030"/>
      <c r="LJ28" s="1030"/>
      <c r="LK28" s="1030"/>
      <c r="LL28" s="166"/>
      <c r="LM28" s="166"/>
      <c r="LN28" s="166"/>
      <c r="LO28" s="166">
        <f t="shared" si="85"/>
        <v>0</v>
      </c>
      <c r="LP28" s="166"/>
      <c r="LQ28" s="947"/>
      <c r="LR28" s="166"/>
      <c r="LS28" s="947"/>
      <c r="LT28" s="166"/>
      <c r="LU28" s="166"/>
      <c r="LV28" s="166"/>
      <c r="LW28" s="166"/>
      <c r="LX28" s="166"/>
      <c r="LY28" s="166"/>
      <c r="LZ28" s="166"/>
      <c r="MA28" s="166"/>
      <c r="MB28" s="166"/>
      <c r="MC28" s="166"/>
      <c r="MD28" s="166"/>
      <c r="ME28" s="166"/>
      <c r="MF28" s="166"/>
      <c r="MG28" s="166"/>
      <c r="MH28" s="166"/>
      <c r="MI28" s="166"/>
      <c r="MJ28" s="166"/>
      <c r="MK28" s="166"/>
      <c r="ML28" s="1030"/>
      <c r="MM28" s="2668"/>
      <c r="MN28" s="947"/>
      <c r="MO28" s="166"/>
      <c r="MP28" s="166"/>
      <c r="MQ28" s="166"/>
      <c r="MR28" s="166"/>
      <c r="MS28" s="166"/>
      <c r="MT28" s="166"/>
      <c r="MU28" s="166"/>
      <c r="MV28" s="166"/>
      <c r="MW28" s="166"/>
      <c r="MX28" s="166"/>
      <c r="MY28" s="166"/>
      <c r="MZ28" s="166"/>
      <c r="NA28" s="166"/>
      <c r="NB28" s="166"/>
      <c r="NC28" s="166"/>
      <c r="ND28" s="166"/>
      <c r="NE28" s="166"/>
      <c r="NF28" s="166"/>
      <c r="NG28" s="166"/>
      <c r="NH28" s="166"/>
      <c r="NI28" s="166"/>
      <c r="NJ28" s="947"/>
      <c r="NK28" s="166"/>
      <c r="NL28" s="2821"/>
      <c r="NM28" s="11"/>
      <c r="NN28" s="166"/>
      <c r="NO28" s="166"/>
      <c r="NP28" s="166"/>
      <c r="NQ28" s="166"/>
      <c r="NR28" s="166"/>
      <c r="NS28" s="166"/>
      <c r="NT28" s="166"/>
      <c r="NU28" s="166"/>
      <c r="NV28" s="166"/>
      <c r="NW28" s="166"/>
      <c r="NX28" s="166"/>
      <c r="NY28" s="166"/>
      <c r="NZ28" s="166"/>
      <c r="OA28" s="166"/>
      <c r="OB28" s="166"/>
      <c r="OC28" s="166"/>
      <c r="OD28" s="166"/>
      <c r="OE28" s="166"/>
      <c r="OF28" s="166"/>
      <c r="OG28" s="166"/>
      <c r="OH28" s="166"/>
      <c r="OI28" s="947"/>
      <c r="OJ28" s="166"/>
      <c r="OK28" s="166"/>
      <c r="OL28" s="165"/>
      <c r="OM28" s="165"/>
      <c r="ON28" s="165"/>
      <c r="OO28" s="165"/>
      <c r="OP28" s="165"/>
      <c r="OQ28" s="165"/>
      <c r="OR28" s="165"/>
      <c r="OS28" s="165"/>
      <c r="OT28" s="165"/>
      <c r="OU28" s="165"/>
      <c r="OV28" s="165"/>
      <c r="OW28" s="165"/>
      <c r="OX28" s="165"/>
      <c r="OY28" s="165"/>
      <c r="OZ28" s="165"/>
      <c r="PA28" s="166"/>
      <c r="PB28" s="11"/>
      <c r="PC28" s="947"/>
      <c r="PD28" s="947"/>
      <c r="PE28" s="947"/>
      <c r="PF28" s="947"/>
      <c r="PG28" s="947"/>
      <c r="PH28" s="947"/>
      <c r="PI28" s="947"/>
      <c r="PJ28" s="947"/>
      <c r="PK28" s="947"/>
      <c r="PL28" s="947"/>
      <c r="PM28" s="947"/>
      <c r="PN28" s="947"/>
      <c r="PO28" s="947"/>
      <c r="PP28" s="947"/>
      <c r="PQ28" s="947"/>
      <c r="PR28" s="947"/>
      <c r="PS28" s="947"/>
      <c r="PT28" s="947"/>
      <c r="PU28" s="947"/>
      <c r="PV28" s="2668"/>
      <c r="PW28" s="2668"/>
      <c r="PX28" s="1030"/>
      <c r="PY28" s="1030"/>
      <c r="PZ28" s="1030"/>
      <c r="QA28" s="1030"/>
      <c r="QB28" s="1030"/>
      <c r="QC28" s="1030"/>
      <c r="QD28" s="1030"/>
      <c r="QE28" s="1030"/>
      <c r="QF28" s="1030"/>
      <c r="QG28" s="1030"/>
      <c r="QH28" s="1030"/>
      <c r="QI28" s="1030"/>
      <c r="QJ28" s="1030"/>
      <c r="QK28" s="1030"/>
      <c r="QL28" s="1030"/>
      <c r="QM28" s="1030"/>
      <c r="QN28" s="1030"/>
      <c r="QO28" s="2668"/>
      <c r="QP28" s="1030"/>
      <c r="QQ28" s="947"/>
      <c r="QR28" s="1030"/>
      <c r="QS28" s="1030"/>
      <c r="QT28" s="1030"/>
      <c r="QU28" s="1030"/>
      <c r="QV28" s="1030"/>
      <c r="QW28" s="1030"/>
      <c r="QX28" s="1030"/>
      <c r="QY28" s="1030"/>
      <c r="QZ28" s="1030"/>
      <c r="RA28" s="1030"/>
      <c r="RB28" s="1030"/>
      <c r="RC28" s="1030"/>
      <c r="RD28" s="1030"/>
      <c r="RE28" s="1030"/>
      <c r="RF28" s="1030"/>
      <c r="RG28" s="1030"/>
      <c r="RH28" s="1030"/>
      <c r="RI28" s="1030"/>
      <c r="RJ28" s="947"/>
      <c r="RK28" s="1030"/>
      <c r="RL28" s="1030"/>
      <c r="RM28" s="1030"/>
      <c r="RN28" s="1030"/>
      <c r="RO28" s="1030"/>
      <c r="RP28" s="1030"/>
      <c r="RQ28" s="1030"/>
      <c r="RR28" s="1030"/>
      <c r="RS28" s="1030"/>
      <c r="RT28" s="1030"/>
      <c r="RU28" s="1030"/>
      <c r="RV28" s="1030"/>
      <c r="RW28" s="1030"/>
      <c r="RX28" s="1030"/>
      <c r="RY28" s="1030"/>
      <c r="RZ28" s="1030"/>
      <c r="SA28" s="1030"/>
      <c r="SB28" s="1030"/>
      <c r="SC28" s="947"/>
      <c r="SD28" s="947"/>
      <c r="SE28" s="947"/>
      <c r="SF28" s="947"/>
      <c r="SG28" s="947"/>
      <c r="SH28" s="947"/>
      <c r="SI28" s="947"/>
      <c r="SJ28" s="947"/>
      <c r="SK28" s="947"/>
      <c r="SL28" s="947"/>
      <c r="SM28" s="947"/>
      <c r="SN28" s="947"/>
      <c r="SO28" s="947"/>
      <c r="SP28" s="947"/>
      <c r="SQ28" s="947"/>
      <c r="SR28" s="166"/>
      <c r="SS28" s="166"/>
      <c r="ST28" s="166"/>
      <c r="SU28" s="2672"/>
      <c r="SV28" s="166"/>
      <c r="SX28" s="2563"/>
    </row>
    <row r="29" spans="1:518" s="2580" customFormat="1">
      <c r="A29" s="690" t="s">
        <v>1459</v>
      </c>
      <c r="B29" s="690">
        <f>SUM(B5:B27)</f>
        <v>6</v>
      </c>
      <c r="C29" s="2213" t="s">
        <v>1969</v>
      </c>
      <c r="D29" s="690"/>
      <c r="E29" s="690"/>
      <c r="F29" s="690"/>
      <c r="G29" s="704">
        <f>SUMPRODUCT($B$5:$B$27,G5:G27)/$B$29</f>
        <v>11687.654843268334</v>
      </c>
      <c r="H29" s="704">
        <f>SUMPRODUCT($B$5:$B$27,H5:H27)/$B$29</f>
        <v>10560.985408710001</v>
      </c>
      <c r="I29" s="704">
        <f t="shared" ref="I29:Q29" si="159">SUMPRODUCT($B$5:$B$27,I5:I27)/$B$29</f>
        <v>11384.588387633334</v>
      </c>
      <c r="J29" s="704">
        <f t="shared" si="159"/>
        <v>10814.211533293501</v>
      </c>
      <c r="K29" s="704">
        <f t="shared" si="159"/>
        <v>9781.4503317250419</v>
      </c>
      <c r="L29" s="704">
        <f t="shared" si="159"/>
        <v>9198.2051606062869</v>
      </c>
      <c r="M29" s="704">
        <f t="shared" si="159"/>
        <v>7725.086250991666</v>
      </c>
      <c r="N29" s="704">
        <f t="shared" si="159"/>
        <v>7346.1080811237953</v>
      </c>
      <c r="O29" s="704"/>
      <c r="P29" s="704">
        <f t="shared" si="159"/>
        <v>9544.3764505833751</v>
      </c>
      <c r="Q29" s="704">
        <f t="shared" si="159"/>
        <v>8089.79983090725</v>
      </c>
      <c r="R29" s="2675">
        <f t="shared" si="1"/>
        <v>-0.30441073471560598</v>
      </c>
      <c r="S29" s="690"/>
      <c r="T29" s="2675">
        <f>R29-$R$33</f>
        <v>-0.20263515580996705</v>
      </c>
      <c r="U29" s="2675"/>
      <c r="V29" s="690"/>
      <c r="W29" s="2676"/>
      <c r="X29" s="2676"/>
      <c r="Y29" s="2676"/>
      <c r="Z29" s="2676"/>
      <c r="AA29" s="2676"/>
      <c r="AB29" s="2676"/>
      <c r="AC29" s="2676"/>
      <c r="AD29" s="2676"/>
      <c r="AE29" s="2676"/>
      <c r="AF29" s="2676"/>
      <c r="AG29" s="2676"/>
      <c r="AH29" s="2676"/>
      <c r="AI29" s="2676"/>
      <c r="AJ29" s="2676"/>
      <c r="AK29" s="2676"/>
      <c r="AL29" s="690"/>
      <c r="AM29" s="690"/>
      <c r="AN29" s="690"/>
      <c r="AO29" s="690"/>
      <c r="AP29" s="690"/>
      <c r="AQ29" s="704">
        <f>SUMPRODUCT($B$5:$B$27,AQ5:AQ27)/$B$29</f>
        <v>21678.525500376669</v>
      </c>
      <c r="AR29" s="704">
        <f t="shared" ref="AR29:AY29" si="160">SUMPRODUCT($B$5:$B$27,AR5:AR27)/$B$29</f>
        <v>22141.263914299998</v>
      </c>
      <c r="AS29" s="704">
        <f t="shared" si="160"/>
        <v>21450.621046626835</v>
      </c>
      <c r="AT29" s="704">
        <f t="shared" si="160"/>
        <v>20349.35101487154</v>
      </c>
      <c r="AU29" s="704">
        <f t="shared" si="160"/>
        <v>20143.883913386682</v>
      </c>
      <c r="AV29" s="704">
        <f t="shared" si="160"/>
        <v>18075.209167658333</v>
      </c>
      <c r="AW29" s="704">
        <f t="shared" si="160"/>
        <v>17255.389385036298</v>
      </c>
      <c r="AX29" s="704"/>
      <c r="AY29" s="704">
        <f t="shared" si="160"/>
        <v>20156.320563179481</v>
      </c>
      <c r="AZ29" s="2675">
        <f t="shared" si="4"/>
        <v>-0.20403307020412978</v>
      </c>
      <c r="BA29" s="690"/>
      <c r="BB29" s="704"/>
      <c r="BC29" s="704"/>
      <c r="BD29" s="704"/>
      <c r="BE29" s="704"/>
      <c r="BF29" s="704"/>
      <c r="BG29" s="704"/>
      <c r="BH29" s="704"/>
      <c r="BI29" s="704"/>
      <c r="BJ29" s="704"/>
      <c r="BK29" s="704"/>
      <c r="BL29" s="704"/>
      <c r="BM29" s="704"/>
      <c r="BN29" s="704"/>
      <c r="BO29" s="704"/>
      <c r="BP29" s="704"/>
      <c r="BQ29" s="704"/>
      <c r="BR29" s="704"/>
      <c r="BS29" s="2675"/>
      <c r="BT29" s="690"/>
      <c r="BU29" s="704"/>
      <c r="BV29" s="704"/>
      <c r="BW29" s="704"/>
      <c r="BX29" s="704"/>
      <c r="BY29" s="704"/>
      <c r="BZ29" s="704"/>
      <c r="CA29" s="704"/>
      <c r="CB29" s="704"/>
      <c r="CC29" s="704"/>
      <c r="CD29" s="704"/>
      <c r="CE29" s="704"/>
      <c r="CF29" s="704"/>
      <c r="CG29" s="704"/>
      <c r="CH29" s="704"/>
      <c r="CI29" s="704"/>
      <c r="CJ29" s="704"/>
      <c r="CK29" s="704"/>
      <c r="CL29" s="2675"/>
      <c r="CM29" s="1220"/>
      <c r="CN29" s="690"/>
      <c r="CO29" s="696">
        <f>SUMPRODUCT($B$5:$B$27,CO5:CO27)/$B$29</f>
        <v>5.2418789467472875E-3</v>
      </c>
      <c r="CP29" s="696">
        <f t="shared" ref="CP29:DC29" si="161">SUMPRODUCT($B$5:$B$27,CP5:CP27)/$B$29</f>
        <v>5.3671996353278724E-3</v>
      </c>
      <c r="CQ29" s="696">
        <f t="shared" si="161"/>
        <v>5.8143172612325671E-3</v>
      </c>
      <c r="CR29" s="696">
        <f t="shared" si="161"/>
        <v>7.6587302638249461E-3</v>
      </c>
      <c r="CS29" s="696">
        <f t="shared" si="161"/>
        <v>1.2012731713491561E-2</v>
      </c>
      <c r="CT29" s="696">
        <f t="shared" si="161"/>
        <v>1.1220392841959118E-2</v>
      </c>
      <c r="CU29" s="696">
        <f t="shared" si="161"/>
        <v>1.1592239129154988E-2</v>
      </c>
      <c r="CV29" s="696">
        <f t="shared" si="161"/>
        <v>1.207917416755396E-2</v>
      </c>
      <c r="CW29" s="696">
        <f t="shared" si="161"/>
        <v>1.3054524651171259E-2</v>
      </c>
      <c r="CX29" s="696">
        <f t="shared" si="161"/>
        <v>1.2914335238848365E-2</v>
      </c>
      <c r="CY29" s="696">
        <f t="shared" si="161"/>
        <v>1.3207679883424195E-2</v>
      </c>
      <c r="CZ29" s="696">
        <f t="shared" si="161"/>
        <v>1.3173922225702758E-2</v>
      </c>
      <c r="DA29" s="696">
        <f t="shared" si="161"/>
        <v>1.3948976042317299E-2</v>
      </c>
      <c r="DB29" s="696">
        <f t="shared" si="161"/>
        <v>1.5372024213209601E-2</v>
      </c>
      <c r="DC29" s="696">
        <f t="shared" si="161"/>
        <v>1.4438107701918409E-2</v>
      </c>
      <c r="DD29" s="690"/>
      <c r="DE29" s="696">
        <f t="shared" si="55"/>
        <v>1.2037473487216078E-2</v>
      </c>
      <c r="DF29" s="690"/>
      <c r="DG29" s="690"/>
      <c r="DH29" s="690"/>
      <c r="DI29" s="690"/>
      <c r="DJ29" s="690"/>
      <c r="DK29" s="690"/>
      <c r="DL29" s="690"/>
      <c r="DM29" s="690"/>
      <c r="DN29" s="690"/>
      <c r="DO29" s="690"/>
      <c r="DP29" s="690"/>
      <c r="DQ29" s="690"/>
      <c r="DR29" s="690"/>
      <c r="DS29" s="690"/>
      <c r="DT29" s="690"/>
      <c r="DU29" s="690"/>
      <c r="DV29" s="690"/>
      <c r="DW29" s="690"/>
      <c r="DX29" s="690"/>
      <c r="DY29" s="690"/>
      <c r="DZ29" s="690"/>
      <c r="EA29" s="690"/>
      <c r="EB29" s="690"/>
      <c r="EC29" s="690"/>
      <c r="ED29" s="690"/>
      <c r="EE29" s="690"/>
      <c r="EF29" s="3979">
        <f>SUMPRODUCT($B$5:$B$27,EF5:EF27)/$B$29</f>
        <v>2.1392666666666664</v>
      </c>
      <c r="EG29" s="3979">
        <f>SUMPRODUCT($B$5:$B$27,EG5:EG27)/$B$29</f>
        <v>1.9911166666666666</v>
      </c>
      <c r="EH29" s="3979">
        <f>SUMPRODUCT($B$5:$B$27,EH5:EH27)/$B$29</f>
        <v>1.9204833333333333</v>
      </c>
      <c r="EI29" s="3979">
        <f>SUMPRODUCT($B$5:$B$27,EI5:EI27)/$B$29</f>
        <v>1.7384000000000002</v>
      </c>
      <c r="EJ29" s="3980"/>
      <c r="EK29" s="3981">
        <f>AVERAGE(EK4:EK25)</f>
        <v>2.0345847985347989</v>
      </c>
      <c r="EL29" s="2205">
        <f t="shared" si="5"/>
        <v>-0.18738508523169917</v>
      </c>
      <c r="EM29" s="690"/>
      <c r="EN29" s="705">
        <f>SUMPRODUCT($B$5:$B$27,EN5:EN27)/$B$29</f>
        <v>5.5904999999999996</v>
      </c>
      <c r="EO29" s="705">
        <f t="shared" ref="EO29:FB29" si="162">SUMPRODUCT($B$5:$B$27,EO5:EO27)/$B$29</f>
        <v>5.6212000000000009</v>
      </c>
      <c r="EP29" s="705">
        <f t="shared" si="162"/>
        <v>5.3325166666666668</v>
      </c>
      <c r="EQ29" s="705">
        <f t="shared" si="162"/>
        <v>5.6722000000000001</v>
      </c>
      <c r="ER29" s="705">
        <f t="shared" si="162"/>
        <v>5.3735166666666663</v>
      </c>
      <c r="ES29" s="705">
        <f t="shared" si="162"/>
        <v>5.3506999999999998</v>
      </c>
      <c r="ET29" s="705">
        <f t="shared" si="162"/>
        <v>5.2938000000000001</v>
      </c>
      <c r="EU29" s="705">
        <f t="shared" si="162"/>
        <v>5.2353499999999995</v>
      </c>
      <c r="EV29" s="705">
        <f t="shared" si="162"/>
        <v>5.0779166666666669</v>
      </c>
      <c r="EW29" s="705">
        <f t="shared" si="162"/>
        <v>5.1227333333333327</v>
      </c>
      <c r="EX29" s="705">
        <f t="shared" si="162"/>
        <v>5.0407333333333328</v>
      </c>
      <c r="EY29" s="705">
        <f t="shared" si="162"/>
        <v>4.9958166666666672</v>
      </c>
      <c r="EZ29" s="705">
        <f t="shared" si="162"/>
        <v>4.7747166666666665</v>
      </c>
      <c r="FA29" s="705">
        <f t="shared" si="162"/>
        <v>4.7017666666666669</v>
      </c>
      <c r="FB29" s="705">
        <f t="shared" si="162"/>
        <v>4.7909166666666669</v>
      </c>
      <c r="FC29" s="705"/>
      <c r="FD29" s="705">
        <f t="shared" si="59"/>
        <v>5.1355910256410251</v>
      </c>
      <c r="FE29" s="1220">
        <f>(FB29-EP29)/EP29</f>
        <v>-0.10156555222518446</v>
      </c>
      <c r="FF29" s="697">
        <f t="shared" si="60"/>
        <v>5.0384450000000003</v>
      </c>
      <c r="FG29" s="690"/>
      <c r="FH29" s="705">
        <f>SUMPRODUCT($B$5:$B$27,FH5:FH27)/$B$29</f>
        <v>5.5555155568487216</v>
      </c>
      <c r="FI29" s="705">
        <f t="shared" ref="FI29:FV29" si="163">SUMPRODUCT($B$5:$B$27,FI5:FI27)/$B$29</f>
        <v>5.5876844449509093</v>
      </c>
      <c r="FJ29" s="705">
        <f t="shared" si="163"/>
        <v>5.3217168317517727</v>
      </c>
      <c r="FK29" s="705">
        <f t="shared" si="163"/>
        <v>5.6641905109803972</v>
      </c>
      <c r="FL29" s="705">
        <f t="shared" si="163"/>
        <v>5.3985924195936184</v>
      </c>
      <c r="FM29" s="705">
        <f t="shared" si="163"/>
        <v>5.3830932759928096</v>
      </c>
      <c r="FN29" s="705">
        <f t="shared" si="163"/>
        <v>5.3221964096194876</v>
      </c>
      <c r="FO29" s="705">
        <f t="shared" si="163"/>
        <v>5.2657876404493882</v>
      </c>
      <c r="FP29" s="705">
        <f t="shared" si="163"/>
        <v>5.1195994081908163</v>
      </c>
      <c r="FQ29" s="705">
        <f t="shared" si="163"/>
        <v>5.1678374154480577</v>
      </c>
      <c r="FR29" s="705">
        <f t="shared" si="163"/>
        <v>5.0857768205831038</v>
      </c>
      <c r="FS29" s="705">
        <f t="shared" si="163"/>
        <v>5.0406711771818236</v>
      </c>
      <c r="FT29" s="705">
        <f t="shared" si="163"/>
        <v>4.8316919811840142</v>
      </c>
      <c r="FU29" s="705">
        <f t="shared" si="163"/>
        <v>4.7580865209943317</v>
      </c>
      <c r="FV29" s="705">
        <f t="shared" si="163"/>
        <v>4.8456170731365331</v>
      </c>
      <c r="FW29" s="705"/>
      <c r="FX29" s="698">
        <f>AVERAGE(FJ29:FV29)</f>
        <v>5.1696044219312416</v>
      </c>
      <c r="FY29" s="695">
        <f>(FV29-FJ29)/FJ29</f>
        <v>-8.9463564798226911E-2</v>
      </c>
      <c r="FZ29" s="697">
        <f>FX29-FD29</f>
        <v>3.4013396290216491E-2</v>
      </c>
      <c r="GA29" s="697">
        <f>AVERAGE(FM29:FV29)</f>
        <v>5.0820357722780365</v>
      </c>
      <c r="GB29" s="697">
        <f t="shared" si="64"/>
        <v>4.3590772278036205E-2</v>
      </c>
      <c r="GC29" s="697">
        <f>AVERAGE(FR29:FV29)-AVERAGE(EX29:FB29)</f>
        <v>5.1578714615962085E-2</v>
      </c>
      <c r="GD29" s="690"/>
      <c r="GE29" s="705">
        <f>SUMPRODUCT($B$5:$B$27,GE5:GE27)/$B$29</f>
        <v>5.5555155568487216</v>
      </c>
      <c r="GF29" s="705">
        <f t="shared" ref="GF29:GS29" si="164">SUMPRODUCT($B$5:$B$27,GF5:GF27)/$B$29</f>
        <v>5.5876844449509093</v>
      </c>
      <c r="GG29" s="705">
        <f t="shared" si="164"/>
        <v>5.3217168317517727</v>
      </c>
      <c r="GH29" s="705">
        <f t="shared" si="164"/>
        <v>5.6641905109803972</v>
      </c>
      <c r="GI29" s="705">
        <f t="shared" si="164"/>
        <v>5.3985924195936184</v>
      </c>
      <c r="GJ29" s="705">
        <f t="shared" si="164"/>
        <v>5.3830932759928096</v>
      </c>
      <c r="GK29" s="705">
        <f t="shared" si="164"/>
        <v>5.3221964096194876</v>
      </c>
      <c r="GL29" s="705">
        <f t="shared" si="164"/>
        <v>5.2657876404493882</v>
      </c>
      <c r="GM29" s="705">
        <f t="shared" si="164"/>
        <v>5.1195994081908163</v>
      </c>
      <c r="GN29" s="705">
        <f t="shared" si="164"/>
        <v>5.1678374154480577</v>
      </c>
      <c r="GO29" s="705">
        <f t="shared" si="164"/>
        <v>5.0857768205831038</v>
      </c>
      <c r="GP29" s="705">
        <f t="shared" si="164"/>
        <v>5.0406711771818236</v>
      </c>
      <c r="GQ29" s="705">
        <f t="shared" si="164"/>
        <v>4.8316919811840142</v>
      </c>
      <c r="GR29" s="705">
        <f t="shared" si="164"/>
        <v>4.7580865209943317</v>
      </c>
      <c r="GS29" s="705">
        <f t="shared" si="164"/>
        <v>4.8456170731365331</v>
      </c>
      <c r="GT29" s="705"/>
      <c r="GU29" s="697">
        <f t="shared" si="65"/>
        <v>5.2232038324603849</v>
      </c>
      <c r="GV29" s="695">
        <f>(GS29-GG29)/GG29</f>
        <v>-8.9463564798226911E-2</v>
      </c>
      <c r="GW29" s="698">
        <f>AVERAGE(GJ29:GS29)</f>
        <v>5.0820357722780365</v>
      </c>
      <c r="GX29" s="690"/>
      <c r="GY29" s="695">
        <f t="shared" ref="GY29:HM29" si="165">SUMPRODUCT($B$5:$B$27,GY5:GY27)/$B$29</f>
        <v>0.38310786771695077</v>
      </c>
      <c r="GZ29" s="695">
        <f t="shared" si="165"/>
        <v>0.37645665218618291</v>
      </c>
      <c r="HA29" s="695">
        <f t="shared" si="165"/>
        <v>0.40624945978870247</v>
      </c>
      <c r="HB29" s="695">
        <f t="shared" si="165"/>
        <v>0.38060397316991951</v>
      </c>
      <c r="HC29" s="695">
        <f t="shared" si="165"/>
        <v>0.37959387320356203</v>
      </c>
      <c r="HD29" s="695">
        <f t="shared" si="165"/>
        <v>0.36991799835529693</v>
      </c>
      <c r="HE29" s="695">
        <f t="shared" si="165"/>
        <v>0.38000842500871079</v>
      </c>
      <c r="HF29" s="695">
        <f t="shared" si="165"/>
        <v>0.40629571004172393</v>
      </c>
      <c r="HG29" s="695">
        <f t="shared" si="165"/>
        <v>0.39323915546361804</v>
      </c>
      <c r="HH29" s="695">
        <f t="shared" si="165"/>
        <v>0.41511273505931312</v>
      </c>
      <c r="HI29" s="695">
        <f t="shared" si="165"/>
        <v>0.43388007164048731</v>
      </c>
      <c r="HJ29" s="695">
        <f t="shared" si="165"/>
        <v>0.46147270342447055</v>
      </c>
      <c r="HK29" s="695">
        <f t="shared" si="165"/>
        <v>0.48145077311523948</v>
      </c>
      <c r="HL29" s="695">
        <f t="shared" si="165"/>
        <v>0.52152990788342091</v>
      </c>
      <c r="HM29" s="695">
        <f t="shared" si="165"/>
        <v>0.48983826545547227</v>
      </c>
      <c r="HN29" s="705"/>
      <c r="HO29" s="695">
        <f>AVERAGE(HA29:HM29)</f>
        <v>0.42455331166230287</v>
      </c>
      <c r="HP29" s="695">
        <f t="shared" si="69"/>
        <v>0.2057573337088148</v>
      </c>
      <c r="HQ29" s="690"/>
      <c r="HR29" s="695">
        <f t="shared" ref="HR29:IF29" si="166">SUMPRODUCT($B$5:$B$27,HR5:HR27)/$B$29</f>
        <v>0.72678702773573967</v>
      </c>
      <c r="HS29" s="695">
        <f t="shared" si="166"/>
        <v>0.71585071104385822</v>
      </c>
      <c r="HT29" s="695">
        <f t="shared" si="166"/>
        <v>0.84037951367265862</v>
      </c>
      <c r="HU29" s="695">
        <f t="shared" si="166"/>
        <v>0.73746665344137263</v>
      </c>
      <c r="HV29" s="695">
        <f t="shared" si="166"/>
        <v>0.73576562122400091</v>
      </c>
      <c r="HW29" s="695">
        <f t="shared" si="166"/>
        <v>0.68448767078263062</v>
      </c>
      <c r="HX29" s="695">
        <f t="shared" si="166"/>
        <v>0.76433228387212926</v>
      </c>
      <c r="HY29" s="695">
        <f t="shared" si="166"/>
        <v>0.86468079603012182</v>
      </c>
      <c r="HZ29" s="695">
        <f t="shared" si="166"/>
        <v>0.82531750069682708</v>
      </c>
      <c r="IA29" s="695">
        <f t="shared" si="166"/>
        <v>0.85425532479713073</v>
      </c>
      <c r="IB29" s="695">
        <f t="shared" si="166"/>
        <v>0.95924228166283532</v>
      </c>
      <c r="IC29" s="695">
        <f t="shared" si="166"/>
        <v>1.0684608208244284</v>
      </c>
      <c r="ID29" s="695">
        <f t="shared" si="166"/>
        <v>1.2355620209870255</v>
      </c>
      <c r="IE29" s="695">
        <f t="shared" si="166"/>
        <v>1.5840329360028476</v>
      </c>
      <c r="IF29" s="695">
        <f t="shared" si="166"/>
        <v>1.260639807460874</v>
      </c>
      <c r="IG29" s="705"/>
      <c r="IH29" s="695">
        <f>AVERAGE(HT29:IF29)</f>
        <v>0.95497101780422178</v>
      </c>
      <c r="II29" s="695">
        <f>(IF29-HT29)/HT29</f>
        <v>0.50008393463993173</v>
      </c>
      <c r="IJ29" s="690"/>
      <c r="IK29" s="695">
        <f t="shared" ref="IK29:IY29" si="167">SUMPRODUCT($B$5:$B$27,IK5:IK27)/$B$29</f>
        <v>0.40404391196080297</v>
      </c>
      <c r="IL29" s="695">
        <f t="shared" si="167"/>
        <v>0.39705272812854325</v>
      </c>
      <c r="IM29" s="695">
        <f t="shared" si="167"/>
        <v>0.42648353055923999</v>
      </c>
      <c r="IN29" s="695">
        <f t="shared" si="167"/>
        <v>0.4002093613944297</v>
      </c>
      <c r="IO29" s="695">
        <f t="shared" si="167"/>
        <v>0.40137590321510519</v>
      </c>
      <c r="IP29" s="695">
        <f t="shared" si="167"/>
        <v>0.39290978902064816</v>
      </c>
      <c r="IQ29" s="695">
        <f t="shared" si="167"/>
        <v>0.40415849611071392</v>
      </c>
      <c r="IR29" s="695">
        <f t="shared" si="167"/>
        <v>0.4302260434264859</v>
      </c>
      <c r="IS29" s="695">
        <f t="shared" si="167"/>
        <v>0.41852848293159944</v>
      </c>
      <c r="IT29" s="695">
        <f t="shared" si="167"/>
        <v>0.43955817346469123</v>
      </c>
      <c r="IU29" s="695">
        <f t="shared" si="167"/>
        <v>0.45791363761603138</v>
      </c>
      <c r="IV29" s="695">
        <f t="shared" si="167"/>
        <v>0.48444556915797254</v>
      </c>
      <c r="IW29" s="695">
        <f t="shared" si="167"/>
        <v>0.50497770903292927</v>
      </c>
      <c r="IX29" s="695">
        <f t="shared" si="167"/>
        <v>0.54470149781778388</v>
      </c>
      <c r="IY29" s="695">
        <f t="shared" si="167"/>
        <v>0.51631980082041551</v>
      </c>
      <c r="IZ29" s="705"/>
      <c r="JA29" s="695">
        <f>AVERAGE(IM29:IY29)</f>
        <v>0.44783138419754204</v>
      </c>
      <c r="JB29" s="695">
        <f>(IY29-IM29)/IM29</f>
        <v>0.21064417222248857</v>
      </c>
      <c r="JC29" s="695">
        <f>JA29-HO29</f>
        <v>2.3278072535239169E-2</v>
      </c>
      <c r="JD29" s="695">
        <f>JC29/HO29</f>
        <v>5.4829562968419274E-2</v>
      </c>
      <c r="JE29" s="690"/>
      <c r="JF29" s="695">
        <f t="shared" ref="JF29:JT29" si="168">SUMPRODUCT($B$5:$B$27,JF5:JF27)/$B$29</f>
        <v>0.7859203260333677</v>
      </c>
      <c r="JG29" s="695">
        <f t="shared" si="168"/>
        <v>0.77395252798652336</v>
      </c>
      <c r="JH29" s="695">
        <f t="shared" si="168"/>
        <v>0.90369999782923438</v>
      </c>
      <c r="JI29" s="695">
        <f t="shared" si="168"/>
        <v>0.79485563707361961</v>
      </c>
      <c r="JJ29" s="695">
        <f t="shared" si="168"/>
        <v>0.79653335400779479</v>
      </c>
      <c r="JK29" s="695">
        <f t="shared" si="168"/>
        <v>0.74834461602263358</v>
      </c>
      <c r="JL29" s="695">
        <f t="shared" si="168"/>
        <v>0.83108467752104287</v>
      </c>
      <c r="JM29" s="695">
        <f t="shared" si="168"/>
        <v>0.93632216688539993</v>
      </c>
      <c r="JN29" s="695">
        <f t="shared" si="168"/>
        <v>0.89981365857630513</v>
      </c>
      <c r="JO29" s="695">
        <f t="shared" si="168"/>
        <v>0.93480238053844433</v>
      </c>
      <c r="JP29" s="695">
        <f t="shared" si="168"/>
        <v>1.0438968997456912</v>
      </c>
      <c r="JQ29" s="695">
        <f t="shared" si="168"/>
        <v>1.1615579754628846</v>
      </c>
      <c r="JR29" s="695">
        <f t="shared" si="168"/>
        <v>1.3563765250234148</v>
      </c>
      <c r="JS29" s="695">
        <f t="shared" si="168"/>
        <v>1.7355311890614615</v>
      </c>
      <c r="JT29" s="695">
        <f t="shared" si="168"/>
        <v>1.3716195111221092</v>
      </c>
      <c r="JU29" s="705"/>
      <c r="JV29" s="695">
        <f>AVERAGE(JH29:JT29)</f>
        <v>1.0395721991438489</v>
      </c>
      <c r="JW29" s="695">
        <f>(JT29-JH29)/JH29</f>
        <v>0.51778191260026341</v>
      </c>
      <c r="JX29" s="695">
        <f>JV29-IH29</f>
        <v>8.4601181339627129E-2</v>
      </c>
      <c r="JY29" s="695">
        <f>JX29/IH29</f>
        <v>8.8590312964839296E-2</v>
      </c>
      <c r="JZ29" s="690"/>
      <c r="KA29" s="697">
        <f t="shared" ref="KA29:KO29" si="169">SUMPRODUCT($B$5:$B$27,KA5:KA27)/$B$29</f>
        <v>2.1608102142258572</v>
      </c>
      <c r="KB29" s="697">
        <f t="shared" si="169"/>
        <v>2.1404597628490722</v>
      </c>
      <c r="KC29" s="697">
        <f t="shared" si="169"/>
        <v>2.1985688365265097</v>
      </c>
      <c r="KD29" s="697">
        <f t="shared" si="169"/>
        <v>2.1534387063826412</v>
      </c>
      <c r="KE29" s="697">
        <f t="shared" si="169"/>
        <v>2.0018618007112594</v>
      </c>
      <c r="KF29" s="697">
        <f t="shared" si="169"/>
        <v>1.940268294238128</v>
      </c>
      <c r="KG29" s="697">
        <f t="shared" si="169"/>
        <v>1.9799210665224543</v>
      </c>
      <c r="KH29" s="697">
        <f t="shared" si="169"/>
        <v>2.0326978693793847</v>
      </c>
      <c r="KI29" s="697">
        <f t="shared" si="169"/>
        <v>1.9333410708227625</v>
      </c>
      <c r="KJ29" s="697">
        <f t="shared" si="169"/>
        <v>2.0338393586106052</v>
      </c>
      <c r="KK29" s="697">
        <f t="shared" si="169"/>
        <v>2.1092913550333372</v>
      </c>
      <c r="KL29" s="697">
        <f t="shared" si="169"/>
        <v>2.1625670719571493</v>
      </c>
      <c r="KM29" s="697">
        <f t="shared" si="169"/>
        <v>2.1320779821814453</v>
      </c>
      <c r="KN29" s="697">
        <f t="shared" si="169"/>
        <v>2.2336296848491739</v>
      </c>
      <c r="KO29" s="697">
        <f t="shared" si="169"/>
        <v>2.1713169606020295</v>
      </c>
      <c r="KP29" s="705"/>
      <c r="KQ29" s="697">
        <f>AVERAGE(KM29:KO29)</f>
        <v>2.1790082092108829</v>
      </c>
      <c r="KR29" s="697">
        <f>AVERAGE(KL29:KO29)</f>
        <v>2.1748979248974494</v>
      </c>
      <c r="KS29" s="697">
        <f>AVERAGE(KC29:KO29)</f>
        <v>2.083293850601299</v>
      </c>
      <c r="KT29" s="696">
        <f>(KO29-KC29)/KC29</f>
        <v>-1.239527981645327E-2</v>
      </c>
      <c r="KU29" s="690"/>
      <c r="KV29" s="690"/>
      <c r="KW29" s="697">
        <f t="shared" ref="KW29:LK29" si="170">SUMPRODUCT($B$5:$B$27,KW5:KW27)/$B$29</f>
        <v>2.2757434194775352</v>
      </c>
      <c r="KX29" s="697">
        <f t="shared" si="170"/>
        <v>2.2556905609759763</v>
      </c>
      <c r="KY29" s="697">
        <f t="shared" si="170"/>
        <v>2.3133161490653715</v>
      </c>
      <c r="KZ29" s="697">
        <f t="shared" si="170"/>
        <v>2.272213234174107</v>
      </c>
      <c r="LA29" s="697">
        <f t="shared" si="170"/>
        <v>2.1337517114073719</v>
      </c>
      <c r="LB29" s="697">
        <f t="shared" si="170"/>
        <v>2.0773136717260394</v>
      </c>
      <c r="LC29" s="697">
        <f t="shared" si="170"/>
        <v>2.1239788046042096</v>
      </c>
      <c r="LD29" s="697">
        <f t="shared" si="170"/>
        <v>2.1784473606605457</v>
      </c>
      <c r="LE29" s="697">
        <f t="shared" si="170"/>
        <v>2.0817271589587243</v>
      </c>
      <c r="LF29" s="697">
        <f t="shared" si="170"/>
        <v>2.1805850609441468</v>
      </c>
      <c r="LG29" s="697">
        <f t="shared" si="170"/>
        <v>2.2530447745650073</v>
      </c>
      <c r="LH29" s="697">
        <f t="shared" si="170"/>
        <v>2.3056864627944895</v>
      </c>
      <c r="LI29" s="697">
        <f t="shared" si="170"/>
        <v>2.2811381966699202</v>
      </c>
      <c r="LJ29" s="697">
        <f t="shared" si="170"/>
        <v>2.3822084560957602</v>
      </c>
      <c r="LK29" s="697">
        <f t="shared" si="170"/>
        <v>2.3299414891552641</v>
      </c>
      <c r="LL29" s="705"/>
      <c r="LM29" s="697">
        <f>AVERAGE(LI29:LK29)</f>
        <v>2.3310960473069815</v>
      </c>
      <c r="LN29" s="697">
        <f>AVERAGE(LH29:LK29)</f>
        <v>2.3247436511788586</v>
      </c>
      <c r="LO29" s="697">
        <f t="shared" si="85"/>
        <v>0.14984572628140924</v>
      </c>
      <c r="LP29" s="697">
        <f>AVERAGE(KY29:LK29)</f>
        <v>2.2241040408323816</v>
      </c>
      <c r="LQ29" s="696">
        <f>(LK29-KY29)/KY29</f>
        <v>7.1867998226742896E-3</v>
      </c>
      <c r="LR29" s="697">
        <f>LP29-KS29</f>
        <v>0.14081019023108254</v>
      </c>
      <c r="LS29" s="690"/>
      <c r="LT29" s="697">
        <f t="shared" ref="LT29:MH29" si="171">SUMPRODUCT($B$5:$B$27,LT5:LT27)/$B$29</f>
        <v>2.2757434194775352</v>
      </c>
      <c r="LU29" s="697">
        <f t="shared" si="171"/>
        <v>2.2556905609759763</v>
      </c>
      <c r="LV29" s="697">
        <f t="shared" si="171"/>
        <v>2.3133161490653715</v>
      </c>
      <c r="LW29" s="697">
        <f t="shared" si="171"/>
        <v>2.272213234174107</v>
      </c>
      <c r="LX29" s="697">
        <f t="shared" si="171"/>
        <v>2.1337517114073719</v>
      </c>
      <c r="LY29" s="697">
        <f t="shared" si="171"/>
        <v>2.0773136717260394</v>
      </c>
      <c r="LZ29" s="697">
        <f t="shared" si="171"/>
        <v>2.1239788046042096</v>
      </c>
      <c r="MA29" s="697">
        <f t="shared" si="171"/>
        <v>2.1784473606605457</v>
      </c>
      <c r="MB29" s="697">
        <f t="shared" si="171"/>
        <v>2.0817271589587243</v>
      </c>
      <c r="MC29" s="697">
        <f t="shared" si="171"/>
        <v>2.1805850609441468</v>
      </c>
      <c r="MD29" s="697">
        <f t="shared" si="171"/>
        <v>2.2530447745650073</v>
      </c>
      <c r="ME29" s="697">
        <f t="shared" si="171"/>
        <v>2.3056864627944895</v>
      </c>
      <c r="MF29" s="697">
        <f t="shared" si="171"/>
        <v>2.2811381966699202</v>
      </c>
      <c r="MG29" s="697">
        <f t="shared" si="171"/>
        <v>2.3822084560957602</v>
      </c>
      <c r="MH29" s="697">
        <f t="shared" si="171"/>
        <v>2.3299414891552641</v>
      </c>
      <c r="MI29" s="697"/>
      <c r="MJ29" s="697">
        <f>AVERAGE(MF29:MH29)</f>
        <v>2.3310960473069815</v>
      </c>
      <c r="MK29" s="697">
        <f>AVERAGE(ME29:MH29)</f>
        <v>2.3247436511788586</v>
      </c>
      <c r="ML29" s="698">
        <f>AVERAGE(LV29:MH29)</f>
        <v>2.2241040408323816</v>
      </c>
      <c r="MM29" s="695">
        <f>(MH29-LV29)/LV29</f>
        <v>7.1867998226742896E-3</v>
      </c>
      <c r="MN29" s="690"/>
      <c r="MO29" s="697">
        <f t="shared" ref="MO29:NC29" si="172">SUMPRODUCT($B$5:$B$27,MO5:MO27)/$B$29</f>
        <v>2.4874395797601196</v>
      </c>
      <c r="MP29" s="697">
        <f t="shared" si="172"/>
        <v>2.4184041459958165</v>
      </c>
      <c r="MQ29" s="697">
        <f t="shared" si="172"/>
        <v>2.4337715129287836</v>
      </c>
      <c r="MR29" s="697">
        <f t="shared" si="172"/>
        <v>2.4234669371249598</v>
      </c>
      <c r="MS29" s="697">
        <f t="shared" si="172"/>
        <v>2.2206418237757943</v>
      </c>
      <c r="MT29" s="697">
        <f t="shared" si="172"/>
        <v>2.1924252666059543</v>
      </c>
      <c r="MU29" s="697">
        <f t="shared" si="172"/>
        <v>2.2721949160786661</v>
      </c>
      <c r="MV29" s="697">
        <f t="shared" si="172"/>
        <v>2.243506813330598</v>
      </c>
      <c r="MW29" s="697">
        <f t="shared" si="172"/>
        <v>2.2311219279961949</v>
      </c>
      <c r="MX29" s="697">
        <f t="shared" si="172"/>
        <v>2.3151510389174903</v>
      </c>
      <c r="MY29" s="697">
        <f t="shared" si="172"/>
        <v>2.3045392672615836</v>
      </c>
      <c r="MZ29" s="697">
        <f t="shared" si="172"/>
        <v>2.3913593029929103</v>
      </c>
      <c r="NA29" s="697">
        <f t="shared" si="172"/>
        <v>2.4034230544754118</v>
      </c>
      <c r="NB29" s="697">
        <f t="shared" si="172"/>
        <v>2.463119576719885</v>
      </c>
      <c r="NC29" s="697">
        <f t="shared" si="172"/>
        <v>2.500053549039837</v>
      </c>
      <c r="ND29" s="697"/>
      <c r="NE29" s="697">
        <f>NC29-KO29</f>
        <v>0.32873658843780751</v>
      </c>
      <c r="NF29" s="697">
        <f>AVERAGE(NA29:NC29)</f>
        <v>2.4555320600783781</v>
      </c>
      <c r="NG29" s="697">
        <f>NF29-KQ29</f>
        <v>0.2765238508674952</v>
      </c>
      <c r="NH29" s="697">
        <f>AVERAGE(MZ29:NC29)</f>
        <v>2.4394888708070113</v>
      </c>
      <c r="NI29" s="697">
        <f>AVERAGE(MQ29:NC29)</f>
        <v>2.3380596144036976</v>
      </c>
      <c r="NJ29" s="696">
        <f>(NC29-MQ29)/MQ29</f>
        <v>2.7234288740314038E-2</v>
      </c>
      <c r="NK29" s="697">
        <f>NI29-KS29</f>
        <v>0.25476576380239857</v>
      </c>
      <c r="NL29" s="2822"/>
      <c r="NM29" s="690"/>
      <c r="NN29" s="697">
        <f t="shared" ref="NN29:OB29" si="173">SUMPRODUCT($B$5:$B$27,NN5:NN27)/$B$29</f>
        <v>2.5933605118939282</v>
      </c>
      <c r="NO29" s="697">
        <f t="shared" si="173"/>
        <v>2.5261550468907852</v>
      </c>
      <c r="NP29" s="697">
        <f t="shared" si="173"/>
        <v>2.5431896432041396</v>
      </c>
      <c r="NQ29" s="697">
        <f t="shared" si="173"/>
        <v>2.537087244883907</v>
      </c>
      <c r="NR29" s="697">
        <f t="shared" si="173"/>
        <v>2.3483884452618256</v>
      </c>
      <c r="NS29" s="697">
        <f t="shared" si="173"/>
        <v>2.3250601555718431</v>
      </c>
      <c r="NT29" s="697">
        <f t="shared" si="173"/>
        <v>2.4095007694382087</v>
      </c>
      <c r="NU29" s="697">
        <f t="shared" si="173"/>
        <v>2.3843696171503646</v>
      </c>
      <c r="NV29" s="697">
        <f t="shared" si="173"/>
        <v>2.3724337993076556</v>
      </c>
      <c r="NW29" s="697">
        <f t="shared" si="173"/>
        <v>2.4522012505727298</v>
      </c>
      <c r="NX29" s="697">
        <f t="shared" si="173"/>
        <v>2.4436184908298126</v>
      </c>
      <c r="NY29" s="697">
        <f t="shared" si="173"/>
        <v>2.5292230705365868</v>
      </c>
      <c r="NZ29" s="697">
        <f t="shared" si="173"/>
        <v>2.5458602332734328</v>
      </c>
      <c r="OA29" s="697">
        <f t="shared" si="173"/>
        <v>2.6062869343581276</v>
      </c>
      <c r="OB29" s="697">
        <f t="shared" si="173"/>
        <v>2.6450719690196931</v>
      </c>
      <c r="OC29" s="697"/>
      <c r="OD29" s="697">
        <f>OB29-LK29</f>
        <v>0.31513047986442899</v>
      </c>
      <c r="OE29" s="697">
        <f>AVERAGE(NZ29:OB29)</f>
        <v>2.5990730455504178</v>
      </c>
      <c r="OF29" s="697">
        <f>OE29-LM29</f>
        <v>0.26797699824343635</v>
      </c>
      <c r="OG29" s="697">
        <f>AVERAGE(NY29:OB29)</f>
        <v>2.5816105517969601</v>
      </c>
      <c r="OH29" s="697">
        <f>AVERAGE(NP29:OB29)</f>
        <v>2.4724839710314104</v>
      </c>
      <c r="OI29" s="696">
        <f>(OB29-NP29)/NP29</f>
        <v>4.0060844887364715E-2</v>
      </c>
      <c r="OJ29" s="697">
        <f>OH29-LP29</f>
        <v>0.24837993019902882</v>
      </c>
      <c r="OK29" s="690"/>
      <c r="OL29" s="690"/>
      <c r="OM29" s="690"/>
      <c r="ON29" s="690"/>
      <c r="OO29" s="690"/>
      <c r="OP29" s="690"/>
      <c r="OQ29" s="690"/>
      <c r="OR29" s="690"/>
      <c r="OS29" s="690"/>
      <c r="OT29" s="690"/>
      <c r="OU29" s="690"/>
      <c r="OV29" s="690"/>
      <c r="OW29" s="690"/>
      <c r="OX29" s="690"/>
      <c r="OY29" s="690"/>
      <c r="OZ29" s="690"/>
      <c r="PA29" s="690"/>
      <c r="PB29" s="690"/>
      <c r="PC29" s="695">
        <f t="shared" ref="PC29:PQ29" si="174">SUMPRODUCT($B$5:$B$27,PC5:PC27)/$B$29</f>
        <v>0.59373863253488779</v>
      </c>
      <c r="PD29" s="695">
        <f t="shared" si="174"/>
        <v>0.57538277479051303</v>
      </c>
      <c r="PE29" s="695">
        <f t="shared" si="174"/>
        <v>0.59424496121007431</v>
      </c>
      <c r="PF29" s="695">
        <f t="shared" si="174"/>
        <v>0.58913467942388464</v>
      </c>
      <c r="PG29" s="695">
        <f t="shared" si="174"/>
        <v>0.58674894399474498</v>
      </c>
      <c r="PH29" s="695">
        <f t="shared" si="174"/>
        <v>0.57447547122398446</v>
      </c>
      <c r="PI29" s="695">
        <f t="shared" si="174"/>
        <v>0.61717458631764577</v>
      </c>
      <c r="PJ29" s="695">
        <f t="shared" si="174"/>
        <v>0.61250480109547534</v>
      </c>
      <c r="PK29" s="695">
        <f t="shared" si="174"/>
        <v>0.61365700096505249</v>
      </c>
      <c r="PL29" s="695">
        <f t="shared" si="174"/>
        <v>0.61591738582452693</v>
      </c>
      <c r="PM29" s="695">
        <f t="shared" si="174"/>
        <v>0.62966994043749547</v>
      </c>
      <c r="PN29" s="695">
        <f t="shared" si="174"/>
        <v>0.63001442644567474</v>
      </c>
      <c r="PO29" s="695">
        <f t="shared" si="174"/>
        <v>0.63434796382546033</v>
      </c>
      <c r="PP29" s="695">
        <f t="shared" si="174"/>
        <v>0.62308087437788329</v>
      </c>
      <c r="PQ29" s="695">
        <f t="shared" si="174"/>
        <v>0.60645391520179226</v>
      </c>
      <c r="PR29" s="695"/>
      <c r="PS29" s="696">
        <f>AVERAGE(PO29:PQ29)</f>
        <v>0.62129425113504533</v>
      </c>
      <c r="PT29" s="696">
        <f>AVERAGE(PN29:PQ29)</f>
        <v>0.62347429496270268</v>
      </c>
      <c r="PU29" s="696">
        <f>AVERAGE(PE29:PQ29)</f>
        <v>0.60980191925720717</v>
      </c>
      <c r="PV29" s="695">
        <f>(PQ29-PE29)/PE29</f>
        <v>2.0545321859955844E-2</v>
      </c>
      <c r="PW29" s="690"/>
      <c r="PX29" s="697">
        <f t="shared" ref="PX29:QL29" si="175">SUMPRODUCT($B$5:$B$27,PX5:PX27)/$B$29</f>
        <v>2.4484533013016803</v>
      </c>
      <c r="PY29" s="697">
        <f t="shared" si="175"/>
        <v>2.3264482596446912</v>
      </c>
      <c r="PZ29" s="697">
        <f t="shared" si="175"/>
        <v>2.3732903951182465</v>
      </c>
      <c r="QA29" s="697">
        <f t="shared" si="175"/>
        <v>2.6200721033969279</v>
      </c>
      <c r="QB29" s="697">
        <f t="shared" si="175"/>
        <v>2.6667877724897533</v>
      </c>
      <c r="QC29" s="697">
        <f t="shared" si="175"/>
        <v>2.5423289669066742</v>
      </c>
      <c r="QD29" s="697">
        <f t="shared" si="175"/>
        <v>3.0267502181838695</v>
      </c>
      <c r="QE29" s="697">
        <f t="shared" si="175"/>
        <v>2.9379613776407667</v>
      </c>
      <c r="QF29" s="697">
        <f t="shared" si="175"/>
        <v>2.8868321526873877</v>
      </c>
      <c r="QG29" s="697">
        <f t="shared" si="175"/>
        <v>2.6566681146463722</v>
      </c>
      <c r="QH29" s="697">
        <f t="shared" si="175"/>
        <v>2.8677510237828105</v>
      </c>
      <c r="QI29" s="697">
        <f t="shared" si="175"/>
        <v>2.3914144802048418</v>
      </c>
      <c r="QJ29" s="697">
        <f t="shared" si="175"/>
        <v>2.2460737371327757</v>
      </c>
      <c r="QK29" s="697">
        <f t="shared" si="175"/>
        <v>1.8853665381826119</v>
      </c>
      <c r="QL29" s="697">
        <f t="shared" si="175"/>
        <v>1.8609400503853164</v>
      </c>
      <c r="QM29" s="705"/>
      <c r="QN29" s="698">
        <f>AVERAGE(PZ29:QL29)</f>
        <v>2.5355566869814115</v>
      </c>
      <c r="QO29" s="695">
        <f>(QL29-PZ29)/PZ29</f>
        <v>-0.21588185996404491</v>
      </c>
      <c r="QP29" s="698">
        <f>AVERAGE(PX29,QB29,QF29,QJ29)</f>
        <v>2.562036740902899</v>
      </c>
      <c r="QQ29" s="690"/>
      <c r="QR29" s="697">
        <f t="shared" ref="QR29:RF29" si="176">SUMPRODUCT($B$5:$B$27,QR5:QR27)/$B$29</f>
        <v>1.7117203513804267</v>
      </c>
      <c r="QS29" s="697">
        <f t="shared" si="176"/>
        <v>1.7949595705776797</v>
      </c>
      <c r="QT29" s="697">
        <f t="shared" si="176"/>
        <v>1.7047006899637278</v>
      </c>
      <c r="QU29" s="697">
        <f t="shared" si="176"/>
        <v>1.7200393864306633</v>
      </c>
      <c r="QV29" s="697">
        <f t="shared" si="176"/>
        <v>1.6276384571595193</v>
      </c>
      <c r="QW29" s="697">
        <f t="shared" si="176"/>
        <v>1.6903619716854692</v>
      </c>
      <c r="QX29" s="697">
        <f t="shared" si="176"/>
        <v>1.517179490141876</v>
      </c>
      <c r="QY29" s="697">
        <f t="shared" si="176"/>
        <v>1.5134703544633679</v>
      </c>
      <c r="QZ29" s="697">
        <f t="shared" si="176"/>
        <v>1.4553632819285971</v>
      </c>
      <c r="RA29" s="697">
        <f t="shared" si="176"/>
        <v>1.4820221118363497</v>
      </c>
      <c r="RB29" s="697">
        <f t="shared" si="176"/>
        <v>1.3616394214954644</v>
      </c>
      <c r="RC29" s="697">
        <f t="shared" si="176"/>
        <v>1.4219547061970712</v>
      </c>
      <c r="RD29" s="697">
        <f t="shared" si="176"/>
        <v>1.4157005879127986</v>
      </c>
      <c r="RE29" s="697">
        <f t="shared" si="176"/>
        <v>1.5012803201904144</v>
      </c>
      <c r="RF29" s="697">
        <f t="shared" si="176"/>
        <v>1.5874207471738968</v>
      </c>
      <c r="RG29" s="705"/>
      <c r="RH29" s="698">
        <f>AVERAGE(QT29:RF29)</f>
        <v>1.5383670405060939</v>
      </c>
      <c r="RI29" s="698">
        <f>AVERAGE(QX29:RF29)</f>
        <v>1.4728923357044263</v>
      </c>
      <c r="RJ29" s="690"/>
      <c r="RK29" s="697">
        <f t="shared" ref="RK29:RY29" si="177">SUMPRODUCT($B$5:$B$27,RK5:RK27)/$B$29</f>
        <v>1.7117203513804267</v>
      </c>
      <c r="RL29" s="697">
        <f t="shared" si="177"/>
        <v>1.7949595705776797</v>
      </c>
      <c r="RM29" s="697">
        <f t="shared" si="177"/>
        <v>1.7047006899637278</v>
      </c>
      <c r="RN29" s="697">
        <f t="shared" si="177"/>
        <v>1.7200393864306633</v>
      </c>
      <c r="RO29" s="697">
        <f t="shared" si="177"/>
        <v>1.6276384571595193</v>
      </c>
      <c r="RP29" s="697">
        <f t="shared" si="177"/>
        <v>1.6903619716854692</v>
      </c>
      <c r="RQ29" s="697">
        <f t="shared" si="177"/>
        <v>1.517179490141876</v>
      </c>
      <c r="RR29" s="697">
        <f t="shared" si="177"/>
        <v>1.5134703544633679</v>
      </c>
      <c r="RS29" s="697">
        <f t="shared" si="177"/>
        <v>1.4553632819285971</v>
      </c>
      <c r="RT29" s="697">
        <f t="shared" si="177"/>
        <v>1.4820221118363497</v>
      </c>
      <c r="RU29" s="697">
        <f t="shared" si="177"/>
        <v>1.3616394214954644</v>
      </c>
      <c r="RV29" s="697">
        <f t="shared" si="177"/>
        <v>1.4219547061970712</v>
      </c>
      <c r="RW29" s="697">
        <f t="shared" si="177"/>
        <v>1.4157005879127986</v>
      </c>
      <c r="RX29" s="697">
        <f t="shared" si="177"/>
        <v>1.5012803201904144</v>
      </c>
      <c r="RY29" s="697">
        <f t="shared" si="177"/>
        <v>1.5874207471738968</v>
      </c>
      <c r="RZ29" s="705"/>
      <c r="SA29" s="698">
        <f>AVERAGE(RM29:RY29)</f>
        <v>1.5383670405060939</v>
      </c>
      <c r="SB29" s="698">
        <f>AVERAGE(RQ29:RY29)</f>
        <v>1.4728923357044263</v>
      </c>
      <c r="SC29" s="690"/>
      <c r="SD29" s="697">
        <f t="shared" ref="SD29:SQ29" si="178">SUMPRODUCT($B$5:$B$27,SD5:SD27)/$B$29</f>
        <v>6.8383499999999993</v>
      </c>
      <c r="SE29" s="697">
        <f t="shared" si="178"/>
        <v>6.5350833333333336</v>
      </c>
      <c r="SF29" s="697">
        <f t="shared" si="178"/>
        <v>7.1738666666666662</v>
      </c>
      <c r="SG29" s="697">
        <f t="shared" si="178"/>
        <v>6.688533333333333</v>
      </c>
      <c r="SH29" s="697">
        <f t="shared" si="178"/>
        <v>6.8907499999999997</v>
      </c>
      <c r="SI29" s="697">
        <f t="shared" si="178"/>
        <v>7.3952833333333317</v>
      </c>
      <c r="SJ29" s="697">
        <f t="shared" si="178"/>
        <v>6.6513</v>
      </c>
      <c r="SK29" s="697">
        <f t="shared" si="178"/>
        <v>6.957016666666668</v>
      </c>
      <c r="SL29" s="697">
        <f t="shared" si="178"/>
        <v>6.6968833333333331</v>
      </c>
      <c r="SM29" s="697">
        <f t="shared" si="178"/>
        <v>6.4831833333333329</v>
      </c>
      <c r="SN29" s="697">
        <f t="shared" si="178"/>
        <v>6.4525333333333341</v>
      </c>
      <c r="SO29" s="697">
        <f t="shared" si="178"/>
        <v>5.9659166666666659</v>
      </c>
      <c r="SP29" s="697">
        <f t="shared" si="178"/>
        <v>5.2757333333333341</v>
      </c>
      <c r="SQ29" s="697">
        <f t="shared" si="178"/>
        <v>5.0128499999999994</v>
      </c>
      <c r="SR29" s="697">
        <f>SUMPRODUCT($B$5:$B$27,SR5:SR27)/$B$29</f>
        <v>5.3811833333333334</v>
      </c>
      <c r="SS29" s="697"/>
      <c r="ST29" s="697">
        <f>AVERAGE(SD29:SR29)</f>
        <v>6.4265644444444456</v>
      </c>
      <c r="SU29" s="702">
        <f>(SR29-SF29)/SF29</f>
        <v>-0.24989080737491629</v>
      </c>
      <c r="SV29" s="697">
        <f>SR29-SF29</f>
        <v>-1.7926833333333327</v>
      </c>
      <c r="SX29" s="2563"/>
    </row>
    <row r="30" spans="1:518">
      <c r="A30" s="11" t="s">
        <v>302</v>
      </c>
      <c r="B30" s="11"/>
      <c r="C30" s="2211" t="s">
        <v>1650</v>
      </c>
      <c r="D30" s="174"/>
      <c r="E30" s="224"/>
      <c r="F30" s="1027"/>
      <c r="G30" s="13">
        <f t="shared" ref="G30:N30" si="179">AVERAGE(G5:G26)</f>
        <v>19513.670047437274</v>
      </c>
      <c r="H30" s="13">
        <f t="shared" si="179"/>
        <v>18274.221374038865</v>
      </c>
      <c r="I30" s="13">
        <f t="shared" si="179"/>
        <v>19590.020424432816</v>
      </c>
      <c r="J30" s="13">
        <f t="shared" si="179"/>
        <v>19149.353188157049</v>
      </c>
      <c r="K30" s="13">
        <f t="shared" si="179"/>
        <v>17470.405166503122</v>
      </c>
      <c r="L30" s="13">
        <f t="shared" si="179"/>
        <v>16760.54395273983</v>
      </c>
      <c r="M30" s="13">
        <f t="shared" si="179"/>
        <v>16522.048348669454</v>
      </c>
      <c r="N30" s="13">
        <f t="shared" si="179"/>
        <v>16414.351914646257</v>
      </c>
      <c r="O30" s="13"/>
      <c r="P30" s="13">
        <f>AVERAGE(H30:N30)</f>
        <v>17740.134909883909</v>
      </c>
      <c r="Q30" s="13">
        <f>AVERAGE(L30:N30)</f>
        <v>16565.648072018514</v>
      </c>
      <c r="R30" s="10">
        <f t="shared" si="1"/>
        <v>-0.10177557890563906</v>
      </c>
      <c r="S30" s="7"/>
      <c r="T30" s="18"/>
      <c r="U30" s="18"/>
      <c r="V30" s="7"/>
      <c r="W30" s="1260"/>
      <c r="X30" s="7"/>
      <c r="Y30" s="7"/>
      <c r="Z30" s="7"/>
      <c r="AA30" s="7"/>
      <c r="AB30" s="7"/>
      <c r="AC30" s="7"/>
      <c r="AD30" s="7"/>
      <c r="AE30" s="7"/>
      <c r="AF30" s="7"/>
      <c r="AG30" s="7"/>
      <c r="AH30" s="7"/>
      <c r="AI30" s="7"/>
      <c r="AJ30" s="7"/>
      <c r="AK30" s="7"/>
      <c r="AL30" s="7"/>
      <c r="AM30" s="7"/>
      <c r="AN30" s="7"/>
      <c r="AO30" s="7"/>
      <c r="AP30" s="7"/>
      <c r="AQ30" s="2811">
        <f>AVERAGE(AQ5:AQ26)</f>
        <v>31722.024162675232</v>
      </c>
      <c r="AR30" s="2811">
        <f t="shared" ref="AR30:AW30" si="180">AVERAGE(AR5:AR26)</f>
        <v>32448.424358523727</v>
      </c>
      <c r="AS30" s="2811">
        <f t="shared" si="180"/>
        <v>32199.078439066139</v>
      </c>
      <c r="AT30" s="2811">
        <f t="shared" si="180"/>
        <v>30349.467878243071</v>
      </c>
      <c r="AU30" s="2811">
        <f t="shared" si="180"/>
        <v>30037.474512680321</v>
      </c>
      <c r="AV30" s="2811">
        <f t="shared" si="180"/>
        <v>29121.753920033087</v>
      </c>
      <c r="AW30" s="2811">
        <f t="shared" si="180"/>
        <v>29145.343350339306</v>
      </c>
      <c r="AX30" s="2811"/>
      <c r="AY30" s="13">
        <f>AVERAGE(AQ30:AW30)</f>
        <v>30717.652374508696</v>
      </c>
      <c r="AZ30" s="10">
        <f t="shared" si="4"/>
        <v>-8.1226872507325687E-2</v>
      </c>
      <c r="BA30" s="7"/>
      <c r="BB30" s="7"/>
      <c r="BC30" s="7"/>
      <c r="BD30" s="7"/>
      <c r="BE30" s="7"/>
      <c r="BF30" s="7"/>
      <c r="BG30" s="7"/>
      <c r="BH30" s="7"/>
      <c r="BI30" s="7"/>
      <c r="BJ30" s="7"/>
      <c r="BK30" s="7"/>
      <c r="BL30" s="7"/>
      <c r="BM30" s="7"/>
      <c r="BN30" s="7"/>
      <c r="BO30" s="7"/>
      <c r="BP30" s="7"/>
      <c r="BQ30" s="7"/>
      <c r="BR30" s="7"/>
      <c r="BS30" s="7"/>
      <c r="BT30" s="7"/>
      <c r="BU30" s="13"/>
      <c r="BV30" s="13"/>
      <c r="BW30" s="13"/>
      <c r="BX30" s="13"/>
      <c r="BY30" s="13"/>
      <c r="BZ30" s="13"/>
      <c r="CA30" s="13"/>
      <c r="CB30" s="13"/>
      <c r="CC30" s="13"/>
      <c r="CD30" s="13"/>
      <c r="CE30" s="13"/>
      <c r="CF30" s="13"/>
      <c r="CG30" s="13"/>
      <c r="CH30" s="13"/>
      <c r="CI30" s="13"/>
      <c r="CJ30" s="13"/>
      <c r="CK30" s="13"/>
      <c r="CL30" s="10"/>
      <c r="CM30" s="7"/>
      <c r="CN30" s="7"/>
      <c r="CO30" s="18">
        <f>AVERAGE(CO5:CO26)</f>
        <v>1.7013822745624785E-2</v>
      </c>
      <c r="CP30" s="18">
        <f t="shared" ref="CP30:DC30" si="181">AVERAGE(CP5:CP26)</f>
        <v>1.9258532268589101E-2</v>
      </c>
      <c r="CQ30" s="18">
        <f t="shared" si="181"/>
        <v>1.9454106452436261E-2</v>
      </c>
      <c r="CR30" s="18">
        <f t="shared" si="181"/>
        <v>1.9764616378597187E-2</v>
      </c>
      <c r="CS30" s="18">
        <f t="shared" si="181"/>
        <v>1.8094746216935884E-2</v>
      </c>
      <c r="CT30" s="18">
        <f t="shared" si="181"/>
        <v>1.8396709637903196E-2</v>
      </c>
      <c r="CU30" s="18">
        <f t="shared" si="181"/>
        <v>1.7946972553838991E-2</v>
      </c>
      <c r="CV30" s="18">
        <f t="shared" si="181"/>
        <v>1.9750134136360911E-2</v>
      </c>
      <c r="CW30" s="18">
        <f t="shared" si="181"/>
        <v>1.9951668853327241E-2</v>
      </c>
      <c r="CX30" s="18">
        <f t="shared" si="181"/>
        <v>1.7668413858336972E-2</v>
      </c>
      <c r="CY30" s="18">
        <f t="shared" si="181"/>
        <v>1.7957240406877004E-2</v>
      </c>
      <c r="CZ30" s="18">
        <f t="shared" si="181"/>
        <v>1.8024110386055944E-2</v>
      </c>
      <c r="DA30" s="18">
        <f t="shared" si="181"/>
        <v>1.8974208105723953E-2</v>
      </c>
      <c r="DB30" s="18">
        <f t="shared" si="181"/>
        <v>1.9587952057631895E-2</v>
      </c>
      <c r="DC30" s="18">
        <f t="shared" si="181"/>
        <v>2.0279471084507429E-2</v>
      </c>
      <c r="DD30" s="7"/>
      <c r="DE30" s="18">
        <f t="shared" si="55"/>
        <v>1.891156539450253E-2</v>
      </c>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1358"/>
      <c r="EF30" s="22">
        <f>AVERAGE(EF5:EF26)</f>
        <v>2.0098568181818179</v>
      </c>
      <c r="EG30" s="22">
        <f>AVERAGE(EG5:EG26)</f>
        <v>2.1042068181818188</v>
      </c>
      <c r="EH30" s="22">
        <f>AVERAGE(EH5:EH26)</f>
        <v>1.9274750000000003</v>
      </c>
      <c r="EI30" s="22">
        <f>AVERAGE(EI5:EI26)</f>
        <v>1.9072272727272728</v>
      </c>
      <c r="EJ30" s="2677"/>
      <c r="EK30" s="3982">
        <f>AVERAGE(EK5:EK26)</f>
        <v>1.9848215034965038</v>
      </c>
      <c r="EL30" s="3983">
        <f t="shared" si="5"/>
        <v>-5.1063112817850975E-2</v>
      </c>
      <c r="EM30" s="1358"/>
      <c r="EN30" s="166">
        <f>AVERAGE(EN5:EN26)</f>
        <v>5.8595299637395506</v>
      </c>
      <c r="EO30" s="166">
        <f t="shared" ref="EO30:FB30" si="182">AVERAGE(EO5:EO26)</f>
        <v>5.6918748029357982</v>
      </c>
      <c r="EP30" s="166">
        <f t="shared" si="182"/>
        <v>5.4748791713002145</v>
      </c>
      <c r="EQ30" s="166">
        <f t="shared" si="182"/>
        <v>5.7041938379290933</v>
      </c>
      <c r="ER30" s="166">
        <f t="shared" si="182"/>
        <v>5.763229895644117</v>
      </c>
      <c r="ES30" s="166">
        <f t="shared" si="182"/>
        <v>6.0550227272727284</v>
      </c>
      <c r="ET30" s="166">
        <f t="shared" si="182"/>
        <v>6.0264568181818188</v>
      </c>
      <c r="EU30" s="166">
        <f t="shared" si="182"/>
        <v>5.6516886363636374</v>
      </c>
      <c r="EV30" s="166">
        <f t="shared" si="182"/>
        <v>5.4332363636363645</v>
      </c>
      <c r="EW30" s="166">
        <f t="shared" si="182"/>
        <v>5.5279227272727267</v>
      </c>
      <c r="EX30" s="166">
        <f t="shared" si="182"/>
        <v>5.539461363636363</v>
      </c>
      <c r="EY30" s="166">
        <f t="shared" si="182"/>
        <v>5.6498386363636364</v>
      </c>
      <c r="EZ30" s="166">
        <f t="shared" si="182"/>
        <v>5.5920204545454544</v>
      </c>
      <c r="FA30" s="166">
        <f t="shared" si="182"/>
        <v>5.6555863636363632</v>
      </c>
      <c r="FB30" s="166">
        <f t="shared" si="182"/>
        <v>5.617638440630663</v>
      </c>
      <c r="FC30" s="216"/>
      <c r="FD30" s="15">
        <f t="shared" si="59"/>
        <v>5.6685519566471676</v>
      </c>
      <c r="FE30" s="229">
        <f>(FB30-EP30)/EP30</f>
        <v>2.6075327849937727E-2</v>
      </c>
      <c r="FF30" s="15">
        <f t="shared" si="60"/>
        <v>5.6748872531539769</v>
      </c>
      <c r="FG30" s="2206"/>
      <c r="FH30" s="166">
        <f>AVERAGE(FH5:FH26)</f>
        <v>5.8506857601574414</v>
      </c>
      <c r="FI30" s="166">
        <f t="shared" ref="FI30:FV30" si="183">AVERAGE(FI5:FI26)</f>
        <v>5.7063559709487102</v>
      </c>
      <c r="FJ30" s="166">
        <f t="shared" si="183"/>
        <v>5.5062699880597172</v>
      </c>
      <c r="FK30" s="166">
        <f t="shared" si="183"/>
        <v>5.7375924909244809</v>
      </c>
      <c r="FL30" s="166">
        <f t="shared" si="183"/>
        <v>5.8091592545974473</v>
      </c>
      <c r="FM30" s="166">
        <f t="shared" si="183"/>
        <v>6.094000292003134</v>
      </c>
      <c r="FN30" s="166">
        <f t="shared" si="183"/>
        <v>6.0625118100699291</v>
      </c>
      <c r="FO30" s="166">
        <f t="shared" si="183"/>
        <v>5.7091180265337078</v>
      </c>
      <c r="FP30" s="166">
        <f t="shared" si="183"/>
        <v>5.4992232391212239</v>
      </c>
      <c r="FQ30" s="166">
        <f t="shared" si="183"/>
        <v>5.586333291897807</v>
      </c>
      <c r="FR30" s="166">
        <f t="shared" si="183"/>
        <v>5.5981237896144842</v>
      </c>
      <c r="FS30" s="166">
        <f t="shared" si="183"/>
        <v>5.7018708690681681</v>
      </c>
      <c r="FT30" s="166">
        <f t="shared" si="183"/>
        <v>5.6463334949710227</v>
      </c>
      <c r="FU30" s="166">
        <f t="shared" si="183"/>
        <v>5.7084884152663262</v>
      </c>
      <c r="FV30" s="166">
        <f t="shared" si="183"/>
        <v>5.6740755360468889</v>
      </c>
      <c r="FW30" s="1358"/>
      <c r="FX30" s="506">
        <f>AVERAGE(FJ30:FV30)</f>
        <v>5.7179308075518716</v>
      </c>
      <c r="FY30" s="10">
        <f>(FV30-FJ30)/FJ30</f>
        <v>3.0475357792308769E-2</v>
      </c>
      <c r="FZ30" s="15">
        <f>FX30-FD30</f>
        <v>4.9378850904703953E-2</v>
      </c>
      <c r="GA30" s="15">
        <f>AVERAGE(FM30:FV30)</f>
        <v>5.7280078764592686</v>
      </c>
      <c r="GB30" s="15">
        <f t="shared" si="64"/>
        <v>5.3120623305291659E-2</v>
      </c>
      <c r="GC30" s="15">
        <f>AVERAGE(FR30:FV30)-AVERAGE(EX30:FB30)</f>
        <v>5.486936923088237E-2</v>
      </c>
      <c r="GD30" s="7"/>
      <c r="GE30" s="166">
        <f t="shared" ref="GE30:GS30" si="184">AVERAGE(GE5:GE26)</f>
        <v>5.8506857601574414</v>
      </c>
      <c r="GF30" s="166">
        <f t="shared" si="184"/>
        <v>5.7063559709487102</v>
      </c>
      <c r="GG30" s="166">
        <f t="shared" si="184"/>
        <v>5.5062699880597172</v>
      </c>
      <c r="GH30" s="166">
        <f t="shared" si="184"/>
        <v>5.7375924909244809</v>
      </c>
      <c r="GI30" s="166">
        <f t="shared" si="184"/>
        <v>5.8091592545974473</v>
      </c>
      <c r="GJ30" s="166">
        <f t="shared" si="184"/>
        <v>6.094000292003134</v>
      </c>
      <c r="GK30" s="166">
        <f t="shared" si="184"/>
        <v>6.0625118100699291</v>
      </c>
      <c r="GL30" s="166">
        <f t="shared" si="184"/>
        <v>5.7091180265337078</v>
      </c>
      <c r="GM30" s="166">
        <f t="shared" si="184"/>
        <v>5.4992232391212239</v>
      </c>
      <c r="GN30" s="166">
        <f t="shared" si="184"/>
        <v>5.586333291897807</v>
      </c>
      <c r="GO30" s="166">
        <f t="shared" si="184"/>
        <v>5.5981237896144842</v>
      </c>
      <c r="GP30" s="166">
        <f t="shared" si="184"/>
        <v>5.7018708690681681</v>
      </c>
      <c r="GQ30" s="166">
        <f t="shared" si="184"/>
        <v>5.6463334949710227</v>
      </c>
      <c r="GR30" s="166">
        <f t="shared" si="184"/>
        <v>5.7084884152663262</v>
      </c>
      <c r="GS30" s="166">
        <f t="shared" si="184"/>
        <v>5.6740755360468889</v>
      </c>
      <c r="GT30" s="166"/>
      <c r="GU30" s="166">
        <f t="shared" si="65"/>
        <v>5.7260094819520324</v>
      </c>
      <c r="GV30" s="947">
        <f>(GS30-GG30)/GG30</f>
        <v>3.0475357792308769E-2</v>
      </c>
      <c r="GW30" s="166">
        <f>AVERAGE(GJ30:GS30)</f>
        <v>5.7280078764592686</v>
      </c>
      <c r="GX30" s="7"/>
      <c r="GY30" s="2668">
        <f t="shared" ref="GY30:HM30" si="185">AVERAGE(GY5:GY26)</f>
        <v>0.32114046191080409</v>
      </c>
      <c r="GZ30" s="2668">
        <f t="shared" si="185"/>
        <v>0.32329603390042566</v>
      </c>
      <c r="HA30" s="2668">
        <f t="shared" si="185"/>
        <v>0.34828780088713096</v>
      </c>
      <c r="HB30" s="2668">
        <f t="shared" si="185"/>
        <v>0.31197072330742748</v>
      </c>
      <c r="HC30" s="2668">
        <f t="shared" si="185"/>
        <v>0.31074308137892287</v>
      </c>
      <c r="HD30" s="2668">
        <f t="shared" si="185"/>
        <v>0.30984293497953386</v>
      </c>
      <c r="HE30" s="2668">
        <f t="shared" si="185"/>
        <v>0.33572414966550956</v>
      </c>
      <c r="HF30" s="2668">
        <f t="shared" si="185"/>
        <v>0.35901786985367795</v>
      </c>
      <c r="HG30" s="2668">
        <f t="shared" si="185"/>
        <v>0.35805043065096182</v>
      </c>
      <c r="HH30" s="2668">
        <f t="shared" si="185"/>
        <v>0.36615729422355675</v>
      </c>
      <c r="HI30" s="2668">
        <f t="shared" si="185"/>
        <v>0.39473692244415926</v>
      </c>
      <c r="HJ30" s="2668">
        <f t="shared" si="185"/>
        <v>0.38817469553513195</v>
      </c>
      <c r="HK30" s="2668">
        <f t="shared" si="185"/>
        <v>0.39092057996837143</v>
      </c>
      <c r="HL30" s="2668">
        <f t="shared" si="185"/>
        <v>0.39682529667085037</v>
      </c>
      <c r="HM30" s="2668">
        <f t="shared" si="185"/>
        <v>0.397913766092787</v>
      </c>
      <c r="HN30" s="1358"/>
      <c r="HO30" s="947">
        <f>AVERAGE(HO5:HO26)</f>
        <v>0.35910504197369392</v>
      </c>
      <c r="HP30" s="947">
        <f t="shared" si="69"/>
        <v>0.14248551077371283</v>
      </c>
      <c r="HQ30" s="7"/>
      <c r="HR30" s="2668">
        <f t="shared" ref="HR30:IF30" si="186">AVERAGE(HR5:HR26)</f>
        <v>0.56129925763909894</v>
      </c>
      <c r="HS30" s="2668">
        <f t="shared" si="186"/>
        <v>0.56779967353394412</v>
      </c>
      <c r="HT30" s="2668">
        <f t="shared" si="186"/>
        <v>0.65219472514579346</v>
      </c>
      <c r="HU30" s="2668">
        <f t="shared" si="186"/>
        <v>0.57261647661999315</v>
      </c>
      <c r="HV30" s="2668">
        <f t="shared" si="186"/>
        <v>0.5506747763559422</v>
      </c>
      <c r="HW30" s="2668">
        <f t="shared" si="186"/>
        <v>0.53529544955947506</v>
      </c>
      <c r="HX30" s="2668">
        <f t="shared" si="186"/>
        <v>0.61144066525628848</v>
      </c>
      <c r="HY30" s="2668">
        <f t="shared" si="186"/>
        <v>0.73957442399609874</v>
      </c>
      <c r="HZ30" s="2668">
        <f t="shared" si="186"/>
        <v>0.73180707227909958</v>
      </c>
      <c r="IA30" s="2668">
        <f t="shared" si="186"/>
        <v>0.73846753747004601</v>
      </c>
      <c r="IB30" s="2668">
        <f t="shared" si="186"/>
        <v>0.88649544870799457</v>
      </c>
      <c r="IC30" s="2668">
        <f t="shared" si="186"/>
        <v>0.82946782543384667</v>
      </c>
      <c r="ID30" s="2668">
        <f t="shared" si="186"/>
        <v>0.85191342504551848</v>
      </c>
      <c r="IE30" s="2668">
        <f t="shared" si="186"/>
        <v>0.93309796690380042</v>
      </c>
      <c r="IF30" s="2668">
        <f t="shared" si="186"/>
        <v>0.88423803696922143</v>
      </c>
      <c r="IG30" s="1358"/>
      <c r="IH30" s="947">
        <f>AVERAGE(HT30:IF30)</f>
        <v>0.73209875613408615</v>
      </c>
      <c r="II30" s="947">
        <f>(IF30-HT30)/HT30</f>
        <v>0.35578839091585163</v>
      </c>
      <c r="IJ30" s="7"/>
      <c r="IK30" s="2668">
        <f t="shared" ref="IK30:IY30" si="187">AVERAGE(IK5:IK26)</f>
        <v>0.35880777586580748</v>
      </c>
      <c r="IL30" s="2668">
        <f t="shared" si="187"/>
        <v>0.3608368609795497</v>
      </c>
      <c r="IM30" s="2668">
        <f t="shared" si="187"/>
        <v>0.38523233252365202</v>
      </c>
      <c r="IN30" s="2668">
        <f t="shared" si="187"/>
        <v>0.3488586549025629</v>
      </c>
      <c r="IO30" s="2668">
        <f t="shared" si="187"/>
        <v>0.34756803427663452</v>
      </c>
      <c r="IP30" s="2668">
        <f t="shared" si="187"/>
        <v>0.34724984894353689</v>
      </c>
      <c r="IQ30" s="2668">
        <f t="shared" si="187"/>
        <v>0.37328013900005269</v>
      </c>
      <c r="IR30" s="2668">
        <f t="shared" si="187"/>
        <v>0.39883775817001338</v>
      </c>
      <c r="IS30" s="2668">
        <f t="shared" si="187"/>
        <v>0.39929233353935734</v>
      </c>
      <c r="IT30" s="2668">
        <f t="shared" si="187"/>
        <v>0.40573566869692607</v>
      </c>
      <c r="IU30" s="2668">
        <f t="shared" si="187"/>
        <v>0.43337163395980222</v>
      </c>
      <c r="IV30" s="2668">
        <f t="shared" si="187"/>
        <v>0.42740644637633624</v>
      </c>
      <c r="IW30" s="2668">
        <f t="shared" si="187"/>
        <v>0.43123723195621388</v>
      </c>
      <c r="IX30" s="2668">
        <f t="shared" si="187"/>
        <v>0.43675307846016087</v>
      </c>
      <c r="IY30" s="2668">
        <f t="shared" si="187"/>
        <v>0.43949371451150621</v>
      </c>
      <c r="IZ30" s="1358"/>
      <c r="JA30" s="10">
        <f>AVERAGE(IM30:IY30)</f>
        <v>0.39802437502436577</v>
      </c>
      <c r="JB30" s="10">
        <f>(IY30-IM30)/IM30</f>
        <v>0.14085365481237927</v>
      </c>
      <c r="JC30" s="10">
        <f>JA30-HO30</f>
        <v>3.8919333050671856E-2</v>
      </c>
      <c r="JD30" s="10">
        <f>JC30/HO30</f>
        <v>0.10837868729652332</v>
      </c>
      <c r="JE30" s="7"/>
      <c r="JF30" s="2668">
        <f t="shared" ref="JF30:JT30" si="188">AVERAGE(JF5:JF26)</f>
        <v>0.66871932030349113</v>
      </c>
      <c r="JG30" s="2668">
        <f t="shared" si="188"/>
        <v>0.67661681565462861</v>
      </c>
      <c r="JH30" s="2668">
        <f t="shared" si="188"/>
        <v>0.76324916675644439</v>
      </c>
      <c r="JI30" s="2668">
        <f t="shared" si="188"/>
        <v>0.67581249310639047</v>
      </c>
      <c r="JJ30" s="2668">
        <f t="shared" si="188"/>
        <v>0.64840024256077244</v>
      </c>
      <c r="JK30" s="2668">
        <f t="shared" si="188"/>
        <v>0.63073193363332514</v>
      </c>
      <c r="JL30" s="2668">
        <f t="shared" si="188"/>
        <v>0.71064207784214883</v>
      </c>
      <c r="JM30" s="2668">
        <f t="shared" si="188"/>
        <v>0.86146066862990811</v>
      </c>
      <c r="JN30" s="2668">
        <f t="shared" si="188"/>
        <v>0.85962984508425255</v>
      </c>
      <c r="JO30" s="2668">
        <f t="shared" si="188"/>
        <v>0.86415760467308178</v>
      </c>
      <c r="JP30" s="2668">
        <f t="shared" si="188"/>
        <v>1.0285271360863184</v>
      </c>
      <c r="JQ30" s="2668">
        <f t="shared" si="188"/>
        <v>0.96304936817236841</v>
      </c>
      <c r="JR30" s="2668">
        <f t="shared" si="188"/>
        <v>0.99011012347912708</v>
      </c>
      <c r="JS30" s="2668">
        <f t="shared" si="188"/>
        <v>1.0788115455261598</v>
      </c>
      <c r="JT30" s="2668">
        <f t="shared" si="188"/>
        <v>1.0197991105043298</v>
      </c>
      <c r="JU30" s="1358"/>
      <c r="JV30" s="10">
        <f>AVERAGE(JH30:JT30)</f>
        <v>0.85341394738881737</v>
      </c>
      <c r="JW30" s="10">
        <f>(JT30-JH30)/JH30</f>
        <v>0.33612869154923225</v>
      </c>
      <c r="JX30" s="10">
        <f>JV30-IH30</f>
        <v>0.12131519125473123</v>
      </c>
      <c r="JY30" s="10">
        <f>JX30/IH30</f>
        <v>0.16570877936652575</v>
      </c>
      <c r="JZ30" s="7"/>
      <c r="KA30" s="15">
        <f t="shared" ref="KA30:KO30" si="189">AVERAGE(KA5:KA26)</f>
        <v>1.8227331741593964</v>
      </c>
      <c r="KB30" s="15">
        <f t="shared" si="189"/>
        <v>1.7790536791856832</v>
      </c>
      <c r="KC30" s="15">
        <f t="shared" si="189"/>
        <v>1.8418006931493893</v>
      </c>
      <c r="KD30" s="15">
        <f t="shared" si="189"/>
        <v>1.6798716236300713</v>
      </c>
      <c r="KE30" s="15">
        <f t="shared" si="189"/>
        <v>1.6869390509575759</v>
      </c>
      <c r="KF30" s="15">
        <f t="shared" si="189"/>
        <v>1.8037025957322408</v>
      </c>
      <c r="KG30" s="15">
        <f t="shared" si="189"/>
        <v>1.959954941988749</v>
      </c>
      <c r="KH30" s="15">
        <f t="shared" si="189"/>
        <v>1.9119180033407071</v>
      </c>
      <c r="KI30" s="15">
        <f t="shared" si="189"/>
        <v>1.8039668979965975</v>
      </c>
      <c r="KJ30" s="15">
        <f t="shared" si="189"/>
        <v>1.858906287071598</v>
      </c>
      <c r="KK30" s="15">
        <f t="shared" si="189"/>
        <v>2.0000457088251049</v>
      </c>
      <c r="KL30" s="15">
        <f t="shared" si="189"/>
        <v>1.9749196721162512</v>
      </c>
      <c r="KM30" s="15">
        <f t="shared" si="189"/>
        <v>1.9657624524977537</v>
      </c>
      <c r="KN30" s="15">
        <f t="shared" si="189"/>
        <v>1.9867745620139052</v>
      </c>
      <c r="KO30" s="15">
        <f t="shared" si="189"/>
        <v>2.0284971207997557</v>
      </c>
      <c r="KP30" s="1358"/>
      <c r="KQ30" s="15">
        <f>AVERAGE(KM30:KO30)</f>
        <v>1.993678045103805</v>
      </c>
      <c r="KR30" s="15">
        <f>AVERAGE(KL30:KO30)</f>
        <v>1.9889884518569165</v>
      </c>
      <c r="KS30" s="15">
        <f>AVERAGE(KC30:KO30)</f>
        <v>1.8848507392399769</v>
      </c>
      <c r="KT30" s="18">
        <f>(KO30-KC30)/KC30</f>
        <v>0.10136624898925661</v>
      </c>
      <c r="KU30" s="7"/>
      <c r="KV30" s="7"/>
      <c r="KW30" s="15">
        <f t="shared" ref="KW30:LK30" si="190">AVERAGE(KW5:KW26)</f>
        <v>2.0328479999442779</v>
      </c>
      <c r="KX30" s="15">
        <f t="shared" si="190"/>
        <v>1.9890690239602264</v>
      </c>
      <c r="KY30" s="15">
        <f t="shared" si="190"/>
        <v>2.048620773548913</v>
      </c>
      <c r="KZ30" s="15">
        <f t="shared" si="190"/>
        <v>1.8935566851769545</v>
      </c>
      <c r="LA30" s="15">
        <f t="shared" si="190"/>
        <v>1.903262410898757</v>
      </c>
      <c r="LB30" s="15">
        <f t="shared" si="190"/>
        <v>2.0254911067760903</v>
      </c>
      <c r="LC30" s="15">
        <f t="shared" si="190"/>
        <v>2.1840123084837333</v>
      </c>
      <c r="LD30" s="15">
        <f t="shared" si="190"/>
        <v>2.1435376687768066</v>
      </c>
      <c r="LE30" s="15">
        <f t="shared" si="190"/>
        <v>2.0385008511940939</v>
      </c>
      <c r="LF30" s="15">
        <f t="shared" si="190"/>
        <v>2.0903140339597219</v>
      </c>
      <c r="LG30" s="15">
        <f t="shared" si="190"/>
        <v>2.2276492997682489</v>
      </c>
      <c r="LH30" s="15">
        <f t="shared" si="190"/>
        <v>2.2061495990302942</v>
      </c>
      <c r="LI30" s="15">
        <f t="shared" si="190"/>
        <v>2.2024943485869217</v>
      </c>
      <c r="LJ30" s="15">
        <f t="shared" si="190"/>
        <v>2.224546664991303</v>
      </c>
      <c r="LK30" s="15">
        <f t="shared" si="190"/>
        <v>2.2702022099742205</v>
      </c>
      <c r="LL30" s="1358"/>
      <c r="LM30" s="15">
        <f>AVERAGE(LI30:LK30)</f>
        <v>2.2324144078508152</v>
      </c>
      <c r="LN30" s="15">
        <f>AVERAGE(LH30:LK30)</f>
        <v>2.225848205645685</v>
      </c>
      <c r="LO30" s="15">
        <f t="shared" si="85"/>
        <v>0.23685975378876845</v>
      </c>
      <c r="LP30" s="15">
        <f>AVERAGE(KY30:LK30)</f>
        <v>2.1121798431666199</v>
      </c>
      <c r="LQ30" s="18">
        <f>(LK30-KY30)/KY30</f>
        <v>0.10816127576479297</v>
      </c>
      <c r="LR30" s="15">
        <f>LP30-KS30</f>
        <v>0.22732910392664296</v>
      </c>
      <c r="LS30" s="447"/>
      <c r="LT30" s="15">
        <f t="shared" ref="LT30:MH30" si="191">AVERAGE(LT5:LT26)</f>
        <v>2.0328479999442779</v>
      </c>
      <c r="LU30" s="15">
        <f t="shared" si="191"/>
        <v>1.9890690239602264</v>
      </c>
      <c r="LV30" s="15">
        <f t="shared" si="191"/>
        <v>2.048620773548913</v>
      </c>
      <c r="LW30" s="15">
        <f t="shared" si="191"/>
        <v>1.8935566851769545</v>
      </c>
      <c r="LX30" s="15">
        <f t="shared" si="191"/>
        <v>1.903262410898757</v>
      </c>
      <c r="LY30" s="15">
        <f t="shared" si="191"/>
        <v>2.0254911067760903</v>
      </c>
      <c r="LZ30" s="15">
        <f t="shared" si="191"/>
        <v>2.1840123084837333</v>
      </c>
      <c r="MA30" s="15">
        <f t="shared" si="191"/>
        <v>2.1435376687768066</v>
      </c>
      <c r="MB30" s="15">
        <f t="shared" si="191"/>
        <v>2.0385008511940939</v>
      </c>
      <c r="MC30" s="15">
        <f t="shared" si="191"/>
        <v>2.0903140339597219</v>
      </c>
      <c r="MD30" s="15">
        <f t="shared" si="191"/>
        <v>2.2276492997682489</v>
      </c>
      <c r="ME30" s="15">
        <f t="shared" si="191"/>
        <v>2.2061495990302942</v>
      </c>
      <c r="MF30" s="15">
        <f t="shared" si="191"/>
        <v>2.2024943485869217</v>
      </c>
      <c r="MG30" s="15">
        <f t="shared" si="191"/>
        <v>2.224546664991303</v>
      </c>
      <c r="MH30" s="15">
        <f t="shared" si="191"/>
        <v>2.2702022099742205</v>
      </c>
      <c r="MI30" s="2728"/>
      <c r="MJ30" s="15">
        <f>AVERAGE(MF30:MH30)</f>
        <v>2.2324144078508152</v>
      </c>
      <c r="MK30" s="15">
        <f>AVERAGE(ME30:MH30)</f>
        <v>2.225848205645685</v>
      </c>
      <c r="ML30" s="506">
        <f>AVERAGE(LV30:MH30)</f>
        <v>2.1121798431666199</v>
      </c>
      <c r="MM30" s="10">
        <f>(MH30-LV30)/LV30</f>
        <v>0.10816127576479297</v>
      </c>
      <c r="MN30" s="7"/>
      <c r="MO30" s="15">
        <f t="shared" ref="MO30:NC30" si="192">AVERAGE(MO5:MO26)</f>
        <v>2.0770209003183027</v>
      </c>
      <c r="MP30" s="15">
        <f t="shared" si="192"/>
        <v>2.0918023437249142</v>
      </c>
      <c r="MQ30" s="15">
        <f t="shared" si="192"/>
        <v>2.1278214382001739</v>
      </c>
      <c r="MR30" s="15">
        <f t="shared" si="192"/>
        <v>2.0938882535421963</v>
      </c>
      <c r="MS30" s="15">
        <f t="shared" si="192"/>
        <v>2.0467895727810008</v>
      </c>
      <c r="MT30" s="15">
        <f t="shared" si="192"/>
        <v>2.2142901110042073</v>
      </c>
      <c r="MU30" s="15">
        <f t="shared" si="192"/>
        <v>2.2861934328690512</v>
      </c>
      <c r="MV30" s="15">
        <f t="shared" si="192"/>
        <v>2.2443998721973037</v>
      </c>
      <c r="MW30" s="15">
        <f t="shared" si="192"/>
        <v>2.1364452768813611</v>
      </c>
      <c r="MX30" s="15">
        <f t="shared" si="192"/>
        <v>2.2003510477202415</v>
      </c>
      <c r="MY30" s="15">
        <f t="shared" si="192"/>
        <v>2.2851583095596539</v>
      </c>
      <c r="MZ30" s="15">
        <f t="shared" si="192"/>
        <v>2.3128232922220988</v>
      </c>
      <c r="NA30" s="15">
        <f t="shared" si="192"/>
        <v>2.3337330290877114</v>
      </c>
      <c r="NB30" s="15">
        <f t="shared" si="192"/>
        <v>2.3751941801605159</v>
      </c>
      <c r="NC30" s="15">
        <f t="shared" si="192"/>
        <v>2.3759416390446053</v>
      </c>
      <c r="ND30" s="15"/>
      <c r="NE30" s="15">
        <f>NC30-KO30</f>
        <v>0.34744451824484957</v>
      </c>
      <c r="NF30" s="15">
        <f>AVERAGE(NA30:NC30)</f>
        <v>2.3616229494309438</v>
      </c>
      <c r="NG30" s="15">
        <f>NF30-KQ30</f>
        <v>0.36794490432713878</v>
      </c>
      <c r="NH30" s="15">
        <f>AVERAGE(MZ30:NC30)</f>
        <v>2.3494230351287326</v>
      </c>
      <c r="NI30" s="15">
        <f>AVERAGE(MQ30:NC30)</f>
        <v>2.2333099580977018</v>
      </c>
      <c r="NJ30" s="18">
        <f>(NC30-MQ30)/MQ30</f>
        <v>0.11660762336068241</v>
      </c>
      <c r="NK30" s="15">
        <f>NI30-KS30</f>
        <v>0.34845921885772491</v>
      </c>
      <c r="NL30" s="2815"/>
      <c r="NM30" s="15"/>
      <c r="NN30" s="15">
        <f t="shared" ref="NN30:OB30" si="193">AVERAGE(NN5:NN26)</f>
        <v>2.2741303965549822</v>
      </c>
      <c r="NO30" s="15">
        <f t="shared" si="193"/>
        <v>2.2868907208560261</v>
      </c>
      <c r="NP30" s="15">
        <f t="shared" si="193"/>
        <v>2.3227508374247754</v>
      </c>
      <c r="NQ30" s="15">
        <f t="shared" si="193"/>
        <v>2.2926229043131525</v>
      </c>
      <c r="NR30" s="15">
        <f t="shared" si="193"/>
        <v>2.2524328749751548</v>
      </c>
      <c r="NS30" s="15">
        <f t="shared" si="193"/>
        <v>2.4240983452116875</v>
      </c>
      <c r="NT30" s="15">
        <f t="shared" si="193"/>
        <v>2.4985627356518396</v>
      </c>
      <c r="NU30" s="15">
        <f t="shared" si="193"/>
        <v>2.4630223682662882</v>
      </c>
      <c r="NV30" s="15">
        <f t="shared" si="193"/>
        <v>2.3589290221580637</v>
      </c>
      <c r="NW30" s="15">
        <f t="shared" si="193"/>
        <v>2.419798741589438</v>
      </c>
      <c r="NX30" s="15">
        <f t="shared" si="193"/>
        <v>2.5016163185809779</v>
      </c>
      <c r="NY30" s="15">
        <f t="shared" si="193"/>
        <v>2.532630665939386</v>
      </c>
      <c r="NZ30" s="15">
        <f t="shared" si="193"/>
        <v>2.5553102152781713</v>
      </c>
      <c r="OA30" s="15">
        <f t="shared" si="193"/>
        <v>2.5978345114684682</v>
      </c>
      <c r="OB30" s="15">
        <f t="shared" si="193"/>
        <v>2.6018705430331881</v>
      </c>
      <c r="OC30" s="15"/>
      <c r="OD30" s="15">
        <f>OB30-LK30</f>
        <v>0.33166833305896759</v>
      </c>
      <c r="OE30" s="15">
        <f>AVERAGE(NZ30:OB30)</f>
        <v>2.585005089926609</v>
      </c>
      <c r="OF30" s="15">
        <f>OE30-LM30</f>
        <v>0.3525906820757938</v>
      </c>
      <c r="OG30" s="15">
        <f>AVERAGE(NY30:OB30)</f>
        <v>2.5719114839298034</v>
      </c>
      <c r="OH30" s="15">
        <f>AVERAGE(NP30:OB30)</f>
        <v>2.4478061602992764</v>
      </c>
      <c r="OI30" s="18">
        <f>(OB30-NP30)/NP30</f>
        <v>0.12016773435667839</v>
      </c>
      <c r="OJ30" s="15">
        <f>OH30-LP30</f>
        <v>0.33562631713265656</v>
      </c>
      <c r="OK30" s="15"/>
      <c r="OL30" s="15"/>
      <c r="OM30" s="15"/>
      <c r="ON30" s="15"/>
      <c r="OO30" s="15"/>
      <c r="OP30" s="15"/>
      <c r="OQ30" s="15"/>
      <c r="OR30" s="15"/>
      <c r="OS30" s="15"/>
      <c r="OT30" s="15"/>
      <c r="OU30" s="15"/>
      <c r="OV30" s="15"/>
      <c r="OW30" s="15"/>
      <c r="OX30" s="15"/>
      <c r="OY30" s="15"/>
      <c r="OZ30" s="15"/>
      <c r="PA30" s="166"/>
      <c r="PB30" s="166"/>
      <c r="PC30" s="2668">
        <f t="shared" ref="PC30:PQ30" si="194">AVERAGE(PC5:PC26)</f>
        <v>0.56035357876337777</v>
      </c>
      <c r="PD30" s="2668">
        <f t="shared" si="194"/>
        <v>0.54990629821792836</v>
      </c>
      <c r="PE30" s="2668">
        <f t="shared" si="194"/>
        <v>0.56994780136084155</v>
      </c>
      <c r="PF30" s="2668">
        <f t="shared" si="194"/>
        <v>0.53176295612806002</v>
      </c>
      <c r="PG30" s="2668">
        <f t="shared" si="194"/>
        <v>0.52170005524880025</v>
      </c>
      <c r="PH30" s="2668">
        <f t="shared" si="194"/>
        <v>0.51983609035643508</v>
      </c>
      <c r="PI30" s="2668">
        <f t="shared" si="194"/>
        <v>0.57030992246427925</v>
      </c>
      <c r="PJ30" s="2668">
        <f t="shared" si="194"/>
        <v>0.56192369323770042</v>
      </c>
      <c r="PK30" s="2668">
        <f t="shared" si="194"/>
        <v>0.56682673144290951</v>
      </c>
      <c r="PL30" s="2668">
        <f t="shared" si="194"/>
        <v>0.57021777765731863</v>
      </c>
      <c r="PM30" s="2668">
        <f t="shared" si="194"/>
        <v>0.60873601092729046</v>
      </c>
      <c r="PN30" s="2668">
        <f t="shared" si="194"/>
        <v>0.59864073948358498</v>
      </c>
      <c r="PO30" s="2668">
        <f t="shared" si="194"/>
        <v>0.59838759777447492</v>
      </c>
      <c r="PP30" s="2668">
        <f t="shared" si="194"/>
        <v>0.59347840927736917</v>
      </c>
      <c r="PQ30" s="2668">
        <f t="shared" si="194"/>
        <v>0.6076960038697734</v>
      </c>
      <c r="PR30" s="2668"/>
      <c r="PS30" s="18">
        <f>AVERAGE(PO30:PQ30)</f>
        <v>0.5998540036405392</v>
      </c>
      <c r="PT30" s="18">
        <f>AVERAGE(PN30:PQ30)</f>
        <v>0.59955068760130059</v>
      </c>
      <c r="PU30" s="18">
        <f>AVERAGE(PE30:PQ30)</f>
        <v>0.57072798378683376</v>
      </c>
      <c r="PV30" s="10">
        <f>(PQ30-PE30)/PE30</f>
        <v>6.6230981887818452E-2</v>
      </c>
      <c r="PW30" s="947"/>
      <c r="PX30" s="15">
        <f t="shared" ref="PX30:QL30" si="195">AVERAGE(PX5:PX26)</f>
        <v>2.5039664263872536</v>
      </c>
      <c r="PY30" s="15">
        <f t="shared" si="195"/>
        <v>2.3592826289860267</v>
      </c>
      <c r="PZ30" s="15">
        <f t="shared" si="195"/>
        <v>2.7874563765204625</v>
      </c>
      <c r="QA30" s="15">
        <f t="shared" si="195"/>
        <v>1.3978058336402712</v>
      </c>
      <c r="QB30" s="15">
        <f t="shared" si="195"/>
        <v>4.0120274169834929</v>
      </c>
      <c r="QC30" s="15">
        <f t="shared" si="195"/>
        <v>3.2146151712386644</v>
      </c>
      <c r="QD30" s="15">
        <f t="shared" si="195"/>
        <v>2.0872544688821337</v>
      </c>
      <c r="QE30" s="15">
        <f t="shared" si="195"/>
        <v>2.1029040437601263</v>
      </c>
      <c r="QF30" s="15">
        <f t="shared" si="195"/>
        <v>3.5686459460685822</v>
      </c>
      <c r="QG30" s="15">
        <f t="shared" si="195"/>
        <v>2.0931094986439942</v>
      </c>
      <c r="QH30" s="15">
        <f t="shared" si="195"/>
        <v>2.3300766656947745</v>
      </c>
      <c r="QI30" s="15">
        <f t="shared" si="195"/>
        <v>3.1750403976449362</v>
      </c>
      <c r="QJ30" s="15">
        <f t="shared" si="195"/>
        <v>-2.041052642326616</v>
      </c>
      <c r="QK30" s="15">
        <f t="shared" si="195"/>
        <v>-2.3332684547437434</v>
      </c>
      <c r="QL30" s="15">
        <f t="shared" si="195"/>
        <v>3.421812134352884</v>
      </c>
      <c r="QM30" s="11"/>
      <c r="QN30" s="506">
        <f>AVERAGE(PZ30:QL30)</f>
        <v>1.9858789889507662</v>
      </c>
      <c r="QO30" s="10">
        <f>(QL30-PZ30)/PZ30</f>
        <v>0.22757513379430092</v>
      </c>
      <c r="QP30" s="506">
        <f>AVERAGE(PX30,QB30,QF30,QJ30)</f>
        <v>2.0108967867781784</v>
      </c>
      <c r="QQ30" s="7"/>
      <c r="QR30" s="15">
        <f t="shared" ref="QR30:RF30" si="196">AVERAGE(QR5:QR26)</f>
        <v>1.8448193369971568</v>
      </c>
      <c r="QS30" s="15">
        <f t="shared" si="196"/>
        <v>1.90234882684083</v>
      </c>
      <c r="QT30" s="15">
        <f t="shared" si="196"/>
        <v>1.8579687996963599</v>
      </c>
      <c r="QU30" s="15">
        <f t="shared" si="196"/>
        <v>1.988758614637939</v>
      </c>
      <c r="QV30" s="15">
        <f t="shared" si="196"/>
        <v>1.9910642257838369</v>
      </c>
      <c r="QW30" s="15">
        <f t="shared" si="196"/>
        <v>2.026747555631307</v>
      </c>
      <c r="QX30" s="15">
        <f t="shared" si="196"/>
        <v>1.8092044743602</v>
      </c>
      <c r="QY30" s="15">
        <f t="shared" si="196"/>
        <v>1.788394005684441</v>
      </c>
      <c r="QZ30" s="15">
        <f t="shared" si="196"/>
        <v>1.7080403244174462</v>
      </c>
      <c r="RA30" s="15">
        <f t="shared" si="196"/>
        <v>1.6992603535921154</v>
      </c>
      <c r="RB30" s="15">
        <f t="shared" si="196"/>
        <v>1.5747646628638667</v>
      </c>
      <c r="RC30" s="15">
        <f t="shared" si="196"/>
        <v>1.6141273978197772</v>
      </c>
      <c r="RD30" s="15">
        <f t="shared" si="196"/>
        <v>1.6790268480879484</v>
      </c>
      <c r="RE30" s="15">
        <f t="shared" si="196"/>
        <v>1.7282197452257777</v>
      </c>
      <c r="RF30" s="15">
        <f t="shared" si="196"/>
        <v>1.689398194002353</v>
      </c>
      <c r="RG30" s="7"/>
      <c r="RH30" s="506">
        <f>AVERAGE(QT30:RF30)</f>
        <v>1.7811519386002592</v>
      </c>
      <c r="RI30" s="506">
        <f>AVERAGE(QX30:RF30)</f>
        <v>1.6989373340059917</v>
      </c>
      <c r="RJ30" s="7"/>
      <c r="RK30" s="15">
        <f t="shared" ref="RK30:RY30" si="197">AVERAGE(RK5:RK26)</f>
        <v>1.8448193369971568</v>
      </c>
      <c r="RL30" s="15">
        <f t="shared" si="197"/>
        <v>1.90234882684083</v>
      </c>
      <c r="RM30" s="15">
        <f t="shared" si="197"/>
        <v>1.8579687996963599</v>
      </c>
      <c r="RN30" s="15">
        <f t="shared" si="197"/>
        <v>1.988758614637939</v>
      </c>
      <c r="RO30" s="15">
        <f t="shared" si="197"/>
        <v>1.9910642257838369</v>
      </c>
      <c r="RP30" s="15">
        <f t="shared" si="197"/>
        <v>2.026747555631307</v>
      </c>
      <c r="RQ30" s="15">
        <f t="shared" si="197"/>
        <v>1.8092044743602</v>
      </c>
      <c r="RR30" s="15">
        <f t="shared" si="197"/>
        <v>1.788394005684441</v>
      </c>
      <c r="RS30" s="15">
        <f t="shared" si="197"/>
        <v>1.7080403244174462</v>
      </c>
      <c r="RT30" s="15">
        <f t="shared" si="197"/>
        <v>1.6992603535921154</v>
      </c>
      <c r="RU30" s="15">
        <f t="shared" si="197"/>
        <v>1.5747646628638667</v>
      </c>
      <c r="RV30" s="15">
        <f t="shared" si="197"/>
        <v>1.6141273978197772</v>
      </c>
      <c r="RW30" s="15">
        <f t="shared" si="197"/>
        <v>1.6790268480879484</v>
      </c>
      <c r="RX30" s="15">
        <f t="shared" si="197"/>
        <v>1.7282197452257777</v>
      </c>
      <c r="RY30" s="15">
        <f t="shared" si="197"/>
        <v>1.689398194002353</v>
      </c>
      <c r="RZ30" s="7"/>
      <c r="SA30" s="506">
        <f>AVERAGE(RM30:RY30)</f>
        <v>1.7811519386002592</v>
      </c>
      <c r="SB30" s="506">
        <f>AVERAGE(RQ30:RY30)</f>
        <v>1.6989373340059917</v>
      </c>
      <c r="SC30" s="7"/>
      <c r="SD30" s="15">
        <f t="shared" ref="SD30:SQ30" si="198">AVERAGE(SD5:SD26)</f>
        <v>7.1414000000000009</v>
      </c>
      <c r="SE30" s="15">
        <f t="shared" si="198"/>
        <v>7.1476318181818179</v>
      </c>
      <c r="SF30" s="15">
        <f t="shared" si="198"/>
        <v>8.1092954545454532</v>
      </c>
      <c r="SG30" s="15">
        <f t="shared" si="198"/>
        <v>7.8233431818181822</v>
      </c>
      <c r="SH30" s="15">
        <f t="shared" si="198"/>
        <v>8.0404659090909103</v>
      </c>
      <c r="SI30" s="15">
        <f t="shared" si="198"/>
        <v>8.4258704545454535</v>
      </c>
      <c r="SJ30" s="15">
        <f t="shared" si="198"/>
        <v>8.1399227272727277</v>
      </c>
      <c r="SK30" s="15">
        <f t="shared" si="198"/>
        <v>7.8217113636363642</v>
      </c>
      <c r="SL30" s="15">
        <f t="shared" si="198"/>
        <v>7.3756227272727299</v>
      </c>
      <c r="SM30" s="15">
        <f t="shared" si="198"/>
        <v>7.0921136363636377</v>
      </c>
      <c r="SN30" s="15">
        <f t="shared" si="198"/>
        <v>6.8540795454545451</v>
      </c>
      <c r="SO30" s="15">
        <f t="shared" si="198"/>
        <v>6.5220931818181809</v>
      </c>
      <c r="SP30" s="15">
        <f t="shared" si="198"/>
        <v>6.2873795454545442</v>
      </c>
      <c r="SQ30" s="15">
        <f t="shared" si="198"/>
        <v>6.2697045454545455</v>
      </c>
      <c r="SR30" s="15">
        <f>AVERAGE(SR5:SR26)</f>
        <v>6.6102090909090911</v>
      </c>
      <c r="SS30" s="15"/>
      <c r="ST30" s="15">
        <f>AVERAGE(SD30:SR30)</f>
        <v>7.3107228787878773</v>
      </c>
      <c r="SU30" s="487">
        <f>(SR30-SF30)/SF30</f>
        <v>-0.18486024735923123</v>
      </c>
      <c r="SV30" s="15">
        <f>SR30-SF30</f>
        <v>-1.4990863636363621</v>
      </c>
    </row>
    <row r="31" spans="1:518">
      <c r="A31" s="1032" t="s">
        <v>1970</v>
      </c>
      <c r="B31" s="3153"/>
      <c r="C31" s="2211" t="s">
        <v>1981</v>
      </c>
      <c r="D31" s="174"/>
      <c r="E31" s="224"/>
      <c r="F31" s="224"/>
      <c r="G31" s="1027"/>
      <c r="H31" s="216"/>
      <c r="I31" s="216"/>
      <c r="J31" s="216"/>
      <c r="K31" s="216"/>
      <c r="L31" s="216"/>
      <c r="M31" s="174"/>
      <c r="N31" s="216"/>
      <c r="O31" s="216"/>
      <c r="P31" s="216"/>
      <c r="Q31" s="216"/>
      <c r="R31" s="10"/>
      <c r="S31" s="7"/>
      <c r="T31" s="18"/>
      <c r="U31" s="18"/>
      <c r="V31" s="7"/>
      <c r="W31" s="7"/>
      <c r="X31" s="7"/>
      <c r="Y31" s="7"/>
      <c r="Z31" s="7"/>
      <c r="AA31" s="7"/>
      <c r="AB31" s="7"/>
      <c r="AC31" s="7"/>
      <c r="AD31" s="7"/>
      <c r="AE31" s="7"/>
      <c r="AF31" s="7"/>
      <c r="AG31" s="7"/>
      <c r="AH31" s="7"/>
      <c r="AI31" s="7"/>
      <c r="AJ31" s="7"/>
      <c r="AK31" s="7"/>
      <c r="AL31" s="7"/>
      <c r="AM31" s="7"/>
      <c r="AN31" s="7"/>
      <c r="AO31" s="7"/>
      <c r="AP31" s="7"/>
      <c r="AQ31" s="2670">
        <f>SUMPRODUCT(AQ6:AQ27,$P$5:$P$26)/$P$33</f>
        <v>24002.219162993551</v>
      </c>
      <c r="AR31" s="2670">
        <f t="shared" ref="AR31:AW31" si="199">SUMPRODUCT(AR6:AR27,$P$5:$P$26)/$P$33</f>
        <v>25148.217580465473</v>
      </c>
      <c r="AS31" s="2670">
        <f t="shared" si="199"/>
        <v>23862.969299281238</v>
      </c>
      <c r="AT31" s="2670">
        <f t="shared" si="199"/>
        <v>23636.664130683559</v>
      </c>
      <c r="AU31" s="2670">
        <f t="shared" si="199"/>
        <v>23480.597643081986</v>
      </c>
      <c r="AV31" s="2670">
        <f t="shared" si="199"/>
        <v>23038.614205532573</v>
      </c>
      <c r="AW31" s="2670">
        <f t="shared" si="199"/>
        <v>22670.608281967845</v>
      </c>
      <c r="AX31" s="2670"/>
      <c r="AY31" s="13">
        <f>AVERAGE(AQ31:AW31)</f>
        <v>23691.412900572319</v>
      </c>
      <c r="AZ31" s="10">
        <f t="shared" si="4"/>
        <v>-5.5478656868477166E-2</v>
      </c>
      <c r="BA31" s="7"/>
      <c r="BB31" s="7"/>
      <c r="BC31" s="7"/>
      <c r="BD31" s="7"/>
      <c r="BE31" s="7"/>
      <c r="BF31" s="7"/>
      <c r="BG31" s="7"/>
      <c r="BH31" s="7"/>
      <c r="BI31" s="7"/>
      <c r="BJ31" s="7"/>
      <c r="BK31" s="7"/>
      <c r="BL31" s="7"/>
      <c r="BM31" s="7"/>
      <c r="BN31" s="7"/>
      <c r="BO31" s="7"/>
      <c r="BP31" s="7"/>
      <c r="BQ31" s="7"/>
      <c r="BR31" s="7"/>
      <c r="BS31" s="7"/>
      <c r="BT31" s="7"/>
      <c r="BU31" s="13"/>
      <c r="BV31" s="13"/>
      <c r="BW31" s="13"/>
      <c r="BX31" s="13"/>
      <c r="BY31" s="13"/>
      <c r="BZ31" s="13"/>
      <c r="CA31" s="13"/>
      <c r="CB31" s="13"/>
      <c r="CC31" s="13"/>
      <c r="CD31" s="13"/>
      <c r="CE31" s="13"/>
      <c r="CF31" s="13"/>
      <c r="CG31" s="13"/>
      <c r="CH31" s="13"/>
      <c r="CI31" s="13"/>
      <c r="CJ31" s="13"/>
      <c r="CK31" s="13"/>
      <c r="CL31" s="10"/>
      <c r="CM31" s="7"/>
      <c r="CN31" s="7"/>
      <c r="CO31" s="18">
        <f>SUMPRODUCT(CO5:CO26,$P$5:$P$26)/$P$33</f>
        <v>1.862111955319673E-2</v>
      </c>
      <c r="CP31" s="18">
        <f t="shared" ref="CP31:DC31" si="200">SUMPRODUCT(CP5:CP26,$P$5:$P$26)/$P$33</f>
        <v>2.0310790545585735E-2</v>
      </c>
      <c r="CQ31" s="18">
        <f t="shared" si="200"/>
        <v>1.9265757609764171E-2</v>
      </c>
      <c r="CR31" s="18">
        <f t="shared" si="200"/>
        <v>2.5091546423954711E-2</v>
      </c>
      <c r="CS31" s="18">
        <f t="shared" si="200"/>
        <v>2.3660601272624007E-2</v>
      </c>
      <c r="CT31" s="18">
        <f t="shared" si="200"/>
        <v>2.2040373009857464E-2</v>
      </c>
      <c r="CU31" s="18">
        <f t="shared" si="200"/>
        <v>2.2216083463716493E-2</v>
      </c>
      <c r="CV31" s="18">
        <f t="shared" si="200"/>
        <v>2.4847830357195021E-2</v>
      </c>
      <c r="CW31" s="18">
        <f t="shared" si="200"/>
        <v>2.4885275082273409E-2</v>
      </c>
      <c r="CX31" s="18">
        <f t="shared" si="200"/>
        <v>2.3659296824556076E-2</v>
      </c>
      <c r="CY31" s="18">
        <f t="shared" si="200"/>
        <v>2.3277568427034427E-2</v>
      </c>
      <c r="CZ31" s="18">
        <f t="shared" si="200"/>
        <v>2.3323763291233521E-2</v>
      </c>
      <c r="DA31" s="18">
        <f t="shared" si="200"/>
        <v>2.7016130805535488E-2</v>
      </c>
      <c r="DB31" s="18">
        <f t="shared" si="200"/>
        <v>2.7232060314568287E-2</v>
      </c>
      <c r="DC31" s="18">
        <f t="shared" si="200"/>
        <v>2.8399345016771136E-2</v>
      </c>
      <c r="DD31" s="7"/>
      <c r="DE31" s="18">
        <f t="shared" si="55"/>
        <v>2.4224279376852634E-2</v>
      </c>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1358"/>
      <c r="EF31" s="3984">
        <f>SUMPRODUCT(EF5:EF26,$P$5:$P$26)/$P$33</f>
        <v>2.1166466694883996</v>
      </c>
      <c r="EG31" s="3984">
        <f>SUMPRODUCT(EG5:EG26,$P$5:$P$26)/$P$33</f>
        <v>2.1523233399836865</v>
      </c>
      <c r="EH31" s="3984">
        <f>SUMPRODUCT(EH5:EH26,$P$5:$P$26)/$P$33</f>
        <v>1.9903242804336594</v>
      </c>
      <c r="EI31" s="3984">
        <f>SUMPRODUCT(EI5:EI26,$P$5:$P$26)/$P$33</f>
        <v>2.0595539241796716</v>
      </c>
      <c r="EJ31" s="2677"/>
      <c r="EK31" s="3985">
        <f>SUMPRODUCT(EK5:EK26,$P$5:$P$26)/$P$33</f>
        <v>2.0751434582185557</v>
      </c>
      <c r="EL31" s="3983">
        <f t="shared" si="5"/>
        <v>-2.6973205368531105E-2</v>
      </c>
      <c r="EM31" s="1358"/>
      <c r="EN31" s="1030">
        <f>SUMPRODUCT(EN5:EN26,$P$5:$P$26)/$P$33</f>
        <v>6.2332284101908275</v>
      </c>
      <c r="EO31" s="1030">
        <f t="shared" ref="EO31:FB31" si="201">SUMPRODUCT(EO5:EO26,$P$5:$P$26)/$P$33</f>
        <v>6.0735182415098201</v>
      </c>
      <c r="EP31" s="1030">
        <f t="shared" si="201"/>
        <v>6.0367420328423833</v>
      </c>
      <c r="EQ31" s="1030">
        <f t="shared" si="201"/>
        <v>6.2994253589623881</v>
      </c>
      <c r="ER31" s="1030">
        <f t="shared" si="201"/>
        <v>6.2628758652803924</v>
      </c>
      <c r="ES31" s="1030">
        <f t="shared" si="201"/>
        <v>6.4151990509769563</v>
      </c>
      <c r="ET31" s="1030">
        <f t="shared" si="201"/>
        <v>6.1402976443529074</v>
      </c>
      <c r="EU31" s="1030">
        <f t="shared" si="201"/>
        <v>5.6966914560228368</v>
      </c>
      <c r="EV31" s="1030">
        <f t="shared" si="201"/>
        <v>5.6588432040681997</v>
      </c>
      <c r="EW31" s="1030">
        <f t="shared" si="201"/>
        <v>5.6993412031333603</v>
      </c>
      <c r="EX31" s="1030">
        <f t="shared" si="201"/>
        <v>5.8711471704560072</v>
      </c>
      <c r="EY31" s="1030">
        <f t="shared" si="201"/>
        <v>6.0476784171877958</v>
      </c>
      <c r="EZ31" s="1030">
        <f t="shared" si="201"/>
        <v>6.0878365506762746</v>
      </c>
      <c r="FA31" s="1030">
        <f t="shared" si="201"/>
        <v>6.3299322564761455</v>
      </c>
      <c r="FB31" s="1030">
        <f t="shared" si="201"/>
        <v>6.3476696866947151</v>
      </c>
      <c r="FC31" s="216"/>
      <c r="FD31" s="15">
        <f t="shared" si="59"/>
        <v>6.0687446074715661</v>
      </c>
      <c r="FE31" s="229">
        <f>(FB31-EP31)/EP31</f>
        <v>5.1505870577333975E-2</v>
      </c>
      <c r="FF31" s="15">
        <f t="shared" si="60"/>
        <v>6.0294636640045205</v>
      </c>
      <c r="FG31" s="2206"/>
      <c r="FH31" s="1030">
        <f>SUMPRODUCT(FH5:FH26,$P$5:$P$26)/$P$33</f>
        <v>6.222614234096155</v>
      </c>
      <c r="FI31" s="1030">
        <f t="shared" ref="FI31:FV31" si="202">SUMPRODUCT(FI5:FI26,$P$5:$P$26)/$P$33</f>
        <v>6.0870822835807585</v>
      </c>
      <c r="FJ31" s="1030">
        <f t="shared" si="202"/>
        <v>6.0588108286469229</v>
      </c>
      <c r="FK31" s="1030">
        <f t="shared" si="202"/>
        <v>6.3198297775180539</v>
      </c>
      <c r="FL31" s="1030">
        <f t="shared" si="202"/>
        <v>6.2927597014042309</v>
      </c>
      <c r="FM31" s="1030">
        <f t="shared" si="202"/>
        <v>6.4378786429054689</v>
      </c>
      <c r="FN31" s="1030">
        <f t="shared" si="202"/>
        <v>6.1747926706434155</v>
      </c>
      <c r="FO31" s="1030">
        <f t="shared" si="202"/>
        <v>5.7566940897775982</v>
      </c>
      <c r="FP31" s="1030">
        <f t="shared" si="202"/>
        <v>5.7215474264468904</v>
      </c>
      <c r="FQ31" s="1030">
        <f t="shared" si="202"/>
        <v>5.7576328985557916</v>
      </c>
      <c r="FR31" s="1030">
        <f t="shared" si="202"/>
        <v>5.9236129588342159</v>
      </c>
      <c r="FS31" s="1030">
        <f t="shared" si="202"/>
        <v>6.0900716560515731</v>
      </c>
      <c r="FT31" s="1030">
        <f t="shared" si="202"/>
        <v>6.1292883901561837</v>
      </c>
      <c r="FU31" s="1030">
        <f t="shared" si="202"/>
        <v>6.3601546632859129</v>
      </c>
      <c r="FV31" s="1030">
        <f t="shared" si="202"/>
        <v>6.3729465650486059</v>
      </c>
      <c r="FW31" s="1358"/>
      <c r="FX31" s="506">
        <f>AVERAGE(FJ31:FV31)</f>
        <v>6.1073861745596041</v>
      </c>
      <c r="FY31" s="10">
        <f>(FV31-FJ31)/FJ31</f>
        <v>5.1847754499349016E-2</v>
      </c>
      <c r="FZ31" s="15">
        <f>FX31-FD31</f>
        <v>3.8641567088038009E-2</v>
      </c>
      <c r="GA31" s="15">
        <f>AVERAGE(FM31:FV31)</f>
        <v>6.0724619961705653</v>
      </c>
      <c r="GB31" s="15">
        <f t="shared" si="64"/>
        <v>4.2998332166044761E-2</v>
      </c>
      <c r="GC31" s="15">
        <f>AVERAGE(FR31:FV31)-AVERAGE(EX31:FB31)</f>
        <v>3.8362030377110834E-2</v>
      </c>
      <c r="GD31" s="216"/>
      <c r="GE31" s="1030">
        <f t="shared" ref="GE31:GS31" si="203">SUMPRODUCT(GE5:GE26,$P$5:$P$26)/$P$33</f>
        <v>6.222614234096155</v>
      </c>
      <c r="GF31" s="1030">
        <f t="shared" si="203"/>
        <v>6.0870822835807585</v>
      </c>
      <c r="GG31" s="1030">
        <f t="shared" si="203"/>
        <v>6.0588108286469229</v>
      </c>
      <c r="GH31" s="1030">
        <f t="shared" si="203"/>
        <v>6.3198297775180539</v>
      </c>
      <c r="GI31" s="1030">
        <f t="shared" si="203"/>
        <v>6.2927597014042309</v>
      </c>
      <c r="GJ31" s="1030">
        <f t="shared" si="203"/>
        <v>6.4378786429054689</v>
      </c>
      <c r="GK31" s="1030">
        <f t="shared" si="203"/>
        <v>6.1747926706434155</v>
      </c>
      <c r="GL31" s="1030">
        <f t="shared" si="203"/>
        <v>5.7566940897775982</v>
      </c>
      <c r="GM31" s="1030">
        <f t="shared" si="203"/>
        <v>5.7215474264468904</v>
      </c>
      <c r="GN31" s="1030">
        <f t="shared" si="203"/>
        <v>5.7576328985557916</v>
      </c>
      <c r="GO31" s="1030">
        <f t="shared" si="203"/>
        <v>5.9236129588342159</v>
      </c>
      <c r="GP31" s="1030">
        <f t="shared" si="203"/>
        <v>6.0900716560515731</v>
      </c>
      <c r="GQ31" s="1030">
        <f t="shared" si="203"/>
        <v>6.1292883901561837</v>
      </c>
      <c r="GR31" s="1030">
        <f t="shared" si="203"/>
        <v>6.3601546632859129</v>
      </c>
      <c r="GS31" s="1030">
        <f t="shared" si="203"/>
        <v>6.3729465650486059</v>
      </c>
      <c r="GT31" s="1030"/>
      <c r="GU31" s="1030">
        <f t="shared" si="65"/>
        <v>6.1137144524634524</v>
      </c>
      <c r="GV31" s="947">
        <f>(GS31-GG31)/GG31</f>
        <v>5.1847754499349016E-2</v>
      </c>
      <c r="GW31" s="1030">
        <f>AVERAGE(GJ31:GS31)</f>
        <v>6.0724619961705653</v>
      </c>
      <c r="GX31" s="216"/>
      <c r="GY31" s="2672">
        <f t="shared" ref="GY31:HM31" si="204">SUMPRODUCT(GY5:GY26,$P$5:$P$26)/$P$33</f>
        <v>0.34021856229410641</v>
      </c>
      <c r="GZ31" s="2672">
        <f t="shared" si="204"/>
        <v>0.34654444648136501</v>
      </c>
      <c r="HA31" s="2672">
        <f t="shared" si="204"/>
        <v>0.36870978707283392</v>
      </c>
      <c r="HB31" s="2672">
        <f t="shared" si="204"/>
        <v>0.34469529897136997</v>
      </c>
      <c r="HC31" s="2672">
        <f t="shared" si="204"/>
        <v>0.3399004929971291</v>
      </c>
      <c r="HD31" s="2672">
        <f t="shared" si="204"/>
        <v>0.32807732068202422</v>
      </c>
      <c r="HE31" s="2672">
        <f t="shared" si="204"/>
        <v>0.34689040581461794</v>
      </c>
      <c r="HF31" s="2672">
        <f t="shared" si="204"/>
        <v>0.36483241023615559</v>
      </c>
      <c r="HG31" s="2672">
        <f t="shared" si="204"/>
        <v>0.36542528030930288</v>
      </c>
      <c r="HH31" s="2672">
        <f t="shared" si="204"/>
        <v>0.36927963445136885</v>
      </c>
      <c r="HI31" s="2672">
        <f t="shared" si="204"/>
        <v>0.38717289813152672</v>
      </c>
      <c r="HJ31" s="2672">
        <f t="shared" si="204"/>
        <v>0.37510854924616999</v>
      </c>
      <c r="HK31" s="2672">
        <f t="shared" si="204"/>
        <v>0.38501234304704068</v>
      </c>
      <c r="HL31" s="2672">
        <f t="shared" si="204"/>
        <v>0.38966744031333661</v>
      </c>
      <c r="HM31" s="2672">
        <f t="shared" si="204"/>
        <v>0.39172271852101165</v>
      </c>
      <c r="HN31" s="1358"/>
      <c r="HO31" s="947">
        <f>AVERAGE(HO6:HO27)</f>
        <v>0.35518564070538994</v>
      </c>
      <c r="HP31" s="947">
        <f t="shared" si="69"/>
        <v>6.2414756144327191E-2</v>
      </c>
      <c r="HQ31" s="7"/>
      <c r="HR31" s="2672">
        <f t="shared" ref="HR31:IF31" si="205">SUMPRODUCT(HR5:HR26,$P$5:$P$26)/$P$33</f>
        <v>0.58067843699338906</v>
      </c>
      <c r="HS31" s="2672">
        <f t="shared" si="205"/>
        <v>0.60000537043140512</v>
      </c>
      <c r="HT31" s="2672">
        <f t="shared" si="205"/>
        <v>0.67375733570459473</v>
      </c>
      <c r="HU31" s="2672">
        <f t="shared" si="205"/>
        <v>0.60694689534567281</v>
      </c>
      <c r="HV31" s="2672">
        <f t="shared" si="205"/>
        <v>0.59162616357098718</v>
      </c>
      <c r="HW31" s="2672">
        <f t="shared" si="205"/>
        <v>0.55131899279890528</v>
      </c>
      <c r="HX31" s="2672">
        <f t="shared" si="205"/>
        <v>0.60205662798051807</v>
      </c>
      <c r="HY31" s="2672">
        <f t="shared" si="205"/>
        <v>0.68133018264472112</v>
      </c>
      <c r="HZ31" s="2672">
        <f t="shared" si="205"/>
        <v>0.68903498234782501</v>
      </c>
      <c r="IA31" s="2672">
        <f t="shared" si="205"/>
        <v>0.69934417765446999</v>
      </c>
      <c r="IB31" s="2672">
        <f t="shared" si="205"/>
        <v>0.79335842409444135</v>
      </c>
      <c r="IC31" s="2672">
        <f t="shared" si="205"/>
        <v>0.7588871405719384</v>
      </c>
      <c r="ID31" s="2672">
        <f t="shared" si="205"/>
        <v>0.80447538467118151</v>
      </c>
      <c r="IE31" s="2672">
        <f t="shared" si="205"/>
        <v>0.86524342638512197</v>
      </c>
      <c r="IF31" s="2672">
        <f t="shared" si="205"/>
        <v>0.83266618496937728</v>
      </c>
      <c r="IG31" s="1358"/>
      <c r="IH31" s="947">
        <f>AVERAGE(HT31:IF31)</f>
        <v>0.70384968605690412</v>
      </c>
      <c r="II31" s="947">
        <f>(IF31-HT31)/HT31</f>
        <v>0.23585472223259812</v>
      </c>
      <c r="IJ31" s="7"/>
      <c r="IK31" s="2672">
        <f t="shared" ref="IK31:IY31" si="206">SUMPRODUCT(IK5:IK26,$P$5:$P$26)/$P$33</f>
        <v>0.37968828569644775</v>
      </c>
      <c r="IL31" s="2672">
        <f t="shared" si="206"/>
        <v>0.38586583706422872</v>
      </c>
      <c r="IM31" s="2672">
        <f t="shared" si="206"/>
        <v>0.40654954504715174</v>
      </c>
      <c r="IN31" s="2672">
        <f t="shared" si="206"/>
        <v>0.3824322990254409</v>
      </c>
      <c r="IO31" s="2672">
        <f t="shared" si="206"/>
        <v>0.37781929811370379</v>
      </c>
      <c r="IP31" s="2672">
        <f t="shared" si="206"/>
        <v>0.36643860937050921</v>
      </c>
      <c r="IQ31" s="2672">
        <f t="shared" si="206"/>
        <v>0.38501032993329776</v>
      </c>
      <c r="IR31" s="2672">
        <f t="shared" si="206"/>
        <v>0.40387794304009084</v>
      </c>
      <c r="IS31" s="2672">
        <f t="shared" si="206"/>
        <v>0.40525688188259312</v>
      </c>
      <c r="IT31" s="2672">
        <f t="shared" si="206"/>
        <v>0.40872058617777762</v>
      </c>
      <c r="IU31" s="2672">
        <f t="shared" si="206"/>
        <v>0.42618710204261429</v>
      </c>
      <c r="IV31" s="2672">
        <f t="shared" si="206"/>
        <v>0.41537781049959438</v>
      </c>
      <c r="IW31" s="2672">
        <f t="shared" si="206"/>
        <v>0.42594518163299261</v>
      </c>
      <c r="IX31" s="2672">
        <f t="shared" si="206"/>
        <v>0.42941031385180367</v>
      </c>
      <c r="IY31" s="2672">
        <f t="shared" si="206"/>
        <v>0.43153614507593946</v>
      </c>
      <c r="IZ31" s="1358"/>
      <c r="JA31" s="10">
        <f>AVERAGE(IM31:IY31)</f>
        <v>0.40496631120719306</v>
      </c>
      <c r="JB31" s="10">
        <f>(IY31-IM31)/IM31</f>
        <v>6.1460159857981804E-2</v>
      </c>
      <c r="JC31" s="10">
        <f>JA31-HO31</f>
        <v>4.9780670501803126E-2</v>
      </c>
      <c r="JD31" s="10">
        <f>JC31/HO31</f>
        <v>0.14015394992584707</v>
      </c>
      <c r="JE31" s="7"/>
      <c r="JF31" s="2672">
        <f t="shared" ref="JF31:JT31" si="207">SUMPRODUCT(JF5:JF26,$P$5:$P$26)/$P$33</f>
        <v>0.71150862587613195</v>
      </c>
      <c r="JG31" s="2672">
        <f t="shared" si="207"/>
        <v>0.73169136942203272</v>
      </c>
      <c r="JH31" s="2672">
        <f t="shared" si="207"/>
        <v>0.80595455116485881</v>
      </c>
      <c r="JI31" s="2672">
        <f t="shared" si="207"/>
        <v>0.72919021548771457</v>
      </c>
      <c r="JJ31" s="2672">
        <f t="shared" si="207"/>
        <v>0.70667138188034628</v>
      </c>
      <c r="JK31" s="2672">
        <f t="shared" si="207"/>
        <v>0.66004926754467219</v>
      </c>
      <c r="JL31" s="2672">
        <f t="shared" si="207"/>
        <v>0.71297712631713139</v>
      </c>
      <c r="JM31" s="2672">
        <f t="shared" si="207"/>
        <v>0.80992040268812671</v>
      </c>
      <c r="JN31" s="2672">
        <f t="shared" si="207"/>
        <v>0.81965615037171458</v>
      </c>
      <c r="JO31" s="2672">
        <f t="shared" si="207"/>
        <v>0.82992311491184245</v>
      </c>
      <c r="JP31" s="2672">
        <f t="shared" si="207"/>
        <v>0.9359159978767746</v>
      </c>
      <c r="JQ31" s="2672">
        <f t="shared" si="207"/>
        <v>0.89862288665409995</v>
      </c>
      <c r="JR31" s="2672">
        <f t="shared" si="207"/>
        <v>0.95668759201286357</v>
      </c>
      <c r="JS31" s="2672">
        <f t="shared" si="207"/>
        <v>1.0214296225794599</v>
      </c>
      <c r="JT31" s="2672">
        <f t="shared" si="207"/>
        <v>0.98059637613119988</v>
      </c>
      <c r="JU31" s="1358"/>
      <c r="JV31" s="10">
        <f>AVERAGE(JH31:JT31)</f>
        <v>0.835968821970831</v>
      </c>
      <c r="JW31" s="10">
        <f>(JT31-JH31)/JH31</f>
        <v>0.21668942090336046</v>
      </c>
      <c r="JX31" s="10">
        <f>JV31-IH31</f>
        <v>0.13211913591392688</v>
      </c>
      <c r="JY31" s="10">
        <f>JX31/IH31</f>
        <v>0.18770930573839234</v>
      </c>
      <c r="JZ31" s="7"/>
      <c r="KA31" s="15">
        <f t="shared" ref="KA31:KO31" si="208">SUMPRODUCT(KA5:KA26,$P$5:$P$26)/$P$33</f>
        <v>2.0117406507154851</v>
      </c>
      <c r="KB31" s="15">
        <f t="shared" si="208"/>
        <v>1.9817619489994329</v>
      </c>
      <c r="KC31" s="15">
        <f t="shared" si="208"/>
        <v>2.0846579478638159</v>
      </c>
      <c r="KD31" s="15">
        <f t="shared" si="208"/>
        <v>2.0177555270371852</v>
      </c>
      <c r="KE31" s="15">
        <f t="shared" si="208"/>
        <v>1.9687616997593027</v>
      </c>
      <c r="KF31" s="15">
        <f t="shared" si="208"/>
        <v>1.9606014053235123</v>
      </c>
      <c r="KG31" s="15">
        <f t="shared" si="208"/>
        <v>2.0092186729305257</v>
      </c>
      <c r="KH31" s="15">
        <f t="shared" si="208"/>
        <v>1.9477778774250594</v>
      </c>
      <c r="KI31" s="15">
        <f t="shared" si="208"/>
        <v>1.9362507253124406</v>
      </c>
      <c r="KJ31" s="15">
        <f t="shared" si="208"/>
        <v>1.967582394048083</v>
      </c>
      <c r="KK31" s="15">
        <f t="shared" si="208"/>
        <v>2.0821925766478566</v>
      </c>
      <c r="KL31" s="15">
        <f t="shared" si="208"/>
        <v>2.0036739884312702</v>
      </c>
      <c r="KM31" s="15">
        <f t="shared" si="208"/>
        <v>2.0366284962279368</v>
      </c>
      <c r="KN31" s="15">
        <f t="shared" si="208"/>
        <v>2.1188504842739673</v>
      </c>
      <c r="KO31" s="15">
        <f t="shared" si="208"/>
        <v>2.160538955159705</v>
      </c>
      <c r="KP31" s="1358"/>
      <c r="KQ31" s="15">
        <f>AVERAGE(KM31:KO31)</f>
        <v>2.105339311887203</v>
      </c>
      <c r="KR31" s="15">
        <f>AVERAGE(KL31:KO31)</f>
        <v>2.0799229810232198</v>
      </c>
      <c r="KS31" s="15">
        <f>AVERAGE(KC31:KO31)</f>
        <v>2.0226531346492815</v>
      </c>
      <c r="KT31" s="18">
        <f>(KO31-KC31)/KC31</f>
        <v>3.6399740002260629E-2</v>
      </c>
      <c r="KU31" s="7"/>
      <c r="KV31" s="7"/>
      <c r="KW31" s="15">
        <f t="shared" ref="KW31:LK31" si="209">SUMPRODUCT(KW5:KW26,$P$5:$P$26)/$P$33</f>
        <v>2.2421758788158757</v>
      </c>
      <c r="KX31" s="15">
        <f t="shared" si="209"/>
        <v>2.2139598433909797</v>
      </c>
      <c r="KY31" s="15">
        <f t="shared" si="209"/>
        <v>2.3148022305677842</v>
      </c>
      <c r="KZ31" s="15">
        <f t="shared" si="209"/>
        <v>2.2534792503611376</v>
      </c>
      <c r="LA31" s="15">
        <f t="shared" si="209"/>
        <v>2.2094495859410199</v>
      </c>
      <c r="LB31" s="15">
        <f t="shared" si="209"/>
        <v>2.204397006042341</v>
      </c>
      <c r="LC31" s="15">
        <f t="shared" si="209"/>
        <v>2.248714780525304</v>
      </c>
      <c r="LD31" s="15">
        <f t="shared" si="209"/>
        <v>2.1870840448448257</v>
      </c>
      <c r="LE31" s="15">
        <f t="shared" si="209"/>
        <v>2.1763192916708913</v>
      </c>
      <c r="LF31" s="15">
        <f t="shared" si="209"/>
        <v>2.2094053609324553</v>
      </c>
      <c r="LG31" s="15">
        <f t="shared" si="209"/>
        <v>2.329161610939761</v>
      </c>
      <c r="LH31" s="15">
        <f t="shared" si="209"/>
        <v>2.2650753618314341</v>
      </c>
      <c r="LI31" s="15">
        <f t="shared" si="209"/>
        <v>2.3046524358286677</v>
      </c>
      <c r="LJ31" s="15">
        <f t="shared" si="209"/>
        <v>2.383417672048715</v>
      </c>
      <c r="LK31" s="15">
        <f t="shared" si="209"/>
        <v>2.4250220019261648</v>
      </c>
      <c r="LL31" s="1358"/>
      <c r="LM31" s="15">
        <f>AVERAGE(LI31:LK31)</f>
        <v>2.371030703267849</v>
      </c>
      <c r="LN31" s="15">
        <f>AVERAGE(LH31:LK31)</f>
        <v>2.3445418679087453</v>
      </c>
      <c r="LO31" s="15">
        <f t="shared" si="85"/>
        <v>0.26461888688552548</v>
      </c>
      <c r="LP31" s="15">
        <f>AVERAGE(KY31:LK31)</f>
        <v>2.2700754333431155</v>
      </c>
      <c r="LQ31" s="18">
        <f>(LK31-KY31)/KY31</f>
        <v>4.7615200081842592E-2</v>
      </c>
      <c r="LR31" s="15">
        <f>LP31-KS31</f>
        <v>0.24742229869383392</v>
      </c>
      <c r="LS31" s="7"/>
      <c r="LT31" s="15">
        <f t="shared" ref="LT31:MH31" si="210">SUMPRODUCT(LT5:LT26,$P$5:$P$26)/$P$33</f>
        <v>2.2421758788158757</v>
      </c>
      <c r="LU31" s="15">
        <f t="shared" si="210"/>
        <v>2.2139598433909797</v>
      </c>
      <c r="LV31" s="15">
        <f t="shared" si="210"/>
        <v>2.3148022305677842</v>
      </c>
      <c r="LW31" s="15">
        <f t="shared" si="210"/>
        <v>2.2534792503611376</v>
      </c>
      <c r="LX31" s="15">
        <f t="shared" si="210"/>
        <v>2.2094495859410199</v>
      </c>
      <c r="LY31" s="15">
        <f t="shared" si="210"/>
        <v>2.204397006042341</v>
      </c>
      <c r="LZ31" s="15">
        <f t="shared" si="210"/>
        <v>2.248714780525304</v>
      </c>
      <c r="MA31" s="15">
        <f t="shared" si="210"/>
        <v>2.1870840448448257</v>
      </c>
      <c r="MB31" s="15">
        <f t="shared" si="210"/>
        <v>2.1763192916708913</v>
      </c>
      <c r="MC31" s="15">
        <f t="shared" si="210"/>
        <v>2.2094053609324553</v>
      </c>
      <c r="MD31" s="15">
        <f t="shared" si="210"/>
        <v>2.329161610939761</v>
      </c>
      <c r="ME31" s="15">
        <f t="shared" si="210"/>
        <v>2.2650753618314341</v>
      </c>
      <c r="MF31" s="15">
        <f t="shared" si="210"/>
        <v>2.3046524358286677</v>
      </c>
      <c r="MG31" s="15">
        <f t="shared" si="210"/>
        <v>2.383417672048715</v>
      </c>
      <c r="MH31" s="15">
        <f t="shared" si="210"/>
        <v>2.4250220019261648</v>
      </c>
      <c r="MI31" s="2728"/>
      <c r="MJ31" s="15">
        <f>AVERAGE(MF31:MH31)</f>
        <v>2.371030703267849</v>
      </c>
      <c r="MK31" s="15">
        <f>AVERAGE(ME31:MH31)</f>
        <v>2.3445418679087453</v>
      </c>
      <c r="ML31" s="506">
        <f>AVERAGE(LV31:MH31)</f>
        <v>2.2700754333431155</v>
      </c>
      <c r="MM31" s="10">
        <f>(MH31-LV31)/LV31</f>
        <v>4.7615200081842592E-2</v>
      </c>
      <c r="MN31" s="7"/>
      <c r="MO31" s="15">
        <f t="shared" ref="MO31:NC31" si="211">SUMPRODUCT(MO5:MO26,$P$5:$P$26)/$P$33</f>
        <v>2.2896917019843994</v>
      </c>
      <c r="MP31" s="15">
        <f t="shared" si="211"/>
        <v>2.3052169250048906</v>
      </c>
      <c r="MQ31" s="15">
        <f t="shared" si="211"/>
        <v>2.4126668114813712</v>
      </c>
      <c r="MR31" s="15">
        <f t="shared" si="211"/>
        <v>2.3893626789976783</v>
      </c>
      <c r="MS31" s="15">
        <f t="shared" si="211"/>
        <v>2.2934746217605699</v>
      </c>
      <c r="MT31" s="15">
        <f t="shared" si="211"/>
        <v>2.288373025223053</v>
      </c>
      <c r="MU31" s="15">
        <f t="shared" si="211"/>
        <v>2.2658846168800353</v>
      </c>
      <c r="MV31" s="15">
        <f t="shared" si="211"/>
        <v>2.209765225887228</v>
      </c>
      <c r="MW31" s="15">
        <f t="shared" si="211"/>
        <v>2.2101927525631386</v>
      </c>
      <c r="MX31" s="15">
        <f t="shared" si="211"/>
        <v>2.286145981017361</v>
      </c>
      <c r="MY31" s="15">
        <f t="shared" si="211"/>
        <v>2.3662577858859484</v>
      </c>
      <c r="MZ31" s="15">
        <f t="shared" si="211"/>
        <v>2.3111682338254278</v>
      </c>
      <c r="NA31" s="15">
        <f t="shared" si="211"/>
        <v>2.4098520077704046</v>
      </c>
      <c r="NB31" s="15">
        <f t="shared" si="211"/>
        <v>2.5339664955722165</v>
      </c>
      <c r="NC31" s="15">
        <f t="shared" si="211"/>
        <v>2.5782608266815545</v>
      </c>
      <c r="ND31" s="15"/>
      <c r="NE31" s="15">
        <f>NC31-KO31</f>
        <v>0.41772187152184959</v>
      </c>
      <c r="NF31" s="15">
        <f>AVERAGE(NA31:NC31)</f>
        <v>2.5073597766747251</v>
      </c>
      <c r="NG31" s="15">
        <f>NF31-KQ31</f>
        <v>0.40202046478752207</v>
      </c>
      <c r="NH31" s="15">
        <f>AVERAGE(MZ31:NC31)</f>
        <v>2.4583118909624009</v>
      </c>
      <c r="NI31" s="15">
        <f>AVERAGE(MQ31:NC31)</f>
        <v>2.3504131587343067</v>
      </c>
      <c r="NJ31" s="18">
        <f>(NC31-MQ31)/MQ31</f>
        <v>6.8635260539149645E-2</v>
      </c>
      <c r="NK31" s="15">
        <f>NI31-KS31</f>
        <v>0.32776002408502514</v>
      </c>
      <c r="NL31" s="2815"/>
      <c r="NM31" s="15"/>
      <c r="NN31" s="15">
        <f t="shared" ref="NN31:OB31" si="212">SUMPRODUCT(NN5:NN26,$P$5:$P$26)/$P$33</f>
        <v>2.5049445159463306</v>
      </c>
      <c r="NO31" s="15">
        <f t="shared" si="212"/>
        <v>2.5197504615822424</v>
      </c>
      <c r="NP31" s="15">
        <f t="shared" si="212"/>
        <v>2.6267800999095807</v>
      </c>
      <c r="NQ31" s="15">
        <f t="shared" si="212"/>
        <v>2.6079233766352408</v>
      </c>
      <c r="NR31" s="15">
        <f t="shared" si="212"/>
        <v>2.5200475608873472</v>
      </c>
      <c r="NS31" s="15">
        <f t="shared" si="212"/>
        <v>2.5191601377113431</v>
      </c>
      <c r="NT31" s="15">
        <f t="shared" si="212"/>
        <v>2.4942502269829077</v>
      </c>
      <c r="NU31" s="15">
        <f t="shared" si="212"/>
        <v>2.4385109905339415</v>
      </c>
      <c r="NV31" s="15">
        <f t="shared" si="212"/>
        <v>2.4388564593918436</v>
      </c>
      <c r="NW31" s="15">
        <f t="shared" si="212"/>
        <v>2.5142597048453386</v>
      </c>
      <c r="NX31" s="15">
        <f t="shared" si="212"/>
        <v>2.5998968837034844</v>
      </c>
      <c r="NY31" s="15">
        <f t="shared" si="212"/>
        <v>2.5578012744418985</v>
      </c>
      <c r="NZ31" s="15">
        <f t="shared" si="212"/>
        <v>2.6575734818629462</v>
      </c>
      <c r="OA31" s="15">
        <f t="shared" si="212"/>
        <v>2.77671162940279</v>
      </c>
      <c r="OB31" s="15">
        <f t="shared" si="212"/>
        <v>2.819548261392554</v>
      </c>
      <c r="OC31" s="15"/>
      <c r="OD31" s="15">
        <f>OB31-LK31</f>
        <v>0.3945262594663892</v>
      </c>
      <c r="OE31" s="15">
        <f>AVERAGE(NZ31:OB31)</f>
        <v>2.7512777908860966</v>
      </c>
      <c r="OF31" s="15">
        <f>OE31-LM31</f>
        <v>0.38024708761824755</v>
      </c>
      <c r="OG31" s="15">
        <f>AVERAGE(NY31:OB31)</f>
        <v>2.7029086617750471</v>
      </c>
      <c r="OH31" s="15">
        <f>AVERAGE(NP31:OB31)</f>
        <v>2.5824092375154781</v>
      </c>
      <c r="OI31" s="18">
        <f>(OB31-NP31)/NP31</f>
        <v>7.3385724785111919E-2</v>
      </c>
      <c r="OJ31" s="15">
        <f>OH31-LP31</f>
        <v>0.31233380417236267</v>
      </c>
      <c r="OK31" s="15"/>
      <c r="OL31" s="15"/>
      <c r="OM31" s="15"/>
      <c r="ON31" s="15"/>
      <c r="OO31" s="15"/>
      <c r="OP31" s="15"/>
      <c r="OQ31" s="15"/>
      <c r="OR31" s="15"/>
      <c r="OS31" s="15"/>
      <c r="OT31" s="15"/>
      <c r="OU31" s="15"/>
      <c r="OV31" s="15"/>
      <c r="OW31" s="15"/>
      <c r="OX31" s="15"/>
      <c r="OY31" s="15"/>
      <c r="OZ31" s="15"/>
      <c r="PA31" s="166"/>
      <c r="PB31" s="166"/>
      <c r="PC31" s="2672">
        <f t="shared" ref="PC31:PQ31" si="213">SUMPRODUCT(PC5:PC26,$P$5:$P$26)/$P$33</f>
        <v>0.52938255893767205</v>
      </c>
      <c r="PD31" s="2672">
        <f t="shared" si="213"/>
        <v>0.51769717198323884</v>
      </c>
      <c r="PE31" s="2672">
        <f t="shared" si="213"/>
        <v>0.53426779711108441</v>
      </c>
      <c r="PF31" s="2672">
        <f t="shared" si="213"/>
        <v>0.49536830425479128</v>
      </c>
      <c r="PG31" s="2672">
        <f t="shared" si="213"/>
        <v>0.48746819008351427</v>
      </c>
      <c r="PH31" s="2672">
        <f t="shared" si="213"/>
        <v>0.47985897790351484</v>
      </c>
      <c r="PI31" s="2672">
        <f t="shared" si="213"/>
        <v>0.50567705712790401</v>
      </c>
      <c r="PJ31" s="2672">
        <f t="shared" si="213"/>
        <v>0.5072903930609618</v>
      </c>
      <c r="PK31" s="2672">
        <f t="shared" si="213"/>
        <v>0.51149948935029355</v>
      </c>
      <c r="PL31" s="2672">
        <f t="shared" si="213"/>
        <v>0.51497342579371086</v>
      </c>
      <c r="PM31" s="2672">
        <f t="shared" si="213"/>
        <v>0.53000956361028129</v>
      </c>
      <c r="PN31" s="2672">
        <f t="shared" si="213"/>
        <v>0.53010735743437376</v>
      </c>
      <c r="PO31" s="2672">
        <f t="shared" si="213"/>
        <v>0.53825709753872619</v>
      </c>
      <c r="PP31" s="2672">
        <f t="shared" si="213"/>
        <v>0.5407435502971184</v>
      </c>
      <c r="PQ31" s="2672">
        <f t="shared" si="213"/>
        <v>0.54616082386515097</v>
      </c>
      <c r="PR31" s="2672"/>
      <c r="PS31" s="18">
        <f>AVERAGE(PO31:PQ31)</f>
        <v>0.54172049056699856</v>
      </c>
      <c r="PT31" s="18">
        <f>AVERAGE(PN31:PQ31)</f>
        <v>0.53881720728384241</v>
      </c>
      <c r="PU31" s="18">
        <f>AVERAGE(PE31:PQ31)</f>
        <v>0.51705246364857116</v>
      </c>
      <c r="PV31" s="10">
        <f>(PQ31-PE31)/PE31</f>
        <v>2.2260422242132205E-2</v>
      </c>
      <c r="PW31" s="947"/>
      <c r="PX31" s="15">
        <f t="shared" ref="PX31:QL31" si="214">SUMPRODUCT(PX5:PX26,$P$5:$P$26)/$P$33</f>
        <v>1.7910984951981361</v>
      </c>
      <c r="PY31" s="15">
        <f t="shared" si="214"/>
        <v>1.6196145991882667</v>
      </c>
      <c r="PZ31" s="15">
        <f t="shared" si="214"/>
        <v>1.6339764944668425</v>
      </c>
      <c r="QA31" s="15">
        <f t="shared" si="214"/>
        <v>0.12139602859830877</v>
      </c>
      <c r="QB31" s="15">
        <f t="shared" si="214"/>
        <v>3.0753932113960323</v>
      </c>
      <c r="QC31" s="15">
        <f t="shared" si="214"/>
        <v>2.2183361961112955</v>
      </c>
      <c r="QD31" s="15">
        <f t="shared" si="214"/>
        <v>2.0848077689240299</v>
      </c>
      <c r="QE31" s="15">
        <f t="shared" si="214"/>
        <v>2.0724603965820152</v>
      </c>
      <c r="QF31" s="15">
        <f t="shared" si="214"/>
        <v>3.8006885438762494</v>
      </c>
      <c r="QG31" s="15">
        <f t="shared" si="214"/>
        <v>2.1529045505104429</v>
      </c>
      <c r="QH31" s="15">
        <f t="shared" si="214"/>
        <v>2.0733027906132326</v>
      </c>
      <c r="QI31" s="15">
        <f t="shared" si="214"/>
        <v>3.1747798459089038</v>
      </c>
      <c r="QJ31" s="15">
        <f t="shared" si="214"/>
        <v>-2.4856029149308099</v>
      </c>
      <c r="QK31" s="15">
        <f t="shared" si="214"/>
        <v>-2.7260930895051261</v>
      </c>
      <c r="QL31" s="15">
        <f t="shared" si="214"/>
        <v>3.4917857506516596</v>
      </c>
      <c r="QM31" s="11"/>
      <c r="QN31" s="506">
        <f>AVERAGE(PZ31:QL31)</f>
        <v>1.5913950440925444</v>
      </c>
      <c r="QO31" s="10">
        <f>(QL31-PZ31)/PZ31</f>
        <v>1.1369865248832787</v>
      </c>
      <c r="QP31" s="506">
        <f>AVERAGE(PX31,QB31,QF31,QJ31)</f>
        <v>1.5453943338849019</v>
      </c>
      <c r="QQ31" s="7"/>
      <c r="QR31" s="15">
        <f t="shared" ref="QR31:RF31" si="215">SUMPRODUCT(QR5:QR26,$P$5:$P$26)/$P$33</f>
        <v>2.6904713852830189</v>
      </c>
      <c r="QS31" s="15">
        <f t="shared" si="215"/>
        <v>2.7523131024849756</v>
      </c>
      <c r="QT31" s="15">
        <f t="shared" si="215"/>
        <v>2.7637558265886879</v>
      </c>
      <c r="QU31" s="15">
        <f t="shared" si="215"/>
        <v>2.8648195892537265</v>
      </c>
      <c r="QV31" s="15">
        <f t="shared" si="215"/>
        <v>2.8512678104859344</v>
      </c>
      <c r="QW31" s="15">
        <f t="shared" si="215"/>
        <v>2.8401573951208641</v>
      </c>
      <c r="QX31" s="15">
        <f t="shared" si="215"/>
        <v>2.5662316657733619</v>
      </c>
      <c r="QY31" s="15">
        <f t="shared" si="215"/>
        <v>2.4175864746202249</v>
      </c>
      <c r="QZ31" s="15">
        <f t="shared" si="215"/>
        <v>2.3407446358275426</v>
      </c>
      <c r="RA31" s="15">
        <f t="shared" si="215"/>
        <v>2.2860580907046253</v>
      </c>
      <c r="RB31" s="15">
        <f t="shared" si="215"/>
        <v>2.3048141215624165</v>
      </c>
      <c r="RC31" s="15">
        <f t="shared" si="215"/>
        <v>2.3453441910561845</v>
      </c>
      <c r="RD31" s="15">
        <f t="shared" si="215"/>
        <v>2.4003709570886889</v>
      </c>
      <c r="RE31" s="15">
        <f t="shared" si="215"/>
        <v>2.474684521360849</v>
      </c>
      <c r="RF31" s="15">
        <f t="shared" si="215"/>
        <v>2.4446547520658393</v>
      </c>
      <c r="RG31" s="7"/>
      <c r="RH31" s="506">
        <f>AVERAGE(QT31:RF31)</f>
        <v>2.5308069255006882</v>
      </c>
      <c r="RI31" s="506">
        <f>AVERAGE(QX31:RF31)</f>
        <v>2.3978321566733043</v>
      </c>
      <c r="RJ31" s="7"/>
      <c r="RK31" s="15">
        <f t="shared" ref="RK31:RY31" si="216">SUMPRODUCT(RK5:RK26,$P$5:$P$26)/$P$33</f>
        <v>2.6904713852830189</v>
      </c>
      <c r="RL31" s="15">
        <f t="shared" si="216"/>
        <v>2.7523131024849756</v>
      </c>
      <c r="RM31" s="15">
        <f t="shared" si="216"/>
        <v>2.7637558265886879</v>
      </c>
      <c r="RN31" s="15">
        <f t="shared" si="216"/>
        <v>2.8648195892537265</v>
      </c>
      <c r="RO31" s="15">
        <f t="shared" si="216"/>
        <v>2.8512678104859344</v>
      </c>
      <c r="RP31" s="15">
        <f t="shared" si="216"/>
        <v>2.8401573951208641</v>
      </c>
      <c r="RQ31" s="15">
        <f t="shared" si="216"/>
        <v>2.5662316657733619</v>
      </c>
      <c r="RR31" s="15">
        <f t="shared" si="216"/>
        <v>2.4175864746202249</v>
      </c>
      <c r="RS31" s="15">
        <f t="shared" si="216"/>
        <v>2.3407446358275426</v>
      </c>
      <c r="RT31" s="15">
        <f t="shared" si="216"/>
        <v>2.2860580907046253</v>
      </c>
      <c r="RU31" s="15">
        <f t="shared" si="216"/>
        <v>2.3048141215624165</v>
      </c>
      <c r="RV31" s="15">
        <f t="shared" si="216"/>
        <v>2.3453441910561845</v>
      </c>
      <c r="RW31" s="15">
        <f t="shared" si="216"/>
        <v>2.4003709570886889</v>
      </c>
      <c r="RX31" s="15">
        <f t="shared" si="216"/>
        <v>2.474684521360849</v>
      </c>
      <c r="RY31" s="15">
        <f t="shared" si="216"/>
        <v>2.4446547520658393</v>
      </c>
      <c r="RZ31" s="7"/>
      <c r="SA31" s="506">
        <f>AVERAGE(RM31:RY31)</f>
        <v>2.5308069255006882</v>
      </c>
      <c r="SB31" s="506">
        <f>AVERAGE(RQ31:RY31)</f>
        <v>2.3978321566733043</v>
      </c>
      <c r="SC31" s="7"/>
      <c r="SD31" s="15">
        <f t="shared" ref="SD31:SQ31" si="217">SUMPRODUCT(SD5:SD26,$P$5:$P$26)/$P$33</f>
        <v>7.3781418941192065</v>
      </c>
      <c r="SE31" s="15">
        <f t="shared" si="217"/>
        <v>7.5628000389147676</v>
      </c>
      <c r="SF31" s="15">
        <f t="shared" si="217"/>
        <v>8.3702690775122743</v>
      </c>
      <c r="SG31" s="15">
        <f t="shared" si="217"/>
        <v>8.3662518347418313</v>
      </c>
      <c r="SH31" s="15">
        <f t="shared" si="217"/>
        <v>8.4002695150806161</v>
      </c>
      <c r="SI31" s="15">
        <f t="shared" si="217"/>
        <v>8.5415222696317379</v>
      </c>
      <c r="SJ31" s="15">
        <f t="shared" si="217"/>
        <v>8.1477333076640832</v>
      </c>
      <c r="SK31" s="15">
        <f t="shared" si="217"/>
        <v>7.575330169244884</v>
      </c>
      <c r="SL31" s="15">
        <f t="shared" si="217"/>
        <v>7.0921821333079613</v>
      </c>
      <c r="SM31" s="15">
        <f t="shared" si="217"/>
        <v>6.8577684767402785</v>
      </c>
      <c r="SN31" s="15">
        <f t="shared" si="217"/>
        <v>6.6858116303765973</v>
      </c>
      <c r="SO31" s="15">
        <f t="shared" si="217"/>
        <v>6.4021323395756697</v>
      </c>
      <c r="SP31" s="15">
        <f t="shared" si="217"/>
        <v>6.0201287938867214</v>
      </c>
      <c r="SQ31" s="15">
        <f t="shared" si="217"/>
        <v>6.2103332534724434</v>
      </c>
      <c r="SR31" s="15">
        <f>SUMPRODUCT(SR5:SR26,$P$5:$P$26)/$P$33</f>
        <v>6.4442594339533379</v>
      </c>
      <c r="SS31" s="15"/>
      <c r="ST31" s="15">
        <f>AVERAGE(SD31:SR31)</f>
        <v>7.3369956112148271</v>
      </c>
      <c r="SU31" s="487">
        <f>(SR31-SF31)/SF31</f>
        <v>-0.23010128177759434</v>
      </c>
      <c r="SV31" s="15">
        <f>SR31-SF31</f>
        <v>-1.9260096435589364</v>
      </c>
    </row>
    <row r="32" spans="1:518">
      <c r="A32" s="11"/>
      <c r="B32" s="11"/>
      <c r="C32" s="2211" t="s">
        <v>1061</v>
      </c>
      <c r="D32" s="174"/>
      <c r="E32" s="224"/>
      <c r="F32" s="224"/>
      <c r="G32" s="13">
        <f>MEDIAN(G5:G25)</f>
        <v>8197.4082999999991</v>
      </c>
      <c r="H32" s="13">
        <f t="shared" ref="H32:N32" si="218">MEDIAN(H5:H25)</f>
        <v>8743.0166000000008</v>
      </c>
      <c r="I32" s="13">
        <f t="shared" si="218"/>
        <v>8077.2514000000001</v>
      </c>
      <c r="J32" s="13">
        <f t="shared" si="218"/>
        <v>8313.7248999999993</v>
      </c>
      <c r="K32" s="13">
        <f t="shared" si="218"/>
        <v>7699.8073999999997</v>
      </c>
      <c r="L32" s="13">
        <f t="shared" si="218"/>
        <v>7590.3544000000002</v>
      </c>
      <c r="M32" s="13">
        <f t="shared" si="218"/>
        <v>7068.3325999999997</v>
      </c>
      <c r="N32" s="13">
        <f t="shared" si="218"/>
        <v>6819.5967000000001</v>
      </c>
      <c r="O32" s="172"/>
      <c r="P32" s="13">
        <f>AVERAGE(H32:N32)</f>
        <v>7758.8691428571428</v>
      </c>
      <c r="Q32" s="13">
        <f>AVERAGE(I32:O32)</f>
        <v>7594.8445666666667</v>
      </c>
      <c r="R32" s="10">
        <f>(N32-H32)/H32</f>
        <v>-0.21999499577754439</v>
      </c>
      <c r="S32" s="7"/>
      <c r="T32" s="18"/>
      <c r="U32" s="18"/>
      <c r="V32" s="7"/>
      <c r="W32" s="7"/>
      <c r="X32" s="7"/>
      <c r="Y32" s="7"/>
      <c r="Z32" s="7"/>
      <c r="AA32" s="7"/>
      <c r="AB32" s="7"/>
      <c r="AC32" s="7"/>
      <c r="AD32" s="7"/>
      <c r="AE32" s="7"/>
      <c r="AF32" s="7"/>
      <c r="AG32" s="7"/>
      <c r="AH32" s="7"/>
      <c r="AI32" s="7"/>
      <c r="AJ32" s="7"/>
      <c r="AK32" s="7"/>
      <c r="AL32" s="7"/>
      <c r="AM32" s="7"/>
      <c r="AN32" s="7"/>
      <c r="AO32" s="7"/>
      <c r="AP32" s="7"/>
      <c r="AQ32" s="2811">
        <f>MEDIAN(AQ5:AQ26)</f>
        <v>12733.0342</v>
      </c>
      <c r="AR32" s="2811">
        <f t="shared" ref="AR32:AW32" si="219">MEDIAN(AR5:AR26)</f>
        <v>9765.2779499999997</v>
      </c>
      <c r="AS32" s="2811">
        <f t="shared" si="219"/>
        <v>13046.438699999999</v>
      </c>
      <c r="AT32" s="2811">
        <f t="shared" si="219"/>
        <v>10339.04795</v>
      </c>
      <c r="AU32" s="2811">
        <f t="shared" si="219"/>
        <v>10609.752550000001</v>
      </c>
      <c r="AV32" s="2811">
        <f t="shared" si="219"/>
        <v>10134.07265</v>
      </c>
      <c r="AW32" s="2811">
        <f t="shared" si="219"/>
        <v>10871.803697770087</v>
      </c>
      <c r="AX32" s="13"/>
      <c r="AY32" s="13">
        <f>AVERAGE(AQ32:AW32)</f>
        <v>11071.346813967155</v>
      </c>
      <c r="AZ32" s="10">
        <f t="shared" si="4"/>
        <v>-0.14617336865630293</v>
      </c>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13"/>
      <c r="CL32" s="10"/>
      <c r="CM32" s="7"/>
      <c r="CN32" s="7"/>
      <c r="CO32" s="18">
        <f>MEDIAN(CO5:CO26)</f>
        <v>9.7443061559232547E-4</v>
      </c>
      <c r="CP32" s="18">
        <f t="shared" ref="CP32:DC32" si="220">MEDIAN(CP5:CP26)</f>
        <v>2.2639024222630422E-3</v>
      </c>
      <c r="CQ32" s="18">
        <f t="shared" si="220"/>
        <v>1.8173703717117018E-3</v>
      </c>
      <c r="CR32" s="18">
        <f t="shared" si="220"/>
        <v>1.0713205049563079E-2</v>
      </c>
      <c r="CS32" s="18">
        <f t="shared" si="220"/>
        <v>7.7470195484441451E-4</v>
      </c>
      <c r="CT32" s="18">
        <f t="shared" si="220"/>
        <v>9.0316381554100822E-4</v>
      </c>
      <c r="CU32" s="18">
        <f t="shared" si="220"/>
        <v>1.3404246124371078E-3</v>
      </c>
      <c r="CV32" s="18">
        <f t="shared" si="220"/>
        <v>9.2385146750395553E-4</v>
      </c>
      <c r="CW32" s="18">
        <f t="shared" si="220"/>
        <v>9.4420864808875127E-4</v>
      </c>
      <c r="CX32" s="18">
        <f t="shared" si="220"/>
        <v>9.3085406682857919E-4</v>
      </c>
      <c r="CY32" s="18">
        <f t="shared" si="220"/>
        <v>6.5213224255866731E-4</v>
      </c>
      <c r="CZ32" s="18">
        <f t="shared" si="220"/>
        <v>6.0001374010243413E-4</v>
      </c>
      <c r="DA32" s="18">
        <f t="shared" si="220"/>
        <v>1.7213141173743063E-3</v>
      </c>
      <c r="DB32" s="18">
        <f t="shared" si="220"/>
        <v>1.7770341328336992E-3</v>
      </c>
      <c r="DC32" s="18">
        <f t="shared" si="220"/>
        <v>5.2236357111390408E-3</v>
      </c>
      <c r="DD32" s="7"/>
      <c r="DE32" s="18">
        <f t="shared" si="55"/>
        <v>2.1786084561943651E-3</v>
      </c>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1358"/>
      <c r="EF32" s="3984">
        <f>MEDIAN(EF5:EF26)</f>
        <v>2.0268000000000002</v>
      </c>
      <c r="EG32" s="3984">
        <f>MEDIAN(EG5:EG26)</f>
        <v>2.0011999999999999</v>
      </c>
      <c r="EH32" s="3984">
        <f>MEDIAN(EH5:EH26)</f>
        <v>1.76725</v>
      </c>
      <c r="EI32" s="3984">
        <f>MEDIAN(EI5:EI26)</f>
        <v>1.6593</v>
      </c>
      <c r="EJ32" s="2677"/>
      <c r="EK32" s="3985">
        <f>MEDIAN(EK5:EK26)</f>
        <v>1.8725076923076927</v>
      </c>
      <c r="EL32" s="3983">
        <f t="shared" si="5"/>
        <v>-0.181320307874482</v>
      </c>
      <c r="EM32" s="1358"/>
      <c r="EN32" s="1030">
        <f>MEDIAN(EN5:EN26)</f>
        <v>5.642279601135046</v>
      </c>
      <c r="EO32" s="1030">
        <f t="shared" ref="EO32:FB32" si="221">MEDIAN(EO5:EO26)</f>
        <v>5.6823999999999995</v>
      </c>
      <c r="EP32" s="1030">
        <f t="shared" si="221"/>
        <v>5.4677499999999997</v>
      </c>
      <c r="EQ32" s="1030">
        <f t="shared" si="221"/>
        <v>5.5150249999999996</v>
      </c>
      <c r="ER32" s="1030">
        <f t="shared" si="221"/>
        <v>5.5914000000000001</v>
      </c>
      <c r="ES32" s="1030">
        <f t="shared" si="221"/>
        <v>5.5236999999999998</v>
      </c>
      <c r="ET32" s="1030">
        <f t="shared" si="221"/>
        <v>5.8728499999999997</v>
      </c>
      <c r="EU32" s="1030">
        <f t="shared" si="221"/>
        <v>5.5919500000000006</v>
      </c>
      <c r="EV32" s="1030">
        <f t="shared" si="221"/>
        <v>5.1875</v>
      </c>
      <c r="EW32" s="1030">
        <f t="shared" si="221"/>
        <v>5.0444499999999994</v>
      </c>
      <c r="EX32" s="1030">
        <f t="shared" si="221"/>
        <v>5.0711500000000003</v>
      </c>
      <c r="EY32" s="1030">
        <f t="shared" si="221"/>
        <v>5.3581000000000003</v>
      </c>
      <c r="EZ32" s="1030">
        <f t="shared" si="221"/>
        <v>5.05335</v>
      </c>
      <c r="FA32" s="1030">
        <f t="shared" si="221"/>
        <v>5.2219999999999995</v>
      </c>
      <c r="FB32" s="1030">
        <f t="shared" si="221"/>
        <v>5.2302499999999998</v>
      </c>
      <c r="FC32" s="216"/>
      <c r="FD32" s="15">
        <f t="shared" si="59"/>
        <v>5.363805769230769</v>
      </c>
      <c r="FE32" s="229">
        <f>(FB32-EP32)/EP32</f>
        <v>-4.3436514105436391E-2</v>
      </c>
      <c r="FF32" s="15">
        <f t="shared" si="60"/>
        <v>5.3155300000000008</v>
      </c>
      <c r="FG32" s="2206"/>
      <c r="FH32" s="1030">
        <f>MEDIAN(FH5:FH26)</f>
        <v>5.6034364310530123</v>
      </c>
      <c r="FI32" s="1030">
        <f t="shared" ref="FI32:FV32" si="222">MEDIAN(FI5:FI26)</f>
        <v>5.69359453222566</v>
      </c>
      <c r="FJ32" s="1030">
        <f t="shared" si="222"/>
        <v>5.5038926119409162</v>
      </c>
      <c r="FK32" s="1030">
        <f t="shared" si="222"/>
        <v>5.5588704597612768</v>
      </c>
      <c r="FL32" s="1030">
        <f t="shared" si="222"/>
        <v>5.6456908479027739</v>
      </c>
      <c r="FM32" s="1030">
        <f t="shared" si="222"/>
        <v>5.6019769760959246</v>
      </c>
      <c r="FN32" s="1030">
        <f t="shared" si="222"/>
        <v>5.9428285844273905</v>
      </c>
      <c r="FO32" s="1030">
        <f t="shared" si="222"/>
        <v>5.6360219021043241</v>
      </c>
      <c r="FP32" s="1030">
        <f t="shared" si="222"/>
        <v>5.2537804373545622</v>
      </c>
      <c r="FQ32" s="1030">
        <f t="shared" si="222"/>
        <v>5.1054956386378372</v>
      </c>
      <c r="FR32" s="1030">
        <f t="shared" si="222"/>
        <v>5.1002343204018477</v>
      </c>
      <c r="FS32" s="1030">
        <f t="shared" si="222"/>
        <v>5.391552731932963</v>
      </c>
      <c r="FT32" s="1030">
        <f t="shared" si="222"/>
        <v>5.1235107499070756</v>
      </c>
      <c r="FU32" s="1030">
        <f t="shared" si="222"/>
        <v>5.3448612978338339</v>
      </c>
      <c r="FV32" s="1030">
        <f t="shared" si="222"/>
        <v>5.3167016571932431</v>
      </c>
      <c r="FW32" s="1358"/>
      <c r="FX32" s="506">
        <f>AVERAGE(FJ32:FV32)</f>
        <v>5.4250321704226128</v>
      </c>
      <c r="FY32" s="10">
        <f>(FV32-FJ32)/FJ32</f>
        <v>-3.4010648089600228E-2</v>
      </c>
      <c r="FZ32" s="15">
        <f>FX32-FD32</f>
        <v>6.1226401191843749E-2</v>
      </c>
      <c r="GA32" s="15">
        <f>AVERAGE(FM32:FV32)</f>
        <v>5.3816964295889003</v>
      </c>
      <c r="GB32" s="15">
        <f t="shared" si="64"/>
        <v>6.6166429588899511E-2</v>
      </c>
      <c r="GC32" s="15">
        <f>AVERAGE(FR32:FV32)-AVERAGE(EX32:FB32)</f>
        <v>6.8402151453793358E-2</v>
      </c>
      <c r="GD32" s="216"/>
      <c r="GE32" s="1030">
        <f t="shared" ref="GE32:GS32" si="223">MEDIAN(GE5:GE26)</f>
        <v>5.6034364310530123</v>
      </c>
      <c r="GF32" s="1030">
        <f t="shared" si="223"/>
        <v>5.69359453222566</v>
      </c>
      <c r="GG32" s="1030">
        <f t="shared" si="223"/>
        <v>5.5038926119409162</v>
      </c>
      <c r="GH32" s="1030">
        <f t="shared" si="223"/>
        <v>5.5588704597612768</v>
      </c>
      <c r="GI32" s="1030">
        <f t="shared" si="223"/>
        <v>5.6456908479027739</v>
      </c>
      <c r="GJ32" s="1030">
        <f t="shared" si="223"/>
        <v>5.6019769760959246</v>
      </c>
      <c r="GK32" s="1030">
        <f t="shared" si="223"/>
        <v>5.9428285844273905</v>
      </c>
      <c r="GL32" s="1030">
        <f t="shared" si="223"/>
        <v>5.6360219021043241</v>
      </c>
      <c r="GM32" s="1030">
        <f t="shared" si="223"/>
        <v>5.2537804373545622</v>
      </c>
      <c r="GN32" s="1030">
        <f t="shared" si="223"/>
        <v>5.1054956386378372</v>
      </c>
      <c r="GO32" s="1030">
        <f t="shared" si="223"/>
        <v>5.1002343204018477</v>
      </c>
      <c r="GP32" s="1030">
        <f t="shared" si="223"/>
        <v>5.391552731932963</v>
      </c>
      <c r="GQ32" s="1030">
        <f t="shared" si="223"/>
        <v>5.1235107499070756</v>
      </c>
      <c r="GR32" s="1030">
        <f t="shared" si="223"/>
        <v>5.3448612978338339</v>
      </c>
      <c r="GS32" s="1030">
        <f t="shared" si="223"/>
        <v>5.3167016571932431</v>
      </c>
      <c r="GT32" s="1030"/>
      <c r="GU32" s="1030">
        <f t="shared" si="65"/>
        <v>5.4548299452515092</v>
      </c>
      <c r="GV32" s="947">
        <f>(GS32-GG32)/GG32</f>
        <v>-3.4010648089600228E-2</v>
      </c>
      <c r="GW32" s="1030">
        <f>AVERAGE(GJ32:GS32)</f>
        <v>5.3816964295889003</v>
      </c>
      <c r="GX32" s="216"/>
      <c r="GY32" s="2672">
        <f t="shared" ref="GY32:HM32" si="224">MEDIAN(GY5:GY26)</f>
        <v>0.32833757720429935</v>
      </c>
      <c r="GZ32" s="2672">
        <f t="shared" si="224"/>
        <v>0.34436528355631113</v>
      </c>
      <c r="HA32" s="2672">
        <f t="shared" si="224"/>
        <v>0.38471301619968412</v>
      </c>
      <c r="HB32" s="2672">
        <f t="shared" si="224"/>
        <v>0.33177049631497613</v>
      </c>
      <c r="HC32" s="2672">
        <f t="shared" si="224"/>
        <v>0.33331073800507494</v>
      </c>
      <c r="HD32" s="2672">
        <f t="shared" si="224"/>
        <v>0.36402658990914449</v>
      </c>
      <c r="HE32" s="2672">
        <f t="shared" si="224"/>
        <v>0.35372114590264075</v>
      </c>
      <c r="HF32" s="2672">
        <f t="shared" si="224"/>
        <v>0.37562448979089935</v>
      </c>
      <c r="HG32" s="2672">
        <f t="shared" si="224"/>
        <v>0.36327475387108543</v>
      </c>
      <c r="HH32" s="2672">
        <f t="shared" si="224"/>
        <v>0.37806978800807789</v>
      </c>
      <c r="HI32" s="2672">
        <f t="shared" si="224"/>
        <v>0.38736336837625396</v>
      </c>
      <c r="HJ32" s="2672">
        <f t="shared" si="224"/>
        <v>0.36940415200704146</v>
      </c>
      <c r="HK32" s="2672">
        <f t="shared" si="224"/>
        <v>0.35476412370919186</v>
      </c>
      <c r="HL32" s="2672">
        <f t="shared" si="224"/>
        <v>0.35670189102821126</v>
      </c>
      <c r="HM32" s="2672">
        <f t="shared" si="224"/>
        <v>0.35324048893528481</v>
      </c>
      <c r="HN32" s="1358"/>
      <c r="HO32" s="947">
        <f>AVERAGE(HO7:HO28)</f>
        <v>0.34874203045379998</v>
      </c>
      <c r="HP32" s="947">
        <f t="shared" si="69"/>
        <v>-8.180780462094786E-2</v>
      </c>
      <c r="HQ32" s="7"/>
      <c r="HR32" s="2672">
        <f t="shared" ref="HR32:IF32" si="225">MEDIAN(HR5:HR26)</f>
        <v>0.48927025481275233</v>
      </c>
      <c r="HS32" s="2672">
        <f t="shared" si="225"/>
        <v>0.52757683951939749</v>
      </c>
      <c r="HT32" s="2672">
        <f t="shared" si="225"/>
        <v>0.63100105810540152</v>
      </c>
      <c r="HU32" s="2672">
        <f t="shared" si="225"/>
        <v>0.49779941033097058</v>
      </c>
      <c r="HV32" s="2672">
        <f t="shared" si="225"/>
        <v>0.50349363900017263</v>
      </c>
      <c r="HW32" s="2672">
        <f t="shared" si="225"/>
        <v>0.57245978459335278</v>
      </c>
      <c r="HX32" s="2672">
        <f t="shared" si="225"/>
        <v>0.54732468328362516</v>
      </c>
      <c r="HY32" s="2672">
        <f t="shared" si="225"/>
        <v>0.60191877243558123</v>
      </c>
      <c r="HZ32" s="2672">
        <f t="shared" si="225"/>
        <v>0.57056882447700863</v>
      </c>
      <c r="IA32" s="2672">
        <f t="shared" si="225"/>
        <v>0.61038346497425255</v>
      </c>
      <c r="IB32" s="2672">
        <f t="shared" si="225"/>
        <v>0.63362149890447195</v>
      </c>
      <c r="IC32" s="2672">
        <f t="shared" si="225"/>
        <v>0.5889524365565999</v>
      </c>
      <c r="ID32" s="2672">
        <f t="shared" si="225"/>
        <v>0.55465135796604237</v>
      </c>
      <c r="IE32" s="2672">
        <f t="shared" si="225"/>
        <v>0.5550313264473743</v>
      </c>
      <c r="IF32" s="2672">
        <f t="shared" si="225"/>
        <v>0.54818894858914269</v>
      </c>
      <c r="IG32" s="1358"/>
      <c r="IH32" s="947">
        <f>AVERAGE(HT32:IF32)</f>
        <v>0.57041501582030751</v>
      </c>
      <c r="II32" s="947">
        <f>(IF32-HT32)/HT32</f>
        <v>-0.1312392561827147</v>
      </c>
      <c r="IJ32" s="7"/>
      <c r="IK32" s="2672">
        <f t="shared" ref="IK32:IY32" si="226">MEDIAN(IK5:IK26)</f>
        <v>0.37735598735571557</v>
      </c>
      <c r="IL32" s="2672">
        <f t="shared" si="226"/>
        <v>0.40120583388620995</v>
      </c>
      <c r="IM32" s="2672">
        <f t="shared" si="226"/>
        <v>0.44607014667475003</v>
      </c>
      <c r="IN32" s="2672">
        <f t="shared" si="226"/>
        <v>0.35019540233782209</v>
      </c>
      <c r="IO32" s="2672">
        <f t="shared" si="226"/>
        <v>0.36076205383944371</v>
      </c>
      <c r="IP32" s="2672">
        <f t="shared" si="226"/>
        <v>0.39472749596027845</v>
      </c>
      <c r="IQ32" s="2672">
        <f t="shared" si="226"/>
        <v>0.39472041687982473</v>
      </c>
      <c r="IR32" s="2672">
        <f t="shared" si="226"/>
        <v>0.44903377065564121</v>
      </c>
      <c r="IS32" s="2672">
        <f t="shared" si="226"/>
        <v>0.43654982398507708</v>
      </c>
      <c r="IT32" s="2672">
        <f t="shared" si="226"/>
        <v>0.44573659504013025</v>
      </c>
      <c r="IU32" s="2672">
        <f t="shared" si="226"/>
        <v>0.43822358175002818</v>
      </c>
      <c r="IV32" s="2672">
        <f t="shared" si="226"/>
        <v>0.44694516974736054</v>
      </c>
      <c r="IW32" s="2672">
        <f t="shared" si="226"/>
        <v>0.43189422019954715</v>
      </c>
      <c r="IX32" s="2672">
        <f t="shared" si="226"/>
        <v>0.41190524492786484</v>
      </c>
      <c r="IY32" s="2672">
        <f t="shared" si="226"/>
        <v>0.44222220232602294</v>
      </c>
      <c r="IZ32" s="1358"/>
      <c r="JA32" s="10">
        <f>AVERAGE(IM32:IY32)</f>
        <v>0.4191527787941377</v>
      </c>
      <c r="JB32" s="10">
        <f>(IY32-IM32)/IM32</f>
        <v>-8.6263211681206851E-3</v>
      </c>
      <c r="JC32" s="10">
        <f>JA32-HO32</f>
        <v>7.0410748340337725E-2</v>
      </c>
      <c r="JD32" s="10">
        <f>JC32/HO32</f>
        <v>0.20189923264688187</v>
      </c>
      <c r="JE32" s="7"/>
      <c r="JF32" s="2672">
        <f t="shared" ref="JF32:JT32" si="227">MEDIAN(JF5:JF26)</f>
        <v>0.60671287620484493</v>
      </c>
      <c r="JG32" s="2672">
        <f t="shared" si="227"/>
        <v>0.67002429671776809</v>
      </c>
      <c r="JH32" s="2672">
        <f t="shared" si="227"/>
        <v>0.80538609420915808</v>
      </c>
      <c r="JI32" s="2672">
        <f t="shared" si="227"/>
        <v>0.54093746817720356</v>
      </c>
      <c r="JJ32" s="2672">
        <f t="shared" si="227"/>
        <v>0.57251299052114923</v>
      </c>
      <c r="JK32" s="2672">
        <f t="shared" si="227"/>
        <v>0.65452505487713175</v>
      </c>
      <c r="JL32" s="2672">
        <f t="shared" si="227"/>
        <v>0.65537434515145532</v>
      </c>
      <c r="JM32" s="2672">
        <f t="shared" si="227"/>
        <v>0.81660574675431374</v>
      </c>
      <c r="JN32" s="2672">
        <f t="shared" si="227"/>
        <v>0.77491031523834053</v>
      </c>
      <c r="JO32" s="2672">
        <f t="shared" si="227"/>
        <v>0.80652628727016484</v>
      </c>
      <c r="JP32" s="2672">
        <f t="shared" si="227"/>
        <v>0.78539324187898729</v>
      </c>
      <c r="JQ32" s="2672">
        <f t="shared" si="227"/>
        <v>0.8088011540500375</v>
      </c>
      <c r="JR32" s="2672">
        <f t="shared" si="227"/>
        <v>0.76066492071606406</v>
      </c>
      <c r="JS32" s="2672">
        <f t="shared" si="227"/>
        <v>0.70066044870877719</v>
      </c>
      <c r="JT32" s="2672">
        <f t="shared" si="227"/>
        <v>0.79288232589550045</v>
      </c>
      <c r="JU32" s="1358"/>
      <c r="JV32" s="10">
        <f>AVERAGE(JH32:JT32)</f>
        <v>0.72886003026525259</v>
      </c>
      <c r="JW32" s="10">
        <f>(JT32-JH32)/JH32</f>
        <v>-1.5525185254080646E-2</v>
      </c>
      <c r="JX32" s="10">
        <f>JV32-IH32</f>
        <v>0.15844501444494508</v>
      </c>
      <c r="JY32" s="10">
        <f>JX32/IH32</f>
        <v>0.27777146472395553</v>
      </c>
      <c r="JZ32" s="7"/>
      <c r="KA32" s="15">
        <f t="shared" ref="KA32:KO32" si="228">MEDIAN(KA5:KA26)</f>
        <v>1.9794477559078985</v>
      </c>
      <c r="KB32" s="15">
        <f t="shared" si="228"/>
        <v>1.9472536360239898</v>
      </c>
      <c r="KC32" s="15">
        <f t="shared" si="228"/>
        <v>1.8987762020089942</v>
      </c>
      <c r="KD32" s="15">
        <f t="shared" si="228"/>
        <v>1.7123061821838212</v>
      </c>
      <c r="KE32" s="15">
        <f t="shared" si="228"/>
        <v>1.8261699117865735</v>
      </c>
      <c r="KF32" s="15">
        <f t="shared" si="228"/>
        <v>2.0110298242550408</v>
      </c>
      <c r="KG32" s="15">
        <f t="shared" si="228"/>
        <v>1.9819814462316003</v>
      </c>
      <c r="KH32" s="15">
        <f t="shared" si="228"/>
        <v>1.9786531432687224</v>
      </c>
      <c r="KI32" s="15">
        <f t="shared" si="228"/>
        <v>1.8875970222688916</v>
      </c>
      <c r="KJ32" s="15">
        <f t="shared" si="228"/>
        <v>1.9579203244753285</v>
      </c>
      <c r="KK32" s="15">
        <f t="shared" si="228"/>
        <v>2.0191664060989671</v>
      </c>
      <c r="KL32" s="15">
        <f t="shared" si="228"/>
        <v>1.9697175774507019</v>
      </c>
      <c r="KM32" s="15">
        <f t="shared" si="228"/>
        <v>1.8877975666000566</v>
      </c>
      <c r="KN32" s="15">
        <f t="shared" si="228"/>
        <v>1.9430928153065126</v>
      </c>
      <c r="KO32" s="15">
        <f t="shared" si="228"/>
        <v>2.1035615320569683</v>
      </c>
      <c r="KP32" s="1358"/>
      <c r="KQ32" s="15">
        <f>AVERAGE(KM32:KO32)</f>
        <v>1.9781506379878457</v>
      </c>
      <c r="KR32" s="15">
        <f>AVERAGE(KL32:KO32)</f>
        <v>1.9760423728535597</v>
      </c>
      <c r="KS32" s="15">
        <f>AVERAGE(KC32:KO32)</f>
        <v>1.9367515349224755</v>
      </c>
      <c r="KT32" s="18">
        <f>(KO32-KC32)/KC32</f>
        <v>0.10785122008128266</v>
      </c>
      <c r="KU32" s="7"/>
      <c r="KV32" s="7"/>
      <c r="KW32" s="15">
        <f t="shared" ref="KW32:LK32" si="229">MEDIAN(KW5:KW26)</f>
        <v>2.1487455811918603</v>
      </c>
      <c r="KX32" s="15">
        <f t="shared" si="229"/>
        <v>2.0509460579817276</v>
      </c>
      <c r="KY32" s="15">
        <f t="shared" si="229"/>
        <v>2.0935465261734159</v>
      </c>
      <c r="KZ32" s="15">
        <f t="shared" si="229"/>
        <v>2.0150680877725806</v>
      </c>
      <c r="LA32" s="15">
        <f t="shared" si="229"/>
        <v>2.1376374921874346</v>
      </c>
      <c r="LB32" s="15">
        <f t="shared" si="229"/>
        <v>2.1604964227959558</v>
      </c>
      <c r="LC32" s="15">
        <f t="shared" si="229"/>
        <v>2.2414890031393688</v>
      </c>
      <c r="LD32" s="15">
        <f t="shared" si="229"/>
        <v>2.1885662096412659</v>
      </c>
      <c r="LE32" s="15">
        <f t="shared" si="229"/>
        <v>2.0681772662280427</v>
      </c>
      <c r="LF32" s="15">
        <f t="shared" si="229"/>
        <v>2.1441269197335857</v>
      </c>
      <c r="LG32" s="15">
        <f t="shared" si="229"/>
        <v>2.2537194563364187</v>
      </c>
      <c r="LH32" s="15">
        <f t="shared" si="229"/>
        <v>2.2147856245451933</v>
      </c>
      <c r="LI32" s="15">
        <f t="shared" si="229"/>
        <v>2.1773145236580875</v>
      </c>
      <c r="LJ32" s="15">
        <f t="shared" si="229"/>
        <v>2.1099069923440972</v>
      </c>
      <c r="LK32" s="15">
        <f t="shared" si="229"/>
        <v>2.266022980733382</v>
      </c>
      <c r="LL32" s="1358"/>
      <c r="LM32" s="15">
        <f>AVERAGE(LI32:LK32)</f>
        <v>2.1844148322451891</v>
      </c>
      <c r="LN32" s="15">
        <f>AVERAGE(LH32:LK32)</f>
        <v>2.1920075303201898</v>
      </c>
      <c r="LO32" s="15">
        <f t="shared" si="85"/>
        <v>0.21596515746663014</v>
      </c>
      <c r="LP32" s="15">
        <f>AVERAGE(KY32:LK32)</f>
        <v>2.159296731176064</v>
      </c>
      <c r="LQ32" s="18">
        <f>(LK32-KY32)/KY32</f>
        <v>8.2384820401015219E-2</v>
      </c>
      <c r="LR32" s="15">
        <f>LP32-KS32</f>
        <v>0.22254519625358848</v>
      </c>
      <c r="LS32" s="7"/>
      <c r="LT32" s="15">
        <f t="shared" ref="LT32:MH32" si="230">MEDIAN(LT5:LT26)</f>
        <v>2.1487455811918603</v>
      </c>
      <c r="LU32" s="15">
        <f t="shared" si="230"/>
        <v>2.0509460579817276</v>
      </c>
      <c r="LV32" s="15">
        <f t="shared" si="230"/>
        <v>2.0935465261734159</v>
      </c>
      <c r="LW32" s="15">
        <f t="shared" si="230"/>
        <v>2.0150680877725806</v>
      </c>
      <c r="LX32" s="15">
        <f t="shared" si="230"/>
        <v>2.1376374921874346</v>
      </c>
      <c r="LY32" s="15">
        <f t="shared" si="230"/>
        <v>2.1604964227959558</v>
      </c>
      <c r="LZ32" s="15">
        <f t="shared" si="230"/>
        <v>2.2414890031393688</v>
      </c>
      <c r="MA32" s="15">
        <f t="shared" si="230"/>
        <v>2.1885662096412659</v>
      </c>
      <c r="MB32" s="15">
        <f t="shared" si="230"/>
        <v>2.0681772662280427</v>
      </c>
      <c r="MC32" s="15">
        <f t="shared" si="230"/>
        <v>2.1441269197335857</v>
      </c>
      <c r="MD32" s="15">
        <f t="shared" si="230"/>
        <v>2.2537194563364187</v>
      </c>
      <c r="ME32" s="15">
        <f t="shared" si="230"/>
        <v>2.2147856245451933</v>
      </c>
      <c r="MF32" s="15">
        <f t="shared" si="230"/>
        <v>2.1773145236580875</v>
      </c>
      <c r="MG32" s="15">
        <f t="shared" si="230"/>
        <v>2.1099069923440972</v>
      </c>
      <c r="MH32" s="15">
        <f t="shared" si="230"/>
        <v>2.266022980733382</v>
      </c>
      <c r="MI32" s="2728"/>
      <c r="MJ32" s="15">
        <f>AVERAGE(MF32:MH32)</f>
        <v>2.1844148322451891</v>
      </c>
      <c r="MK32" s="15">
        <f>AVERAGE(ME32:MH32)</f>
        <v>2.1920075303201898</v>
      </c>
      <c r="ML32" s="506">
        <f>AVERAGE(LV32:MH32)</f>
        <v>2.159296731176064</v>
      </c>
      <c r="MM32" s="10">
        <f>(MH32-LV32)/LV32</f>
        <v>8.2384820401015219E-2</v>
      </c>
      <c r="MN32" s="7"/>
      <c r="MO32" s="15">
        <f t="shared" ref="MO32:NC32" si="231">MEDIAN(MO5:MO26)</f>
        <v>2.1968273336919042</v>
      </c>
      <c r="MP32" s="15">
        <f t="shared" si="231"/>
        <v>2.1712667921509956</v>
      </c>
      <c r="MQ32" s="15">
        <f t="shared" si="231"/>
        <v>2.0503837718176023</v>
      </c>
      <c r="MR32" s="15">
        <f t="shared" si="231"/>
        <v>2.132235028657492</v>
      </c>
      <c r="MS32" s="15">
        <f t="shared" si="231"/>
        <v>2.1427566575474062</v>
      </c>
      <c r="MT32" s="15">
        <f t="shared" si="231"/>
        <v>2.0892830926428472</v>
      </c>
      <c r="MU32" s="15">
        <f t="shared" si="231"/>
        <v>2.2177028416456959</v>
      </c>
      <c r="MV32" s="15">
        <f t="shared" si="231"/>
        <v>2.1803528248447033</v>
      </c>
      <c r="MW32" s="15">
        <f t="shared" si="231"/>
        <v>1.9919602794740883</v>
      </c>
      <c r="MX32" s="15">
        <f t="shared" si="231"/>
        <v>2.160552918471752</v>
      </c>
      <c r="MY32" s="15">
        <f t="shared" si="231"/>
        <v>2.1757091341390686</v>
      </c>
      <c r="MZ32" s="15">
        <f t="shared" si="231"/>
        <v>2.1843889175913702</v>
      </c>
      <c r="NA32" s="15">
        <f t="shared" si="231"/>
        <v>2.1788981756843979</v>
      </c>
      <c r="NB32" s="15">
        <f t="shared" si="231"/>
        <v>2.3474794248845621</v>
      </c>
      <c r="NC32" s="15">
        <f t="shared" si="231"/>
        <v>2.2545652726552432</v>
      </c>
      <c r="ND32" s="15"/>
      <c r="NE32" s="15">
        <f>NC32-KO32</f>
        <v>0.15100374059827493</v>
      </c>
      <c r="NF32" s="15">
        <f>AVERAGE(NA32:NC32)</f>
        <v>2.2603142910747347</v>
      </c>
      <c r="NG32" s="15">
        <f>NF32-KQ32</f>
        <v>0.28216365308688895</v>
      </c>
      <c r="NH32" s="15">
        <f>AVERAGE(MZ32:NC32)</f>
        <v>2.2413329477038935</v>
      </c>
      <c r="NI32" s="15">
        <f>AVERAGE(MQ32:NC32)</f>
        <v>2.1620206415427869</v>
      </c>
      <c r="NJ32" s="18">
        <f>(NC32-MQ32)/MQ32</f>
        <v>9.9582089774657268E-2</v>
      </c>
      <c r="NK32" s="15">
        <f>NI32-KS32</f>
        <v>0.22526910662031141</v>
      </c>
      <c r="NL32" s="2815"/>
      <c r="NM32" s="7"/>
      <c r="NN32" s="15">
        <f t="shared" ref="NN32:OB32" si="232">MEDIAN(NN5:NN26)</f>
        <v>2.4635612609900366</v>
      </c>
      <c r="NO32" s="15">
        <f t="shared" si="232"/>
        <v>2.4293915871651564</v>
      </c>
      <c r="NP32" s="15">
        <f t="shared" si="232"/>
        <v>2.3474421457362276</v>
      </c>
      <c r="NQ32" s="15">
        <f t="shared" si="232"/>
        <v>2.4092835179974026</v>
      </c>
      <c r="NR32" s="15">
        <f t="shared" si="232"/>
        <v>2.334122173084423</v>
      </c>
      <c r="NS32" s="15">
        <f t="shared" si="232"/>
        <v>2.3699947679302298</v>
      </c>
      <c r="NT32" s="15">
        <f t="shared" si="232"/>
        <v>2.3865621831111952</v>
      </c>
      <c r="NU32" s="15">
        <f t="shared" si="232"/>
        <v>2.3950644529811029</v>
      </c>
      <c r="NV32" s="15">
        <f t="shared" si="232"/>
        <v>2.2122518942785394</v>
      </c>
      <c r="NW32" s="15">
        <f t="shared" si="232"/>
        <v>2.5050548358851783</v>
      </c>
      <c r="NX32" s="15">
        <f t="shared" si="232"/>
        <v>2.4356372209159685</v>
      </c>
      <c r="NY32" s="15">
        <f t="shared" si="232"/>
        <v>2.4164249708658718</v>
      </c>
      <c r="NZ32" s="15">
        <f t="shared" si="232"/>
        <v>2.4650120968817095</v>
      </c>
      <c r="OA32" s="15">
        <f t="shared" si="232"/>
        <v>2.5874399469914016</v>
      </c>
      <c r="OB32" s="15">
        <f t="shared" si="232"/>
        <v>2.4973883940238424</v>
      </c>
      <c r="OC32" s="15"/>
      <c r="OD32" s="15">
        <f>OB32-LK32</f>
        <v>0.23136541329046034</v>
      </c>
      <c r="OE32" s="15">
        <f>AVERAGE(NZ32:OB32)</f>
        <v>2.5166134792989845</v>
      </c>
      <c r="OF32" s="15">
        <f>OE32-LM32</f>
        <v>0.33219864705379543</v>
      </c>
      <c r="OG32" s="15">
        <f>AVERAGE(NY32:OB32)</f>
        <v>2.4915663521907065</v>
      </c>
      <c r="OH32" s="15">
        <f>AVERAGE(NP32:OB32)</f>
        <v>2.4124368154371614</v>
      </c>
      <c r="OI32" s="18">
        <f>(OB32-NP32)/NP32</f>
        <v>6.387644038851796E-2</v>
      </c>
      <c r="OJ32" s="15">
        <f>OH32-LP32</f>
        <v>0.25314008426109735</v>
      </c>
      <c r="OK32" s="15"/>
      <c r="OL32" s="15"/>
      <c r="OM32" s="15"/>
      <c r="ON32" s="15"/>
      <c r="OO32" s="15"/>
      <c r="OP32" s="15"/>
      <c r="OQ32" s="15"/>
      <c r="OR32" s="15"/>
      <c r="OS32" s="15"/>
      <c r="OT32" s="15"/>
      <c r="OU32" s="15"/>
      <c r="OV32" s="15"/>
      <c r="OW32" s="15"/>
      <c r="OX32" s="15"/>
      <c r="OY32" s="15"/>
      <c r="OZ32" s="15"/>
      <c r="PA32" s="166"/>
      <c r="PB32" s="166"/>
      <c r="PC32" s="2672">
        <f t="shared" ref="PC32:PQ32" si="233">MEDIAN(PC5:PC26)</f>
        <v>0.53663806861387986</v>
      </c>
      <c r="PD32" s="2672">
        <f t="shared" si="233"/>
        <v>0.54426554095161483</v>
      </c>
      <c r="PE32" s="2672">
        <f t="shared" si="233"/>
        <v>0.55519711327434673</v>
      </c>
      <c r="PF32" s="2672">
        <f t="shared" si="233"/>
        <v>0.53729857407796056</v>
      </c>
      <c r="PG32" s="2672">
        <f t="shared" si="233"/>
        <v>0.51128270516763141</v>
      </c>
      <c r="PH32" s="2672">
        <f t="shared" si="233"/>
        <v>0.51861422415878167</v>
      </c>
      <c r="PI32" s="2672">
        <f t="shared" si="233"/>
        <v>0.54216663399951992</v>
      </c>
      <c r="PJ32" s="2672">
        <f t="shared" si="233"/>
        <v>0.53311434861356743</v>
      </c>
      <c r="PK32" s="2672">
        <f t="shared" si="233"/>
        <v>0.52620152699538214</v>
      </c>
      <c r="PL32" s="2672">
        <f t="shared" si="233"/>
        <v>0.5508910223604182</v>
      </c>
      <c r="PM32" s="2672">
        <f t="shared" si="233"/>
        <v>0.56927720568728479</v>
      </c>
      <c r="PN32" s="2672">
        <f t="shared" si="233"/>
        <v>0.57265688557711525</v>
      </c>
      <c r="PO32" s="2672">
        <f t="shared" si="233"/>
        <v>0.58412547767584155</v>
      </c>
      <c r="PP32" s="2672">
        <f t="shared" si="233"/>
        <v>0.57926576439307409</v>
      </c>
      <c r="PQ32" s="2672">
        <f t="shared" si="233"/>
        <v>0.5795013152555063</v>
      </c>
      <c r="PR32" s="2672"/>
      <c r="PS32" s="18">
        <f>AVERAGE(PO32:PQ32)</f>
        <v>0.58096418577480735</v>
      </c>
      <c r="PT32" s="18">
        <f>AVERAGE(PN32:PQ32)</f>
        <v>0.57888736072538427</v>
      </c>
      <c r="PU32" s="18">
        <f>AVERAGE(PE32:PQ32)</f>
        <v>0.55073790747972529</v>
      </c>
      <c r="PV32" s="10">
        <f>(PQ32-PE32)/PE32</f>
        <v>4.3775807546661036E-2</v>
      </c>
      <c r="PW32" s="947"/>
      <c r="PX32" s="15">
        <f t="shared" ref="PX32:QL32" si="234">MEDIAN(PX5:PX26)</f>
        <v>2.2328066124335439</v>
      </c>
      <c r="PY32" s="15">
        <f t="shared" si="234"/>
        <v>2.036922071989212</v>
      </c>
      <c r="PZ32" s="15">
        <f t="shared" si="234"/>
        <v>1.8443790059749336</v>
      </c>
      <c r="QA32" s="15">
        <f t="shared" si="234"/>
        <v>1.7646214364516575</v>
      </c>
      <c r="QB32" s="15">
        <f t="shared" si="234"/>
        <v>2.0112986049974002</v>
      </c>
      <c r="QC32" s="15">
        <f t="shared" si="234"/>
        <v>2.2168697604198746</v>
      </c>
      <c r="QD32" s="15">
        <f t="shared" si="234"/>
        <v>1.888688089861966</v>
      </c>
      <c r="QE32" s="15">
        <f t="shared" si="234"/>
        <v>1.7406010237019447</v>
      </c>
      <c r="QF32" s="15">
        <f t="shared" si="234"/>
        <v>1.7396790811637581</v>
      </c>
      <c r="QG32" s="15">
        <f t="shared" si="234"/>
        <v>1.8556243160365034</v>
      </c>
      <c r="QH32" s="15">
        <f t="shared" si="234"/>
        <v>1.802343083948152</v>
      </c>
      <c r="QI32" s="15">
        <f t="shared" si="234"/>
        <v>1.86864775224839</v>
      </c>
      <c r="QJ32" s="15">
        <f t="shared" si="234"/>
        <v>1.5972048164813981</v>
      </c>
      <c r="QK32" s="15">
        <f t="shared" si="234"/>
        <v>1.5952177813153492</v>
      </c>
      <c r="QL32" s="15">
        <f t="shared" si="234"/>
        <v>1.7089666452600472</v>
      </c>
      <c r="QM32" s="11"/>
      <c r="QN32" s="506">
        <f>AVERAGE(PZ32:QL32)</f>
        <v>1.8180108767585672</v>
      </c>
      <c r="QO32" s="10">
        <f>(QL32-PZ32)/PZ32</f>
        <v>-7.3418944954487753E-2</v>
      </c>
      <c r="QP32" s="506">
        <f>AVERAGE(PX32,QB32,QF32,QJ32)</f>
        <v>1.8952472787690251</v>
      </c>
      <c r="QQ32" s="7"/>
      <c r="QR32" s="15">
        <f t="shared" ref="QR32:RF32" si="235">MEDIAN(QR5:QR26)</f>
        <v>1.4969572149541259</v>
      </c>
      <c r="QS32" s="15">
        <f t="shared" si="235"/>
        <v>1.4925661508487176</v>
      </c>
      <c r="QT32" s="15">
        <f t="shared" si="235"/>
        <v>1.4415416866482549</v>
      </c>
      <c r="QU32" s="15">
        <f t="shared" si="235"/>
        <v>1.800668393142447</v>
      </c>
      <c r="QV32" s="15">
        <f t="shared" si="235"/>
        <v>1.7254928364400888</v>
      </c>
      <c r="QW32" s="15">
        <f t="shared" si="235"/>
        <v>1.8172571198674974</v>
      </c>
      <c r="QX32" s="15">
        <f t="shared" si="235"/>
        <v>1.6771931682099479</v>
      </c>
      <c r="QY32" s="15">
        <f t="shared" si="235"/>
        <v>1.7381427194694914</v>
      </c>
      <c r="QZ32" s="15">
        <f t="shared" si="235"/>
        <v>1.7426315467840254</v>
      </c>
      <c r="RA32" s="15">
        <f t="shared" si="235"/>
        <v>1.7546851184091823</v>
      </c>
      <c r="RB32" s="15">
        <f t="shared" si="235"/>
        <v>1.712847962249084</v>
      </c>
      <c r="RC32" s="15">
        <f t="shared" si="235"/>
        <v>1.6652051979349904</v>
      </c>
      <c r="RD32" s="15">
        <f t="shared" si="235"/>
        <v>1.7113087106121085</v>
      </c>
      <c r="RE32" s="15">
        <f t="shared" si="235"/>
        <v>1.6164660701479181</v>
      </c>
      <c r="RF32" s="15">
        <f t="shared" si="235"/>
        <v>1.5926178238923772</v>
      </c>
      <c r="RG32" s="7"/>
      <c r="RH32" s="506">
        <f>AVERAGE(QT32:RF32)</f>
        <v>1.6920044887544163</v>
      </c>
      <c r="RI32" s="506">
        <f>AVERAGE(QX32:RF32)</f>
        <v>1.6901220353010138</v>
      </c>
      <c r="RJ32" s="7"/>
      <c r="RK32" s="15">
        <f t="shared" ref="RK32:RY32" si="236">MEDIAN(RK5:RK26)</f>
        <v>1.4969572149541259</v>
      </c>
      <c r="RL32" s="15">
        <f t="shared" si="236"/>
        <v>1.4925661508487176</v>
      </c>
      <c r="RM32" s="15">
        <f t="shared" si="236"/>
        <v>1.4415416866482549</v>
      </c>
      <c r="RN32" s="15">
        <f t="shared" si="236"/>
        <v>1.800668393142447</v>
      </c>
      <c r="RO32" s="15">
        <f t="shared" si="236"/>
        <v>1.7254928364400888</v>
      </c>
      <c r="RP32" s="15">
        <f t="shared" si="236"/>
        <v>1.8172571198674974</v>
      </c>
      <c r="RQ32" s="15">
        <f t="shared" si="236"/>
        <v>1.6771931682099479</v>
      </c>
      <c r="RR32" s="15">
        <f t="shared" si="236"/>
        <v>1.7381427194694914</v>
      </c>
      <c r="RS32" s="15">
        <f t="shared" si="236"/>
        <v>1.7426315467840254</v>
      </c>
      <c r="RT32" s="15">
        <f t="shared" si="236"/>
        <v>1.7546851184091823</v>
      </c>
      <c r="RU32" s="15">
        <f t="shared" si="236"/>
        <v>1.712847962249084</v>
      </c>
      <c r="RV32" s="15">
        <f t="shared" si="236"/>
        <v>1.6652051979349904</v>
      </c>
      <c r="RW32" s="15">
        <f t="shared" si="236"/>
        <v>1.7113087106121085</v>
      </c>
      <c r="RX32" s="15">
        <f t="shared" si="236"/>
        <v>1.6164660701479181</v>
      </c>
      <c r="RY32" s="15">
        <f t="shared" si="236"/>
        <v>1.5926178238923772</v>
      </c>
      <c r="RZ32" s="7"/>
      <c r="SA32" s="506">
        <f>AVERAGE(RM32:RY32)</f>
        <v>1.6920044887544163</v>
      </c>
      <c r="SB32" s="506">
        <f>AVERAGE(RQ32:RY32)</f>
        <v>1.6901220353010138</v>
      </c>
      <c r="SC32" s="7"/>
      <c r="SD32" s="15">
        <f t="shared" ref="SD32:SQ32" si="237">MEDIAN(SD5:SD26)</f>
        <v>6.8010000000000002</v>
      </c>
      <c r="SE32" s="15">
        <f t="shared" si="237"/>
        <v>6.9585249999999998</v>
      </c>
      <c r="SF32" s="15">
        <f t="shared" si="237"/>
        <v>8.1149000000000004</v>
      </c>
      <c r="SG32" s="15">
        <f t="shared" si="237"/>
        <v>7.4272</v>
      </c>
      <c r="SH32" s="15">
        <f t="shared" si="237"/>
        <v>7.4830000000000005</v>
      </c>
      <c r="SI32" s="15">
        <f t="shared" si="237"/>
        <v>7.7492999999999999</v>
      </c>
      <c r="SJ32" s="15">
        <f t="shared" si="237"/>
        <v>8.0937000000000001</v>
      </c>
      <c r="SK32" s="15">
        <f t="shared" si="237"/>
        <v>7.9040499999999998</v>
      </c>
      <c r="SL32" s="15">
        <f t="shared" si="237"/>
        <v>7.08005</v>
      </c>
      <c r="SM32" s="15">
        <f t="shared" si="237"/>
        <v>6.9734999999999996</v>
      </c>
      <c r="SN32" s="15">
        <f t="shared" si="237"/>
        <v>6.7658500000000004</v>
      </c>
      <c r="SO32" s="15">
        <f t="shared" si="237"/>
        <v>6.3708</v>
      </c>
      <c r="SP32" s="15">
        <f t="shared" si="237"/>
        <v>6.0998999999999999</v>
      </c>
      <c r="SQ32" s="15">
        <f t="shared" si="237"/>
        <v>6.2636500000000002</v>
      </c>
      <c r="SR32" s="15">
        <f>MEDIAN(SR5:SR26)</f>
        <v>6.1007499999999997</v>
      </c>
      <c r="SS32" s="15"/>
      <c r="ST32" s="15">
        <f>AVERAGE(SD32:SR32)</f>
        <v>7.0790783333333342</v>
      </c>
      <c r="SU32" s="487">
        <f>(SR32-SF32)/SF32</f>
        <v>-0.24820392118202328</v>
      </c>
      <c r="SV32" s="15">
        <f>SR32-SF32</f>
        <v>-2.0141500000000008</v>
      </c>
    </row>
    <row r="33" spans="1:518">
      <c r="A33" s="226"/>
      <c r="B33" s="11"/>
      <c r="C33" s="2210" t="s">
        <v>137</v>
      </c>
      <c r="D33" s="1131"/>
      <c r="E33" s="224"/>
      <c r="F33" s="224"/>
      <c r="G33" s="13">
        <f t="shared" ref="G33:N33" si="238">SUM(G5:G26)</f>
        <v>429300.74104362004</v>
      </c>
      <c r="H33" s="13">
        <f t="shared" si="238"/>
        <v>402032.870228855</v>
      </c>
      <c r="I33" s="13">
        <f t="shared" si="238"/>
        <v>430980.44933752192</v>
      </c>
      <c r="J33" s="13">
        <f t="shared" si="238"/>
        <v>421285.77013945504</v>
      </c>
      <c r="K33" s="13">
        <f t="shared" si="238"/>
        <v>384348.91366306867</v>
      </c>
      <c r="L33" s="13">
        <f t="shared" si="238"/>
        <v>368731.9669602763</v>
      </c>
      <c r="M33" s="13">
        <f t="shared" si="238"/>
        <v>363485.06367072801</v>
      </c>
      <c r="N33" s="13">
        <f t="shared" si="238"/>
        <v>361115.74212221766</v>
      </c>
      <c r="O33" s="13"/>
      <c r="P33" s="13">
        <f>SUM(P5:P26)</f>
        <v>390282.96801744605</v>
      </c>
      <c r="Q33" s="13">
        <f>SUM(Q5:Q26)</f>
        <v>364444.2575844074</v>
      </c>
      <c r="R33" s="10">
        <f>(N33-H33)/H33</f>
        <v>-0.10177557890563894</v>
      </c>
      <c r="S33" s="7"/>
      <c r="T33" s="7"/>
      <c r="U33" s="7"/>
      <c r="V33" s="7"/>
      <c r="W33" s="7"/>
      <c r="X33" s="7"/>
      <c r="Y33" s="7"/>
      <c r="Z33" s="7"/>
      <c r="AA33" s="7"/>
      <c r="AB33" s="7"/>
      <c r="AC33" s="7"/>
      <c r="AD33" s="7"/>
      <c r="AE33" s="7"/>
      <c r="AF33" s="7"/>
      <c r="AG33" s="7"/>
      <c r="AH33" s="7"/>
      <c r="AI33" s="7"/>
      <c r="AJ33" s="7"/>
      <c r="AK33" s="7"/>
      <c r="AL33" s="7"/>
      <c r="AM33" s="7"/>
      <c r="AN33" s="7"/>
      <c r="AO33" s="7"/>
      <c r="AP33" s="7"/>
      <c r="AQ33" s="13">
        <f t="shared" ref="AQ33:AW33" si="239">SUM(AQ5:AQ26)</f>
        <v>697884.53157885512</v>
      </c>
      <c r="AR33" s="13">
        <f t="shared" si="239"/>
        <v>713865.33588752197</v>
      </c>
      <c r="AS33" s="13">
        <f t="shared" si="239"/>
        <v>708379.72565945506</v>
      </c>
      <c r="AT33" s="13">
        <f t="shared" si="239"/>
        <v>667688.29332134756</v>
      </c>
      <c r="AU33" s="13">
        <f t="shared" si="239"/>
        <v>660824.4392789671</v>
      </c>
      <c r="AV33" s="13">
        <f t="shared" si="239"/>
        <v>640678.58624072792</v>
      </c>
      <c r="AW33" s="13">
        <f t="shared" si="239"/>
        <v>641197.55370746471</v>
      </c>
      <c r="AX33" s="13"/>
      <c r="AY33" s="13">
        <f>SUM(AY5:AY26)</f>
        <v>675788.3522391913</v>
      </c>
      <c r="AZ33" s="10">
        <f t="shared" si="4"/>
        <v>-8.1226872507325742E-2</v>
      </c>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11"/>
      <c r="EF33" s="21"/>
      <c r="EG33" s="21"/>
      <c r="EH33" s="21"/>
      <c r="EI33" s="21"/>
      <c r="EJ33" s="21"/>
      <c r="EK33" s="21"/>
      <c r="EL33" s="21"/>
      <c r="EM33" s="7"/>
      <c r="EN33" s="7"/>
      <c r="EO33" s="7"/>
      <c r="EP33" s="7"/>
      <c r="EQ33" s="7"/>
      <c r="ER33" s="7"/>
      <c r="ES33" s="7"/>
      <c r="ET33" s="7"/>
      <c r="EU33" s="7"/>
      <c r="EV33" s="7"/>
      <c r="EW33" s="7"/>
      <c r="EX33" s="7"/>
      <c r="EY33" s="7"/>
      <c r="EZ33" s="7"/>
      <c r="FA33" s="7"/>
      <c r="FB33" s="7"/>
      <c r="FC33" s="7"/>
      <c r="FD33" s="7"/>
      <c r="FE33" s="7"/>
      <c r="FF33" s="7"/>
      <c r="FG33" s="174" t="s">
        <v>1995</v>
      </c>
      <c r="FH33" s="908">
        <f>FH8-FH26</f>
        <v>1.7414167369827815E-2</v>
      </c>
      <c r="FI33" s="908">
        <f t="shared" ref="FI33:FV33" si="240">FI8-FI26</f>
        <v>0.52566516309763944</v>
      </c>
      <c r="FJ33" s="908">
        <f t="shared" si="240"/>
        <v>0.84475694034259963</v>
      </c>
      <c r="FK33" s="908">
        <f t="shared" si="240"/>
        <v>1.1839525765356083</v>
      </c>
      <c r="FL33" s="908">
        <f t="shared" si="240"/>
        <v>1.6693722531890245</v>
      </c>
      <c r="FM33" s="908">
        <f t="shared" si="240"/>
        <v>1.7754655007467068</v>
      </c>
      <c r="FN33" s="908">
        <f t="shared" si="240"/>
        <v>2.1758763498251135</v>
      </c>
      <c r="FO33" s="908">
        <f t="shared" si="240"/>
        <v>2.42281560723919</v>
      </c>
      <c r="FP33" s="908">
        <f t="shared" si="240"/>
        <v>2.0645803422645557</v>
      </c>
      <c r="FQ33" s="908">
        <f t="shared" si="240"/>
        <v>1.352512906030042</v>
      </c>
      <c r="FR33" s="908">
        <f t="shared" si="240"/>
        <v>0.77391518982672691</v>
      </c>
      <c r="FS33" s="908">
        <f t="shared" si="240"/>
        <v>0.48452681778734652</v>
      </c>
      <c r="FT33" s="908">
        <f t="shared" si="240"/>
        <v>-0.31021861218170832</v>
      </c>
      <c r="FU33" s="908">
        <f t="shared" si="240"/>
        <v>-0.48582194427665293</v>
      </c>
      <c r="FV33" s="908">
        <f t="shared" si="240"/>
        <v>-0.22984819953361901</v>
      </c>
      <c r="FW33" s="174"/>
      <c r="FX33" s="506">
        <f>AVERAGE(FJ33:FV33)</f>
        <v>1.0555296713688411</v>
      </c>
      <c r="FY33" s="10">
        <f>(FV33-FJ33)/FJ33</f>
        <v>-1.2720879682153328</v>
      </c>
      <c r="FZ33" s="15">
        <f>FX33-FD33</f>
        <v>1.0555296713688411</v>
      </c>
      <c r="GA33" s="15">
        <f>AVERAGE(FM33:FV33)</f>
        <v>1.0023803957727702</v>
      </c>
      <c r="GB33" s="15">
        <f>GA33-FF33</f>
        <v>1.0023803957727702</v>
      </c>
      <c r="GC33" s="15"/>
      <c r="GD33" s="216"/>
      <c r="GE33" s="1557"/>
      <c r="GF33" s="1557"/>
      <c r="GG33" s="1557"/>
      <c r="GH33" s="1557"/>
      <c r="GI33" s="1557"/>
      <c r="GJ33" s="1557"/>
      <c r="GK33" s="1557"/>
      <c r="GL33" s="1557"/>
      <c r="GM33" s="1557"/>
      <c r="GN33" s="1557"/>
      <c r="GO33" s="1557"/>
      <c r="GP33" s="1557"/>
      <c r="GQ33" s="1557"/>
      <c r="GR33" s="1557"/>
      <c r="GS33" s="1557"/>
      <c r="GT33" s="7"/>
      <c r="GU33" s="77"/>
      <c r="GV33" s="77"/>
      <c r="GW33" s="77"/>
      <c r="GX33" s="465"/>
      <c r="GY33" s="466"/>
      <c r="GZ33" s="466"/>
      <c r="HA33" s="466"/>
      <c r="HB33" s="466"/>
      <c r="HC33" s="466"/>
      <c r="HD33" s="466"/>
      <c r="HE33" s="466"/>
      <c r="HF33" s="466"/>
      <c r="HG33" s="466"/>
      <c r="HH33" s="466"/>
      <c r="HI33" s="466"/>
      <c r="HJ33" s="466"/>
      <c r="HK33" s="466"/>
      <c r="HL33" s="466"/>
      <c r="HM33" s="21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2815"/>
      <c r="NM33" s="15"/>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11"/>
      <c r="PB33" s="11"/>
      <c r="PC33" s="11"/>
      <c r="PD33" s="7"/>
      <c r="PE33" s="7"/>
      <c r="PF33" s="7"/>
      <c r="PG33" s="7"/>
      <c r="PH33" s="7"/>
      <c r="PI33" s="7"/>
      <c r="PJ33" s="7"/>
      <c r="PK33" s="7"/>
      <c r="PL33" s="7"/>
      <c r="PM33" s="7"/>
      <c r="PN33" s="7"/>
      <c r="PO33" s="7"/>
      <c r="PP33" s="7"/>
      <c r="PQ33" s="7"/>
      <c r="PR33" s="7"/>
      <c r="PS33" s="7"/>
      <c r="PT33" s="7"/>
      <c r="PU33" s="7"/>
      <c r="PV33" s="7"/>
      <c r="PW33" s="7"/>
      <c r="PX33" s="216"/>
      <c r="PY33" s="216"/>
      <c r="PZ33" s="216"/>
      <c r="QA33" s="216"/>
      <c r="QB33" s="216"/>
      <c r="QC33" s="216"/>
      <c r="QD33" s="216"/>
      <c r="QE33" s="216"/>
      <c r="QF33" s="216"/>
      <c r="QG33" s="216"/>
      <c r="QH33" s="216"/>
      <c r="QI33" s="216"/>
      <c r="QJ33" s="216"/>
      <c r="QK33" s="216"/>
      <c r="QL33" s="216"/>
      <c r="QM33" s="216"/>
      <c r="QN33" s="216"/>
      <c r="QO33" s="216"/>
      <c r="QP33" s="216"/>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216"/>
      <c r="SS33" s="7"/>
      <c r="ST33" s="7"/>
      <c r="SU33" s="7"/>
      <c r="SV33" s="7"/>
    </row>
    <row r="34" spans="1:518">
      <c r="A34" s="226"/>
      <c r="B34" s="11"/>
      <c r="C34" s="2212"/>
      <c r="D34" s="1131"/>
      <c r="E34" s="224"/>
      <c r="F34" s="224"/>
      <c r="G34" s="13"/>
      <c r="H34" s="13"/>
      <c r="I34" s="13"/>
      <c r="J34" s="13"/>
      <c r="K34" s="13"/>
      <c r="L34" s="13"/>
      <c r="M34" s="13"/>
      <c r="N34" s="13"/>
      <c r="O34" s="13"/>
      <c r="P34" s="13"/>
      <c r="Q34" s="13"/>
      <c r="R34" s="10"/>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11"/>
      <c r="EF34" s="21"/>
      <c r="EG34" s="21"/>
      <c r="EH34" s="21"/>
      <c r="EI34" s="21"/>
      <c r="EJ34" s="21"/>
      <c r="EK34" s="21"/>
      <c r="EL34" s="21"/>
      <c r="EM34" s="7"/>
      <c r="EN34" s="7"/>
      <c r="EO34" s="7"/>
      <c r="EP34" s="7"/>
      <c r="EQ34" s="7"/>
      <c r="ER34" s="7"/>
      <c r="ES34" s="7"/>
      <c r="ET34" s="7"/>
      <c r="EU34" s="7"/>
      <c r="EV34" s="7"/>
      <c r="EW34" s="7"/>
      <c r="EX34" s="7"/>
      <c r="EY34" s="7"/>
      <c r="EZ34" s="7"/>
      <c r="FA34" s="7"/>
      <c r="FB34" s="7"/>
      <c r="FC34" s="7"/>
      <c r="FD34" s="7"/>
      <c r="FE34" s="7"/>
      <c r="FF34" s="7"/>
      <c r="FG34" s="174"/>
      <c r="FH34" s="465"/>
      <c r="FI34" s="465"/>
      <c r="FJ34" s="465"/>
      <c r="FK34" s="465"/>
      <c r="FL34" s="465"/>
      <c r="FM34" s="465"/>
      <c r="FN34" s="465"/>
      <c r="FO34" s="465"/>
      <c r="FP34" s="465"/>
      <c r="FQ34" s="465"/>
      <c r="FR34" s="465"/>
      <c r="FS34" s="465"/>
      <c r="FT34" s="465"/>
      <c r="FU34" s="465"/>
      <c r="FV34" s="174"/>
      <c r="FW34" s="174"/>
      <c r="FX34" s="7"/>
      <c r="FY34" s="7"/>
      <c r="FZ34" s="465"/>
      <c r="GA34" s="7"/>
      <c r="GB34" s="7"/>
      <c r="GC34" s="7"/>
      <c r="GD34" s="77" t="s">
        <v>1488</v>
      </c>
      <c r="GE34" s="1557"/>
      <c r="GF34" s="1557"/>
      <c r="GG34" s="1557"/>
      <c r="GH34" s="1557"/>
      <c r="GI34" s="1557"/>
      <c r="GJ34" s="1557"/>
      <c r="GK34" s="1557"/>
      <c r="GL34" s="1557"/>
      <c r="GM34" s="1557"/>
      <c r="GN34" s="1557"/>
      <c r="GO34" s="1557"/>
      <c r="GP34" s="1557"/>
      <c r="GQ34" s="1557"/>
      <c r="GR34" s="1557"/>
      <c r="GS34" s="1557"/>
      <c r="GT34" s="7"/>
      <c r="GU34" s="77"/>
      <c r="GV34" s="77"/>
      <c r="GW34" s="77"/>
      <c r="GX34" s="465"/>
      <c r="GY34" s="466"/>
      <c r="GZ34" s="466"/>
      <c r="HA34" s="466"/>
      <c r="HB34" s="466"/>
      <c r="HC34" s="466"/>
      <c r="HD34" s="466"/>
      <c r="HE34" s="466"/>
      <c r="HF34" s="466"/>
      <c r="HG34" s="466"/>
      <c r="HH34" s="466"/>
      <c r="HI34" s="466"/>
      <c r="HJ34" s="466"/>
      <c r="HK34" s="466"/>
      <c r="HL34" s="466"/>
      <c r="HM34" s="21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2815"/>
      <c r="NM34" s="15"/>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11"/>
      <c r="PB34" s="11"/>
      <c r="PC34" s="11"/>
      <c r="PD34" s="7"/>
      <c r="PE34" s="7"/>
      <c r="PF34" s="7"/>
      <c r="PG34" s="7"/>
      <c r="PH34" s="7"/>
      <c r="PI34" s="7"/>
      <c r="PJ34" s="7"/>
      <c r="PK34" s="7"/>
      <c r="PL34" s="7"/>
      <c r="PM34" s="7"/>
      <c r="PN34" s="7"/>
      <c r="PO34" s="7"/>
      <c r="PP34" s="7"/>
      <c r="PQ34" s="7"/>
      <c r="PR34" s="7"/>
      <c r="PS34" s="7"/>
      <c r="PT34" s="7"/>
      <c r="PU34" s="7"/>
      <c r="PV34" s="7"/>
      <c r="PW34" s="7"/>
      <c r="PX34" s="11" t="s">
        <v>711</v>
      </c>
      <c r="PY34" s="11" t="s">
        <v>711</v>
      </c>
      <c r="PZ34" s="11" t="s">
        <v>711</v>
      </c>
      <c r="QA34" s="11" t="s">
        <v>711</v>
      </c>
      <c r="QB34" s="11" t="s">
        <v>711</v>
      </c>
      <c r="QC34" s="11" t="s">
        <v>711</v>
      </c>
      <c r="QD34" s="11" t="s">
        <v>711</v>
      </c>
      <c r="QE34" s="11" t="s">
        <v>711</v>
      </c>
      <c r="QF34" s="11" t="s">
        <v>711</v>
      </c>
      <c r="QG34" s="11" t="s">
        <v>711</v>
      </c>
      <c r="QH34" s="11" t="s">
        <v>711</v>
      </c>
      <c r="QI34" s="11" t="s">
        <v>711</v>
      </c>
      <c r="QJ34" s="11" t="s">
        <v>711</v>
      </c>
      <c r="QK34" s="11" t="s">
        <v>711</v>
      </c>
      <c r="QL34" s="11" t="s">
        <v>711</v>
      </c>
      <c r="QM34" s="11"/>
      <c r="QN34" s="9" t="s">
        <v>1454</v>
      </c>
      <c r="QO34" s="9" t="s">
        <v>1986</v>
      </c>
      <c r="QP34" s="9" t="s">
        <v>1455</v>
      </c>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216"/>
      <c r="SS34" s="7"/>
      <c r="ST34" s="7"/>
      <c r="SU34" s="7"/>
      <c r="SV34" s="7"/>
    </row>
    <row r="35" spans="1:518" ht="12.75" customHeight="1">
      <c r="A35" s="11" t="s">
        <v>713</v>
      </c>
      <c r="B35" s="11"/>
      <c r="C35" s="2211" t="s">
        <v>481</v>
      </c>
      <c r="D35" s="216"/>
      <c r="E35" s="224" t="s">
        <v>32</v>
      </c>
      <c r="F35" s="1139">
        <f>G22+G21</f>
        <v>102054.21715775001</v>
      </c>
      <c r="G35" s="447">
        <f>F35/(G$33-G$27)</f>
        <v>0.23820928356947965</v>
      </c>
      <c r="H35" s="1139">
        <f>H22+H21</f>
        <v>112200.6487049</v>
      </c>
      <c r="I35" s="447">
        <f>H35/(H$33-H$27)</f>
        <v>0.27952653994864374</v>
      </c>
      <c r="J35" s="7"/>
      <c r="K35" s="7"/>
      <c r="L35" s="7"/>
      <c r="M35" s="11"/>
      <c r="N35" s="7"/>
      <c r="O35" s="7"/>
      <c r="P35" s="7"/>
      <c r="Q35" s="7"/>
      <c r="R35" s="229">
        <f>'OUTPUTS &amp; Inputs'!P109</f>
        <v>-4.470625286303239E-2</v>
      </c>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11"/>
      <c r="EF35" s="21"/>
      <c r="EG35" s="21"/>
      <c r="EH35" s="21"/>
      <c r="EI35" s="21"/>
      <c r="EJ35" s="21"/>
      <c r="EK35" s="21"/>
      <c r="EL35" s="21"/>
      <c r="EM35" s="7"/>
      <c r="EN35" s="15">
        <f>'Bloom Cleaner Data'!DA35</f>
        <v>5.6085000000000003</v>
      </c>
      <c r="EO35" s="15">
        <f>'Bloom Cleaner Data'!DB35</f>
        <v>5.6410999999999998</v>
      </c>
      <c r="EP35" s="15">
        <f>'Bloom Cleaner Data'!DC35</f>
        <v>5.4523999999999999</v>
      </c>
      <c r="EQ35" s="15">
        <f>'Bloom Cleaner Data'!DD35</f>
        <v>5.8440000000000003</v>
      </c>
      <c r="ER35" s="15">
        <f>'Bloom Cleaner Data'!DE35</f>
        <v>5.6459000000000001</v>
      </c>
      <c r="ES35" s="15">
        <f>'Bloom Cleaner Data'!DF35</f>
        <v>5.8033000000000001</v>
      </c>
      <c r="ET35" s="15">
        <f>'Bloom Cleaner Data'!DG35</f>
        <v>5.6826999999999996</v>
      </c>
      <c r="EU35" s="15">
        <f>'Bloom Cleaner Data'!DH35</f>
        <v>5.4458000000000002</v>
      </c>
      <c r="EV35" s="15">
        <f>'Bloom Cleaner Data'!DI35</f>
        <v>5.3807200000000002</v>
      </c>
      <c r="EW35" s="15">
        <f>'Bloom Cleaner Data'!DJ35</f>
        <v>5.3156400000000001</v>
      </c>
      <c r="EX35" s="15">
        <f>'Bloom Cleaner Data'!DK35</f>
        <v>5.2505600000000001</v>
      </c>
      <c r="EY35" s="15">
        <f>'Bloom Cleaner Data'!DL35</f>
        <v>5.1854800000000001</v>
      </c>
      <c r="EZ35" s="15">
        <f>'Bloom Cleaner Data'!DM35</f>
        <v>5.1204000000000001</v>
      </c>
      <c r="FA35" s="15">
        <f>'Bloom Cleaner Data'!DN35</f>
        <v>5.5153333333333334</v>
      </c>
      <c r="FB35" s="15">
        <f>'Bloom Cleaner Data'!DO35</f>
        <v>5.9102666666666668</v>
      </c>
      <c r="FC35" s="15"/>
      <c r="FD35" s="15">
        <f t="shared" ref="FD35:FD41" si="241">AVERAGE(EP35:FB35)</f>
        <v>5.5040384615384612</v>
      </c>
      <c r="FE35" s="229">
        <f t="shared" ref="FE35:FE41" si="242">(FB35-EP35)/EP35</f>
        <v>8.3975252488200952E-2</v>
      </c>
      <c r="FF35" s="15">
        <f t="shared" ref="FF35:FF41" si="243">AVERAGE(ES35:FB35)</f>
        <v>5.4610199999999995</v>
      </c>
      <c r="FG35" s="2206"/>
      <c r="FH35" s="77"/>
      <c r="FI35" s="77"/>
      <c r="FJ35" s="77"/>
      <c r="FK35" s="77"/>
      <c r="FL35" s="77"/>
      <c r="FM35" s="77"/>
      <c r="FN35" s="77"/>
      <c r="FO35" s="77"/>
      <c r="FP35" s="77"/>
      <c r="FQ35" s="77"/>
      <c r="FR35" s="77"/>
      <c r="FS35" s="77"/>
      <c r="FT35" s="77"/>
      <c r="FU35" s="77"/>
      <c r="FV35" s="77"/>
      <c r="FW35" s="77"/>
      <c r="FX35" s="7"/>
      <c r="FY35" s="7"/>
      <c r="FZ35" s="77"/>
      <c r="GA35" s="77"/>
      <c r="GB35" s="77"/>
      <c r="GC35" s="77"/>
      <c r="GD35" s="77" t="s">
        <v>1650</v>
      </c>
      <c r="GE35" s="166">
        <f t="shared" ref="GE35:GS35" si="244">AVERAGE(GE7:GE9)</f>
        <v>5.750687428326664</v>
      </c>
      <c r="GF35" s="22">
        <f t="shared" si="244"/>
        <v>5.6260152784153377</v>
      </c>
      <c r="GG35" s="22">
        <f t="shared" si="244"/>
        <v>5.435129449110228</v>
      </c>
      <c r="GH35" s="22">
        <f t="shared" si="244"/>
        <v>5.8014058361717487</v>
      </c>
      <c r="GI35" s="22">
        <f t="shared" si="244"/>
        <v>6.1371722154052177</v>
      </c>
      <c r="GJ35" s="22">
        <f t="shared" si="244"/>
        <v>6.7672393127317783</v>
      </c>
      <c r="GK35" s="22">
        <f t="shared" si="244"/>
        <v>6.7451421877806483</v>
      </c>
      <c r="GL35" s="22">
        <f t="shared" si="244"/>
        <v>6.5046510785086475</v>
      </c>
      <c r="GM35" s="22">
        <f t="shared" si="244"/>
        <v>6.3505329716932524</v>
      </c>
      <c r="GN35" s="22">
        <f t="shared" si="244"/>
        <v>6.208182680825435</v>
      </c>
      <c r="GO35" s="22">
        <f t="shared" si="244"/>
        <v>6.2389551508379597</v>
      </c>
      <c r="GP35" s="22">
        <f t="shared" si="244"/>
        <v>6.1417429581536522</v>
      </c>
      <c r="GQ35" s="22">
        <f t="shared" si="244"/>
        <v>5.8497148407163309</v>
      </c>
      <c r="GR35" s="22">
        <f t="shared" si="244"/>
        <v>5.9287474405133258</v>
      </c>
      <c r="GS35" s="22">
        <f t="shared" si="244"/>
        <v>5.7963739945321882</v>
      </c>
      <c r="GT35" s="15"/>
      <c r="GU35" s="1030">
        <f t="shared" si="65"/>
        <v>6.0854461882481612</v>
      </c>
      <c r="GV35" s="10">
        <f>(GS35-GG35)/GG35</f>
        <v>6.646475466763696E-2</v>
      </c>
      <c r="GW35" s="506">
        <f>AVERAGE(GJ35:GS35)</f>
        <v>6.253128261629322</v>
      </c>
      <c r="GX35" s="77"/>
      <c r="GY35" s="7"/>
      <c r="GZ35" s="7"/>
      <c r="HA35" s="7"/>
      <c r="HB35" s="7"/>
      <c r="HC35" s="7"/>
      <c r="HD35" s="7"/>
      <c r="HE35" s="7"/>
      <c r="HF35" s="7"/>
      <c r="HG35" s="7"/>
      <c r="HH35" s="7"/>
      <c r="HI35" s="7"/>
      <c r="HJ35" s="7"/>
      <c r="HK35" s="7"/>
      <c r="HL35" s="7"/>
      <c r="HM35" s="7"/>
      <c r="HN35" s="15"/>
      <c r="HO35" s="7"/>
      <c r="HP35" s="7"/>
      <c r="HQ35" s="7"/>
      <c r="HR35" s="7"/>
      <c r="HS35" s="7"/>
      <c r="HT35" s="7"/>
      <c r="HU35" s="7"/>
      <c r="HV35" s="7"/>
      <c r="HW35" s="7"/>
      <c r="HX35" s="7"/>
      <c r="HY35" s="7"/>
      <c r="HZ35" s="7"/>
      <c r="IA35" s="7"/>
      <c r="IB35" s="7"/>
      <c r="IC35" s="7"/>
      <c r="ID35" s="7"/>
      <c r="IE35" s="7"/>
      <c r="IF35" s="7"/>
      <c r="IG35" s="15"/>
      <c r="IH35" s="7"/>
      <c r="II35" s="7"/>
      <c r="IJ35" s="7" t="s">
        <v>1017</v>
      </c>
      <c r="IK35" s="7"/>
      <c r="IL35" s="7"/>
      <c r="IM35" s="7"/>
      <c r="IN35" s="7"/>
      <c r="IO35" s="7"/>
      <c r="IP35" s="7"/>
      <c r="IQ35" s="7"/>
      <c r="IR35" s="7"/>
      <c r="IS35" s="7"/>
      <c r="IT35" s="7"/>
      <c r="IU35" s="7"/>
      <c r="IV35" s="7"/>
      <c r="IW35" s="7"/>
      <c r="IX35" s="7"/>
      <c r="IY35" s="7"/>
      <c r="IZ35" s="15"/>
      <c r="JA35" s="7"/>
      <c r="JB35" s="7"/>
      <c r="JC35" s="7"/>
      <c r="JD35" s="7"/>
      <c r="JE35" s="7"/>
      <c r="JF35" s="7"/>
      <c r="JG35" s="7"/>
      <c r="JH35" s="7"/>
      <c r="JI35" s="7"/>
      <c r="JJ35" s="7"/>
      <c r="JK35" s="7"/>
      <c r="JL35" s="7"/>
      <c r="JM35" s="7"/>
      <c r="JN35" s="7"/>
      <c r="JO35" s="7"/>
      <c r="JP35" s="7"/>
      <c r="JQ35" s="7"/>
      <c r="JR35" s="7"/>
      <c r="JS35" s="7"/>
      <c r="JT35" s="7"/>
      <c r="JU35" s="15"/>
      <c r="JV35" s="7"/>
      <c r="JW35" s="7"/>
      <c r="JX35" s="7"/>
      <c r="JY35" s="7"/>
      <c r="JZ35" s="7"/>
      <c r="KA35" s="7"/>
      <c r="KB35" s="7"/>
      <c r="KC35" s="7"/>
      <c r="KD35" s="7"/>
      <c r="KE35" s="7"/>
      <c r="KF35" s="7"/>
      <c r="KG35" s="7"/>
      <c r="KH35" s="7"/>
      <c r="KI35" s="7"/>
      <c r="KJ35" s="7"/>
      <c r="KK35" s="7"/>
      <c r="KL35" s="7"/>
      <c r="KM35" s="7"/>
      <c r="KN35" s="7"/>
      <c r="KO35" s="7"/>
      <c r="KP35" s="15"/>
      <c r="KQ35" s="7"/>
      <c r="KR35" s="7"/>
      <c r="KS35" s="7"/>
      <c r="KT35" s="224" t="s">
        <v>994</v>
      </c>
      <c r="KU35" s="7"/>
      <c r="KV35" s="7"/>
      <c r="KW35" s="7"/>
      <c r="KX35" s="7"/>
      <c r="KY35" s="7"/>
      <c r="KZ35" s="7"/>
      <c r="LA35" s="7"/>
      <c r="LB35" s="7"/>
      <c r="LC35" s="7"/>
      <c r="LD35" s="7"/>
      <c r="LE35" s="7"/>
      <c r="LF35" s="7"/>
      <c r="LG35" s="7"/>
      <c r="LH35" s="7"/>
      <c r="LI35" s="7"/>
      <c r="LJ35" s="7"/>
      <c r="LK35" s="7"/>
      <c r="LL35" s="15"/>
      <c r="LM35" s="7"/>
      <c r="LN35" s="7"/>
      <c r="LO35" s="7"/>
      <c r="LP35" s="7"/>
      <c r="LQ35" s="224" t="s">
        <v>994</v>
      </c>
      <c r="LR35" s="7"/>
      <c r="LS35" s="7"/>
      <c r="LT35" s="7"/>
      <c r="LU35" s="7"/>
      <c r="LV35" s="7"/>
      <c r="LW35" s="7"/>
      <c r="LX35" s="7"/>
      <c r="LY35" s="7"/>
      <c r="LZ35" s="7"/>
      <c r="MA35" s="7"/>
      <c r="MB35" s="7"/>
      <c r="MC35" s="7"/>
      <c r="MD35" s="7"/>
      <c r="ME35" s="7"/>
      <c r="MF35" s="7"/>
      <c r="MG35" s="7"/>
      <c r="MH35" s="7"/>
      <c r="MI35" s="7"/>
      <c r="MJ35" s="7"/>
      <c r="MK35" s="7"/>
      <c r="ML35" s="7"/>
      <c r="MM35" s="224" t="s">
        <v>994</v>
      </c>
      <c r="MN35" s="7"/>
      <c r="MO35" s="7"/>
      <c r="MP35" s="7"/>
      <c r="MQ35" s="7"/>
      <c r="MR35" s="7"/>
      <c r="MS35" s="7"/>
      <c r="MT35" s="7"/>
      <c r="MU35" s="7"/>
      <c r="MV35" s="7"/>
      <c r="MW35" s="7"/>
      <c r="MX35" s="7"/>
      <c r="MY35" s="7"/>
      <c r="MZ35" s="7"/>
      <c r="NA35" s="7"/>
      <c r="NB35" s="7"/>
      <c r="NC35" s="7"/>
      <c r="ND35" s="7"/>
      <c r="NE35" s="7"/>
      <c r="NF35" s="7"/>
      <c r="NG35" s="7"/>
      <c r="NH35" s="7"/>
      <c r="NI35" s="7"/>
      <c r="NJ35" s="224" t="s">
        <v>994</v>
      </c>
      <c r="NK35" s="7"/>
      <c r="NL35" s="2815"/>
      <c r="NM35" s="224"/>
      <c r="NN35" s="224" t="s">
        <v>1803</v>
      </c>
      <c r="NO35" s="224" t="s">
        <v>1803</v>
      </c>
      <c r="NP35" s="224" t="s">
        <v>1803</v>
      </c>
      <c r="NQ35" s="224" t="s">
        <v>1803</v>
      </c>
      <c r="NR35" s="224" t="s">
        <v>1803</v>
      </c>
      <c r="NS35" s="224" t="s">
        <v>1803</v>
      </c>
      <c r="NT35" s="224" t="s">
        <v>1803</v>
      </c>
      <c r="NU35" s="224" t="s">
        <v>1803</v>
      </c>
      <c r="NV35" s="224" t="s">
        <v>1803</v>
      </c>
      <c r="NW35" s="224" t="s">
        <v>1803</v>
      </c>
      <c r="NX35" s="224" t="s">
        <v>1803</v>
      </c>
      <c r="NY35" s="224" t="s">
        <v>1803</v>
      </c>
      <c r="NZ35" s="224" t="s">
        <v>1803</v>
      </c>
      <c r="OA35" s="224" t="s">
        <v>1803</v>
      </c>
      <c r="OB35" s="224" t="s">
        <v>1803</v>
      </c>
      <c r="OC35" s="224"/>
      <c r="OD35" s="1027"/>
      <c r="OE35" s="216"/>
      <c r="OF35" s="216"/>
      <c r="OG35" s="216"/>
      <c r="OH35" s="1027" t="s">
        <v>38</v>
      </c>
      <c r="OI35" s="1027" t="s">
        <v>1985</v>
      </c>
      <c r="OJ35" s="216"/>
      <c r="OK35" s="7"/>
      <c r="OL35" s="7"/>
      <c r="OM35" s="7"/>
      <c r="ON35" s="7"/>
      <c r="OO35" s="7"/>
      <c r="OP35" s="7"/>
      <c r="OQ35" s="7"/>
      <c r="OR35" s="7"/>
      <c r="OS35" s="7"/>
      <c r="OT35" s="7"/>
      <c r="OU35" s="7"/>
      <c r="OV35" s="7"/>
      <c r="OW35" s="7"/>
      <c r="OX35" s="7"/>
      <c r="OY35" s="7"/>
      <c r="OZ35" s="7"/>
      <c r="PA35" s="11"/>
      <c r="PB35" s="11"/>
      <c r="PC35" s="11"/>
      <c r="PD35" s="7"/>
      <c r="PE35" s="7"/>
      <c r="PF35" s="7"/>
      <c r="PG35" s="7"/>
      <c r="PH35" s="7"/>
      <c r="PI35" s="7"/>
      <c r="PJ35" s="7"/>
      <c r="PK35" s="7"/>
      <c r="PL35" s="7"/>
      <c r="PM35" s="7"/>
      <c r="PN35" s="7"/>
      <c r="PO35" s="7"/>
      <c r="PP35" s="7"/>
      <c r="PQ35" s="7"/>
      <c r="PR35" s="7"/>
      <c r="PS35" s="7"/>
      <c r="PT35" s="7"/>
      <c r="PU35" s="7"/>
      <c r="PV35" s="224" t="s">
        <v>994</v>
      </c>
      <c r="PW35" s="224"/>
      <c r="PX35" s="15">
        <f>'Bloom Cleaner Data'!FO35</f>
        <v>1.6254999999999999</v>
      </c>
      <c r="PY35" s="15">
        <f>'Bloom Cleaner Data'!FP35</f>
        <v>1.522</v>
      </c>
      <c r="PZ35" s="15">
        <f>'Bloom Cleaner Data'!FQ35</f>
        <v>1.4018999999999999</v>
      </c>
      <c r="QA35" s="15">
        <f>'Bloom Cleaner Data'!FR35</f>
        <v>1.4748000000000001</v>
      </c>
      <c r="QB35" s="15">
        <f>'Bloom Cleaner Data'!FS35</f>
        <v>1.4508000000000001</v>
      </c>
      <c r="QC35" s="15">
        <f>'Bloom Cleaner Data'!FT35</f>
        <v>1.5234000000000001</v>
      </c>
      <c r="QD35" s="15">
        <f>'Bloom Cleaner Data'!FU35</f>
        <v>1.5146999999999999</v>
      </c>
      <c r="QE35" s="15">
        <f>'Bloom Cleaner Data'!FV35</f>
        <v>1.4112</v>
      </c>
      <c r="QF35" s="15">
        <f>'Bloom Cleaner Data'!FW35</f>
        <v>1.4157200000000001</v>
      </c>
      <c r="QG35" s="15">
        <f>'Bloom Cleaner Data'!FX35</f>
        <v>1.4202399999999999</v>
      </c>
      <c r="QH35" s="15">
        <f>'Bloom Cleaner Data'!FY35</f>
        <v>1.42476</v>
      </c>
      <c r="QI35" s="15">
        <f>'Bloom Cleaner Data'!FZ35</f>
        <v>1.4292799999999999</v>
      </c>
      <c r="QJ35" s="15">
        <f>'Bloom Cleaner Data'!GA35</f>
        <v>1.4338</v>
      </c>
      <c r="QK35" s="15">
        <f>'Bloom Cleaner Data'!GB35</f>
        <v>1.5669</v>
      </c>
      <c r="QL35" s="15">
        <f>'Bloom Cleaner Data'!GC35</f>
        <v>1.7</v>
      </c>
      <c r="QM35" s="15"/>
      <c r="QN35" s="506">
        <f>AVERAGE(PZ35:QL35)</f>
        <v>1.4744230769230771</v>
      </c>
      <c r="QO35" s="10">
        <f>(QL35-PZ35)/PZ35</f>
        <v>0.21263998858691779</v>
      </c>
      <c r="QP35" s="506">
        <f t="shared" ref="QP35:QP40" si="245">AVERAGE(PX35,QB35,QF35,QJ35)</f>
        <v>1.481455</v>
      </c>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216"/>
      <c r="SS35" s="4548" t="s">
        <v>1987</v>
      </c>
      <c r="ST35" s="4548"/>
      <c r="SU35" s="4548"/>
      <c r="SV35" s="4548"/>
    </row>
    <row r="36" spans="1:518">
      <c r="A36" s="11" t="s">
        <v>713</v>
      </c>
      <c r="B36" s="11"/>
      <c r="C36" s="2211" t="s">
        <v>483</v>
      </c>
      <c r="D36" s="216"/>
      <c r="E36" s="1136" t="s">
        <v>1042</v>
      </c>
      <c r="F36" s="1139">
        <f>G5+G6+G7+G13+G14+G15+G16+G18+G19</f>
        <v>158603.3844944</v>
      </c>
      <c r="G36" s="447">
        <f>F36/(G$33-G$27)</f>
        <v>0.37020320810169149</v>
      </c>
      <c r="H36" s="1139">
        <f>H5+H6+H7+H13+H14+H15+H16+H18+H19</f>
        <v>138583.96728815002</v>
      </c>
      <c r="I36" s="447">
        <f>H36/(H$33-H$27)</f>
        <v>0.34525555168845334</v>
      </c>
      <c r="J36" s="13"/>
      <c r="K36" s="13"/>
      <c r="L36" s="13"/>
      <c r="M36" s="165"/>
      <c r="N36" s="13"/>
      <c r="O36" s="13"/>
      <c r="P36" s="13"/>
      <c r="Q36" s="13"/>
      <c r="R36" s="229"/>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11"/>
      <c r="EF36" s="21"/>
      <c r="EG36" s="21"/>
      <c r="EH36" s="21"/>
      <c r="EI36" s="21"/>
      <c r="EJ36" s="21"/>
      <c r="EK36" s="21"/>
      <c r="EL36" s="21"/>
      <c r="EM36" s="7"/>
      <c r="EN36" s="15">
        <f>'Bloom Cleaner Data'!DA36</f>
        <v>5.6085000000000003</v>
      </c>
      <c r="EO36" s="15">
        <f>'Bloom Cleaner Data'!DB36</f>
        <v>5.6410999999999998</v>
      </c>
      <c r="EP36" s="15">
        <f>'Bloom Cleaner Data'!DC36</f>
        <v>5.4523999999999999</v>
      </c>
      <c r="EQ36" s="15">
        <f>'Bloom Cleaner Data'!DD36</f>
        <v>5.8440000000000003</v>
      </c>
      <c r="ER36" s="15">
        <f>'Bloom Cleaner Data'!DE36</f>
        <v>5.6459000000000001</v>
      </c>
      <c r="ES36" s="15">
        <f>'Bloom Cleaner Data'!DF36</f>
        <v>5.8033000000000001</v>
      </c>
      <c r="ET36" s="15">
        <f>'Bloom Cleaner Data'!DG36</f>
        <v>5.6826999999999996</v>
      </c>
      <c r="EU36" s="15">
        <f>'Bloom Cleaner Data'!DH36</f>
        <v>5.4458000000000002</v>
      </c>
      <c r="EV36" s="15">
        <f>'Bloom Cleaner Data'!DI36</f>
        <v>5.3807200000000002</v>
      </c>
      <c r="EW36" s="15">
        <f>'Bloom Cleaner Data'!DJ36</f>
        <v>5.3156400000000001</v>
      </c>
      <c r="EX36" s="15">
        <f>'Bloom Cleaner Data'!DK36</f>
        <v>5.2505600000000001</v>
      </c>
      <c r="EY36" s="15">
        <f>'Bloom Cleaner Data'!DL36</f>
        <v>5.1854800000000001</v>
      </c>
      <c r="EZ36" s="15">
        <f>'Bloom Cleaner Data'!DM36</f>
        <v>5.1204000000000001</v>
      </c>
      <c r="FA36" s="15">
        <f>'Bloom Cleaner Data'!DN36</f>
        <v>5.5153333333333334</v>
      </c>
      <c r="FB36" s="15">
        <f>'Bloom Cleaner Data'!DO36</f>
        <v>5.9102666666666668</v>
      </c>
      <c r="FC36" s="15"/>
      <c r="FD36" s="15">
        <f t="shared" si="241"/>
        <v>5.5040384615384612</v>
      </c>
      <c r="FE36" s="229">
        <f t="shared" si="242"/>
        <v>8.3975252488200952E-2</v>
      </c>
      <c r="FF36" s="15">
        <f t="shared" si="243"/>
        <v>5.4610199999999995</v>
      </c>
      <c r="FG36" s="2206"/>
      <c r="FH36" s="77"/>
      <c r="FI36" s="77"/>
      <c r="FJ36" s="77"/>
      <c r="FK36" s="77"/>
      <c r="FL36" s="77"/>
      <c r="FM36" s="77"/>
      <c r="FN36" s="77"/>
      <c r="FO36" s="77"/>
      <c r="FP36" s="77"/>
      <c r="FQ36" s="77"/>
      <c r="FR36" s="77"/>
      <c r="FS36" s="77"/>
      <c r="FT36" s="77"/>
      <c r="FU36" s="77"/>
      <c r="FV36" s="77"/>
      <c r="FW36" s="77"/>
      <c r="FX36" s="7"/>
      <c r="FY36" s="7"/>
      <c r="FZ36" s="77"/>
      <c r="GA36" s="77"/>
      <c r="GB36" s="77"/>
      <c r="GC36" s="77"/>
      <c r="GD36" s="77" t="s">
        <v>1800</v>
      </c>
      <c r="GE36" s="2207">
        <f>(GE7*'Bloom Cleaner Data'!D29+GE8*'Bloom Cleaner Data'!D30+CALCULATIONS!GE9*'Bloom Cleaner Data'!D31)</f>
        <v>5.0857987540790237</v>
      </c>
      <c r="GF36" s="2208">
        <f>(GF7*'Bloom Cleaner Data'!E29+GF8*'Bloom Cleaner Data'!E30+CALCULATIONS!GF9*'Bloom Cleaner Data'!E31)</f>
        <v>4.8462173235416532</v>
      </c>
      <c r="GG36" s="2208">
        <f>(GG7*'Bloom Cleaner Data'!F29+GG8*'Bloom Cleaner Data'!F30+CALCULATIONS!GG9*'Bloom Cleaner Data'!F31)</f>
        <v>4.7281901422629922</v>
      </c>
      <c r="GH36" s="2208">
        <f>(GH7*'Bloom Cleaner Data'!G29+GH8*'Bloom Cleaner Data'!G30+CALCULATIONS!GH9*'Bloom Cleaner Data'!G31)</f>
        <v>5.0455917230427243</v>
      </c>
      <c r="GI36" s="2208">
        <f>(GI7*'Bloom Cleaner Data'!H29+GI8*'Bloom Cleaner Data'!H30+CALCULATIONS!GI9*'Bloom Cleaner Data'!H31)</f>
        <v>5.4740552716495561</v>
      </c>
      <c r="GJ36" s="2208">
        <f>(GJ7*'Bloom Cleaner Data'!I29+GJ8*'Bloom Cleaner Data'!I30+CALCULATIONS!GJ9*'Bloom Cleaner Data'!I31)</f>
        <v>6.3081733140473482</v>
      </c>
      <c r="GK36" s="2208">
        <f>(GK7*'Bloom Cleaner Data'!J29+GK8*'Bloom Cleaner Data'!J30+CALCULATIONS!GK9*'Bloom Cleaner Data'!J31)</f>
        <v>6.2927768296860034</v>
      </c>
      <c r="GL36" s="2208">
        <f>(GL7*'Bloom Cleaner Data'!K29+GL8*'Bloom Cleaner Data'!K30+CALCULATIONS!GL9*'Bloom Cleaner Data'!K31)</f>
        <v>5.9568594704927982</v>
      </c>
      <c r="GM36" s="2208">
        <f>(GM7*'Bloom Cleaner Data'!L29+GM8*'Bloom Cleaner Data'!L30+CALCULATIONS!GM9*'Bloom Cleaner Data'!L31)</f>
        <v>5.9971334360864601</v>
      </c>
      <c r="GN36" s="2208">
        <f>(GN7*'Bloom Cleaner Data'!M29+GN8*'Bloom Cleaner Data'!M30+CALCULATIONS!GN9*'Bloom Cleaner Data'!M31)</f>
        <v>6.0205830680178254</v>
      </c>
      <c r="GO36" s="2208">
        <f>(GO7*'Bloom Cleaner Data'!N29+GO8*'Bloom Cleaner Data'!N30+CALCULATIONS!GO9*'Bloom Cleaner Data'!N31)</f>
        <v>6.3390055343071374</v>
      </c>
      <c r="GP36" s="2208">
        <f>(GP7*'Bloom Cleaner Data'!O29+GP8*'Bloom Cleaner Data'!O30+CALCULATIONS!GP9*'Bloom Cleaner Data'!O31)</f>
        <v>6.3782047963979753</v>
      </c>
      <c r="GQ36" s="2208">
        <f>(GQ7*'Bloom Cleaner Data'!P29+GQ8*'Bloom Cleaner Data'!P30+CALCULATIONS!GQ9*'Bloom Cleaner Data'!P31)</f>
        <v>6.2149521900387903</v>
      </c>
      <c r="GR36" s="2208">
        <f>(GR7*'Bloom Cleaner Data'!Q29+GR8*'Bloom Cleaner Data'!Q30+CALCULATIONS!GR9*'Bloom Cleaner Data'!Q31)</f>
        <v>6.3783142020381636</v>
      </c>
      <c r="GS36" s="2208">
        <f>(GS7*'Bloom Cleaner Data'!R29+GS8*'Bloom Cleaner Data'!R30+CALCULATIONS!GS9*'Bloom Cleaner Data'!R31)</f>
        <v>6.2146690797526505</v>
      </c>
      <c r="GT36" s="15"/>
      <c r="GU36" s="1030">
        <f t="shared" si="65"/>
        <v>5.8187016756960741</v>
      </c>
      <c r="GV36" s="10">
        <f>(GS36-GG36)/GG36</f>
        <v>0.31438645502065282</v>
      </c>
      <c r="GW36" s="506">
        <f>AVERAGE(GJ36:GS36)</f>
        <v>6.210067192086516</v>
      </c>
      <c r="GX36" s="77"/>
      <c r="GY36" s="7"/>
      <c r="GZ36" s="7"/>
      <c r="HA36" s="7"/>
      <c r="HB36" s="7"/>
      <c r="HC36" s="7"/>
      <c r="HD36" s="7"/>
      <c r="HE36" s="7"/>
      <c r="HF36" s="7"/>
      <c r="HG36" s="7"/>
      <c r="HH36" s="7"/>
      <c r="HI36" s="7"/>
      <c r="HJ36" s="7"/>
      <c r="HK36" s="7"/>
      <c r="HL36" s="7"/>
      <c r="HM36" s="7"/>
      <c r="HN36" s="15"/>
      <c r="HO36" s="7"/>
      <c r="HP36" s="7"/>
      <c r="HQ36" s="7"/>
      <c r="HR36" s="7"/>
      <c r="HS36" s="7"/>
      <c r="HT36" s="7"/>
      <c r="HU36" s="7"/>
      <c r="HV36" s="7"/>
      <c r="HW36" s="7"/>
      <c r="HX36" s="7"/>
      <c r="HY36" s="7"/>
      <c r="HZ36" s="7"/>
      <c r="IA36" s="7"/>
      <c r="IB36" s="7"/>
      <c r="IC36" s="7"/>
      <c r="ID36" s="7"/>
      <c r="IE36" s="7"/>
      <c r="IF36" s="7"/>
      <c r="IG36" s="15"/>
      <c r="IH36" s="7"/>
      <c r="II36" s="7"/>
      <c r="IJ36" s="7" t="s">
        <v>1649</v>
      </c>
      <c r="IK36" s="10">
        <f>IK7-GY7</f>
        <v>2.1837919402376282E-2</v>
      </c>
      <c r="IL36" s="10">
        <f t="shared" ref="IL36:IY38" si="246">IL7-GZ7</f>
        <v>2.1525361885554872E-2</v>
      </c>
      <c r="IM36" s="10">
        <f t="shared" si="246"/>
        <v>2.101424710365507E-2</v>
      </c>
      <c r="IN36" s="10">
        <f t="shared" si="246"/>
        <v>2.0696018939648481E-2</v>
      </c>
      <c r="IO36" s="10">
        <f t="shared" si="246"/>
        <v>2.3303558494530446E-2</v>
      </c>
      <c r="IP36" s="10">
        <f t="shared" si="246"/>
        <v>2.3249165645674585E-2</v>
      </c>
      <c r="IQ36" s="10">
        <f t="shared" si="246"/>
        <v>2.2215732298494412E-2</v>
      </c>
      <c r="IR36" s="10">
        <f t="shared" si="246"/>
        <v>2.4768349759386382E-2</v>
      </c>
      <c r="IS36" s="10">
        <f t="shared" si="246"/>
        <v>2.383115417796397E-2</v>
      </c>
      <c r="IT36" s="10">
        <f t="shared" si="246"/>
        <v>2.3822097851427415E-2</v>
      </c>
      <c r="IU36" s="10">
        <f t="shared" si="246"/>
        <v>2.2499649420091139E-2</v>
      </c>
      <c r="IV36" s="10">
        <f t="shared" si="246"/>
        <v>2.2675926823971682E-2</v>
      </c>
      <c r="IW36" s="10">
        <f t="shared" si="246"/>
        <v>2.3827759718172081E-2</v>
      </c>
      <c r="IX36" s="10">
        <f t="shared" si="246"/>
        <v>2.5523061658156931E-2</v>
      </c>
      <c r="IY36" s="10">
        <f t="shared" si="246"/>
        <v>2.4002007162836236E-2</v>
      </c>
      <c r="IZ36" s="15"/>
      <c r="JA36" s="7"/>
      <c r="JB36" s="7"/>
      <c r="JC36" s="7"/>
      <c r="JD36" s="7"/>
      <c r="JE36" s="7"/>
      <c r="JF36" s="7"/>
      <c r="JG36" s="7"/>
      <c r="JH36" s="7"/>
      <c r="JI36" s="7"/>
      <c r="JJ36" s="7"/>
      <c r="JK36" s="7"/>
      <c r="JL36" s="7"/>
      <c r="JM36" s="7"/>
      <c r="JN36" s="7"/>
      <c r="JO36" s="7"/>
      <c r="JP36" s="7"/>
      <c r="JQ36" s="7"/>
      <c r="JR36" s="7"/>
      <c r="JS36" s="7"/>
      <c r="JT36" s="7"/>
      <c r="JU36" s="15"/>
      <c r="JV36" s="7"/>
      <c r="JW36" s="7"/>
      <c r="JX36" s="7"/>
      <c r="JY36" s="7"/>
      <c r="JZ36" s="7"/>
      <c r="KA36" s="7"/>
      <c r="KB36" s="7"/>
      <c r="KC36" s="7"/>
      <c r="KD36" s="7"/>
      <c r="KE36" s="7"/>
      <c r="KF36" s="7"/>
      <c r="KG36" s="7"/>
      <c r="KH36" s="7"/>
      <c r="KI36" s="7"/>
      <c r="KJ36" s="7"/>
      <c r="KK36" s="7"/>
      <c r="KL36" s="7"/>
      <c r="KM36" s="7"/>
      <c r="KN36" s="7"/>
      <c r="KO36" s="7"/>
      <c r="KP36" s="15"/>
      <c r="KQ36" s="7"/>
      <c r="KR36" s="7"/>
      <c r="KS36" s="224" t="s">
        <v>1307</v>
      </c>
      <c r="KT36" s="447">
        <f>(KO8-KI8)/KI8</f>
        <v>0.93538058140363545</v>
      </c>
      <c r="KU36" s="7"/>
      <c r="KV36" s="7"/>
      <c r="KW36" s="7"/>
      <c r="KX36" s="7"/>
      <c r="KY36" s="7"/>
      <c r="KZ36" s="7"/>
      <c r="LA36" s="7"/>
      <c r="LB36" s="7"/>
      <c r="LC36" s="7"/>
      <c r="LD36" s="7"/>
      <c r="LE36" s="7"/>
      <c r="LF36" s="7"/>
      <c r="LG36" s="7"/>
      <c r="LH36" s="7"/>
      <c r="LI36" s="7"/>
      <c r="LJ36" s="7"/>
      <c r="LK36" s="7"/>
      <c r="LL36" s="15"/>
      <c r="LM36" s="7"/>
      <c r="LN36" s="7"/>
      <c r="LO36" s="7"/>
      <c r="LP36" s="224" t="s">
        <v>1307</v>
      </c>
      <c r="LQ36" s="447">
        <f>(LK8-LE8)/LE8</f>
        <v>0.49111346624625907</v>
      </c>
      <c r="LR36" s="7"/>
      <c r="LS36" s="7"/>
      <c r="LT36" s="7"/>
      <c r="LU36" s="7"/>
      <c r="LV36" s="7"/>
      <c r="LW36" s="7"/>
      <c r="LX36" s="7"/>
      <c r="LY36" s="7"/>
      <c r="LZ36" s="7"/>
      <c r="MA36" s="7"/>
      <c r="MB36" s="7"/>
      <c r="MC36" s="7"/>
      <c r="MD36" s="7"/>
      <c r="ME36" s="7"/>
      <c r="MF36" s="7"/>
      <c r="MG36" s="7"/>
      <c r="MH36" s="7"/>
      <c r="MI36" s="7"/>
      <c r="MJ36" s="7"/>
      <c r="MK36" s="7"/>
      <c r="ML36" s="224" t="s">
        <v>1307</v>
      </c>
      <c r="MM36" s="447">
        <f>(MH8-MB8)/MB8</f>
        <v>0.49111346624625907</v>
      </c>
      <c r="MN36" s="7"/>
      <c r="MO36" s="7"/>
      <c r="MP36" s="7"/>
      <c r="MQ36" s="7"/>
      <c r="MR36" s="7"/>
      <c r="MS36" s="7"/>
      <c r="MT36" s="7"/>
      <c r="MU36" s="7"/>
      <c r="MV36" s="7"/>
      <c r="MW36" s="7"/>
      <c r="MX36" s="7"/>
      <c r="MY36" s="7"/>
      <c r="MZ36" s="7"/>
      <c r="NA36" s="7"/>
      <c r="NB36" s="7"/>
      <c r="NC36" s="7"/>
      <c r="ND36" s="7"/>
      <c r="NE36" s="7"/>
      <c r="NF36" s="7"/>
      <c r="NG36" s="7"/>
      <c r="NH36" s="7"/>
      <c r="NI36" s="224" t="s">
        <v>1307</v>
      </c>
      <c r="NJ36" s="447">
        <f>(NC8-MW8)/MW8</f>
        <v>0.93797911880636897</v>
      </c>
      <c r="NK36" s="7"/>
      <c r="NL36" s="2815"/>
      <c r="NM36" s="224" t="s">
        <v>38</v>
      </c>
      <c r="NN36" s="2075">
        <f t="shared" ref="NN36:OB36" si="247">NN9-KW9</f>
        <v>6.6327445940437713E-2</v>
      </c>
      <c r="NO36" s="2075">
        <f t="shared" si="247"/>
        <v>0.32283516305994198</v>
      </c>
      <c r="NP36" s="2075">
        <f t="shared" si="247"/>
        <v>0.11829637239760915</v>
      </c>
      <c r="NQ36" s="2075">
        <f t="shared" si="247"/>
        <v>0.33265492197221613</v>
      </c>
      <c r="NR36" s="2075">
        <f t="shared" si="247"/>
        <v>0.14690883326229409</v>
      </c>
      <c r="NS36" s="2075">
        <f t="shared" si="247"/>
        <v>1.0819925000961033</v>
      </c>
      <c r="NT36" s="2075">
        <f t="shared" si="247"/>
        <v>0.18458955600937887</v>
      </c>
      <c r="NU36" s="2075">
        <f t="shared" si="247"/>
        <v>0.42843869753799879</v>
      </c>
      <c r="NV36" s="2075">
        <f t="shared" si="247"/>
        <v>9.5434112464451548E-2</v>
      </c>
      <c r="NW36" s="2075">
        <f t="shared" si="247"/>
        <v>0.61246947652184414</v>
      </c>
      <c r="NX36" s="2075">
        <f t="shared" si="247"/>
        <v>0.28407193958775423</v>
      </c>
      <c r="NY36" s="2075">
        <f t="shared" si="247"/>
        <v>1.0602190427685496</v>
      </c>
      <c r="NZ36" s="2075">
        <f t="shared" si="247"/>
        <v>1.1716021280668159</v>
      </c>
      <c r="OA36" s="2075">
        <f t="shared" si="247"/>
        <v>1.1506039421047776</v>
      </c>
      <c r="OB36" s="2075">
        <f t="shared" si="247"/>
        <v>0.13163348477647219</v>
      </c>
      <c r="OC36" s="2075"/>
      <c r="OD36" s="216"/>
      <c r="OE36" s="216"/>
      <c r="OF36" s="216"/>
      <c r="OG36" s="216"/>
      <c r="OH36" s="2813">
        <f>AVERAGE(NP36:OB36)</f>
        <v>0.52299346212048203</v>
      </c>
      <c r="OI36" s="2814">
        <f>(OB8-NV8)/NV8</f>
        <v>0.49660485905546947</v>
      </c>
      <c r="OJ36" s="216"/>
      <c r="OK36" s="7"/>
      <c r="OL36" s="7"/>
      <c r="OM36" s="7"/>
      <c r="ON36" s="7"/>
      <c r="OO36" s="7"/>
      <c r="OP36" s="7"/>
      <c r="OQ36" s="7"/>
      <c r="OR36" s="7"/>
      <c r="OS36" s="7"/>
      <c r="OT36" s="7"/>
      <c r="OU36" s="7"/>
      <c r="OV36" s="7"/>
      <c r="OW36" s="7"/>
      <c r="OX36" s="7"/>
      <c r="OY36" s="7"/>
      <c r="OZ36" s="7"/>
      <c r="PA36" s="11"/>
      <c r="PB36" s="11"/>
      <c r="PC36" s="11"/>
      <c r="PD36" s="7"/>
      <c r="PE36" s="7"/>
      <c r="PF36" s="7"/>
      <c r="PG36" s="7"/>
      <c r="PH36" s="7"/>
      <c r="PI36" s="7"/>
      <c r="PJ36" s="7"/>
      <c r="PK36" s="7"/>
      <c r="PL36" s="7"/>
      <c r="PM36" s="7"/>
      <c r="PN36" s="7"/>
      <c r="PO36" s="7"/>
      <c r="PP36" s="7"/>
      <c r="PQ36" s="7"/>
      <c r="PR36" s="7"/>
      <c r="PS36" s="7"/>
      <c r="PT36" s="7"/>
      <c r="PU36" s="224" t="s">
        <v>1307</v>
      </c>
      <c r="PV36" s="447">
        <f>(PQ8-PK8)/PK8</f>
        <v>0.30890171416525858</v>
      </c>
      <c r="PW36" s="447"/>
      <c r="PX36" s="15">
        <f>'Bloom Cleaner Data'!FO36</f>
        <v>1.6787000000000001</v>
      </c>
      <c r="PY36" s="15">
        <f>'Bloom Cleaner Data'!FP36</f>
        <v>1.5789</v>
      </c>
      <c r="PZ36" s="15">
        <f>'Bloom Cleaner Data'!FQ36</f>
        <v>1.4570000000000001</v>
      </c>
      <c r="QA36" s="15">
        <f>'Bloom Cleaner Data'!FR36</f>
        <v>1.5349999999999999</v>
      </c>
      <c r="QB36" s="15">
        <f>'Bloom Cleaner Data'!FS36</f>
        <v>1.5138</v>
      </c>
      <c r="QC36" s="15">
        <f>'Bloom Cleaner Data'!FT36</f>
        <v>1.5987</v>
      </c>
      <c r="QD36" s="15">
        <f>'Bloom Cleaner Data'!FU36</f>
        <v>1.6189</v>
      </c>
      <c r="QE36" s="15">
        <f>'Bloom Cleaner Data'!FV36</f>
        <v>1.5083</v>
      </c>
      <c r="QF36" s="15">
        <f>'Bloom Cleaner Data'!FW36</f>
        <v>1.5264199999999999</v>
      </c>
      <c r="QG36" s="15">
        <f>'Bloom Cleaner Data'!FX36</f>
        <v>1.54454</v>
      </c>
      <c r="QH36" s="15">
        <f>'Bloom Cleaner Data'!FY36</f>
        <v>1.5626599999999999</v>
      </c>
      <c r="QI36" s="15">
        <f>'Bloom Cleaner Data'!FZ36</f>
        <v>1.5807800000000001</v>
      </c>
      <c r="QJ36" s="15">
        <f>'Bloom Cleaner Data'!GA36</f>
        <v>1.5989</v>
      </c>
      <c r="QK36" s="15">
        <f>'Bloom Cleaner Data'!GB36</f>
        <v>1.6762999999999999</v>
      </c>
      <c r="QL36" s="15">
        <f>'Bloom Cleaner Data'!GC36</f>
        <v>1.7537</v>
      </c>
      <c r="QM36" s="15"/>
      <c r="QN36" s="506">
        <f>AVERAGE(PZ36:QL36)</f>
        <v>1.5749999999999997</v>
      </c>
      <c r="QO36" s="10">
        <f>(QL36-PZ36)/PZ36</f>
        <v>0.20363761153054216</v>
      </c>
      <c r="QP36" s="506">
        <f t="shared" si="245"/>
        <v>1.5794549999999998</v>
      </c>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216"/>
      <c r="SS36" s="4548"/>
      <c r="ST36" s="4548"/>
      <c r="SU36" s="4548"/>
      <c r="SV36" s="4548"/>
    </row>
    <row r="37" spans="1:518">
      <c r="A37" s="11" t="s">
        <v>713</v>
      </c>
      <c r="B37" s="11"/>
      <c r="C37" s="2211" t="s">
        <v>485</v>
      </c>
      <c r="D37" s="216"/>
      <c r="E37" s="224" t="s">
        <v>1045</v>
      </c>
      <c r="F37" s="1139">
        <f>F36+G11+G20</f>
        <v>255031.47719439998</v>
      </c>
      <c r="G37" s="447">
        <f>F37/(G$33-G$27)</f>
        <v>0.59528030454869518</v>
      </c>
      <c r="H37" s="1139">
        <f>H36+H11+H20</f>
        <v>215541.08648815003</v>
      </c>
      <c r="I37" s="447">
        <f>H37/(H$33-H$27)</f>
        <v>0.53697955242011663</v>
      </c>
      <c r="J37" s="7"/>
      <c r="K37" s="7"/>
      <c r="L37" s="7"/>
      <c r="M37" s="11"/>
      <c r="N37" s="7"/>
      <c r="O37" s="7"/>
      <c r="P37" s="7"/>
      <c r="Q37" s="7"/>
      <c r="R37" s="229">
        <f>'OUTPUTS &amp; Inputs'!P110</f>
        <v>-0.3727157311583888</v>
      </c>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11"/>
      <c r="EF37" s="21"/>
      <c r="EG37" s="21"/>
      <c r="EH37" s="21"/>
      <c r="EI37" s="21"/>
      <c r="EJ37" s="21"/>
      <c r="EK37" s="21"/>
      <c r="EL37" s="21"/>
      <c r="EM37" s="7"/>
      <c r="EN37" s="15">
        <f>'Bloom Cleaner Data'!DA37</f>
        <v>4.7956000000000003</v>
      </c>
      <c r="EO37" s="15">
        <f>'Bloom Cleaner Data'!DB37</f>
        <v>4.7956000000000003</v>
      </c>
      <c r="EP37" s="15">
        <f>'Bloom Cleaner Data'!DC37</f>
        <v>4.7956000000000003</v>
      </c>
      <c r="EQ37" s="15">
        <f>'Bloom Cleaner Data'!DD37</f>
        <v>4.7956000000000003</v>
      </c>
      <c r="ER37" s="15">
        <f>'Bloom Cleaner Data'!DE37</f>
        <v>4.7956000000000003</v>
      </c>
      <c r="ES37" s="15">
        <f>'Bloom Cleaner Data'!DF37</f>
        <v>4.7956000000000003</v>
      </c>
      <c r="ET37" s="15">
        <f>'Bloom Cleaner Data'!DG37</f>
        <v>4.7956000000000003</v>
      </c>
      <c r="EU37" s="15">
        <f>'Bloom Cleaner Data'!DH37</f>
        <v>4.7956000000000003</v>
      </c>
      <c r="EV37" s="15">
        <f>'Bloom Cleaner Data'!DI37</f>
        <v>4.7956000000000003</v>
      </c>
      <c r="EW37" s="15">
        <f>'Bloom Cleaner Data'!DJ37</f>
        <v>4.7956000000000003</v>
      </c>
      <c r="EX37" s="15">
        <f>'Bloom Cleaner Data'!DK37</f>
        <v>4.7956000000000003</v>
      </c>
      <c r="EY37" s="15">
        <f>'Bloom Cleaner Data'!DL37</f>
        <v>4.7956000000000003</v>
      </c>
      <c r="EZ37" s="15">
        <f>'Bloom Cleaner Data'!DM37</f>
        <v>4.7956000000000003</v>
      </c>
      <c r="FA37" s="15">
        <f>'Bloom Cleaner Data'!DN37</f>
        <v>4.7956000000000003</v>
      </c>
      <c r="FB37" s="15">
        <f>'Bloom Cleaner Data'!DO37</f>
        <v>4.7956000000000003</v>
      </c>
      <c r="FC37" s="15"/>
      <c r="FD37" s="15">
        <f t="shared" si="241"/>
        <v>4.7956000000000003</v>
      </c>
      <c r="FE37" s="229">
        <f t="shared" si="242"/>
        <v>0</v>
      </c>
      <c r="FF37" s="15">
        <f t="shared" si="243"/>
        <v>4.7956000000000003</v>
      </c>
      <c r="FG37" s="2206"/>
      <c r="FH37" s="77"/>
      <c r="FI37" s="77"/>
      <c r="FJ37" s="77"/>
      <c r="FK37" s="77"/>
      <c r="FL37" s="77"/>
      <c r="FM37" s="77"/>
      <c r="FN37" s="77"/>
      <c r="FO37" s="77"/>
      <c r="FP37" s="77"/>
      <c r="FQ37" s="77"/>
      <c r="FR37" s="77"/>
      <c r="FS37" s="77"/>
      <c r="FT37" s="77"/>
      <c r="FU37" s="77"/>
      <c r="FV37" s="77"/>
      <c r="FW37" s="77"/>
      <c r="FX37" s="7"/>
      <c r="FY37" s="7"/>
      <c r="FZ37" s="77"/>
      <c r="GA37" s="77"/>
      <c r="GB37" s="77"/>
      <c r="GC37" s="77"/>
      <c r="GD37" s="77" t="s">
        <v>1162</v>
      </c>
      <c r="GE37" s="2207">
        <f t="shared" ref="GE37:GS37" si="248">SUMPRODUCT(GE7:GE9,BU46:BU48)</f>
        <v>5.2967542491987132</v>
      </c>
      <c r="GF37" s="2208">
        <f t="shared" si="248"/>
        <v>5.0737318467773678</v>
      </c>
      <c r="GG37" s="2208">
        <f t="shared" si="248"/>
        <v>4.9171437546117289</v>
      </c>
      <c r="GH37" s="2208">
        <f t="shared" si="248"/>
        <v>5.2716242268817162</v>
      </c>
      <c r="GI37" s="2208">
        <f t="shared" si="248"/>
        <v>5.6882436822288636</v>
      </c>
      <c r="GJ37" s="2208">
        <f t="shared" si="248"/>
        <v>6.4913339947622788</v>
      </c>
      <c r="GK37" s="2208">
        <f t="shared" si="248"/>
        <v>6.4227292587138756</v>
      </c>
      <c r="GL37" s="2208">
        <f t="shared" si="248"/>
        <v>6.2488976706353814</v>
      </c>
      <c r="GM37" s="2208">
        <f t="shared" si="248"/>
        <v>6.2487365146844596</v>
      </c>
      <c r="GN37" s="2208">
        <f t="shared" si="248"/>
        <v>6.2603565393348699</v>
      </c>
      <c r="GO37" s="2208">
        <f t="shared" si="248"/>
        <v>6.5340810446223898</v>
      </c>
      <c r="GP37" s="2208">
        <f t="shared" si="248"/>
        <v>6.6182307194366299</v>
      </c>
      <c r="GQ37" s="2208">
        <f t="shared" si="248"/>
        <v>6.4302951723889556</v>
      </c>
      <c r="GR37" s="2208">
        <f t="shared" si="248"/>
        <v>6.5858108925210557</v>
      </c>
      <c r="GS37" s="2208">
        <f t="shared" si="248"/>
        <v>6.4803078290533485</v>
      </c>
      <c r="GT37" s="15"/>
      <c r="GU37" s="1030">
        <f t="shared" si="65"/>
        <v>6.0378851597234418</v>
      </c>
      <c r="GV37" s="10">
        <f>(GS37-GG37)/GG37</f>
        <v>0.31790082870274988</v>
      </c>
      <c r="GW37" s="506">
        <f>AVERAGE(GJ37:GS37)</f>
        <v>6.4320779636153249</v>
      </c>
      <c r="GX37" s="77"/>
      <c r="GY37" s="7"/>
      <c r="GZ37" s="7"/>
      <c r="HA37" s="7"/>
      <c r="HB37" s="7"/>
      <c r="HC37" s="7"/>
      <c r="HD37" s="7"/>
      <c r="HE37" s="7"/>
      <c r="HF37" s="7"/>
      <c r="HG37" s="7"/>
      <c r="HH37" s="7"/>
      <c r="HI37" s="7"/>
      <c r="HJ37" s="7"/>
      <c r="HK37" s="7"/>
      <c r="HL37" s="7"/>
      <c r="HM37" s="7"/>
      <c r="HN37" s="15"/>
      <c r="HO37" s="7"/>
      <c r="HP37" s="7"/>
      <c r="HQ37" s="7"/>
      <c r="HR37" s="7"/>
      <c r="HS37" s="7"/>
      <c r="HT37" s="7"/>
      <c r="HU37" s="7"/>
      <c r="HV37" s="7"/>
      <c r="HW37" s="7"/>
      <c r="HX37" s="7"/>
      <c r="HY37" s="7"/>
      <c r="HZ37" s="7"/>
      <c r="IA37" s="7"/>
      <c r="IB37" s="7"/>
      <c r="IC37" s="7"/>
      <c r="ID37" s="7"/>
      <c r="IE37" s="7"/>
      <c r="IF37" s="7"/>
      <c r="IG37" s="15"/>
      <c r="IH37" s="7"/>
      <c r="II37" s="7"/>
      <c r="IJ37" s="7" t="s">
        <v>275</v>
      </c>
      <c r="IK37" s="10">
        <f>IK8-GY8</f>
        <v>8.677401564386264E-2</v>
      </c>
      <c r="IL37" s="10">
        <f t="shared" si="246"/>
        <v>9.1246754030805163E-2</v>
      </c>
      <c r="IM37" s="10">
        <f t="shared" si="246"/>
        <v>9.5858832252945864E-2</v>
      </c>
      <c r="IN37" s="10">
        <f t="shared" si="246"/>
        <v>9.5821063500045087E-2</v>
      </c>
      <c r="IO37" s="10">
        <f t="shared" si="246"/>
        <v>9.5760115031691462E-2</v>
      </c>
      <c r="IP37" s="10">
        <f t="shared" si="246"/>
        <v>9.0957757083619098E-2</v>
      </c>
      <c r="IQ37" s="10">
        <f t="shared" si="246"/>
        <v>8.6492321099040814E-2</v>
      </c>
      <c r="IR37" s="10">
        <f t="shared" si="246"/>
        <v>9.3504538232021442E-2</v>
      </c>
      <c r="IS37" s="10">
        <f t="shared" si="246"/>
        <v>0.10198194102205356</v>
      </c>
      <c r="IT37" s="10">
        <f t="shared" si="246"/>
        <v>0.10863327165917583</v>
      </c>
      <c r="IU37" s="10">
        <f t="shared" si="246"/>
        <v>0.1155385290802749</v>
      </c>
      <c r="IV37" s="10">
        <f t="shared" si="246"/>
        <v>0.12309709041200662</v>
      </c>
      <c r="IW37" s="10">
        <f t="shared" si="246"/>
        <v>0.13152372190917905</v>
      </c>
      <c r="IX37" s="10">
        <f t="shared" si="246"/>
        <v>0.12929657666447525</v>
      </c>
      <c r="IY37" s="10">
        <f t="shared" si="246"/>
        <v>0.12630720586379929</v>
      </c>
      <c r="IZ37" s="15"/>
      <c r="JA37" s="7"/>
      <c r="JB37" s="7"/>
      <c r="JC37" s="7"/>
      <c r="JD37" s="7"/>
      <c r="JE37" s="7"/>
      <c r="JF37" s="7"/>
      <c r="JG37" s="7"/>
      <c r="JH37" s="7"/>
      <c r="JI37" s="7"/>
      <c r="JJ37" s="7"/>
      <c r="JK37" s="7"/>
      <c r="JL37" s="7"/>
      <c r="JM37" s="7"/>
      <c r="JN37" s="7"/>
      <c r="JO37" s="7"/>
      <c r="JP37" s="7"/>
      <c r="JQ37" s="7"/>
      <c r="JR37" s="7"/>
      <c r="JS37" s="7"/>
      <c r="JT37" s="7"/>
      <c r="JU37" s="15"/>
      <c r="JV37" s="7"/>
      <c r="JW37" s="7"/>
      <c r="JX37" s="7"/>
      <c r="JY37" s="7"/>
      <c r="JZ37" s="7"/>
      <c r="KA37" s="7"/>
      <c r="KB37" s="7"/>
      <c r="KC37" s="7"/>
      <c r="KD37" s="7"/>
      <c r="KE37" s="7"/>
      <c r="KF37" s="7"/>
      <c r="KG37" s="7"/>
      <c r="KH37" s="7"/>
      <c r="KI37" s="7"/>
      <c r="KJ37" s="7"/>
      <c r="KK37" s="7"/>
      <c r="KL37" s="7"/>
      <c r="KM37" s="7"/>
      <c r="KN37" s="7"/>
      <c r="KO37" s="7"/>
      <c r="KP37" s="15"/>
      <c r="KQ37" s="7"/>
      <c r="KR37" s="7"/>
      <c r="KS37" s="7"/>
      <c r="KT37" s="7"/>
      <c r="KU37" s="7"/>
      <c r="KV37" s="7"/>
      <c r="KW37" s="7"/>
      <c r="KX37" s="7"/>
      <c r="KY37" s="7"/>
      <c r="KZ37" s="7"/>
      <c r="LA37" s="7"/>
      <c r="LB37" s="7"/>
      <c r="LC37" s="7"/>
      <c r="LD37" s="7"/>
      <c r="LE37" s="7"/>
      <c r="LF37" s="7"/>
      <c r="LG37" s="7"/>
      <c r="LH37" s="7"/>
      <c r="LI37" s="7"/>
      <c r="LJ37" s="7"/>
      <c r="LK37" s="7"/>
      <c r="LL37" s="15"/>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2815"/>
      <c r="NM37" s="7"/>
      <c r="NN37" s="7"/>
      <c r="NO37" s="7"/>
      <c r="NP37" s="7"/>
      <c r="NQ37" s="7"/>
      <c r="NR37" s="7"/>
      <c r="NS37" s="7"/>
      <c r="NT37" s="7"/>
      <c r="NU37" s="7"/>
      <c r="NV37" s="7"/>
      <c r="NW37" s="7"/>
      <c r="NX37" s="7"/>
      <c r="NY37" s="7"/>
      <c r="NZ37" s="7"/>
      <c r="OA37" s="7"/>
      <c r="OB37" s="7"/>
      <c r="OC37" s="7"/>
      <c r="OD37" s="216"/>
      <c r="OE37" s="216"/>
      <c r="OF37" s="216"/>
      <c r="OG37" s="216"/>
      <c r="OH37" s="216"/>
      <c r="OI37" s="216"/>
      <c r="OJ37" s="216"/>
      <c r="OK37" s="7"/>
      <c r="OL37" s="7"/>
      <c r="OM37" s="7"/>
      <c r="ON37" s="7"/>
      <c r="OO37" s="7"/>
      <c r="OP37" s="7"/>
      <c r="OQ37" s="7"/>
      <c r="OR37" s="7"/>
      <c r="OS37" s="7"/>
      <c r="OT37" s="7"/>
      <c r="OU37" s="7"/>
      <c r="OV37" s="7"/>
      <c r="OW37" s="7"/>
      <c r="OX37" s="7"/>
      <c r="OY37" s="7"/>
      <c r="OZ37" s="7"/>
      <c r="PA37" s="11"/>
      <c r="PB37" s="11"/>
      <c r="PC37" s="11"/>
      <c r="PD37" s="7"/>
      <c r="PE37" s="7"/>
      <c r="PF37" s="7"/>
      <c r="PG37" s="7"/>
      <c r="PH37" s="7"/>
      <c r="PI37" s="7"/>
      <c r="PJ37" s="7"/>
      <c r="PK37" s="7"/>
      <c r="PL37" s="7"/>
      <c r="PM37" s="7"/>
      <c r="PN37" s="7"/>
      <c r="PO37" s="7"/>
      <c r="PP37" s="7"/>
      <c r="PQ37" s="7"/>
      <c r="PR37" s="7"/>
      <c r="PS37" s="7"/>
      <c r="PT37" s="7"/>
      <c r="PU37" s="7"/>
      <c r="PV37" s="7"/>
      <c r="PW37" s="7"/>
      <c r="PX37" s="15"/>
      <c r="PY37" s="15"/>
      <c r="PZ37" s="15"/>
      <c r="QA37" s="15"/>
      <c r="QB37" s="15"/>
      <c r="QC37" s="15"/>
      <c r="QD37" s="15"/>
      <c r="QE37" s="15"/>
      <c r="QF37" s="15"/>
      <c r="QG37" s="15"/>
      <c r="QH37" s="15"/>
      <c r="QI37" s="15"/>
      <c r="QJ37" s="15"/>
      <c r="QK37" s="15"/>
      <c r="QL37" s="15"/>
      <c r="QM37" s="15"/>
      <c r="QN37" s="15"/>
      <c r="QO37" s="7"/>
      <c r="QP37" s="506"/>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216"/>
      <c r="SS37" s="4548"/>
      <c r="ST37" s="4548"/>
      <c r="SU37" s="4548"/>
      <c r="SV37" s="4548"/>
    </row>
    <row r="38" spans="1:518" ht="12.75" customHeight="1">
      <c r="A38" s="690" t="s">
        <v>713</v>
      </c>
      <c r="B38" s="690"/>
      <c r="C38" s="2213" t="s">
        <v>489</v>
      </c>
      <c r="D38" s="216"/>
      <c r="E38" s="1137" t="s">
        <v>1040</v>
      </c>
      <c r="F38" s="1139">
        <f>G10+G12+G17+G23+G24+G25</f>
        <v>66419.508991469993</v>
      </c>
      <c r="G38" s="447">
        <f>F38/(G$33-G$27)</f>
        <v>0.15503272762788689</v>
      </c>
      <c r="H38" s="1139">
        <f>H10+H12+H17+H23+H24+H25</f>
        <v>68746.874135805003</v>
      </c>
      <c r="I38" s="447">
        <f>H38/(H$33-H$27)</f>
        <v>0.17126973935781939</v>
      </c>
      <c r="J38" s="466"/>
      <c r="K38" s="466"/>
      <c r="L38" s="466"/>
      <c r="M38" s="217"/>
      <c r="N38" s="466"/>
      <c r="O38" s="466"/>
      <c r="P38" s="216"/>
      <c r="Q38" s="216"/>
      <c r="R38" s="696">
        <f>'OUTPUTS &amp; Inputs'!P111</f>
        <v>-0.27415919560156515</v>
      </c>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c r="BJ38" s="216"/>
      <c r="BK38" s="216"/>
      <c r="BL38" s="216"/>
      <c r="BM38" s="216"/>
      <c r="BN38" s="216"/>
      <c r="BO38" s="216"/>
      <c r="BP38" s="216"/>
      <c r="BQ38" s="216"/>
      <c r="BR38" s="216"/>
      <c r="BS38" s="216"/>
      <c r="BT38" s="216"/>
      <c r="BU38" s="216"/>
      <c r="BV38" s="216"/>
      <c r="BW38" s="216"/>
      <c r="BX38" s="216"/>
      <c r="BY38" s="216"/>
      <c r="BZ38" s="216"/>
      <c r="CA38" s="216"/>
      <c r="CB38" s="216"/>
      <c r="CC38" s="216"/>
      <c r="CD38" s="216"/>
      <c r="CE38" s="216"/>
      <c r="CF38" s="216"/>
      <c r="CG38" s="216"/>
      <c r="CH38" s="216"/>
      <c r="CI38" s="216"/>
      <c r="CJ38" s="216"/>
      <c r="CK38" s="216"/>
      <c r="CL38" s="216"/>
      <c r="CM38" s="216"/>
      <c r="CN38" s="216"/>
      <c r="CO38" s="216"/>
      <c r="CP38" s="216"/>
      <c r="CQ38" s="216"/>
      <c r="CR38" s="216"/>
      <c r="CS38" s="216"/>
      <c r="CT38" s="216"/>
      <c r="CU38" s="216"/>
      <c r="CV38" s="216"/>
      <c r="CW38" s="216"/>
      <c r="CX38" s="216"/>
      <c r="CY38" s="216"/>
      <c r="CZ38" s="216"/>
      <c r="DA38" s="216"/>
      <c r="DB38" s="216"/>
      <c r="DC38" s="216"/>
      <c r="DD38" s="216"/>
      <c r="DE38" s="216"/>
      <c r="DF38" s="216"/>
      <c r="DG38" s="216"/>
      <c r="DH38" s="216"/>
      <c r="DI38" s="216"/>
      <c r="DJ38" s="216"/>
      <c r="DK38" s="216"/>
      <c r="DL38" s="216"/>
      <c r="DM38" s="216"/>
      <c r="DN38" s="216"/>
      <c r="DO38" s="216"/>
      <c r="DP38" s="216"/>
      <c r="DQ38" s="216"/>
      <c r="DR38" s="216"/>
      <c r="DS38" s="216"/>
      <c r="DT38" s="216"/>
      <c r="DU38" s="216"/>
      <c r="DV38" s="216"/>
      <c r="DW38" s="216"/>
      <c r="DX38" s="216"/>
      <c r="DY38" s="216"/>
      <c r="DZ38" s="216"/>
      <c r="EA38" s="216"/>
      <c r="EB38" s="216"/>
      <c r="EC38" s="216"/>
      <c r="ED38" s="216"/>
      <c r="EE38" s="174"/>
      <c r="EF38" s="2677"/>
      <c r="EG38" s="2677"/>
      <c r="EH38" s="2677"/>
      <c r="EI38" s="2677"/>
      <c r="EJ38" s="2677"/>
      <c r="EK38" s="2677"/>
      <c r="EL38" s="2677"/>
      <c r="EM38" s="216"/>
      <c r="EN38" s="697">
        <f>'Bloom Cleaner Data'!DA38</f>
        <v>6.1997</v>
      </c>
      <c r="EO38" s="697">
        <f>'Bloom Cleaner Data'!DB38</f>
        <v>6.2983000000000002</v>
      </c>
      <c r="EP38" s="697">
        <f>'Bloom Cleaner Data'!DC38</f>
        <v>6.1234000000000002</v>
      </c>
      <c r="EQ38" s="697">
        <f>'Bloom Cleaner Data'!DD38</f>
        <v>6.5911999999999997</v>
      </c>
      <c r="ER38" s="697">
        <f>'Bloom Cleaner Data'!DE38</f>
        <v>6.6402000000000001</v>
      </c>
      <c r="ES38" s="697">
        <f>'Bloom Cleaner Data'!DF38</f>
        <v>6.8207000000000004</v>
      </c>
      <c r="ET38" s="697">
        <f>'Bloom Cleaner Data'!DG38</f>
        <v>6.6776999999999997</v>
      </c>
      <c r="EU38" s="697">
        <f>'Bloom Cleaner Data'!DH38</f>
        <v>6.476</v>
      </c>
      <c r="EV38" s="697">
        <f>'Bloom Cleaner Data'!DI38</f>
        <v>6.4140600000000001</v>
      </c>
      <c r="EW38" s="697">
        <f>'Bloom Cleaner Data'!DJ38</f>
        <v>6.3521200000000002</v>
      </c>
      <c r="EX38" s="697">
        <f>'Bloom Cleaner Data'!DK38</f>
        <v>6.2901799999999994</v>
      </c>
      <c r="EY38" s="697">
        <f>'Bloom Cleaner Data'!DL38</f>
        <v>6.2282399999999996</v>
      </c>
      <c r="EZ38" s="697">
        <f>'Bloom Cleaner Data'!DM38</f>
        <v>6.1662999999999997</v>
      </c>
      <c r="FA38" s="697">
        <f>'Bloom Cleaner Data'!DN38</f>
        <v>6.8334666666666664</v>
      </c>
      <c r="FB38" s="697">
        <f>'Bloom Cleaner Data'!DO38</f>
        <v>7.500633333333333</v>
      </c>
      <c r="FC38" s="697"/>
      <c r="FD38" s="705">
        <f t="shared" si="241"/>
        <v>6.5472461538461548</v>
      </c>
      <c r="FE38" s="1220">
        <f t="shared" si="242"/>
        <v>0.22491317459799015</v>
      </c>
      <c r="FF38" s="697">
        <f t="shared" si="243"/>
        <v>6.5759400000000001</v>
      </c>
      <c r="FG38" s="2206"/>
      <c r="FH38" s="77"/>
      <c r="FI38" s="77"/>
      <c r="FJ38" s="77"/>
      <c r="FK38" s="77"/>
      <c r="FL38" s="77"/>
      <c r="FM38" s="77"/>
      <c r="FN38" s="77"/>
      <c r="FO38" s="77"/>
      <c r="FP38" s="77"/>
      <c r="FQ38" s="77"/>
      <c r="FR38" s="77"/>
      <c r="FS38" s="77"/>
      <c r="FT38" s="77"/>
      <c r="FU38" s="77"/>
      <c r="FV38" s="77"/>
      <c r="FW38" s="77"/>
      <c r="FX38" s="216"/>
      <c r="FY38" s="216"/>
      <c r="FZ38" s="77"/>
      <c r="GA38" s="77"/>
      <c r="GB38" s="77"/>
      <c r="GC38" s="77"/>
      <c r="GD38" s="216"/>
      <c r="GE38" s="216"/>
      <c r="GF38" s="216"/>
      <c r="GG38" s="216"/>
      <c r="GH38" s="216"/>
      <c r="GI38" s="216"/>
      <c r="GJ38" s="216"/>
      <c r="GK38" s="216"/>
      <c r="GL38" s="216"/>
      <c r="GM38" s="216"/>
      <c r="GN38" s="216"/>
      <c r="GO38" s="216"/>
      <c r="GP38" s="216"/>
      <c r="GQ38" s="216"/>
      <c r="GR38" s="216"/>
      <c r="GS38" s="216"/>
      <c r="GT38" s="2809"/>
      <c r="GU38" s="216"/>
      <c r="GV38" s="216"/>
      <c r="GW38" s="216"/>
      <c r="GX38" s="77"/>
      <c r="GY38" s="216"/>
      <c r="GZ38" s="216"/>
      <c r="HA38" s="216"/>
      <c r="HB38" s="216"/>
      <c r="HC38" s="216"/>
      <c r="HD38" s="216"/>
      <c r="HE38" s="216"/>
      <c r="HF38" s="216"/>
      <c r="HG38" s="216"/>
      <c r="HH38" s="216"/>
      <c r="HI38" s="216"/>
      <c r="HJ38" s="216"/>
      <c r="HK38" s="216"/>
      <c r="HL38" s="216"/>
      <c r="HM38" s="216"/>
      <c r="HN38" s="2809"/>
      <c r="HO38" s="216"/>
      <c r="HP38" s="216"/>
      <c r="HQ38" s="216"/>
      <c r="HR38" s="216"/>
      <c r="HS38" s="216"/>
      <c r="HT38" s="216"/>
      <c r="HU38" s="216"/>
      <c r="HV38" s="216"/>
      <c r="HW38" s="216"/>
      <c r="HX38" s="216"/>
      <c r="HY38" s="216"/>
      <c r="HZ38" s="216"/>
      <c r="IA38" s="216"/>
      <c r="IB38" s="216"/>
      <c r="IC38" s="216"/>
      <c r="ID38" s="216"/>
      <c r="IE38" s="216"/>
      <c r="IF38" s="216"/>
      <c r="IG38" s="2809"/>
      <c r="IH38" s="216"/>
      <c r="II38" s="216"/>
      <c r="IJ38" s="216" t="s">
        <v>281</v>
      </c>
      <c r="IK38" s="10">
        <f>IK9-GY9</f>
        <v>3.0143720881888325E-3</v>
      </c>
      <c r="IL38" s="10">
        <f t="shared" si="246"/>
        <v>3.3574172546962378E-3</v>
      </c>
      <c r="IM38" s="10">
        <f t="shared" si="246"/>
        <v>3.6813529470480222E-3</v>
      </c>
      <c r="IN38" s="10">
        <f t="shared" si="246"/>
        <v>3.5853598472479487E-3</v>
      </c>
      <c r="IO38" s="10">
        <f t="shared" si="246"/>
        <v>3.6997589198108916E-3</v>
      </c>
      <c r="IP38" s="10">
        <f t="shared" si="246"/>
        <v>3.6093231442015372E-3</v>
      </c>
      <c r="IQ38" s="10">
        <f t="shared" si="246"/>
        <v>3.6253663438468031E-3</v>
      </c>
      <c r="IR38" s="10">
        <f t="shared" si="246"/>
        <v>3.0124944091111661E-3</v>
      </c>
      <c r="IS38" s="10">
        <f t="shared" si="246"/>
        <v>3.0094291893357772E-3</v>
      </c>
      <c r="IT38" s="10">
        <f t="shared" si="246"/>
        <v>2.9073954968688032E-3</v>
      </c>
      <c r="IU38" s="10">
        <f t="shared" si="246"/>
        <v>2.681034649134495E-3</v>
      </c>
      <c r="IV38" s="10">
        <f t="shared" si="246"/>
        <v>2.3145563296892435E-3</v>
      </c>
      <c r="IW38" s="10">
        <f t="shared" si="246"/>
        <v>2.2721654787832835E-3</v>
      </c>
      <c r="IX38" s="10">
        <f t="shared" si="246"/>
        <v>2.2284884725123355E-3</v>
      </c>
      <c r="IY38" s="10">
        <f t="shared" si="246"/>
        <v>1.8190111798983555E-3</v>
      </c>
      <c r="IZ38" s="2809"/>
      <c r="JA38" s="216"/>
      <c r="JB38" s="216"/>
      <c r="JC38" s="216"/>
      <c r="JD38" s="216"/>
      <c r="JE38" s="216"/>
      <c r="JF38" s="216"/>
      <c r="JG38" s="216"/>
      <c r="JH38" s="216"/>
      <c r="JI38" s="216"/>
      <c r="JJ38" s="216"/>
      <c r="JK38" s="216"/>
      <c r="JL38" s="216"/>
      <c r="JM38" s="216"/>
      <c r="JN38" s="216"/>
      <c r="JO38" s="216"/>
      <c r="JP38" s="216"/>
      <c r="JQ38" s="216"/>
      <c r="JR38" s="216"/>
      <c r="JS38" s="216"/>
      <c r="JT38" s="216"/>
      <c r="JU38" s="2809"/>
      <c r="JV38" s="216"/>
      <c r="JW38" s="216"/>
      <c r="JX38" s="216"/>
      <c r="JY38" s="216"/>
      <c r="JZ38" s="216"/>
      <c r="KA38" s="216"/>
      <c r="KB38" s="216"/>
      <c r="KC38" s="216"/>
      <c r="KD38" s="216"/>
      <c r="KE38" s="216"/>
      <c r="KF38" s="216"/>
      <c r="KG38" s="216"/>
      <c r="KH38" s="216"/>
      <c r="KI38" s="216"/>
      <c r="KJ38" s="216"/>
      <c r="KK38" s="216"/>
      <c r="KL38" s="216"/>
      <c r="KM38" s="216"/>
      <c r="KN38" s="216"/>
      <c r="KO38" s="216"/>
      <c r="KP38" s="2809"/>
      <c r="KQ38" s="216"/>
      <c r="KR38" s="216"/>
      <c r="KS38" s="216"/>
      <c r="KT38" s="216"/>
      <c r="KU38" s="216"/>
      <c r="KV38" s="216"/>
      <c r="KW38" s="216"/>
      <c r="KX38" s="216"/>
      <c r="KY38" s="216"/>
      <c r="KZ38" s="216"/>
      <c r="LA38" s="216"/>
      <c r="LB38" s="216"/>
      <c r="LC38" s="216"/>
      <c r="LD38" s="216"/>
      <c r="LE38" s="216"/>
      <c r="LF38" s="216"/>
      <c r="LG38" s="216"/>
      <c r="LH38" s="216"/>
      <c r="LI38" s="216"/>
      <c r="LJ38" s="216"/>
      <c r="LK38" s="216"/>
      <c r="LL38" s="2809"/>
      <c r="LM38" s="216"/>
      <c r="LN38" s="216"/>
      <c r="LO38" s="216"/>
      <c r="LP38" s="216"/>
      <c r="LQ38" s="216"/>
      <c r="LR38" s="216"/>
      <c r="LS38" s="216"/>
      <c r="LT38" s="216"/>
      <c r="LU38" s="216"/>
      <c r="LV38" s="216"/>
      <c r="LW38" s="216"/>
      <c r="LX38" s="216"/>
      <c r="LY38" s="216"/>
      <c r="LZ38" s="216"/>
      <c r="MA38" s="216"/>
      <c r="MB38" s="216"/>
      <c r="MC38" s="216"/>
      <c r="MD38" s="216"/>
      <c r="ME38" s="216"/>
      <c r="MF38" s="216"/>
      <c r="MG38" s="216"/>
      <c r="MH38" s="216"/>
      <c r="MI38" s="216"/>
      <c r="MJ38" s="216"/>
      <c r="MK38" s="216"/>
      <c r="ML38" s="216"/>
      <c r="MM38" s="216"/>
      <c r="MN38" s="216"/>
      <c r="MO38" s="216"/>
      <c r="MP38" s="216"/>
      <c r="MQ38" s="216"/>
      <c r="MR38" s="216"/>
      <c r="MS38" s="216"/>
      <c r="MT38" s="216"/>
      <c r="MU38" s="216"/>
      <c r="MV38" s="216"/>
      <c r="MW38" s="216"/>
      <c r="MX38" s="216"/>
      <c r="MY38" s="216"/>
      <c r="MZ38" s="216"/>
      <c r="NA38" s="216"/>
      <c r="NB38" s="216"/>
      <c r="NC38" s="216"/>
      <c r="ND38" s="216"/>
      <c r="NE38" s="216"/>
      <c r="NF38" s="216"/>
      <c r="NG38" s="216"/>
      <c r="NH38" s="216"/>
      <c r="NI38" s="216"/>
      <c r="NJ38" s="216"/>
      <c r="NK38" s="216"/>
      <c r="NL38" s="2823"/>
      <c r="NM38" s="216"/>
      <c r="NN38" s="216"/>
      <c r="NO38" s="216"/>
      <c r="NP38" s="216"/>
      <c r="NQ38" s="216"/>
      <c r="NR38" s="216"/>
      <c r="NS38" s="216"/>
      <c r="NT38" s="216"/>
      <c r="NU38" s="216"/>
      <c r="NV38" s="216"/>
      <c r="NW38" s="216"/>
      <c r="NX38" s="216"/>
      <c r="NY38" s="216"/>
      <c r="NZ38" s="216"/>
      <c r="OA38" s="216"/>
      <c r="OB38" s="216"/>
      <c r="OC38" s="216"/>
      <c r="OD38" s="216"/>
      <c r="OE38" s="216"/>
      <c r="OF38" s="216"/>
      <c r="OG38" s="216"/>
      <c r="OH38" s="216"/>
      <c r="OI38" s="216"/>
      <c r="OJ38" s="216"/>
      <c r="OK38" s="216"/>
      <c r="OL38" s="216"/>
      <c r="OM38" s="216"/>
      <c r="ON38" s="216"/>
      <c r="OO38" s="216"/>
      <c r="OP38" s="216"/>
      <c r="OQ38" s="216"/>
      <c r="OR38" s="216"/>
      <c r="OS38" s="216"/>
      <c r="OT38" s="216"/>
      <c r="OU38" s="216"/>
      <c r="OV38" s="216"/>
      <c r="OW38" s="216"/>
      <c r="OX38" s="216"/>
      <c r="OY38" s="216"/>
      <c r="OZ38" s="216"/>
      <c r="PA38" s="174"/>
      <c r="PB38" s="174"/>
      <c r="PC38" s="174"/>
      <c r="PD38" s="216"/>
      <c r="PE38" s="216"/>
      <c r="PF38" s="216"/>
      <c r="PG38" s="216"/>
      <c r="PH38" s="216"/>
      <c r="PI38" s="216"/>
      <c r="PJ38" s="216"/>
      <c r="PK38" s="216"/>
      <c r="PL38" s="216"/>
      <c r="PM38" s="216"/>
      <c r="PN38" s="216"/>
      <c r="PO38" s="216"/>
      <c r="PP38" s="216"/>
      <c r="PQ38" s="216"/>
      <c r="PR38" s="216"/>
      <c r="PS38" s="216"/>
      <c r="PT38" s="216"/>
      <c r="PU38" s="216"/>
      <c r="PV38" s="216"/>
      <c r="PW38" s="216"/>
      <c r="PX38" s="697">
        <f>'Bloom Cleaner Data'!FO38</f>
        <v>1.028</v>
      </c>
      <c r="PY38" s="697">
        <f>'Bloom Cleaner Data'!FP38</f>
        <v>1.0049999999999999</v>
      </c>
      <c r="PZ38" s="697">
        <f>'Bloom Cleaner Data'!FQ38</f>
        <v>0.98580000000000001</v>
      </c>
      <c r="QA38" s="697">
        <f>'Bloom Cleaner Data'!FR38</f>
        <v>1.0396000000000001</v>
      </c>
      <c r="QB38" s="697">
        <f>'Bloom Cleaner Data'!FS38</f>
        <v>1.0711999999999999</v>
      </c>
      <c r="QC38" s="697">
        <f>'Bloom Cleaner Data'!FT38</f>
        <v>1.1758999999999999</v>
      </c>
      <c r="QD38" s="697">
        <f>'Bloom Cleaner Data'!FU38</f>
        <v>1.1246</v>
      </c>
      <c r="QE38" s="697">
        <f>'Bloom Cleaner Data'!FV38</f>
        <v>1.0964</v>
      </c>
      <c r="QF38" s="697">
        <f>'Bloom Cleaner Data'!FW38</f>
        <v>1.1269400000000001</v>
      </c>
      <c r="QG38" s="697">
        <f>'Bloom Cleaner Data'!FX38</f>
        <v>1.1574800000000001</v>
      </c>
      <c r="QH38" s="697">
        <f>'Bloom Cleaner Data'!FY38</f>
        <v>1.1880199999999999</v>
      </c>
      <c r="QI38" s="697">
        <f>'Bloom Cleaner Data'!FZ38</f>
        <v>1.2185599999999999</v>
      </c>
      <c r="QJ38" s="697">
        <f>'Bloom Cleaner Data'!GA38</f>
        <v>1.2490999999999999</v>
      </c>
      <c r="QK38" s="697">
        <f>'Bloom Cleaner Data'!GB38</f>
        <v>1.3798333333333332</v>
      </c>
      <c r="QL38" s="697">
        <f>'Bloom Cleaner Data'!GC38</f>
        <v>1.5105666666666666</v>
      </c>
      <c r="QM38" s="697"/>
      <c r="QN38" s="703">
        <f>AVERAGE(PZ38:QL38)</f>
        <v>1.1787692307692308</v>
      </c>
      <c r="QO38" s="695">
        <f>(QL38-PZ38)/PZ38</f>
        <v>0.53232569148576447</v>
      </c>
      <c r="QP38" s="698">
        <f t="shared" si="245"/>
        <v>1.1188099999999999</v>
      </c>
      <c r="QQ38" s="216"/>
      <c r="QR38" s="216"/>
      <c r="QS38" s="216"/>
      <c r="QT38" s="216"/>
      <c r="QU38" s="216"/>
      <c r="QV38" s="216"/>
      <c r="QW38" s="216"/>
      <c r="QX38" s="216"/>
      <c r="QY38" s="216"/>
      <c r="QZ38" s="216"/>
      <c r="RA38" s="216"/>
      <c r="RB38" s="216"/>
      <c r="RC38" s="216"/>
      <c r="RD38" s="216"/>
      <c r="RE38" s="216"/>
      <c r="RF38" s="216"/>
      <c r="RG38" s="216"/>
      <c r="RH38" s="216"/>
      <c r="RI38" s="216"/>
      <c r="RJ38" s="216"/>
      <c r="RK38" s="216"/>
      <c r="RL38" s="216"/>
      <c r="RM38" s="216"/>
      <c r="RN38" s="216"/>
      <c r="RO38" s="216"/>
      <c r="RP38" s="216"/>
      <c r="RQ38" s="216"/>
      <c r="RR38" s="216"/>
      <c r="RS38" s="216"/>
      <c r="RT38" s="216"/>
      <c r="RU38" s="216"/>
      <c r="RV38" s="216"/>
      <c r="RW38" s="216"/>
      <c r="RX38" s="216"/>
      <c r="RY38" s="216"/>
      <c r="RZ38" s="216"/>
      <c r="SA38" s="216"/>
      <c r="SB38" s="216"/>
      <c r="SC38" s="216"/>
      <c r="SD38" s="216"/>
      <c r="SE38" s="216"/>
      <c r="SF38" s="216"/>
      <c r="SG38" s="216"/>
      <c r="SH38" s="216"/>
      <c r="SI38" s="216"/>
      <c r="SJ38" s="216"/>
      <c r="SK38" s="216"/>
      <c r="SL38" s="216"/>
      <c r="SM38" s="216"/>
      <c r="SN38" s="216"/>
      <c r="SO38" s="216"/>
      <c r="SP38" s="216"/>
      <c r="SQ38" s="216"/>
      <c r="SR38" s="216"/>
      <c r="SS38" s="4549" t="s">
        <v>2774</v>
      </c>
      <c r="ST38" s="4549"/>
      <c r="SU38" s="4549"/>
      <c r="SV38" s="4549"/>
    </row>
    <row r="39" spans="1:518">
      <c r="A39" s="690" t="s">
        <v>713</v>
      </c>
      <c r="B39" s="690"/>
      <c r="C39" s="2213" t="s">
        <v>487</v>
      </c>
      <c r="D39" s="216"/>
      <c r="E39" s="1138" t="s">
        <v>1058</v>
      </c>
      <c r="F39" s="1139">
        <f>G8+G9+G26</f>
        <v>5795.5376999999999</v>
      </c>
      <c r="G39" s="447">
        <f>F39/(G$33-G$27)</f>
        <v>1.3527622099956215E-2</v>
      </c>
      <c r="H39" s="1139">
        <f>H8+H9+H26</f>
        <v>5544.2608999999993</v>
      </c>
      <c r="I39" s="447">
        <f>H39/(H$33-H$27)</f>
        <v>1.3812469748063693E-2</v>
      </c>
      <c r="J39" s="1033"/>
      <c r="K39" s="1033"/>
      <c r="L39" s="1033"/>
      <c r="M39" s="1034"/>
      <c r="N39" s="1033"/>
      <c r="O39" s="1033"/>
      <c r="P39" s="216"/>
      <c r="Q39" s="216"/>
      <c r="R39" s="696">
        <f>'OUTPUTS &amp; Inputs'!P112</f>
        <v>0.2084448816446475</v>
      </c>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c r="BX39" s="216"/>
      <c r="BY39" s="216"/>
      <c r="BZ39" s="216"/>
      <c r="CA39" s="216"/>
      <c r="CB39" s="216"/>
      <c r="CC39" s="216"/>
      <c r="CD39" s="216"/>
      <c r="CE39" s="216"/>
      <c r="CF39" s="216"/>
      <c r="CG39" s="216"/>
      <c r="CH39" s="216"/>
      <c r="CI39" s="216"/>
      <c r="CJ39" s="216"/>
      <c r="CK39" s="216"/>
      <c r="CL39" s="216"/>
      <c r="CM39" s="216"/>
      <c r="CN39" s="216"/>
      <c r="CO39" s="216"/>
      <c r="CP39" s="216"/>
      <c r="CQ39" s="216"/>
      <c r="CR39" s="216"/>
      <c r="CS39" s="216"/>
      <c r="CT39" s="216"/>
      <c r="CU39" s="216"/>
      <c r="CV39" s="216"/>
      <c r="CW39" s="216"/>
      <c r="CX39" s="216"/>
      <c r="CY39" s="216"/>
      <c r="CZ39" s="216"/>
      <c r="DA39" s="216"/>
      <c r="DB39" s="216"/>
      <c r="DC39" s="216"/>
      <c r="DD39" s="216"/>
      <c r="DE39" s="216"/>
      <c r="DF39" s="216"/>
      <c r="DG39" s="216"/>
      <c r="DH39" s="216"/>
      <c r="DI39" s="216"/>
      <c r="DJ39" s="216"/>
      <c r="DK39" s="216"/>
      <c r="DL39" s="216"/>
      <c r="DM39" s="216"/>
      <c r="DN39" s="216"/>
      <c r="DO39" s="216"/>
      <c r="DP39" s="216"/>
      <c r="DQ39" s="216"/>
      <c r="DR39" s="216"/>
      <c r="DS39" s="216"/>
      <c r="DT39" s="216"/>
      <c r="DU39" s="216"/>
      <c r="DV39" s="216"/>
      <c r="DW39" s="216"/>
      <c r="DX39" s="216"/>
      <c r="DY39" s="216"/>
      <c r="DZ39" s="216"/>
      <c r="EA39" s="216"/>
      <c r="EB39" s="216"/>
      <c r="EC39" s="216"/>
      <c r="ED39" s="216"/>
      <c r="EE39" s="174"/>
      <c r="EF39" s="2677"/>
      <c r="EG39" s="2677"/>
      <c r="EH39" s="2677"/>
      <c r="EI39" s="2677"/>
      <c r="EJ39" s="2677"/>
      <c r="EK39" s="2677"/>
      <c r="EL39" s="2677"/>
      <c r="EM39" s="216"/>
      <c r="EN39" s="697">
        <f>'Bloom Cleaner Data'!DA39</f>
        <v>5.3141999999999996</v>
      </c>
      <c r="EO39" s="697">
        <f>'Bloom Cleaner Data'!DB39</f>
        <v>5.3106</v>
      </c>
      <c r="EP39" s="697">
        <f>'Bloom Cleaner Data'!DC39</f>
        <v>5.0982000000000003</v>
      </c>
      <c r="EQ39" s="697">
        <f>'Bloom Cleaner Data'!DD39</f>
        <v>5.4623999999999997</v>
      </c>
      <c r="ER39" s="697">
        <f>'Bloom Cleaner Data'!DE39</f>
        <v>5.1510999999999996</v>
      </c>
      <c r="ES39" s="697">
        <f>'Bloom Cleaner Data'!DF39</f>
        <v>5.2797999999999998</v>
      </c>
      <c r="ET39" s="697">
        <f>'Bloom Cleaner Data'!DG39</f>
        <v>5.1737000000000002</v>
      </c>
      <c r="EU39" s="697">
        <f>'Bloom Cleaner Data'!DH39</f>
        <v>4.8963999999999999</v>
      </c>
      <c r="EV39" s="697">
        <f>'Bloom Cleaner Data'!DI39</f>
        <v>4.8194799999999995</v>
      </c>
      <c r="EW39" s="697">
        <f>'Bloom Cleaner Data'!DJ39</f>
        <v>4.7425600000000001</v>
      </c>
      <c r="EX39" s="697">
        <f>'Bloom Cleaner Data'!DK39</f>
        <v>4.6656399999999998</v>
      </c>
      <c r="EY39" s="697">
        <f>'Bloom Cleaner Data'!DL39</f>
        <v>4.5887200000000004</v>
      </c>
      <c r="EZ39" s="697">
        <f>'Bloom Cleaner Data'!DM39</f>
        <v>4.5118</v>
      </c>
      <c r="FA39" s="697">
        <f>'Bloom Cleaner Data'!DN39</f>
        <v>4.7328999999999999</v>
      </c>
      <c r="FB39" s="697">
        <f>'Bloom Cleaner Data'!DO39</f>
        <v>4.9539999999999997</v>
      </c>
      <c r="FC39" s="697"/>
      <c r="FD39" s="705">
        <f t="shared" si="241"/>
        <v>4.9289769230769229</v>
      </c>
      <c r="FE39" s="1220">
        <f t="shared" si="242"/>
        <v>-2.8284492566003794E-2</v>
      </c>
      <c r="FF39" s="697">
        <f t="shared" si="243"/>
        <v>4.8365</v>
      </c>
      <c r="FG39" s="2206"/>
      <c r="FH39" s="77"/>
      <c r="FI39" s="77"/>
      <c r="FJ39" s="77"/>
      <c r="FK39" s="77"/>
      <c r="FL39" s="77"/>
      <c r="FM39" s="77"/>
      <c r="FN39" s="77"/>
      <c r="FO39" s="77"/>
      <c r="FP39" s="77"/>
      <c r="FQ39" s="77"/>
      <c r="FR39" s="77"/>
      <c r="FS39" s="77"/>
      <c r="FT39" s="77"/>
      <c r="FU39" s="77"/>
      <c r="FV39" s="77"/>
      <c r="FW39" s="77"/>
      <c r="FX39" s="216"/>
      <c r="FY39" s="216"/>
      <c r="FZ39" s="77"/>
      <c r="GA39" s="77"/>
      <c r="GB39" s="77"/>
      <c r="GC39" s="77"/>
      <c r="GD39" s="77"/>
      <c r="GE39" s="77"/>
      <c r="GF39" s="77"/>
      <c r="GG39" s="77"/>
      <c r="GH39" s="77"/>
      <c r="GI39" s="77"/>
      <c r="GJ39" s="77"/>
      <c r="GK39" s="77"/>
      <c r="GL39" s="77"/>
      <c r="GM39" s="77"/>
      <c r="GN39" s="77"/>
      <c r="GO39" s="77"/>
      <c r="GP39" s="77"/>
      <c r="GQ39" s="77"/>
      <c r="GR39" s="77"/>
      <c r="GS39" s="77"/>
      <c r="GT39" s="2809"/>
      <c r="GU39" s="77"/>
      <c r="GV39" s="77"/>
      <c r="GW39" s="77"/>
      <c r="GX39" s="77"/>
      <c r="GY39" s="216"/>
      <c r="GZ39" s="216"/>
      <c r="HA39" s="216"/>
      <c r="HB39" s="216"/>
      <c r="HC39" s="216"/>
      <c r="HD39" s="216"/>
      <c r="HE39" s="216"/>
      <c r="HF39" s="216"/>
      <c r="HG39" s="216"/>
      <c r="HH39" s="216"/>
      <c r="HI39" s="216"/>
      <c r="HJ39" s="216"/>
      <c r="HK39" s="216"/>
      <c r="HL39" s="216"/>
      <c r="HM39" s="216"/>
      <c r="HN39" s="2809"/>
      <c r="HO39" s="216"/>
      <c r="HP39" s="216"/>
      <c r="HQ39" s="216"/>
      <c r="HR39" s="216"/>
      <c r="HS39" s="216"/>
      <c r="HT39" s="216"/>
      <c r="HU39" s="216"/>
      <c r="HV39" s="216"/>
      <c r="HW39" s="216"/>
      <c r="HX39" s="216"/>
      <c r="HY39" s="216"/>
      <c r="HZ39" s="216"/>
      <c r="IA39" s="216"/>
      <c r="IB39" s="216"/>
      <c r="IC39" s="216"/>
      <c r="ID39" s="216"/>
      <c r="IE39" s="216"/>
      <c r="IF39" s="216"/>
      <c r="IG39" s="2809"/>
      <c r="IH39" s="216"/>
      <c r="II39" s="216"/>
      <c r="IJ39" s="216"/>
      <c r="IK39" s="216"/>
      <c r="IL39" s="216"/>
      <c r="IM39" s="216"/>
      <c r="IN39" s="216"/>
      <c r="IO39" s="216"/>
      <c r="IP39" s="216"/>
      <c r="IQ39" s="216"/>
      <c r="IR39" s="216"/>
      <c r="IS39" s="216"/>
      <c r="IT39" s="216"/>
      <c r="IU39" s="216"/>
      <c r="IV39" s="216"/>
      <c r="IW39" s="216"/>
      <c r="IX39" s="216"/>
      <c r="IY39" s="216"/>
      <c r="IZ39" s="2809"/>
      <c r="JA39" s="216"/>
      <c r="JB39" s="216"/>
      <c r="JC39" s="216"/>
      <c r="JD39" s="216"/>
      <c r="JE39" s="216"/>
      <c r="JF39" s="216"/>
      <c r="JG39" s="216"/>
      <c r="JH39" s="216"/>
      <c r="JI39" s="216"/>
      <c r="JJ39" s="216"/>
      <c r="JK39" s="216"/>
      <c r="JL39" s="216"/>
      <c r="JM39" s="216"/>
      <c r="JN39" s="216"/>
      <c r="JO39" s="216"/>
      <c r="JP39" s="216"/>
      <c r="JQ39" s="216"/>
      <c r="JR39" s="216"/>
      <c r="JS39" s="216"/>
      <c r="JT39" s="216"/>
      <c r="JU39" s="2809"/>
      <c r="JV39" s="216"/>
      <c r="JW39" s="216"/>
      <c r="JX39" s="216"/>
      <c r="JY39" s="216"/>
      <c r="JZ39" s="216"/>
      <c r="KA39" s="216"/>
      <c r="KB39" s="216"/>
      <c r="KC39" s="216"/>
      <c r="KD39" s="216"/>
      <c r="KE39" s="216"/>
      <c r="KF39" s="216"/>
      <c r="KG39" s="216"/>
      <c r="KH39" s="216"/>
      <c r="KI39" s="216"/>
      <c r="KJ39" s="216"/>
      <c r="KK39" s="216"/>
      <c r="KL39" s="216"/>
      <c r="KM39" s="216"/>
      <c r="KN39" s="216"/>
      <c r="KO39" s="216"/>
      <c r="KP39" s="2809"/>
      <c r="KQ39" s="216"/>
      <c r="KR39" s="216"/>
      <c r="KS39" s="216"/>
      <c r="KT39" s="216"/>
      <c r="KU39" s="216"/>
      <c r="KV39" s="216"/>
      <c r="KW39" s="216"/>
      <c r="KX39" s="216"/>
      <c r="KY39" s="216"/>
      <c r="KZ39" s="216"/>
      <c r="LA39" s="216"/>
      <c r="LB39" s="216"/>
      <c r="LC39" s="216"/>
      <c r="LD39" s="216"/>
      <c r="LE39" s="216"/>
      <c r="LF39" s="216"/>
      <c r="LG39" s="216"/>
      <c r="LH39" s="216"/>
      <c r="LI39" s="216"/>
      <c r="LJ39" s="216"/>
      <c r="LK39" s="216"/>
      <c r="LL39" s="2809"/>
      <c r="LM39" s="216"/>
      <c r="LN39" s="216"/>
      <c r="LO39" s="216"/>
      <c r="LP39" s="216"/>
      <c r="LQ39" s="216"/>
      <c r="LR39" s="216"/>
      <c r="LS39" s="216"/>
      <c r="LT39" s="216"/>
      <c r="LU39" s="216"/>
      <c r="LV39" s="216"/>
      <c r="LW39" s="216"/>
      <c r="LX39" s="216"/>
      <c r="LY39" s="216"/>
      <c r="LZ39" s="216"/>
      <c r="MA39" s="216"/>
      <c r="MB39" s="216"/>
      <c r="MC39" s="216"/>
      <c r="MD39" s="216"/>
      <c r="ME39" s="216"/>
      <c r="MF39" s="216"/>
      <c r="MG39" s="216"/>
      <c r="MH39" s="216"/>
      <c r="MI39" s="216"/>
      <c r="MJ39" s="216"/>
      <c r="MK39" s="216"/>
      <c r="ML39" s="216"/>
      <c r="MM39" s="216"/>
      <c r="MN39" s="216"/>
      <c r="MO39" s="216"/>
      <c r="MP39" s="216"/>
      <c r="MQ39" s="216"/>
      <c r="MR39" s="216"/>
      <c r="MS39" s="216"/>
      <c r="MT39" s="216"/>
      <c r="MU39" s="216"/>
      <c r="MV39" s="216"/>
      <c r="MW39" s="216"/>
      <c r="MX39" s="216"/>
      <c r="MY39" s="216"/>
      <c r="MZ39" s="216"/>
      <c r="NA39" s="216"/>
      <c r="NB39" s="216"/>
      <c r="NC39" s="216"/>
      <c r="ND39" s="216"/>
      <c r="NE39" s="216"/>
      <c r="NF39" s="216"/>
      <c r="NG39" s="216"/>
      <c r="NH39" s="216"/>
      <c r="NI39" s="216"/>
      <c r="NJ39" s="216"/>
      <c r="NK39" s="216"/>
      <c r="NL39" s="2823"/>
      <c r="NM39" s="216"/>
      <c r="NN39" s="216"/>
      <c r="NO39" s="216"/>
      <c r="NP39" s="216"/>
      <c r="NQ39" s="216"/>
      <c r="NR39" s="216"/>
      <c r="NS39" s="216"/>
      <c r="NT39" s="216"/>
      <c r="NU39" s="216"/>
      <c r="NV39" s="216"/>
      <c r="NW39" s="216"/>
      <c r="NX39" s="216"/>
      <c r="NY39" s="216"/>
      <c r="NZ39" s="216"/>
      <c r="OA39" s="216"/>
      <c r="OB39" s="216"/>
      <c r="OC39" s="216"/>
      <c r="OD39" s="216"/>
      <c r="OE39" s="216"/>
      <c r="OF39" s="216"/>
      <c r="OG39" s="216"/>
      <c r="OH39" s="216"/>
      <c r="OI39" s="216"/>
      <c r="OJ39" s="216"/>
      <c r="OK39" s="216"/>
      <c r="OL39" s="216"/>
      <c r="OM39" s="216"/>
      <c r="ON39" s="216"/>
      <c r="OO39" s="216"/>
      <c r="OP39" s="216"/>
      <c r="OQ39" s="216"/>
      <c r="OR39" s="216"/>
      <c r="OS39" s="216"/>
      <c r="OT39" s="216"/>
      <c r="OU39" s="216"/>
      <c r="OV39" s="216"/>
      <c r="OW39" s="216"/>
      <c r="OX39" s="216"/>
      <c r="OY39" s="216"/>
      <c r="OZ39" s="216"/>
      <c r="PA39" s="174"/>
      <c r="PB39" s="174"/>
      <c r="PC39" s="174"/>
      <c r="PD39" s="216"/>
      <c r="PE39" s="216"/>
      <c r="PF39" s="216"/>
      <c r="PG39" s="216"/>
      <c r="PH39" s="216"/>
      <c r="PI39" s="216"/>
      <c r="PJ39" s="216"/>
      <c r="PK39" s="216"/>
      <c r="PL39" s="216"/>
      <c r="PM39" s="216"/>
      <c r="PN39" s="216"/>
      <c r="PO39" s="216"/>
      <c r="PP39" s="216"/>
      <c r="PQ39" s="216"/>
      <c r="PR39" s="216"/>
      <c r="PS39" s="216"/>
      <c r="PT39" s="216"/>
      <c r="PU39" s="216"/>
      <c r="PV39" s="216"/>
      <c r="PW39" s="216"/>
      <c r="PX39" s="697">
        <f>'Bloom Cleaner Data'!FO39</f>
        <v>2.6835</v>
      </c>
      <c r="PY39" s="697">
        <f>'Bloom Cleaner Data'!FP39</f>
        <v>2.4567999999999999</v>
      </c>
      <c r="PZ39" s="697">
        <f>'Bloom Cleaner Data'!FQ39</f>
        <v>2.1610999999999998</v>
      </c>
      <c r="QA39" s="697">
        <f>'Bloom Cleaner Data'!FR39</f>
        <v>2.19</v>
      </c>
      <c r="QB39" s="697">
        <f>'Bloom Cleaner Data'!FS39</f>
        <v>2.0546000000000002</v>
      </c>
      <c r="QC39" s="697">
        <f>'Bloom Cleaner Data'!FT39</f>
        <v>2.0670000000000002</v>
      </c>
      <c r="QD39" s="697">
        <f>'Bloom Cleaner Data'!FU39</f>
        <v>2.1957</v>
      </c>
      <c r="QE39" s="697">
        <f>'Bloom Cleaner Data'!FV39</f>
        <v>1.9914000000000001</v>
      </c>
      <c r="QF39" s="697">
        <f>'Bloom Cleaner Data'!FW39</f>
        <v>1.9504600000000001</v>
      </c>
      <c r="QG39" s="697">
        <f>'Bloom Cleaner Data'!FX39</f>
        <v>1.9095200000000001</v>
      </c>
      <c r="QH39" s="697">
        <f>'Bloom Cleaner Data'!FY39</f>
        <v>1.8685799999999999</v>
      </c>
      <c r="QI39" s="697">
        <f>'Bloom Cleaner Data'!FZ39</f>
        <v>1.8276399999999999</v>
      </c>
      <c r="QJ39" s="697">
        <f>'Bloom Cleaner Data'!GA39</f>
        <v>1.7867</v>
      </c>
      <c r="QK39" s="697">
        <f>'Bloom Cleaner Data'!GB39</f>
        <v>1.9305333333333332</v>
      </c>
      <c r="QL39" s="697">
        <f>'Bloom Cleaner Data'!GC39</f>
        <v>2.0743666666666667</v>
      </c>
      <c r="QM39" s="697"/>
      <c r="QN39" s="703">
        <f>AVERAGE(PZ39:QL39)</f>
        <v>2.0005846153846152</v>
      </c>
      <c r="QO39" s="695">
        <f>(QL39-PZ39)/PZ39</f>
        <v>-4.0133882436413457E-2</v>
      </c>
      <c r="QP39" s="698">
        <f t="shared" si="245"/>
        <v>2.1188150000000001</v>
      </c>
      <c r="QQ39" s="216"/>
      <c r="QR39" s="216"/>
      <c r="QS39" s="216"/>
      <c r="QT39" s="216"/>
      <c r="QU39" s="216"/>
      <c r="QV39" s="216"/>
      <c r="QW39" s="216"/>
      <c r="QX39" s="216"/>
      <c r="QY39" s="216"/>
      <c r="QZ39" s="216"/>
      <c r="RA39" s="216"/>
      <c r="RB39" s="216"/>
      <c r="RC39" s="216"/>
      <c r="RD39" s="216"/>
      <c r="RE39" s="216"/>
      <c r="RF39" s="216"/>
      <c r="RG39" s="216"/>
      <c r="RH39" s="216"/>
      <c r="RI39" s="216"/>
      <c r="RJ39" s="216"/>
      <c r="RK39" s="216"/>
      <c r="RL39" s="216"/>
      <c r="RM39" s="216"/>
      <c r="RN39" s="216"/>
      <c r="RO39" s="216"/>
      <c r="RP39" s="216"/>
      <c r="RQ39" s="216"/>
      <c r="RR39" s="216"/>
      <c r="RS39" s="216"/>
      <c r="RT39" s="216"/>
      <c r="RU39" s="216"/>
      <c r="RV39" s="216"/>
      <c r="RW39" s="216"/>
      <c r="RX39" s="216"/>
      <c r="RY39" s="216"/>
      <c r="RZ39" s="216"/>
      <c r="SA39" s="216"/>
      <c r="SB39" s="216"/>
      <c r="SC39" s="216"/>
      <c r="SD39" s="216"/>
      <c r="SE39" s="216"/>
      <c r="SF39" s="216"/>
      <c r="SG39" s="216"/>
      <c r="SH39" s="216"/>
      <c r="SI39" s="216"/>
      <c r="SJ39" s="216"/>
      <c r="SK39" s="216"/>
      <c r="SL39" s="216"/>
      <c r="SM39" s="216"/>
      <c r="SN39" s="216"/>
      <c r="SO39" s="216"/>
      <c r="SP39" s="216"/>
      <c r="SQ39" s="216"/>
      <c r="SR39" s="2828"/>
      <c r="SS39" s="4549"/>
      <c r="ST39" s="4549"/>
      <c r="SU39" s="4549"/>
      <c r="SV39" s="4549"/>
    </row>
    <row r="40" spans="1:518">
      <c r="A40" s="11" t="s">
        <v>713</v>
      </c>
      <c r="B40" s="11"/>
      <c r="C40" s="2211" t="s">
        <v>491</v>
      </c>
      <c r="D40" s="174"/>
      <c r="E40" s="224"/>
      <c r="F40" s="224"/>
      <c r="G40" s="224"/>
      <c r="H40" s="7"/>
      <c r="I40" s="19"/>
      <c r="J40" s="19"/>
      <c r="K40" s="19"/>
      <c r="L40" s="20"/>
      <c r="M40" s="221"/>
      <c r="N40" s="19"/>
      <c r="O40" s="19"/>
      <c r="P40" s="7"/>
      <c r="Q40" s="7"/>
      <c r="R40" s="216"/>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11"/>
      <c r="EF40" s="21"/>
      <c r="EG40" s="21"/>
      <c r="EH40" s="21"/>
      <c r="EI40" s="21"/>
      <c r="EJ40" s="21"/>
      <c r="EK40" s="21"/>
      <c r="EL40" s="21"/>
      <c r="EM40" s="7"/>
      <c r="EN40" s="15">
        <f>'Bloom Cleaner Data'!DA40</f>
        <v>7.6870000000000003</v>
      </c>
      <c r="EO40" s="15">
        <f>'Bloom Cleaner Data'!DB40</f>
        <v>7.2636000000000003</v>
      </c>
      <c r="EP40" s="15">
        <f>'Bloom Cleaner Data'!DC40</f>
        <v>6.7767999999999997</v>
      </c>
      <c r="EQ40" s="15">
        <f>'Bloom Cleaner Data'!DD40</f>
        <v>6.9335000000000004</v>
      </c>
      <c r="ER40" s="15">
        <f>'Bloom Cleaner Data'!DE40</f>
        <v>6.8560999999999996</v>
      </c>
      <c r="ES40" s="15">
        <f>'Bloom Cleaner Data'!DF40</f>
        <v>7.0479000000000003</v>
      </c>
      <c r="ET40" s="15">
        <f>'Bloom Cleaner Data'!DG40</f>
        <v>6.8548999999999998</v>
      </c>
      <c r="EU40" s="15">
        <f>'Bloom Cleaner Data'!DH40</f>
        <v>6.6774000000000004</v>
      </c>
      <c r="EV40" s="15">
        <f>'Bloom Cleaner Data'!DI40</f>
        <v>6.5923800000000004</v>
      </c>
      <c r="EW40" s="15">
        <f>'Bloom Cleaner Data'!DJ40</f>
        <v>6.5073600000000003</v>
      </c>
      <c r="EX40" s="15">
        <f>'Bloom Cleaner Data'!DK40</f>
        <v>6.4223400000000002</v>
      </c>
      <c r="EY40" s="15">
        <f>'Bloom Cleaner Data'!DL40</f>
        <v>6.3373200000000001</v>
      </c>
      <c r="EZ40" s="15">
        <f>'Bloom Cleaner Data'!DM40</f>
        <v>6.2523</v>
      </c>
      <c r="FA40" s="15">
        <f>'Bloom Cleaner Data'!DN40</f>
        <v>6.4127666666666663</v>
      </c>
      <c r="FB40" s="15">
        <f>'Bloom Cleaner Data'!DO40</f>
        <v>6.5732333333333335</v>
      </c>
      <c r="FC40" s="15"/>
      <c r="FD40" s="15">
        <f t="shared" si="241"/>
        <v>6.6341769230769234</v>
      </c>
      <c r="FE40" s="229">
        <f t="shared" si="242"/>
        <v>-3.0038759689922416E-2</v>
      </c>
      <c r="FF40" s="15">
        <f t="shared" si="243"/>
        <v>6.5677899999999996</v>
      </c>
      <c r="FG40" s="2206"/>
      <c r="FH40" s="215"/>
      <c r="FI40" s="215"/>
      <c r="FJ40" s="215"/>
      <c r="FK40" s="215"/>
      <c r="FL40" s="215"/>
      <c r="FM40" s="215"/>
      <c r="FN40" s="215"/>
      <c r="FO40" s="215"/>
      <c r="FP40" s="215"/>
      <c r="FQ40" s="215"/>
      <c r="FR40" s="215"/>
      <c r="FS40" s="215"/>
      <c r="FT40" s="215"/>
      <c r="FU40" s="215"/>
      <c r="FV40" s="215"/>
      <c r="FW40" s="215"/>
      <c r="FX40" s="7"/>
      <c r="FY40" s="7"/>
      <c r="FZ40" s="215"/>
      <c r="GA40" s="215"/>
      <c r="GB40" s="215"/>
      <c r="GC40" s="215"/>
      <c r="GD40" s="215"/>
      <c r="GE40" s="215"/>
      <c r="GF40" s="215"/>
      <c r="GG40" s="215"/>
      <c r="GH40" s="215"/>
      <c r="GI40" s="215"/>
      <c r="GJ40" s="215"/>
      <c r="GK40" s="215"/>
      <c r="GL40" s="215"/>
      <c r="GM40" s="215"/>
      <c r="GN40" s="215"/>
      <c r="GO40" s="215"/>
      <c r="GP40" s="215"/>
      <c r="GQ40" s="215"/>
      <c r="GR40" s="215"/>
      <c r="GS40" s="215"/>
      <c r="GT40" s="15"/>
      <c r="GU40" s="215"/>
      <c r="GV40" s="215"/>
      <c r="GW40" s="215"/>
      <c r="GX40" s="215"/>
      <c r="GY40" s="7"/>
      <c r="GZ40" s="7"/>
      <c r="HA40" s="7"/>
      <c r="HB40" s="7"/>
      <c r="HC40" s="7"/>
      <c r="HD40" s="7"/>
      <c r="HE40" s="7"/>
      <c r="HF40" s="7"/>
      <c r="HG40" s="7"/>
      <c r="HH40" s="7"/>
      <c r="HI40" s="7"/>
      <c r="HJ40" s="7"/>
      <c r="HK40" s="7"/>
      <c r="HL40" s="7"/>
      <c r="HM40" s="7"/>
      <c r="HN40" s="15"/>
      <c r="HO40" s="7"/>
      <c r="HP40" s="7"/>
      <c r="HQ40" s="7"/>
      <c r="HR40" s="7"/>
      <c r="HS40" s="7"/>
      <c r="HT40" s="7"/>
      <c r="HU40" s="7"/>
      <c r="HV40" s="7"/>
      <c r="HW40" s="7"/>
      <c r="HX40" s="7"/>
      <c r="HY40" s="7"/>
      <c r="HZ40" s="7"/>
      <c r="IA40" s="7"/>
      <c r="IB40" s="7"/>
      <c r="IC40" s="7"/>
      <c r="ID40" s="7"/>
      <c r="IE40" s="7"/>
      <c r="IF40" s="7"/>
      <c r="IG40" s="15"/>
      <c r="IH40" s="7"/>
      <c r="II40" s="7"/>
      <c r="IJ40" s="7"/>
      <c r="IK40" s="7"/>
      <c r="IL40" s="7"/>
      <c r="IM40" s="7"/>
      <c r="IN40" s="7"/>
      <c r="IO40" s="7"/>
      <c r="IP40" s="7"/>
      <c r="IQ40" s="7"/>
      <c r="IR40" s="7"/>
      <c r="IS40" s="7"/>
      <c r="IT40" s="7"/>
      <c r="IU40" s="7"/>
      <c r="IV40" s="7"/>
      <c r="IW40" s="7"/>
      <c r="IX40" s="7"/>
      <c r="IY40" s="7"/>
      <c r="IZ40" s="15"/>
      <c r="JA40" s="7"/>
      <c r="JB40" s="7"/>
      <c r="JC40" s="7"/>
      <c r="JD40" s="7"/>
      <c r="JE40" s="7"/>
      <c r="JF40" s="7"/>
      <c r="JG40" s="7"/>
      <c r="JH40" s="7"/>
      <c r="JI40" s="7"/>
      <c r="JJ40" s="7"/>
      <c r="JK40" s="7"/>
      <c r="JL40" s="7"/>
      <c r="JM40" s="7"/>
      <c r="JN40" s="7"/>
      <c r="JO40" s="7"/>
      <c r="JP40" s="7"/>
      <c r="JQ40" s="7"/>
      <c r="JR40" s="7"/>
      <c r="JS40" s="7"/>
      <c r="JT40" s="7"/>
      <c r="JU40" s="15"/>
      <c r="JV40" s="7"/>
      <c r="JW40" s="7"/>
      <c r="JX40" s="7"/>
      <c r="JY40" s="7"/>
      <c r="JZ40" s="7"/>
      <c r="KA40" s="7"/>
      <c r="KB40" s="7"/>
      <c r="KC40" s="7"/>
      <c r="KD40" s="7"/>
      <c r="KE40" s="7"/>
      <c r="KF40" s="7"/>
      <c r="KG40" s="7"/>
      <c r="KH40" s="7"/>
      <c r="KI40" s="7"/>
      <c r="KJ40" s="7"/>
      <c r="KK40" s="7"/>
      <c r="KL40" s="7"/>
      <c r="KM40" s="7"/>
      <c r="KN40" s="7"/>
      <c r="KO40" s="7"/>
      <c r="KP40" s="15"/>
      <c r="KQ40" s="7"/>
      <c r="KR40" s="7"/>
      <c r="KS40" s="7"/>
      <c r="KT40" s="7"/>
      <c r="KU40" s="7"/>
      <c r="KV40" s="7"/>
      <c r="KW40" s="7"/>
      <c r="KX40" s="7"/>
      <c r="KY40" s="7"/>
      <c r="KZ40" s="7"/>
      <c r="LA40" s="7"/>
      <c r="LB40" s="7"/>
      <c r="LC40" s="7"/>
      <c r="LD40" s="7"/>
      <c r="LE40" s="7"/>
      <c r="LF40" s="7"/>
      <c r="LG40" s="7"/>
      <c r="LH40" s="7"/>
      <c r="LI40" s="7"/>
      <c r="LJ40" s="7"/>
      <c r="LK40" s="7"/>
      <c r="LL40" s="15"/>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2815"/>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11"/>
      <c r="PB40" s="11"/>
      <c r="PC40" s="11"/>
      <c r="PD40" s="7"/>
      <c r="PE40" s="7"/>
      <c r="PF40" s="7"/>
      <c r="PG40" s="7"/>
      <c r="PH40" s="7"/>
      <c r="PI40" s="7"/>
      <c r="PJ40" s="7"/>
      <c r="PK40" s="7"/>
      <c r="PL40" s="7"/>
      <c r="PM40" s="7"/>
      <c r="PN40" s="7"/>
      <c r="PO40" s="7"/>
      <c r="PP40" s="7"/>
      <c r="PQ40" s="7"/>
      <c r="PR40" s="7"/>
      <c r="PS40" s="7"/>
      <c r="PT40" s="7"/>
      <c r="PU40" s="7"/>
      <c r="PV40" s="7"/>
      <c r="PW40" s="7"/>
      <c r="PX40" s="15">
        <f>'Bloom Cleaner Data'!FO40</f>
        <v>1.6503000000000001</v>
      </c>
      <c r="PY40" s="15">
        <f>'Bloom Cleaner Data'!FP40</f>
        <v>1.5335999999999999</v>
      </c>
      <c r="PZ40" s="15">
        <f>'Bloom Cleaner Data'!FQ40</f>
        <v>1.3122</v>
      </c>
      <c r="QA40" s="15">
        <f>'Bloom Cleaner Data'!FR40</f>
        <v>1.3708</v>
      </c>
      <c r="QB40" s="15">
        <f>'Bloom Cleaner Data'!FS40</f>
        <v>1.3264</v>
      </c>
      <c r="QC40" s="15">
        <f>'Bloom Cleaner Data'!FT40</f>
        <v>1.3075000000000001</v>
      </c>
      <c r="QD40" s="15">
        <f>'Bloom Cleaner Data'!FU40</f>
        <v>1.3391</v>
      </c>
      <c r="QE40" s="15">
        <f>'Bloom Cleaner Data'!FV40</f>
        <v>1.1859</v>
      </c>
      <c r="QF40" s="15">
        <f>'Bloom Cleaner Data'!FW40</f>
        <v>1.1853</v>
      </c>
      <c r="QG40" s="15">
        <f>'Bloom Cleaner Data'!FX40</f>
        <v>1.1847000000000001</v>
      </c>
      <c r="QH40" s="15">
        <f>'Bloom Cleaner Data'!FY40</f>
        <v>1.1840999999999999</v>
      </c>
      <c r="QI40" s="15">
        <f>'Bloom Cleaner Data'!FZ40</f>
        <v>1.1835</v>
      </c>
      <c r="QJ40" s="15">
        <f>'Bloom Cleaner Data'!GA40</f>
        <v>1.1829000000000001</v>
      </c>
      <c r="QK40" s="15">
        <f>'Bloom Cleaner Data'!GB40</f>
        <v>1.1926333333333334</v>
      </c>
      <c r="QL40" s="15">
        <f>'Bloom Cleaner Data'!GC40</f>
        <v>1.2023666666666666</v>
      </c>
      <c r="QM40" s="15"/>
      <c r="QN40" s="506">
        <f>AVERAGE(PZ40:QL40)</f>
        <v>1.2428769230769232</v>
      </c>
      <c r="QO40" s="10">
        <f>(QL40-PZ40)/PZ40</f>
        <v>-8.3701671493166777E-2</v>
      </c>
      <c r="QP40" s="506">
        <f t="shared" si="245"/>
        <v>1.336225</v>
      </c>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row>
    <row r="41" spans="1:518">
      <c r="A41" s="11" t="s">
        <v>713</v>
      </c>
      <c r="B41" s="11"/>
      <c r="C41" s="2211" t="s">
        <v>493</v>
      </c>
      <c r="D41" s="174"/>
      <c r="E41" s="224"/>
      <c r="F41" s="224"/>
      <c r="G41" s="224"/>
      <c r="H41" s="19"/>
      <c r="I41" s="19"/>
      <c r="J41" s="20"/>
      <c r="K41" s="20"/>
      <c r="L41" s="19"/>
      <c r="M41" s="220"/>
      <c r="N41" s="20"/>
      <c r="O41" s="20"/>
      <c r="P41" s="7"/>
      <c r="Q41" s="7"/>
      <c r="R41" s="229">
        <f>'OUTPUTS &amp; Inputs'!P113</f>
        <v>-0.3106488614963191</v>
      </c>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11"/>
      <c r="EF41" s="21"/>
      <c r="EG41" s="21"/>
      <c r="EH41" s="21"/>
      <c r="EI41" s="21"/>
      <c r="EJ41" s="21"/>
      <c r="EK41" s="21"/>
      <c r="EL41" s="21"/>
      <c r="EM41" s="7"/>
      <c r="EN41" s="15">
        <f>'Bloom Cleaner Data'!DA41</f>
        <v>6.1516999999999999</v>
      </c>
      <c r="EO41" s="15">
        <f>'Bloom Cleaner Data'!DB41</f>
        <v>6.1516999999999999</v>
      </c>
      <c r="EP41" s="15">
        <f>'Bloom Cleaner Data'!DC41</f>
        <v>6.1516999999999999</v>
      </c>
      <c r="EQ41" s="15">
        <f>'Bloom Cleaner Data'!DD41</f>
        <v>6.1516999999999999</v>
      </c>
      <c r="ER41" s="15">
        <f>'Bloom Cleaner Data'!DE41</f>
        <v>6.1516999999999999</v>
      </c>
      <c r="ES41" s="15">
        <f>'Bloom Cleaner Data'!DF41</f>
        <v>6.1516999999999999</v>
      </c>
      <c r="ET41" s="15">
        <f>'Bloom Cleaner Data'!DG41</f>
        <v>6.1516999999999999</v>
      </c>
      <c r="EU41" s="15">
        <f>'Bloom Cleaner Data'!DH41</f>
        <v>6.1516999999999999</v>
      </c>
      <c r="EV41" s="15">
        <f>'Bloom Cleaner Data'!DI41</f>
        <v>6.1516999999999999</v>
      </c>
      <c r="EW41" s="15">
        <f>'Bloom Cleaner Data'!DJ41</f>
        <v>6.1516999999999999</v>
      </c>
      <c r="EX41" s="15">
        <f>'Bloom Cleaner Data'!DK41</f>
        <v>6.1516999999999999</v>
      </c>
      <c r="EY41" s="15">
        <f>'Bloom Cleaner Data'!DL41</f>
        <v>6.1516999999999999</v>
      </c>
      <c r="EZ41" s="15">
        <f>'Bloom Cleaner Data'!DM41</f>
        <v>6.1516999999999999</v>
      </c>
      <c r="FA41" s="15">
        <f>'Bloom Cleaner Data'!DN41</f>
        <v>6.1516999999999999</v>
      </c>
      <c r="FB41" s="15">
        <f>'Bloom Cleaner Data'!DO41</f>
        <v>6.1516999999999999</v>
      </c>
      <c r="FC41" s="15"/>
      <c r="FD41" s="15">
        <f t="shared" si="241"/>
        <v>6.1516999999999999</v>
      </c>
      <c r="FE41" s="229">
        <f t="shared" si="242"/>
        <v>0</v>
      </c>
      <c r="FF41" s="15">
        <f t="shared" si="243"/>
        <v>6.1516999999999991</v>
      </c>
      <c r="FG41" s="2206"/>
      <c r="FH41" s="77"/>
      <c r="FI41" s="77"/>
      <c r="FJ41" s="77"/>
      <c r="FK41" s="77"/>
      <c r="FL41" s="77"/>
      <c r="FM41" s="77"/>
      <c r="FN41" s="77"/>
      <c r="FO41" s="77"/>
      <c r="FP41" s="77"/>
      <c r="FQ41" s="77"/>
      <c r="FR41" s="77"/>
      <c r="FS41" s="77"/>
      <c r="FT41" s="77"/>
      <c r="FU41" s="77"/>
      <c r="FV41" s="77"/>
      <c r="FW41" s="77"/>
      <c r="FX41" s="7"/>
      <c r="FY41" s="7"/>
      <c r="FZ41" s="77"/>
      <c r="GA41" s="77"/>
      <c r="GB41" s="77"/>
      <c r="GC41" s="77"/>
      <c r="GD41" s="216"/>
      <c r="GE41" s="216"/>
      <c r="GF41" s="216"/>
      <c r="GG41" s="216"/>
      <c r="GH41" s="216"/>
      <c r="GI41" s="216"/>
      <c r="GJ41" s="216"/>
      <c r="GK41" s="216"/>
      <c r="GL41" s="216"/>
      <c r="GM41" s="216"/>
      <c r="GN41" s="216"/>
      <c r="GO41" s="216"/>
      <c r="GP41" s="216"/>
      <c r="GQ41" s="216"/>
      <c r="GR41" s="216"/>
      <c r="GS41" s="216"/>
      <c r="GT41" s="15"/>
      <c r="GU41" s="216"/>
      <c r="GV41" s="216"/>
      <c r="GW41" s="216"/>
      <c r="GX41" s="216"/>
      <c r="GY41" s="216"/>
      <c r="GZ41" s="216"/>
      <c r="HA41" s="216"/>
      <c r="HB41" s="216"/>
      <c r="HC41" s="216"/>
      <c r="HD41" s="216"/>
      <c r="HE41" s="7"/>
      <c r="HF41" s="7"/>
      <c r="HG41" s="7"/>
      <c r="HH41" s="7"/>
      <c r="HI41" s="7"/>
      <c r="HJ41" s="7"/>
      <c r="HK41" s="7"/>
      <c r="HL41" s="7"/>
      <c r="HM41" s="7"/>
      <c r="HN41" s="15"/>
      <c r="HO41" s="7"/>
      <c r="HP41" s="7"/>
      <c r="HQ41" s="7"/>
      <c r="HR41" s="7"/>
      <c r="HS41" s="7"/>
      <c r="HT41" s="7"/>
      <c r="HU41" s="7"/>
      <c r="HV41" s="7"/>
      <c r="HW41" s="7"/>
      <c r="HX41" s="7"/>
      <c r="HY41" s="7"/>
      <c r="HZ41" s="7"/>
      <c r="IA41" s="7"/>
      <c r="IB41" s="7"/>
      <c r="IC41" s="7"/>
      <c r="ID41" s="7"/>
      <c r="IE41" s="7"/>
      <c r="IF41" s="7"/>
      <c r="IG41" s="15"/>
      <c r="IH41" s="7"/>
      <c r="II41" s="7"/>
      <c r="IJ41" s="7"/>
      <c r="IK41" s="7"/>
      <c r="IL41" s="7"/>
      <c r="IM41" s="7"/>
      <c r="IN41" s="7"/>
      <c r="IO41" s="7"/>
      <c r="IP41" s="7"/>
      <c r="IQ41" s="7"/>
      <c r="IR41" s="7"/>
      <c r="IS41" s="7"/>
      <c r="IT41" s="7"/>
      <c r="IU41" s="7"/>
      <c r="IV41" s="7"/>
      <c r="IW41" s="7"/>
      <c r="IX41" s="7"/>
      <c r="IY41" s="7"/>
      <c r="IZ41" s="15"/>
      <c r="JA41" s="7"/>
      <c r="JB41" s="7"/>
      <c r="JC41" s="7"/>
      <c r="JD41" s="7"/>
      <c r="JE41" s="7"/>
      <c r="JF41" s="7"/>
      <c r="JG41" s="7"/>
      <c r="JH41" s="7"/>
      <c r="JI41" s="7"/>
      <c r="JJ41" s="7"/>
      <c r="JK41" s="7"/>
      <c r="JL41" s="7"/>
      <c r="JM41" s="7"/>
      <c r="JN41" s="7"/>
      <c r="JO41" s="7"/>
      <c r="JP41" s="7"/>
      <c r="JQ41" s="7"/>
      <c r="JR41" s="7"/>
      <c r="JS41" s="7"/>
      <c r="JT41" s="7"/>
      <c r="JU41" s="15"/>
      <c r="JV41" s="7"/>
      <c r="JW41" s="7"/>
      <c r="JX41" s="7"/>
      <c r="JY41" s="7"/>
      <c r="JZ41" s="7"/>
      <c r="KA41" s="7"/>
      <c r="KB41" s="7"/>
      <c r="KC41" s="7"/>
      <c r="KD41" s="7"/>
      <c r="KE41" s="7"/>
      <c r="KF41" s="7"/>
      <c r="KG41" s="7"/>
      <c r="KH41" s="7"/>
      <c r="KI41" s="7"/>
      <c r="KJ41" s="7"/>
      <c r="KK41" s="7"/>
      <c r="KL41" s="7"/>
      <c r="KM41" s="7"/>
      <c r="KN41" s="7"/>
      <c r="KO41" s="7"/>
      <c r="KP41" s="15"/>
      <c r="KQ41" s="7"/>
      <c r="KR41" s="7"/>
      <c r="KS41" s="7"/>
      <c r="KT41" s="7"/>
      <c r="KU41" s="7"/>
      <c r="KV41" s="7"/>
      <c r="KW41" s="7"/>
      <c r="KX41" s="7"/>
      <c r="KY41" s="7"/>
      <c r="KZ41" s="7"/>
      <c r="LA41" s="7"/>
      <c r="LB41" s="7"/>
      <c r="LC41" s="7"/>
      <c r="LD41" s="7"/>
      <c r="LE41" s="7"/>
      <c r="LF41" s="7"/>
      <c r="LG41" s="7"/>
      <c r="LH41" s="7"/>
      <c r="LI41" s="7"/>
      <c r="LJ41" s="7"/>
      <c r="LK41" s="7"/>
      <c r="LL41" s="15"/>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2823"/>
      <c r="NM41" s="216"/>
      <c r="NN41" s="11" t="str">
        <f>CONCATENATE("With agency typical spread of ",ROUND(NL43,1),"x.")</f>
        <v>With agency typical spread of 0,2x.</v>
      </c>
      <c r="NO41" s="11"/>
      <c r="NP41" s="11"/>
      <c r="NQ41" s="11"/>
      <c r="NR41" s="11"/>
      <c r="NS41" s="11"/>
      <c r="NT41" s="11"/>
      <c r="NU41" s="11"/>
      <c r="NV41" s="11"/>
      <c r="NW41" s="11"/>
      <c r="NX41" s="11"/>
      <c r="NY41" s="11"/>
      <c r="NZ41" s="11"/>
      <c r="OA41" s="11"/>
      <c r="OB41" s="11"/>
      <c r="OC41" s="11"/>
      <c r="OD41" s="11"/>
      <c r="OE41" s="11" t="str">
        <f>NN41</f>
        <v>With agency typical spread of 0,2x.</v>
      </c>
      <c r="OF41" s="216"/>
      <c r="OG41" s="216"/>
      <c r="OH41" s="11"/>
      <c r="OI41" s="7"/>
      <c r="OJ41" s="7"/>
      <c r="OK41" s="7"/>
      <c r="OL41" s="7"/>
      <c r="OM41" s="7"/>
      <c r="ON41" s="7"/>
      <c r="OO41" s="7"/>
      <c r="OP41" s="7"/>
      <c r="OQ41" s="7"/>
      <c r="OR41" s="7"/>
      <c r="OS41" s="7"/>
      <c r="OT41" s="7"/>
      <c r="OU41" s="7"/>
      <c r="OV41" s="7"/>
      <c r="OW41" s="7"/>
      <c r="OX41" s="7"/>
      <c r="OY41" s="7"/>
      <c r="OZ41" s="7"/>
      <c r="PA41" s="11"/>
      <c r="PB41" s="11"/>
      <c r="PC41" s="11"/>
      <c r="PD41" s="7"/>
      <c r="PE41" s="7"/>
      <c r="PF41" s="7"/>
      <c r="PG41" s="7"/>
      <c r="PH41" s="7"/>
      <c r="PI41" s="7"/>
      <c r="PJ41" s="7"/>
      <c r="PK41" s="7"/>
      <c r="PL41" s="7"/>
      <c r="PM41" s="7"/>
      <c r="PN41" s="7"/>
      <c r="PO41" s="7"/>
      <c r="PP41" s="7"/>
      <c r="PQ41" s="7"/>
      <c r="PR41" s="7"/>
      <c r="PS41" s="7"/>
      <c r="PT41" s="7"/>
      <c r="PU41" s="7"/>
      <c r="PV41" s="7"/>
      <c r="PW41" s="7"/>
      <c r="PX41" s="15"/>
      <c r="PY41" s="15"/>
      <c r="PZ41" s="15"/>
      <c r="QA41" s="15"/>
      <c r="QB41" s="15"/>
      <c r="QC41" s="15"/>
      <c r="QD41" s="15"/>
      <c r="QE41" s="15"/>
      <c r="QF41" s="15"/>
      <c r="QG41" s="15"/>
      <c r="QH41" s="15"/>
      <c r="QI41" s="15"/>
      <c r="QJ41" s="15"/>
      <c r="QK41" s="15"/>
      <c r="QL41" s="15"/>
      <c r="QM41" s="15"/>
      <c r="QN41" s="15"/>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row>
    <row r="42" spans="1:518">
      <c r="A42" s="7"/>
      <c r="B42" s="11"/>
      <c r="C42" s="2201"/>
      <c r="D42" s="216"/>
      <c r="E42" s="224"/>
      <c r="F42" s="224"/>
      <c r="G42" s="224"/>
      <c r="H42" s="19"/>
      <c r="I42" s="19"/>
      <c r="J42" s="20"/>
      <c r="K42" s="20"/>
      <c r="L42" s="20"/>
      <c r="M42" s="220"/>
      <c r="N42" s="20"/>
      <c r="O42" s="20"/>
      <c r="P42" s="11" t="s">
        <v>319</v>
      </c>
      <c r="Q42" s="11"/>
      <c r="R42" s="467">
        <f>'OUTPUTS &amp; Inputs'!P114</f>
        <v>5.8721709974853362E-2</v>
      </c>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11"/>
      <c r="DL42" s="11"/>
      <c r="DM42" s="11"/>
      <c r="DN42" s="11"/>
      <c r="DO42" s="11"/>
      <c r="DP42" s="11"/>
      <c r="DQ42" s="11"/>
      <c r="DR42" s="11"/>
      <c r="DS42" s="11"/>
      <c r="DT42" s="11"/>
      <c r="DU42" s="11"/>
      <c r="DV42" s="11"/>
      <c r="DW42" s="11"/>
      <c r="DX42" s="11"/>
      <c r="DY42" s="11"/>
      <c r="DZ42" s="7"/>
      <c r="EA42" s="9" t="s">
        <v>479</v>
      </c>
      <c r="EB42" s="7"/>
      <c r="EC42" s="7"/>
      <c r="ED42" s="9" t="s">
        <v>1961</v>
      </c>
      <c r="EE42" s="11"/>
      <c r="EF42" s="21"/>
      <c r="EG42" s="21"/>
      <c r="EH42" s="21"/>
      <c r="EI42" s="21"/>
      <c r="EJ42" s="21"/>
      <c r="EK42" s="21"/>
      <c r="EL42" s="21"/>
      <c r="EM42" s="7"/>
      <c r="EN42" s="7"/>
      <c r="EO42" s="7"/>
      <c r="EP42" s="7"/>
      <c r="EQ42" s="7"/>
      <c r="ER42" s="7"/>
      <c r="ES42" s="7"/>
      <c r="ET42" s="7"/>
      <c r="EU42" s="7"/>
      <c r="EV42" s="7"/>
      <c r="EW42" s="7"/>
      <c r="EX42" s="7"/>
      <c r="EY42" s="7"/>
      <c r="EZ42" s="7"/>
      <c r="FA42" s="7"/>
      <c r="FB42" s="7"/>
      <c r="FC42" s="7"/>
      <c r="FD42" s="7"/>
      <c r="FE42" s="7"/>
      <c r="FF42" s="7"/>
      <c r="FG42" s="174"/>
      <c r="FH42" s="5">
        <v>40178</v>
      </c>
      <c r="FI42" s="5">
        <v>40268</v>
      </c>
      <c r="FJ42" s="5">
        <v>40359</v>
      </c>
      <c r="FK42" s="5">
        <v>40451</v>
      </c>
      <c r="FL42" s="5">
        <v>40543</v>
      </c>
      <c r="FM42" s="5">
        <v>40633</v>
      </c>
      <c r="FN42" s="5">
        <v>40724</v>
      </c>
      <c r="FO42" s="5">
        <v>40816</v>
      </c>
      <c r="FP42" s="5">
        <v>40908</v>
      </c>
      <c r="FQ42" s="5">
        <v>40999</v>
      </c>
      <c r="FR42" s="5">
        <v>41090</v>
      </c>
      <c r="FS42" s="5">
        <v>41182</v>
      </c>
      <c r="FT42" s="5">
        <v>41274</v>
      </c>
      <c r="FU42" s="5">
        <v>41364</v>
      </c>
      <c r="FV42" s="24">
        <v>41455</v>
      </c>
      <c r="FW42" s="77"/>
      <c r="FX42" s="9" t="s">
        <v>479</v>
      </c>
      <c r="FY42" s="2808" t="s">
        <v>1968</v>
      </c>
      <c r="FZ42" s="465"/>
      <c r="GA42" s="9" t="s">
        <v>2772</v>
      </c>
      <c r="GB42" s="77"/>
      <c r="GC42" s="77"/>
      <c r="GD42" s="216"/>
      <c r="GE42" s="216"/>
      <c r="GF42" s="216"/>
      <c r="GG42" s="216"/>
      <c r="GH42" s="216"/>
      <c r="GI42" s="216"/>
      <c r="GJ42" s="216"/>
      <c r="GK42" s="216"/>
      <c r="GL42" s="216"/>
      <c r="GM42" s="216"/>
      <c r="GN42" s="216"/>
      <c r="GO42" s="216"/>
      <c r="GP42" s="216"/>
      <c r="GQ42" s="216"/>
      <c r="GR42" s="216"/>
      <c r="GS42" s="216"/>
      <c r="GT42" s="7"/>
      <c r="GU42" s="216"/>
      <c r="GV42" s="216"/>
      <c r="GW42" s="216"/>
      <c r="GX42" s="216"/>
      <c r="GY42" s="216"/>
      <c r="GZ42" s="216"/>
      <c r="HA42" s="216"/>
      <c r="HB42" s="216"/>
      <c r="HC42" s="216"/>
      <c r="HD42" s="216"/>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174"/>
      <c r="KW42" s="5">
        <v>40178</v>
      </c>
      <c r="KX42" s="5">
        <v>40268</v>
      </c>
      <c r="KY42" s="5">
        <v>40359</v>
      </c>
      <c r="KZ42" s="5">
        <v>40451</v>
      </c>
      <c r="LA42" s="5">
        <v>40543</v>
      </c>
      <c r="LB42" s="5">
        <v>40633</v>
      </c>
      <c r="LC42" s="5">
        <v>40724</v>
      </c>
      <c r="LD42" s="5">
        <v>40816</v>
      </c>
      <c r="LE42" s="5">
        <v>40908</v>
      </c>
      <c r="LF42" s="5">
        <v>40999</v>
      </c>
      <c r="LG42" s="5">
        <v>41090</v>
      </c>
      <c r="LH42" s="5">
        <v>41182</v>
      </c>
      <c r="LI42" s="5">
        <v>41274</v>
      </c>
      <c r="LJ42" s="5">
        <v>41364</v>
      </c>
      <c r="LK42" s="24">
        <v>41455</v>
      </c>
      <c r="LL42" s="77"/>
      <c r="LM42" s="17" t="s">
        <v>363</v>
      </c>
      <c r="LN42" s="9" t="s">
        <v>480</v>
      </c>
      <c r="LO42" s="465"/>
      <c r="LP42" s="9" t="s">
        <v>479</v>
      </c>
      <c r="LQ42" s="7"/>
      <c r="LR42" s="7"/>
      <c r="LS42" s="7"/>
      <c r="LT42" s="7"/>
      <c r="LU42" s="7"/>
      <c r="LV42" s="7"/>
      <c r="LW42" s="7"/>
      <c r="LX42" s="7"/>
      <c r="LY42" s="7"/>
      <c r="LZ42" s="7"/>
      <c r="MA42" s="7"/>
      <c r="MB42" s="7"/>
      <c r="MC42" s="7"/>
      <c r="MD42" s="7"/>
      <c r="ME42" s="7"/>
      <c r="MF42" s="7"/>
      <c r="MG42" s="7"/>
      <c r="MH42" s="7"/>
      <c r="MI42" s="7"/>
      <c r="MJ42" s="7"/>
      <c r="MK42" s="7"/>
      <c r="ML42" s="7"/>
      <c r="MM42" s="7"/>
      <c r="MN42" s="7"/>
      <c r="MO42" s="7"/>
      <c r="MP42" s="7"/>
      <c r="MQ42" s="7"/>
      <c r="MR42" s="7"/>
      <c r="MS42" s="7"/>
      <c r="MT42" s="7"/>
      <c r="MU42" s="7"/>
      <c r="MV42" s="7"/>
      <c r="MW42" s="7"/>
      <c r="MX42" s="7"/>
      <c r="MY42" s="7"/>
      <c r="MZ42" s="7"/>
      <c r="NA42" s="7"/>
      <c r="NB42" s="7"/>
      <c r="NC42" s="7"/>
      <c r="ND42" s="7"/>
      <c r="NE42" s="7"/>
      <c r="NF42" s="7"/>
      <c r="NG42" s="7"/>
      <c r="NH42" s="7"/>
      <c r="NI42" s="7"/>
      <c r="NJ42" s="7"/>
      <c r="NK42" s="7"/>
      <c r="NL42" s="2815"/>
      <c r="NM42" s="11"/>
      <c r="NN42" s="24">
        <v>40178</v>
      </c>
      <c r="NO42" s="24">
        <v>40268</v>
      </c>
      <c r="NP42" s="24">
        <v>40359</v>
      </c>
      <c r="NQ42" s="24">
        <v>40451</v>
      </c>
      <c r="NR42" s="24">
        <v>40543</v>
      </c>
      <c r="NS42" s="24">
        <v>40633</v>
      </c>
      <c r="NT42" s="24">
        <v>40724</v>
      </c>
      <c r="NU42" s="24">
        <v>40816</v>
      </c>
      <c r="NV42" s="24">
        <v>40908</v>
      </c>
      <c r="NW42" s="24">
        <v>40999</v>
      </c>
      <c r="NX42" s="24">
        <v>41090</v>
      </c>
      <c r="NY42" s="24">
        <v>41182</v>
      </c>
      <c r="NZ42" s="24">
        <v>41274</v>
      </c>
      <c r="OA42" s="24">
        <v>41364</v>
      </c>
      <c r="OB42" s="24">
        <v>41455</v>
      </c>
      <c r="OC42" s="24"/>
      <c r="OD42" s="17"/>
      <c r="OE42" s="17" t="s">
        <v>363</v>
      </c>
      <c r="OF42" s="17"/>
      <c r="OG42" s="9" t="s">
        <v>480</v>
      </c>
      <c r="OH42" s="9" t="s">
        <v>479</v>
      </c>
      <c r="OI42" s="9"/>
      <c r="OJ42" s="9"/>
      <c r="OK42" s="7"/>
      <c r="OL42" s="7"/>
      <c r="OM42" s="7"/>
      <c r="ON42" s="7"/>
      <c r="OO42" s="7"/>
      <c r="OP42" s="7"/>
      <c r="OQ42" s="7"/>
      <c r="OR42" s="7"/>
      <c r="OS42" s="7"/>
      <c r="OT42" s="7"/>
      <c r="OU42" s="7"/>
      <c r="OV42" s="7"/>
      <c r="OW42" s="7"/>
      <c r="OX42" s="7"/>
      <c r="OY42" s="7"/>
      <c r="OZ42" s="7"/>
      <c r="PA42" s="11"/>
      <c r="PB42" s="11"/>
      <c r="PC42" s="11"/>
      <c r="PD42" s="7"/>
      <c r="PE42" s="7"/>
      <c r="PF42" s="7"/>
      <c r="PG42" s="7"/>
      <c r="PH42" s="7"/>
      <c r="PI42" s="7"/>
      <c r="PJ42" s="7"/>
      <c r="PK42" s="7"/>
      <c r="PL42" s="7"/>
      <c r="PM42" s="7"/>
      <c r="PN42" s="7"/>
      <c r="PO42" s="7"/>
      <c r="PP42" s="7"/>
      <c r="PQ42" s="7"/>
      <c r="PR42" s="7"/>
      <c r="PS42" s="7"/>
      <c r="PT42" s="7"/>
      <c r="PU42" s="7"/>
      <c r="PV42" s="7"/>
      <c r="PW42" s="7"/>
      <c r="PX42" s="7"/>
      <c r="PY42" s="7"/>
      <c r="PZ42" s="7"/>
      <c r="QA42" s="7"/>
      <c r="QB42" s="7"/>
      <c r="QC42" s="7"/>
      <c r="QD42" s="7"/>
      <c r="QE42" s="7"/>
      <c r="QF42" s="7"/>
      <c r="QG42" s="7"/>
      <c r="QH42" s="7"/>
      <c r="QI42" s="7"/>
      <c r="QJ42" s="7"/>
      <c r="QK42" s="7"/>
      <c r="QL42" s="7"/>
      <c r="QM42" s="7"/>
      <c r="QN42" s="7"/>
      <c r="QO42" s="7"/>
      <c r="QP42" s="7"/>
      <c r="QQ42" s="7"/>
      <c r="QR42" s="7"/>
      <c r="QS42" s="7"/>
      <c r="QT42" s="7"/>
      <c r="QU42" s="7"/>
      <c r="QV42" s="7"/>
      <c r="QW42" s="7"/>
      <c r="QX42" s="7"/>
      <c r="QY42" s="7"/>
      <c r="QZ42" s="7"/>
      <c r="RA42" s="7"/>
      <c r="RB42" s="7"/>
      <c r="RC42" s="7"/>
      <c r="RD42" s="7"/>
      <c r="RE42" s="7"/>
      <c r="RF42" s="7"/>
      <c r="RG42" s="7"/>
      <c r="RH42" s="7"/>
      <c r="RI42" s="7"/>
      <c r="RJ42" s="7"/>
      <c r="RK42" s="7"/>
      <c r="RL42" s="7"/>
      <c r="RM42" s="7"/>
      <c r="RN42" s="7"/>
      <c r="RO42" s="7"/>
      <c r="RP42" s="7"/>
      <c r="RQ42" s="7"/>
      <c r="RR42" s="7"/>
      <c r="RS42" s="7"/>
      <c r="RT42" s="7"/>
      <c r="RU42" s="7"/>
      <c r="RV42" s="7"/>
      <c r="RW42" s="7"/>
      <c r="RX42" s="7"/>
      <c r="RY42" s="7"/>
      <c r="RZ42" s="7"/>
      <c r="SA42" s="7"/>
      <c r="SB42" s="7"/>
      <c r="SC42" s="7"/>
      <c r="SD42" s="7"/>
      <c r="SE42" s="7"/>
      <c r="SF42" s="7"/>
      <c r="SG42" s="7"/>
      <c r="SH42" s="7"/>
      <c r="SI42" s="7"/>
      <c r="SJ42" s="7"/>
      <c r="SK42" s="7"/>
      <c r="SL42" s="7"/>
      <c r="SM42" s="7"/>
      <c r="SN42" s="7"/>
      <c r="SO42" s="7"/>
      <c r="SP42" s="7"/>
      <c r="SQ42" s="7"/>
      <c r="SR42" s="7"/>
      <c r="SS42" s="7"/>
      <c r="ST42" s="7"/>
      <c r="SU42" s="7"/>
      <c r="SV42" s="7"/>
    </row>
    <row r="43" spans="1:518">
      <c r="A43" s="7"/>
      <c r="B43" s="11"/>
      <c r="C43" s="2201"/>
      <c r="D43" s="216"/>
      <c r="E43" s="224"/>
      <c r="F43" s="224"/>
      <c r="G43" s="224"/>
      <c r="H43" s="19"/>
      <c r="I43" s="19"/>
      <c r="J43" s="19"/>
      <c r="K43" s="19"/>
      <c r="L43" s="19"/>
      <c r="M43" s="220"/>
      <c r="N43" s="20"/>
      <c r="O43" s="20"/>
      <c r="P43" s="11" t="s">
        <v>714</v>
      </c>
      <c r="Q43" s="11"/>
      <c r="R43" s="467">
        <f>'OUTPUTS &amp; Inputs'!P115</f>
        <v>6.7822063479178421E-2</v>
      </c>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11" t="s">
        <v>1993</v>
      </c>
      <c r="DL43" s="11" t="s">
        <v>1993</v>
      </c>
      <c r="DM43" s="11" t="s">
        <v>1993</v>
      </c>
      <c r="DN43" s="11" t="s">
        <v>1993</v>
      </c>
      <c r="DO43" s="11" t="s">
        <v>1993</v>
      </c>
      <c r="DP43" s="11" t="s">
        <v>1993</v>
      </c>
      <c r="DQ43" s="11" t="s">
        <v>1993</v>
      </c>
      <c r="DR43" s="11" t="s">
        <v>1993</v>
      </c>
      <c r="DS43" s="11" t="s">
        <v>1993</v>
      </c>
      <c r="DT43" s="11" t="s">
        <v>1993</v>
      </c>
      <c r="DU43" s="11" t="s">
        <v>1993</v>
      </c>
      <c r="DV43" s="11" t="s">
        <v>1993</v>
      </c>
      <c r="DW43" s="11" t="s">
        <v>1993</v>
      </c>
      <c r="DX43" s="11" t="s">
        <v>1993</v>
      </c>
      <c r="DY43" s="11" t="s">
        <v>1993</v>
      </c>
      <c r="DZ43" s="7"/>
      <c r="EA43" s="9" t="s">
        <v>1994</v>
      </c>
      <c r="EB43" s="7"/>
      <c r="EC43" s="7"/>
      <c r="ED43" s="9" t="s">
        <v>1994</v>
      </c>
      <c r="EE43" s="11"/>
      <c r="EF43" s="21"/>
      <c r="EG43" s="21"/>
      <c r="EH43" s="21"/>
      <c r="EI43" s="21"/>
      <c r="EJ43" s="21"/>
      <c r="EK43" s="21"/>
      <c r="EL43" s="21"/>
      <c r="EM43" s="7"/>
      <c r="EN43" s="7"/>
      <c r="EO43" s="7"/>
      <c r="EP43" s="7"/>
      <c r="EQ43" s="7"/>
      <c r="ER43" s="7"/>
      <c r="ES43" s="7"/>
      <c r="ET43" s="7"/>
      <c r="EU43" s="7"/>
      <c r="EV43" s="7"/>
      <c r="EW43" s="7"/>
      <c r="EX43" s="7"/>
      <c r="EY43" s="7"/>
      <c r="EZ43" s="7"/>
      <c r="FA43" s="7"/>
      <c r="FB43" s="7"/>
      <c r="FC43" s="7"/>
      <c r="FD43" s="7"/>
      <c r="FE43" s="7"/>
      <c r="FF43" s="7"/>
      <c r="FG43" s="11" t="s">
        <v>2305</v>
      </c>
      <c r="FH43" s="11" t="s">
        <v>2306</v>
      </c>
      <c r="FI43" s="11" t="s">
        <v>2306</v>
      </c>
      <c r="FJ43" s="11" t="s">
        <v>2306</v>
      </c>
      <c r="FK43" s="11" t="s">
        <v>2306</v>
      </c>
      <c r="FL43" s="11" t="s">
        <v>2306</v>
      </c>
      <c r="FM43" s="11" t="s">
        <v>2306</v>
      </c>
      <c r="FN43" s="11" t="s">
        <v>2306</v>
      </c>
      <c r="FO43" s="11" t="s">
        <v>2306</v>
      </c>
      <c r="FP43" s="11" t="s">
        <v>2306</v>
      </c>
      <c r="FQ43" s="11" t="s">
        <v>2306</v>
      </c>
      <c r="FR43" s="11" t="s">
        <v>2306</v>
      </c>
      <c r="FS43" s="11" t="s">
        <v>2306</v>
      </c>
      <c r="FT43" s="11" t="s">
        <v>2306</v>
      </c>
      <c r="FU43" s="11" t="s">
        <v>2306</v>
      </c>
      <c r="FV43" s="11" t="s">
        <v>2306</v>
      </c>
      <c r="FW43" s="11"/>
      <c r="FX43" s="9" t="s">
        <v>2307</v>
      </c>
      <c r="FY43" s="9" t="s">
        <v>2307</v>
      </c>
      <c r="FZ43" s="9"/>
      <c r="GA43" s="9" t="s">
        <v>2307</v>
      </c>
      <c r="GB43" s="77"/>
      <c r="GC43" s="77"/>
      <c r="GD43" s="216"/>
      <c r="GE43" s="216"/>
      <c r="GF43" s="216"/>
      <c r="GG43" s="216"/>
      <c r="GH43" s="216"/>
      <c r="GI43" s="216"/>
      <c r="GJ43" s="216"/>
      <c r="GK43" s="216"/>
      <c r="GL43" s="216"/>
      <c r="GM43" s="216"/>
      <c r="GN43" s="216"/>
      <c r="GO43" s="216"/>
      <c r="GP43" s="216"/>
      <c r="GQ43" s="216"/>
      <c r="GR43" s="216"/>
      <c r="GS43" s="216"/>
      <c r="GT43" s="7"/>
      <c r="GU43" s="216"/>
      <c r="GV43" s="216"/>
      <c r="GW43" s="216"/>
      <c r="GX43" s="216"/>
      <c r="GY43" s="216"/>
      <c r="GZ43" s="216"/>
      <c r="HA43" s="216"/>
      <c r="HB43" s="216"/>
      <c r="HC43" s="216"/>
      <c r="HD43" s="216"/>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21" t="s">
        <v>2761</v>
      </c>
      <c r="IL43" s="21"/>
      <c r="IM43" s="21"/>
      <c r="IN43" s="2123">
        <f>'GEARINGS, Eb&amp;E'!$AA$1</f>
        <v>1</v>
      </c>
      <c r="IO43" s="7"/>
      <c r="IP43" s="7"/>
      <c r="IQ43" s="7"/>
      <c r="IR43" s="7"/>
      <c r="IS43" s="7"/>
      <c r="IT43" s="7"/>
      <c r="IU43" s="7"/>
      <c r="IV43" s="7"/>
      <c r="IW43" s="7"/>
      <c r="IX43" s="7"/>
      <c r="IY43" s="7"/>
      <c r="IZ43" s="7"/>
      <c r="JA43" s="2125" t="s">
        <v>479</v>
      </c>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9" t="s">
        <v>2345</v>
      </c>
      <c r="KW43" s="11" t="s">
        <v>2306</v>
      </c>
      <c r="KX43" s="11" t="s">
        <v>2306</v>
      </c>
      <c r="KY43" s="11" t="s">
        <v>2306</v>
      </c>
      <c r="KZ43" s="11" t="s">
        <v>2306</v>
      </c>
      <c r="LA43" s="11" t="s">
        <v>2306</v>
      </c>
      <c r="LB43" s="11" t="s">
        <v>2306</v>
      </c>
      <c r="LC43" s="11" t="s">
        <v>2306</v>
      </c>
      <c r="LD43" s="11" t="s">
        <v>2306</v>
      </c>
      <c r="LE43" s="11" t="s">
        <v>2306</v>
      </c>
      <c r="LF43" s="11" t="s">
        <v>2306</v>
      </c>
      <c r="LG43" s="11" t="s">
        <v>2306</v>
      </c>
      <c r="LH43" s="11" t="s">
        <v>2306</v>
      </c>
      <c r="LI43" s="11" t="s">
        <v>2306</v>
      </c>
      <c r="LJ43" s="11" t="s">
        <v>2306</v>
      </c>
      <c r="LK43" s="11" t="s">
        <v>2306</v>
      </c>
      <c r="LL43" s="11"/>
      <c r="LM43" s="9" t="s">
        <v>2307</v>
      </c>
      <c r="LN43" s="9" t="s">
        <v>2307</v>
      </c>
      <c r="LO43" s="9"/>
      <c r="LP43" s="9" t="s">
        <v>2307</v>
      </c>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2827">
        <v>0.2</v>
      </c>
      <c r="NM43" s="11"/>
      <c r="NN43" s="11" t="s">
        <v>1804</v>
      </c>
      <c r="NO43" s="11" t="s">
        <v>1804</v>
      </c>
      <c r="NP43" s="11" t="s">
        <v>1804</v>
      </c>
      <c r="NQ43" s="11" t="s">
        <v>1804</v>
      </c>
      <c r="NR43" s="11" t="s">
        <v>1804</v>
      </c>
      <c r="NS43" s="11" t="s">
        <v>1804</v>
      </c>
      <c r="NT43" s="11" t="s">
        <v>1804</v>
      </c>
      <c r="NU43" s="11" t="s">
        <v>1804</v>
      </c>
      <c r="NV43" s="11" t="s">
        <v>1804</v>
      </c>
      <c r="NW43" s="11" t="s">
        <v>1804</v>
      </c>
      <c r="NX43" s="11" t="s">
        <v>1804</v>
      </c>
      <c r="NY43" s="11" t="s">
        <v>1804</v>
      </c>
      <c r="NZ43" s="11" t="s">
        <v>1804</v>
      </c>
      <c r="OA43" s="11" t="s">
        <v>1804</v>
      </c>
      <c r="OB43" s="11" t="s">
        <v>1804</v>
      </c>
      <c r="OC43" s="11"/>
      <c r="OD43" s="9"/>
      <c r="OE43" s="9" t="s">
        <v>1805</v>
      </c>
      <c r="OF43" s="9"/>
      <c r="OG43" s="9" t="s">
        <v>1804</v>
      </c>
      <c r="OH43" s="9" t="s">
        <v>1804</v>
      </c>
      <c r="OI43" s="9"/>
      <c r="OJ43" s="9"/>
      <c r="OK43" s="7"/>
      <c r="OL43" s="7"/>
      <c r="OM43" s="7"/>
      <c r="ON43" s="7"/>
      <c r="OO43" s="7"/>
      <c r="OP43" s="7"/>
      <c r="OQ43" s="7"/>
      <c r="OR43" s="7"/>
      <c r="OS43" s="7"/>
      <c r="OT43" s="7"/>
      <c r="OU43" s="7"/>
      <c r="OV43" s="7"/>
      <c r="OW43" s="7"/>
      <c r="OX43" s="7"/>
      <c r="OY43" s="7"/>
      <c r="OZ43" s="7"/>
      <c r="PA43" s="11"/>
      <c r="PB43" s="11"/>
      <c r="PC43" s="11"/>
      <c r="PD43" s="7"/>
      <c r="PE43" s="7"/>
      <c r="PF43" s="7"/>
      <c r="PG43" s="7"/>
      <c r="PH43" s="7"/>
      <c r="PI43" s="7"/>
      <c r="PJ43" s="7"/>
      <c r="PK43" s="7"/>
      <c r="PL43" s="7"/>
      <c r="PM43" s="7"/>
      <c r="PN43" s="7"/>
      <c r="PO43" s="7"/>
      <c r="PP43" s="7"/>
      <c r="PQ43" s="7"/>
      <c r="PR43" s="7"/>
      <c r="PS43" s="7"/>
      <c r="PT43" s="7"/>
      <c r="PU43" s="7"/>
      <c r="PV43" s="7"/>
      <c r="PW43" s="7"/>
      <c r="PX43" s="9" t="s">
        <v>999</v>
      </c>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row>
    <row r="44" spans="1:518">
      <c r="A44" s="7"/>
      <c r="B44" s="11"/>
      <c r="C44" s="2214" t="s">
        <v>52</v>
      </c>
      <c r="D44" s="1112"/>
      <c r="E44" s="224"/>
      <c r="F44" s="224"/>
      <c r="G44" s="224"/>
      <c r="H44" s="1023"/>
      <c r="I44" s="1023"/>
      <c r="J44" s="1023"/>
      <c r="K44" s="1023"/>
      <c r="L44" s="1024"/>
      <c r="M44" s="1023"/>
      <c r="N44" s="1023"/>
      <c r="O44" s="1023"/>
      <c r="P44" s="224" t="s">
        <v>65</v>
      </c>
      <c r="Q44" s="224"/>
      <c r="R44" s="1025">
        <f>'OUTPUTS &amp; Inputs'!P116</f>
        <v>0.1597197757400679</v>
      </c>
      <c r="S44" s="7"/>
      <c r="T44" s="224"/>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224"/>
      <c r="CO44" s="224"/>
      <c r="CP44" s="224"/>
      <c r="CQ44" s="224"/>
      <c r="CR44" s="224"/>
      <c r="CS44" s="224"/>
      <c r="CT44" s="224"/>
      <c r="CU44" s="224"/>
      <c r="CV44" s="224"/>
      <c r="CW44" s="224"/>
      <c r="CX44" s="224"/>
      <c r="CY44" s="224"/>
      <c r="CZ44" s="224"/>
      <c r="DA44" s="224"/>
      <c r="DB44" s="224"/>
      <c r="DC44" s="224"/>
      <c r="DD44" s="224"/>
      <c r="DE44" s="224"/>
      <c r="DF44" s="224"/>
      <c r="DG44" s="224"/>
      <c r="DH44" s="224"/>
      <c r="DI44" s="224"/>
      <c r="DJ44" s="224"/>
      <c r="DK44" s="2668">
        <f>'OPERATING LEASES'!BL5/'Bloom Cleaner Data'!GV5</f>
        <v>0.15652246690504876</v>
      </c>
      <c r="DL44" s="2668">
        <f>'OPERATING LEASES'!BM5/'Bloom Cleaner Data'!GW5</f>
        <v>0.14364215710234807</v>
      </c>
      <c r="DM44" s="2668">
        <f>'OPERATING LEASES'!BN5/'Bloom Cleaner Data'!GX5</f>
        <v>0.13225441117810402</v>
      </c>
      <c r="DN44" s="2668">
        <f>'OPERATING LEASES'!BO5/'Bloom Cleaner Data'!GY5</f>
        <v>0.12076116109094714</v>
      </c>
      <c r="DO44" s="2668">
        <f>'OPERATING LEASES'!BP5/'Bloom Cleaner Data'!GZ5</f>
        <v>0.1240097241707267</v>
      </c>
      <c r="DP44" s="2668">
        <f>'OPERATING LEASES'!BQ5/'Bloom Cleaner Data'!HA5</f>
        <v>0.12645460731004393</v>
      </c>
      <c r="DQ44" s="2668">
        <f>'OPERATING LEASES'!BR5/'Bloom Cleaner Data'!HB5</f>
        <v>0.13112544050513572</v>
      </c>
      <c r="DR44" s="2668">
        <f>'OPERATING LEASES'!BS5/'Bloom Cleaner Data'!HC5</f>
        <v>0.1314944023949802</v>
      </c>
      <c r="DS44" s="2668">
        <f>'OPERATING LEASES'!BT5/'Bloom Cleaner Data'!HD5</f>
        <v>0.11490965188552391</v>
      </c>
      <c r="DT44" s="2668">
        <f>'OPERATING LEASES'!BU5/'Bloom Cleaner Data'!HE5</f>
        <v>0.11403287181731159</v>
      </c>
      <c r="DU44" s="2668">
        <f>'OPERATING LEASES'!BV5/'Bloom Cleaner Data'!HF5</f>
        <v>0.11156299768791049</v>
      </c>
      <c r="DV44" s="2668">
        <f>'OPERATING LEASES'!BW5/'Bloom Cleaner Data'!HG5</f>
        <v>0.11151292405061933</v>
      </c>
      <c r="DW44" s="2668">
        <f>'OPERATING LEASES'!BX5/'Bloom Cleaner Data'!HH5</f>
        <v>0.12159682863698949</v>
      </c>
      <c r="DX44" s="2668">
        <f>'OPERATING LEASES'!BY5/'Bloom Cleaner Data'!HI5</f>
        <v>0.12368654344528257</v>
      </c>
      <c r="DY44" s="2668">
        <f>'OPERATING LEASES'!BZ5/'Bloom Cleaner Data'!HJ5</f>
        <v>0.12502932991305474</v>
      </c>
      <c r="DZ44" s="2668"/>
      <c r="EA44" s="2668">
        <f>AVERAGE(DM44:DY44)</f>
        <v>0.12218699185281769</v>
      </c>
      <c r="EB44" s="2668"/>
      <c r="EC44" s="2668"/>
      <c r="ED44" s="2668">
        <f>AVERAGE(DU44:DY44)</f>
        <v>0.11867772474677132</v>
      </c>
      <c r="EE44" s="224"/>
      <c r="EF44" s="21"/>
      <c r="EG44" s="21"/>
      <c r="EH44" s="21"/>
      <c r="EI44" s="21"/>
      <c r="EJ44" s="21"/>
      <c r="EK44" s="21"/>
      <c r="EL44" s="21"/>
      <c r="EM44" s="224"/>
      <c r="EN44" s="224"/>
      <c r="EO44" s="224"/>
      <c r="EP44" s="224"/>
      <c r="EQ44" s="224"/>
      <c r="ER44" s="224"/>
      <c r="ES44" s="224"/>
      <c r="ET44" s="224"/>
      <c r="EU44" s="224"/>
      <c r="EV44" s="224"/>
      <c r="EW44" s="224"/>
      <c r="EX44" s="224"/>
      <c r="EY44" s="224"/>
      <c r="EZ44" s="224"/>
      <c r="FA44" s="224"/>
      <c r="FB44" s="224"/>
      <c r="FC44" s="224"/>
      <c r="FD44" s="224"/>
      <c r="FE44" s="224"/>
      <c r="FF44" s="224"/>
      <c r="FG44" s="174"/>
      <c r="FH44" s="1026"/>
      <c r="FI44" s="1026"/>
      <c r="FJ44" s="1026"/>
      <c r="FK44" s="1026"/>
      <c r="FL44" s="1026"/>
      <c r="FM44" s="1026"/>
      <c r="FN44" s="1026"/>
      <c r="FO44" s="1026"/>
      <c r="FP44" s="1026"/>
      <c r="FQ44" s="1026"/>
      <c r="FR44" s="1026"/>
      <c r="FS44" s="1026"/>
      <c r="FT44" s="1026"/>
      <c r="FU44" s="1026"/>
      <c r="FV44" s="1026"/>
      <c r="FW44" s="1026"/>
      <c r="FX44" s="224"/>
      <c r="FY44" s="224"/>
      <c r="FZ44" s="1026"/>
      <c r="GA44" s="1026"/>
      <c r="GB44" s="1026"/>
      <c r="GC44" s="1026"/>
      <c r="GD44" s="216"/>
      <c r="GE44" s="216"/>
      <c r="GF44" s="216"/>
      <c r="GG44" s="216"/>
      <c r="GH44" s="216"/>
      <c r="GI44" s="216"/>
      <c r="GJ44" s="216"/>
      <c r="GK44" s="216"/>
      <c r="GL44" s="216"/>
      <c r="GM44" s="216"/>
      <c r="GN44" s="216"/>
      <c r="GO44" s="216"/>
      <c r="GP44" s="216"/>
      <c r="GQ44" s="216"/>
      <c r="GR44" s="216"/>
      <c r="GS44" s="216"/>
      <c r="GT44" s="224"/>
      <c r="GU44" s="216"/>
      <c r="GV44" s="216"/>
      <c r="GW44" s="216"/>
      <c r="GX44" s="216"/>
      <c r="GY44" s="1027"/>
      <c r="GZ44" s="1027"/>
      <c r="HA44" s="1027"/>
      <c r="HB44" s="1027"/>
      <c r="HC44" s="1027"/>
      <c r="HD44" s="1027"/>
      <c r="HE44" s="224"/>
      <c r="HF44" s="224"/>
      <c r="HG44" s="224"/>
      <c r="HH44" s="224"/>
      <c r="HI44" s="224"/>
      <c r="HJ44" s="224"/>
      <c r="HK44" s="224"/>
      <c r="HL44" s="224"/>
      <c r="HM44" s="224"/>
      <c r="HN44" s="224"/>
      <c r="HO44" s="224"/>
      <c r="HP44" s="224"/>
      <c r="HQ44" s="224"/>
      <c r="HR44" s="224"/>
      <c r="HS44" s="224"/>
      <c r="HT44" s="224"/>
      <c r="HU44" s="224"/>
      <c r="HV44" s="224"/>
      <c r="HW44" s="224"/>
      <c r="HX44" s="224"/>
      <c r="HY44" s="224"/>
      <c r="HZ44" s="224"/>
      <c r="IA44" s="224"/>
      <c r="IB44" s="224"/>
      <c r="IC44" s="224"/>
      <c r="ID44" s="224"/>
      <c r="IE44" s="224"/>
      <c r="IF44" s="224"/>
      <c r="IG44" s="224"/>
      <c r="IH44" s="224"/>
      <c r="II44" s="224"/>
      <c r="IJ44" s="224"/>
      <c r="IK44" s="2124">
        <f t="shared" ref="IK44:IY44" si="249">$IN$43*IK5+(1-$IN$43)*GY5</f>
        <v>0.58937818116081442</v>
      </c>
      <c r="IL44" s="2124">
        <f t="shared" si="249"/>
        <v>0.58715140559196333</v>
      </c>
      <c r="IM44" s="2124">
        <f t="shared" si="249"/>
        <v>0.60790876867087129</v>
      </c>
      <c r="IN44" s="2124">
        <f t="shared" si="249"/>
        <v>0.58780193816956527</v>
      </c>
      <c r="IO44" s="2124">
        <f t="shared" si="249"/>
        <v>0.58957517882241384</v>
      </c>
      <c r="IP44" s="2124">
        <f t="shared" si="249"/>
        <v>0.55448370256814439</v>
      </c>
      <c r="IQ44" s="2124">
        <f t="shared" si="249"/>
        <v>0.56386630994390285</v>
      </c>
      <c r="IR44" s="2124">
        <f t="shared" si="249"/>
        <v>0.61067944094457305</v>
      </c>
      <c r="IS44" s="2124">
        <f t="shared" si="249"/>
        <v>0.59638493339332066</v>
      </c>
      <c r="IT44" s="2124">
        <f t="shared" si="249"/>
        <v>0.58244392597587236</v>
      </c>
      <c r="IU44" s="2124">
        <f t="shared" si="249"/>
        <v>0.60505124187144299</v>
      </c>
      <c r="IV44" s="2124">
        <f t="shared" si="249"/>
        <v>0.57188320770012269</v>
      </c>
      <c r="IW44" s="2124">
        <f t="shared" si="249"/>
        <v>0.58809032915191828</v>
      </c>
      <c r="IX44" s="2124">
        <f t="shared" si="249"/>
        <v>0.59623196470130613</v>
      </c>
      <c r="IY44" s="2124">
        <f t="shared" si="249"/>
        <v>0.59074959904524027</v>
      </c>
      <c r="IZ44" s="224"/>
      <c r="JA44" s="2124">
        <f>AVERAGE(IM44:IY44)</f>
        <v>0.58808850315066874</v>
      </c>
      <c r="JB44" s="224"/>
      <c r="JC44" s="224"/>
      <c r="JD44" s="224"/>
      <c r="JE44" s="224"/>
      <c r="JF44" s="224"/>
      <c r="JG44" s="224"/>
      <c r="JH44" s="224"/>
      <c r="JI44" s="224"/>
      <c r="JJ44" s="224"/>
      <c r="JK44" s="224"/>
      <c r="JL44" s="224"/>
      <c r="JM44" s="224"/>
      <c r="JN44" s="224"/>
      <c r="JO44" s="224"/>
      <c r="JP44" s="224"/>
      <c r="JQ44" s="224"/>
      <c r="JR44" s="224"/>
      <c r="JS44" s="224"/>
      <c r="JT44" s="224"/>
      <c r="JU44" s="224"/>
      <c r="JV44" s="224"/>
      <c r="JW44" s="224"/>
      <c r="JX44" s="224"/>
      <c r="JY44" s="224"/>
      <c r="JZ44" s="224"/>
      <c r="KA44" s="224"/>
      <c r="KB44" s="224"/>
      <c r="KC44" s="224"/>
      <c r="KD44" s="224"/>
      <c r="KE44" s="224"/>
      <c r="KF44" s="224"/>
      <c r="KG44" s="224"/>
      <c r="KH44" s="224"/>
      <c r="KI44" s="224"/>
      <c r="KJ44" s="224"/>
      <c r="KK44" s="224"/>
      <c r="KL44" s="224"/>
      <c r="KM44" s="224"/>
      <c r="KN44" s="224"/>
      <c r="KO44" s="224"/>
      <c r="KP44" s="224"/>
      <c r="KQ44" s="224"/>
      <c r="KR44" s="224"/>
      <c r="KS44" s="224"/>
      <c r="KT44" s="224"/>
      <c r="KU44" s="224"/>
      <c r="KV44" s="7"/>
      <c r="KW44" s="224"/>
      <c r="KX44" s="224"/>
      <c r="KY44" s="224"/>
      <c r="KZ44" s="224"/>
      <c r="LA44" s="224"/>
      <c r="LB44" s="224"/>
      <c r="LC44" s="224"/>
      <c r="LD44" s="224"/>
      <c r="LE44" s="224"/>
      <c r="LF44" s="224"/>
      <c r="LG44" s="224"/>
      <c r="LH44" s="224"/>
      <c r="LI44" s="224"/>
      <c r="LJ44" s="224"/>
      <c r="LK44" s="224"/>
      <c r="LL44" s="224"/>
      <c r="LM44" s="224"/>
      <c r="LN44" s="224"/>
      <c r="LO44" s="224"/>
      <c r="LP44" s="224"/>
      <c r="LQ44" s="224"/>
      <c r="LR44" s="224"/>
      <c r="LS44" s="224"/>
      <c r="LT44" s="224"/>
      <c r="LU44" s="224"/>
      <c r="LV44" s="224"/>
      <c r="LW44" s="224"/>
      <c r="LX44" s="224"/>
      <c r="LY44" s="224"/>
      <c r="LZ44" s="224"/>
      <c r="MA44" s="224"/>
      <c r="MB44" s="224"/>
      <c r="MC44" s="224"/>
      <c r="MD44" s="224"/>
      <c r="ME44" s="224"/>
      <c r="MF44" s="224"/>
      <c r="MG44" s="224"/>
      <c r="MH44" s="224"/>
      <c r="MI44" s="224"/>
      <c r="MJ44" s="224"/>
      <c r="MK44" s="224"/>
      <c r="ML44" s="224"/>
      <c r="MM44" s="224"/>
      <c r="MN44" s="224"/>
      <c r="MO44" s="224"/>
      <c r="MP44" s="224"/>
      <c r="MQ44" s="224"/>
      <c r="MR44" s="224"/>
      <c r="MS44" s="224"/>
      <c r="MT44" s="224"/>
      <c r="MU44" s="224"/>
      <c r="MV44" s="224"/>
      <c r="MW44" s="224"/>
      <c r="MX44" s="224"/>
      <c r="MY44" s="224"/>
      <c r="MZ44" s="224"/>
      <c r="NA44" s="224"/>
      <c r="NB44" s="224"/>
      <c r="NC44" s="224"/>
      <c r="ND44" s="224"/>
      <c r="NE44" s="224"/>
      <c r="NF44" s="224"/>
      <c r="NG44" s="224"/>
      <c r="NH44" s="224"/>
      <c r="NI44" s="224"/>
      <c r="NJ44" s="224"/>
      <c r="NK44" s="224"/>
      <c r="NL44" s="2826">
        <f t="shared" ref="NL44:NL66" si="250">$NL$43</f>
        <v>0.2</v>
      </c>
      <c r="NM44" s="73" t="s">
        <v>52</v>
      </c>
      <c r="NN44" s="166">
        <f>NN5+0.2</f>
        <v>2.9002406760015296</v>
      </c>
      <c r="NO44" s="166">
        <f t="shared" ref="NO44:OG44" si="251">NO5+0.2</f>
        <v>2.8843761599832871</v>
      </c>
      <c r="NP44" s="166">
        <f t="shared" si="251"/>
        <v>2.9623347268980518</v>
      </c>
      <c r="NQ44" s="166">
        <f t="shared" si="251"/>
        <v>2.9499013572954111</v>
      </c>
      <c r="NR44" s="166">
        <f t="shared" si="251"/>
        <v>3.3352374888111838</v>
      </c>
      <c r="NS44" s="166">
        <f t="shared" si="251"/>
        <v>3.2658418190036453</v>
      </c>
      <c r="NT44" s="166">
        <f t="shared" si="251"/>
        <v>3.5257058137122872</v>
      </c>
      <c r="NU44" s="166">
        <f t="shared" si="251"/>
        <v>3.4876047815222968</v>
      </c>
      <c r="NV44" s="166">
        <f t="shared" si="251"/>
        <v>3.0485220589054669</v>
      </c>
      <c r="NW44" s="166">
        <f t="shared" si="251"/>
        <v>2.9139411892422049</v>
      </c>
      <c r="NX44" s="166">
        <f t="shared" si="251"/>
        <v>2.9598788205538447</v>
      </c>
      <c r="NY44" s="166">
        <f t="shared" si="251"/>
        <v>2.8510915320741317</v>
      </c>
      <c r="NZ44" s="166">
        <f t="shared" si="251"/>
        <v>3.0260908736718024</v>
      </c>
      <c r="OA44" s="166">
        <f t="shared" si="251"/>
        <v>3.0926581567680342</v>
      </c>
      <c r="OB44" s="166">
        <f t="shared" si="251"/>
        <v>3.3841649798132134</v>
      </c>
      <c r="OC44" s="166"/>
      <c r="OD44" s="11"/>
      <c r="OE44" s="166">
        <f t="shared" si="251"/>
        <v>3.1676380034176832</v>
      </c>
      <c r="OF44" s="11"/>
      <c r="OG44" s="166">
        <f t="shared" si="251"/>
        <v>3.0885013855817953</v>
      </c>
      <c r="OH44" s="166">
        <f t="shared" ref="OH44:OH66" si="252">OH5+0.2</f>
        <v>3.138690276790121</v>
      </c>
      <c r="OI44" s="224"/>
      <c r="OJ44" s="224"/>
      <c r="OK44" s="224"/>
      <c r="OL44" s="224"/>
      <c r="OM44" s="224"/>
      <c r="ON44" s="224"/>
      <c r="OO44" s="224"/>
      <c r="OP44" s="224"/>
      <c r="OQ44" s="224"/>
      <c r="OR44" s="224"/>
      <c r="OS44" s="224"/>
      <c r="OT44" s="224"/>
      <c r="OU44" s="224"/>
      <c r="OV44" s="224"/>
      <c r="OW44" s="224"/>
      <c r="OX44" s="224"/>
      <c r="OY44" s="224"/>
      <c r="OZ44" s="224"/>
      <c r="PA44" s="224"/>
      <c r="PB44" s="224"/>
      <c r="PC44" s="224"/>
      <c r="PD44" s="224"/>
      <c r="PE44" s="224"/>
      <c r="PF44" s="224"/>
      <c r="PG44" s="224"/>
      <c r="PH44" s="224"/>
      <c r="PI44" s="224"/>
      <c r="PJ44" s="224"/>
      <c r="PK44" s="224"/>
      <c r="PL44" s="224"/>
      <c r="PM44" s="224"/>
      <c r="PN44" s="224"/>
      <c r="PO44" s="224"/>
      <c r="PP44" s="224"/>
      <c r="PQ44" s="224"/>
      <c r="PR44" s="224"/>
      <c r="PS44" s="224"/>
      <c r="PT44" s="224"/>
      <c r="PU44" s="224"/>
      <c r="PV44" s="224"/>
      <c r="PW44" s="224"/>
      <c r="PX44" s="166"/>
      <c r="PY44" s="166">
        <f>PY5-'Bloom Cleaner Data'!FP5</f>
        <v>-0.14771450348923876</v>
      </c>
      <c r="PZ44" s="166">
        <f>PZ5-'Bloom Cleaner Data'!FQ5</f>
        <v>-0.12004936477102734</v>
      </c>
      <c r="QA44" s="166">
        <f>QA5-'Bloom Cleaner Data'!FR5</f>
        <v>-0.13789972324723232</v>
      </c>
      <c r="QB44" s="166"/>
      <c r="QC44" s="166">
        <f>QC5-'Bloom Cleaner Data'!FT5</f>
        <v>-0.14798245498874718</v>
      </c>
      <c r="QD44" s="166">
        <f>QD5-'Bloom Cleaner Data'!FU5</f>
        <v>-0.16209508655804483</v>
      </c>
      <c r="QE44" s="166">
        <f>QE5-'Bloom Cleaner Data'!FV5</f>
        <v>-0.12669118702383886</v>
      </c>
      <c r="QF44" s="166"/>
      <c r="QG44" s="166"/>
      <c r="QH44" s="166"/>
      <c r="QI44" s="166"/>
      <c r="QJ44" s="166"/>
      <c r="QK44" s="166"/>
      <c r="QL44" s="166"/>
      <c r="QM44" s="166"/>
      <c r="QN44" s="7"/>
      <c r="QO44" s="7"/>
      <c r="QP44" s="7"/>
      <c r="QQ44" s="7"/>
      <c r="QR44" s="7"/>
      <c r="QS44" s="7"/>
      <c r="QT44" s="7"/>
      <c r="QU44" s="7"/>
      <c r="QV44" s="7"/>
      <c r="QW44" s="7"/>
      <c r="QX44" s="7"/>
      <c r="QY44" s="7"/>
      <c r="QZ44" s="7"/>
      <c r="RA44" s="7"/>
      <c r="RB44" s="7"/>
      <c r="RC44" s="7"/>
      <c r="RD44" s="7"/>
      <c r="RE44" s="7"/>
      <c r="RF44" s="7"/>
      <c r="RG44" s="7"/>
      <c r="RH44" s="7"/>
      <c r="RI44" s="7"/>
      <c r="RJ44" s="7"/>
      <c r="RK44" s="7"/>
      <c r="RL44" s="7"/>
      <c r="RM44" s="7"/>
      <c r="RN44" s="7"/>
      <c r="RO44" s="7"/>
      <c r="RP44" s="7"/>
      <c r="RQ44" s="7"/>
      <c r="RR44" s="7"/>
      <c r="RS44" s="7"/>
      <c r="RT44" s="7"/>
      <c r="RU44" s="7"/>
      <c r="RV44" s="7"/>
      <c r="RW44" s="7"/>
      <c r="RX44" s="7"/>
      <c r="RY44" s="7"/>
      <c r="RZ44" s="7"/>
      <c r="SA44" s="7"/>
      <c r="SB44" s="7"/>
      <c r="SC44" s="7"/>
      <c r="SD44" s="7"/>
      <c r="SE44" s="7"/>
      <c r="SF44" s="7"/>
      <c r="SG44" s="7"/>
      <c r="SH44" s="7"/>
      <c r="SI44" s="7"/>
      <c r="SJ44" s="7"/>
      <c r="SK44" s="7"/>
      <c r="SL44" s="7"/>
      <c r="SM44" s="7"/>
      <c r="SN44" s="7"/>
      <c r="SO44" s="7"/>
      <c r="SP44" s="7"/>
      <c r="SQ44" s="7"/>
      <c r="SR44" s="7"/>
      <c r="SS44" s="7"/>
      <c r="ST44" s="7"/>
      <c r="SU44" s="7"/>
      <c r="SV44" s="7"/>
    </row>
    <row r="45" spans="1:518">
      <c r="A45" s="7"/>
      <c r="B45" s="11"/>
      <c r="C45" s="2214" t="s">
        <v>276</v>
      </c>
      <c r="D45" s="1112"/>
      <c r="E45" s="224"/>
      <c r="F45" s="224"/>
      <c r="G45" s="224"/>
      <c r="H45" s="224"/>
      <c r="I45" s="224"/>
      <c r="J45" s="224"/>
      <c r="K45" s="224"/>
      <c r="L45" s="224"/>
      <c r="M45" s="224"/>
      <c r="N45" s="224"/>
      <c r="O45" s="224"/>
      <c r="P45" s="224" t="s">
        <v>715</v>
      </c>
      <c r="Q45" s="224"/>
      <c r="R45" s="1025">
        <f>'OUTPUTS &amp; Inputs'!P117</f>
        <v>0.35356636626584159</v>
      </c>
      <c r="S45" s="7"/>
      <c r="T45" s="224"/>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t="s">
        <v>1799</v>
      </c>
      <c r="BV45" s="224"/>
      <c r="BW45" s="224"/>
      <c r="BX45" s="224"/>
      <c r="BY45" s="224"/>
      <c r="BZ45" s="224"/>
      <c r="CA45" s="224"/>
      <c r="CB45" s="224"/>
      <c r="CC45" s="224"/>
      <c r="CD45" s="224"/>
      <c r="CE45" s="224"/>
      <c r="CF45" s="224"/>
      <c r="CG45" s="224"/>
      <c r="CH45" s="224"/>
      <c r="CI45" s="224"/>
      <c r="CJ45" s="224"/>
      <c r="CK45" s="224"/>
      <c r="CL45" s="224"/>
      <c r="CM45" s="224"/>
      <c r="CN45" s="224"/>
      <c r="CO45" s="224"/>
      <c r="CP45" s="224"/>
      <c r="CQ45" s="224"/>
      <c r="CR45" s="224"/>
      <c r="CS45" s="224"/>
      <c r="CT45" s="224"/>
      <c r="CU45" s="224"/>
      <c r="CV45" s="224"/>
      <c r="CW45" s="224"/>
      <c r="CX45" s="224"/>
      <c r="CY45" s="224"/>
      <c r="CZ45" s="224"/>
      <c r="DA45" s="224"/>
      <c r="DB45" s="224"/>
      <c r="DC45" s="224"/>
      <c r="DD45" s="224"/>
      <c r="DE45" s="224"/>
      <c r="DF45" s="224"/>
      <c r="DG45" s="224"/>
      <c r="DH45" s="224"/>
      <c r="DI45" s="224"/>
      <c r="DJ45" s="224"/>
      <c r="DK45" s="2668">
        <f>'OPERATING LEASES'!BL6/'Bloom Cleaner Data'!GV6</f>
        <v>9.7779186382713768E-3</v>
      </c>
      <c r="DL45" s="2668">
        <f>'OPERATING LEASES'!BM6/'Bloom Cleaner Data'!GW6</f>
        <v>9.4009247367352246E-3</v>
      </c>
      <c r="DM45" s="2668">
        <f>'OPERATING LEASES'!BN6/'Bloom Cleaner Data'!GX6</f>
        <v>9.1022000212281576E-3</v>
      </c>
      <c r="DN45" s="2668">
        <f>'OPERATING LEASES'!BO6/'Bloom Cleaner Data'!GY6</f>
        <v>8.7578974982378561E-3</v>
      </c>
      <c r="DO45" s="2668">
        <f>'OPERATING LEASES'!BP6/'Bloom Cleaner Data'!GZ6</f>
        <v>8.3530338294203303E-3</v>
      </c>
      <c r="DP45" s="2668">
        <f>'OPERATING LEASES'!BQ6/'Bloom Cleaner Data'!HA6</f>
        <v>8.4932330200942451E-3</v>
      </c>
      <c r="DQ45" s="2668">
        <f>'OPERATING LEASES'!BR6/'Bloom Cleaner Data'!HB6</f>
        <v>8.6043630669504923E-3</v>
      </c>
      <c r="DR45" s="2668">
        <f>'OPERATING LEASES'!BS6/'Bloom Cleaner Data'!HC6</f>
        <v>8.792798312305462E-3</v>
      </c>
      <c r="DS45" s="2668">
        <f>'OPERATING LEASES'!BT6/'Bloom Cleaner Data'!HD6</f>
        <v>8.9561368499883696E-3</v>
      </c>
      <c r="DT45" s="2668">
        <f>'OPERATING LEASES'!BU6/'Bloom Cleaner Data'!HE6</f>
        <v>9.0907160734908406E-3</v>
      </c>
      <c r="DU45" s="2668">
        <f>'OPERATING LEASES'!BV6/'Bloom Cleaner Data'!HF6</f>
        <v>9.1115389464434295E-3</v>
      </c>
      <c r="DV45" s="2668">
        <f>'OPERATING LEASES'!BW6/'Bloom Cleaner Data'!HG6</f>
        <v>9.0486294262425455E-3</v>
      </c>
      <c r="DW45" s="2668">
        <f>'OPERATING LEASES'!BX6/'Bloom Cleaner Data'!HH6</f>
        <v>9.0811578196145371E-3</v>
      </c>
      <c r="DX45" s="2668">
        <f>'OPERATING LEASES'!BY6/'Bloom Cleaner Data'!HI6</f>
        <v>9.2365790197010359E-3</v>
      </c>
      <c r="DY45" s="2668">
        <f>'OPERATING LEASES'!BZ6/'Bloom Cleaner Data'!HJ6</f>
        <v>9.4640785539172358E-3</v>
      </c>
      <c r="DZ45" s="2668"/>
      <c r="EA45" s="2668">
        <f t="shared" ref="EA45:EA66" si="253">AVERAGE(DM45:DY45)</f>
        <v>8.9301817259718873E-3</v>
      </c>
      <c r="EB45" s="2668"/>
      <c r="EC45" s="2668"/>
      <c r="ED45" s="2668">
        <f t="shared" ref="ED45:ED66" si="254">AVERAGE(DU45:DY45)</f>
        <v>9.1883967531837564E-3</v>
      </c>
      <c r="EE45" s="224"/>
      <c r="EF45" s="21"/>
      <c r="EG45" s="21"/>
      <c r="EH45" s="21"/>
      <c r="EI45" s="21"/>
      <c r="EJ45" s="21"/>
      <c r="EK45" s="21"/>
      <c r="EL45" s="21"/>
      <c r="EM45" s="224"/>
      <c r="EN45" s="224"/>
      <c r="EO45" s="224"/>
      <c r="EP45" s="224"/>
      <c r="EQ45" s="224"/>
      <c r="ER45" s="224"/>
      <c r="ES45" s="224"/>
      <c r="ET45" s="224"/>
      <c r="EU45" s="224"/>
      <c r="EV45" s="224"/>
      <c r="EW45" s="224"/>
      <c r="EX45" s="224"/>
      <c r="EY45" s="224"/>
      <c r="EZ45" s="224"/>
      <c r="FA45" s="224"/>
      <c r="FB45" s="224"/>
      <c r="FC45" s="224"/>
      <c r="FD45" s="224"/>
      <c r="FE45" s="224"/>
      <c r="FF45" s="224"/>
      <c r="FG45" s="9"/>
      <c r="FH45" s="11"/>
      <c r="FI45" s="11"/>
      <c r="FJ45" s="11"/>
      <c r="FK45" s="11"/>
      <c r="FL45" s="11"/>
      <c r="FM45" s="11"/>
      <c r="FN45" s="11"/>
      <c r="FO45" s="11"/>
      <c r="FP45" s="11"/>
      <c r="FQ45" s="11"/>
      <c r="FR45" s="11"/>
      <c r="FS45" s="11"/>
      <c r="FT45" s="11"/>
      <c r="FU45" s="11"/>
      <c r="FV45" s="11"/>
      <c r="FW45" s="224"/>
      <c r="FX45" s="9"/>
      <c r="FY45" s="2808"/>
      <c r="FZ45" s="465"/>
      <c r="GA45" s="9"/>
      <c r="GB45" s="9"/>
      <c r="GC45" s="9"/>
      <c r="GD45" s="1026"/>
      <c r="GE45" s="1026"/>
      <c r="GF45" s="1026"/>
      <c r="GG45" s="1026"/>
      <c r="GH45" s="1026"/>
      <c r="GI45" s="1026"/>
      <c r="GJ45" s="1026"/>
      <c r="GK45" s="1026"/>
      <c r="GL45" s="1026"/>
      <c r="GM45" s="1026"/>
      <c r="GN45" s="1026"/>
      <c r="GO45" s="1026"/>
      <c r="GP45" s="1026"/>
      <c r="GQ45" s="1026"/>
      <c r="GR45" s="1026"/>
      <c r="GS45" s="1026"/>
      <c r="GT45" s="224"/>
      <c r="GU45" s="1026"/>
      <c r="GV45" s="1026"/>
      <c r="GW45" s="1026"/>
      <c r="GX45" s="1026"/>
      <c r="GY45" s="224"/>
      <c r="GZ45" s="224"/>
      <c r="HA45" s="224"/>
      <c r="HB45" s="224"/>
      <c r="HC45" s="224"/>
      <c r="HD45" s="224"/>
      <c r="HE45" s="224"/>
      <c r="HF45" s="224"/>
      <c r="HG45" s="224"/>
      <c r="HH45" s="224"/>
      <c r="HI45" s="224"/>
      <c r="HJ45" s="224"/>
      <c r="HK45" s="224"/>
      <c r="HL45" s="224"/>
      <c r="HM45" s="224"/>
      <c r="HN45" s="224"/>
      <c r="HO45" s="224"/>
      <c r="HP45" s="224"/>
      <c r="HQ45" s="224"/>
      <c r="HR45" s="224"/>
      <c r="HS45" s="224"/>
      <c r="HT45" s="224"/>
      <c r="HU45" s="224"/>
      <c r="HV45" s="224"/>
      <c r="HW45" s="224"/>
      <c r="HX45" s="224"/>
      <c r="HY45" s="224"/>
      <c r="HZ45" s="224"/>
      <c r="IA45" s="224"/>
      <c r="IB45" s="224"/>
      <c r="IC45" s="224"/>
      <c r="ID45" s="224"/>
      <c r="IE45" s="224"/>
      <c r="IF45" s="224"/>
      <c r="IG45" s="224"/>
      <c r="IH45" s="224"/>
      <c r="II45" s="224"/>
      <c r="IJ45" s="224"/>
      <c r="IK45" s="2124">
        <f t="shared" ref="IK45:IK66" si="255">$IN$43*IK6+(1-$IN$43)*GY6</f>
        <v>0.42425875843701322</v>
      </c>
      <c r="IL45" s="2124">
        <f t="shared" ref="IL45:IL59" si="256">$IN$43*IL6+(1-$IN$43)*GZ6</f>
        <v>0.40066820400578501</v>
      </c>
      <c r="IM45" s="2124">
        <f t="shared" ref="IM45:IM59" si="257">$IN$43*IM6+(1-$IN$43)*HA6</f>
        <v>0.44187886716513403</v>
      </c>
      <c r="IN45" s="2124">
        <f t="shared" ref="IN45:IN59" si="258">$IN$43*IN6+(1-$IN$43)*HB6</f>
        <v>0.37368331958919732</v>
      </c>
      <c r="IO45" s="2124">
        <f t="shared" ref="IO45:IO59" si="259">$IN$43*IO6+(1-$IN$43)*HC6</f>
        <v>0.4248586569263863</v>
      </c>
      <c r="IP45" s="2124">
        <f t="shared" ref="IP45:IP59" si="260">$IN$43*IP6+(1-$IN$43)*HD6</f>
        <v>0.42790254930033284</v>
      </c>
      <c r="IQ45" s="2124">
        <f t="shared" ref="IQ45:IQ59" si="261">$IN$43*IQ6+(1-$IN$43)*HE6</f>
        <v>0.48210950131634289</v>
      </c>
      <c r="IR45" s="2124">
        <f t="shared" ref="IR45:IR59" si="262">$IN$43*IR6+(1-$IN$43)*HF6</f>
        <v>0.51254771371859198</v>
      </c>
      <c r="IS45" s="2124">
        <f t="shared" ref="IS45:IS59" si="263">$IN$43*IS6+(1-$IN$43)*HG6</f>
        <v>0.45491433161360073</v>
      </c>
      <c r="IT45" s="2124">
        <f t="shared" ref="IT45:IT59" si="264">$IN$43*IT6+(1-$IN$43)*HH6</f>
        <v>0.465641871913135</v>
      </c>
      <c r="IU45" s="2124">
        <f t="shared" ref="IU45:IU59" si="265">$IN$43*IU6+(1-$IN$43)*HI6</f>
        <v>0.50177090554661785</v>
      </c>
      <c r="IV45" s="2124">
        <f t="shared" ref="IV45:IV59" si="266">$IN$43*IV6+(1-$IN$43)*HJ6</f>
        <v>0.57526092367076309</v>
      </c>
      <c r="IW45" s="2124">
        <f t="shared" ref="IW45:IW59" si="267">$IN$43*IW6+(1-$IN$43)*HK6</f>
        <v>0.56363961733210066</v>
      </c>
      <c r="IX45" s="2124">
        <f t="shared" ref="IX45:IX59" si="268">$IN$43*IX6+(1-$IN$43)*HL6</f>
        <v>0.61341498692103946</v>
      </c>
      <c r="IY45" s="2124">
        <f t="shared" ref="IY45:IY59" si="269">$IN$43*IY6+(1-$IN$43)*HM6</f>
        <v>0.62319136029119382</v>
      </c>
      <c r="IZ45" s="224"/>
      <c r="JA45" s="2124">
        <f t="shared" ref="JA45:JA66" si="270">AVERAGE(IM45:IY45)</f>
        <v>0.49698573886957192</v>
      </c>
      <c r="JB45" s="224"/>
      <c r="JC45" s="224"/>
      <c r="JD45" s="224"/>
      <c r="JE45" s="224"/>
      <c r="JF45" s="224"/>
      <c r="JG45" s="224"/>
      <c r="JH45" s="224"/>
      <c r="JI45" s="224"/>
      <c r="JJ45" s="224"/>
      <c r="JK45" s="224"/>
      <c r="JL45" s="224"/>
      <c r="JM45" s="224"/>
      <c r="JN45" s="224"/>
      <c r="JO45" s="224"/>
      <c r="JP45" s="224"/>
      <c r="JQ45" s="224"/>
      <c r="JR45" s="224"/>
      <c r="JS45" s="224"/>
      <c r="JT45" s="224"/>
      <c r="JU45" s="224"/>
      <c r="JV45" s="224"/>
      <c r="JW45" s="224"/>
      <c r="JX45" s="224"/>
      <c r="JY45" s="224"/>
      <c r="JZ45" s="224"/>
      <c r="KA45" s="224"/>
      <c r="KB45" s="224"/>
      <c r="KC45" s="224"/>
      <c r="KD45" s="224"/>
      <c r="KE45" s="224"/>
      <c r="KF45" s="224"/>
      <c r="KG45" s="224"/>
      <c r="KH45" s="224"/>
      <c r="KI45" s="224"/>
      <c r="KJ45" s="224"/>
      <c r="KK45" s="224"/>
      <c r="KL45" s="224"/>
      <c r="KM45" s="224"/>
      <c r="KN45" s="224"/>
      <c r="KO45" s="224"/>
      <c r="KP45" s="224"/>
      <c r="KQ45" s="224"/>
      <c r="KR45" s="224"/>
      <c r="KS45" s="7"/>
      <c r="KT45" s="7"/>
      <c r="KU45" s="224"/>
      <c r="KV45" s="9"/>
      <c r="KW45" s="224"/>
      <c r="KX45" s="224"/>
      <c r="KY45" s="224"/>
      <c r="KZ45" s="224"/>
      <c r="LA45" s="224"/>
      <c r="LB45" s="224"/>
      <c r="LC45" s="224"/>
      <c r="LD45" s="224"/>
      <c r="LE45" s="224"/>
      <c r="LF45" s="224"/>
      <c r="LG45" s="224"/>
      <c r="LH45" s="224"/>
      <c r="LI45" s="224"/>
      <c r="LJ45" s="224"/>
      <c r="LK45" s="224"/>
      <c r="LL45" s="224"/>
      <c r="LM45" s="17"/>
      <c r="LN45" s="9"/>
      <c r="LO45" s="9"/>
      <c r="LP45" s="9"/>
      <c r="LQ45" s="224"/>
      <c r="LR45" s="224"/>
      <c r="LS45" s="224"/>
      <c r="LT45" s="224"/>
      <c r="LU45" s="224"/>
      <c r="LV45" s="224"/>
      <c r="LW45" s="224"/>
      <c r="LX45" s="224"/>
      <c r="LY45" s="224"/>
      <c r="LZ45" s="224"/>
      <c r="MA45" s="224"/>
      <c r="MB45" s="224"/>
      <c r="MC45" s="224"/>
      <c r="MD45" s="224"/>
      <c r="ME45" s="224"/>
      <c r="MF45" s="224"/>
      <c r="MG45" s="224"/>
      <c r="MH45" s="224"/>
      <c r="MI45" s="224"/>
      <c r="MJ45" s="224"/>
      <c r="MK45" s="224"/>
      <c r="ML45" s="224"/>
      <c r="MM45" s="224"/>
      <c r="MN45" s="224"/>
      <c r="MO45" s="224"/>
      <c r="MP45" s="224"/>
      <c r="MQ45" s="224"/>
      <c r="MR45" s="224"/>
      <c r="MS45" s="224"/>
      <c r="MT45" s="224"/>
      <c r="MU45" s="224"/>
      <c r="MV45" s="224"/>
      <c r="MW45" s="224"/>
      <c r="MX45" s="224"/>
      <c r="MY45" s="224"/>
      <c r="MZ45" s="224"/>
      <c r="NA45" s="224"/>
      <c r="NB45" s="224"/>
      <c r="NC45" s="224"/>
      <c r="ND45" s="224"/>
      <c r="NE45" s="224"/>
      <c r="NF45" s="224"/>
      <c r="NG45" s="224"/>
      <c r="NH45" s="224"/>
      <c r="NI45" s="224"/>
      <c r="NJ45" s="224"/>
      <c r="NK45" s="224"/>
      <c r="NL45" s="2826">
        <f t="shared" si="250"/>
        <v>0.2</v>
      </c>
      <c r="NM45" s="73" t="s">
        <v>276</v>
      </c>
      <c r="NN45" s="166">
        <f t="shared" ref="NN45:NN66" si="271">NN6+0.2</f>
        <v>2.3941740268158518</v>
      </c>
      <c r="NO45" s="166">
        <f t="shared" ref="NO45:OB45" si="272">NO6+0.2</f>
        <v>2.0487269782805981</v>
      </c>
      <c r="NP45" s="166">
        <f t="shared" si="272"/>
        <v>2.1452872486354573</v>
      </c>
      <c r="NQ45" s="166">
        <f t="shared" si="272"/>
        <v>2.4101966979237504</v>
      </c>
      <c r="NR45" s="166">
        <f t="shared" si="272"/>
        <v>2.34463198565909</v>
      </c>
      <c r="NS45" s="166">
        <f t="shared" si="272"/>
        <v>2.5119145823128353</v>
      </c>
      <c r="NT45" s="166">
        <f t="shared" si="272"/>
        <v>2.5600339108063328</v>
      </c>
      <c r="NU45" s="166">
        <f t="shared" si="272"/>
        <v>2.6472083701783538</v>
      </c>
      <c r="NV45" s="166">
        <f t="shared" si="272"/>
        <v>2.7125853015659667</v>
      </c>
      <c r="NW45" s="166">
        <f t="shared" si="272"/>
        <v>2.8517375283843585</v>
      </c>
      <c r="NX45" s="166">
        <f t="shared" si="272"/>
        <v>2.7277381870363437</v>
      </c>
      <c r="NY45" s="166">
        <f t="shared" si="272"/>
        <v>2.7578491457199328</v>
      </c>
      <c r="NZ45" s="166">
        <f t="shared" si="272"/>
        <v>2.8432058001804896</v>
      </c>
      <c r="OA45" s="166">
        <f t="shared" si="272"/>
        <v>2.9802715654105052</v>
      </c>
      <c r="OB45" s="166">
        <f t="shared" si="272"/>
        <v>3.1018039513877329</v>
      </c>
      <c r="OC45" s="166"/>
      <c r="OD45" s="11"/>
      <c r="OE45" s="166">
        <f t="shared" ref="OE45:OE66" si="273">OE6+0.2</f>
        <v>2.9750937723262423</v>
      </c>
      <c r="OF45" s="11"/>
      <c r="OG45" s="166">
        <f t="shared" ref="OG45:OG66" si="274">OG6+0.2</f>
        <v>2.920782615674665</v>
      </c>
      <c r="OH45" s="166">
        <f t="shared" si="252"/>
        <v>2.6611126365539346</v>
      </c>
      <c r="OI45" s="224"/>
      <c r="OJ45" s="224"/>
      <c r="OK45" s="224"/>
      <c r="OL45" s="224"/>
      <c r="OM45" s="224"/>
      <c r="ON45" s="224"/>
      <c r="OO45" s="224"/>
      <c r="OP45" s="224"/>
      <c r="OQ45" s="224"/>
      <c r="OR45" s="224"/>
      <c r="OS45" s="224"/>
      <c r="OT45" s="224"/>
      <c r="OU45" s="224"/>
      <c r="OV45" s="224"/>
      <c r="OW45" s="224"/>
      <c r="OX45" s="224"/>
      <c r="OY45" s="224"/>
      <c r="OZ45" s="224"/>
      <c r="PA45" s="224"/>
      <c r="PB45" s="224"/>
      <c r="PC45" s="224"/>
      <c r="PD45" s="224"/>
      <c r="PE45" s="224"/>
      <c r="PF45" s="224"/>
      <c r="PG45" s="224"/>
      <c r="PH45" s="224"/>
      <c r="PI45" s="224"/>
      <c r="PJ45" s="224"/>
      <c r="PK45" s="224"/>
      <c r="PL45" s="224"/>
      <c r="PM45" s="224"/>
      <c r="PN45" s="224"/>
      <c r="PO45" s="224"/>
      <c r="PP45" s="224"/>
      <c r="PQ45" s="224"/>
      <c r="PR45" s="224"/>
      <c r="PS45" s="224"/>
      <c r="PT45" s="224"/>
      <c r="PU45" s="224"/>
      <c r="PV45" s="224"/>
      <c r="PW45" s="224"/>
      <c r="PX45" s="166"/>
      <c r="PY45" s="166">
        <f>PY6-'Bloom Cleaner Data'!FP6</f>
        <v>-4.4233333333334457E-3</v>
      </c>
      <c r="PZ45" s="166">
        <f>PZ6-'Bloom Cleaner Data'!FQ6</f>
        <v>-4.649021695727118E-3</v>
      </c>
      <c r="QA45" s="166">
        <f>QA6-'Bloom Cleaner Data'!FR6</f>
        <v>-5.7817750230775289E-3</v>
      </c>
      <c r="QB45" s="166"/>
      <c r="QC45" s="166">
        <f>QC6-'Bloom Cleaner Data'!FT6</f>
        <v>-5.4357642725597621E-3</v>
      </c>
      <c r="QD45" s="166">
        <f>QD6-'Bloom Cleaner Data'!FU6</f>
        <v>-1.5771727609962483E-2</v>
      </c>
      <c r="QE45" s="166">
        <f>QE6-'Bloom Cleaner Data'!FV6</f>
        <v>-1.2016872964169423E-2</v>
      </c>
      <c r="QF45" s="166"/>
      <c r="QG45" s="166"/>
      <c r="QH45" s="166"/>
      <c r="QI45" s="166"/>
      <c r="QJ45" s="166"/>
      <c r="QK45" s="166"/>
      <c r="QL45" s="166"/>
      <c r="QM45" s="166"/>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row>
    <row r="46" spans="1:518" s="2580" customFormat="1">
      <c r="A46" s="11"/>
      <c r="B46" s="11"/>
      <c r="C46" s="1370" t="s">
        <v>750</v>
      </c>
      <c r="D46" s="77"/>
      <c r="E46" s="11"/>
      <c r="F46" s="11"/>
      <c r="G46" s="11"/>
      <c r="H46" s="947"/>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947">
        <f>BU7/SUM(BU$7:BU$9)</f>
        <v>0.56257409853102769</v>
      </c>
      <c r="BV46" s="947">
        <f t="shared" ref="BV46:CI46" si="275">BV7/SUM(BV$7:BV$9)</f>
        <v>0.58207624947965053</v>
      </c>
      <c r="BW46" s="947">
        <f t="shared" si="275"/>
        <v>0.58557828030120862</v>
      </c>
      <c r="BX46" s="947">
        <f t="shared" si="275"/>
        <v>0.58015248429535882</v>
      </c>
      <c r="BY46" s="947">
        <f t="shared" si="275"/>
        <v>0.5255661218496992</v>
      </c>
      <c r="BZ46" s="947">
        <f t="shared" si="275"/>
        <v>0.52303789005802892</v>
      </c>
      <c r="CA46" s="947">
        <f t="shared" si="275"/>
        <v>0.52130990773821462</v>
      </c>
      <c r="CB46" s="947">
        <f t="shared" si="275"/>
        <v>0.50869942070999596</v>
      </c>
      <c r="CC46" s="947">
        <f t="shared" si="275"/>
        <v>0.51946401549184917</v>
      </c>
      <c r="CD46" s="947">
        <f t="shared" si="275"/>
        <v>0.53084005357733699</v>
      </c>
      <c r="CE46" s="947">
        <f t="shared" si="275"/>
        <v>0.52500258357958451</v>
      </c>
      <c r="CF46" s="947">
        <f t="shared" si="275"/>
        <v>0.52576443897509173</v>
      </c>
      <c r="CG46" s="947">
        <f t="shared" si="275"/>
        <v>0.50920502149882929</v>
      </c>
      <c r="CH46" s="947">
        <f t="shared" si="275"/>
        <v>0.48376204714621868</v>
      </c>
      <c r="CI46" s="947">
        <f t="shared" si="275"/>
        <v>0.46535348984986485</v>
      </c>
      <c r="CJ46" s="947"/>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2675">
        <f>'OPERATING LEASES'!BL7/'Bloom Cleaner Data'!GV7</f>
        <v>1.9798885431026311E-2</v>
      </c>
      <c r="DL46" s="2675">
        <f>'OPERATING LEASES'!BM7/'Bloom Cleaner Data'!GW7</f>
        <v>1.6200862335066395E-2</v>
      </c>
      <c r="DM46" s="2675">
        <f>'OPERATING LEASES'!BN7/'Bloom Cleaner Data'!GX7</f>
        <v>1.5713092572313042E-2</v>
      </c>
      <c r="DN46" s="2675">
        <f>'OPERATING LEASES'!BO7/'Bloom Cleaner Data'!GY7</f>
        <v>1.525380892599594E-2</v>
      </c>
      <c r="DO46" s="2675">
        <f>'OPERATING LEASES'!BP7/'Bloom Cleaner Data'!GZ7</f>
        <v>1.699393004111684E-2</v>
      </c>
      <c r="DP46" s="2675">
        <f>'OPERATING LEASES'!BQ7/'Bloom Cleaner Data'!HA7</f>
        <v>2.090200003578389E-2</v>
      </c>
      <c r="DQ46" s="2675">
        <f>'OPERATING LEASES'!BR7/'Bloom Cleaner Data'!HB7</f>
        <v>2.082292673455494E-2</v>
      </c>
      <c r="DR46" s="2675">
        <f>'OPERATING LEASES'!BS7/'Bloom Cleaner Data'!HC7</f>
        <v>2.105161105114435E-2</v>
      </c>
      <c r="DS46" s="2675">
        <f>'OPERATING LEASES'!BT7/'Bloom Cleaner Data'!HD7</f>
        <v>2.1585673137055467E-2</v>
      </c>
      <c r="DT46" s="2675">
        <f>'OPERATING LEASES'!BU7/'Bloom Cleaner Data'!HE7</f>
        <v>2.1501689775095693E-2</v>
      </c>
      <c r="DU46" s="2675">
        <f>'OPERATING LEASES'!BV7/'Bloom Cleaner Data'!HF7</f>
        <v>2.2179733116411575E-2</v>
      </c>
      <c r="DV46" s="2675">
        <f>'OPERATING LEASES'!BW7/'Bloom Cleaner Data'!HG7</f>
        <v>2.2119696892898777E-2</v>
      </c>
      <c r="DW46" s="2675">
        <f>'OPERATING LEASES'!BX7/'Bloom Cleaner Data'!HH7</f>
        <v>2.2169407140250268E-2</v>
      </c>
      <c r="DX46" s="2675">
        <f>'OPERATING LEASES'!BY7/'Bloom Cleaner Data'!HI7</f>
        <v>2.2546928220460349E-2</v>
      </c>
      <c r="DY46" s="2675">
        <f>'OPERATING LEASES'!BZ7/'Bloom Cleaner Data'!HJ7</f>
        <v>2.2662694572210658E-2</v>
      </c>
      <c r="DZ46" s="2675"/>
      <c r="EA46" s="2675">
        <f t="shared" si="253"/>
        <v>2.0423322478099366E-2</v>
      </c>
      <c r="EB46" s="2675"/>
      <c r="EC46" s="2675"/>
      <c r="ED46" s="2675">
        <f t="shared" si="254"/>
        <v>2.2335691988446326E-2</v>
      </c>
      <c r="EE46" s="11"/>
      <c r="EF46" s="21"/>
      <c r="EG46" s="21"/>
      <c r="EH46" s="21"/>
      <c r="EI46" s="21"/>
      <c r="EJ46" s="21"/>
      <c r="EK46" s="21"/>
      <c r="EL46" s="21"/>
      <c r="EM46" s="11"/>
      <c r="EN46" s="11"/>
      <c r="EO46" s="11"/>
      <c r="EP46" s="11"/>
      <c r="EQ46" s="11"/>
      <c r="ER46" s="11"/>
      <c r="ES46" s="11"/>
      <c r="ET46" s="11"/>
      <c r="EU46" s="11"/>
      <c r="EV46" s="11"/>
      <c r="EW46" s="11"/>
      <c r="EX46" s="11"/>
      <c r="EY46" s="11"/>
      <c r="EZ46" s="11"/>
      <c r="FA46" s="11"/>
      <c r="FB46" s="11"/>
      <c r="FC46" s="11"/>
      <c r="FD46" s="11"/>
      <c r="FE46" s="11"/>
      <c r="FF46" s="11"/>
      <c r="FG46" s="77"/>
      <c r="FH46" s="705">
        <f>FH7-EN7</f>
        <v>3.1246324913393408E-2</v>
      </c>
      <c r="FI46" s="705">
        <f t="shared" ref="FI46:FV48" si="276">FI7-EO7</f>
        <v>3.3955781111828731E-2</v>
      </c>
      <c r="FJ46" s="705">
        <f t="shared" si="276"/>
        <v>3.7078530286752454E-2</v>
      </c>
      <c r="FK46" s="705">
        <f t="shared" si="276"/>
        <v>3.5612542351548093E-2</v>
      </c>
      <c r="FL46" s="705">
        <f t="shared" si="276"/>
        <v>4.3855913951364123E-2</v>
      </c>
      <c r="FM46" s="705">
        <f t="shared" si="276"/>
        <v>3.0050522938426028E-2</v>
      </c>
      <c r="FN46" s="705">
        <f t="shared" si="276"/>
        <v>3.0869316110865519E-2</v>
      </c>
      <c r="FO46" s="705">
        <f t="shared" si="276"/>
        <v>3.9722588423766858E-2</v>
      </c>
      <c r="FP46" s="705">
        <f t="shared" si="276"/>
        <v>3.6178843669378402E-2</v>
      </c>
      <c r="FQ46" s="705">
        <f t="shared" si="276"/>
        <v>3.2913149512085127E-2</v>
      </c>
      <c r="FR46" s="705">
        <f t="shared" si="276"/>
        <v>3.0582622256943637E-2</v>
      </c>
      <c r="FS46" s="705">
        <f t="shared" si="276"/>
        <v>2.741562528311281E-2</v>
      </c>
      <c r="FT46" s="705">
        <f t="shared" si="276"/>
        <v>3.6899590737538901E-2</v>
      </c>
      <c r="FU46" s="705">
        <f t="shared" si="276"/>
        <v>4.3299956330261402E-2</v>
      </c>
      <c r="FV46" s="705">
        <f t="shared" si="276"/>
        <v>4.629627555332938E-2</v>
      </c>
      <c r="FW46" s="705"/>
      <c r="FX46" s="703">
        <f>AVERAGE(FJ46:FV46)</f>
        <v>3.6213498261951749E-2</v>
      </c>
      <c r="FY46" s="709">
        <f>AVERAGE(FR46:FV46)</f>
        <v>3.6898814032237229E-2</v>
      </c>
      <c r="FZ46" s="705"/>
      <c r="GA46" s="697">
        <f>AVERAGE(FM46:FV46)</f>
        <v>3.5422849081570805E-2</v>
      </c>
      <c r="GB46" s="697"/>
      <c r="GC46" s="697"/>
      <c r="GD46" s="77"/>
      <c r="GE46" s="11"/>
      <c r="GF46" s="77"/>
      <c r="GG46" s="77"/>
      <c r="GH46" s="77"/>
      <c r="GI46" s="77"/>
      <c r="GJ46" s="77"/>
      <c r="GK46" s="77"/>
      <c r="GL46" s="77"/>
      <c r="GM46" s="77"/>
      <c r="GN46" s="77"/>
      <c r="GO46" s="77"/>
      <c r="GP46" s="77"/>
      <c r="GQ46" s="77"/>
      <c r="GR46" s="77"/>
      <c r="GS46" s="77"/>
      <c r="GT46" s="11"/>
      <c r="GU46" s="77"/>
      <c r="GV46" s="77"/>
      <c r="GW46" s="77"/>
      <c r="GX46" s="77"/>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220">
        <f t="shared" si="255"/>
        <v>0.20015860822181847</v>
      </c>
      <c r="IL46" s="1220">
        <f t="shared" si="256"/>
        <v>0.15637595741809657</v>
      </c>
      <c r="IM46" s="1220">
        <f t="shared" si="257"/>
        <v>0.19166470879994948</v>
      </c>
      <c r="IN46" s="1220">
        <f t="shared" si="258"/>
        <v>0.15708151620068025</v>
      </c>
      <c r="IO46" s="1220">
        <f t="shared" si="259"/>
        <v>0.18534933727772515</v>
      </c>
      <c r="IP46" s="1220">
        <f t="shared" si="260"/>
        <v>0.15107889961592022</v>
      </c>
      <c r="IQ46" s="1220">
        <f t="shared" si="261"/>
        <v>0.19322451129092647</v>
      </c>
      <c r="IR46" s="1220">
        <f t="shared" si="262"/>
        <v>0.18375563588209659</v>
      </c>
      <c r="IS46" s="1220">
        <f t="shared" si="263"/>
        <v>0.19729974692710131</v>
      </c>
      <c r="IT46" s="1220">
        <f t="shared" si="264"/>
        <v>0.17027869672691731</v>
      </c>
      <c r="IU46" s="1220">
        <f t="shared" si="265"/>
        <v>0.21812604513918368</v>
      </c>
      <c r="IV46" s="1220">
        <f t="shared" si="266"/>
        <v>0.18869327657203672</v>
      </c>
      <c r="IW46" s="1220">
        <f t="shared" si="267"/>
        <v>0.21687899743461636</v>
      </c>
      <c r="IX46" s="1220">
        <f t="shared" si="268"/>
        <v>0.2203272196092004</v>
      </c>
      <c r="IY46" s="1220">
        <f t="shared" si="269"/>
        <v>0.28756363720088318</v>
      </c>
      <c r="IZ46" s="690"/>
      <c r="JA46" s="1220">
        <f t="shared" si="270"/>
        <v>0.19702478682132593</v>
      </c>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77"/>
      <c r="KW46" s="2861">
        <f t="shared" ref="KW46:LK46" si="277">KW7-KA7</f>
        <v>9.9171207511160153E-2</v>
      </c>
      <c r="KX46" s="2861">
        <f t="shared" si="277"/>
        <v>8.8307473229948141E-2</v>
      </c>
      <c r="KY46" s="2861">
        <f t="shared" si="277"/>
        <v>8.6859060177994496E-2</v>
      </c>
      <c r="KZ46" s="2861">
        <f t="shared" si="277"/>
        <v>8.9050714653732488E-2</v>
      </c>
      <c r="LA46" s="2861">
        <f t="shared" si="277"/>
        <v>0.10125196987949003</v>
      </c>
      <c r="LB46" s="2861">
        <f t="shared" si="277"/>
        <v>0.12388236782568085</v>
      </c>
      <c r="LC46" s="2861">
        <f t="shared" si="277"/>
        <v>0.11908036241958542</v>
      </c>
      <c r="LD46" s="2861">
        <f t="shared" si="277"/>
        <v>0.12299006609304652</v>
      </c>
      <c r="LE46" s="2861">
        <f t="shared" si="277"/>
        <v>0.12380245786133681</v>
      </c>
      <c r="LF46" s="2861">
        <f t="shared" si="277"/>
        <v>0.1256513261011093</v>
      </c>
      <c r="LG46" s="2861">
        <f t="shared" si="277"/>
        <v>0.12354845147808113</v>
      </c>
      <c r="LH46" s="2861">
        <f t="shared" si="277"/>
        <v>0.12603521926613037</v>
      </c>
      <c r="LI46" s="2861">
        <f t="shared" si="277"/>
        <v>0.1249637852737433</v>
      </c>
      <c r="LJ46" s="2861">
        <f t="shared" si="277"/>
        <v>0.12800397942346264</v>
      </c>
      <c r="LK46" s="2861">
        <f t="shared" si="277"/>
        <v>0.12223973714639014</v>
      </c>
      <c r="LL46" s="690"/>
      <c r="LM46" s="2861">
        <f>AVERAGE(LI46:LK46)</f>
        <v>0.12506916728119868</v>
      </c>
      <c r="LN46" s="705">
        <f>AVERAGE(LH46:LK46)</f>
        <v>0.12531068027743161</v>
      </c>
      <c r="LO46" s="705"/>
      <c r="LP46" s="705">
        <f>AVERAGE(KY46:LK46)</f>
        <v>0.1167199613538295</v>
      </c>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2826">
        <f t="shared" si="250"/>
        <v>0.2</v>
      </c>
      <c r="NM46" s="691" t="s">
        <v>37</v>
      </c>
      <c r="NN46" s="705">
        <f t="shared" si="271"/>
        <v>1.1966321865997969</v>
      </c>
      <c r="NO46" s="705">
        <f t="shared" ref="NO46:OB46" si="278">NO7+0.2</f>
        <v>1.0328608819273422</v>
      </c>
      <c r="NP46" s="705">
        <f t="shared" si="278"/>
        <v>1.0587441326682507</v>
      </c>
      <c r="NQ46" s="705">
        <f t="shared" si="278"/>
        <v>1.0554117761615498</v>
      </c>
      <c r="NR46" s="705">
        <f t="shared" si="278"/>
        <v>1.1840030117950784</v>
      </c>
      <c r="NS46" s="705">
        <f t="shared" si="278"/>
        <v>1.4361891838484342</v>
      </c>
      <c r="NT46" s="705">
        <f t="shared" si="278"/>
        <v>1.431272579951725</v>
      </c>
      <c r="NU46" s="705">
        <f t="shared" si="278"/>
        <v>1.4701878517367672</v>
      </c>
      <c r="NV46" s="705">
        <f t="shared" si="278"/>
        <v>1.3333518500487402</v>
      </c>
      <c r="NW46" s="705">
        <f t="shared" si="278"/>
        <v>1.326254337183826</v>
      </c>
      <c r="NX46" s="705">
        <f t="shared" si="278"/>
        <v>1.4743407279408194</v>
      </c>
      <c r="NY46" s="705">
        <f t="shared" si="278"/>
        <v>1.4038231881979957</v>
      </c>
      <c r="NZ46" s="705">
        <f t="shared" si="278"/>
        <v>1.3782860861592188</v>
      </c>
      <c r="OA46" s="705">
        <f t="shared" si="278"/>
        <v>1.4300818538032165</v>
      </c>
      <c r="OB46" s="705">
        <f t="shared" si="278"/>
        <v>1.6330538995779535</v>
      </c>
      <c r="OC46" s="705"/>
      <c r="OD46" s="690"/>
      <c r="OE46" s="705">
        <f t="shared" si="273"/>
        <v>1.4804739465134629</v>
      </c>
      <c r="OF46" s="690"/>
      <c r="OG46" s="705">
        <f t="shared" si="274"/>
        <v>1.4613112569345961</v>
      </c>
      <c r="OH46" s="705">
        <f t="shared" si="252"/>
        <v>1.3550000368518134</v>
      </c>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705">
        <f>PX7-'Bloom Cleaner Data'!FO7</f>
        <v>3.7584587955625803E-2</v>
      </c>
      <c r="PY46" s="705">
        <f>PY7-'Bloom Cleaner Data'!FP7</f>
        <v>-0.15411916838690631</v>
      </c>
      <c r="PZ46" s="705">
        <f>PZ7-'Bloom Cleaner Data'!FQ7</f>
        <v>-0.17940503267973806</v>
      </c>
      <c r="QA46" s="705">
        <f>QA7-'Bloom Cleaner Data'!FR7</f>
        <v>-0.17754126109580692</v>
      </c>
      <c r="QB46" s="705">
        <f>QB7-'Bloom Cleaner Data'!FS7</f>
        <v>-0.14560849790544594</v>
      </c>
      <c r="QC46" s="705">
        <f>QC7-'Bloom Cleaner Data'!FT7</f>
        <v>-0.13943821368004494</v>
      </c>
      <c r="QD46" s="705">
        <f>QD7-'Bloom Cleaner Data'!FU7</f>
        <v>-0.1736789855072467</v>
      </c>
      <c r="QE46" s="705">
        <f>QE7-'Bloom Cleaner Data'!FV7</f>
        <v>-0.151506312292359</v>
      </c>
      <c r="QF46" s="705"/>
      <c r="QG46" s="705"/>
      <c r="QH46" s="705"/>
      <c r="QI46" s="705"/>
      <c r="QJ46" s="705">
        <f>QJ7-'Bloom Cleaner Data'!GA7</f>
        <v>-0.15402733188720186</v>
      </c>
      <c r="QK46" s="705"/>
      <c r="QL46" s="705"/>
      <c r="QM46" s="705"/>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X46" s="2563"/>
    </row>
    <row r="47" spans="1:518" s="2580" customFormat="1">
      <c r="A47" s="11"/>
      <c r="B47" s="11"/>
      <c r="C47" s="1370" t="s">
        <v>751</v>
      </c>
      <c r="D47" s="77"/>
      <c r="E47" s="11"/>
      <c r="F47" s="11"/>
      <c r="G47" s="11"/>
      <c r="H47" s="947"/>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947">
        <f t="shared" ref="BU47:CI48" si="279">BU8/SUM(BU$7:BU$9)</f>
        <v>0.19177462786348237</v>
      </c>
      <c r="BV47" s="947">
        <f t="shared" si="279"/>
        <v>0.17638123439855663</v>
      </c>
      <c r="BW47" s="947">
        <f t="shared" si="279"/>
        <v>0.17489054426150372</v>
      </c>
      <c r="BX47" s="947">
        <f t="shared" si="279"/>
        <v>0.17037585705042876</v>
      </c>
      <c r="BY47" s="947">
        <f t="shared" si="279"/>
        <v>0.18513277451013904</v>
      </c>
      <c r="BZ47" s="947">
        <f t="shared" si="279"/>
        <v>0.18294471403634302</v>
      </c>
      <c r="CA47" s="947">
        <f t="shared" si="279"/>
        <v>0.18940997317121075</v>
      </c>
      <c r="CB47" s="947">
        <f t="shared" si="279"/>
        <v>0.1827431662960429</v>
      </c>
      <c r="CC47" s="947">
        <f t="shared" si="279"/>
        <v>0.16344783470315735</v>
      </c>
      <c r="CD47" s="947">
        <f t="shared" si="279"/>
        <v>0.14435396574581333</v>
      </c>
      <c r="CE47" s="947">
        <f t="shared" si="279"/>
        <v>0.12545842741733579</v>
      </c>
      <c r="CF47" s="947">
        <f t="shared" si="279"/>
        <v>0.11066807556059816</v>
      </c>
      <c r="CG47" s="947">
        <f t="shared" si="279"/>
        <v>0.10420524359893271</v>
      </c>
      <c r="CH47" s="947">
        <f t="shared" si="279"/>
        <v>0.1025350674976952</v>
      </c>
      <c r="CI47" s="947">
        <f t="shared" si="279"/>
        <v>9.8261157982500735E-2</v>
      </c>
      <c r="CJ47" s="947"/>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2675">
        <f>'OPERATING LEASES'!BL8/'Bloom Cleaner Data'!GV8</f>
        <v>0.10595100928199047</v>
      </c>
      <c r="DL47" s="2675">
        <f>'OPERATING LEASES'!BM8/'Bloom Cleaner Data'!GW8</f>
        <v>0.10530352450346035</v>
      </c>
      <c r="DM47" s="2675">
        <f>'OPERATING LEASES'!BN8/'Bloom Cleaner Data'!GX8</f>
        <v>0.10463662444973887</v>
      </c>
      <c r="DN47" s="2675">
        <f>'OPERATING LEASES'!BO8/'Bloom Cleaner Data'!GY8</f>
        <v>0.10640682157258032</v>
      </c>
      <c r="DO47" s="2675">
        <f>'OPERATING LEASES'!BP8/'Bloom Cleaner Data'!GZ8</f>
        <v>0.10799152066980912</v>
      </c>
      <c r="DP47" s="2675">
        <f>'OPERATING LEASES'!BQ8/'Bloom Cleaner Data'!HA8</f>
        <v>0.10755415419023319</v>
      </c>
      <c r="DQ47" s="2675">
        <f>'OPERATING LEASES'!BR8/'Bloom Cleaner Data'!HB8</f>
        <v>0.10699882900960919</v>
      </c>
      <c r="DR47" s="2675">
        <f>'OPERATING LEASES'!BS8/'Bloom Cleaner Data'!HC8</f>
        <v>0.1060836382460176</v>
      </c>
      <c r="DS47" s="2675">
        <f>'OPERATING LEASES'!BT8/'Bloom Cleaner Data'!HD8</f>
        <v>0.1053260374459967</v>
      </c>
      <c r="DT47" s="2675">
        <f>'OPERATING LEASES'!BU8/'Bloom Cleaner Data'!HE8</f>
        <v>0.10683437110961498</v>
      </c>
      <c r="DU47" s="2675">
        <f>'OPERATING LEASES'!BV8/'Bloom Cleaner Data'!HF8</f>
        <v>0.1089646511741188</v>
      </c>
      <c r="DV47" s="2675">
        <f>'OPERATING LEASES'!BW8/'Bloom Cleaner Data'!HG8</f>
        <v>0.11006533885529771</v>
      </c>
      <c r="DW47" s="2675">
        <f>'OPERATING LEASES'!BX8/'Bloom Cleaner Data'!HH8</f>
        <v>0.11159504270393067</v>
      </c>
      <c r="DX47" s="2675">
        <f>'OPERATING LEASES'!BY8/'Bloom Cleaner Data'!HI8</f>
        <v>0.12026040839449523</v>
      </c>
      <c r="DY47" s="2675">
        <f>'OPERATING LEASES'!BZ8/'Bloom Cleaner Data'!HJ8</f>
        <v>0.1296799507945465</v>
      </c>
      <c r="DZ47" s="2675"/>
      <c r="EA47" s="2675">
        <f t="shared" si="253"/>
        <v>0.11018441450892222</v>
      </c>
      <c r="EB47" s="2675"/>
      <c r="EC47" s="2675"/>
      <c r="ED47" s="2675">
        <f t="shared" si="254"/>
        <v>0.11611307838447779</v>
      </c>
      <c r="EE47" s="11"/>
      <c r="EF47" s="21"/>
      <c r="EG47" s="21"/>
      <c r="EH47" s="21"/>
      <c r="EI47" s="21"/>
      <c r="EJ47" s="21"/>
      <c r="EK47" s="21"/>
      <c r="EL47" s="21"/>
      <c r="EM47" s="11"/>
      <c r="EN47" s="11"/>
      <c r="EO47" s="11"/>
      <c r="EP47" s="11"/>
      <c r="EQ47" s="11"/>
      <c r="ER47" s="11"/>
      <c r="ES47" s="11"/>
      <c r="ET47" s="11"/>
      <c r="EU47" s="11"/>
      <c r="EV47" s="11"/>
      <c r="EW47" s="11"/>
      <c r="EX47" s="11"/>
      <c r="EY47" s="11"/>
      <c r="EZ47" s="11"/>
      <c r="FA47" s="11"/>
      <c r="FB47" s="11"/>
      <c r="FC47" s="11"/>
      <c r="FD47" s="11"/>
      <c r="FE47" s="11"/>
      <c r="FF47" s="11"/>
      <c r="FG47" s="77"/>
      <c r="FH47" s="705">
        <f>FH8-EN8</f>
        <v>-2.0635425966268883E-3</v>
      </c>
      <c r="FI47" s="705">
        <f t="shared" si="276"/>
        <v>3.6583337661431514E-2</v>
      </c>
      <c r="FJ47" s="705">
        <f t="shared" si="276"/>
        <v>7.4915394117814671E-2</v>
      </c>
      <c r="FK47" s="705">
        <f t="shared" si="276"/>
        <v>6.2918297534406697E-2</v>
      </c>
      <c r="FL47" s="705">
        <f t="shared" si="276"/>
        <v>5.0579023112196531E-2</v>
      </c>
      <c r="FM47" s="705">
        <f t="shared" si="276"/>
        <v>2.0566852816201298E-2</v>
      </c>
      <c r="FN47" s="705">
        <f t="shared" si="276"/>
        <v>-9.2171727322325481E-3</v>
      </c>
      <c r="FO47" s="705">
        <f t="shared" si="276"/>
        <v>5.2533333683315142E-2</v>
      </c>
      <c r="FP47" s="705">
        <f t="shared" si="276"/>
        <v>0.1134746336887682</v>
      </c>
      <c r="FQ47" s="705">
        <f t="shared" si="276"/>
        <v>0.16383797773174003</v>
      </c>
      <c r="FR47" s="705">
        <f t="shared" si="276"/>
        <v>0.21651033520240404</v>
      </c>
      <c r="FS47" s="705">
        <f t="shared" si="276"/>
        <v>0.25223071215697468</v>
      </c>
      <c r="FT47" s="705">
        <f t="shared" si="276"/>
        <v>0.28950659439877091</v>
      </c>
      <c r="FU47" s="705">
        <f t="shared" si="276"/>
        <v>0.29789382482691584</v>
      </c>
      <c r="FV47" s="705">
        <f t="shared" si="276"/>
        <v>0.30605871844363941</v>
      </c>
      <c r="FW47" s="705"/>
      <c r="FX47" s="703">
        <f>AVERAGE(FJ47:FV47)</f>
        <v>0.1455237326908396</v>
      </c>
      <c r="FY47" s="709">
        <f>AVERAGE(FR47:FV47)</f>
        <v>0.27244003700574099</v>
      </c>
      <c r="FZ47" s="705"/>
      <c r="GA47" s="697">
        <f>AVERAGE(FM47:FV47)</f>
        <v>0.1703395810216497</v>
      </c>
      <c r="GB47" s="697"/>
      <c r="GC47" s="697"/>
      <c r="GD47" s="77"/>
      <c r="GE47" s="77"/>
      <c r="GF47" s="77"/>
      <c r="GG47" s="77"/>
      <c r="GH47" s="77"/>
      <c r="GI47" s="77"/>
      <c r="GJ47" s="77"/>
      <c r="GK47" s="77"/>
      <c r="GL47" s="77"/>
      <c r="GM47" s="77"/>
      <c r="GN47" s="77"/>
      <c r="GO47" s="77"/>
      <c r="GP47" s="77"/>
      <c r="GQ47" s="77"/>
      <c r="GR47" s="77"/>
      <c r="GS47" s="77"/>
      <c r="GT47" s="11"/>
      <c r="GU47" s="77"/>
      <c r="GV47" s="77"/>
      <c r="GW47" s="77"/>
      <c r="GX47" s="77"/>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220">
        <f t="shared" si="255"/>
        <v>0.17782338342712184</v>
      </c>
      <c r="IL47" s="1220">
        <f t="shared" si="256"/>
        <v>0.19133327286441576</v>
      </c>
      <c r="IM47" s="1220">
        <f t="shared" si="257"/>
        <v>0.20566035155923143</v>
      </c>
      <c r="IN47" s="1220">
        <f t="shared" si="258"/>
        <v>0.19529400485537676</v>
      </c>
      <c r="IO47" s="1220">
        <f t="shared" si="259"/>
        <v>0.1857357403879977</v>
      </c>
      <c r="IP47" s="1220">
        <f t="shared" si="260"/>
        <v>0.18251603426575017</v>
      </c>
      <c r="IQ47" s="1220">
        <f t="shared" si="261"/>
        <v>0.17951141684610042</v>
      </c>
      <c r="IR47" s="1220">
        <f t="shared" si="262"/>
        <v>0.19461391334390823</v>
      </c>
      <c r="IS47" s="1220">
        <f t="shared" si="263"/>
        <v>0.21334564271236822</v>
      </c>
      <c r="IT47" s="1220">
        <f t="shared" si="264"/>
        <v>0.25835323631844559</v>
      </c>
      <c r="IU47" s="1220">
        <f t="shared" si="265"/>
        <v>0.31687818834722925</v>
      </c>
      <c r="IV47" s="1220">
        <f t="shared" si="266"/>
        <v>0.3468208820258078</v>
      </c>
      <c r="IW47" s="1220">
        <f t="shared" si="267"/>
        <v>0.38444680732634928</v>
      </c>
      <c r="IX47" s="1220">
        <f t="shared" si="268"/>
        <v>0.41909511400886007</v>
      </c>
      <c r="IY47" s="1220">
        <f t="shared" si="269"/>
        <v>0.4561905930983241</v>
      </c>
      <c r="IZ47" s="690"/>
      <c r="JA47" s="1220">
        <f t="shared" si="270"/>
        <v>0.27218937885351913</v>
      </c>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77"/>
      <c r="KW47" s="705">
        <f>KW8-KA8</f>
        <v>0.48359777132413684</v>
      </c>
      <c r="KX47" s="705">
        <f t="shared" ref="KX47:LK48" si="280">KX8-KB8</f>
        <v>0.49682587237753262</v>
      </c>
      <c r="KY47" s="705">
        <f t="shared" si="280"/>
        <v>0.50994284188441596</v>
      </c>
      <c r="KZ47" s="705">
        <f t="shared" si="280"/>
        <v>0.53880035497104894</v>
      </c>
      <c r="LA47" s="705">
        <f t="shared" si="280"/>
        <v>0.56772368299812248</v>
      </c>
      <c r="LB47" s="705">
        <f t="shared" si="280"/>
        <v>0.56202065817761504</v>
      </c>
      <c r="LC47" s="705">
        <f t="shared" si="280"/>
        <v>0.55577112328261991</v>
      </c>
      <c r="LD47" s="705">
        <f t="shared" si="280"/>
        <v>0.55270899710983001</v>
      </c>
      <c r="LE47" s="705">
        <f t="shared" si="280"/>
        <v>0.55029335961224635</v>
      </c>
      <c r="LF47" s="705">
        <f t="shared" si="280"/>
        <v>0.53927640464734727</v>
      </c>
      <c r="LG47" s="705">
        <f t="shared" si="280"/>
        <v>0.52966390307222611</v>
      </c>
      <c r="LH47" s="705">
        <f t="shared" si="280"/>
        <v>0.52713860103432308</v>
      </c>
      <c r="LI47" s="705">
        <f t="shared" si="280"/>
        <v>0.52596787635179154</v>
      </c>
      <c r="LJ47" s="705">
        <f t="shared" si="280"/>
        <v>0.54655956092722424</v>
      </c>
      <c r="LK47" s="705">
        <f t="shared" si="280"/>
        <v>0.56532691493306619</v>
      </c>
      <c r="LL47" s="690"/>
      <c r="LM47" s="705">
        <f>AVERAGE(LI47:LK47)</f>
        <v>0.54595145073736062</v>
      </c>
      <c r="LN47" s="705">
        <f>AVERAGE(LH47:LK47)</f>
        <v>0.54124823831160129</v>
      </c>
      <c r="LO47" s="705"/>
      <c r="LP47" s="705">
        <f>AVERAGE(KY47:LK47)</f>
        <v>0.5439380214616828</v>
      </c>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2826">
        <f t="shared" si="250"/>
        <v>0.2</v>
      </c>
      <c r="NM47" s="691" t="s">
        <v>36</v>
      </c>
      <c r="NN47" s="705">
        <f t="shared" si="271"/>
        <v>1.2073688972374654</v>
      </c>
      <c r="NO47" s="705">
        <f t="shared" ref="NO47:OB47" si="281">NO8+0.2</f>
        <v>1.2465248276448195</v>
      </c>
      <c r="NP47" s="705">
        <f t="shared" si="281"/>
        <v>1.2852996616201011</v>
      </c>
      <c r="NQ47" s="705">
        <f t="shared" si="281"/>
        <v>1.3003886396800928</v>
      </c>
      <c r="NR47" s="705">
        <f t="shared" si="281"/>
        <v>1.3136426316730332</v>
      </c>
      <c r="NS47" s="705">
        <f t="shared" si="281"/>
        <v>1.3414825976373252</v>
      </c>
      <c r="NT47" s="705">
        <f t="shared" si="281"/>
        <v>1.3688664009344598</v>
      </c>
      <c r="NU47" s="705">
        <f t="shared" si="281"/>
        <v>1.3521897255895834</v>
      </c>
      <c r="NV47" s="705">
        <f t="shared" si="281"/>
        <v>1.3369242875294411</v>
      </c>
      <c r="NW47" s="705">
        <f t="shared" si="281"/>
        <v>1.4361604953687481</v>
      </c>
      <c r="NX47" s="705">
        <f t="shared" si="281"/>
        <v>1.544975264772025</v>
      </c>
      <c r="NY47" s="705">
        <f t="shared" si="281"/>
        <v>1.543202041089526</v>
      </c>
      <c r="NZ47" s="705">
        <f t="shared" si="281"/>
        <v>1.545718716126997</v>
      </c>
      <c r="OA47" s="705">
        <f t="shared" si="281"/>
        <v>1.715098509561406</v>
      </c>
      <c r="OB47" s="705">
        <f t="shared" si="281"/>
        <v>1.9015264130947394</v>
      </c>
      <c r="OC47" s="705"/>
      <c r="OD47" s="690"/>
      <c r="OE47" s="705">
        <f t="shared" si="273"/>
        <v>1.720781212927714</v>
      </c>
      <c r="OF47" s="690"/>
      <c r="OG47" s="705">
        <f t="shared" si="274"/>
        <v>1.6763864199681668</v>
      </c>
      <c r="OH47" s="705">
        <f t="shared" si="252"/>
        <v>1.4604211834367289</v>
      </c>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709">
        <f>PX8-'Bloom Cleaner Data'!FO8</f>
        <v>0.61584997243816719</v>
      </c>
      <c r="PY47" s="709">
        <f>PY8-'Bloom Cleaner Data'!FP8</f>
        <v>1.7974701150201069</v>
      </c>
      <c r="PZ47" s="709">
        <f>PZ8-'Bloom Cleaner Data'!FQ8</f>
        <v>0.82450499999999938</v>
      </c>
      <c r="QA47" s="709">
        <f>QA8-'Bloom Cleaner Data'!FR8</f>
        <v>-0.88701948110562689</v>
      </c>
      <c r="QB47" s="709">
        <f>QB8-'Bloom Cleaner Data'!FS8</f>
        <v>0.4025912864995238</v>
      </c>
      <c r="QC47" s="709">
        <f>QC8-'Bloom Cleaner Data'!FT8</f>
        <v>2.0020003831364441</v>
      </c>
      <c r="QD47" s="709">
        <f>QD8-'Bloom Cleaner Data'!FU8</f>
        <v>0.64813056708160488</v>
      </c>
      <c r="QE47" s="709">
        <f>QE8-'Bloom Cleaner Data'!FV8</f>
        <v>-0.4786758883560811</v>
      </c>
      <c r="QF47" s="709"/>
      <c r="QG47" s="709"/>
      <c r="QH47" s="709"/>
      <c r="QI47" s="709"/>
      <c r="QJ47" s="709">
        <f>QJ8-'Bloom Cleaner Data'!GA8</f>
        <v>2.7424056523450702E-5</v>
      </c>
      <c r="QK47" s="709"/>
      <c r="QL47" s="709"/>
      <c r="QM47" s="709"/>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X47" s="2563"/>
    </row>
    <row r="48" spans="1:518" s="2580" customFormat="1">
      <c r="A48" s="11"/>
      <c r="B48" s="11"/>
      <c r="C48" s="1370" t="s">
        <v>752</v>
      </c>
      <c r="D48" s="77"/>
      <c r="E48" s="11"/>
      <c r="F48" s="11"/>
      <c r="G48" s="11"/>
      <c r="H48" s="947"/>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947">
        <f t="shared" si="279"/>
        <v>0.24565127360548994</v>
      </c>
      <c r="BV48" s="947">
        <f t="shared" si="279"/>
        <v>0.24154251612179281</v>
      </c>
      <c r="BW48" s="947">
        <f t="shared" si="279"/>
        <v>0.23953117543728758</v>
      </c>
      <c r="BX48" s="947">
        <f t="shared" si="279"/>
        <v>0.24947165865421245</v>
      </c>
      <c r="BY48" s="947">
        <f t="shared" si="279"/>
        <v>0.28930110364016165</v>
      </c>
      <c r="BZ48" s="947">
        <f t="shared" si="279"/>
        <v>0.29401739590562798</v>
      </c>
      <c r="CA48" s="947">
        <f t="shared" si="279"/>
        <v>0.28928011909057461</v>
      </c>
      <c r="CB48" s="947">
        <f t="shared" si="279"/>
        <v>0.30855741299396117</v>
      </c>
      <c r="CC48" s="947">
        <f t="shared" si="279"/>
        <v>0.3170881498049935</v>
      </c>
      <c r="CD48" s="947">
        <f t="shared" si="279"/>
        <v>0.32480598067684968</v>
      </c>
      <c r="CE48" s="947">
        <f t="shared" si="279"/>
        <v>0.34953898900307973</v>
      </c>
      <c r="CF48" s="947">
        <f t="shared" si="279"/>
        <v>0.36356748546431006</v>
      </c>
      <c r="CG48" s="947">
        <f t="shared" si="279"/>
        <v>0.38658973490223808</v>
      </c>
      <c r="CH48" s="947">
        <f t="shared" si="279"/>
        <v>0.41370288535608613</v>
      </c>
      <c r="CI48" s="947">
        <f t="shared" si="279"/>
        <v>0.43638535216763424</v>
      </c>
      <c r="CJ48" s="947"/>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2675">
        <f>'OPERATING LEASES'!BL9/'Bloom Cleaner Data'!GV9</f>
        <v>9.372171523889224E-3</v>
      </c>
      <c r="DL48" s="2675">
        <f>'OPERATING LEASES'!BM9/'Bloom Cleaner Data'!GW9</f>
        <v>9.4577344673005149E-3</v>
      </c>
      <c r="DM48" s="2675">
        <f>'OPERATING LEASES'!BN9/'Bloom Cleaner Data'!GX9</f>
        <v>9.5798160886623549E-3</v>
      </c>
      <c r="DN48" s="2675">
        <f>'OPERATING LEASES'!BO9/'Bloom Cleaner Data'!GY9</f>
        <v>9.5057329911953335E-3</v>
      </c>
      <c r="DO48" s="2675">
        <f>'OPERATING LEASES'!BP9/'Bloom Cleaner Data'!GZ9</f>
        <v>9.6025431888836412E-3</v>
      </c>
      <c r="DP48" s="2675">
        <f>'OPERATING LEASES'!BQ9/'Bloom Cleaner Data'!HA9</f>
        <v>9.3427914031575486E-3</v>
      </c>
      <c r="DQ48" s="2675">
        <f>'OPERATING LEASES'!BR9/'Bloom Cleaner Data'!HB9</f>
        <v>9.0099791813120795E-3</v>
      </c>
      <c r="DR48" s="2675">
        <f>'OPERATING LEASES'!BS9/'Bloom Cleaner Data'!HC9</f>
        <v>9.1275757045332726E-3</v>
      </c>
      <c r="DS48" s="2675">
        <f>'OPERATING LEASES'!BT9/'Bloom Cleaner Data'!HD9</f>
        <v>8.6334720709243754E-3</v>
      </c>
      <c r="DT48" s="2675">
        <f>'OPERATING LEASES'!BU9/'Bloom Cleaner Data'!HE9</f>
        <v>8.1584896048193835E-3</v>
      </c>
      <c r="DU48" s="2675">
        <f>'OPERATING LEASES'!BV9/'Bloom Cleaner Data'!HF9</f>
        <v>7.7742779530828058E-3</v>
      </c>
      <c r="DV48" s="2675">
        <f>'OPERATING LEASES'!BW9/'Bloom Cleaner Data'!HG9</f>
        <v>7.1011813568873337E-3</v>
      </c>
      <c r="DW48" s="2675">
        <f>'OPERATING LEASES'!BX9/'Bloom Cleaner Data'!HH9</f>
        <v>6.8425508988282039E-3</v>
      </c>
      <c r="DX48" s="2675">
        <f>'OPERATING LEASES'!BY9/'Bloom Cleaner Data'!HI9</f>
        <v>6.7755374789190267E-3</v>
      </c>
      <c r="DY48" s="2675">
        <f>'OPERATING LEASES'!BZ9/'Bloom Cleaner Data'!HJ9</f>
        <v>6.1045674593181781E-3</v>
      </c>
      <c r="DZ48" s="2675"/>
      <c r="EA48" s="2675">
        <f t="shared" si="253"/>
        <v>8.2737319523479638E-3</v>
      </c>
      <c r="EB48" s="2675"/>
      <c r="EC48" s="2675"/>
      <c r="ED48" s="2675">
        <f t="shared" si="254"/>
        <v>6.9196230294071102E-3</v>
      </c>
      <c r="EE48" s="11"/>
      <c r="EF48" s="21"/>
      <c r="EG48" s="21"/>
      <c r="EH48" s="21"/>
      <c r="EI48" s="21"/>
      <c r="EJ48" s="21"/>
      <c r="EK48" s="21"/>
      <c r="EL48" s="21"/>
      <c r="EM48" s="11"/>
      <c r="EN48" s="11"/>
      <c r="EO48" s="11"/>
      <c r="EP48" s="11"/>
      <c r="EQ48" s="11"/>
      <c r="ER48" s="11"/>
      <c r="ES48" s="11"/>
      <c r="ET48" s="11"/>
      <c r="EU48" s="11"/>
      <c r="EV48" s="11"/>
      <c r="EW48" s="11"/>
      <c r="EX48" s="11"/>
      <c r="EY48" s="11"/>
      <c r="EZ48" s="11"/>
      <c r="FA48" s="11"/>
      <c r="FB48" s="11"/>
      <c r="FC48" s="11"/>
      <c r="FD48" s="11"/>
      <c r="FE48" s="11"/>
      <c r="FF48" s="11"/>
      <c r="FG48" s="77"/>
      <c r="FH48" s="705">
        <f>FH9-EN9</f>
        <v>-2.4320497336773883E-2</v>
      </c>
      <c r="FI48" s="705">
        <f t="shared" si="276"/>
        <v>-2.3943283527247061E-2</v>
      </c>
      <c r="FJ48" s="705">
        <f t="shared" si="276"/>
        <v>-1.9305577073880364E-2</v>
      </c>
      <c r="FK48" s="705">
        <f t="shared" si="276"/>
        <v>-2.2663331370710971E-2</v>
      </c>
      <c r="FL48" s="705">
        <f t="shared" si="276"/>
        <v>-2.8118290847910288E-2</v>
      </c>
      <c r="FM48" s="705">
        <f t="shared" si="276"/>
        <v>-3.1749437559291493E-2</v>
      </c>
      <c r="FN48" s="705">
        <f t="shared" si="276"/>
        <v>-2.7925580036685105E-2</v>
      </c>
      <c r="FO48" s="705">
        <f t="shared" si="276"/>
        <v>-3.0702686581140171E-2</v>
      </c>
      <c r="FP48" s="705">
        <f t="shared" si="276"/>
        <v>-2.8254562278386075E-2</v>
      </c>
      <c r="FQ48" s="705">
        <f t="shared" si="276"/>
        <v>-2.6853084767516577E-2</v>
      </c>
      <c r="FR48" s="705">
        <f t="shared" si="276"/>
        <v>-2.9727504945467942E-2</v>
      </c>
      <c r="FS48" s="705">
        <f t="shared" si="276"/>
        <v>-2.7267462979130741E-2</v>
      </c>
      <c r="FT48" s="705">
        <f t="shared" si="276"/>
        <v>-2.6261662987320022E-2</v>
      </c>
      <c r="FU48" s="705">
        <f t="shared" si="276"/>
        <v>-2.8551459617201402E-2</v>
      </c>
      <c r="FV48" s="705">
        <f t="shared" si="276"/>
        <v>-2.333301040040503E-2</v>
      </c>
      <c r="FW48" s="705"/>
      <c r="FX48" s="703">
        <f>AVERAGE(FJ48:FV48)</f>
        <v>-2.6977973188080477E-2</v>
      </c>
      <c r="FY48" s="709">
        <f>AVERAGE(FR48:FV48)</f>
        <v>-2.7028220185905026E-2</v>
      </c>
      <c r="FZ48" s="705"/>
      <c r="GA48" s="697">
        <f>AVERAGE(FM48:FV48)</f>
        <v>-2.8062645215254457E-2</v>
      </c>
      <c r="GB48" s="697"/>
      <c r="GC48" s="697"/>
      <c r="GD48" s="77"/>
      <c r="GE48" s="77"/>
      <c r="GF48" s="77"/>
      <c r="GG48" s="77"/>
      <c r="GH48" s="77"/>
      <c r="GI48" s="77"/>
      <c r="GJ48" s="77"/>
      <c r="GK48" s="77"/>
      <c r="GL48" s="77"/>
      <c r="GM48" s="77"/>
      <c r="GN48" s="77"/>
      <c r="GO48" s="77"/>
      <c r="GP48" s="77"/>
      <c r="GQ48" s="77"/>
      <c r="GR48" s="77"/>
      <c r="GS48" s="77"/>
      <c r="GT48" s="11"/>
      <c r="GU48" s="77"/>
      <c r="GV48" s="77"/>
      <c r="GW48" s="77"/>
      <c r="GX48" s="77"/>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220">
        <f t="shared" si="255"/>
        <v>0.50261617157260619</v>
      </c>
      <c r="IL48" s="1220">
        <f t="shared" si="256"/>
        <v>0.46283410666608638</v>
      </c>
      <c r="IM48" s="1220">
        <f t="shared" si="257"/>
        <v>0.4640683722500239</v>
      </c>
      <c r="IN48" s="1220">
        <f t="shared" si="258"/>
        <v>0.45222436615696288</v>
      </c>
      <c r="IO48" s="1220">
        <f t="shared" si="259"/>
        <v>0.40678261884422395</v>
      </c>
      <c r="IP48" s="1220">
        <f t="shared" si="260"/>
        <v>0.37178729606389038</v>
      </c>
      <c r="IQ48" s="1220">
        <f t="shared" si="261"/>
        <v>0.36792052162676608</v>
      </c>
      <c r="IR48" s="1220">
        <f t="shared" si="262"/>
        <v>0.46544877279506219</v>
      </c>
      <c r="IS48" s="1220">
        <f t="shared" si="263"/>
        <v>0.44138119570523726</v>
      </c>
      <c r="IT48" s="1220">
        <f t="shared" si="264"/>
        <v>0.42583131816712549</v>
      </c>
      <c r="IU48" s="1220">
        <f t="shared" si="265"/>
        <v>0.40754165826630995</v>
      </c>
      <c r="IV48" s="1220">
        <f t="shared" si="266"/>
        <v>0.4363634349502537</v>
      </c>
      <c r="IW48" s="1220">
        <f t="shared" si="267"/>
        <v>0.42302270192736452</v>
      </c>
      <c r="IX48" s="1220">
        <f t="shared" si="268"/>
        <v>0.40471537584686967</v>
      </c>
      <c r="IY48" s="1220">
        <f t="shared" si="269"/>
        <v>0.4832654138496531</v>
      </c>
      <c r="IZ48" s="690"/>
      <c r="JA48" s="1220">
        <f t="shared" si="270"/>
        <v>0.42695023434228802</v>
      </c>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77"/>
      <c r="KW48" s="705">
        <f>KW9-KA9</f>
        <v>1.0120459278758265E-2</v>
      </c>
      <c r="KX48" s="705">
        <f t="shared" si="280"/>
        <v>1.4217713739051341E-2</v>
      </c>
      <c r="KY48" s="705">
        <f t="shared" si="280"/>
        <v>1.7510188096546919E-2</v>
      </c>
      <c r="KZ48" s="705">
        <f t="shared" si="280"/>
        <v>1.7459467411411911E-2</v>
      </c>
      <c r="LA48" s="705">
        <f t="shared" si="280"/>
        <v>1.9767214644716091E-2</v>
      </c>
      <c r="LB48" s="705">
        <f t="shared" si="280"/>
        <v>2.0348173959142901E-2</v>
      </c>
      <c r="LC48" s="705">
        <f t="shared" si="280"/>
        <v>2.0923333561511992E-2</v>
      </c>
      <c r="LD48" s="705">
        <f t="shared" si="280"/>
        <v>1.2437828854135802E-2</v>
      </c>
      <c r="LE48" s="705">
        <f t="shared" si="280"/>
        <v>1.3948756558974207E-2</v>
      </c>
      <c r="LF48" s="705">
        <f t="shared" si="280"/>
        <v>1.3975401245189811E-2</v>
      </c>
      <c r="LG48" s="705">
        <f t="shared" si="280"/>
        <v>1.2589194609274212E-2</v>
      </c>
      <c r="LH48" s="705">
        <f t="shared" si="280"/>
        <v>9.3139220911897525E-3</v>
      </c>
      <c r="LI48" s="705">
        <f t="shared" si="280"/>
        <v>9.5556765359487983E-3</v>
      </c>
      <c r="LJ48" s="705">
        <f t="shared" si="280"/>
        <v>9.5544701233443163E-3</v>
      </c>
      <c r="LK48" s="705">
        <f t="shared" si="280"/>
        <v>5.237555770270852E-3</v>
      </c>
      <c r="LL48" s="690"/>
      <c r="LM48" s="705">
        <f>AVERAGE(LI48:LK48)</f>
        <v>8.1159008098546561E-3</v>
      </c>
      <c r="LN48" s="705">
        <f>AVERAGE(LH48:LK48)</f>
        <v>8.4154061301884298E-3</v>
      </c>
      <c r="LO48" s="705"/>
      <c r="LP48" s="705">
        <f>AVERAGE(KY48:LK48)</f>
        <v>1.4047783343204428E-2</v>
      </c>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2826">
        <f t="shared" si="250"/>
        <v>0.2</v>
      </c>
      <c r="NM48" s="691" t="s">
        <v>38</v>
      </c>
      <c r="NN48" s="705">
        <f t="shared" si="271"/>
        <v>3.9797962040773882</v>
      </c>
      <c r="NO48" s="705">
        <f t="shared" ref="NO48:OB48" si="282">NO9+0.2</f>
        <v>3.9993935221895835</v>
      </c>
      <c r="NP48" s="705">
        <f t="shared" si="282"/>
        <v>3.6460352679844825</v>
      </c>
      <c r="NQ48" s="705">
        <f t="shared" si="282"/>
        <v>4.0172862885814373</v>
      </c>
      <c r="NR48" s="705">
        <f t="shared" si="282"/>
        <v>3.7664381216534801</v>
      </c>
      <c r="NS48" s="705">
        <f t="shared" si="282"/>
        <v>4.5821068746211262</v>
      </c>
      <c r="NT48" s="705">
        <f t="shared" si="282"/>
        <v>3.5404184188425245</v>
      </c>
      <c r="NU48" s="705">
        <f t="shared" si="282"/>
        <v>4.7438424063714857</v>
      </c>
      <c r="NV48" s="705">
        <f t="shared" si="282"/>
        <v>4.1578427963681364</v>
      </c>
      <c r="NW48" s="705">
        <f t="shared" si="282"/>
        <v>4.5200991539620503</v>
      </c>
      <c r="NX48" s="705">
        <f t="shared" si="282"/>
        <v>4.2247766176283585</v>
      </c>
      <c r="NY48" s="705">
        <f t="shared" si="282"/>
        <v>5.2447009644855731</v>
      </c>
      <c r="NZ48" s="705">
        <f t="shared" si="282"/>
        <v>5.2035394649622857</v>
      </c>
      <c r="OA48" s="705">
        <f t="shared" si="282"/>
        <v>5.1689071784647069</v>
      </c>
      <c r="OB48" s="705">
        <f t="shared" si="282"/>
        <v>4.702105462841617</v>
      </c>
      <c r="OC48" s="705"/>
      <c r="OD48" s="690"/>
      <c r="OE48" s="705">
        <f t="shared" si="273"/>
        <v>5.0248507020895357</v>
      </c>
      <c r="OF48" s="690"/>
      <c r="OG48" s="705">
        <f t="shared" si="274"/>
        <v>5.0798132676885457</v>
      </c>
      <c r="OH48" s="705">
        <f t="shared" si="252"/>
        <v>4.4244691551359434</v>
      </c>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705">
        <f>PX9-'Bloom Cleaner Data'!FO9</f>
        <v>2.6334876885817757</v>
      </c>
      <c r="PY48" s="705">
        <f>PY9-'Bloom Cleaner Data'!FP9</f>
        <v>2.8256591392136032</v>
      </c>
      <c r="PZ48" s="705">
        <f>PZ9-'Bloom Cleaner Data'!FQ9</f>
        <v>7.4483893484406956</v>
      </c>
      <c r="QA48" s="705">
        <f>QA9-'Bloom Cleaner Data'!FR9</f>
        <v>6.1433219927096001</v>
      </c>
      <c r="QB48" s="705">
        <f>QB9-'Bloom Cleaner Data'!FS9</f>
        <v>5.5918842922307235</v>
      </c>
      <c r="QC48" s="705">
        <f>QC9-'Bloom Cleaner Data'!FT9</f>
        <v>4.972376078289237</v>
      </c>
      <c r="QD48" s="705"/>
      <c r="QE48" s="705"/>
      <c r="QF48" s="705"/>
      <c r="QG48" s="705"/>
      <c r="QH48" s="705"/>
      <c r="QI48" s="705"/>
      <c r="QJ48" s="705"/>
      <c r="QK48" s="705"/>
      <c r="QL48" s="705"/>
      <c r="QM48" s="705"/>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X48" s="2563"/>
    </row>
    <row r="49" spans="1:516">
      <c r="A49" s="7"/>
      <c r="B49" s="11"/>
      <c r="C49" s="2214" t="s">
        <v>39</v>
      </c>
      <c r="D49" s="1112"/>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224"/>
      <c r="CO49" s="224"/>
      <c r="CP49" s="224"/>
      <c r="CQ49" s="224"/>
      <c r="CR49" s="224"/>
      <c r="CS49" s="224"/>
      <c r="CT49" s="224"/>
      <c r="CU49" s="224"/>
      <c r="CV49" s="224"/>
      <c r="CW49" s="224"/>
      <c r="CX49" s="224"/>
      <c r="CY49" s="224"/>
      <c r="CZ49" s="224"/>
      <c r="DA49" s="224"/>
      <c r="DB49" s="224"/>
      <c r="DC49" s="224"/>
      <c r="DD49" s="224"/>
      <c r="DE49" s="224"/>
      <c r="DF49" s="224"/>
      <c r="DG49" s="224"/>
      <c r="DH49" s="224"/>
      <c r="DI49" s="224"/>
      <c r="DJ49" s="224"/>
      <c r="DK49" s="2668">
        <f>'OPERATING LEASES'!BL10/'Bloom Cleaner Data'!GV10</f>
        <v>0.11940156533887028</v>
      </c>
      <c r="DL49" s="2668">
        <f>'OPERATING LEASES'!BM10/'Bloom Cleaner Data'!GW10</f>
        <v>0.11977836530865217</v>
      </c>
      <c r="DM49" s="2668">
        <f>'OPERATING LEASES'!BN10/'Bloom Cleaner Data'!GX10</f>
        <v>0.11357335016758703</v>
      </c>
      <c r="DN49" s="2668">
        <f>'OPERATING LEASES'!BO10/'Bloom Cleaner Data'!GY10</f>
        <v>0.10880878580525954</v>
      </c>
      <c r="DO49" s="2668">
        <f>'OPERATING LEASES'!BP10/'Bloom Cleaner Data'!GZ10</f>
        <v>9.99086824522845E-2</v>
      </c>
      <c r="DP49" s="2668">
        <f>'OPERATING LEASES'!BQ10/'Bloom Cleaner Data'!HA10</f>
        <v>9.9098008104300347E-2</v>
      </c>
      <c r="DQ49" s="2668">
        <f>'OPERATING LEASES'!BR10/'Bloom Cleaner Data'!HB10</f>
        <v>0.10559677184587321</v>
      </c>
      <c r="DR49" s="2668">
        <f>'OPERATING LEASES'!BS10/'Bloom Cleaner Data'!HC10</f>
        <v>0.10467210031480069</v>
      </c>
      <c r="DS49" s="2668">
        <f>'OPERATING LEASES'!BT10/'Bloom Cleaner Data'!HD10</f>
        <v>9.6412270723486598E-2</v>
      </c>
      <c r="DT49" s="2668">
        <f>'OPERATING LEASES'!BU10/'Bloom Cleaner Data'!HE10</f>
        <v>9.5588276906739961E-2</v>
      </c>
      <c r="DU49" s="2668">
        <f>'OPERATING LEASES'!BV10/'Bloom Cleaner Data'!HF10</f>
        <v>9.4554218014491986E-2</v>
      </c>
      <c r="DV49" s="2668">
        <f>'OPERATING LEASES'!BW10/'Bloom Cleaner Data'!HG10</f>
        <v>9.439429159879581E-2</v>
      </c>
      <c r="DW49" s="2668">
        <f>'OPERATING LEASES'!BX10/'Bloom Cleaner Data'!HH10</f>
        <v>9.4634046228840793E-2</v>
      </c>
      <c r="DX49" s="2668">
        <f>'OPERATING LEASES'!BY10/'Bloom Cleaner Data'!HI10</f>
        <v>9.5494457232831759E-2</v>
      </c>
      <c r="DY49" s="2668">
        <f>'OPERATING LEASES'!BZ10/'Bloom Cleaner Data'!HJ10</f>
        <v>9.5991044851768903E-2</v>
      </c>
      <c r="DZ49" s="2668"/>
      <c r="EA49" s="2668">
        <f t="shared" si="253"/>
        <v>9.9902023403620102E-2</v>
      </c>
      <c r="EB49" s="2668"/>
      <c r="EC49" s="2668"/>
      <c r="ED49" s="2668">
        <f t="shared" si="254"/>
        <v>9.5013611585345853E-2</v>
      </c>
      <c r="EE49" s="224"/>
      <c r="EF49" s="21"/>
      <c r="EG49" s="21"/>
      <c r="EH49" s="21"/>
      <c r="EI49" s="21"/>
      <c r="EJ49" s="21"/>
      <c r="EK49" s="21"/>
      <c r="EL49" s="21"/>
      <c r="EM49" s="224"/>
      <c r="EN49" s="224"/>
      <c r="EO49" s="224"/>
      <c r="EP49" s="224"/>
      <c r="EQ49" s="224"/>
      <c r="ER49" s="224"/>
      <c r="ES49" s="224"/>
      <c r="ET49" s="224"/>
      <c r="EU49" s="224"/>
      <c r="EV49" s="224"/>
      <c r="EW49" s="224"/>
      <c r="EX49" s="224"/>
      <c r="EY49" s="224"/>
      <c r="EZ49" s="224"/>
      <c r="FA49" s="224"/>
      <c r="FB49" s="224"/>
      <c r="FC49" s="224"/>
      <c r="FD49" s="224"/>
      <c r="FE49" s="224"/>
      <c r="FF49" s="224"/>
      <c r="FG49" s="77"/>
      <c r="FH49" s="216"/>
      <c r="FI49" s="216"/>
      <c r="FJ49" s="216"/>
      <c r="FK49" s="216"/>
      <c r="FL49" s="216"/>
      <c r="FM49" s="216"/>
      <c r="FN49" s="216"/>
      <c r="FO49" s="216"/>
      <c r="FP49" s="216"/>
      <c r="FQ49" s="216"/>
      <c r="FR49" s="216"/>
      <c r="FS49" s="216"/>
      <c r="FT49" s="216"/>
      <c r="FU49" s="216"/>
      <c r="FV49" s="216"/>
      <c r="FW49" s="216"/>
      <c r="FX49" s="216"/>
      <c r="FY49" s="216"/>
      <c r="FZ49" s="216"/>
      <c r="GA49" s="216"/>
      <c r="GB49" s="216"/>
      <c r="GC49" s="216"/>
      <c r="GD49" s="1026"/>
      <c r="GE49" s="1026"/>
      <c r="GF49" s="1026"/>
      <c r="GG49" s="1026"/>
      <c r="GH49" s="1026"/>
      <c r="GI49" s="1026"/>
      <c r="GJ49" s="1026"/>
      <c r="GK49" s="1026"/>
      <c r="GL49" s="1026"/>
      <c r="GM49" s="1026"/>
      <c r="GN49" s="1026"/>
      <c r="GO49" s="1026"/>
      <c r="GP49" s="1026"/>
      <c r="GQ49" s="1026"/>
      <c r="GR49" s="1026"/>
      <c r="GS49" s="1026"/>
      <c r="GT49" s="224"/>
      <c r="GU49" s="1026"/>
      <c r="GV49" s="1026"/>
      <c r="GW49" s="1026"/>
      <c r="GX49" s="1026"/>
      <c r="GY49" s="224"/>
      <c r="GZ49" s="224"/>
      <c r="HA49" s="224"/>
      <c r="HB49" s="224"/>
      <c r="HC49" s="224"/>
      <c r="HD49" s="224"/>
      <c r="HE49" s="224"/>
      <c r="HF49" s="224"/>
      <c r="HG49" s="224"/>
      <c r="HH49" s="224"/>
      <c r="HI49" s="224"/>
      <c r="HJ49" s="224"/>
      <c r="HK49" s="224"/>
      <c r="HL49" s="224"/>
      <c r="HM49" s="224"/>
      <c r="HN49" s="224"/>
      <c r="HO49" s="224"/>
      <c r="HP49" s="224"/>
      <c r="HQ49" s="224"/>
      <c r="HR49" s="224"/>
      <c r="HS49" s="224"/>
      <c r="HT49" s="224"/>
      <c r="HU49" s="224"/>
      <c r="HV49" s="224"/>
      <c r="HW49" s="224"/>
      <c r="HX49" s="224"/>
      <c r="HY49" s="224"/>
      <c r="HZ49" s="224"/>
      <c r="IA49" s="224"/>
      <c r="IB49" s="224"/>
      <c r="IC49" s="224"/>
      <c r="ID49" s="224"/>
      <c r="IE49" s="224"/>
      <c r="IF49" s="224"/>
      <c r="IG49" s="224"/>
      <c r="IH49" s="224"/>
      <c r="II49" s="224"/>
      <c r="IJ49" s="224"/>
      <c r="IK49" s="2124">
        <f t="shared" si="255"/>
        <v>0.45714618790245432</v>
      </c>
      <c r="IL49" s="2124">
        <f t="shared" si="256"/>
        <v>0.45759858135370385</v>
      </c>
      <c r="IM49" s="2124">
        <f t="shared" si="257"/>
        <v>0.47921904004458188</v>
      </c>
      <c r="IN49" s="2124">
        <f t="shared" si="258"/>
        <v>0.45748300479233606</v>
      </c>
      <c r="IO49" s="2124">
        <f t="shared" si="259"/>
        <v>0.42956066338194404</v>
      </c>
      <c r="IP49" s="2124">
        <f t="shared" si="260"/>
        <v>0.44932069694465154</v>
      </c>
      <c r="IQ49" s="2124">
        <f t="shared" si="261"/>
        <v>0.42152031213288332</v>
      </c>
      <c r="IR49" s="2124">
        <f t="shared" si="262"/>
        <v>0.43261876851622022</v>
      </c>
      <c r="IS49" s="2124">
        <f t="shared" si="263"/>
        <v>0.4317184522649169</v>
      </c>
      <c r="IT49" s="2124">
        <f t="shared" si="264"/>
        <v>0.46675281832417964</v>
      </c>
      <c r="IU49" s="2124">
        <f t="shared" si="265"/>
        <v>0.46890550523374647</v>
      </c>
      <c r="IV49" s="2124">
        <f t="shared" si="266"/>
        <v>0.46520914151348258</v>
      </c>
      <c r="IW49" s="2124">
        <f t="shared" si="267"/>
        <v>0.47126048466553006</v>
      </c>
      <c r="IX49" s="2124">
        <f t="shared" si="268"/>
        <v>0.44941888737738012</v>
      </c>
      <c r="IY49" s="2124">
        <f t="shared" si="269"/>
        <v>0.43916945384982109</v>
      </c>
      <c r="IZ49" s="224"/>
      <c r="JA49" s="2124">
        <f t="shared" si="270"/>
        <v>0.45093517146474416</v>
      </c>
      <c r="JB49" s="224"/>
      <c r="JC49" s="224"/>
      <c r="JD49" s="224"/>
      <c r="JE49" s="224"/>
      <c r="JF49" s="224"/>
      <c r="JG49" s="224"/>
      <c r="JH49" s="224"/>
      <c r="JI49" s="224"/>
      <c r="JJ49" s="224"/>
      <c r="JK49" s="224"/>
      <c r="JL49" s="224"/>
      <c r="JM49" s="224"/>
      <c r="JN49" s="224"/>
      <c r="JO49" s="224"/>
      <c r="JP49" s="224"/>
      <c r="JQ49" s="224"/>
      <c r="JR49" s="224"/>
      <c r="JS49" s="224"/>
      <c r="JT49" s="224"/>
      <c r="JU49" s="224"/>
      <c r="JV49" s="224"/>
      <c r="JW49" s="224"/>
      <c r="JX49" s="224"/>
      <c r="JY49" s="224"/>
      <c r="JZ49" s="224"/>
      <c r="KA49" s="224"/>
      <c r="KB49" s="224"/>
      <c r="KC49" s="224"/>
      <c r="KD49" s="224"/>
      <c r="KE49" s="224"/>
      <c r="KF49" s="224"/>
      <c r="KG49" s="224"/>
      <c r="KH49" s="224"/>
      <c r="KI49" s="224"/>
      <c r="KJ49" s="224"/>
      <c r="KK49" s="224"/>
      <c r="KL49" s="224"/>
      <c r="KM49" s="224"/>
      <c r="KN49" s="224"/>
      <c r="KO49" s="224"/>
      <c r="KP49" s="224"/>
      <c r="KQ49" s="224"/>
      <c r="KR49" s="224"/>
      <c r="KS49" s="224"/>
      <c r="KT49" s="224"/>
      <c r="KU49" s="224"/>
      <c r="KV49" s="224"/>
      <c r="KW49" s="224"/>
      <c r="KX49" s="224"/>
      <c r="KY49" s="224"/>
      <c r="KZ49" s="224"/>
      <c r="LA49" s="224"/>
      <c r="LB49" s="224"/>
      <c r="LC49" s="224"/>
      <c r="LD49" s="224"/>
      <c r="LE49" s="224"/>
      <c r="LF49" s="224"/>
      <c r="LG49" s="224"/>
      <c r="LH49" s="224"/>
      <c r="LI49" s="224"/>
      <c r="LJ49" s="224"/>
      <c r="LK49" s="224"/>
      <c r="LL49" s="224"/>
      <c r="LM49" s="224"/>
      <c r="LN49" s="224"/>
      <c r="LO49" s="224"/>
      <c r="LP49" s="224"/>
      <c r="LQ49" s="224"/>
      <c r="LR49" s="224"/>
      <c r="LS49" s="224"/>
      <c r="LT49" s="224"/>
      <c r="LU49" s="224"/>
      <c r="LV49" s="224"/>
      <c r="LW49" s="224"/>
      <c r="LX49" s="224"/>
      <c r="LY49" s="224"/>
      <c r="LZ49" s="224"/>
      <c r="MA49" s="224"/>
      <c r="MB49" s="224"/>
      <c r="MC49" s="224"/>
      <c r="MD49" s="224"/>
      <c r="ME49" s="224"/>
      <c r="MF49" s="224"/>
      <c r="MG49" s="224"/>
      <c r="MH49" s="224"/>
      <c r="MI49" s="224"/>
      <c r="MJ49" s="224"/>
      <c r="MK49" s="224"/>
      <c r="ML49" s="224"/>
      <c r="MM49" s="224"/>
      <c r="MN49" s="224"/>
      <c r="MO49" s="224"/>
      <c r="MP49" s="224"/>
      <c r="MQ49" s="224"/>
      <c r="MR49" s="224"/>
      <c r="MS49" s="224"/>
      <c r="MT49" s="224"/>
      <c r="MU49" s="224"/>
      <c r="MV49" s="224"/>
      <c r="MW49" s="224"/>
      <c r="MX49" s="224"/>
      <c r="MY49" s="224"/>
      <c r="MZ49" s="224"/>
      <c r="NA49" s="224"/>
      <c r="NB49" s="224"/>
      <c r="NC49" s="224"/>
      <c r="ND49" s="224"/>
      <c r="NE49" s="224"/>
      <c r="NF49" s="224"/>
      <c r="NG49" s="224"/>
      <c r="NH49" s="224"/>
      <c r="NI49" s="224"/>
      <c r="NJ49" s="224"/>
      <c r="NK49" s="224"/>
      <c r="NL49" s="2826">
        <f t="shared" si="250"/>
        <v>0.2</v>
      </c>
      <c r="NM49" s="73" t="s">
        <v>39</v>
      </c>
      <c r="NN49" s="166">
        <f t="shared" si="271"/>
        <v>3.7185786924523887</v>
      </c>
      <c r="NO49" s="166">
        <f t="shared" ref="NO49:OB49" si="283">NO10+0.2</f>
        <v>3.841586514837767</v>
      </c>
      <c r="NP49" s="166">
        <f t="shared" si="283"/>
        <v>3.7311752593784755</v>
      </c>
      <c r="NQ49" s="166">
        <f t="shared" si="283"/>
        <v>3.5966266889339948</v>
      </c>
      <c r="NR49" s="166">
        <f t="shared" si="283"/>
        <v>2.7842221240629859</v>
      </c>
      <c r="NS49" s="166">
        <f t="shared" si="283"/>
        <v>2.6598512924038751</v>
      </c>
      <c r="NT49" s="166">
        <f t="shared" si="283"/>
        <v>2.8246439111093737</v>
      </c>
      <c r="NU49" s="166">
        <f t="shared" si="283"/>
        <v>2.8409991277729159</v>
      </c>
      <c r="NV49" s="166">
        <f t="shared" si="283"/>
        <v>2.7064392664239829</v>
      </c>
      <c r="NW49" s="166">
        <f t="shared" si="283"/>
        <v>2.997216409852494</v>
      </c>
      <c r="NX49" s="166">
        <f t="shared" si="283"/>
        <v>2.7789143029964425</v>
      </c>
      <c r="NY49" s="166">
        <f t="shared" si="283"/>
        <v>2.8081690522086471</v>
      </c>
      <c r="NZ49" s="166">
        <f t="shared" si="283"/>
        <v>2.8367089932821314</v>
      </c>
      <c r="OA49" s="166">
        <f t="shared" si="283"/>
        <v>2.8499385337384715</v>
      </c>
      <c r="OB49" s="166">
        <f t="shared" si="283"/>
        <v>2.8312459451226379</v>
      </c>
      <c r="OC49" s="166"/>
      <c r="OD49" s="11"/>
      <c r="OE49" s="166">
        <f t="shared" si="273"/>
        <v>2.8392978240477471</v>
      </c>
      <c r="OF49" s="11"/>
      <c r="OG49" s="166">
        <f t="shared" si="274"/>
        <v>2.8315156310879721</v>
      </c>
      <c r="OH49" s="166">
        <f t="shared" si="252"/>
        <v>2.9420116082528023</v>
      </c>
      <c r="OI49" s="224"/>
      <c r="OJ49" s="224"/>
      <c r="OK49" s="224"/>
      <c r="OL49" s="224"/>
      <c r="OM49" s="224"/>
      <c r="ON49" s="224"/>
      <c r="OO49" s="224"/>
      <c r="OP49" s="224"/>
      <c r="OQ49" s="224"/>
      <c r="OR49" s="224"/>
      <c r="OS49" s="224"/>
      <c r="OT49" s="224"/>
      <c r="OU49" s="224"/>
      <c r="OV49" s="224"/>
      <c r="OW49" s="224"/>
      <c r="OX49" s="224"/>
      <c r="OY49" s="224"/>
      <c r="OZ49" s="224"/>
      <c r="PA49" s="224"/>
      <c r="PB49" s="224"/>
      <c r="PC49" s="224"/>
      <c r="PD49" s="224"/>
      <c r="PE49" s="224"/>
      <c r="PF49" s="224"/>
      <c r="PG49" s="224"/>
      <c r="PH49" s="224"/>
      <c r="PI49" s="224"/>
      <c r="PJ49" s="224"/>
      <c r="PK49" s="224"/>
      <c r="PL49" s="224"/>
      <c r="PM49" s="224"/>
      <c r="PN49" s="224"/>
      <c r="PO49" s="224"/>
      <c r="PP49" s="224"/>
      <c r="PQ49" s="224"/>
      <c r="PR49" s="224"/>
      <c r="PS49" s="224"/>
      <c r="PT49" s="224"/>
      <c r="PU49" s="224"/>
      <c r="PV49" s="224"/>
      <c r="PW49" s="224"/>
      <c r="PX49" s="166"/>
      <c r="PY49" s="166">
        <f>PY10-'Bloom Cleaner Data'!FP10</f>
        <v>3.2924335378492486E-5</v>
      </c>
      <c r="PZ49" s="166">
        <f>PZ10-'Bloom Cleaner Data'!FQ10</f>
        <v>-1.2913440027739753E-5</v>
      </c>
      <c r="QA49" s="166">
        <f>QA10-'Bloom Cleaner Data'!FR10</f>
        <v>1.8057684269212615E-5</v>
      </c>
      <c r="QB49" s="166"/>
      <c r="QC49" s="166">
        <f>QC10-'Bloom Cleaner Data'!FT10</f>
        <v>2.5703893304473979E-5</v>
      </c>
      <c r="QD49" s="166">
        <f>QD10-'Bloom Cleaner Data'!FU10</f>
        <v>-3.8539947579963041E-6</v>
      </c>
      <c r="QE49" s="166">
        <f>QE10-'Bloom Cleaner Data'!FV10</f>
        <v>-2.630492480104607E-5</v>
      </c>
      <c r="QF49" s="166"/>
      <c r="QG49" s="166"/>
      <c r="QH49" s="166"/>
      <c r="QI49" s="166"/>
      <c r="QJ49" s="166"/>
      <c r="QK49" s="166"/>
      <c r="QL49" s="166"/>
      <c r="QM49" s="166"/>
      <c r="QN49" s="7"/>
      <c r="QO49" s="7"/>
      <c r="QP49" s="7"/>
      <c r="QQ49" s="7"/>
      <c r="QR49" s="7"/>
      <c r="QS49" s="7"/>
      <c r="QT49" s="7"/>
      <c r="QU49" s="7"/>
      <c r="QV49" s="7"/>
      <c r="QW49" s="7"/>
      <c r="QX49" s="7"/>
      <c r="QY49" s="7"/>
      <c r="QZ49" s="7"/>
      <c r="RA49" s="7"/>
      <c r="RB49" s="7"/>
      <c r="RC49" s="7"/>
      <c r="RD49" s="7"/>
      <c r="RE49" s="7"/>
      <c r="RF49" s="7"/>
      <c r="RG49" s="7"/>
      <c r="RH49" s="7"/>
      <c r="RI49" s="7"/>
      <c r="RJ49" s="7"/>
      <c r="RK49" s="7"/>
      <c r="RL49" s="7"/>
      <c r="RM49" s="7"/>
      <c r="RN49" s="7"/>
      <c r="RO49" s="7"/>
      <c r="RP49" s="7"/>
      <c r="RQ49" s="7"/>
      <c r="RR49" s="7"/>
      <c r="RS49" s="7"/>
      <c r="RT49" s="7"/>
      <c r="RU49" s="7"/>
      <c r="RV49" s="7"/>
      <c r="RW49" s="7"/>
      <c r="RX49" s="7"/>
      <c r="RY49" s="7"/>
      <c r="RZ49" s="7"/>
      <c r="SA49" s="7"/>
      <c r="SB49" s="7"/>
      <c r="SC49" s="7"/>
      <c r="SD49" s="7"/>
      <c r="SE49" s="7"/>
      <c r="SF49" s="7"/>
      <c r="SG49" s="7"/>
      <c r="SH49" s="7"/>
      <c r="SI49" s="7"/>
      <c r="SJ49" s="7"/>
      <c r="SK49" s="7"/>
      <c r="SL49" s="7"/>
      <c r="SM49" s="7"/>
      <c r="SN49" s="7"/>
      <c r="SO49" s="7"/>
      <c r="SP49" s="7"/>
      <c r="SQ49" s="7"/>
      <c r="SR49" s="7"/>
      <c r="SS49" s="7"/>
      <c r="ST49" s="7"/>
      <c r="SU49" s="7"/>
      <c r="SV49" s="7"/>
    </row>
    <row r="50" spans="1:516">
      <c r="A50" s="5"/>
      <c r="B50" s="24"/>
      <c r="C50" s="2214" t="s">
        <v>53</v>
      </c>
      <c r="D50" s="1112"/>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668">
        <f>'OPERATING LEASES'!BL11/'Bloom Cleaner Data'!GV11</f>
        <v>4.1379331692378916E-2</v>
      </c>
      <c r="DL50" s="2668">
        <f>'OPERATING LEASES'!BM11/'Bloom Cleaner Data'!GW11</f>
        <v>4.3772540635775702E-2</v>
      </c>
      <c r="DM50" s="2668">
        <f>'OPERATING LEASES'!BN11/'Bloom Cleaner Data'!GX11</f>
        <v>4.5497825176137617E-2</v>
      </c>
      <c r="DN50" s="2668">
        <f>'OPERATING LEASES'!BO11/'Bloom Cleaner Data'!GY11</f>
        <v>4.7559226211653934E-2</v>
      </c>
      <c r="DO50" s="2668">
        <f>'OPERATING LEASES'!BP11/'Bloom Cleaner Data'!GZ11</f>
        <v>4.2877734816397811E-2</v>
      </c>
      <c r="DP50" s="2668">
        <f>'OPERATING LEASES'!BQ11/'Bloom Cleaner Data'!HA11</f>
        <v>4.3234948449132338E-2</v>
      </c>
      <c r="DQ50" s="2668">
        <f>'OPERATING LEASES'!BR11/'Bloom Cleaner Data'!HB11</f>
        <v>4.4242461956742862E-2</v>
      </c>
      <c r="DR50" s="2668">
        <f>'OPERATING LEASES'!BS11/'Bloom Cleaner Data'!HC11</f>
        <v>5.0413294940303714E-2</v>
      </c>
      <c r="DS50" s="2668">
        <f>'OPERATING LEASES'!BT11/'Bloom Cleaner Data'!HD11</f>
        <v>6.1963430153228881E-2</v>
      </c>
      <c r="DT50" s="2668">
        <f>'OPERATING LEASES'!BU11/'Bloom Cleaner Data'!HE11</f>
        <v>6.4475126934244772E-2</v>
      </c>
      <c r="DU50" s="2668">
        <f>'OPERATING LEASES'!BV11/'Bloom Cleaner Data'!HF11</f>
        <v>6.6851640752216918E-2</v>
      </c>
      <c r="DV50" s="2668">
        <f>'OPERATING LEASES'!BW11/'Bloom Cleaner Data'!HG11</f>
        <v>5.9795993948495219E-2</v>
      </c>
      <c r="DW50" s="2668">
        <f>'OPERATING LEASES'!BX11/'Bloom Cleaner Data'!HH11</f>
        <v>5.9698478427984959E-2</v>
      </c>
      <c r="DX50" s="2668">
        <f>'OPERATING LEASES'!BY11/'Bloom Cleaner Data'!HI11</f>
        <v>6.0913229307549353E-2</v>
      </c>
      <c r="DY50" s="2668">
        <f>'OPERATING LEASES'!BZ11/'Bloom Cleaner Data'!HJ11</f>
        <v>6.2328750932142532E-2</v>
      </c>
      <c r="DZ50" s="2668"/>
      <c r="EA50" s="2668">
        <f t="shared" si="253"/>
        <v>5.4604010923556226E-2</v>
      </c>
      <c r="EB50" s="2668"/>
      <c r="EC50" s="2668"/>
      <c r="ED50" s="2668">
        <f t="shared" si="254"/>
        <v>6.1917618673677802E-2</v>
      </c>
      <c r="EE50" s="225"/>
      <c r="EF50" s="2123"/>
      <c r="EG50" s="2123"/>
      <c r="EH50" s="2123"/>
      <c r="EI50" s="2123"/>
      <c r="EJ50" s="2123"/>
      <c r="EK50" s="2123"/>
      <c r="EL50" s="2123"/>
      <c r="EM50" s="225"/>
      <c r="EN50" s="225"/>
      <c r="EO50" s="225"/>
      <c r="EP50" s="225"/>
      <c r="EQ50" s="225"/>
      <c r="ER50" s="225"/>
      <c r="ES50" s="225"/>
      <c r="ET50" s="225"/>
      <c r="EU50" s="225"/>
      <c r="EV50" s="225"/>
      <c r="EW50" s="225"/>
      <c r="EX50" s="225"/>
      <c r="EY50" s="225"/>
      <c r="EZ50" s="225"/>
      <c r="FA50" s="225"/>
      <c r="FB50" s="225"/>
      <c r="FC50" s="225"/>
      <c r="FD50" s="225"/>
      <c r="FE50" s="225"/>
      <c r="FF50" s="225"/>
      <c r="FG50" s="3280"/>
      <c r="FH50" s="1026"/>
      <c r="FI50" s="1026"/>
      <c r="FJ50" s="1026"/>
      <c r="FK50" s="1026"/>
      <c r="FL50" s="1026"/>
      <c r="FM50" s="1026"/>
      <c r="FN50" s="1026"/>
      <c r="FO50" s="1026"/>
      <c r="FP50" s="1026"/>
      <c r="FQ50" s="1026"/>
      <c r="FR50" s="1026"/>
      <c r="FS50" s="1026"/>
      <c r="FT50" s="1026"/>
      <c r="FU50" s="1026"/>
      <c r="FV50" s="1026"/>
      <c r="FW50" s="1026"/>
      <c r="FX50" s="224"/>
      <c r="FY50" s="224"/>
      <c r="FZ50" s="1026"/>
      <c r="GA50" s="1026"/>
      <c r="GB50" s="1026"/>
      <c r="GC50" s="1026"/>
      <c r="GD50" s="1026"/>
      <c r="GE50" s="1026"/>
      <c r="GF50" s="1026"/>
      <c r="GG50" s="1026"/>
      <c r="GH50" s="1026"/>
      <c r="GI50" s="1026"/>
      <c r="GJ50" s="1026"/>
      <c r="GK50" s="1026"/>
      <c r="GL50" s="1026"/>
      <c r="GM50" s="1026"/>
      <c r="GN50" s="1026"/>
      <c r="GO50" s="1026"/>
      <c r="GP50" s="1026"/>
      <c r="GQ50" s="1026"/>
      <c r="GR50" s="1026"/>
      <c r="GS50" s="1026"/>
      <c r="GT50" s="225"/>
      <c r="GU50" s="1026"/>
      <c r="GV50" s="1026"/>
      <c r="GW50" s="1026"/>
      <c r="GX50" s="1026"/>
      <c r="GY50" s="224"/>
      <c r="GZ50" s="224"/>
      <c r="HA50" s="224"/>
      <c r="HB50" s="224"/>
      <c r="HC50" s="224"/>
      <c r="HD50" s="224"/>
      <c r="HE50" s="224"/>
      <c r="HF50" s="224"/>
      <c r="HG50" s="224"/>
      <c r="HH50" s="224"/>
      <c r="HI50" s="224"/>
      <c r="HJ50" s="224"/>
      <c r="HK50" s="224"/>
      <c r="HL50" s="224"/>
      <c r="HM50" s="224"/>
      <c r="HN50" s="225"/>
      <c r="HO50" s="224"/>
      <c r="HP50" s="224"/>
      <c r="HQ50" s="224"/>
      <c r="HR50" s="224"/>
      <c r="HS50" s="224"/>
      <c r="HT50" s="224"/>
      <c r="HU50" s="224"/>
      <c r="HV50" s="224"/>
      <c r="HW50" s="224"/>
      <c r="HX50" s="224"/>
      <c r="HY50" s="224"/>
      <c r="HZ50" s="224"/>
      <c r="IA50" s="224"/>
      <c r="IB50" s="224"/>
      <c r="IC50" s="224"/>
      <c r="ID50" s="224"/>
      <c r="IE50" s="224"/>
      <c r="IF50" s="224"/>
      <c r="IG50" s="225"/>
      <c r="IH50" s="224"/>
      <c r="II50" s="224"/>
      <c r="IJ50" s="224"/>
      <c r="IK50" s="2124">
        <f t="shared" si="255"/>
        <v>0.36474864914532357</v>
      </c>
      <c r="IL50" s="2124">
        <f t="shared" si="256"/>
        <v>0.40365773058843141</v>
      </c>
      <c r="IM50" s="2124">
        <f t="shared" si="257"/>
        <v>0.45928285863452023</v>
      </c>
      <c r="IN50" s="2124">
        <f t="shared" si="258"/>
        <v>0.42472398451114246</v>
      </c>
      <c r="IO50" s="2124">
        <f t="shared" si="259"/>
        <v>0.44957936162873002</v>
      </c>
      <c r="IP50" s="2124">
        <f t="shared" si="260"/>
        <v>0.42875723173070435</v>
      </c>
      <c r="IQ50" s="2124">
        <f t="shared" si="261"/>
        <v>0.44675296899314992</v>
      </c>
      <c r="IR50" s="2124">
        <f t="shared" si="262"/>
        <v>0.48982200347580435</v>
      </c>
      <c r="IS50" s="2124">
        <f t="shared" si="263"/>
        <v>0.52900871126840054</v>
      </c>
      <c r="IT50" s="2124">
        <f t="shared" si="264"/>
        <v>0.55089917176590131</v>
      </c>
      <c r="IU50" s="2124">
        <f t="shared" si="265"/>
        <v>0.59895089367894749</v>
      </c>
      <c r="IV50" s="2124">
        <f t="shared" si="266"/>
        <v>0.58856941725285861</v>
      </c>
      <c r="IW50" s="2124">
        <f t="shared" si="267"/>
        <v>0.57992540679211424</v>
      </c>
      <c r="IX50" s="2124">
        <f t="shared" si="268"/>
        <v>0.5711213717248842</v>
      </c>
      <c r="IY50" s="2124">
        <f t="shared" si="269"/>
        <v>0.57929804018594233</v>
      </c>
      <c r="IZ50" s="225"/>
      <c r="JA50" s="2124">
        <f t="shared" si="270"/>
        <v>0.51513010935716153</v>
      </c>
      <c r="JB50" s="224"/>
      <c r="JC50" s="224"/>
      <c r="JD50" s="224"/>
      <c r="JE50" s="224"/>
      <c r="JF50" s="224"/>
      <c r="JG50" s="224"/>
      <c r="JH50" s="224"/>
      <c r="JI50" s="224"/>
      <c r="JJ50" s="224"/>
      <c r="JK50" s="224"/>
      <c r="JL50" s="224"/>
      <c r="JM50" s="224"/>
      <c r="JN50" s="224"/>
      <c r="JO50" s="224"/>
      <c r="JP50" s="224"/>
      <c r="JQ50" s="224"/>
      <c r="JR50" s="224"/>
      <c r="JS50" s="224"/>
      <c r="JT50" s="224"/>
      <c r="JU50" s="225"/>
      <c r="JV50" s="224"/>
      <c r="JW50" s="224"/>
      <c r="JX50" s="224"/>
      <c r="JY50" s="224"/>
      <c r="JZ50" s="224"/>
      <c r="KA50" s="224"/>
      <c r="KB50" s="224"/>
      <c r="KC50" s="224"/>
      <c r="KD50" s="224"/>
      <c r="KE50" s="224"/>
      <c r="KF50" s="224"/>
      <c r="KG50" s="224"/>
      <c r="KH50" s="224"/>
      <c r="KI50" s="224"/>
      <c r="KJ50" s="224"/>
      <c r="KK50" s="224"/>
      <c r="KL50" s="224"/>
      <c r="KM50" s="224"/>
      <c r="KN50" s="224"/>
      <c r="KO50" s="224"/>
      <c r="KP50" s="225"/>
      <c r="KQ50" s="224"/>
      <c r="KR50" s="224"/>
      <c r="KS50" s="224"/>
      <c r="KT50" s="224"/>
      <c r="KU50" s="224"/>
      <c r="KV50" s="224"/>
      <c r="KW50" s="224"/>
      <c r="KX50" s="224"/>
      <c r="KY50" s="224"/>
      <c r="KZ50" s="224"/>
      <c r="LA50" s="224"/>
      <c r="LB50" s="224"/>
      <c r="LC50" s="224"/>
      <c r="LD50" s="224"/>
      <c r="LE50" s="224"/>
      <c r="LF50" s="224"/>
      <c r="LG50" s="224"/>
      <c r="LH50" s="224"/>
      <c r="LI50" s="224"/>
      <c r="LJ50" s="224"/>
      <c r="LK50" s="224"/>
      <c r="LL50" s="225"/>
      <c r="LM50" s="224"/>
      <c r="LN50" s="224"/>
      <c r="LO50" s="224"/>
      <c r="LP50" s="224"/>
      <c r="LQ50" s="224"/>
      <c r="LR50" s="224"/>
      <c r="LS50" s="224"/>
      <c r="LT50" s="224"/>
      <c r="LU50" s="224"/>
      <c r="LV50" s="224"/>
      <c r="LW50" s="224"/>
      <c r="LX50" s="224"/>
      <c r="LY50" s="224"/>
      <c r="LZ50" s="224"/>
      <c r="MA50" s="224"/>
      <c r="MB50" s="224"/>
      <c r="MC50" s="224"/>
      <c r="MD50" s="224"/>
      <c r="ME50" s="224"/>
      <c r="MF50" s="224"/>
      <c r="MG50" s="224"/>
      <c r="MH50" s="224"/>
      <c r="MI50" s="224"/>
      <c r="MJ50" s="224"/>
      <c r="MK50" s="224"/>
      <c r="ML50" s="224"/>
      <c r="MM50" s="224"/>
      <c r="MN50" s="224"/>
      <c r="MO50" s="224"/>
      <c r="MP50" s="224"/>
      <c r="MQ50" s="224"/>
      <c r="MR50" s="224"/>
      <c r="MS50" s="224"/>
      <c r="MT50" s="224"/>
      <c r="MU50" s="224"/>
      <c r="MV50" s="224"/>
      <c r="MW50" s="224"/>
      <c r="MX50" s="224"/>
      <c r="MY50" s="224"/>
      <c r="MZ50" s="224"/>
      <c r="NA50" s="224"/>
      <c r="NB50" s="224"/>
      <c r="NC50" s="224"/>
      <c r="ND50" s="224"/>
      <c r="NE50" s="224"/>
      <c r="NF50" s="224"/>
      <c r="NG50" s="224"/>
      <c r="NH50" s="224"/>
      <c r="NI50" s="224"/>
      <c r="NJ50" s="224"/>
      <c r="NK50" s="224"/>
      <c r="NL50" s="2826">
        <f t="shared" si="250"/>
        <v>0.2</v>
      </c>
      <c r="NM50" s="73" t="s">
        <v>53</v>
      </c>
      <c r="NN50" s="166">
        <f t="shared" si="271"/>
        <v>2.7573657493709738</v>
      </c>
      <c r="NO50" s="166">
        <f t="shared" ref="NO50:OB50" si="284">NO11+0.2</f>
        <v>2.8621263161634505</v>
      </c>
      <c r="NP50" s="166">
        <f t="shared" si="284"/>
        <v>3.0062522953860276</v>
      </c>
      <c r="NQ50" s="166">
        <f t="shared" si="284"/>
        <v>3.0009769385968426</v>
      </c>
      <c r="NR50" s="166">
        <f t="shared" si="284"/>
        <v>2.6811291780414823</v>
      </c>
      <c r="NS50" s="166">
        <f t="shared" si="284"/>
        <v>2.6227190890341738</v>
      </c>
      <c r="NT50" s="166">
        <f t="shared" si="284"/>
        <v>2.5997213806527077</v>
      </c>
      <c r="NU50" s="166">
        <f t="shared" si="284"/>
        <v>2.9129644767768927</v>
      </c>
      <c r="NV50" s="166">
        <f t="shared" si="284"/>
        <v>3.6710482076392839</v>
      </c>
      <c r="NW50" s="166">
        <f t="shared" si="284"/>
        <v>3.8377967595463911</v>
      </c>
      <c r="NX50" s="166">
        <f t="shared" si="284"/>
        <v>3.9616961628031615</v>
      </c>
      <c r="NY50" s="166">
        <f t="shared" si="284"/>
        <v>3.5706175546861441</v>
      </c>
      <c r="NZ50" s="166">
        <f t="shared" si="284"/>
        <v>3.4571206537639183</v>
      </c>
      <c r="OA50" s="166">
        <f t="shared" si="284"/>
        <v>3.3628998387695619</v>
      </c>
      <c r="OB50" s="166">
        <f t="shared" si="284"/>
        <v>3.3940393135057518</v>
      </c>
      <c r="OC50" s="166"/>
      <c r="OD50" s="11"/>
      <c r="OE50" s="166">
        <f t="shared" si="273"/>
        <v>3.404686602013077</v>
      </c>
      <c r="OF50" s="11"/>
      <c r="OG50" s="166">
        <f t="shared" si="274"/>
        <v>3.4461693401813438</v>
      </c>
      <c r="OH50" s="166">
        <f t="shared" si="252"/>
        <v>3.2368447576309496</v>
      </c>
      <c r="OI50" s="224"/>
      <c r="OJ50" s="224"/>
      <c r="OK50" s="224"/>
      <c r="OL50" s="224"/>
      <c r="OM50" s="224"/>
      <c r="ON50" s="224"/>
      <c r="OO50" s="224"/>
      <c r="OP50" s="224"/>
      <c r="OQ50" s="224"/>
      <c r="OR50" s="224"/>
      <c r="OS50" s="224"/>
      <c r="OT50" s="224"/>
      <c r="OU50" s="224"/>
      <c r="OV50" s="224"/>
      <c r="OW50" s="224"/>
      <c r="OX50" s="224"/>
      <c r="OY50" s="224"/>
      <c r="OZ50" s="224"/>
      <c r="PA50" s="224"/>
      <c r="PB50" s="224"/>
      <c r="PC50" s="224"/>
      <c r="PD50" s="224"/>
      <c r="PE50" s="224"/>
      <c r="PF50" s="224"/>
      <c r="PG50" s="224"/>
      <c r="PH50" s="224"/>
      <c r="PI50" s="224"/>
      <c r="PJ50" s="224"/>
      <c r="PK50" s="224"/>
      <c r="PL50" s="224"/>
      <c r="PM50" s="224"/>
      <c r="PN50" s="224"/>
      <c r="PO50" s="224"/>
      <c r="PP50" s="224"/>
      <c r="PQ50" s="224"/>
      <c r="PR50" s="224"/>
      <c r="PS50" s="224"/>
      <c r="PT50" s="224"/>
      <c r="PU50" s="224"/>
      <c r="PV50" s="224"/>
      <c r="PW50" s="224"/>
      <c r="PX50" s="166"/>
      <c r="PY50" s="166">
        <f>PY11-'Bloom Cleaner Data'!FP11</f>
        <v>-0.31566326172364834</v>
      </c>
      <c r="PZ50" s="166">
        <f>PZ11-'Bloom Cleaner Data'!FQ11</f>
        <v>-0.32574868576625748</v>
      </c>
      <c r="QA50" s="166">
        <f>QA11-'Bloom Cleaner Data'!FR11</f>
        <v>-0.99656740294933233</v>
      </c>
      <c r="QB50" s="166"/>
      <c r="QC50" s="166">
        <f>QC11-'Bloom Cleaner Data'!FT11</f>
        <v>-0.54963711714004004</v>
      </c>
      <c r="QD50" s="166">
        <f>QD11-'Bloom Cleaner Data'!FU11</f>
        <v>-0.72496848153731497</v>
      </c>
      <c r="QE50" s="166">
        <f>QE11-'Bloom Cleaner Data'!FV11</f>
        <v>-0.7242919321419321</v>
      </c>
      <c r="QF50" s="166"/>
      <c r="QG50" s="166"/>
      <c r="QH50" s="166"/>
      <c r="QI50" s="166"/>
      <c r="QJ50" s="166">
        <f>QJ11-'Bloom Cleaner Data'!GA11</f>
        <v>-0.58378053577238731</v>
      </c>
      <c r="QK50" s="166"/>
      <c r="QL50" s="166"/>
      <c r="QM50" s="166"/>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row>
    <row r="51" spans="1:516">
      <c r="A51" s="5"/>
      <c r="B51" s="24"/>
      <c r="C51" s="2214" t="s">
        <v>283</v>
      </c>
      <c r="D51" s="1112"/>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668">
        <f>'OPERATING LEASES'!BL12/'Bloom Cleaner Data'!GV12</f>
        <v>1.9964430251623554E-2</v>
      </c>
      <c r="DL51" s="2668">
        <f>'OPERATING LEASES'!BM12/'Bloom Cleaner Data'!GW12</f>
        <v>1.893402967931954E-2</v>
      </c>
      <c r="DM51" s="2668">
        <f>'OPERATING LEASES'!BN12/'Bloom Cleaner Data'!GX12</f>
        <v>1.7858959230016295E-2</v>
      </c>
      <c r="DN51" s="2668">
        <f>'OPERATING LEASES'!BO12/'Bloom Cleaner Data'!GY12</f>
        <v>1.7005852830972668E-2</v>
      </c>
      <c r="DO51" s="2668">
        <f>'OPERATING LEASES'!BP12/'Bloom Cleaner Data'!GZ12</f>
        <v>1.5911954263260638E-2</v>
      </c>
      <c r="DP51" s="2668">
        <f>'OPERATING LEASES'!BQ12/'Bloom Cleaner Data'!HA12</f>
        <v>2.3614007860218389E-2</v>
      </c>
      <c r="DQ51" s="2668">
        <f>'OPERATING LEASES'!BR12/'Bloom Cleaner Data'!HB12</f>
        <v>3.1205405959443485E-2</v>
      </c>
      <c r="DR51" s="2668">
        <f>'OPERATING LEASES'!BS12/'Bloom Cleaner Data'!HC12</f>
        <v>3.8331216171180148E-2</v>
      </c>
      <c r="DS51" s="2668">
        <f>'OPERATING LEASES'!BT12/'Bloom Cleaner Data'!HD12</f>
        <v>4.5341911553546513E-2</v>
      </c>
      <c r="DT51" s="2668">
        <f>'OPERATING LEASES'!BU12/'Bloom Cleaner Data'!HE12</f>
        <v>3.9350816759774837E-2</v>
      </c>
      <c r="DU51" s="2668">
        <f>'OPERATING LEASES'!BV12/'Bloom Cleaner Data'!HF12</f>
        <v>3.3626568771325312E-2</v>
      </c>
      <c r="DV51" s="2668">
        <f>'OPERATING LEASES'!BW12/'Bloom Cleaner Data'!HG12</f>
        <v>2.7994940604689478E-2</v>
      </c>
      <c r="DW51" s="2668">
        <f>'OPERATING LEASES'!BX12/'Bloom Cleaner Data'!HH12</f>
        <v>2.2579979733391559E-2</v>
      </c>
      <c r="DX51" s="2668">
        <f>'OPERATING LEASES'!BY12/'Bloom Cleaner Data'!HI12</f>
        <v>2.3143595876285717E-2</v>
      </c>
      <c r="DY51" s="2668">
        <f>'OPERATING LEASES'!BZ12/'Bloom Cleaner Data'!HJ12</f>
        <v>2.3143467167070064E-2</v>
      </c>
      <c r="DZ51" s="2668"/>
      <c r="EA51" s="2668">
        <f t="shared" si="253"/>
        <v>2.7623744367782702E-2</v>
      </c>
      <c r="EB51" s="2668"/>
      <c r="EC51" s="2668"/>
      <c r="ED51" s="2668">
        <f t="shared" si="254"/>
        <v>2.6097710430552423E-2</v>
      </c>
      <c r="EE51" s="225"/>
      <c r="EF51" s="2123"/>
      <c r="EG51" s="2123"/>
      <c r="EH51" s="2123"/>
      <c r="EI51" s="2123"/>
      <c r="EJ51" s="2123"/>
      <c r="EK51" s="2123"/>
      <c r="EL51" s="2123"/>
      <c r="EM51" s="225"/>
      <c r="EN51" s="225"/>
      <c r="EO51" s="225"/>
      <c r="EP51" s="225"/>
      <c r="EQ51" s="225"/>
      <c r="ER51" s="225"/>
      <c r="ES51" s="225"/>
      <c r="ET51" s="225"/>
      <c r="EU51" s="225"/>
      <c r="EV51" s="225"/>
      <c r="EW51" s="225"/>
      <c r="EX51" s="225"/>
      <c r="EY51" s="225"/>
      <c r="EZ51" s="225"/>
      <c r="FA51" s="225"/>
      <c r="FB51" s="225"/>
      <c r="FC51" s="225"/>
      <c r="FD51" s="225"/>
      <c r="FE51" s="225"/>
      <c r="FF51" s="225"/>
      <c r="FG51" s="3280"/>
      <c r="FH51" s="1026"/>
      <c r="FI51" s="1026"/>
      <c r="FJ51" s="1026"/>
      <c r="FK51" s="1026"/>
      <c r="FL51" s="1026"/>
      <c r="FM51" s="1026"/>
      <c r="FN51" s="1026"/>
      <c r="FO51" s="1026"/>
      <c r="FP51" s="1026"/>
      <c r="FQ51" s="1026"/>
      <c r="FR51" s="1026"/>
      <c r="FS51" s="1026"/>
      <c r="FT51" s="1026"/>
      <c r="FU51" s="1026"/>
      <c r="FV51" s="1026"/>
      <c r="FW51" s="1026"/>
      <c r="FX51" s="224"/>
      <c r="FY51" s="224"/>
      <c r="FZ51" s="1026"/>
      <c r="GA51" s="1026"/>
      <c r="GB51" s="1026"/>
      <c r="GC51" s="1026"/>
      <c r="GD51" s="1026"/>
      <c r="GE51" s="1026"/>
      <c r="GF51" s="1026"/>
      <c r="GG51" s="1026"/>
      <c r="GH51" s="1026"/>
      <c r="GI51" s="1026"/>
      <c r="GJ51" s="1026"/>
      <c r="GK51" s="1026"/>
      <c r="GL51" s="1026"/>
      <c r="GM51" s="1026"/>
      <c r="GN51" s="1026"/>
      <c r="GO51" s="1026"/>
      <c r="GP51" s="1026"/>
      <c r="GQ51" s="1026"/>
      <c r="GR51" s="1026"/>
      <c r="GS51" s="1026"/>
      <c r="GT51" s="225"/>
      <c r="GU51" s="1026"/>
      <c r="GV51" s="1026"/>
      <c r="GW51" s="1026"/>
      <c r="GX51" s="1026"/>
      <c r="GY51" s="224"/>
      <c r="GZ51" s="224"/>
      <c r="HA51" s="224"/>
      <c r="HB51" s="224"/>
      <c r="HC51" s="224"/>
      <c r="HD51" s="224"/>
      <c r="HE51" s="224"/>
      <c r="HF51" s="224"/>
      <c r="HG51" s="224"/>
      <c r="HH51" s="224"/>
      <c r="HI51" s="224"/>
      <c r="HJ51" s="224"/>
      <c r="HK51" s="224"/>
      <c r="HL51" s="224"/>
      <c r="HM51" s="224"/>
      <c r="HN51" s="225"/>
      <c r="HO51" s="224"/>
      <c r="HP51" s="224"/>
      <c r="HQ51" s="224"/>
      <c r="HR51" s="224"/>
      <c r="HS51" s="224"/>
      <c r="HT51" s="224"/>
      <c r="HU51" s="224"/>
      <c r="HV51" s="224"/>
      <c r="HW51" s="224"/>
      <c r="HX51" s="224"/>
      <c r="HY51" s="224"/>
      <c r="HZ51" s="224"/>
      <c r="IA51" s="224"/>
      <c r="IB51" s="224"/>
      <c r="IC51" s="224"/>
      <c r="ID51" s="224"/>
      <c r="IE51" s="224"/>
      <c r="IF51" s="224"/>
      <c r="IG51" s="225"/>
      <c r="IH51" s="224"/>
      <c r="II51" s="224"/>
      <c r="IJ51" s="224"/>
      <c r="IK51" s="2124">
        <f t="shared" si="255"/>
        <v>0.23741684062374188</v>
      </c>
      <c r="IL51" s="2124">
        <f t="shared" si="256"/>
        <v>0.26799679924518788</v>
      </c>
      <c r="IM51" s="2124">
        <f t="shared" si="257"/>
        <v>0.26652313843845671</v>
      </c>
      <c r="IN51" s="2124">
        <f t="shared" si="258"/>
        <v>0.22818802111375897</v>
      </c>
      <c r="IO51" s="2124">
        <f t="shared" si="259"/>
        <v>0.23394833458408631</v>
      </c>
      <c r="IP51" s="2124">
        <f t="shared" si="260"/>
        <v>0.25442854691165689</v>
      </c>
      <c r="IQ51" s="2124">
        <f t="shared" si="261"/>
        <v>0.28992066859249549</v>
      </c>
      <c r="IR51" s="2124">
        <f t="shared" si="262"/>
        <v>0.2101669357185432</v>
      </c>
      <c r="IS51" s="2124">
        <f t="shared" si="263"/>
        <v>0.2708811432874707</v>
      </c>
      <c r="IT51" s="2124">
        <f t="shared" si="264"/>
        <v>0.2391392155588524</v>
      </c>
      <c r="IU51" s="2124">
        <f t="shared" si="265"/>
        <v>0.29077004313038934</v>
      </c>
      <c r="IV51" s="2124">
        <f t="shared" si="266"/>
        <v>0.25963288458602424</v>
      </c>
      <c r="IW51" s="2124">
        <f t="shared" si="267"/>
        <v>0.25787608282786412</v>
      </c>
      <c r="IX51" s="2124">
        <f t="shared" si="268"/>
        <v>0.27925914637198268</v>
      </c>
      <c r="IY51" s="2124">
        <f t="shared" si="269"/>
        <v>0.32061814749302248</v>
      </c>
      <c r="IZ51" s="225"/>
      <c r="JA51" s="2124">
        <f t="shared" si="270"/>
        <v>0.2616424852780464</v>
      </c>
      <c r="JB51" s="224"/>
      <c r="JC51" s="224"/>
      <c r="JD51" s="224"/>
      <c r="JE51" s="224"/>
      <c r="JF51" s="224"/>
      <c r="JG51" s="224"/>
      <c r="JH51" s="224"/>
      <c r="JI51" s="224"/>
      <c r="JJ51" s="224"/>
      <c r="JK51" s="224"/>
      <c r="JL51" s="224"/>
      <c r="JM51" s="224"/>
      <c r="JN51" s="224"/>
      <c r="JO51" s="224"/>
      <c r="JP51" s="224"/>
      <c r="JQ51" s="224"/>
      <c r="JR51" s="224"/>
      <c r="JS51" s="224"/>
      <c r="JT51" s="224"/>
      <c r="JU51" s="225"/>
      <c r="JV51" s="224"/>
      <c r="JW51" s="224"/>
      <c r="JX51" s="224"/>
      <c r="JY51" s="224"/>
      <c r="JZ51" s="224"/>
      <c r="KA51" s="224"/>
      <c r="KB51" s="224"/>
      <c r="KC51" s="224"/>
      <c r="KD51" s="224"/>
      <c r="KE51" s="224"/>
      <c r="KF51" s="224"/>
      <c r="KG51" s="224"/>
      <c r="KH51" s="224"/>
      <c r="KI51" s="224"/>
      <c r="KJ51" s="224"/>
      <c r="KK51" s="224"/>
      <c r="KL51" s="224"/>
      <c r="KM51" s="224"/>
      <c r="KN51" s="224"/>
      <c r="KO51" s="224"/>
      <c r="KP51" s="225"/>
      <c r="KQ51" s="224"/>
      <c r="KR51" s="224"/>
      <c r="KS51" s="224"/>
      <c r="KT51" s="224"/>
      <c r="KU51" s="224"/>
      <c r="KV51" s="224"/>
      <c r="KW51" s="224"/>
      <c r="KX51" s="224"/>
      <c r="KY51" s="224"/>
      <c r="KZ51" s="224"/>
      <c r="LA51" s="224"/>
      <c r="LB51" s="224"/>
      <c r="LC51" s="224"/>
      <c r="LD51" s="224"/>
      <c r="LE51" s="224"/>
      <c r="LF51" s="224"/>
      <c r="LG51" s="224"/>
      <c r="LH51" s="224"/>
      <c r="LI51" s="224"/>
      <c r="LJ51" s="224"/>
      <c r="LK51" s="224"/>
      <c r="LL51" s="225"/>
      <c r="LM51" s="224"/>
      <c r="LN51" s="224"/>
      <c r="LO51" s="224"/>
      <c r="LP51" s="224"/>
      <c r="LQ51" s="224"/>
      <c r="LR51" s="224"/>
      <c r="LS51" s="224"/>
      <c r="LT51" s="224"/>
      <c r="LU51" s="224"/>
      <c r="LV51" s="224"/>
      <c r="LW51" s="224"/>
      <c r="LX51" s="224"/>
      <c r="LY51" s="224"/>
      <c r="LZ51" s="224"/>
      <c r="MA51" s="224"/>
      <c r="MB51" s="224"/>
      <c r="MC51" s="224"/>
      <c r="MD51" s="224"/>
      <c r="ME51" s="224"/>
      <c r="MF51" s="224"/>
      <c r="MG51" s="224"/>
      <c r="MH51" s="224"/>
      <c r="MI51" s="224"/>
      <c r="MJ51" s="224"/>
      <c r="MK51" s="224"/>
      <c r="ML51" s="224"/>
      <c r="MM51" s="224"/>
      <c r="MN51" s="224"/>
      <c r="MO51" s="224"/>
      <c r="MP51" s="224"/>
      <c r="MQ51" s="224"/>
      <c r="MR51" s="224"/>
      <c r="MS51" s="224"/>
      <c r="MT51" s="224"/>
      <c r="MU51" s="224"/>
      <c r="MV51" s="224"/>
      <c r="MW51" s="224"/>
      <c r="MX51" s="224"/>
      <c r="MY51" s="224"/>
      <c r="MZ51" s="224"/>
      <c r="NA51" s="224"/>
      <c r="NB51" s="224"/>
      <c r="NC51" s="224"/>
      <c r="ND51" s="224"/>
      <c r="NE51" s="224"/>
      <c r="NF51" s="224"/>
      <c r="NG51" s="224"/>
      <c r="NH51" s="224"/>
      <c r="NI51" s="224"/>
      <c r="NJ51" s="224"/>
      <c r="NK51" s="224"/>
      <c r="NL51" s="2826">
        <f t="shared" si="250"/>
        <v>0.2</v>
      </c>
      <c r="NM51" s="73" t="s">
        <v>283</v>
      </c>
      <c r="NN51" s="166">
        <f t="shared" si="271"/>
        <v>1.8325143867397014</v>
      </c>
      <c r="NO51" s="166">
        <f t="shared" ref="NO51:OB51" si="285">NO12+0.2</f>
        <v>2.0197714287010742</v>
      </c>
      <c r="NP51" s="166">
        <f t="shared" si="285"/>
        <v>1.8913347725424037</v>
      </c>
      <c r="NQ51" s="166">
        <f t="shared" si="285"/>
        <v>1.8183069007717108</v>
      </c>
      <c r="NR51" s="166">
        <f t="shared" si="285"/>
        <v>1.9427418026588441</v>
      </c>
      <c r="NS51" s="166">
        <f t="shared" si="285"/>
        <v>1.9465842537849629</v>
      </c>
      <c r="NT51" s="166">
        <f t="shared" si="285"/>
        <v>2.1541042901464511</v>
      </c>
      <c r="NU51" s="166">
        <f t="shared" si="285"/>
        <v>1.5561257602847614</v>
      </c>
      <c r="NV51" s="166">
        <f t="shared" si="285"/>
        <v>2.0912304663558938</v>
      </c>
      <c r="NW51" s="166">
        <f t="shared" si="285"/>
        <v>1.997931492658229</v>
      </c>
      <c r="NX51" s="166">
        <f t="shared" si="285"/>
        <v>2.2145323916094113</v>
      </c>
      <c r="NY51" s="166">
        <f t="shared" si="285"/>
        <v>2.088311509351604</v>
      </c>
      <c r="NZ51" s="166">
        <f t="shared" si="285"/>
        <v>2.0578714595905927</v>
      </c>
      <c r="OA51" s="166">
        <f t="shared" si="285"/>
        <v>2.1277912349165256</v>
      </c>
      <c r="OB51" s="166">
        <f t="shared" si="285"/>
        <v>2.527291789938146</v>
      </c>
      <c r="OC51" s="166"/>
      <c r="OD51" s="11"/>
      <c r="OE51" s="166">
        <f t="shared" si="273"/>
        <v>2.2376514948150881</v>
      </c>
      <c r="OF51" s="11"/>
      <c r="OG51" s="166">
        <f t="shared" si="274"/>
        <v>2.200316498449217</v>
      </c>
      <c r="OH51" s="166">
        <f t="shared" si="252"/>
        <v>2.0318583172776568</v>
      </c>
      <c r="OI51" s="224"/>
      <c r="OJ51" s="224"/>
      <c r="OK51" s="224"/>
      <c r="OL51" s="224"/>
      <c r="OM51" s="224"/>
      <c r="ON51" s="224"/>
      <c r="OO51" s="224"/>
      <c r="OP51" s="224"/>
      <c r="OQ51" s="224"/>
      <c r="OR51" s="224"/>
      <c r="OS51" s="224"/>
      <c r="OT51" s="224"/>
      <c r="OU51" s="224"/>
      <c r="OV51" s="224"/>
      <c r="OW51" s="224"/>
      <c r="OX51" s="224"/>
      <c r="OY51" s="224"/>
      <c r="OZ51" s="224"/>
      <c r="PA51" s="224"/>
      <c r="PB51" s="224"/>
      <c r="PC51" s="224"/>
      <c r="PD51" s="224"/>
      <c r="PE51" s="224"/>
      <c r="PF51" s="224"/>
      <c r="PG51" s="224"/>
      <c r="PH51" s="224"/>
      <c r="PI51" s="224"/>
      <c r="PJ51" s="224"/>
      <c r="PK51" s="224"/>
      <c r="PL51" s="224"/>
      <c r="PM51" s="224"/>
      <c r="PN51" s="224"/>
      <c r="PO51" s="224"/>
      <c r="PP51" s="224"/>
      <c r="PQ51" s="224"/>
      <c r="PR51" s="224"/>
      <c r="PS51" s="224"/>
      <c r="PT51" s="224"/>
      <c r="PU51" s="224"/>
      <c r="PV51" s="224"/>
      <c r="PW51" s="224"/>
      <c r="PX51" s="166"/>
      <c r="PY51" s="166">
        <f>PY12-'Bloom Cleaner Data'!FP12</f>
        <v>0.16848249706763996</v>
      </c>
      <c r="PZ51" s="166">
        <f>PZ12-'Bloom Cleaner Data'!FQ12</f>
        <v>0.14184959752321946</v>
      </c>
      <c r="QA51" s="166">
        <f>QA12-'Bloom Cleaner Data'!FR12</f>
        <v>0.16037489836217933</v>
      </c>
      <c r="QB51" s="166"/>
      <c r="QC51" s="166">
        <f>QC12-'Bloom Cleaner Data'!FT12</f>
        <v>7.111799049558698E-2</v>
      </c>
      <c r="QD51" s="166">
        <f>QD12-'Bloom Cleaner Data'!FU12</f>
        <v>6.1639726727110045E-2</v>
      </c>
      <c r="QE51" s="166">
        <f>QE12-'Bloom Cleaner Data'!FV12</f>
        <v>6.6262447960033111E-2</v>
      </c>
      <c r="QF51" s="166"/>
      <c r="QG51" s="166"/>
      <c r="QH51" s="166"/>
      <c r="QI51" s="166"/>
      <c r="QJ51" s="166"/>
      <c r="QK51" s="166"/>
      <c r="QL51" s="166"/>
      <c r="QM51" s="166"/>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row>
    <row r="52" spans="1:516">
      <c r="A52" s="5"/>
      <c r="B52" s="24"/>
      <c r="C52" s="2214" t="s">
        <v>285</v>
      </c>
      <c r="D52" s="1112"/>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668">
        <f>'OPERATING LEASES'!BL13/'Bloom Cleaner Data'!GV13</f>
        <v>3.1705642734466037E-3</v>
      </c>
      <c r="DL52" s="2668">
        <f>'OPERATING LEASES'!BM13/'Bloom Cleaner Data'!GW13</f>
        <v>2.1955150762746171E-3</v>
      </c>
      <c r="DM52" s="2668">
        <f>'OPERATING LEASES'!BN13/'Bloom Cleaner Data'!GX13</f>
        <v>1.3164976707220441E-3</v>
      </c>
      <c r="DN52" s="2668">
        <f>'OPERATING LEASES'!BO13/'Bloom Cleaner Data'!GY13</f>
        <v>6.8837135767392586E-4</v>
      </c>
      <c r="DO52" s="2668">
        <f>'OPERATING LEASES'!BP13/'Bloom Cleaner Data'!GZ13</f>
        <v>4.9209137467975563E-5</v>
      </c>
      <c r="DP52" s="2668">
        <f>'OPERATING LEASES'!BQ13/'Bloom Cleaner Data'!HA13</f>
        <v>1.635839989904227E-2</v>
      </c>
      <c r="DQ52" s="2668">
        <f>'OPERATING LEASES'!BR13/'Bloom Cleaner Data'!HB13</f>
        <v>3.3415445677235679E-2</v>
      </c>
      <c r="DR52" s="2668">
        <f>'OPERATING LEASES'!BS13/'Bloom Cleaner Data'!HC13</f>
        <v>4.7823740089639716E-2</v>
      </c>
      <c r="DS52" s="2668">
        <f>'OPERATING LEASES'!BT13/'Bloom Cleaner Data'!HD13</f>
        <v>6.103000716723251E-2</v>
      </c>
      <c r="DT52" s="2668">
        <f>'OPERATING LEASES'!BU13/'Bloom Cleaner Data'!HE13</f>
        <v>6.2777079182071233E-2</v>
      </c>
      <c r="DU52" s="2668">
        <f>'OPERATING LEASES'!BV13/'Bloom Cleaner Data'!HF13</f>
        <v>6.4524018782138745E-2</v>
      </c>
      <c r="DV52" s="2668">
        <f>'OPERATING LEASES'!BW13/'Bloom Cleaner Data'!HG13</f>
        <v>6.2902095293232374E-2</v>
      </c>
      <c r="DW52" s="2668">
        <f>'OPERATING LEASES'!BX13/'Bloom Cleaner Data'!HH13</f>
        <v>6.1468769410044963E-2</v>
      </c>
      <c r="DX52" s="2668">
        <f>'OPERATING LEASES'!BY13/'Bloom Cleaner Data'!HI13</f>
        <v>5.4880752765605958E-2</v>
      </c>
      <c r="DY52" s="2668">
        <f>'OPERATING LEASES'!BZ13/'Bloom Cleaner Data'!HJ13</f>
        <v>5.1874343184105609E-2</v>
      </c>
      <c r="DZ52" s="2668"/>
      <c r="EA52" s="2668">
        <f t="shared" si="253"/>
        <v>3.9931440739708696E-2</v>
      </c>
      <c r="EB52" s="2668"/>
      <c r="EC52" s="2668"/>
      <c r="ED52" s="2668">
        <f t="shared" si="254"/>
        <v>5.9129995887025534E-2</v>
      </c>
      <c r="EE52" s="225"/>
      <c r="EF52" s="2123"/>
      <c r="EG52" s="2123"/>
      <c r="EH52" s="2123"/>
      <c r="EI52" s="2123"/>
      <c r="EJ52" s="2123"/>
      <c r="EK52" s="2123"/>
      <c r="EL52" s="2123"/>
      <c r="EM52" s="225"/>
      <c r="EN52" s="225"/>
      <c r="EO52" s="225"/>
      <c r="EP52" s="225"/>
      <c r="EQ52" s="225"/>
      <c r="ER52" s="225"/>
      <c r="ES52" s="225"/>
      <c r="ET52" s="225"/>
      <c r="EU52" s="225"/>
      <c r="EV52" s="225"/>
      <c r="EW52" s="225"/>
      <c r="EX52" s="225"/>
      <c r="EY52" s="225"/>
      <c r="EZ52" s="225"/>
      <c r="FA52" s="225"/>
      <c r="FB52" s="225"/>
      <c r="FC52" s="225"/>
      <c r="FD52" s="225"/>
      <c r="FE52" s="225"/>
      <c r="FF52" s="225"/>
      <c r="FG52" s="3280"/>
      <c r="FH52" s="1026"/>
      <c r="FI52" s="1026"/>
      <c r="FJ52" s="1026"/>
      <c r="FK52" s="1026"/>
      <c r="FL52" s="1026"/>
      <c r="FM52" s="1026"/>
      <c r="FN52" s="1026"/>
      <c r="FO52" s="1026"/>
      <c r="FP52" s="1026"/>
      <c r="FQ52" s="1026"/>
      <c r="FR52" s="1026"/>
      <c r="FS52" s="1026"/>
      <c r="FT52" s="1026"/>
      <c r="FU52" s="1026"/>
      <c r="FV52" s="1026"/>
      <c r="FW52" s="1026"/>
      <c r="FX52" s="224"/>
      <c r="FY52" s="224"/>
      <c r="FZ52" s="1026"/>
      <c r="GA52" s="1026"/>
      <c r="GB52" s="1026"/>
      <c r="GC52" s="1026"/>
      <c r="GD52" s="1026"/>
      <c r="GE52" s="1026"/>
      <c r="GF52" s="1026"/>
      <c r="GG52" s="1026"/>
      <c r="GH52" s="1026"/>
      <c r="GI52" s="1026"/>
      <c r="GJ52" s="1026"/>
      <c r="GK52" s="1026"/>
      <c r="GL52" s="1026"/>
      <c r="GM52" s="1026"/>
      <c r="GN52" s="1026"/>
      <c r="GO52" s="1026"/>
      <c r="GP52" s="1026"/>
      <c r="GQ52" s="1026"/>
      <c r="GR52" s="1026"/>
      <c r="GS52" s="1026"/>
      <c r="GT52" s="225"/>
      <c r="GU52" s="1026"/>
      <c r="GV52" s="1026"/>
      <c r="GW52" s="1026"/>
      <c r="GX52" s="1026"/>
      <c r="GY52" s="224"/>
      <c r="GZ52" s="224"/>
      <c r="HA52" s="224"/>
      <c r="HB52" s="224"/>
      <c r="HC52" s="224"/>
      <c r="HD52" s="224"/>
      <c r="HE52" s="224"/>
      <c r="HF52" s="224"/>
      <c r="HG52" s="224"/>
      <c r="HH52" s="224"/>
      <c r="HI52" s="224"/>
      <c r="HJ52" s="224"/>
      <c r="HK52" s="224"/>
      <c r="HL52" s="224"/>
      <c r="HM52" s="224"/>
      <c r="HN52" s="225"/>
      <c r="HO52" s="224"/>
      <c r="HP52" s="224"/>
      <c r="HQ52" s="224"/>
      <c r="HR52" s="224"/>
      <c r="HS52" s="224"/>
      <c r="HT52" s="224"/>
      <c r="HU52" s="224"/>
      <c r="HV52" s="224"/>
      <c r="HW52" s="224"/>
      <c r="HX52" s="224"/>
      <c r="HY52" s="224"/>
      <c r="HZ52" s="224"/>
      <c r="IA52" s="224"/>
      <c r="IB52" s="224"/>
      <c r="IC52" s="224"/>
      <c r="ID52" s="224"/>
      <c r="IE52" s="224"/>
      <c r="IF52" s="224"/>
      <c r="IG52" s="225"/>
      <c r="IH52" s="224"/>
      <c r="II52" s="224"/>
      <c r="IJ52" s="224"/>
      <c r="IK52" s="2124">
        <f t="shared" si="255"/>
        <v>0.12941783528588477</v>
      </c>
      <c r="IL52" s="2124">
        <f t="shared" si="256"/>
        <v>0.14836250322021755</v>
      </c>
      <c r="IM52" s="2124">
        <f t="shared" si="257"/>
        <v>0.17191191489292371</v>
      </c>
      <c r="IN52" s="2124">
        <f t="shared" si="258"/>
        <v>0.15137838182597377</v>
      </c>
      <c r="IO52" s="2124">
        <f t="shared" si="259"/>
        <v>0.13456596409720589</v>
      </c>
      <c r="IP52" s="2124">
        <f t="shared" si="260"/>
        <v>0.13952791063486325</v>
      </c>
      <c r="IQ52" s="2124">
        <f t="shared" si="261"/>
        <v>0.14383983524363131</v>
      </c>
      <c r="IR52" s="2124">
        <f t="shared" si="262"/>
        <v>0.17024272073270599</v>
      </c>
      <c r="IS52" s="2124">
        <f t="shared" si="263"/>
        <v>0.19340865762048937</v>
      </c>
      <c r="IT52" s="2124">
        <f t="shared" si="264"/>
        <v>0.18878175927414945</v>
      </c>
      <c r="IU52" s="2124">
        <f t="shared" si="265"/>
        <v>0.18488503570511355</v>
      </c>
      <c r="IV52" s="2124">
        <f t="shared" si="266"/>
        <v>0.17224351757113707</v>
      </c>
      <c r="IW52" s="2124">
        <f t="shared" si="267"/>
        <v>0.16091197440640848</v>
      </c>
      <c r="IX52" s="2124">
        <f t="shared" si="268"/>
        <v>0.14303347616444623</v>
      </c>
      <c r="IY52" s="2124">
        <f t="shared" si="269"/>
        <v>0.12849893093161849</v>
      </c>
      <c r="IZ52" s="225"/>
      <c r="JA52" s="2124">
        <f t="shared" si="270"/>
        <v>0.16024846762312819</v>
      </c>
      <c r="JB52" s="224"/>
      <c r="JC52" s="224"/>
      <c r="JD52" s="224"/>
      <c r="JE52" s="224"/>
      <c r="JF52" s="224"/>
      <c r="JG52" s="224"/>
      <c r="JH52" s="224"/>
      <c r="JI52" s="224"/>
      <c r="JJ52" s="224"/>
      <c r="JK52" s="224"/>
      <c r="JL52" s="224"/>
      <c r="JM52" s="224"/>
      <c r="JN52" s="224"/>
      <c r="JO52" s="224"/>
      <c r="JP52" s="224"/>
      <c r="JQ52" s="224"/>
      <c r="JR52" s="224"/>
      <c r="JS52" s="224"/>
      <c r="JT52" s="224"/>
      <c r="JU52" s="225"/>
      <c r="JV52" s="224"/>
      <c r="JW52" s="224"/>
      <c r="JX52" s="224"/>
      <c r="JY52" s="224"/>
      <c r="JZ52" s="224"/>
      <c r="KA52" s="224"/>
      <c r="KB52" s="224"/>
      <c r="KC52" s="224"/>
      <c r="KD52" s="224"/>
      <c r="KE52" s="224"/>
      <c r="KF52" s="224"/>
      <c r="KG52" s="224"/>
      <c r="KH52" s="224"/>
      <c r="KI52" s="224"/>
      <c r="KJ52" s="224"/>
      <c r="KK52" s="224"/>
      <c r="KL52" s="224"/>
      <c r="KM52" s="224"/>
      <c r="KN52" s="224"/>
      <c r="KO52" s="224"/>
      <c r="KP52" s="225"/>
      <c r="KQ52" s="224"/>
      <c r="KR52" s="224"/>
      <c r="KS52" s="224"/>
      <c r="KT52" s="224"/>
      <c r="KU52" s="224"/>
      <c r="KV52" s="224"/>
      <c r="KW52" s="224"/>
      <c r="KX52" s="224"/>
      <c r="KY52" s="224"/>
      <c r="KZ52" s="224"/>
      <c r="LA52" s="224"/>
      <c r="LB52" s="224"/>
      <c r="LC52" s="224"/>
      <c r="LD52" s="224"/>
      <c r="LE52" s="224"/>
      <c r="LF52" s="224"/>
      <c r="LG52" s="224"/>
      <c r="LH52" s="224"/>
      <c r="LI52" s="224"/>
      <c r="LJ52" s="224"/>
      <c r="LK52" s="224"/>
      <c r="LL52" s="225"/>
      <c r="LM52" s="224"/>
      <c r="LN52" s="224"/>
      <c r="LO52" s="224"/>
      <c r="LP52" s="224"/>
      <c r="LQ52" s="224"/>
      <c r="LR52" s="224"/>
      <c r="LS52" s="224"/>
      <c r="LT52" s="224"/>
      <c r="LU52" s="224"/>
      <c r="LV52" s="224"/>
      <c r="LW52" s="224"/>
      <c r="LX52" s="224"/>
      <c r="LY52" s="224"/>
      <c r="LZ52" s="224"/>
      <c r="MA52" s="224"/>
      <c r="MB52" s="224"/>
      <c r="MC52" s="224"/>
      <c r="MD52" s="224"/>
      <c r="ME52" s="224"/>
      <c r="MF52" s="224"/>
      <c r="MG52" s="224"/>
      <c r="MH52" s="224"/>
      <c r="MI52" s="224"/>
      <c r="MJ52" s="224"/>
      <c r="MK52" s="224"/>
      <c r="ML52" s="224"/>
      <c r="MM52" s="224"/>
      <c r="MN52" s="224"/>
      <c r="MO52" s="224"/>
      <c r="MP52" s="224"/>
      <c r="MQ52" s="224"/>
      <c r="MR52" s="224"/>
      <c r="MS52" s="224"/>
      <c r="MT52" s="224"/>
      <c r="MU52" s="224"/>
      <c r="MV52" s="224"/>
      <c r="MW52" s="224"/>
      <c r="MX52" s="224"/>
      <c r="MY52" s="224"/>
      <c r="MZ52" s="224"/>
      <c r="NA52" s="224"/>
      <c r="NB52" s="224"/>
      <c r="NC52" s="224"/>
      <c r="ND52" s="224"/>
      <c r="NE52" s="224"/>
      <c r="NF52" s="224"/>
      <c r="NG52" s="224"/>
      <c r="NH52" s="224"/>
      <c r="NI52" s="224"/>
      <c r="NJ52" s="224"/>
      <c r="NK52" s="224"/>
      <c r="NL52" s="2826">
        <f t="shared" si="250"/>
        <v>0.2</v>
      </c>
      <c r="NM52" s="73" t="s">
        <v>285</v>
      </c>
      <c r="NN52" s="166">
        <f t="shared" si="271"/>
        <v>1.24619442158067</v>
      </c>
      <c r="NO52" s="166">
        <f t="shared" ref="NO52:OB52" si="286">NO13+0.2</f>
        <v>1.4700688372321931</v>
      </c>
      <c r="NP52" s="166">
        <f t="shared" si="286"/>
        <v>1.60426558606956</v>
      </c>
      <c r="NQ52" s="166">
        <f t="shared" si="286"/>
        <v>1.3916381725697906</v>
      </c>
      <c r="NR52" s="166">
        <f t="shared" si="286"/>
        <v>1.1733747472752558</v>
      </c>
      <c r="NS52" s="166">
        <f t="shared" si="286"/>
        <v>1.2393176958664498</v>
      </c>
      <c r="NT52" s="166">
        <f t="shared" si="286"/>
        <v>1.3023005347749153</v>
      </c>
      <c r="NU52" s="166">
        <f t="shared" si="286"/>
        <v>1.5570234043172304</v>
      </c>
      <c r="NV52" s="166">
        <f t="shared" si="286"/>
        <v>1.7847853386339634</v>
      </c>
      <c r="NW52" s="166">
        <f t="shared" si="286"/>
        <v>1.8415648713702955</v>
      </c>
      <c r="NX52" s="166">
        <f t="shared" si="286"/>
        <v>1.8981552639439561</v>
      </c>
      <c r="NY52" s="166">
        <f t="shared" si="286"/>
        <v>1.9946358940388176</v>
      </c>
      <c r="NZ52" s="166">
        <f t="shared" si="286"/>
        <v>2.0829531980701024</v>
      </c>
      <c r="OA52" s="166">
        <f t="shared" si="286"/>
        <v>1.7258378941331214</v>
      </c>
      <c r="OB52" s="166">
        <f t="shared" si="286"/>
        <v>1.4892026320099023</v>
      </c>
      <c r="OC52" s="166"/>
      <c r="OD52" s="11"/>
      <c r="OE52" s="166">
        <f t="shared" si="273"/>
        <v>1.765997908071042</v>
      </c>
      <c r="OF52" s="11"/>
      <c r="OG52" s="166">
        <f t="shared" si="274"/>
        <v>1.8231574045629859</v>
      </c>
      <c r="OH52" s="166">
        <f t="shared" si="252"/>
        <v>1.621927325621028</v>
      </c>
      <c r="OI52" s="224"/>
      <c r="OJ52" s="224"/>
      <c r="OK52" s="224"/>
      <c r="OL52" s="224"/>
      <c r="OM52" s="224"/>
      <c r="ON52" s="224"/>
      <c r="OO52" s="224"/>
      <c r="OP52" s="224"/>
      <c r="OQ52" s="224"/>
      <c r="OR52" s="224"/>
      <c r="OS52" s="224"/>
      <c r="OT52" s="224"/>
      <c r="OU52" s="224"/>
      <c r="OV52" s="224"/>
      <c r="OW52" s="224"/>
      <c r="OX52" s="224"/>
      <c r="OY52" s="224"/>
      <c r="OZ52" s="224"/>
      <c r="PA52" s="224"/>
      <c r="PB52" s="224"/>
      <c r="PC52" s="224"/>
      <c r="PD52" s="224"/>
      <c r="PE52" s="224"/>
      <c r="PF52" s="224"/>
      <c r="PG52" s="224"/>
      <c r="PH52" s="224"/>
      <c r="PI52" s="224"/>
      <c r="PJ52" s="224"/>
      <c r="PK52" s="224"/>
      <c r="PL52" s="224"/>
      <c r="PM52" s="224"/>
      <c r="PN52" s="224"/>
      <c r="PO52" s="224"/>
      <c r="PP52" s="224"/>
      <c r="PQ52" s="224"/>
      <c r="PR52" s="224"/>
      <c r="PS52" s="224"/>
      <c r="PT52" s="224"/>
      <c r="PU52" s="224"/>
      <c r="PV52" s="224"/>
      <c r="PW52" s="224"/>
      <c r="PX52" s="28">
        <f>PX13-'Bloom Cleaner Data'!FO13</f>
        <v>-4.1804450491227385E-3</v>
      </c>
      <c r="PY52" s="173">
        <f>PY13-'Bloom Cleaner Data'!FP13</f>
        <v>-0.68125298242512766</v>
      </c>
      <c r="PZ52" s="28">
        <f>PZ13-'Bloom Cleaner Data'!FQ13</f>
        <v>-2.8176024503201447E-3</v>
      </c>
      <c r="QA52" s="173">
        <f>QA13-'Bloom Cleaner Data'!FR13</f>
        <v>-0.56737279055532719</v>
      </c>
      <c r="QB52" s="28">
        <f>QB13-'Bloom Cleaner Data'!FS13</f>
        <v>-1.8240549585986088E-3</v>
      </c>
      <c r="QC52" s="173">
        <f>QC13-'Bloom Cleaner Data'!FT13</f>
        <v>-0.13954990354825458</v>
      </c>
      <c r="QD52" s="28">
        <f>QD13-'Bloom Cleaner Data'!FU13</f>
        <v>-1.0106500911453153E-3</v>
      </c>
      <c r="QE52" s="173">
        <f>QE13-'Bloom Cleaner Data'!FV13</f>
        <v>4.6726104165449645E-2</v>
      </c>
      <c r="QF52" s="28"/>
      <c r="QG52" s="173"/>
      <c r="QH52" s="28"/>
      <c r="QI52" s="173"/>
      <c r="QJ52" s="28">
        <f>QJ13-'Bloom Cleaner Data'!GA13</f>
        <v>-3.6171861471423483E-5</v>
      </c>
      <c r="QK52" s="173"/>
      <c r="QL52" s="28"/>
      <c r="QM52" s="28"/>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row>
    <row r="53" spans="1:516">
      <c r="A53" s="5"/>
      <c r="B53" s="24"/>
      <c r="C53" s="2214" t="s">
        <v>286</v>
      </c>
      <c r="D53" s="1112"/>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668">
        <f>'OPERATING LEASES'!BL14/'Bloom Cleaner Data'!GV14</f>
        <v>6.806325706457092E-2</v>
      </c>
      <c r="DL53" s="2668">
        <f>'OPERATING LEASES'!BM14/'Bloom Cleaner Data'!GW14</f>
        <v>6.6755631002517482E-2</v>
      </c>
      <c r="DM53" s="2668">
        <f>'OPERATING LEASES'!BN14/'Bloom Cleaner Data'!GX14</f>
        <v>6.5465411244626945E-2</v>
      </c>
      <c r="DN53" s="2668">
        <f>'OPERATING LEASES'!BO14/'Bloom Cleaner Data'!GY14</f>
        <v>6.0922034231856645E-2</v>
      </c>
      <c r="DO53" s="2668">
        <f>'OPERATING LEASES'!BP14/'Bloom Cleaner Data'!GZ14</f>
        <v>5.652973817776135E-2</v>
      </c>
      <c r="DP53" s="2668">
        <f>'OPERATING LEASES'!BQ14/'Bloom Cleaner Data'!HA14</f>
        <v>5.6159362139116056E-2</v>
      </c>
      <c r="DQ53" s="2668">
        <f>'OPERATING LEASES'!BR14/'Bloom Cleaner Data'!HB14</f>
        <v>5.5787027836734261E-2</v>
      </c>
      <c r="DR53" s="2668">
        <f>'OPERATING LEASES'!BS14/'Bloom Cleaner Data'!HC14</f>
        <v>5.3964013915103769E-2</v>
      </c>
      <c r="DS53" s="2668">
        <f>'OPERATING LEASES'!BT14/'Bloom Cleaner Data'!HD14</f>
        <v>5.2058856297168291E-2</v>
      </c>
      <c r="DT53" s="2668">
        <f>'OPERATING LEASES'!BU14/'Bloom Cleaner Data'!HE14</f>
        <v>5.6012010761538562E-2</v>
      </c>
      <c r="DU53" s="2668">
        <f>'OPERATING LEASES'!BV14/'Bloom Cleaner Data'!HF14</f>
        <v>6.0190737580973153E-2</v>
      </c>
      <c r="DV53" s="2668">
        <f>'OPERATING LEASES'!BW14/'Bloom Cleaner Data'!HG14</f>
        <v>6.72986581628012E-2</v>
      </c>
      <c r="DW53" s="2668">
        <f>'OPERATING LEASES'!BX14/'Bloom Cleaner Data'!HH14</f>
        <v>7.5289157192842307E-2</v>
      </c>
      <c r="DX53" s="2668">
        <f>'OPERATING LEASES'!BY14/'Bloom Cleaner Data'!HI14</f>
        <v>7.6456714700297218E-2</v>
      </c>
      <c r="DY53" s="2668">
        <f>'OPERATING LEASES'!BZ14/'Bloom Cleaner Data'!HJ14</f>
        <v>7.7706152984842541E-2</v>
      </c>
      <c r="DZ53" s="2668"/>
      <c r="EA53" s="2668">
        <f t="shared" si="253"/>
        <v>6.2603067325050957E-2</v>
      </c>
      <c r="EB53" s="2668"/>
      <c r="EC53" s="2668"/>
      <c r="ED53" s="2668">
        <f t="shared" si="254"/>
        <v>7.1388284124351276E-2</v>
      </c>
      <c r="EE53" s="225"/>
      <c r="EF53" s="2123"/>
      <c r="EG53" s="2123"/>
      <c r="EH53" s="2123"/>
      <c r="EI53" s="2123"/>
      <c r="EJ53" s="2123"/>
      <c r="EK53" s="2123"/>
      <c r="EL53" s="2123"/>
      <c r="EM53" s="225"/>
      <c r="EN53" s="225"/>
      <c r="EO53" s="225"/>
      <c r="EP53" s="225"/>
      <c r="EQ53" s="225"/>
      <c r="ER53" s="225"/>
      <c r="ES53" s="225"/>
      <c r="ET53" s="225"/>
      <c r="EU53" s="225"/>
      <c r="EV53" s="225"/>
      <c r="EW53" s="225"/>
      <c r="EX53" s="225"/>
      <c r="EY53" s="225"/>
      <c r="EZ53" s="225"/>
      <c r="FA53" s="225"/>
      <c r="FB53" s="225"/>
      <c r="FC53" s="225"/>
      <c r="FD53" s="225"/>
      <c r="FE53" s="225"/>
      <c r="FF53" s="225"/>
      <c r="FG53" s="3280"/>
      <c r="FH53" s="1026"/>
      <c r="FI53" s="1026"/>
      <c r="FJ53" s="1026"/>
      <c r="FK53" s="1026"/>
      <c r="FL53" s="1026"/>
      <c r="FM53" s="1026"/>
      <c r="FN53" s="1026"/>
      <c r="FO53" s="1026"/>
      <c r="FP53" s="1026"/>
      <c r="FQ53" s="1026"/>
      <c r="FR53" s="1026"/>
      <c r="FS53" s="1026"/>
      <c r="FT53" s="1026"/>
      <c r="FU53" s="1026"/>
      <c r="FV53" s="1026"/>
      <c r="FW53" s="1026"/>
      <c r="FX53" s="224"/>
      <c r="FY53" s="224"/>
      <c r="FZ53" s="1026"/>
      <c r="GA53" s="1026"/>
      <c r="GB53" s="1026"/>
      <c r="GC53" s="1026"/>
      <c r="GD53" s="1026"/>
      <c r="GE53" s="1026"/>
      <c r="GF53" s="1026"/>
      <c r="GG53" s="1026"/>
      <c r="GH53" s="1026"/>
      <c r="GI53" s="1026"/>
      <c r="GJ53" s="1026"/>
      <c r="GK53" s="1026"/>
      <c r="GL53" s="1026"/>
      <c r="GM53" s="1026"/>
      <c r="GN53" s="1026"/>
      <c r="GO53" s="1026"/>
      <c r="GP53" s="1026"/>
      <c r="GQ53" s="1026"/>
      <c r="GR53" s="1026"/>
      <c r="GS53" s="1026"/>
      <c r="GT53" s="225"/>
      <c r="GU53" s="1026"/>
      <c r="GV53" s="1026"/>
      <c r="GW53" s="1026"/>
      <c r="GX53" s="1026"/>
      <c r="GY53" s="224"/>
      <c r="GZ53" s="224"/>
      <c r="HA53" s="224"/>
      <c r="HB53" s="224"/>
      <c r="HC53" s="224"/>
      <c r="HD53" s="224"/>
      <c r="HE53" s="224"/>
      <c r="HF53" s="224"/>
      <c r="HG53" s="224"/>
      <c r="HH53" s="224"/>
      <c r="HI53" s="224"/>
      <c r="HJ53" s="224"/>
      <c r="HK53" s="224"/>
      <c r="HL53" s="224"/>
      <c r="HM53" s="224"/>
      <c r="HN53" s="225"/>
      <c r="HO53" s="224"/>
      <c r="HP53" s="224"/>
      <c r="HQ53" s="224"/>
      <c r="HR53" s="224"/>
      <c r="HS53" s="224"/>
      <c r="HT53" s="224"/>
      <c r="HU53" s="224"/>
      <c r="HV53" s="224"/>
      <c r="HW53" s="224"/>
      <c r="HX53" s="224"/>
      <c r="HY53" s="224"/>
      <c r="HZ53" s="224"/>
      <c r="IA53" s="224"/>
      <c r="IB53" s="224"/>
      <c r="IC53" s="224"/>
      <c r="ID53" s="224"/>
      <c r="IE53" s="224"/>
      <c r="IF53" s="224"/>
      <c r="IG53" s="225"/>
      <c r="IH53" s="224"/>
      <c r="II53" s="224"/>
      <c r="IJ53" s="224"/>
      <c r="IK53" s="2124">
        <f t="shared" si="255"/>
        <v>0.45470078502122796</v>
      </c>
      <c r="IL53" s="2124">
        <f t="shared" si="256"/>
        <v>0.48462960429046431</v>
      </c>
      <c r="IM53" s="2124">
        <f t="shared" si="257"/>
        <v>0.516976505862761</v>
      </c>
      <c r="IN53" s="2124">
        <f t="shared" si="258"/>
        <v>0.49315392325637686</v>
      </c>
      <c r="IO53" s="2124">
        <f t="shared" si="259"/>
        <v>0.46919315959316199</v>
      </c>
      <c r="IP53" s="2124">
        <f t="shared" si="260"/>
        <v>0.47877820044030561</v>
      </c>
      <c r="IQ53" s="2124">
        <f t="shared" si="261"/>
        <v>0.48860363603072154</v>
      </c>
      <c r="IR53" s="2124">
        <f t="shared" si="262"/>
        <v>0.50660256034708184</v>
      </c>
      <c r="IS53" s="2124">
        <f t="shared" si="263"/>
        <v>0.52683493315382302</v>
      </c>
      <c r="IT53" s="2124">
        <f t="shared" si="264"/>
        <v>0.55210478267619723</v>
      </c>
      <c r="IU53" s="2124">
        <f t="shared" si="265"/>
        <v>0.57846570352829951</v>
      </c>
      <c r="IV53" s="2124">
        <f t="shared" si="266"/>
        <v>0.60193554852555486</v>
      </c>
      <c r="IW53" s="2124">
        <f t="shared" si="267"/>
        <v>0.62775178035121393</v>
      </c>
      <c r="IX53" s="2124">
        <f t="shared" si="268"/>
        <v>0.64111973305713121</v>
      </c>
      <c r="IY53" s="2124">
        <f t="shared" si="269"/>
        <v>0.65530118542007598</v>
      </c>
      <c r="IZ53" s="225"/>
      <c r="JA53" s="2124">
        <f t="shared" si="270"/>
        <v>0.54898628094174651</v>
      </c>
      <c r="JB53" s="224"/>
      <c r="JC53" s="224"/>
      <c r="JD53" s="224"/>
      <c r="JE53" s="224"/>
      <c r="JF53" s="224"/>
      <c r="JG53" s="224"/>
      <c r="JH53" s="224"/>
      <c r="JI53" s="224"/>
      <c r="JJ53" s="224"/>
      <c r="JK53" s="224"/>
      <c r="JL53" s="224"/>
      <c r="JM53" s="224"/>
      <c r="JN53" s="224"/>
      <c r="JO53" s="224"/>
      <c r="JP53" s="224"/>
      <c r="JQ53" s="224"/>
      <c r="JR53" s="224"/>
      <c r="JS53" s="224"/>
      <c r="JT53" s="224"/>
      <c r="JU53" s="225"/>
      <c r="JV53" s="224"/>
      <c r="JW53" s="224"/>
      <c r="JX53" s="224"/>
      <c r="JY53" s="224"/>
      <c r="JZ53" s="224"/>
      <c r="KA53" s="224"/>
      <c r="KB53" s="224"/>
      <c r="KC53" s="224"/>
      <c r="KD53" s="224"/>
      <c r="KE53" s="224"/>
      <c r="KF53" s="224"/>
      <c r="KG53" s="224"/>
      <c r="KH53" s="224"/>
      <c r="KI53" s="224"/>
      <c r="KJ53" s="224"/>
      <c r="KK53" s="224"/>
      <c r="KL53" s="224"/>
      <c r="KM53" s="224"/>
      <c r="KN53" s="224"/>
      <c r="KO53" s="224"/>
      <c r="KP53" s="225"/>
      <c r="KQ53" s="224"/>
      <c r="KR53" s="224"/>
      <c r="KS53" s="224"/>
      <c r="KT53" s="224"/>
      <c r="KU53" s="224"/>
      <c r="KV53" s="224"/>
      <c r="KW53" s="224"/>
      <c r="KX53" s="224"/>
      <c r="KY53" s="224"/>
      <c r="KZ53" s="224"/>
      <c r="LA53" s="224"/>
      <c r="LB53" s="224"/>
      <c r="LC53" s="224"/>
      <c r="LD53" s="224"/>
      <c r="LE53" s="224"/>
      <c r="LF53" s="224"/>
      <c r="LG53" s="224"/>
      <c r="LH53" s="224"/>
      <c r="LI53" s="224"/>
      <c r="LJ53" s="224"/>
      <c r="LK53" s="224"/>
      <c r="LL53" s="225"/>
      <c r="LM53" s="224"/>
      <c r="LN53" s="224"/>
      <c r="LO53" s="224"/>
      <c r="LP53" s="224"/>
      <c r="LQ53" s="224"/>
      <c r="LR53" s="224"/>
      <c r="LS53" s="224"/>
      <c r="LT53" s="224"/>
      <c r="LU53" s="224"/>
      <c r="LV53" s="224"/>
      <c r="LW53" s="224"/>
      <c r="LX53" s="224"/>
      <c r="LY53" s="224"/>
      <c r="LZ53" s="224"/>
      <c r="MA53" s="224"/>
      <c r="MB53" s="224"/>
      <c r="MC53" s="224"/>
      <c r="MD53" s="224"/>
      <c r="ME53" s="224"/>
      <c r="MF53" s="224"/>
      <c r="MG53" s="224"/>
      <c r="MH53" s="224"/>
      <c r="MI53" s="224"/>
      <c r="MJ53" s="224"/>
      <c r="MK53" s="224"/>
      <c r="ML53" s="224"/>
      <c r="MM53" s="224"/>
      <c r="MN53" s="224"/>
      <c r="MO53" s="224"/>
      <c r="MP53" s="224"/>
      <c r="MQ53" s="224"/>
      <c r="MR53" s="224"/>
      <c r="MS53" s="224"/>
      <c r="MT53" s="224"/>
      <c r="MU53" s="224"/>
      <c r="MV53" s="224"/>
      <c r="MW53" s="224"/>
      <c r="MX53" s="224"/>
      <c r="MY53" s="224"/>
      <c r="MZ53" s="224"/>
      <c r="NA53" s="224"/>
      <c r="NB53" s="224"/>
      <c r="NC53" s="224"/>
      <c r="ND53" s="224"/>
      <c r="NE53" s="224"/>
      <c r="NF53" s="224"/>
      <c r="NG53" s="224"/>
      <c r="NH53" s="224"/>
      <c r="NI53" s="224"/>
      <c r="NJ53" s="224"/>
      <c r="NK53" s="224"/>
      <c r="NL53" s="2826">
        <f t="shared" si="250"/>
        <v>0.2</v>
      </c>
      <c r="NM53" s="73" t="s">
        <v>286</v>
      </c>
      <c r="NN53" s="166">
        <f t="shared" si="271"/>
        <v>2.8265018811893841</v>
      </c>
      <c r="NO53" s="166">
        <f t="shared" ref="NO53:OB53" si="287">NO14+0.2</f>
        <v>3.1532542787037823</v>
      </c>
      <c r="NP53" s="166">
        <f t="shared" si="287"/>
        <v>3.491436488656221</v>
      </c>
      <c r="NQ53" s="166">
        <f t="shared" si="287"/>
        <v>3.0431499992589028</v>
      </c>
      <c r="NR53" s="166">
        <f t="shared" si="287"/>
        <v>2.6165534450752861</v>
      </c>
      <c r="NS53" s="166">
        <f t="shared" si="287"/>
        <v>2.6537874645425354</v>
      </c>
      <c r="NT53" s="166">
        <f t="shared" si="287"/>
        <v>2.6920002691956539</v>
      </c>
      <c r="NU53" s="166">
        <f t="shared" si="287"/>
        <v>2.6153064611820973</v>
      </c>
      <c r="NV53" s="166">
        <f t="shared" si="287"/>
        <v>2.5348257014187601</v>
      </c>
      <c r="NW53" s="166">
        <f t="shared" si="287"/>
        <v>2.8382841498728748</v>
      </c>
      <c r="NX53" s="166">
        <f t="shared" si="287"/>
        <v>3.1563593049613239</v>
      </c>
      <c r="NY53" s="166">
        <f t="shared" si="287"/>
        <v>3.369121127676078</v>
      </c>
      <c r="NZ53" s="166">
        <f t="shared" si="287"/>
        <v>3.6022891033342144</v>
      </c>
      <c r="OA53" s="166">
        <f t="shared" si="287"/>
        <v>3.5324844590067892</v>
      </c>
      <c r="OB53" s="166">
        <f t="shared" si="287"/>
        <v>3.4623961251190862</v>
      </c>
      <c r="OC53" s="166"/>
      <c r="OD53" s="11"/>
      <c r="OE53" s="166">
        <f t="shared" si="273"/>
        <v>3.5323898958200295</v>
      </c>
      <c r="OF53" s="11"/>
      <c r="OG53" s="166">
        <f t="shared" si="274"/>
        <v>3.4915727037840418</v>
      </c>
      <c r="OH53" s="166">
        <f t="shared" si="252"/>
        <v>3.046768776869218</v>
      </c>
      <c r="OI53" s="224"/>
      <c r="OJ53" s="224"/>
      <c r="OK53" s="224"/>
      <c r="OL53" s="224"/>
      <c r="OM53" s="224"/>
      <c r="ON53" s="224"/>
      <c r="OO53" s="224"/>
      <c r="OP53" s="224"/>
      <c r="OQ53" s="224"/>
      <c r="OR53" s="224"/>
      <c r="OS53" s="224"/>
      <c r="OT53" s="224"/>
      <c r="OU53" s="224"/>
      <c r="OV53" s="224"/>
      <c r="OW53" s="224"/>
      <c r="OX53" s="224"/>
      <c r="OY53" s="224"/>
      <c r="OZ53" s="224"/>
      <c r="PA53" s="224"/>
      <c r="PB53" s="224"/>
      <c r="PC53" s="224"/>
      <c r="PD53" s="224"/>
      <c r="PE53" s="224"/>
      <c r="PF53" s="224"/>
      <c r="PG53" s="224"/>
      <c r="PH53" s="224"/>
      <c r="PI53" s="224"/>
      <c r="PJ53" s="224"/>
      <c r="PK53" s="224"/>
      <c r="PL53" s="224"/>
      <c r="PM53" s="224"/>
      <c r="PN53" s="224"/>
      <c r="PO53" s="224"/>
      <c r="PP53" s="224"/>
      <c r="PQ53" s="224"/>
      <c r="PR53" s="224"/>
      <c r="PS53" s="224"/>
      <c r="PT53" s="224"/>
      <c r="PU53" s="224"/>
      <c r="PV53" s="224"/>
      <c r="PW53" s="224"/>
      <c r="PX53" s="28">
        <f>PX14-'Bloom Cleaner Data'!FO14</f>
        <v>-0.15749466477330376</v>
      </c>
      <c r="PY53" s="173">
        <f>PY14-'Bloom Cleaner Data'!FP14</f>
        <v>-0.40256576446875902</v>
      </c>
      <c r="PZ53" s="28">
        <f>PZ14-'Bloom Cleaner Data'!FQ14</f>
        <v>-8.9503005738227559E-2</v>
      </c>
      <c r="QA53" s="173">
        <f>QA14-'Bloom Cleaner Data'!FR14</f>
        <v>-0.14601104115621988</v>
      </c>
      <c r="QB53" s="28">
        <f>QB14-'Bloom Cleaner Data'!FS14</f>
        <v>-0.11014382072331919</v>
      </c>
      <c r="QC53" s="173">
        <f>QC14-'Bloom Cleaner Data'!FT14</f>
        <v>-0.14135026883461821</v>
      </c>
      <c r="QD53" s="28">
        <f>QD14-'Bloom Cleaner Data'!FU14</f>
        <v>-9.2675565416073358E-2</v>
      </c>
      <c r="QE53" s="173">
        <f>QE14-'Bloom Cleaner Data'!FV14</f>
        <v>2.781089628873934E-2</v>
      </c>
      <c r="QF53" s="28"/>
      <c r="QG53" s="173"/>
      <c r="QH53" s="28"/>
      <c r="QI53" s="173"/>
      <c r="QJ53" s="28">
        <f>QJ14-'Bloom Cleaner Data'!GA14</f>
        <v>-7.0975382807762277E-2</v>
      </c>
      <c r="QK53" s="173"/>
      <c r="QL53" s="28"/>
      <c r="QM53" s="28"/>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row>
    <row r="54" spans="1:516">
      <c r="A54" s="5"/>
      <c r="B54" s="24"/>
      <c r="C54" s="2214" t="s">
        <v>42</v>
      </c>
      <c r="D54" s="1112"/>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668">
        <f>'OPERATING LEASES'!BL15/'Bloom Cleaner Data'!GV15</f>
        <v>0</v>
      </c>
      <c r="DL54" s="2668">
        <f>'OPERATING LEASES'!BM15/'Bloom Cleaner Data'!GW15</f>
        <v>0</v>
      </c>
      <c r="DM54" s="2668">
        <f>'OPERATING LEASES'!BN15/'Bloom Cleaner Data'!GX15</f>
        <v>0</v>
      </c>
      <c r="DN54" s="2668">
        <f>'OPERATING LEASES'!BO15/'Bloom Cleaner Data'!GY15</f>
        <v>0</v>
      </c>
      <c r="DO54" s="2668">
        <f>'OPERATING LEASES'!BP15/'Bloom Cleaner Data'!GZ15</f>
        <v>0</v>
      </c>
      <c r="DP54" s="2668">
        <f>'OPERATING LEASES'!BQ15/'Bloom Cleaner Data'!HA15</f>
        <v>1.4961713567001792E-2</v>
      </c>
      <c r="DQ54" s="2668">
        <f>'OPERATING LEASES'!BR15/'Bloom Cleaner Data'!HB15</f>
        <v>3.0920714211032669E-2</v>
      </c>
      <c r="DR54" s="2668">
        <f>'OPERATING LEASES'!BS15/'Bloom Cleaner Data'!HC15</f>
        <v>4.7428441357578649E-2</v>
      </c>
      <c r="DS54" s="2668">
        <f>'OPERATING LEASES'!BT15/'Bloom Cleaner Data'!HD15</f>
        <v>6.0590431781938722E-2</v>
      </c>
      <c r="DT54" s="2668">
        <f>'OPERATING LEASES'!BU15/'Bloom Cleaner Data'!HE15</f>
        <v>6.2106012547647402E-2</v>
      </c>
      <c r="DU54" s="2668">
        <f>'OPERATING LEASES'!BV15/'Bloom Cleaner Data'!HF15</f>
        <v>6.6286801126036285E-2</v>
      </c>
      <c r="DV54" s="2668">
        <f>'OPERATING LEASES'!BW15/'Bloom Cleaner Data'!HG15</f>
        <v>7.0245261848356777E-2</v>
      </c>
      <c r="DW54" s="2668">
        <f>'OPERATING LEASES'!BX15/'Bloom Cleaner Data'!HH15</f>
        <v>8.0283833248615294E-2</v>
      </c>
      <c r="DX54" s="2668">
        <f>'OPERATING LEASES'!BY15/'Bloom Cleaner Data'!HI15</f>
        <v>8.3213058841533155E-2</v>
      </c>
      <c r="DY54" s="2668">
        <f>'OPERATING LEASES'!BZ15/'Bloom Cleaner Data'!HJ15</f>
        <v>8.5024809392937328E-2</v>
      </c>
      <c r="DZ54" s="2668"/>
      <c r="EA54" s="2668">
        <f t="shared" si="253"/>
        <v>4.6235467532513702E-2</v>
      </c>
      <c r="EB54" s="2668"/>
      <c r="EC54" s="2668"/>
      <c r="ED54" s="2668">
        <f t="shared" si="254"/>
        <v>7.7010752891495768E-2</v>
      </c>
      <c r="EE54" s="225"/>
      <c r="EF54" s="2123"/>
      <c r="EG54" s="2123"/>
      <c r="EH54" s="2123"/>
      <c r="EI54" s="2123"/>
      <c r="EJ54" s="2123"/>
      <c r="EK54" s="2123"/>
      <c r="EL54" s="2123"/>
      <c r="EM54" s="225"/>
      <c r="EN54" s="225"/>
      <c r="EO54" s="225"/>
      <c r="EP54" s="225"/>
      <c r="EQ54" s="225"/>
      <c r="ER54" s="225"/>
      <c r="ES54" s="225"/>
      <c r="ET54" s="225"/>
      <c r="EU54" s="225"/>
      <c r="EV54" s="225"/>
      <c r="EW54" s="225"/>
      <c r="EX54" s="225"/>
      <c r="EY54" s="225"/>
      <c r="EZ54" s="225"/>
      <c r="FA54" s="225"/>
      <c r="FB54" s="225"/>
      <c r="FC54" s="225"/>
      <c r="FD54" s="225"/>
      <c r="FE54" s="225"/>
      <c r="FF54" s="225"/>
      <c r="FG54" s="3280"/>
      <c r="FH54" s="1026"/>
      <c r="FI54" s="1026"/>
      <c r="FJ54" s="1026"/>
      <c r="FK54" s="1026"/>
      <c r="FL54" s="1026"/>
      <c r="FM54" s="1026"/>
      <c r="FN54" s="1026"/>
      <c r="FO54" s="1026"/>
      <c r="FP54" s="1026"/>
      <c r="FQ54" s="1026"/>
      <c r="FR54" s="1026"/>
      <c r="FS54" s="1026"/>
      <c r="FT54" s="1026"/>
      <c r="FU54" s="1026"/>
      <c r="FV54" s="1026"/>
      <c r="FW54" s="1026"/>
      <c r="FX54" s="224"/>
      <c r="FY54" s="224"/>
      <c r="FZ54" s="1026"/>
      <c r="GA54" s="1026"/>
      <c r="GB54" s="1026"/>
      <c r="GC54" s="1026"/>
      <c r="GD54" s="1026"/>
      <c r="GE54" s="1026"/>
      <c r="GF54" s="1026"/>
      <c r="GG54" s="1026"/>
      <c r="GH54" s="1026"/>
      <c r="GI54" s="1026"/>
      <c r="GJ54" s="1026"/>
      <c r="GK54" s="1026"/>
      <c r="GL54" s="1026"/>
      <c r="GM54" s="1026"/>
      <c r="GN54" s="1026"/>
      <c r="GO54" s="1026"/>
      <c r="GP54" s="1026"/>
      <c r="GQ54" s="1026"/>
      <c r="GR54" s="1026"/>
      <c r="GS54" s="1026"/>
      <c r="GT54" s="225"/>
      <c r="GU54" s="1026"/>
      <c r="GV54" s="1026"/>
      <c r="GW54" s="1026"/>
      <c r="GX54" s="1026"/>
      <c r="GY54" s="224"/>
      <c r="GZ54" s="224"/>
      <c r="HA54" s="224"/>
      <c r="HB54" s="224"/>
      <c r="HC54" s="224"/>
      <c r="HD54" s="224"/>
      <c r="HE54" s="224"/>
      <c r="HF54" s="224"/>
      <c r="HG54" s="224"/>
      <c r="HH54" s="224"/>
      <c r="HI54" s="224"/>
      <c r="HJ54" s="224"/>
      <c r="HK54" s="224"/>
      <c r="HL54" s="224"/>
      <c r="HM54" s="224"/>
      <c r="HN54" s="225"/>
      <c r="HO54" s="224"/>
      <c r="HP54" s="224"/>
      <c r="HQ54" s="224"/>
      <c r="HR54" s="224"/>
      <c r="HS54" s="224"/>
      <c r="HT54" s="224"/>
      <c r="HU54" s="224"/>
      <c r="HV54" s="224"/>
      <c r="HW54" s="224"/>
      <c r="HX54" s="224"/>
      <c r="HY54" s="224"/>
      <c r="HZ54" s="224"/>
      <c r="IA54" s="224"/>
      <c r="IB54" s="224"/>
      <c r="IC54" s="224"/>
      <c r="ID54" s="224"/>
      <c r="IE54" s="224"/>
      <c r="IF54" s="224"/>
      <c r="IG54" s="225"/>
      <c r="IH54" s="224"/>
      <c r="II54" s="224"/>
      <c r="IJ54" s="224"/>
      <c r="IK54" s="2124">
        <f t="shared" si="255"/>
        <v>0.4724961622825653</v>
      </c>
      <c r="IL54" s="2124">
        <f t="shared" si="256"/>
        <v>0.50011196337979591</v>
      </c>
      <c r="IM54" s="2124">
        <f t="shared" si="257"/>
        <v>0.60066761869939456</v>
      </c>
      <c r="IN54" s="2124">
        <f t="shared" si="258"/>
        <v>0.63623638397563642</v>
      </c>
      <c r="IO54" s="2124">
        <f t="shared" si="259"/>
        <v>0.58770886563146207</v>
      </c>
      <c r="IP54" s="2124">
        <f t="shared" si="260"/>
        <v>0.53421765729718218</v>
      </c>
      <c r="IQ54" s="2124">
        <f t="shared" si="261"/>
        <v>0.58120738558642016</v>
      </c>
      <c r="IR54" s="2124">
        <f t="shared" si="262"/>
        <v>0.73704755323658999</v>
      </c>
      <c r="IS54" s="2124">
        <f t="shared" si="263"/>
        <v>0.7387318689811192</v>
      </c>
      <c r="IT54" s="2124">
        <f t="shared" si="264"/>
        <v>0.71257174792641953</v>
      </c>
      <c r="IU54" s="2124">
        <f t="shared" si="265"/>
        <v>0.79254036893731128</v>
      </c>
      <c r="IV54" s="2124">
        <f t="shared" si="266"/>
        <v>0.71138693761362748</v>
      </c>
      <c r="IW54" s="2124">
        <f t="shared" si="267"/>
        <v>0.57639785291860424</v>
      </c>
      <c r="IX54" s="2124">
        <f t="shared" si="268"/>
        <v>0.58648609664797502</v>
      </c>
      <c r="IY54" s="2124">
        <f t="shared" si="269"/>
        <v>0.44527495080222473</v>
      </c>
      <c r="IZ54" s="225"/>
      <c r="JA54" s="2124">
        <f t="shared" si="270"/>
        <v>0.63388271448107447</v>
      </c>
      <c r="JB54" s="224"/>
      <c r="JC54" s="224"/>
      <c r="JD54" s="224"/>
      <c r="JE54" s="224"/>
      <c r="JF54" s="224"/>
      <c r="JG54" s="224"/>
      <c r="JH54" s="224"/>
      <c r="JI54" s="224"/>
      <c r="JJ54" s="224"/>
      <c r="JK54" s="224"/>
      <c r="JL54" s="224"/>
      <c r="JM54" s="224"/>
      <c r="JN54" s="224"/>
      <c r="JO54" s="224"/>
      <c r="JP54" s="224"/>
      <c r="JQ54" s="224"/>
      <c r="JR54" s="224"/>
      <c r="JS54" s="224"/>
      <c r="JT54" s="224"/>
      <c r="JU54" s="225"/>
      <c r="JV54" s="224"/>
      <c r="JW54" s="224"/>
      <c r="JX54" s="224"/>
      <c r="JY54" s="224"/>
      <c r="JZ54" s="224"/>
      <c r="KA54" s="224"/>
      <c r="KB54" s="224"/>
      <c r="KC54" s="224"/>
      <c r="KD54" s="224"/>
      <c r="KE54" s="224"/>
      <c r="KF54" s="224"/>
      <c r="KG54" s="224"/>
      <c r="KH54" s="224"/>
      <c r="KI54" s="224"/>
      <c r="KJ54" s="224"/>
      <c r="KK54" s="224"/>
      <c r="KL54" s="224"/>
      <c r="KM54" s="224"/>
      <c r="KN54" s="224"/>
      <c r="KO54" s="224"/>
      <c r="KP54" s="225"/>
      <c r="KQ54" s="224"/>
      <c r="KR54" s="224"/>
      <c r="KS54" s="224"/>
      <c r="KT54" s="224"/>
      <c r="KU54" s="224"/>
      <c r="KV54" s="224"/>
      <c r="KW54" s="224"/>
      <c r="KX54" s="224"/>
      <c r="KY54" s="224"/>
      <c r="KZ54" s="224"/>
      <c r="LA54" s="224"/>
      <c r="LB54" s="224"/>
      <c r="LC54" s="224"/>
      <c r="LD54" s="224"/>
      <c r="LE54" s="224"/>
      <c r="LF54" s="224"/>
      <c r="LG54" s="224"/>
      <c r="LH54" s="224"/>
      <c r="LI54" s="224"/>
      <c r="LJ54" s="224"/>
      <c r="LK54" s="224"/>
      <c r="LL54" s="225"/>
      <c r="LM54" s="224"/>
      <c r="LN54" s="224"/>
      <c r="LO54" s="224"/>
      <c r="LP54" s="224"/>
      <c r="LQ54" s="224"/>
      <c r="LR54" s="224"/>
      <c r="LS54" s="224"/>
      <c r="LT54" s="224"/>
      <c r="LU54" s="224"/>
      <c r="LV54" s="224"/>
      <c r="LW54" s="224"/>
      <c r="LX54" s="224"/>
      <c r="LY54" s="224"/>
      <c r="LZ54" s="224"/>
      <c r="MA54" s="224"/>
      <c r="MB54" s="224"/>
      <c r="MC54" s="224"/>
      <c r="MD54" s="224"/>
      <c r="ME54" s="224"/>
      <c r="MF54" s="224"/>
      <c r="MG54" s="224"/>
      <c r="MH54" s="224"/>
      <c r="MI54" s="224"/>
      <c r="MJ54" s="224"/>
      <c r="MK54" s="224"/>
      <c r="ML54" s="224"/>
      <c r="MM54" s="224"/>
      <c r="MN54" s="224"/>
      <c r="MO54" s="224"/>
      <c r="MP54" s="224"/>
      <c r="MQ54" s="224"/>
      <c r="MR54" s="224"/>
      <c r="MS54" s="224"/>
      <c r="MT54" s="224"/>
      <c r="MU54" s="224"/>
      <c r="MV54" s="224"/>
      <c r="MW54" s="224"/>
      <c r="MX54" s="224"/>
      <c r="MY54" s="224"/>
      <c r="MZ54" s="224"/>
      <c r="NA54" s="224"/>
      <c r="NB54" s="224"/>
      <c r="NC54" s="224"/>
      <c r="ND54" s="224"/>
      <c r="NE54" s="224"/>
      <c r="NF54" s="224"/>
      <c r="NG54" s="224"/>
      <c r="NH54" s="224"/>
      <c r="NI54" s="224"/>
      <c r="NJ54" s="224"/>
      <c r="NK54" s="224"/>
      <c r="NL54" s="2826">
        <f t="shared" si="250"/>
        <v>0.2</v>
      </c>
      <c r="NM54" s="73" t="s">
        <v>42</v>
      </c>
      <c r="NN54" s="166">
        <f t="shared" si="271"/>
        <v>2.5697567726090997</v>
      </c>
      <c r="NO54" s="166">
        <f t="shared" ref="NO54:OB54" si="288">NO15+0.2</f>
        <v>2.6270900430187161</v>
      </c>
      <c r="NP54" s="166">
        <f t="shared" si="288"/>
        <v>2.5216963332951425</v>
      </c>
      <c r="NQ54" s="166">
        <f t="shared" si="288"/>
        <v>2.6028859922159269</v>
      </c>
      <c r="NR54" s="166">
        <f t="shared" si="288"/>
        <v>3.1313864886151439</v>
      </c>
      <c r="NS54" s="166">
        <f t="shared" si="288"/>
        <v>2.995363719035951</v>
      </c>
      <c r="NT54" s="166">
        <f t="shared" si="288"/>
        <v>3.2425540777720565</v>
      </c>
      <c r="NU54" s="166">
        <f t="shared" si="288"/>
        <v>3.3948897886404263</v>
      </c>
      <c r="NV54" s="166">
        <f t="shared" si="288"/>
        <v>2.7843947247970435</v>
      </c>
      <c r="NW54" s="166">
        <f t="shared" si="288"/>
        <v>2.7749666827554504</v>
      </c>
      <c r="NX54" s="166">
        <f t="shared" si="288"/>
        <v>3.0241665516858132</v>
      </c>
      <c r="NY54" s="166">
        <f t="shared" si="288"/>
        <v>2.7950638213005012</v>
      </c>
      <c r="NZ54" s="166">
        <f t="shared" si="288"/>
        <v>3.0851977840651594</v>
      </c>
      <c r="OA54" s="166">
        <f t="shared" si="288"/>
        <v>3.2365095500169416</v>
      </c>
      <c r="OB54" s="166">
        <f t="shared" si="288"/>
        <v>2.5635308429250472</v>
      </c>
      <c r="OC54" s="166"/>
      <c r="OD54" s="11"/>
      <c r="OE54" s="166">
        <f t="shared" si="273"/>
        <v>2.9617460590023827</v>
      </c>
      <c r="OF54" s="11"/>
      <c r="OG54" s="166">
        <f t="shared" si="274"/>
        <v>2.920075499576912</v>
      </c>
      <c r="OH54" s="166">
        <f t="shared" si="252"/>
        <v>2.9348158736246615</v>
      </c>
      <c r="OI54" s="224"/>
      <c r="OJ54" s="224"/>
      <c r="OK54" s="224"/>
      <c r="OL54" s="224"/>
      <c r="OM54" s="224"/>
      <c r="ON54" s="224"/>
      <c r="OO54" s="224"/>
      <c r="OP54" s="224"/>
      <c r="OQ54" s="224"/>
      <c r="OR54" s="224"/>
      <c r="OS54" s="224"/>
      <c r="OT54" s="224"/>
      <c r="OU54" s="224"/>
      <c r="OV54" s="224"/>
      <c r="OW54" s="224"/>
      <c r="OX54" s="224"/>
      <c r="OY54" s="224"/>
      <c r="OZ54" s="224"/>
      <c r="PA54" s="224"/>
      <c r="PB54" s="224"/>
      <c r="PC54" s="224"/>
      <c r="PD54" s="224"/>
      <c r="PE54" s="224"/>
      <c r="PF54" s="224"/>
      <c r="PG54" s="224"/>
      <c r="PH54" s="224"/>
      <c r="PI54" s="224"/>
      <c r="PJ54" s="224"/>
      <c r="PK54" s="224"/>
      <c r="PL54" s="224"/>
      <c r="PM54" s="224"/>
      <c r="PN54" s="224"/>
      <c r="PO54" s="224"/>
      <c r="PP54" s="224"/>
      <c r="PQ54" s="224"/>
      <c r="PR54" s="224"/>
      <c r="PS54" s="224"/>
      <c r="PT54" s="224"/>
      <c r="PU54" s="224"/>
      <c r="PV54" s="224"/>
      <c r="PW54" s="224"/>
      <c r="PX54" s="166">
        <f>PX15-'Bloom Cleaner Data'!FO15</f>
        <v>-1.8007468128018687</v>
      </c>
      <c r="PY54" s="166">
        <f>PY15-'Bloom Cleaner Data'!FP15</f>
        <v>-1.3979643950617282</v>
      </c>
      <c r="PZ54" s="166">
        <f>PZ15-'Bloom Cleaner Data'!FQ15</f>
        <v>-1.2664763340793967</v>
      </c>
      <c r="QA54" s="166">
        <f>QA15-'Bloom Cleaner Data'!FR15</f>
        <v>-0.88193013853700619</v>
      </c>
      <c r="QB54" s="166">
        <f>QB15-'Bloom Cleaner Data'!FS15</f>
        <v>-0.9143819436040177</v>
      </c>
      <c r="QC54" s="166">
        <f>QC15-'Bloom Cleaner Data'!FT15</f>
        <v>-0.99297196708875513</v>
      </c>
      <c r="QD54" s="166">
        <f>QD15-'Bloom Cleaner Data'!FU15</f>
        <v>-0.8254199662813102</v>
      </c>
      <c r="QE54" s="166">
        <f>QE15-'Bloom Cleaner Data'!FV15</f>
        <v>-0.28339163438383419</v>
      </c>
      <c r="QF54" s="166"/>
      <c r="QG54" s="166"/>
      <c r="QH54" s="166"/>
      <c r="QI54" s="166"/>
      <c r="QJ54" s="166">
        <f>QJ15-'Bloom Cleaner Data'!GA15</f>
        <v>-0.29818159698083213</v>
      </c>
      <c r="QK54" s="166"/>
      <c r="QL54" s="166"/>
      <c r="QM54" s="166"/>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row>
    <row r="55" spans="1:516">
      <c r="A55" s="5"/>
      <c r="B55" s="24"/>
      <c r="C55" s="2214" t="s">
        <v>284</v>
      </c>
      <c r="D55" s="1112"/>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668">
        <f>'OPERATING LEASES'!BL16/'Bloom Cleaner Data'!GV16</f>
        <v>1.3900431270833182E-2</v>
      </c>
      <c r="DL55" s="2668">
        <f>'OPERATING LEASES'!BM16/'Bloom Cleaner Data'!GW16</f>
        <v>1.2775704438975018E-2</v>
      </c>
      <c r="DM55" s="2668">
        <f>'OPERATING LEASES'!BN16/'Bloom Cleaner Data'!GX16</f>
        <v>1.1656206979523734E-2</v>
      </c>
      <c r="DN55" s="2668">
        <f>'OPERATING LEASES'!BO16/'Bloom Cleaner Data'!GY16</f>
        <v>1.0876676511751854E-2</v>
      </c>
      <c r="DO55" s="2668">
        <f>'OPERATING LEASES'!BP16/'Bloom Cleaner Data'!GZ16</f>
        <v>9.5513068063240326E-3</v>
      </c>
      <c r="DP55" s="2668">
        <f>'OPERATING LEASES'!BQ16/'Bloom Cleaner Data'!HA16</f>
        <v>9.7454351813719298E-3</v>
      </c>
      <c r="DQ55" s="2668">
        <f>'OPERATING LEASES'!BR16/'Bloom Cleaner Data'!HB16</f>
        <v>9.9216102448191675E-3</v>
      </c>
      <c r="DR55" s="2668">
        <f>'OPERATING LEASES'!BS16/'Bloom Cleaner Data'!HC16</f>
        <v>9.8217557716652228E-3</v>
      </c>
      <c r="DS55" s="2668">
        <f>'OPERATING LEASES'!BT16/'Bloom Cleaner Data'!HD16</f>
        <v>1.0013650564907281E-2</v>
      </c>
      <c r="DT55" s="2668">
        <f>'OPERATING LEASES'!BU16/'Bloom Cleaner Data'!HE16</f>
        <v>9.7039514514598545E-3</v>
      </c>
      <c r="DU55" s="2668">
        <f>'OPERATING LEASES'!BV16/'Bloom Cleaner Data'!HF16</f>
        <v>9.5245575227905985E-3</v>
      </c>
      <c r="DV55" s="2668">
        <f>'OPERATING LEASES'!BW16/'Bloom Cleaner Data'!HG16</f>
        <v>9.3875352167841226E-3</v>
      </c>
      <c r="DW55" s="2668">
        <f>'OPERATING LEASES'!BX16/'Bloom Cleaner Data'!HH16</f>
        <v>9.1608865085102738E-3</v>
      </c>
      <c r="DX55" s="2668">
        <f>'OPERATING LEASES'!BY16/'Bloom Cleaner Data'!HI16</f>
        <v>9.3922679928638356E-3</v>
      </c>
      <c r="DY55" s="2668">
        <f>'OPERATING LEASES'!BZ16/'Bloom Cleaner Data'!HJ16</f>
        <v>9.6711836779058459E-3</v>
      </c>
      <c r="DZ55" s="2668"/>
      <c r="EA55" s="2668">
        <f t="shared" si="253"/>
        <v>9.8790018792829035E-3</v>
      </c>
      <c r="EB55" s="2668"/>
      <c r="EC55" s="2668"/>
      <c r="ED55" s="2668">
        <f t="shared" si="254"/>
        <v>9.427286183770936E-3</v>
      </c>
      <c r="EE55" s="225"/>
      <c r="EF55" s="2123"/>
      <c r="EG55" s="2123"/>
      <c r="EH55" s="2123"/>
      <c r="EI55" s="2123"/>
      <c r="EJ55" s="2123"/>
      <c r="EK55" s="2123"/>
      <c r="EL55" s="2123"/>
      <c r="EM55" s="225"/>
      <c r="EN55" s="225"/>
      <c r="EO55" s="225"/>
      <c r="EP55" s="225"/>
      <c r="EQ55" s="225"/>
      <c r="ER55" s="225"/>
      <c r="ES55" s="225"/>
      <c r="ET55" s="225"/>
      <c r="EU55" s="225"/>
      <c r="EV55" s="225"/>
      <c r="EW55" s="225"/>
      <c r="EX55" s="225"/>
      <c r="EY55" s="225"/>
      <c r="EZ55" s="225"/>
      <c r="FA55" s="225"/>
      <c r="FB55" s="225"/>
      <c r="FC55" s="225"/>
      <c r="FD55" s="225"/>
      <c r="FE55" s="225"/>
      <c r="FF55" s="225"/>
      <c r="FG55" s="3280"/>
      <c r="FH55" s="1026"/>
      <c r="FI55" s="1026"/>
      <c r="FJ55" s="1026"/>
      <c r="FK55" s="1026"/>
      <c r="FL55" s="1026"/>
      <c r="FM55" s="1026"/>
      <c r="FN55" s="1026"/>
      <c r="FO55" s="1026"/>
      <c r="FP55" s="1026"/>
      <c r="FQ55" s="1026"/>
      <c r="FR55" s="1026"/>
      <c r="FS55" s="1026"/>
      <c r="FT55" s="1026"/>
      <c r="FU55" s="1026"/>
      <c r="FV55" s="1026"/>
      <c r="FW55" s="1026"/>
      <c r="FX55" s="224"/>
      <c r="FY55" s="224"/>
      <c r="FZ55" s="1026"/>
      <c r="GA55" s="1026"/>
      <c r="GB55" s="1026"/>
      <c r="GC55" s="1026"/>
      <c r="GD55" s="1026"/>
      <c r="GE55" s="1026"/>
      <c r="GF55" s="1026"/>
      <c r="GG55" s="1026"/>
      <c r="GH55" s="1026"/>
      <c r="GI55" s="1026"/>
      <c r="GJ55" s="1026"/>
      <c r="GK55" s="1026"/>
      <c r="GL55" s="1026"/>
      <c r="GM55" s="1026"/>
      <c r="GN55" s="1026"/>
      <c r="GO55" s="1026"/>
      <c r="GP55" s="1026"/>
      <c r="GQ55" s="1026"/>
      <c r="GR55" s="1026"/>
      <c r="GS55" s="1026"/>
      <c r="GT55" s="225"/>
      <c r="GU55" s="1026"/>
      <c r="GV55" s="1026"/>
      <c r="GW55" s="1026"/>
      <c r="GX55" s="1026"/>
      <c r="GY55" s="224"/>
      <c r="GZ55" s="224"/>
      <c r="HA55" s="224"/>
      <c r="HB55" s="224"/>
      <c r="HC55" s="224"/>
      <c r="HD55" s="224"/>
      <c r="HE55" s="224"/>
      <c r="HF55" s="224"/>
      <c r="HG55" s="224"/>
      <c r="HH55" s="224"/>
      <c r="HI55" s="224"/>
      <c r="HJ55" s="224"/>
      <c r="HK55" s="224"/>
      <c r="HL55" s="224"/>
      <c r="HM55" s="224"/>
      <c r="HN55" s="225"/>
      <c r="HO55" s="224"/>
      <c r="HP55" s="224"/>
      <c r="HQ55" s="224"/>
      <c r="HR55" s="224"/>
      <c r="HS55" s="224"/>
      <c r="HT55" s="224"/>
      <c r="HU55" s="224"/>
      <c r="HV55" s="224"/>
      <c r="HW55" s="224"/>
      <c r="HX55" s="224"/>
      <c r="HY55" s="224"/>
      <c r="HZ55" s="224"/>
      <c r="IA55" s="224"/>
      <c r="IB55" s="224"/>
      <c r="IC55" s="224"/>
      <c r="ID55" s="224"/>
      <c r="IE55" s="224"/>
      <c r="IF55" s="224"/>
      <c r="IG55" s="225"/>
      <c r="IH55" s="224"/>
      <c r="II55" s="224"/>
      <c r="IJ55" s="224"/>
      <c r="IK55" s="2124">
        <f t="shared" si="255"/>
        <v>0.64016098293328672</v>
      </c>
      <c r="IL55" s="2124">
        <f t="shared" si="256"/>
        <v>0.64218532663269057</v>
      </c>
      <c r="IM55" s="2124">
        <f t="shared" si="257"/>
        <v>0.68467718162589686</v>
      </c>
      <c r="IN55" s="2124">
        <f t="shared" si="258"/>
        <v>0.65445337322435859</v>
      </c>
      <c r="IO55" s="2124">
        <f t="shared" si="259"/>
        <v>0.6530661065824731</v>
      </c>
      <c r="IP55" s="2124">
        <f t="shared" si="260"/>
        <v>0.6157208191922936</v>
      </c>
      <c r="IQ55" s="2124">
        <f t="shared" si="261"/>
        <v>0.64883597126831172</v>
      </c>
      <c r="IR55" s="2124">
        <f t="shared" si="262"/>
        <v>0.6846947076169474</v>
      </c>
      <c r="IS55" s="2124">
        <f t="shared" si="263"/>
        <v>0.68312920452585058</v>
      </c>
      <c r="IT55" s="2124">
        <f t="shared" si="264"/>
        <v>0.66516963331993406</v>
      </c>
      <c r="IU55" s="2124">
        <f t="shared" si="265"/>
        <v>0.69770842791231402</v>
      </c>
      <c r="IV55" s="2124">
        <f t="shared" si="266"/>
        <v>0.69133930099356922</v>
      </c>
      <c r="IW55" s="2124">
        <f t="shared" si="267"/>
        <v>0.70996682298780567</v>
      </c>
      <c r="IX55" s="2124">
        <f t="shared" si="268"/>
        <v>0.75396862128794373</v>
      </c>
      <c r="IY55" s="2124">
        <f t="shared" si="269"/>
        <v>0.75672107111582532</v>
      </c>
      <c r="IZ55" s="225"/>
      <c r="JA55" s="2124">
        <f t="shared" si="270"/>
        <v>0.68457317243488636</v>
      </c>
      <c r="JB55" s="224"/>
      <c r="JC55" s="224"/>
      <c r="JD55" s="224"/>
      <c r="JE55" s="224"/>
      <c r="JF55" s="224"/>
      <c r="JG55" s="224"/>
      <c r="JH55" s="224"/>
      <c r="JI55" s="224"/>
      <c r="JJ55" s="224"/>
      <c r="JK55" s="224"/>
      <c r="JL55" s="224"/>
      <c r="JM55" s="224"/>
      <c r="JN55" s="224"/>
      <c r="JO55" s="224"/>
      <c r="JP55" s="224"/>
      <c r="JQ55" s="224"/>
      <c r="JR55" s="224"/>
      <c r="JS55" s="224"/>
      <c r="JT55" s="224"/>
      <c r="JU55" s="225"/>
      <c r="JV55" s="224"/>
      <c r="JW55" s="224"/>
      <c r="JX55" s="224"/>
      <c r="JY55" s="224"/>
      <c r="JZ55" s="224"/>
      <c r="KA55" s="224"/>
      <c r="KB55" s="224"/>
      <c r="KC55" s="224"/>
      <c r="KD55" s="224"/>
      <c r="KE55" s="224"/>
      <c r="KF55" s="224"/>
      <c r="KG55" s="224"/>
      <c r="KH55" s="224"/>
      <c r="KI55" s="224"/>
      <c r="KJ55" s="224"/>
      <c r="KK55" s="224"/>
      <c r="KL55" s="224"/>
      <c r="KM55" s="224"/>
      <c r="KN55" s="224"/>
      <c r="KO55" s="224"/>
      <c r="KP55" s="225"/>
      <c r="KQ55" s="224"/>
      <c r="KR55" s="224"/>
      <c r="KS55" s="224"/>
      <c r="KT55" s="224"/>
      <c r="KU55" s="224"/>
      <c r="KV55" s="224"/>
      <c r="KW55" s="224"/>
      <c r="KX55" s="224"/>
      <c r="KY55" s="224"/>
      <c r="KZ55" s="224"/>
      <c r="LA55" s="224"/>
      <c r="LB55" s="224"/>
      <c r="LC55" s="224"/>
      <c r="LD55" s="224"/>
      <c r="LE55" s="224"/>
      <c r="LF55" s="224"/>
      <c r="LG55" s="224"/>
      <c r="LH55" s="224"/>
      <c r="LI55" s="224"/>
      <c r="LJ55" s="224"/>
      <c r="LK55" s="224"/>
      <c r="LL55" s="225"/>
      <c r="LM55" s="224"/>
      <c r="LN55" s="224"/>
      <c r="LO55" s="224"/>
      <c r="LP55" s="224"/>
      <c r="LQ55" s="224"/>
      <c r="LR55" s="224"/>
      <c r="LS55" s="224"/>
      <c r="LT55" s="224"/>
      <c r="LU55" s="224"/>
      <c r="LV55" s="224"/>
      <c r="LW55" s="224"/>
      <c r="LX55" s="224"/>
      <c r="LY55" s="224"/>
      <c r="LZ55" s="224"/>
      <c r="MA55" s="224"/>
      <c r="MB55" s="224"/>
      <c r="MC55" s="224"/>
      <c r="MD55" s="224"/>
      <c r="ME55" s="224"/>
      <c r="MF55" s="224"/>
      <c r="MG55" s="224"/>
      <c r="MH55" s="224"/>
      <c r="MI55" s="224"/>
      <c r="MJ55" s="224"/>
      <c r="MK55" s="224"/>
      <c r="ML55" s="224"/>
      <c r="MM55" s="224"/>
      <c r="MN55" s="224"/>
      <c r="MO55" s="224"/>
      <c r="MP55" s="224"/>
      <c r="MQ55" s="224"/>
      <c r="MR55" s="224"/>
      <c r="MS55" s="224"/>
      <c r="MT55" s="224"/>
      <c r="MU55" s="224"/>
      <c r="MV55" s="224"/>
      <c r="MW55" s="224"/>
      <c r="MX55" s="224"/>
      <c r="MY55" s="224"/>
      <c r="MZ55" s="224"/>
      <c r="NA55" s="224"/>
      <c r="NB55" s="224"/>
      <c r="NC55" s="224"/>
      <c r="ND55" s="224"/>
      <c r="NE55" s="224"/>
      <c r="NF55" s="224"/>
      <c r="NG55" s="224"/>
      <c r="NH55" s="224"/>
      <c r="NI55" s="224"/>
      <c r="NJ55" s="224"/>
      <c r="NK55" s="224"/>
      <c r="NL55" s="2826">
        <f t="shared" si="250"/>
        <v>0.2</v>
      </c>
      <c r="NM55" s="73" t="s">
        <v>284</v>
      </c>
      <c r="NN55" s="166">
        <f t="shared" si="271"/>
        <v>3.9920851367267001</v>
      </c>
      <c r="NO55" s="166">
        <f t="shared" ref="NO55:OB55" si="289">NO16+0.2</f>
        <v>3.8456462869646972</v>
      </c>
      <c r="NP55" s="166">
        <f t="shared" si="289"/>
        <v>3.8312296451867898</v>
      </c>
      <c r="NQ55" s="166">
        <f t="shared" si="289"/>
        <v>3.8848399144238934</v>
      </c>
      <c r="NR55" s="166">
        <f t="shared" si="289"/>
        <v>3.7245125738222011</v>
      </c>
      <c r="NS55" s="166">
        <f t="shared" si="289"/>
        <v>3.5533818434566964</v>
      </c>
      <c r="NT55" s="166">
        <f t="shared" si="289"/>
        <v>3.427633444758134</v>
      </c>
      <c r="NU55" s="166">
        <f t="shared" si="289"/>
        <v>3.3520169410003162</v>
      </c>
      <c r="NV55" s="166">
        <f t="shared" si="289"/>
        <v>3.5561083496452683</v>
      </c>
      <c r="NW55" s="166">
        <f t="shared" si="289"/>
        <v>3.4165340020169745</v>
      </c>
      <c r="NX55" s="166">
        <f t="shared" si="289"/>
        <v>3.5441638115254657</v>
      </c>
      <c r="NY55" s="166">
        <f t="shared" si="289"/>
        <v>3.5710790137454538</v>
      </c>
      <c r="NZ55" s="166">
        <f t="shared" si="289"/>
        <v>3.5306573666405723</v>
      </c>
      <c r="OA55" s="166">
        <f t="shared" si="289"/>
        <v>3.559008630308476</v>
      </c>
      <c r="OB55" s="166">
        <f t="shared" si="289"/>
        <v>3.4616701007153727</v>
      </c>
      <c r="OC55" s="166"/>
      <c r="OD55" s="11"/>
      <c r="OE55" s="166">
        <f t="shared" si="273"/>
        <v>3.5171120325548069</v>
      </c>
      <c r="OF55" s="11"/>
      <c r="OG55" s="166">
        <f t="shared" si="274"/>
        <v>3.5306037778524684</v>
      </c>
      <c r="OH55" s="166">
        <f t="shared" si="252"/>
        <v>3.5702181259419699</v>
      </c>
      <c r="OI55" s="224"/>
      <c r="OJ55" s="224"/>
      <c r="OK55" s="224"/>
      <c r="OL55" s="224"/>
      <c r="OM55" s="224"/>
      <c r="ON55" s="224"/>
      <c r="OO55" s="224"/>
      <c r="OP55" s="224"/>
      <c r="OQ55" s="224"/>
      <c r="OR55" s="224"/>
      <c r="OS55" s="224"/>
      <c r="OT55" s="224"/>
      <c r="OU55" s="224"/>
      <c r="OV55" s="224"/>
      <c r="OW55" s="224"/>
      <c r="OX55" s="224"/>
      <c r="OY55" s="224"/>
      <c r="OZ55" s="224"/>
      <c r="PA55" s="224"/>
      <c r="PB55" s="224"/>
      <c r="PC55" s="224"/>
      <c r="PD55" s="224"/>
      <c r="PE55" s="224"/>
      <c r="PF55" s="224"/>
      <c r="PG55" s="224"/>
      <c r="PH55" s="224"/>
      <c r="PI55" s="224"/>
      <c r="PJ55" s="224"/>
      <c r="PK55" s="224"/>
      <c r="PL55" s="224"/>
      <c r="PM55" s="224"/>
      <c r="PN55" s="224"/>
      <c r="PO55" s="224"/>
      <c r="PP55" s="224"/>
      <c r="PQ55" s="224"/>
      <c r="PR55" s="224"/>
      <c r="PS55" s="224"/>
      <c r="PT55" s="224"/>
      <c r="PU55" s="224"/>
      <c r="PV55" s="224"/>
      <c r="PW55" s="224"/>
      <c r="PX55" s="166"/>
      <c r="PY55" s="166">
        <f>PY16-'Bloom Cleaner Data'!FP16</f>
        <v>-3.3680897265919052E-2</v>
      </c>
      <c r="PZ55" s="166">
        <f>PZ16-'Bloom Cleaner Data'!FQ16</f>
        <v>-3.1527342919883905E-2</v>
      </c>
      <c r="QA55" s="166">
        <f>QA16-'Bloom Cleaner Data'!FR16</f>
        <v>-3.4326460481099663E-2</v>
      </c>
      <c r="QB55" s="166"/>
      <c r="QC55" s="166">
        <f>QC16-'Bloom Cleaner Data'!FT16</f>
        <v>-7.6783969673995478E-2</v>
      </c>
      <c r="QD55" s="166">
        <f>QD16-'Bloom Cleaner Data'!FU16</f>
        <v>-8.7856663487088649E-2</v>
      </c>
      <c r="QE55" s="166">
        <f>QE16-'Bloom Cleaner Data'!FV16</f>
        <v>-7.1599624387953642E-2</v>
      </c>
      <c r="QF55" s="166"/>
      <c r="QG55" s="166"/>
      <c r="QH55" s="166"/>
      <c r="QI55" s="166"/>
      <c r="QJ55" s="166"/>
      <c r="QK55" s="166"/>
      <c r="QL55" s="166"/>
      <c r="QM55" s="166"/>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row>
    <row r="56" spans="1:516">
      <c r="A56" s="5"/>
      <c r="B56" s="24"/>
      <c r="C56" s="2214" t="s">
        <v>279</v>
      </c>
      <c r="D56" s="1112"/>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668">
        <f>'OPERATING LEASES'!BL17/'Bloom Cleaner Data'!GV17</f>
        <v>4.73135232838824E-2</v>
      </c>
      <c r="DL56" s="2668">
        <f>'OPERATING LEASES'!BM17/'Bloom Cleaner Data'!GW17</f>
        <v>4.7729808062981917E-2</v>
      </c>
      <c r="DM56" s="2668">
        <f>'OPERATING LEASES'!BN17/'Bloom Cleaner Data'!GX17</f>
        <v>5.1566290505799479E-2</v>
      </c>
      <c r="DN56" s="2668">
        <f>'OPERATING LEASES'!BO17/'Bloom Cleaner Data'!GY17</f>
        <v>5.1736684231818798E-2</v>
      </c>
      <c r="DO56" s="2668">
        <f>'OPERATING LEASES'!BP17/'Bloom Cleaner Data'!GZ17</f>
        <v>5.0310014940153212E-2</v>
      </c>
      <c r="DP56" s="2668">
        <f>'OPERATING LEASES'!BQ17/'Bloom Cleaner Data'!HA17</f>
        <v>4.802638443035627E-2</v>
      </c>
      <c r="DQ56" s="2668">
        <f>'OPERATING LEASES'!BR17/'Bloom Cleaner Data'!HB17</f>
        <v>4.564310882984763E-2</v>
      </c>
      <c r="DR56" s="2668">
        <f>'OPERATING LEASES'!BS17/'Bloom Cleaner Data'!HC17</f>
        <v>4.333505266903135E-2</v>
      </c>
      <c r="DS56" s="2668">
        <f>'OPERATING LEASES'!BT17/'Bloom Cleaner Data'!HD17</f>
        <v>3.6552849114943817E-2</v>
      </c>
      <c r="DT56" s="2668">
        <f>'OPERATING LEASES'!BU17/'Bloom Cleaner Data'!HE17</f>
        <v>3.1514530357225928E-2</v>
      </c>
      <c r="DU56" s="2668">
        <f>'OPERATING LEASES'!BV17/'Bloom Cleaner Data'!HF17</f>
        <v>2.9932096137357152E-2</v>
      </c>
      <c r="DV56" s="2668">
        <f>'OPERATING LEASES'!BW17/'Bloom Cleaner Data'!HG17</f>
        <v>2.8657983305209491E-2</v>
      </c>
      <c r="DW56" s="2668">
        <f>'OPERATING LEASES'!BX17/'Bloom Cleaner Data'!HH17</f>
        <v>2.7185120961168995E-2</v>
      </c>
      <c r="DX56" s="2668">
        <f>'OPERATING LEASES'!BY17/'Bloom Cleaner Data'!HI17</f>
        <v>2.9683665275518974E-2</v>
      </c>
      <c r="DY56" s="2668">
        <f>'OPERATING LEASES'!BZ17/'Bloom Cleaner Data'!HJ17</f>
        <v>2.896829472193618E-2</v>
      </c>
      <c r="DZ56" s="2668"/>
      <c r="EA56" s="2668">
        <f t="shared" si="253"/>
        <v>3.8700928883105175E-2</v>
      </c>
      <c r="EB56" s="2668"/>
      <c r="EC56" s="2668"/>
      <c r="ED56" s="2668">
        <f t="shared" si="254"/>
        <v>2.8885432080238159E-2</v>
      </c>
      <c r="EE56" s="225"/>
      <c r="EF56" s="2123"/>
      <c r="EG56" s="2123"/>
      <c r="EH56" s="2123"/>
      <c r="EI56" s="2123"/>
      <c r="EJ56" s="2123"/>
      <c r="EK56" s="2123"/>
      <c r="EL56" s="2123"/>
      <c r="EM56" s="225"/>
      <c r="EN56" s="225"/>
      <c r="EO56" s="225"/>
      <c r="EP56" s="225"/>
      <c r="EQ56" s="225"/>
      <c r="ER56" s="225"/>
      <c r="ES56" s="225"/>
      <c r="ET56" s="225"/>
      <c r="EU56" s="225"/>
      <c r="EV56" s="225"/>
      <c r="EW56" s="225"/>
      <c r="EX56" s="225"/>
      <c r="EY56" s="225"/>
      <c r="EZ56" s="225"/>
      <c r="FA56" s="225"/>
      <c r="FB56" s="225"/>
      <c r="FC56" s="225"/>
      <c r="FD56" s="225"/>
      <c r="FE56" s="225"/>
      <c r="FF56" s="225"/>
      <c r="FG56" s="3280"/>
      <c r="FH56" s="1027"/>
      <c r="FI56" s="1027"/>
      <c r="FJ56" s="1027"/>
      <c r="FK56" s="1027"/>
      <c r="FL56" s="1027"/>
      <c r="FM56" s="1027"/>
      <c r="FN56" s="1027"/>
      <c r="FO56" s="1027"/>
      <c r="FP56" s="1027"/>
      <c r="FQ56" s="1027"/>
      <c r="FR56" s="1027"/>
      <c r="FS56" s="1027"/>
      <c r="FT56" s="1027"/>
      <c r="FU56" s="1027"/>
      <c r="FV56" s="1027"/>
      <c r="FW56" s="1027"/>
      <c r="FX56" s="224"/>
      <c r="FY56" s="224"/>
      <c r="FZ56" s="1027"/>
      <c r="GA56" s="1027"/>
      <c r="GB56" s="1027"/>
      <c r="GC56" s="1027"/>
      <c r="GD56" s="1027"/>
      <c r="GE56" s="1027"/>
      <c r="GF56" s="1027"/>
      <c r="GG56" s="1027"/>
      <c r="GH56" s="1027"/>
      <c r="GI56" s="1027"/>
      <c r="GJ56" s="1027"/>
      <c r="GK56" s="1027"/>
      <c r="GL56" s="1027"/>
      <c r="GM56" s="1027"/>
      <c r="GN56" s="1027"/>
      <c r="GO56" s="1027"/>
      <c r="GP56" s="1027"/>
      <c r="GQ56" s="1027"/>
      <c r="GR56" s="1027"/>
      <c r="GS56" s="1027"/>
      <c r="GT56" s="225"/>
      <c r="GU56" s="1027"/>
      <c r="GV56" s="1027"/>
      <c r="GW56" s="1027"/>
      <c r="GX56" s="1027"/>
      <c r="GY56" s="224"/>
      <c r="GZ56" s="224"/>
      <c r="HA56" s="224"/>
      <c r="HB56" s="224"/>
      <c r="HC56" s="224"/>
      <c r="HD56" s="224"/>
      <c r="HE56" s="224"/>
      <c r="HF56" s="224"/>
      <c r="HG56" s="224"/>
      <c r="HH56" s="224"/>
      <c r="HI56" s="224"/>
      <c r="HJ56" s="224"/>
      <c r="HK56" s="224"/>
      <c r="HL56" s="224"/>
      <c r="HM56" s="224"/>
      <c r="HN56" s="225"/>
      <c r="HO56" s="224"/>
      <c r="HP56" s="224"/>
      <c r="HQ56" s="224"/>
      <c r="HR56" s="224"/>
      <c r="HS56" s="224"/>
      <c r="HT56" s="224"/>
      <c r="HU56" s="224"/>
      <c r="HV56" s="224"/>
      <c r="HW56" s="224"/>
      <c r="HX56" s="224"/>
      <c r="HY56" s="224"/>
      <c r="HZ56" s="224"/>
      <c r="IA56" s="224"/>
      <c r="IB56" s="224"/>
      <c r="IC56" s="224"/>
      <c r="ID56" s="224"/>
      <c r="IE56" s="224"/>
      <c r="IF56" s="224"/>
      <c r="IG56" s="225"/>
      <c r="IH56" s="224"/>
      <c r="II56" s="224"/>
      <c r="IJ56" s="224"/>
      <c r="IK56" s="2124">
        <f t="shared" si="255"/>
        <v>0.21595448072390691</v>
      </c>
      <c r="IL56" s="2124">
        <f t="shared" si="256"/>
        <v>0.19312531196161681</v>
      </c>
      <c r="IM56" s="2124">
        <f t="shared" si="257"/>
        <v>0.21015058231504083</v>
      </c>
      <c r="IN56" s="2124">
        <f t="shared" si="258"/>
        <v>0.16922840935451122</v>
      </c>
      <c r="IO56" s="2124">
        <f t="shared" si="259"/>
        <v>0.16556047768019186</v>
      </c>
      <c r="IP56" s="2124">
        <f t="shared" si="260"/>
        <v>0.16375601366307596</v>
      </c>
      <c r="IQ56" s="2124">
        <f t="shared" si="261"/>
        <v>0.19324961869736187</v>
      </c>
      <c r="IR56" s="2124">
        <f t="shared" si="262"/>
        <v>0.17109898665113579</v>
      </c>
      <c r="IS56" s="2124">
        <f t="shared" si="263"/>
        <v>0.15900585521138022</v>
      </c>
      <c r="IT56" s="2124">
        <f t="shared" si="264"/>
        <v>0.16838801430404593</v>
      </c>
      <c r="IU56" s="2124">
        <f t="shared" si="265"/>
        <v>0.20709508109575395</v>
      </c>
      <c r="IV56" s="2124">
        <f t="shared" si="266"/>
        <v>0.18925150818525055</v>
      </c>
      <c r="IW56" s="2124">
        <f t="shared" si="267"/>
        <v>0.21865057954532605</v>
      </c>
      <c r="IX56" s="2124">
        <f t="shared" si="268"/>
        <v>0.18405499500612374</v>
      </c>
      <c r="IY56" s="2124">
        <f t="shared" si="269"/>
        <v>0.198117589718218</v>
      </c>
      <c r="IZ56" s="225"/>
      <c r="JA56" s="2124">
        <f t="shared" si="270"/>
        <v>0.18443136241749356</v>
      </c>
      <c r="JB56" s="224"/>
      <c r="JC56" s="224"/>
      <c r="JD56" s="224"/>
      <c r="JE56" s="224"/>
      <c r="JF56" s="224"/>
      <c r="JG56" s="224"/>
      <c r="JH56" s="224"/>
      <c r="JI56" s="224"/>
      <c r="JJ56" s="224"/>
      <c r="JK56" s="224"/>
      <c r="JL56" s="224"/>
      <c r="JM56" s="224"/>
      <c r="JN56" s="224"/>
      <c r="JO56" s="224"/>
      <c r="JP56" s="224"/>
      <c r="JQ56" s="224"/>
      <c r="JR56" s="224"/>
      <c r="JS56" s="224"/>
      <c r="JT56" s="224"/>
      <c r="JU56" s="225"/>
      <c r="JV56" s="224"/>
      <c r="JW56" s="224"/>
      <c r="JX56" s="224"/>
      <c r="JY56" s="224"/>
      <c r="JZ56" s="224"/>
      <c r="KA56" s="224"/>
      <c r="KB56" s="224"/>
      <c r="KC56" s="224"/>
      <c r="KD56" s="224"/>
      <c r="KE56" s="224"/>
      <c r="KF56" s="224"/>
      <c r="KG56" s="224"/>
      <c r="KH56" s="224"/>
      <c r="KI56" s="224"/>
      <c r="KJ56" s="224"/>
      <c r="KK56" s="224"/>
      <c r="KL56" s="224"/>
      <c r="KM56" s="224"/>
      <c r="KN56" s="224"/>
      <c r="KO56" s="224"/>
      <c r="KP56" s="225"/>
      <c r="KQ56" s="224"/>
      <c r="KR56" s="224"/>
      <c r="KS56" s="224"/>
      <c r="KT56" s="224"/>
      <c r="KU56" s="224"/>
      <c r="KV56" s="224"/>
      <c r="KW56" s="224"/>
      <c r="KX56" s="224"/>
      <c r="KY56" s="224"/>
      <c r="KZ56" s="224"/>
      <c r="LA56" s="224"/>
      <c r="LB56" s="224"/>
      <c r="LC56" s="224"/>
      <c r="LD56" s="224"/>
      <c r="LE56" s="224"/>
      <c r="LF56" s="224"/>
      <c r="LG56" s="224"/>
      <c r="LH56" s="224"/>
      <c r="LI56" s="224"/>
      <c r="LJ56" s="224"/>
      <c r="LK56" s="224"/>
      <c r="LL56" s="225"/>
      <c r="LM56" s="224"/>
      <c r="LN56" s="224"/>
      <c r="LO56" s="224"/>
      <c r="LP56" s="224"/>
      <c r="LQ56" s="224"/>
      <c r="LR56" s="224"/>
      <c r="LS56" s="224"/>
      <c r="LT56" s="224"/>
      <c r="LU56" s="224"/>
      <c r="LV56" s="224"/>
      <c r="LW56" s="224"/>
      <c r="LX56" s="224"/>
      <c r="LY56" s="224"/>
      <c r="LZ56" s="224"/>
      <c r="MA56" s="224"/>
      <c r="MB56" s="224"/>
      <c r="MC56" s="224"/>
      <c r="MD56" s="224"/>
      <c r="ME56" s="224"/>
      <c r="MF56" s="224"/>
      <c r="MG56" s="224"/>
      <c r="MH56" s="224"/>
      <c r="MI56" s="224"/>
      <c r="MJ56" s="224"/>
      <c r="MK56" s="224"/>
      <c r="ML56" s="224"/>
      <c r="MM56" s="224"/>
      <c r="MN56" s="224"/>
      <c r="MO56" s="224"/>
      <c r="MP56" s="224"/>
      <c r="MQ56" s="224"/>
      <c r="MR56" s="224"/>
      <c r="MS56" s="224"/>
      <c r="MT56" s="224"/>
      <c r="MU56" s="224"/>
      <c r="MV56" s="224"/>
      <c r="MW56" s="224"/>
      <c r="MX56" s="224"/>
      <c r="MY56" s="224"/>
      <c r="MZ56" s="224"/>
      <c r="NA56" s="224"/>
      <c r="NB56" s="224"/>
      <c r="NC56" s="224"/>
      <c r="ND56" s="224"/>
      <c r="NE56" s="224"/>
      <c r="NF56" s="224"/>
      <c r="NG56" s="224"/>
      <c r="NH56" s="224"/>
      <c r="NI56" s="224"/>
      <c r="NJ56" s="224"/>
      <c r="NK56" s="224"/>
      <c r="NL56" s="2826">
        <f t="shared" si="250"/>
        <v>0.2</v>
      </c>
      <c r="NM56" s="73" t="s">
        <v>279</v>
      </c>
      <c r="NN56" s="166">
        <f t="shared" si="271"/>
        <v>1.5987901881444817</v>
      </c>
      <c r="NO56" s="166">
        <f t="shared" ref="NO56:OB56" si="290">NO17+0.2</f>
        <v>1.6290358741083504</v>
      </c>
      <c r="NP56" s="166">
        <f t="shared" si="290"/>
        <v>1.845339057170406</v>
      </c>
      <c r="NQ56" s="166">
        <f t="shared" si="290"/>
        <v>1.6567649587788869</v>
      </c>
      <c r="NR56" s="166">
        <f t="shared" si="290"/>
        <v>1.6333501772369166</v>
      </c>
      <c r="NS56" s="166">
        <f t="shared" si="290"/>
        <v>1.6396345236284728</v>
      </c>
      <c r="NT56" s="166">
        <f t="shared" si="290"/>
        <v>1.6725632145335945</v>
      </c>
      <c r="NU56" s="166">
        <f t="shared" si="290"/>
        <v>1.530097649280898</v>
      </c>
      <c r="NV56" s="166">
        <f t="shared" si="290"/>
        <v>1.3864403619421668</v>
      </c>
      <c r="NW56" s="166">
        <f t="shared" si="290"/>
        <v>1.3599010572175367</v>
      </c>
      <c r="NX56" s="166">
        <f t="shared" si="290"/>
        <v>1.5797333581444331</v>
      </c>
      <c r="NY56" s="166">
        <f t="shared" si="290"/>
        <v>1.428124354462502</v>
      </c>
      <c r="NZ56" s="166">
        <f t="shared" si="290"/>
        <v>1.6029135008835715</v>
      </c>
      <c r="OA56" s="166">
        <f t="shared" si="290"/>
        <v>1.6610243095315091</v>
      </c>
      <c r="OB56" s="166">
        <f t="shared" si="290"/>
        <v>1.8501516887993055</v>
      </c>
      <c r="OC56" s="166"/>
      <c r="OD56" s="11"/>
      <c r="OE56" s="166">
        <f t="shared" si="273"/>
        <v>1.7046964997381289</v>
      </c>
      <c r="OF56" s="11"/>
      <c r="OG56" s="166">
        <f t="shared" si="274"/>
        <v>1.6355534634192221</v>
      </c>
      <c r="OH56" s="166">
        <f t="shared" si="252"/>
        <v>1.6035414008930922</v>
      </c>
      <c r="OI56" s="224"/>
      <c r="OJ56" s="224"/>
      <c r="OK56" s="224"/>
      <c r="OL56" s="224"/>
      <c r="OM56" s="224"/>
      <c r="ON56" s="224"/>
      <c r="OO56" s="224"/>
      <c r="OP56" s="224"/>
      <c r="OQ56" s="224"/>
      <c r="OR56" s="224"/>
      <c r="OS56" s="224"/>
      <c r="OT56" s="224"/>
      <c r="OU56" s="224"/>
      <c r="OV56" s="224"/>
      <c r="OW56" s="224"/>
      <c r="OX56" s="224"/>
      <c r="OY56" s="224"/>
      <c r="OZ56" s="224"/>
      <c r="PA56" s="224"/>
      <c r="PB56" s="224"/>
      <c r="PC56" s="224"/>
      <c r="PD56" s="224"/>
      <c r="PE56" s="224"/>
      <c r="PF56" s="224"/>
      <c r="PG56" s="224"/>
      <c r="PH56" s="224"/>
      <c r="PI56" s="224"/>
      <c r="PJ56" s="224"/>
      <c r="PK56" s="224"/>
      <c r="PL56" s="224"/>
      <c r="PM56" s="224"/>
      <c r="PN56" s="224"/>
      <c r="PO56" s="224"/>
      <c r="PP56" s="224"/>
      <c r="PQ56" s="224"/>
      <c r="PR56" s="224"/>
      <c r="PS56" s="224"/>
      <c r="PT56" s="224"/>
      <c r="PU56" s="224"/>
      <c r="PV56" s="224"/>
      <c r="PW56" s="224"/>
      <c r="PX56" s="166"/>
      <c r="PY56" s="166">
        <f>PY17-'Bloom Cleaner Data'!FP17</f>
        <v>-0.20115767976253629</v>
      </c>
      <c r="PZ56" s="166">
        <f>PZ17-'Bloom Cleaner Data'!FQ17</f>
        <v>-0.16289906463701675</v>
      </c>
      <c r="QA56" s="166">
        <f>QA17-'Bloom Cleaner Data'!FR17</f>
        <v>-0.16052281274525204</v>
      </c>
      <c r="QB56" s="166"/>
      <c r="QC56" s="166">
        <f>QC17-'Bloom Cleaner Data'!FT17</f>
        <v>-0.13426267054419472</v>
      </c>
      <c r="QD56" s="166">
        <f>QD17-'Bloom Cleaner Data'!FU17</f>
        <v>-0.12511513441937061</v>
      </c>
      <c r="QE56" s="166">
        <f>QE17-'Bloom Cleaner Data'!FV17</f>
        <v>-0.11019169159118092</v>
      </c>
      <c r="QF56" s="166"/>
      <c r="QG56" s="166"/>
      <c r="QH56" s="166"/>
      <c r="QI56" s="166"/>
      <c r="QJ56" s="166"/>
      <c r="QK56" s="166"/>
      <c r="QL56" s="166"/>
      <c r="QM56" s="166"/>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row>
    <row r="57" spans="1:516">
      <c r="A57" s="5"/>
      <c r="B57" s="24"/>
      <c r="C57" s="2214" t="s">
        <v>44</v>
      </c>
      <c r="D57" s="1112"/>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668">
        <f>'OPERATING LEASES'!BL18/'Bloom Cleaner Data'!GV18</f>
        <v>5.7175985250264814E-2</v>
      </c>
      <c r="DL57" s="2668">
        <f>'OPERATING LEASES'!BM18/'Bloom Cleaner Data'!GW18</f>
        <v>5.292902093291027E-2</v>
      </c>
      <c r="DM57" s="2668">
        <f>'OPERATING LEASES'!BN18/'Bloom Cleaner Data'!GX18</f>
        <v>4.9051431352289891E-2</v>
      </c>
      <c r="DN57" s="2668">
        <f>'OPERATING LEASES'!BO18/'Bloom Cleaner Data'!GY18</f>
        <v>4.5140299182718835E-2</v>
      </c>
      <c r="DO57" s="2668">
        <f>'OPERATING LEASES'!BP18/'Bloom Cleaner Data'!GZ18</f>
        <v>4.1545060361427015E-2</v>
      </c>
      <c r="DP57" s="2668">
        <f>'OPERATING LEASES'!BQ18/'Bloom Cleaner Data'!HA18</f>
        <v>4.4275559162295926E-2</v>
      </c>
      <c r="DQ57" s="2668">
        <f>'OPERATING LEASES'!BR18/'Bloom Cleaner Data'!HB18</f>
        <v>4.7272381810848307E-2</v>
      </c>
      <c r="DR57" s="2668">
        <f>'OPERATING LEASES'!BS18/'Bloom Cleaner Data'!HC18</f>
        <v>5.1184755970153262E-2</v>
      </c>
      <c r="DS57" s="2668">
        <f>'OPERATING LEASES'!BT18/'Bloom Cleaner Data'!HD18</f>
        <v>5.4057486657101562E-2</v>
      </c>
      <c r="DT57" s="2668">
        <f>'OPERATING LEASES'!BU18/'Bloom Cleaner Data'!HE18</f>
        <v>5.7187030204346311E-2</v>
      </c>
      <c r="DU57" s="2668">
        <f>'OPERATING LEASES'!BV18/'Bloom Cleaner Data'!HF18</f>
        <v>6.0531830885475278E-2</v>
      </c>
      <c r="DV57" s="2668">
        <f>'OPERATING LEASES'!BW18/'Bloom Cleaner Data'!HG18</f>
        <v>6.3271543354199336E-2</v>
      </c>
      <c r="DW57" s="2668">
        <f>'OPERATING LEASES'!BX18/'Bloom Cleaner Data'!HH18</f>
        <v>6.7750179881997413E-2</v>
      </c>
      <c r="DX57" s="2668">
        <f>'OPERATING LEASES'!BY18/'Bloom Cleaner Data'!HI18</f>
        <v>6.9838876960833185E-2</v>
      </c>
      <c r="DY57" s="2668">
        <f>'OPERATING LEASES'!BZ18/'Bloom Cleaner Data'!HJ18</f>
        <v>7.1992375968645619E-2</v>
      </c>
      <c r="DZ57" s="2668"/>
      <c r="EA57" s="2668">
        <f t="shared" si="253"/>
        <v>5.562298551941014E-2</v>
      </c>
      <c r="EB57" s="2668"/>
      <c r="EC57" s="2668"/>
      <c r="ED57" s="2668">
        <f t="shared" si="254"/>
        <v>6.6676961410230162E-2</v>
      </c>
      <c r="EE57" s="225"/>
      <c r="EF57" s="2123"/>
      <c r="EG57" s="2123"/>
      <c r="EH57" s="2123"/>
      <c r="EI57" s="2123"/>
      <c r="EJ57" s="2123"/>
      <c r="EK57" s="2123"/>
      <c r="EL57" s="2123"/>
      <c r="EM57" s="225"/>
      <c r="EN57" s="225"/>
      <c r="EO57" s="225"/>
      <c r="EP57" s="225"/>
      <c r="EQ57" s="225"/>
      <c r="ER57" s="225"/>
      <c r="ES57" s="225"/>
      <c r="ET57" s="225"/>
      <c r="EU57" s="225"/>
      <c r="EV57" s="225"/>
      <c r="EW57" s="225"/>
      <c r="EX57" s="225"/>
      <c r="EY57" s="225"/>
      <c r="EZ57" s="225"/>
      <c r="FA57" s="225"/>
      <c r="FB57" s="225"/>
      <c r="FC57" s="225"/>
      <c r="FD57" s="225"/>
      <c r="FE57" s="225"/>
      <c r="FF57" s="225"/>
      <c r="FG57" s="3280"/>
      <c r="FH57" s="1027"/>
      <c r="FI57" s="1027"/>
      <c r="FJ57" s="1027"/>
      <c r="FK57" s="1027"/>
      <c r="FL57" s="1027"/>
      <c r="FM57" s="1027"/>
      <c r="FN57" s="1027"/>
      <c r="FO57" s="1027"/>
      <c r="FP57" s="1027"/>
      <c r="FQ57" s="1027"/>
      <c r="FR57" s="1027"/>
      <c r="FS57" s="1027"/>
      <c r="FT57" s="1027"/>
      <c r="FU57" s="1027"/>
      <c r="FV57" s="1027"/>
      <c r="FW57" s="1027"/>
      <c r="FX57" s="224"/>
      <c r="FY57" s="224"/>
      <c r="FZ57" s="1027"/>
      <c r="GA57" s="1027"/>
      <c r="GB57" s="1027"/>
      <c r="GC57" s="1027"/>
      <c r="GD57" s="1027"/>
      <c r="GE57" s="1027"/>
      <c r="GF57" s="1027"/>
      <c r="GG57" s="1027"/>
      <c r="GH57" s="1027"/>
      <c r="GI57" s="1027"/>
      <c r="GJ57" s="1027"/>
      <c r="GK57" s="1027"/>
      <c r="GL57" s="1027"/>
      <c r="GM57" s="1027"/>
      <c r="GN57" s="1027"/>
      <c r="GO57" s="1027"/>
      <c r="GP57" s="1027"/>
      <c r="GQ57" s="1027"/>
      <c r="GR57" s="1027"/>
      <c r="GS57" s="1027"/>
      <c r="GT57" s="225"/>
      <c r="GU57" s="1027"/>
      <c r="GV57" s="1027"/>
      <c r="GW57" s="1027"/>
      <c r="GX57" s="1027"/>
      <c r="GY57" s="224"/>
      <c r="GZ57" s="224"/>
      <c r="HA57" s="224"/>
      <c r="HB57" s="224"/>
      <c r="HC57" s="224"/>
      <c r="HD57" s="224"/>
      <c r="HE57" s="224"/>
      <c r="HF57" s="224"/>
      <c r="HG57" s="224"/>
      <c r="HH57" s="224"/>
      <c r="HI57" s="224"/>
      <c r="HJ57" s="224"/>
      <c r="HK57" s="224"/>
      <c r="HL57" s="224"/>
      <c r="HM57" s="224"/>
      <c r="HN57" s="225"/>
      <c r="HO57" s="224"/>
      <c r="HP57" s="224"/>
      <c r="HQ57" s="224"/>
      <c r="HR57" s="224"/>
      <c r="HS57" s="224"/>
      <c r="HT57" s="224"/>
      <c r="HU57" s="224"/>
      <c r="HV57" s="224"/>
      <c r="HW57" s="224"/>
      <c r="HX57" s="224"/>
      <c r="HY57" s="224"/>
      <c r="HZ57" s="224"/>
      <c r="IA57" s="224"/>
      <c r="IB57" s="224"/>
      <c r="IC57" s="224"/>
      <c r="ID57" s="224"/>
      <c r="IE57" s="224"/>
      <c r="IF57" s="224"/>
      <c r="IG57" s="225"/>
      <c r="IH57" s="224"/>
      <c r="II57" s="224"/>
      <c r="IJ57" s="224"/>
      <c r="IK57" s="2124">
        <f t="shared" si="255"/>
        <v>0.38996332556610758</v>
      </c>
      <c r="IL57" s="2124">
        <f t="shared" si="256"/>
        <v>0.40174346376663489</v>
      </c>
      <c r="IM57" s="2124">
        <f t="shared" si="257"/>
        <v>0.45026142618436604</v>
      </c>
      <c r="IN57" s="2124">
        <f t="shared" si="258"/>
        <v>0.4339513333731439</v>
      </c>
      <c r="IO57" s="2124">
        <f t="shared" si="259"/>
        <v>0.43382431062497023</v>
      </c>
      <c r="IP57" s="2124">
        <f t="shared" si="260"/>
        <v>0.41766769585666652</v>
      </c>
      <c r="IQ57" s="2124">
        <f t="shared" si="261"/>
        <v>0.47515297084599867</v>
      </c>
      <c r="IR57" s="2124">
        <f t="shared" si="262"/>
        <v>0.49914071596366993</v>
      </c>
      <c r="IS57" s="2124">
        <f t="shared" si="263"/>
        <v>0.5117706146053288</v>
      </c>
      <c r="IT57" s="2124">
        <f t="shared" si="264"/>
        <v>0.54314892676892745</v>
      </c>
      <c r="IU57" s="2124">
        <f t="shared" si="265"/>
        <v>0.57822046192688159</v>
      </c>
      <c r="IV57" s="2124">
        <f t="shared" si="266"/>
        <v>0.63698100225567456</v>
      </c>
      <c r="IW57" s="2124">
        <f t="shared" si="267"/>
        <v>0.73270050902064932</v>
      </c>
      <c r="IX57" s="2124">
        <f t="shared" si="268"/>
        <v>0.79833832198778942</v>
      </c>
      <c r="IY57" s="2124">
        <f t="shared" si="269"/>
        <v>0.63323863537070213</v>
      </c>
      <c r="IZ57" s="225"/>
      <c r="JA57" s="2124">
        <f t="shared" si="270"/>
        <v>0.5495689942142129</v>
      </c>
      <c r="JB57" s="224"/>
      <c r="JC57" s="224"/>
      <c r="JD57" s="224"/>
      <c r="JE57" s="224"/>
      <c r="JF57" s="224"/>
      <c r="JG57" s="224"/>
      <c r="JH57" s="224"/>
      <c r="JI57" s="224"/>
      <c r="JJ57" s="224"/>
      <c r="JK57" s="224"/>
      <c r="JL57" s="224"/>
      <c r="JM57" s="224"/>
      <c r="JN57" s="224"/>
      <c r="JO57" s="224"/>
      <c r="JP57" s="224"/>
      <c r="JQ57" s="224"/>
      <c r="JR57" s="224"/>
      <c r="JS57" s="224"/>
      <c r="JT57" s="224"/>
      <c r="JU57" s="225"/>
      <c r="JV57" s="224"/>
      <c r="JW57" s="224"/>
      <c r="JX57" s="224"/>
      <c r="JY57" s="224"/>
      <c r="JZ57" s="224"/>
      <c r="KA57" s="224"/>
      <c r="KB57" s="224"/>
      <c r="KC57" s="224"/>
      <c r="KD57" s="224"/>
      <c r="KE57" s="224"/>
      <c r="KF57" s="224"/>
      <c r="KG57" s="224"/>
      <c r="KH57" s="224"/>
      <c r="KI57" s="224"/>
      <c r="KJ57" s="224"/>
      <c r="KK57" s="224"/>
      <c r="KL57" s="224"/>
      <c r="KM57" s="224"/>
      <c r="KN57" s="224"/>
      <c r="KO57" s="224"/>
      <c r="KP57" s="225"/>
      <c r="KQ57" s="224"/>
      <c r="KR57" s="224"/>
      <c r="KS57" s="224"/>
      <c r="KT57" s="224"/>
      <c r="KU57" s="224"/>
      <c r="KV57" s="224"/>
      <c r="KW57" s="224"/>
      <c r="KX57" s="224"/>
      <c r="KY57" s="224"/>
      <c r="KZ57" s="224"/>
      <c r="LA57" s="224"/>
      <c r="LB57" s="224"/>
      <c r="LC57" s="224"/>
      <c r="LD57" s="224"/>
      <c r="LE57" s="224"/>
      <c r="LF57" s="224"/>
      <c r="LG57" s="224"/>
      <c r="LH57" s="224"/>
      <c r="LI57" s="224"/>
      <c r="LJ57" s="224"/>
      <c r="LK57" s="224"/>
      <c r="LL57" s="225"/>
      <c r="LM57" s="224"/>
      <c r="LN57" s="224"/>
      <c r="LO57" s="224"/>
      <c r="LP57" s="224"/>
      <c r="LQ57" s="224"/>
      <c r="LR57" s="224"/>
      <c r="LS57" s="224"/>
      <c r="LT57" s="224"/>
      <c r="LU57" s="224"/>
      <c r="LV57" s="224"/>
      <c r="LW57" s="224"/>
      <c r="LX57" s="224"/>
      <c r="LY57" s="224"/>
      <c r="LZ57" s="224"/>
      <c r="MA57" s="224"/>
      <c r="MB57" s="224"/>
      <c r="MC57" s="224"/>
      <c r="MD57" s="224"/>
      <c r="ME57" s="224"/>
      <c r="MF57" s="224"/>
      <c r="MG57" s="224"/>
      <c r="MH57" s="224"/>
      <c r="MI57" s="224"/>
      <c r="MJ57" s="224"/>
      <c r="MK57" s="224"/>
      <c r="ML57" s="224"/>
      <c r="MM57" s="224"/>
      <c r="MN57" s="224"/>
      <c r="MO57" s="224"/>
      <c r="MP57" s="224"/>
      <c r="MQ57" s="224"/>
      <c r="MR57" s="224"/>
      <c r="MS57" s="224"/>
      <c r="MT57" s="224"/>
      <c r="MU57" s="224"/>
      <c r="MV57" s="224"/>
      <c r="MW57" s="224"/>
      <c r="MX57" s="224"/>
      <c r="MY57" s="224"/>
      <c r="MZ57" s="224"/>
      <c r="NA57" s="224"/>
      <c r="NB57" s="224"/>
      <c r="NC57" s="224"/>
      <c r="ND57" s="224"/>
      <c r="NE57" s="224"/>
      <c r="NF57" s="224"/>
      <c r="NG57" s="224"/>
      <c r="NH57" s="224"/>
      <c r="NI57" s="224"/>
      <c r="NJ57" s="224"/>
      <c r="NK57" s="224"/>
      <c r="NL57" s="2826">
        <f t="shared" si="250"/>
        <v>0.2</v>
      </c>
      <c r="NM57" s="73" t="s">
        <v>44</v>
      </c>
      <c r="NN57" s="166">
        <f t="shared" si="271"/>
        <v>2.9361423463174239</v>
      </c>
      <c r="NO57" s="166">
        <f t="shared" ref="NO57:OB57" si="291">NO18+0.2</f>
        <v>2.9175688696098527</v>
      </c>
      <c r="NP57" s="166">
        <f t="shared" si="291"/>
        <v>2.9651976963991205</v>
      </c>
      <c r="NQ57" s="166">
        <f t="shared" si="291"/>
        <v>2.8483004343587122</v>
      </c>
      <c r="NR57" s="166">
        <f t="shared" si="291"/>
        <v>2.6513968449314937</v>
      </c>
      <c r="NS57" s="166">
        <f t="shared" si="291"/>
        <v>2.6936564909331131</v>
      </c>
      <c r="NT57" s="166">
        <f t="shared" si="291"/>
        <v>2.8803561783764859</v>
      </c>
      <c r="NU57" s="166">
        <f t="shared" si="291"/>
        <v>2.9953190190719452</v>
      </c>
      <c r="NV57" s="166">
        <f t="shared" si="291"/>
        <v>2.9442964109048679</v>
      </c>
      <c r="NW57" s="166">
        <f t="shared" si="291"/>
        <v>3.0953093179639364</v>
      </c>
      <c r="NX57" s="166">
        <f t="shared" si="291"/>
        <v>3.2479538307136107</v>
      </c>
      <c r="NY57" s="166">
        <f t="shared" si="291"/>
        <v>3.4341436917036345</v>
      </c>
      <c r="NZ57" s="166">
        <f t="shared" si="291"/>
        <v>3.4425578514646462</v>
      </c>
      <c r="OA57" s="166">
        <f t="shared" si="291"/>
        <v>3.581410222268655</v>
      </c>
      <c r="OB57" s="166">
        <f t="shared" si="291"/>
        <v>3.686460932912909</v>
      </c>
      <c r="OC57" s="166"/>
      <c r="OD57" s="11"/>
      <c r="OE57" s="166">
        <f t="shared" si="273"/>
        <v>3.5701430022154037</v>
      </c>
      <c r="OF57" s="11"/>
      <c r="OG57" s="166">
        <f t="shared" si="274"/>
        <v>3.536143174587461</v>
      </c>
      <c r="OH57" s="166">
        <f t="shared" si="252"/>
        <v>3.1127968401540871</v>
      </c>
      <c r="OI57" s="224"/>
      <c r="OJ57" s="224"/>
      <c r="OK57" s="224"/>
      <c r="OL57" s="224"/>
      <c r="OM57" s="224"/>
      <c r="ON57" s="224"/>
      <c r="OO57" s="224"/>
      <c r="OP57" s="224"/>
      <c r="OQ57" s="224"/>
      <c r="OR57" s="224"/>
      <c r="OS57" s="224"/>
      <c r="OT57" s="224"/>
      <c r="OU57" s="224"/>
      <c r="OV57" s="224"/>
      <c r="OW57" s="224"/>
      <c r="OX57" s="224"/>
      <c r="OY57" s="224"/>
      <c r="OZ57" s="224"/>
      <c r="PA57" s="224"/>
      <c r="PB57" s="224"/>
      <c r="PC57" s="224"/>
      <c r="PD57" s="224"/>
      <c r="PE57" s="224"/>
      <c r="PF57" s="224"/>
      <c r="PG57" s="224"/>
      <c r="PH57" s="224"/>
      <c r="PI57" s="224"/>
      <c r="PJ57" s="224"/>
      <c r="PK57" s="224"/>
      <c r="PL57" s="224"/>
      <c r="PM57" s="224"/>
      <c r="PN57" s="224"/>
      <c r="PO57" s="224"/>
      <c r="PP57" s="224"/>
      <c r="PQ57" s="224"/>
      <c r="PR57" s="224"/>
      <c r="PS57" s="224"/>
      <c r="PT57" s="224"/>
      <c r="PU57" s="224"/>
      <c r="PV57" s="224"/>
      <c r="PW57" s="224"/>
      <c r="PX57" s="166">
        <f>PX18-'Bloom Cleaner Data'!FO18</f>
        <v>-3.9036448841445193E-3</v>
      </c>
      <c r="PY57" s="166">
        <f>PY18-'Bloom Cleaner Data'!FP18</f>
        <v>-4.3893617021275588E-3</v>
      </c>
      <c r="PZ57" s="166">
        <f>PZ18-'Bloom Cleaner Data'!FQ18</f>
        <v>-8.3937661591493296E-3</v>
      </c>
      <c r="QA57" s="166">
        <f>QA18-'Bloom Cleaner Data'!FR18</f>
        <v>-4.4926227040775757E-5</v>
      </c>
      <c r="QB57" s="166">
        <f>QB18-'Bloom Cleaner Data'!FS18</f>
        <v>4.2828571428010775E-5</v>
      </c>
      <c r="QC57" s="166">
        <f>QC18-'Bloom Cleaner Data'!FT18</f>
        <v>1.3574891553957968E-5</v>
      </c>
      <c r="QD57" s="166">
        <f>QD18-'Bloom Cleaner Data'!FU18</f>
        <v>6.0477280152682056E-6</v>
      </c>
      <c r="QE57" s="166">
        <f>QE18-'Bloom Cleaner Data'!FV18</f>
        <v>3.6808669655385984E-5</v>
      </c>
      <c r="QF57" s="166"/>
      <c r="QG57" s="166"/>
      <c r="QH57" s="166"/>
      <c r="QI57" s="166"/>
      <c r="QJ57" s="166">
        <f>QJ18-'Bloom Cleaner Data'!GA18</f>
        <v>-4.5765054855749554E-2</v>
      </c>
      <c r="QK57" s="166"/>
      <c r="QL57" s="166"/>
      <c r="QM57" s="166"/>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row>
    <row r="58" spans="1:516">
      <c r="A58" s="5"/>
      <c r="B58" s="24"/>
      <c r="C58" s="2214" t="s">
        <v>287</v>
      </c>
      <c r="D58" s="1112"/>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668">
        <f>'OPERATING LEASES'!BL19/'Bloom Cleaner Data'!GV19</f>
        <v>1.3561107363084956E-2</v>
      </c>
      <c r="DL58" s="2668">
        <f>'OPERATING LEASES'!BM19/'Bloom Cleaner Data'!GW19</f>
        <v>1.3147190132795613E-2</v>
      </c>
      <c r="DM58" s="2668">
        <f>'OPERATING LEASES'!BN19/'Bloom Cleaner Data'!GX19</f>
        <v>1.2392823451448437E-2</v>
      </c>
      <c r="DN58" s="2668">
        <f>'OPERATING LEASES'!BO19/'Bloom Cleaner Data'!GY19</f>
        <v>1.1679172287074921E-2</v>
      </c>
      <c r="DO58" s="2668">
        <f>'OPERATING LEASES'!BP19/'Bloom Cleaner Data'!GZ19</f>
        <v>1.0627866353143381E-2</v>
      </c>
      <c r="DP58" s="2668">
        <f>'OPERATING LEASES'!BQ19/'Bloom Cleaner Data'!HA19</f>
        <v>1.302701136058502E-2</v>
      </c>
      <c r="DQ58" s="2668">
        <f>'OPERATING LEASES'!BR19/'Bloom Cleaner Data'!HB19</f>
        <v>1.6806417841679418E-2</v>
      </c>
      <c r="DR58" s="2668">
        <f>'OPERATING LEASES'!BS19/'Bloom Cleaner Data'!HC19</f>
        <v>1.9611574249309087E-2</v>
      </c>
      <c r="DS58" s="2668">
        <f>'OPERATING LEASES'!BT19/'Bloom Cleaner Data'!HD19</f>
        <v>2.1395314051977293E-2</v>
      </c>
      <c r="DT58" s="2668">
        <f>'OPERATING LEASES'!BU19/'Bloom Cleaner Data'!HE19</f>
        <v>2.1590625395360521E-2</v>
      </c>
      <c r="DU58" s="2668">
        <f>'OPERATING LEASES'!BV19/'Bloom Cleaner Data'!HF19</f>
        <v>1.9999111160697938E-2</v>
      </c>
      <c r="DV58" s="2668">
        <f>'OPERATING LEASES'!BW19/'Bloom Cleaner Data'!HG19</f>
        <v>1.9991198876239336E-2</v>
      </c>
      <c r="DW58" s="2668">
        <f>'OPERATING LEASES'!BX19/'Bloom Cleaner Data'!HH19</f>
        <v>2.2580842761162772E-2</v>
      </c>
      <c r="DX58" s="2668">
        <f>'OPERATING LEASES'!BY19/'Bloom Cleaner Data'!HI19</f>
        <v>2.3538755024259787E-2</v>
      </c>
      <c r="DY58" s="2668">
        <f>'OPERATING LEASES'!BZ19/'Bloom Cleaner Data'!HJ19</f>
        <v>2.5133256739400419E-2</v>
      </c>
      <c r="DZ58" s="2668"/>
      <c r="EA58" s="2668">
        <f t="shared" si="253"/>
        <v>1.833645919633372E-2</v>
      </c>
      <c r="EB58" s="2668"/>
      <c r="EC58" s="2668"/>
      <c r="ED58" s="2668">
        <f t="shared" si="254"/>
        <v>2.2248632912352052E-2</v>
      </c>
      <c r="EE58" s="225"/>
      <c r="EF58" s="2123"/>
      <c r="EG58" s="2123"/>
      <c r="EH58" s="2123"/>
      <c r="EI58" s="2123"/>
      <c r="EJ58" s="2123"/>
      <c r="EK58" s="2123"/>
      <c r="EL58" s="2123"/>
      <c r="EM58" s="225"/>
      <c r="EN58" s="225"/>
      <c r="EO58" s="225"/>
      <c r="EP58" s="225"/>
      <c r="EQ58" s="225"/>
      <c r="ER58" s="225"/>
      <c r="ES58" s="225"/>
      <c r="ET58" s="225"/>
      <c r="EU58" s="225"/>
      <c r="EV58" s="225"/>
      <c r="EW58" s="225"/>
      <c r="EX58" s="225"/>
      <c r="EY58" s="225"/>
      <c r="EZ58" s="225"/>
      <c r="FA58" s="225"/>
      <c r="FB58" s="225"/>
      <c r="FC58" s="225"/>
      <c r="FD58" s="225"/>
      <c r="FE58" s="225"/>
      <c r="FF58" s="225"/>
      <c r="FG58" s="3280"/>
      <c r="FH58" s="224"/>
      <c r="FI58" s="224"/>
      <c r="FJ58" s="224"/>
      <c r="FK58" s="224"/>
      <c r="FL58" s="224"/>
      <c r="FM58" s="224"/>
      <c r="FN58" s="224"/>
      <c r="FO58" s="224"/>
      <c r="FP58" s="224"/>
      <c r="FQ58" s="224"/>
      <c r="FR58" s="224"/>
      <c r="FS58" s="224"/>
      <c r="FT58" s="224"/>
      <c r="FU58" s="224"/>
      <c r="FV58" s="224"/>
      <c r="FW58" s="224"/>
      <c r="FX58" s="224"/>
      <c r="FY58" s="224"/>
      <c r="FZ58" s="224"/>
      <c r="GA58" s="224"/>
      <c r="GB58" s="224"/>
      <c r="GC58" s="224"/>
      <c r="GD58" s="224"/>
      <c r="GE58" s="224"/>
      <c r="GF58" s="224"/>
      <c r="GG58" s="224"/>
      <c r="GH58" s="224"/>
      <c r="GI58" s="224"/>
      <c r="GJ58" s="224"/>
      <c r="GK58" s="224"/>
      <c r="GL58" s="224"/>
      <c r="GM58" s="224"/>
      <c r="GN58" s="224"/>
      <c r="GO58" s="224"/>
      <c r="GP58" s="224"/>
      <c r="GQ58" s="224"/>
      <c r="GR58" s="224"/>
      <c r="GS58" s="224"/>
      <c r="GT58" s="225"/>
      <c r="GU58" s="224"/>
      <c r="GV58" s="224"/>
      <c r="GW58" s="224"/>
      <c r="GX58" s="224"/>
      <c r="GY58" s="224"/>
      <c r="GZ58" s="224"/>
      <c r="HA58" s="224"/>
      <c r="HB58" s="224"/>
      <c r="HC58" s="224"/>
      <c r="HD58" s="224"/>
      <c r="HE58" s="224"/>
      <c r="HF58" s="224"/>
      <c r="HG58" s="224"/>
      <c r="HH58" s="224"/>
      <c r="HI58" s="224"/>
      <c r="HJ58" s="224"/>
      <c r="HK58" s="224"/>
      <c r="HL58" s="224"/>
      <c r="HM58" s="224"/>
      <c r="HN58" s="225"/>
      <c r="HO58" s="224"/>
      <c r="HP58" s="224"/>
      <c r="HQ58" s="224"/>
      <c r="HR58" s="224"/>
      <c r="HS58" s="224"/>
      <c r="HT58" s="224"/>
      <c r="HU58" s="224"/>
      <c r="HV58" s="224"/>
      <c r="HW58" s="224"/>
      <c r="HX58" s="224"/>
      <c r="HY58" s="224"/>
      <c r="HZ58" s="224"/>
      <c r="IA58" s="224"/>
      <c r="IB58" s="224"/>
      <c r="IC58" s="224"/>
      <c r="ID58" s="224"/>
      <c r="IE58" s="224"/>
      <c r="IF58" s="224"/>
      <c r="IG58" s="225"/>
      <c r="IH58" s="224"/>
      <c r="II58" s="224"/>
      <c r="IJ58" s="224"/>
      <c r="IK58" s="2124">
        <f t="shared" si="255"/>
        <v>0.17989145067424506</v>
      </c>
      <c r="IL58" s="2124">
        <f t="shared" si="256"/>
        <v>0.15488420138715034</v>
      </c>
      <c r="IM58" s="2124">
        <f t="shared" si="257"/>
        <v>0.15187235711983951</v>
      </c>
      <c r="IN58" s="2124">
        <f t="shared" si="258"/>
        <v>0.1549776523010952</v>
      </c>
      <c r="IO58" s="2124">
        <f t="shared" si="259"/>
        <v>0.15220419294019369</v>
      </c>
      <c r="IP58" s="2124">
        <f t="shared" si="260"/>
        <v>0.13837930974567697</v>
      </c>
      <c r="IQ58" s="2124">
        <f t="shared" si="261"/>
        <v>5.9079764987643307E-2</v>
      </c>
      <c r="IR58" s="2124">
        <f t="shared" si="262"/>
        <v>0.11822574491549286</v>
      </c>
      <c r="IS58" s="2124">
        <f t="shared" si="263"/>
        <v>0.10235205409064563</v>
      </c>
      <c r="IT58" s="2124">
        <f t="shared" si="264"/>
        <v>0.17447964694034374</v>
      </c>
      <c r="IU58" s="2124">
        <f t="shared" si="265"/>
        <v>0.17656458361512248</v>
      </c>
      <c r="IV58" s="2124">
        <f t="shared" si="266"/>
        <v>0.21525846386444203</v>
      </c>
      <c r="IW58" s="2124">
        <f t="shared" si="267"/>
        <v>0.25122268544148668</v>
      </c>
      <c r="IX58" s="2124">
        <f t="shared" si="268"/>
        <v>0.377545581839138</v>
      </c>
      <c r="IY58" s="2124">
        <f t="shared" si="269"/>
        <v>0.34197601038246805</v>
      </c>
      <c r="IZ58" s="225"/>
      <c r="JA58" s="2124">
        <f t="shared" si="270"/>
        <v>0.18570292678335293</v>
      </c>
      <c r="JB58" s="224"/>
      <c r="JC58" s="224"/>
      <c r="JD58" s="224"/>
      <c r="JE58" s="224"/>
      <c r="JF58" s="224"/>
      <c r="JG58" s="224"/>
      <c r="JH58" s="224"/>
      <c r="JI58" s="224"/>
      <c r="JJ58" s="224"/>
      <c r="JK58" s="224"/>
      <c r="JL58" s="224"/>
      <c r="JM58" s="224"/>
      <c r="JN58" s="224"/>
      <c r="JO58" s="224"/>
      <c r="JP58" s="224"/>
      <c r="JQ58" s="224"/>
      <c r="JR58" s="224"/>
      <c r="JS58" s="224"/>
      <c r="JT58" s="224"/>
      <c r="JU58" s="225"/>
      <c r="JV58" s="224"/>
      <c r="JW58" s="224"/>
      <c r="JX58" s="224"/>
      <c r="JY58" s="224"/>
      <c r="JZ58" s="224"/>
      <c r="KA58" s="224"/>
      <c r="KB58" s="224"/>
      <c r="KC58" s="224"/>
      <c r="KD58" s="224"/>
      <c r="KE58" s="224"/>
      <c r="KF58" s="224"/>
      <c r="KG58" s="224"/>
      <c r="KH58" s="224"/>
      <c r="KI58" s="224"/>
      <c r="KJ58" s="224"/>
      <c r="KK58" s="224"/>
      <c r="KL58" s="224"/>
      <c r="KM58" s="224"/>
      <c r="KN58" s="224"/>
      <c r="KO58" s="224"/>
      <c r="KP58" s="225"/>
      <c r="KQ58" s="224"/>
      <c r="KR58" s="224"/>
      <c r="KS58" s="224"/>
      <c r="KT58" s="224"/>
      <c r="KU58" s="224"/>
      <c r="KV58" s="224"/>
      <c r="KW58" s="224"/>
      <c r="KX58" s="224"/>
      <c r="KY58" s="224"/>
      <c r="KZ58" s="224"/>
      <c r="LA58" s="224"/>
      <c r="LB58" s="224"/>
      <c r="LC58" s="224"/>
      <c r="LD58" s="224"/>
      <c r="LE58" s="224"/>
      <c r="LF58" s="224"/>
      <c r="LG58" s="224"/>
      <c r="LH58" s="224"/>
      <c r="LI58" s="224"/>
      <c r="LJ58" s="224"/>
      <c r="LK58" s="224"/>
      <c r="LL58" s="225"/>
      <c r="LM58" s="224"/>
      <c r="LN58" s="224"/>
      <c r="LO58" s="224"/>
      <c r="LP58" s="224"/>
      <c r="LQ58" s="224"/>
      <c r="LR58" s="224"/>
      <c r="LS58" s="224"/>
      <c r="LT58" s="224"/>
      <c r="LU58" s="224"/>
      <c r="LV58" s="224"/>
      <c r="LW58" s="224"/>
      <c r="LX58" s="224"/>
      <c r="LY58" s="224"/>
      <c r="LZ58" s="224"/>
      <c r="MA58" s="224"/>
      <c r="MB58" s="224"/>
      <c r="MC58" s="224"/>
      <c r="MD58" s="224"/>
      <c r="ME58" s="224"/>
      <c r="MF58" s="224"/>
      <c r="MG58" s="224"/>
      <c r="MH58" s="224"/>
      <c r="MI58" s="224"/>
      <c r="MJ58" s="224"/>
      <c r="MK58" s="224"/>
      <c r="ML58" s="224"/>
      <c r="MM58" s="224"/>
      <c r="MN58" s="224"/>
      <c r="MO58" s="224"/>
      <c r="MP58" s="224"/>
      <c r="MQ58" s="224"/>
      <c r="MR58" s="224"/>
      <c r="MS58" s="224"/>
      <c r="MT58" s="224"/>
      <c r="MU58" s="224"/>
      <c r="MV58" s="224"/>
      <c r="MW58" s="224"/>
      <c r="MX58" s="224"/>
      <c r="MY58" s="224"/>
      <c r="MZ58" s="224"/>
      <c r="NA58" s="224"/>
      <c r="NB58" s="224"/>
      <c r="NC58" s="224"/>
      <c r="ND58" s="224"/>
      <c r="NE58" s="224"/>
      <c r="NF58" s="224"/>
      <c r="NG58" s="224"/>
      <c r="NH58" s="224"/>
      <c r="NI58" s="224"/>
      <c r="NJ58" s="224"/>
      <c r="NK58" s="224"/>
      <c r="NL58" s="2826">
        <f t="shared" si="250"/>
        <v>0.2</v>
      </c>
      <c r="NM58" s="73" t="s">
        <v>287</v>
      </c>
      <c r="NN58" s="166">
        <f t="shared" si="271"/>
        <v>1.2811942146686697</v>
      </c>
      <c r="NO58" s="166">
        <f t="shared" ref="NO58:OB58" si="292">NO19+0.2</f>
        <v>1.2830128715601152</v>
      </c>
      <c r="NP58" s="166">
        <f t="shared" si="292"/>
        <v>1.3027443216310544</v>
      </c>
      <c r="NQ58" s="166">
        <f t="shared" si="292"/>
        <v>1.3018700071951803</v>
      </c>
      <c r="NR58" s="166">
        <f t="shared" si="292"/>
        <v>1.273707371252627</v>
      </c>
      <c r="NS58" s="166">
        <f t="shared" si="292"/>
        <v>1.3237395965283134</v>
      </c>
      <c r="NT58" s="166">
        <f t="shared" si="292"/>
        <v>1.3909341860092463</v>
      </c>
      <c r="NU58" s="166">
        <f t="shared" si="292"/>
        <v>1.2126734564446415</v>
      </c>
      <c r="NV58" s="166">
        <f t="shared" si="292"/>
        <v>1.1948617468126255</v>
      </c>
      <c r="NW58" s="166">
        <f t="shared" si="292"/>
        <v>1.216215509847316</v>
      </c>
      <c r="NX58" s="166">
        <f t="shared" si="292"/>
        <v>1.1338061957043604</v>
      </c>
      <c r="NY58" s="166">
        <f t="shared" si="292"/>
        <v>1.3548414999495155</v>
      </c>
      <c r="NZ58" s="166">
        <f t="shared" si="292"/>
        <v>1.392045416028284</v>
      </c>
      <c r="OA58" s="166">
        <f t="shared" si="292"/>
        <v>1.3978878422812229</v>
      </c>
      <c r="OB58" s="166">
        <f t="shared" si="292"/>
        <v>1.4457059049561294</v>
      </c>
      <c r="OC58" s="166"/>
      <c r="OD58" s="11"/>
      <c r="OE58" s="166">
        <f t="shared" si="273"/>
        <v>1.4118797210885456</v>
      </c>
      <c r="OF58" s="11"/>
      <c r="OG58" s="166">
        <f t="shared" si="274"/>
        <v>1.3976201658037881</v>
      </c>
      <c r="OH58" s="166">
        <f t="shared" si="252"/>
        <v>1.3031563888185012</v>
      </c>
      <c r="OI58" s="224"/>
      <c r="OJ58" s="224"/>
      <c r="OK58" s="224"/>
      <c r="OL58" s="224"/>
      <c r="OM58" s="224"/>
      <c r="ON58" s="224"/>
      <c r="OO58" s="224"/>
      <c r="OP58" s="224"/>
      <c r="OQ58" s="224"/>
      <c r="OR58" s="224"/>
      <c r="OS58" s="224"/>
      <c r="OT58" s="224"/>
      <c r="OU58" s="224"/>
      <c r="OV58" s="224"/>
      <c r="OW58" s="224"/>
      <c r="OX58" s="224"/>
      <c r="OY58" s="224"/>
      <c r="OZ58" s="224"/>
      <c r="PA58" s="224"/>
      <c r="PB58" s="224"/>
      <c r="PC58" s="224"/>
      <c r="PD58" s="224"/>
      <c r="PE58" s="224"/>
      <c r="PF58" s="224"/>
      <c r="PG58" s="224"/>
      <c r="PH58" s="224"/>
      <c r="PI58" s="224"/>
      <c r="PJ58" s="224"/>
      <c r="PK58" s="224"/>
      <c r="PL58" s="224"/>
      <c r="PM58" s="224"/>
      <c r="PN58" s="224"/>
      <c r="PO58" s="224"/>
      <c r="PP58" s="224"/>
      <c r="PQ58" s="224"/>
      <c r="PR58" s="224"/>
      <c r="PS58" s="224"/>
      <c r="PT58" s="224"/>
      <c r="PU58" s="224"/>
      <c r="PV58" s="224"/>
      <c r="PW58" s="224"/>
      <c r="PX58" s="166">
        <f>PX19-'Bloom Cleaner Data'!FO19</f>
        <v>-1.1252340965384189E-3</v>
      </c>
      <c r="PY58" s="166">
        <f>PY19-'Bloom Cleaner Data'!FP19</f>
        <v>-1.0678035470668146E-3</v>
      </c>
      <c r="PZ58" s="166">
        <f>PZ19-'Bloom Cleaner Data'!FQ19</f>
        <v>-1.1653377265239406E-3</v>
      </c>
      <c r="QA58" s="166">
        <f>QA19-'Bloom Cleaner Data'!FR19</f>
        <v>-1.6447419533849317E-3</v>
      </c>
      <c r="QB58" s="166">
        <f>QB19-'Bloom Cleaner Data'!FS19</f>
        <v>-1.4390733907339026E-3</v>
      </c>
      <c r="QC58" s="166">
        <f>QC19-'Bloom Cleaner Data'!FT19</f>
        <v>-1.3758909287258092E-3</v>
      </c>
      <c r="QD58" s="166">
        <f>QD19-'Bloom Cleaner Data'!FU19</f>
        <v>-1.6600564930830952E-3</v>
      </c>
      <c r="QE58" s="166">
        <f>QE19-'Bloom Cleaner Data'!FV19</f>
        <v>-1.5716476713099059E-3</v>
      </c>
      <c r="QF58" s="166"/>
      <c r="QG58" s="166"/>
      <c r="QH58" s="166"/>
      <c r="QI58" s="166"/>
      <c r="QJ58" s="166"/>
      <c r="QK58" s="166"/>
      <c r="QL58" s="166"/>
      <c r="QM58" s="166"/>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row>
    <row r="59" spans="1:516">
      <c r="A59" s="5"/>
      <c r="B59" s="24"/>
      <c r="C59" s="2214" t="s">
        <v>54</v>
      </c>
      <c r="D59" s="1112"/>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668">
        <f>'OPERATING LEASES'!BL20/'Bloom Cleaner Data'!GV20</f>
        <v>5.4335752253821062E-2</v>
      </c>
      <c r="DL59" s="2668">
        <f>'OPERATING LEASES'!BM20/'Bloom Cleaner Data'!GW20</f>
        <v>4.7677782344599087E-2</v>
      </c>
      <c r="DM59" s="2668">
        <f>'OPERATING LEASES'!BN20/'Bloom Cleaner Data'!GX20</f>
        <v>3.9540422465589378E-2</v>
      </c>
      <c r="DN59" s="2668">
        <f>'OPERATING LEASES'!BO20/'Bloom Cleaner Data'!GY20</f>
        <v>3.0232271484846047E-2</v>
      </c>
      <c r="DO59" s="2668">
        <f>'OPERATING LEASES'!BP20/'Bloom Cleaner Data'!GZ20</f>
        <v>1.7642818827946896E-2</v>
      </c>
      <c r="DP59" s="2668">
        <f>'OPERATING LEASES'!BQ20/'Bloom Cleaner Data'!HA20</f>
        <v>1.5747298306541448E-2</v>
      </c>
      <c r="DQ59" s="2668">
        <f>'OPERATING LEASES'!BR20/'Bloom Cleaner Data'!HB20</f>
        <v>1.508673981592379E-2</v>
      </c>
      <c r="DR59" s="2668">
        <f>'OPERATING LEASES'!BS20/'Bloom Cleaner Data'!HC20</f>
        <v>1.2119593834872298E-2</v>
      </c>
      <c r="DS59" s="2668">
        <f>'OPERATING LEASES'!BT20/'Bloom Cleaner Data'!HD20</f>
        <v>9.887007739810277E-3</v>
      </c>
      <c r="DT59" s="2668">
        <f>'OPERATING LEASES'!BU20/'Bloom Cleaner Data'!HE20</f>
        <v>8.9837314084884184E-3</v>
      </c>
      <c r="DU59" s="2668">
        <f>'OPERATING LEASES'!BV20/'Bloom Cleaner Data'!HF20</f>
        <v>9.2647026371699224E-3</v>
      </c>
      <c r="DV59" s="2668">
        <f>'OPERATING LEASES'!BW20/'Bloom Cleaner Data'!HG20</f>
        <v>9.5282630902473915E-3</v>
      </c>
      <c r="DW59" s="2668">
        <f>'OPERATING LEASES'!BX20/'Bloom Cleaner Data'!HH20</f>
        <v>9.4808319562561215E-3</v>
      </c>
      <c r="DX59" s="2668">
        <f>'OPERATING LEASES'!BY20/'Bloom Cleaner Data'!HI20</f>
        <v>9.6660331676176204E-3</v>
      </c>
      <c r="DY59" s="2668">
        <f>'OPERATING LEASES'!BZ20/'Bloom Cleaner Data'!HJ20</f>
        <v>1.0015507365112166E-2</v>
      </c>
      <c r="DZ59" s="2668"/>
      <c r="EA59" s="2668">
        <f t="shared" si="253"/>
        <v>1.5168863238493983E-2</v>
      </c>
      <c r="EB59" s="2668"/>
      <c r="EC59" s="2668"/>
      <c r="ED59" s="2668">
        <f t="shared" si="254"/>
        <v>9.5910676432806458E-3</v>
      </c>
      <c r="EE59" s="225"/>
      <c r="EF59" s="2123"/>
      <c r="EG59" s="2123"/>
      <c r="EH59" s="2123"/>
      <c r="EI59" s="2123"/>
      <c r="EJ59" s="2123"/>
      <c r="EK59" s="2123"/>
      <c r="EL59" s="2123"/>
      <c r="EM59" s="225"/>
      <c r="EN59" s="225"/>
      <c r="EO59" s="225"/>
      <c r="EP59" s="225"/>
      <c r="EQ59" s="225"/>
      <c r="ER59" s="225"/>
      <c r="ES59" s="225"/>
      <c r="ET59" s="225"/>
      <c r="EU59" s="225"/>
      <c r="EV59" s="225"/>
      <c r="EW59" s="225"/>
      <c r="EX59" s="225"/>
      <c r="EY59" s="225"/>
      <c r="EZ59" s="225"/>
      <c r="FA59" s="225"/>
      <c r="FB59" s="225"/>
      <c r="FC59" s="225"/>
      <c r="FD59" s="225"/>
      <c r="FE59" s="225"/>
      <c r="FF59" s="225"/>
      <c r="FG59" s="3280"/>
      <c r="FH59" s="224"/>
      <c r="FI59" s="224"/>
      <c r="FJ59" s="224"/>
      <c r="FK59" s="224"/>
      <c r="FL59" s="224"/>
      <c r="FM59" s="224"/>
      <c r="FN59" s="224"/>
      <c r="FO59" s="224"/>
      <c r="FP59" s="224"/>
      <c r="FQ59" s="224"/>
      <c r="FR59" s="224"/>
      <c r="FS59" s="224"/>
      <c r="FT59" s="224"/>
      <c r="FU59" s="224"/>
      <c r="FV59" s="224"/>
      <c r="FW59" s="224"/>
      <c r="FX59" s="224"/>
      <c r="FY59" s="224"/>
      <c r="FZ59" s="224"/>
      <c r="GA59" s="224"/>
      <c r="GB59" s="224"/>
      <c r="GC59" s="224"/>
      <c r="GD59" s="224"/>
      <c r="GE59" s="224"/>
      <c r="GF59" s="224"/>
      <c r="GG59" s="224"/>
      <c r="GH59" s="224"/>
      <c r="GI59" s="224"/>
      <c r="GJ59" s="224"/>
      <c r="GK59" s="224"/>
      <c r="GL59" s="224"/>
      <c r="GM59" s="224"/>
      <c r="GN59" s="224"/>
      <c r="GO59" s="224"/>
      <c r="GP59" s="224"/>
      <c r="GQ59" s="224"/>
      <c r="GR59" s="224"/>
      <c r="GS59" s="224"/>
      <c r="GT59" s="225"/>
      <c r="GU59" s="224"/>
      <c r="GV59" s="224"/>
      <c r="GW59" s="224"/>
      <c r="GX59" s="224"/>
      <c r="GY59" s="224"/>
      <c r="GZ59" s="224"/>
      <c r="HA59" s="224"/>
      <c r="HB59" s="224"/>
      <c r="HC59" s="224"/>
      <c r="HD59" s="224"/>
      <c r="HE59" s="224"/>
      <c r="HF59" s="224"/>
      <c r="HG59" s="224"/>
      <c r="HH59" s="224"/>
      <c r="HI59" s="224"/>
      <c r="HJ59" s="224"/>
      <c r="HK59" s="224"/>
      <c r="HL59" s="224"/>
      <c r="HM59" s="224"/>
      <c r="HN59" s="225"/>
      <c r="HO59" s="224"/>
      <c r="HP59" s="224"/>
      <c r="HQ59" s="224"/>
      <c r="HR59" s="224"/>
      <c r="HS59" s="224"/>
      <c r="HT59" s="224"/>
      <c r="HU59" s="224"/>
      <c r="HV59" s="224"/>
      <c r="HW59" s="224"/>
      <c r="HX59" s="224"/>
      <c r="HY59" s="224"/>
      <c r="HZ59" s="224"/>
      <c r="IA59" s="224"/>
      <c r="IB59" s="224"/>
      <c r="IC59" s="224"/>
      <c r="ID59" s="224"/>
      <c r="IE59" s="224"/>
      <c r="IF59" s="224"/>
      <c r="IG59" s="225"/>
      <c r="IH59" s="224"/>
      <c r="II59" s="224"/>
      <c r="IJ59" s="224"/>
      <c r="IK59" s="2124">
        <f t="shared" si="255"/>
        <v>0.45875064669941784</v>
      </c>
      <c r="IL59" s="2124">
        <f t="shared" si="256"/>
        <v>0.45787740009170802</v>
      </c>
      <c r="IM59" s="2124">
        <f t="shared" si="257"/>
        <v>0.47193672863445219</v>
      </c>
      <c r="IN59" s="2124">
        <f t="shared" si="258"/>
        <v>0.11097847817230026</v>
      </c>
      <c r="IO59" s="2124">
        <f t="shared" si="259"/>
        <v>0.23596774312858371</v>
      </c>
      <c r="IP59" s="2124">
        <f t="shared" si="260"/>
        <v>0.50960585461963459</v>
      </c>
      <c r="IQ59" s="2124">
        <f t="shared" si="261"/>
        <v>0.59553939682915213</v>
      </c>
      <c r="IR59" s="2124">
        <f t="shared" si="262"/>
        <v>0.63779865838246408</v>
      </c>
      <c r="IS59" s="2124">
        <f t="shared" si="263"/>
        <v>0.65140546763186458</v>
      </c>
      <c r="IT59" s="2124">
        <f t="shared" si="264"/>
        <v>0.66325436742001864</v>
      </c>
      <c r="IU59" s="2124">
        <f t="shared" si="265"/>
        <v>0.72265577210639964</v>
      </c>
      <c r="IV59" s="2124">
        <f t="shared" si="266"/>
        <v>0.69604243096160234</v>
      </c>
      <c r="IW59" s="2124">
        <f t="shared" si="267"/>
        <v>0.72169381788943943</v>
      </c>
      <c r="IX59" s="2124">
        <f t="shared" si="268"/>
        <v>0.70537860851161116</v>
      </c>
      <c r="IY59" s="2124">
        <f t="shared" si="269"/>
        <v>0.7506672643344422</v>
      </c>
      <c r="IZ59" s="225"/>
      <c r="JA59" s="2124">
        <f t="shared" si="270"/>
        <v>0.5748403529709204</v>
      </c>
      <c r="JB59" s="224"/>
      <c r="JC59" s="224"/>
      <c r="JD59" s="224"/>
      <c r="JE59" s="224"/>
      <c r="JF59" s="224"/>
      <c r="JG59" s="224"/>
      <c r="JH59" s="224"/>
      <c r="JI59" s="224"/>
      <c r="JJ59" s="224"/>
      <c r="JK59" s="224"/>
      <c r="JL59" s="224"/>
      <c r="JM59" s="224"/>
      <c r="JN59" s="224"/>
      <c r="JO59" s="224"/>
      <c r="JP59" s="224"/>
      <c r="JQ59" s="224"/>
      <c r="JR59" s="224"/>
      <c r="JS59" s="224"/>
      <c r="JT59" s="224"/>
      <c r="JU59" s="225"/>
      <c r="JV59" s="224"/>
      <c r="JW59" s="224"/>
      <c r="JX59" s="224"/>
      <c r="JY59" s="224"/>
      <c r="JZ59" s="224"/>
      <c r="KA59" s="224"/>
      <c r="KB59" s="224"/>
      <c r="KC59" s="224"/>
      <c r="KD59" s="224"/>
      <c r="KE59" s="224"/>
      <c r="KF59" s="224"/>
      <c r="KG59" s="224"/>
      <c r="KH59" s="224"/>
      <c r="KI59" s="224"/>
      <c r="KJ59" s="224"/>
      <c r="KK59" s="224"/>
      <c r="KL59" s="224"/>
      <c r="KM59" s="224"/>
      <c r="KN59" s="224"/>
      <c r="KO59" s="224"/>
      <c r="KP59" s="225"/>
      <c r="KQ59" s="224"/>
      <c r="KR59" s="224"/>
      <c r="KS59" s="224"/>
      <c r="KT59" s="224"/>
      <c r="KU59" s="224"/>
      <c r="KV59" s="224"/>
      <c r="KW59" s="224"/>
      <c r="KX59" s="224"/>
      <c r="KY59" s="224"/>
      <c r="KZ59" s="224"/>
      <c r="LA59" s="224"/>
      <c r="LB59" s="224"/>
      <c r="LC59" s="224"/>
      <c r="LD59" s="224"/>
      <c r="LE59" s="224"/>
      <c r="LF59" s="224"/>
      <c r="LG59" s="224"/>
      <c r="LH59" s="224"/>
      <c r="LI59" s="224"/>
      <c r="LJ59" s="224"/>
      <c r="LK59" s="224"/>
      <c r="LL59" s="225"/>
      <c r="LM59" s="224"/>
      <c r="LN59" s="224"/>
      <c r="LO59" s="224"/>
      <c r="LP59" s="224"/>
      <c r="LQ59" s="224"/>
      <c r="LR59" s="224"/>
      <c r="LS59" s="224"/>
      <c r="LT59" s="224"/>
      <c r="LU59" s="224"/>
      <c r="LV59" s="224"/>
      <c r="LW59" s="224"/>
      <c r="LX59" s="224"/>
      <c r="LY59" s="224"/>
      <c r="LZ59" s="224"/>
      <c r="MA59" s="224"/>
      <c r="MB59" s="224"/>
      <c r="MC59" s="224"/>
      <c r="MD59" s="224"/>
      <c r="ME59" s="224"/>
      <c r="MF59" s="224"/>
      <c r="MG59" s="224"/>
      <c r="MH59" s="224"/>
      <c r="MI59" s="224"/>
      <c r="MJ59" s="224"/>
      <c r="MK59" s="224"/>
      <c r="ML59" s="224"/>
      <c r="MM59" s="224"/>
      <c r="MN59" s="224"/>
      <c r="MO59" s="224"/>
      <c r="MP59" s="224"/>
      <c r="MQ59" s="224"/>
      <c r="MR59" s="224"/>
      <c r="MS59" s="224"/>
      <c r="MT59" s="224"/>
      <c r="MU59" s="224"/>
      <c r="MV59" s="224"/>
      <c r="MW59" s="224"/>
      <c r="MX59" s="224"/>
      <c r="MY59" s="224"/>
      <c r="MZ59" s="224"/>
      <c r="NA59" s="224"/>
      <c r="NB59" s="224"/>
      <c r="NC59" s="224"/>
      <c r="ND59" s="224"/>
      <c r="NE59" s="224"/>
      <c r="NF59" s="224"/>
      <c r="NG59" s="224"/>
      <c r="NH59" s="224"/>
      <c r="NI59" s="224"/>
      <c r="NJ59" s="224"/>
      <c r="NK59" s="224"/>
      <c r="NL59" s="2826">
        <f t="shared" si="250"/>
        <v>0.2</v>
      </c>
      <c r="NM59" s="73" t="s">
        <v>54</v>
      </c>
      <c r="NN59" s="166">
        <f t="shared" si="271"/>
        <v>3.1470614185050372</v>
      </c>
      <c r="NO59" s="166">
        <f t="shared" ref="NO59:OB59" si="293">NO20+0.2</f>
        <v>3.7239230008848536</v>
      </c>
      <c r="NP59" s="166">
        <f t="shared" si="293"/>
        <v>4.2110009191590434</v>
      </c>
      <c r="NQ59" s="166">
        <f t="shared" si="293"/>
        <v>4.2109478526412651</v>
      </c>
      <c r="NR59" s="166">
        <f t="shared" si="293"/>
        <v>4.8330242006913888</v>
      </c>
      <c r="NS59" s="166">
        <f t="shared" si="293"/>
        <v>7.6921905247920295</v>
      </c>
      <c r="NT59" s="166">
        <f t="shared" si="293"/>
        <v>8.0630935927726295</v>
      </c>
      <c r="NU59" s="166">
        <f t="shared" si="293"/>
        <v>6.5625281698236186</v>
      </c>
      <c r="NV59" s="166">
        <f t="shared" si="293"/>
        <v>5.6291319440115606</v>
      </c>
      <c r="NW59" s="166">
        <f t="shared" si="293"/>
        <v>4.9711261853605917</v>
      </c>
      <c r="NX59" s="166">
        <f t="shared" si="293"/>
        <v>5.0317443224395628</v>
      </c>
      <c r="NY59" s="166">
        <f t="shared" si="293"/>
        <v>5.3258392145827109</v>
      </c>
      <c r="NZ59" s="166">
        <f t="shared" si="293"/>
        <v>4.8441971801137873</v>
      </c>
      <c r="OA59" s="166">
        <f t="shared" si="293"/>
        <v>5.3082876282957541</v>
      </c>
      <c r="OB59" s="166">
        <f t="shared" si="293"/>
        <v>5.434584340540396</v>
      </c>
      <c r="OC59" s="166"/>
      <c r="OD59" s="11"/>
      <c r="OE59" s="166">
        <f t="shared" si="273"/>
        <v>5.1956897163166458</v>
      </c>
      <c r="OF59" s="11"/>
      <c r="OG59" s="166">
        <f t="shared" si="274"/>
        <v>5.2282270908831618</v>
      </c>
      <c r="OH59" s="166">
        <f t="shared" si="252"/>
        <v>5.5475150827095634</v>
      </c>
      <c r="OI59" s="224"/>
      <c r="OJ59" s="224"/>
      <c r="OK59" s="224"/>
      <c r="OL59" s="224"/>
      <c r="OM59" s="224"/>
      <c r="ON59" s="224"/>
      <c r="OO59" s="224"/>
      <c r="OP59" s="224"/>
      <c r="OQ59" s="224"/>
      <c r="OR59" s="224"/>
      <c r="OS59" s="224"/>
      <c r="OT59" s="224"/>
      <c r="OU59" s="224"/>
      <c r="OV59" s="224"/>
      <c r="OW59" s="224"/>
      <c r="OX59" s="224"/>
      <c r="OY59" s="224"/>
      <c r="OZ59" s="224"/>
      <c r="PA59" s="224"/>
      <c r="PB59" s="224"/>
      <c r="PC59" s="224"/>
      <c r="PD59" s="224"/>
      <c r="PE59" s="224"/>
      <c r="PF59" s="224"/>
      <c r="PG59" s="224"/>
      <c r="PH59" s="224"/>
      <c r="PI59" s="224"/>
      <c r="PJ59" s="224"/>
      <c r="PK59" s="224"/>
      <c r="PL59" s="224"/>
      <c r="PM59" s="224"/>
      <c r="PN59" s="224"/>
      <c r="PO59" s="224"/>
      <c r="PP59" s="224"/>
      <c r="PQ59" s="224"/>
      <c r="PR59" s="224"/>
      <c r="PS59" s="224"/>
      <c r="PT59" s="224"/>
      <c r="PU59" s="224"/>
      <c r="PV59" s="224"/>
      <c r="PW59" s="224"/>
      <c r="PX59" s="166">
        <f>PX20-'Bloom Cleaner Data'!FO20</f>
        <v>-1.6373032775812986</v>
      </c>
      <c r="PY59" s="166">
        <f>PY20-'Bloom Cleaner Data'!FP20</f>
        <v>-1.2755384689491631</v>
      </c>
      <c r="PZ59" s="166">
        <f>PZ20-'Bloom Cleaner Data'!FQ20</f>
        <v>-1.6855023846125006</v>
      </c>
      <c r="QA59" s="166">
        <f>QA20-'Bloom Cleaner Data'!FR20</f>
        <v>0.1960400242347613</v>
      </c>
      <c r="QB59" s="166">
        <f>QB20-'Bloom Cleaner Data'!FS20</f>
        <v>2.5945332215729255E-2</v>
      </c>
      <c r="QC59" s="166">
        <f>QC20-'Bloom Cleaner Data'!FT20</f>
        <v>-0.19378489026180801</v>
      </c>
      <c r="QD59" s="166">
        <f>QD20-'Bloom Cleaner Data'!FU20</f>
        <v>-0.37350323351541137</v>
      </c>
      <c r="QE59" s="166">
        <f>QE20-'Bloom Cleaner Data'!FV20</f>
        <v>-0.34328410569046541</v>
      </c>
      <c r="QF59" s="166"/>
      <c r="QG59" s="166"/>
      <c r="QH59" s="166"/>
      <c r="QI59" s="166"/>
      <c r="QJ59" s="166">
        <f>QJ20-'Bloom Cleaner Data'!GA20</f>
        <v>-0.25912752359870517</v>
      </c>
      <c r="QK59" s="166"/>
      <c r="QL59" s="166"/>
      <c r="QM59" s="166"/>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row>
    <row r="60" spans="1:516">
      <c r="A60" s="5"/>
      <c r="B60" s="24"/>
      <c r="C60" s="2214" t="s">
        <v>50</v>
      </c>
      <c r="D60" s="1112"/>
      <c r="E60" s="225"/>
      <c r="F60" s="225"/>
      <c r="G60" s="225"/>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668">
        <f>'OPERATING LEASES'!BL21/'Bloom Cleaner Data'!GV21</f>
        <v>0.27378417042004644</v>
      </c>
      <c r="DL60" s="2668">
        <f>'OPERATING LEASES'!BM21/'Bloom Cleaner Data'!GW21</f>
        <v>0.18764147589102764</v>
      </c>
      <c r="DM60" s="2668">
        <f>'OPERATING LEASES'!BN21/'Bloom Cleaner Data'!GX21</f>
        <v>0.1764245719279863</v>
      </c>
      <c r="DN60" s="2668">
        <f>'OPERATING LEASES'!BO21/'Bloom Cleaner Data'!GY21</f>
        <v>0.1635005550959899</v>
      </c>
      <c r="DO60" s="2668">
        <f>'OPERATING LEASES'!BP21/'Bloom Cleaner Data'!GZ21</f>
        <v>0.15234768930508449</v>
      </c>
      <c r="DP60" s="2668">
        <f>'OPERATING LEASES'!BQ21/'Bloom Cleaner Data'!HA21</f>
        <v>0.15486357010116125</v>
      </c>
      <c r="DQ60" s="2668">
        <f>'OPERATING LEASES'!BR21/'Bloom Cleaner Data'!HB21</f>
        <v>0.15601377385721343</v>
      </c>
      <c r="DR60" s="2668">
        <f>'OPERATING LEASES'!BS21/'Bloom Cleaner Data'!HC21</f>
        <v>0.15699063196816623</v>
      </c>
      <c r="DS60" s="2668">
        <f>'OPERATING LEASES'!BT21/'Bloom Cleaner Data'!HD21</f>
        <v>0.15802825538783027</v>
      </c>
      <c r="DT60" s="2668">
        <f>'OPERATING LEASES'!BU21/'Bloom Cleaner Data'!HE21</f>
        <v>0.16559500936440166</v>
      </c>
      <c r="DU60" s="2668">
        <f>'OPERATING LEASES'!BV21/'Bloom Cleaner Data'!HF21</f>
        <v>0.16286260993960269</v>
      </c>
      <c r="DV60" s="2668">
        <f>'OPERATING LEASES'!BW21/'Bloom Cleaner Data'!HG21</f>
        <v>0.16298366810466836</v>
      </c>
      <c r="DW60" s="2668">
        <f>'OPERATING LEASES'!BX21/'Bloom Cleaner Data'!HH21</f>
        <v>0.16442220741694027</v>
      </c>
      <c r="DX60" s="2668">
        <f>'OPERATING LEASES'!BY21/'Bloom Cleaner Data'!HI21</f>
        <v>0.15128980124362978</v>
      </c>
      <c r="DY60" s="2668">
        <f>'OPERATING LEASES'!BZ21/'Bloom Cleaner Data'!HJ21</f>
        <v>0.15159576894506449</v>
      </c>
      <c r="DZ60" s="2668"/>
      <c r="EA60" s="2668">
        <f t="shared" si="253"/>
        <v>0.15976293174290301</v>
      </c>
      <c r="EB60" s="2668"/>
      <c r="EC60" s="2668"/>
      <c r="ED60" s="2668">
        <f t="shared" si="254"/>
        <v>0.15863081112998109</v>
      </c>
      <c r="EE60" s="225"/>
      <c r="EF60" s="2123"/>
      <c r="EG60" s="2123"/>
      <c r="EH60" s="2123"/>
      <c r="EI60" s="2123"/>
      <c r="EJ60" s="2123"/>
      <c r="EK60" s="2123"/>
      <c r="EL60" s="2123"/>
      <c r="EM60" s="225"/>
      <c r="EN60" s="225"/>
      <c r="EO60" s="225"/>
      <c r="EP60" s="225"/>
      <c r="EQ60" s="225"/>
      <c r="ER60" s="225"/>
      <c r="ES60" s="225"/>
      <c r="ET60" s="225"/>
      <c r="EU60" s="225"/>
      <c r="EV60" s="225"/>
      <c r="EW60" s="225"/>
      <c r="EX60" s="225"/>
      <c r="EY60" s="225"/>
      <c r="EZ60" s="225"/>
      <c r="FA60" s="225"/>
      <c r="FB60" s="225"/>
      <c r="FC60" s="225"/>
      <c r="FD60" s="225"/>
      <c r="FE60" s="225"/>
      <c r="FF60" s="225"/>
      <c r="FG60" s="3280"/>
      <c r="FH60" s="908">
        <f>FH21-EN21</f>
        <v>4.6756838193576122E-2</v>
      </c>
      <c r="FI60" s="908">
        <f t="shared" ref="FI60:FV60" si="294">FI21-EO21</f>
        <v>0.3290758803437952</v>
      </c>
      <c r="FJ60" s="908">
        <f t="shared" si="294"/>
        <v>0.3537191029722444</v>
      </c>
      <c r="FK60" s="908">
        <f t="shared" si="294"/>
        <v>0.37038722125707091</v>
      </c>
      <c r="FL60" s="908">
        <f t="shared" si="294"/>
        <v>0.32919938104113289</v>
      </c>
      <c r="FM60" s="908">
        <f t="shared" si="294"/>
        <v>0.30876363647478211</v>
      </c>
      <c r="FN60" s="908">
        <f t="shared" si="294"/>
        <v>0.28947794983905073</v>
      </c>
      <c r="FO60" s="908">
        <f t="shared" si="294"/>
        <v>0.36774939548725616</v>
      </c>
      <c r="FP60" s="908">
        <f t="shared" si="294"/>
        <v>0.3580442619169002</v>
      </c>
      <c r="FQ60" s="908">
        <f t="shared" si="294"/>
        <v>0.23676408792476433</v>
      </c>
      <c r="FR60" s="908">
        <f t="shared" si="294"/>
        <v>0.26326385136338537</v>
      </c>
      <c r="FS60" s="908">
        <f t="shared" si="294"/>
        <v>0.21721305346284936</v>
      </c>
      <c r="FT60" s="908">
        <f t="shared" si="294"/>
        <v>0.22524198550158303</v>
      </c>
      <c r="FU60" s="908">
        <f t="shared" si="294"/>
        <v>0.17803838595489641</v>
      </c>
      <c r="FV60" s="908">
        <f t="shared" si="294"/>
        <v>0.11812586955467452</v>
      </c>
      <c r="FW60" s="908"/>
      <c r="FX60" s="224"/>
      <c r="FY60" s="224"/>
      <c r="FZ60" s="224"/>
      <c r="GA60" s="224"/>
      <c r="GB60" s="224"/>
      <c r="GC60" s="224"/>
      <c r="GD60" s="224"/>
      <c r="GE60" s="224"/>
      <c r="GF60" s="224"/>
      <c r="GG60" s="224"/>
      <c r="GH60" s="224"/>
      <c r="GI60" s="224"/>
      <c r="GJ60" s="224"/>
      <c r="GK60" s="224"/>
      <c r="GL60" s="224"/>
      <c r="GM60" s="224"/>
      <c r="GN60" s="224"/>
      <c r="GO60" s="224"/>
      <c r="GP60" s="224"/>
      <c r="GQ60" s="224"/>
      <c r="GR60" s="224"/>
      <c r="GS60" s="224"/>
      <c r="GT60" s="225"/>
      <c r="GU60" s="224"/>
      <c r="GV60" s="224"/>
      <c r="GW60" s="224"/>
      <c r="GX60" s="224"/>
      <c r="GY60" s="224"/>
      <c r="GZ60" s="224"/>
      <c r="HA60" s="224"/>
      <c r="HB60" s="224"/>
      <c r="HC60" s="224"/>
      <c r="HD60" s="224"/>
      <c r="HE60" s="224"/>
      <c r="HF60" s="224"/>
      <c r="HG60" s="224"/>
      <c r="HH60" s="224"/>
      <c r="HI60" s="224"/>
      <c r="HJ60" s="224"/>
      <c r="HK60" s="224"/>
      <c r="HL60" s="224"/>
      <c r="HM60" s="224"/>
      <c r="HN60" s="225"/>
      <c r="HO60" s="224"/>
      <c r="HP60" s="224"/>
      <c r="HQ60" s="224"/>
      <c r="HR60" s="224"/>
      <c r="HS60" s="224"/>
      <c r="HT60" s="224"/>
      <c r="HU60" s="224"/>
      <c r="HV60" s="224"/>
      <c r="HW60" s="224"/>
      <c r="HX60" s="224"/>
      <c r="HY60" s="224"/>
      <c r="HZ60" s="224"/>
      <c r="IA60" s="224"/>
      <c r="IB60" s="224"/>
      <c r="IC60" s="224"/>
      <c r="ID60" s="224"/>
      <c r="IE60" s="224"/>
      <c r="IF60" s="224"/>
      <c r="IG60" s="225"/>
      <c r="IH60" s="224"/>
      <c r="II60" s="224"/>
      <c r="IJ60" s="224"/>
      <c r="IK60" s="2124">
        <f t="shared" si="255"/>
        <v>0.62772176927557632</v>
      </c>
      <c r="IL60" s="2124">
        <f t="shared" ref="IL60:IL66" si="295">$IN$43*IL21+(1-$IN$43)*GZ21</f>
        <v>0.62824808062908566</v>
      </c>
      <c r="IM60" s="2124">
        <f t="shared" ref="IM60:IM66" si="296">$IN$43*IM21+(1-$IN$43)*HA21</f>
        <v>0.60530144993751922</v>
      </c>
      <c r="IN60" s="2124">
        <f t="shared" ref="IN60:IN66" si="297">$IN$43*IN21+(1-$IN$43)*HB21</f>
        <v>0.59626489005645689</v>
      </c>
      <c r="IO60" s="2124">
        <f t="shared" ref="IO60:IO66" si="298">$IN$43*IO21+(1-$IN$43)*HC21</f>
        <v>0.52286326585817222</v>
      </c>
      <c r="IP60" s="2124">
        <f t="shared" ref="IP60:IP66" si="299">$IN$43*IP21+(1-$IN$43)*HD21</f>
        <v>0.5044564310802967</v>
      </c>
      <c r="IQ60" s="2124">
        <f t="shared" ref="IQ60:IQ66" si="300">$IN$43*IQ21+(1-$IN$43)*HE21</f>
        <v>0.48150713962887542</v>
      </c>
      <c r="IR60" s="2124">
        <f t="shared" ref="IR60:IR66" si="301">$IN$43*IR21+(1-$IN$43)*HF21</f>
        <v>0.52800904261181547</v>
      </c>
      <c r="IS60" s="2124">
        <f t="shared" ref="IS60:IS66" si="302">$IN$43*IS21+(1-$IN$43)*HG21</f>
        <v>0.4945296749708698</v>
      </c>
      <c r="IT60" s="2124">
        <f t="shared" ref="IT60:IT66" si="303">$IN$43*IT21+(1-$IN$43)*HH21</f>
        <v>0.47141483063757739</v>
      </c>
      <c r="IU60" s="2124">
        <f t="shared" ref="IU60:IU66" si="304">$IN$43*IU21+(1-$IN$43)*HI21</f>
        <v>0.4873973499699798</v>
      </c>
      <c r="IV60" s="2124">
        <f t="shared" ref="IV60:IV66" si="305">$IN$43*IV21+(1-$IN$43)*HJ21</f>
        <v>0.45752690454446737</v>
      </c>
      <c r="IW60" s="2124">
        <f t="shared" ref="IW60:IW66" si="306">$IN$43*IW21+(1-$IN$43)*HK21</f>
        <v>0.44076573847172978</v>
      </c>
      <c r="IX60" s="2124">
        <f t="shared" ref="IX60:IX66" si="307">$IN$43*IX21+(1-$IN$43)*HL21</f>
        <v>0.39634069249575571</v>
      </c>
      <c r="IY60" s="2124">
        <f t="shared" ref="IY60:IY66" si="308">$IN$43*IY21+(1-$IN$43)*HM21</f>
        <v>0.37414035756341019</v>
      </c>
      <c r="IZ60" s="225"/>
      <c r="JA60" s="2124">
        <f t="shared" si="270"/>
        <v>0.48927059752514818</v>
      </c>
      <c r="JB60" s="224"/>
      <c r="JC60" s="224"/>
      <c r="JD60" s="224"/>
      <c r="JE60" s="224"/>
      <c r="JF60" s="224"/>
      <c r="JG60" s="224"/>
      <c r="JH60" s="224"/>
      <c r="JI60" s="224"/>
      <c r="JJ60" s="224"/>
      <c r="JK60" s="224"/>
      <c r="JL60" s="224"/>
      <c r="JM60" s="224"/>
      <c r="JN60" s="224"/>
      <c r="JO60" s="224"/>
      <c r="JP60" s="224"/>
      <c r="JQ60" s="224"/>
      <c r="JR60" s="224"/>
      <c r="JS60" s="224"/>
      <c r="JT60" s="224"/>
      <c r="JU60" s="225"/>
      <c r="JV60" s="224"/>
      <c r="JW60" s="224"/>
      <c r="JX60" s="224"/>
      <c r="JY60" s="224"/>
      <c r="JZ60" s="224"/>
      <c r="KA60" s="224"/>
      <c r="KB60" s="224"/>
      <c r="KC60" s="224"/>
      <c r="KD60" s="224"/>
      <c r="KE60" s="224"/>
      <c r="KF60" s="224"/>
      <c r="KG60" s="224"/>
      <c r="KH60" s="224"/>
      <c r="KI60" s="224"/>
      <c r="KJ60" s="224"/>
      <c r="KK60" s="224"/>
      <c r="KL60" s="224"/>
      <c r="KM60" s="224"/>
      <c r="KN60" s="224"/>
      <c r="KO60" s="224"/>
      <c r="KP60" s="225"/>
      <c r="KQ60" s="224"/>
      <c r="KR60" s="224"/>
      <c r="KS60" s="224"/>
      <c r="KT60" s="224"/>
      <c r="KU60" s="224"/>
      <c r="KV60" s="224"/>
      <c r="KW60" s="224"/>
      <c r="KX60" s="224"/>
      <c r="KY60" s="224"/>
      <c r="KZ60" s="224"/>
      <c r="LA60" s="224"/>
      <c r="LB60" s="224"/>
      <c r="LC60" s="224"/>
      <c r="LD60" s="224"/>
      <c r="LE60" s="224"/>
      <c r="LF60" s="224"/>
      <c r="LG60" s="224"/>
      <c r="LH60" s="224"/>
      <c r="LI60" s="224"/>
      <c r="LJ60" s="224"/>
      <c r="LK60" s="224"/>
      <c r="LL60" s="225"/>
      <c r="LM60" s="224"/>
      <c r="LN60" s="224"/>
      <c r="LO60" s="224"/>
      <c r="LP60" s="224"/>
      <c r="LQ60" s="224"/>
      <c r="LR60" s="224"/>
      <c r="LS60" s="224"/>
      <c r="LT60" s="224"/>
      <c r="LU60" s="224"/>
      <c r="LV60" s="224"/>
      <c r="LW60" s="224"/>
      <c r="LX60" s="224"/>
      <c r="LY60" s="224"/>
      <c r="LZ60" s="224"/>
      <c r="MA60" s="224"/>
      <c r="MB60" s="224"/>
      <c r="MC60" s="224"/>
      <c r="MD60" s="224"/>
      <c r="ME60" s="224"/>
      <c r="MF60" s="224"/>
      <c r="MG60" s="224"/>
      <c r="MH60" s="224"/>
      <c r="MI60" s="224"/>
      <c r="MJ60" s="224"/>
      <c r="MK60" s="224"/>
      <c r="ML60" s="224"/>
      <c r="MM60" s="224"/>
      <c r="MN60" s="224"/>
      <c r="MO60" s="224"/>
      <c r="MP60" s="224"/>
      <c r="MQ60" s="224"/>
      <c r="MR60" s="224"/>
      <c r="MS60" s="224"/>
      <c r="MT60" s="224"/>
      <c r="MU60" s="224"/>
      <c r="MV60" s="224"/>
      <c r="MW60" s="224"/>
      <c r="MX60" s="224"/>
      <c r="MY60" s="224"/>
      <c r="MZ60" s="224"/>
      <c r="NA60" s="224"/>
      <c r="NB60" s="224"/>
      <c r="NC60" s="224"/>
      <c r="ND60" s="224"/>
      <c r="NE60" s="224"/>
      <c r="NF60" s="224"/>
      <c r="NG60" s="224"/>
      <c r="NH60" s="224"/>
      <c r="NI60" s="224"/>
      <c r="NJ60" s="224"/>
      <c r="NK60" s="224"/>
      <c r="NL60" s="2826">
        <f t="shared" si="250"/>
        <v>0.2</v>
      </c>
      <c r="NM60" s="73" t="s">
        <v>50</v>
      </c>
      <c r="NN60" s="166">
        <f t="shared" si="271"/>
        <v>3.7137079771337871</v>
      </c>
      <c r="NO60" s="166">
        <f t="shared" ref="NO60:OB60" si="309">NO21+0.2</f>
        <v>2.99103726662314</v>
      </c>
      <c r="NP60" s="166">
        <f t="shared" si="309"/>
        <v>2.6787749673678007</v>
      </c>
      <c r="NQ60" s="166">
        <f t="shared" si="309"/>
        <v>2.6168364173394338</v>
      </c>
      <c r="NR60" s="166">
        <f t="shared" si="309"/>
        <v>2.5002242719454211</v>
      </c>
      <c r="NS60" s="166">
        <f t="shared" si="309"/>
        <v>2.5172704468262856</v>
      </c>
      <c r="NT60" s="166">
        <f t="shared" si="309"/>
        <v>2.4614366715167391</v>
      </c>
      <c r="NU60" s="166">
        <f t="shared" si="309"/>
        <v>2.439098188163928</v>
      </c>
      <c r="NV60" s="166">
        <f t="shared" si="309"/>
        <v>2.3284482842468259</v>
      </c>
      <c r="NW60" s="166">
        <f t="shared" si="309"/>
        <v>2.6351429890149061</v>
      </c>
      <c r="NX60" s="166">
        <f t="shared" si="309"/>
        <v>2.6254333517530677</v>
      </c>
      <c r="NY60" s="166">
        <f t="shared" si="309"/>
        <v>2.6062199913365962</v>
      </c>
      <c r="NZ60" s="166">
        <f t="shared" si="309"/>
        <v>2.5404962970814502</v>
      </c>
      <c r="OA60" s="166">
        <f t="shared" si="309"/>
        <v>2.4406283048932118</v>
      </c>
      <c r="OB60" s="166">
        <f t="shared" si="309"/>
        <v>2.3879628997875773</v>
      </c>
      <c r="OC60" s="166"/>
      <c r="OD60" s="11"/>
      <c r="OE60" s="166">
        <f t="shared" si="273"/>
        <v>2.4563625005874128</v>
      </c>
      <c r="OF60" s="11"/>
      <c r="OG60" s="166">
        <f t="shared" si="274"/>
        <v>2.4938268732747089</v>
      </c>
      <c r="OH60" s="166">
        <f t="shared" si="252"/>
        <v>2.5213825447133265</v>
      </c>
      <c r="OI60" s="224"/>
      <c r="OJ60" s="224"/>
      <c r="OK60" s="224"/>
      <c r="OL60" s="224"/>
      <c r="OM60" s="224"/>
      <c r="ON60" s="224"/>
      <c r="OO60" s="224"/>
      <c r="OP60" s="224"/>
      <c r="OQ60" s="224"/>
      <c r="OR60" s="224"/>
      <c r="OS60" s="224"/>
      <c r="OT60" s="224"/>
      <c r="OU60" s="224"/>
      <c r="OV60" s="224"/>
      <c r="OW60" s="224"/>
      <c r="OX60" s="224"/>
      <c r="OY60" s="224"/>
      <c r="OZ60" s="224"/>
      <c r="PA60" s="224"/>
      <c r="PB60" s="224"/>
      <c r="PC60" s="224"/>
      <c r="PD60" s="224"/>
      <c r="PE60" s="224"/>
      <c r="PF60" s="224"/>
      <c r="PG60" s="224"/>
      <c r="PH60" s="224"/>
      <c r="PI60" s="224"/>
      <c r="PJ60" s="224"/>
      <c r="PK60" s="224"/>
      <c r="PL60" s="224"/>
      <c r="PM60" s="224"/>
      <c r="PN60" s="224"/>
      <c r="PO60" s="224"/>
      <c r="PP60" s="224"/>
      <c r="PQ60" s="224"/>
      <c r="PR60" s="224"/>
      <c r="PS60" s="224"/>
      <c r="PT60" s="224"/>
      <c r="PU60" s="224"/>
      <c r="PV60" s="224"/>
      <c r="PW60" s="224"/>
      <c r="PX60" s="166"/>
      <c r="PY60" s="166"/>
      <c r="PZ60" s="166"/>
      <c r="QA60" s="166"/>
      <c r="QB60" s="166">
        <f>QB21-'Bloom Cleaner Data'!FS21</f>
        <v>-1.1511095840868002</v>
      </c>
      <c r="QC60" s="166">
        <f>QC21-'Bloom Cleaner Data'!FT21</f>
        <v>-0.10478047155304893</v>
      </c>
      <c r="QD60" s="166">
        <f>QD21-'Bloom Cleaner Data'!FU21</f>
        <v>-0.1129563909774447</v>
      </c>
      <c r="QE60" s="166">
        <f>QE21-'Bloom Cleaner Data'!FV21</f>
        <v>-7.4322387053269878E-2</v>
      </c>
      <c r="QF60" s="166"/>
      <c r="QG60" s="166"/>
      <c r="QH60" s="166"/>
      <c r="QI60" s="166"/>
      <c r="QJ60" s="166"/>
      <c r="QK60" s="166"/>
      <c r="QL60" s="166"/>
      <c r="QM60" s="166"/>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row>
    <row r="61" spans="1:516">
      <c r="A61" s="5"/>
      <c r="B61" s="24"/>
      <c r="C61" s="2214" t="s">
        <v>277</v>
      </c>
      <c r="D61" s="1112"/>
      <c r="E61" s="225"/>
      <c r="F61" s="225"/>
      <c r="G61" s="225"/>
      <c r="H61" s="225"/>
      <c r="I61" s="225"/>
      <c r="J61" s="225"/>
      <c r="K61" s="225"/>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668">
        <f>'OPERATING LEASES'!BL22/'Bloom Cleaner Data'!GV22</f>
        <v>6.0178928403563335E-2</v>
      </c>
      <c r="DL61" s="2668">
        <f>'OPERATING LEASES'!BM22/'Bloom Cleaner Data'!GW22</f>
        <v>5.8867665412309568E-2</v>
      </c>
      <c r="DM61" s="2668">
        <f>'OPERATING LEASES'!BN22/'Bloom Cleaner Data'!GX22</f>
        <v>5.8008479175639442E-2</v>
      </c>
      <c r="DN61" s="2668">
        <f>'OPERATING LEASES'!BO22/'Bloom Cleaner Data'!GY22</f>
        <v>5.7120238078546777E-2</v>
      </c>
      <c r="DO61" s="2668">
        <f>'OPERATING LEASES'!BP22/'Bloom Cleaner Data'!GZ22</f>
        <v>5.5641577949521293E-2</v>
      </c>
      <c r="DP61" s="2668">
        <f>'OPERATING LEASES'!BQ22/'Bloom Cleaner Data'!HA22</f>
        <v>5.4710875190327246E-2</v>
      </c>
      <c r="DQ61" s="2668">
        <f>'OPERATING LEASES'!BR22/'Bloom Cleaner Data'!HB22</f>
        <v>4.8824423290454624E-2</v>
      </c>
      <c r="DR61" s="2668">
        <f>'OPERATING LEASES'!BS22/'Bloom Cleaner Data'!HC22</f>
        <v>4.2696402425878487E-2</v>
      </c>
      <c r="DS61" s="2668">
        <f>'OPERATING LEASES'!BT22/'Bloom Cleaner Data'!HD22</f>
        <v>4.2101846279797413E-2</v>
      </c>
      <c r="DT61" s="2668">
        <f>'OPERATING LEASES'!BU22/'Bloom Cleaner Data'!HE22</f>
        <v>4.3000603172409523E-2</v>
      </c>
      <c r="DU61" s="2668">
        <f>'OPERATING LEASES'!BV22/'Bloom Cleaner Data'!HF22</f>
        <v>5.0509650265101291E-2</v>
      </c>
      <c r="DV61" s="2668">
        <f>'OPERATING LEASES'!BW22/'Bloom Cleaner Data'!HG22</f>
        <v>5.8560822313438642E-2</v>
      </c>
      <c r="DW61" s="2668">
        <f>'OPERATING LEASES'!BX22/'Bloom Cleaner Data'!HH22</f>
        <v>6.0006757765230782E-2</v>
      </c>
      <c r="DX61" s="2668">
        <f>'OPERATING LEASES'!BY22/'Bloom Cleaner Data'!HI22</f>
        <v>6.0298193875221562E-2</v>
      </c>
      <c r="DY61" s="2668">
        <f>'OPERATING LEASES'!BZ22/'Bloom Cleaner Data'!HJ22</f>
        <v>6.0298193875221562E-2</v>
      </c>
      <c r="DZ61" s="2668"/>
      <c r="EA61" s="2668">
        <f t="shared" si="253"/>
        <v>5.3213697204368367E-2</v>
      </c>
      <c r="EB61" s="2668"/>
      <c r="EC61" s="2668"/>
      <c r="ED61" s="2668">
        <f t="shared" si="254"/>
        <v>5.7934723618842776E-2</v>
      </c>
      <c r="EE61" s="225"/>
      <c r="EF61" s="2123"/>
      <c r="EG61" s="2123"/>
      <c r="EH61" s="2123"/>
      <c r="EI61" s="2123"/>
      <c r="EJ61" s="2123"/>
      <c r="EK61" s="2123"/>
      <c r="EL61" s="2123"/>
      <c r="EM61" s="225"/>
      <c r="EN61" s="225"/>
      <c r="EO61" s="225"/>
      <c r="EP61" s="225"/>
      <c r="EQ61" s="225"/>
      <c r="ER61" s="225"/>
      <c r="ES61" s="225"/>
      <c r="ET61" s="225"/>
      <c r="EU61" s="225"/>
      <c r="EV61" s="225"/>
      <c r="EW61" s="225"/>
      <c r="EX61" s="225"/>
      <c r="EY61" s="225"/>
      <c r="EZ61" s="225"/>
      <c r="FA61" s="225"/>
      <c r="FB61" s="225"/>
      <c r="FC61" s="225"/>
      <c r="FD61" s="225"/>
      <c r="FE61" s="225"/>
      <c r="FF61" s="225"/>
      <c r="FG61" s="3280"/>
      <c r="FH61" s="224"/>
      <c r="FI61" s="224"/>
      <c r="FJ61" s="224"/>
      <c r="FK61" s="224"/>
      <c r="FL61" s="224"/>
      <c r="FM61" s="224"/>
      <c r="FN61" s="224"/>
      <c r="FO61" s="224"/>
      <c r="FP61" s="224"/>
      <c r="FQ61" s="224"/>
      <c r="FR61" s="224"/>
      <c r="FS61" s="224"/>
      <c r="FT61" s="224"/>
      <c r="FU61" s="224"/>
      <c r="FV61" s="224"/>
      <c r="FW61" s="224"/>
      <c r="FX61" s="224"/>
      <c r="FY61" s="224"/>
      <c r="FZ61" s="224"/>
      <c r="GA61" s="224"/>
      <c r="GB61" s="224"/>
      <c r="GC61" s="224"/>
      <c r="GD61" s="224"/>
      <c r="GE61" s="224"/>
      <c r="GF61" s="224"/>
      <c r="GG61" s="224"/>
      <c r="GH61" s="224"/>
      <c r="GI61" s="224"/>
      <c r="GJ61" s="224"/>
      <c r="GK61" s="224"/>
      <c r="GL61" s="224"/>
      <c r="GM61" s="224"/>
      <c r="GN61" s="224"/>
      <c r="GO61" s="224"/>
      <c r="GP61" s="224"/>
      <c r="GQ61" s="224"/>
      <c r="GR61" s="224"/>
      <c r="GS61" s="224"/>
      <c r="GT61" s="225"/>
      <c r="GU61" s="224"/>
      <c r="GV61" s="224"/>
      <c r="GW61" s="224"/>
      <c r="GX61" s="224"/>
      <c r="GY61" s="224"/>
      <c r="GZ61" s="224"/>
      <c r="HA61" s="224"/>
      <c r="HB61" s="224"/>
      <c r="HC61" s="224"/>
      <c r="HD61" s="224"/>
      <c r="HE61" s="224"/>
      <c r="HF61" s="224"/>
      <c r="HG61" s="224"/>
      <c r="HH61" s="224"/>
      <c r="HI61" s="224"/>
      <c r="HJ61" s="224"/>
      <c r="HK61" s="224"/>
      <c r="HL61" s="224"/>
      <c r="HM61" s="224"/>
      <c r="HN61" s="225"/>
      <c r="HO61" s="224"/>
      <c r="HP61" s="224"/>
      <c r="HQ61" s="224"/>
      <c r="HR61" s="224"/>
      <c r="HS61" s="224"/>
      <c r="HT61" s="224"/>
      <c r="HU61" s="224"/>
      <c r="HV61" s="224"/>
      <c r="HW61" s="224"/>
      <c r="HX61" s="224"/>
      <c r="HY61" s="224"/>
      <c r="HZ61" s="224"/>
      <c r="IA61" s="224"/>
      <c r="IB61" s="224"/>
      <c r="IC61" s="224"/>
      <c r="ID61" s="224"/>
      <c r="IE61" s="224"/>
      <c r="IF61" s="224"/>
      <c r="IG61" s="225"/>
      <c r="IH61" s="224"/>
      <c r="II61" s="224"/>
      <c r="IJ61" s="224"/>
      <c r="IK61" s="2124">
        <f t="shared" si="255"/>
        <v>0.31966374358589222</v>
      </c>
      <c r="IL61" s="2124">
        <f t="shared" si="295"/>
        <v>0.31998808705892523</v>
      </c>
      <c r="IM61" s="2124">
        <f t="shared" si="296"/>
        <v>0.31722493386752887</v>
      </c>
      <c r="IN61" s="2124">
        <f t="shared" si="297"/>
        <v>0.31452078253983817</v>
      </c>
      <c r="IO61" s="2124">
        <f t="shared" si="298"/>
        <v>0.30104770531086128</v>
      </c>
      <c r="IP61" s="2124">
        <f t="shared" si="299"/>
        <v>0.28763634700867102</v>
      </c>
      <c r="IQ61" s="2124">
        <f t="shared" si="300"/>
        <v>0.28681308861822175</v>
      </c>
      <c r="IR61" s="2124">
        <f t="shared" si="301"/>
        <v>0.28591712558949872</v>
      </c>
      <c r="IS61" s="2124">
        <f t="shared" si="302"/>
        <v>0.2769012115759335</v>
      </c>
      <c r="IT61" s="2124">
        <f t="shared" si="303"/>
        <v>0.26896790044096014</v>
      </c>
      <c r="IU61" s="2124">
        <f t="shared" si="304"/>
        <v>0.25189539853148013</v>
      </c>
      <c r="IV61" s="2124">
        <f t="shared" si="305"/>
        <v>0.23420588657870867</v>
      </c>
      <c r="IW61" s="2124">
        <f t="shared" si="306"/>
        <v>0.25433027728498075</v>
      </c>
      <c r="IX61" s="2124">
        <f t="shared" si="307"/>
        <v>0.2718321660431175</v>
      </c>
      <c r="IY61" s="2124">
        <f t="shared" si="308"/>
        <v>0.2718321660431175</v>
      </c>
      <c r="IZ61" s="225"/>
      <c r="JA61" s="2124">
        <f t="shared" si="270"/>
        <v>0.27870192226407053</v>
      </c>
      <c r="JB61" s="224"/>
      <c r="JC61" s="224"/>
      <c r="JD61" s="224"/>
      <c r="JE61" s="224"/>
      <c r="JF61" s="224"/>
      <c r="JG61" s="224"/>
      <c r="JH61" s="224"/>
      <c r="JI61" s="224"/>
      <c r="JJ61" s="224"/>
      <c r="JK61" s="224"/>
      <c r="JL61" s="224"/>
      <c r="JM61" s="224"/>
      <c r="JN61" s="224"/>
      <c r="JO61" s="224"/>
      <c r="JP61" s="224"/>
      <c r="JQ61" s="224"/>
      <c r="JR61" s="224"/>
      <c r="JS61" s="224"/>
      <c r="JT61" s="224"/>
      <c r="JU61" s="225"/>
      <c r="JV61" s="224"/>
      <c r="JW61" s="224"/>
      <c r="JX61" s="224"/>
      <c r="JY61" s="224"/>
      <c r="JZ61" s="224"/>
      <c r="KA61" s="224"/>
      <c r="KB61" s="224"/>
      <c r="KC61" s="224"/>
      <c r="KD61" s="224"/>
      <c r="KE61" s="224"/>
      <c r="KF61" s="224"/>
      <c r="KG61" s="224"/>
      <c r="KH61" s="224"/>
      <c r="KI61" s="224"/>
      <c r="KJ61" s="224"/>
      <c r="KK61" s="224"/>
      <c r="KL61" s="224"/>
      <c r="KM61" s="224"/>
      <c r="KN61" s="224"/>
      <c r="KO61" s="224"/>
      <c r="KP61" s="225"/>
      <c r="KQ61" s="224"/>
      <c r="KR61" s="224"/>
      <c r="KS61" s="224"/>
      <c r="KT61" s="224"/>
      <c r="KU61" s="224"/>
      <c r="KV61" s="224"/>
      <c r="KW61" s="224"/>
      <c r="KX61" s="224"/>
      <c r="KY61" s="224"/>
      <c r="KZ61" s="224"/>
      <c r="LA61" s="224"/>
      <c r="LB61" s="224"/>
      <c r="LC61" s="224"/>
      <c r="LD61" s="224"/>
      <c r="LE61" s="224"/>
      <c r="LF61" s="224"/>
      <c r="LG61" s="224"/>
      <c r="LH61" s="224"/>
      <c r="LI61" s="224"/>
      <c r="LJ61" s="224"/>
      <c r="LK61" s="224"/>
      <c r="LL61" s="225"/>
      <c r="LM61" s="224"/>
      <c r="LN61" s="224"/>
      <c r="LO61" s="224"/>
      <c r="LP61" s="224"/>
      <c r="LQ61" s="224"/>
      <c r="LR61" s="224"/>
      <c r="LS61" s="224"/>
      <c r="LT61" s="224"/>
      <c r="LU61" s="224"/>
      <c r="LV61" s="224"/>
      <c r="LW61" s="224"/>
      <c r="LX61" s="224"/>
      <c r="LY61" s="224"/>
      <c r="LZ61" s="224"/>
      <c r="MA61" s="224"/>
      <c r="MB61" s="224"/>
      <c r="MC61" s="224"/>
      <c r="MD61" s="224"/>
      <c r="ME61" s="224"/>
      <c r="MF61" s="224"/>
      <c r="MG61" s="224"/>
      <c r="MH61" s="224"/>
      <c r="MI61" s="224"/>
      <c r="MJ61" s="224"/>
      <c r="MK61" s="224"/>
      <c r="ML61" s="224"/>
      <c r="MM61" s="224"/>
      <c r="MN61" s="224"/>
      <c r="MO61" s="224"/>
      <c r="MP61" s="224"/>
      <c r="MQ61" s="224"/>
      <c r="MR61" s="224"/>
      <c r="MS61" s="224"/>
      <c r="MT61" s="224"/>
      <c r="MU61" s="224"/>
      <c r="MV61" s="224"/>
      <c r="MW61" s="224"/>
      <c r="MX61" s="224"/>
      <c r="MY61" s="224"/>
      <c r="MZ61" s="224"/>
      <c r="NA61" s="224"/>
      <c r="NB61" s="224"/>
      <c r="NC61" s="224"/>
      <c r="ND61" s="224"/>
      <c r="NE61" s="224"/>
      <c r="NF61" s="224"/>
      <c r="NG61" s="224"/>
      <c r="NH61" s="224"/>
      <c r="NI61" s="224"/>
      <c r="NJ61" s="224"/>
      <c r="NK61" s="224"/>
      <c r="NL61" s="2826">
        <f t="shared" si="250"/>
        <v>0.2</v>
      </c>
      <c r="NM61" s="73" t="s">
        <v>277</v>
      </c>
      <c r="NN61" s="166">
        <f t="shared" si="271"/>
        <v>2.8753175600197491</v>
      </c>
      <c r="NO61" s="166">
        <f t="shared" ref="NO61:OB61" si="310">NO22+0.2</f>
        <v>2.8822067835870495</v>
      </c>
      <c r="NP61" s="166">
        <f t="shared" si="310"/>
        <v>3.0614782280492818</v>
      </c>
      <c r="NQ61" s="166">
        <f t="shared" si="310"/>
        <v>3.2431078330079779</v>
      </c>
      <c r="NR61" s="166">
        <f t="shared" si="310"/>
        <v>3.1162725335453429</v>
      </c>
      <c r="NS61" s="166">
        <f t="shared" si="310"/>
        <v>2.9801016065128185</v>
      </c>
      <c r="NT61" s="166">
        <f t="shared" si="310"/>
        <v>2.6591346086758714</v>
      </c>
      <c r="NU61" s="166">
        <f t="shared" si="310"/>
        <v>2.3307164988384175</v>
      </c>
      <c r="NV61" s="166">
        <f t="shared" si="310"/>
        <v>2.2778543801744267</v>
      </c>
      <c r="NW61" s="166">
        <f t="shared" si="310"/>
        <v>2.2314600293521272</v>
      </c>
      <c r="NX61" s="166">
        <f t="shared" si="310"/>
        <v>2.2861847349959841</v>
      </c>
      <c r="NY61" s="166">
        <f t="shared" si="310"/>
        <v>2.2872167711045499</v>
      </c>
      <c r="NZ61" s="166">
        <f t="shared" si="310"/>
        <v>2.6734395557094004</v>
      </c>
      <c r="OA61" s="166">
        <f t="shared" si="310"/>
        <v>3.0571247137382462</v>
      </c>
      <c r="OB61" s="166">
        <f t="shared" si="310"/>
        <v>3.0571247137382462</v>
      </c>
      <c r="OC61" s="166"/>
      <c r="OD61" s="11"/>
      <c r="OE61" s="166">
        <f t="shared" si="273"/>
        <v>2.9292296610619646</v>
      </c>
      <c r="OF61" s="11"/>
      <c r="OG61" s="166">
        <f t="shared" si="274"/>
        <v>2.7687264385726107</v>
      </c>
      <c r="OH61" s="166">
        <f t="shared" si="252"/>
        <v>2.7124012467263605</v>
      </c>
      <c r="OI61" s="224"/>
      <c r="OJ61" s="224"/>
      <c r="OK61" s="224"/>
      <c r="OL61" s="224"/>
      <c r="OM61" s="224"/>
      <c r="ON61" s="224"/>
      <c r="OO61" s="224"/>
      <c r="OP61" s="224"/>
      <c r="OQ61" s="224"/>
      <c r="OR61" s="224"/>
      <c r="OS61" s="224"/>
      <c r="OT61" s="224"/>
      <c r="OU61" s="224"/>
      <c r="OV61" s="224"/>
      <c r="OW61" s="224"/>
      <c r="OX61" s="224"/>
      <c r="OY61" s="224"/>
      <c r="OZ61" s="224"/>
      <c r="PA61" s="224"/>
      <c r="PB61" s="224"/>
      <c r="PC61" s="224"/>
      <c r="PD61" s="224"/>
      <c r="PE61" s="224"/>
      <c r="PF61" s="224"/>
      <c r="PG61" s="224"/>
      <c r="PH61" s="224"/>
      <c r="PI61" s="224"/>
      <c r="PJ61" s="224"/>
      <c r="PK61" s="224"/>
      <c r="PL61" s="224"/>
      <c r="PM61" s="224"/>
      <c r="PN61" s="224"/>
      <c r="PO61" s="224"/>
      <c r="PP61" s="224"/>
      <c r="PQ61" s="224"/>
      <c r="PR61" s="224"/>
      <c r="PS61" s="224"/>
      <c r="PT61" s="224"/>
      <c r="PU61" s="224"/>
      <c r="PV61" s="224"/>
      <c r="PW61" s="224"/>
      <c r="PX61" s="29">
        <f>PX22-'Bloom Cleaner Data'!FO22</f>
        <v>3.988843299196132E-2</v>
      </c>
      <c r="PY61" s="28">
        <f>PY22-'Bloom Cleaner Data'!FP22</f>
        <v>1.578843299196131E-2</v>
      </c>
      <c r="PZ61" s="173">
        <f>PZ22-'Bloom Cleaner Data'!FQ22</f>
        <v>0.10354321075471595</v>
      </c>
      <c r="QA61" s="28">
        <f>QA22-'Bloom Cleaner Data'!FR22</f>
        <v>1.8740908739493856E-2</v>
      </c>
      <c r="QB61" s="173">
        <f>QB22-'Bloom Cleaner Data'!FS22</f>
        <v>3.2874096595247759E-2</v>
      </c>
      <c r="QC61" s="28">
        <f>QC22-'Bloom Cleaner Data'!FT22</f>
        <v>2.3367581457498288E-2</v>
      </c>
      <c r="QD61" s="173">
        <f>QD22-'Bloom Cleaner Data'!FU22</f>
        <v>6.0063388936140827E-2</v>
      </c>
      <c r="QE61" s="28">
        <f>QE22-'Bloom Cleaner Data'!FV22</f>
        <v>6.5128342245989179E-3</v>
      </c>
      <c r="QF61" s="173"/>
      <c r="QG61" s="28"/>
      <c r="QH61" s="173"/>
      <c r="QI61" s="28"/>
      <c r="QJ61" s="173">
        <f>QJ22-'Bloom Cleaner Data'!GA22</f>
        <v>0.14920287353105754</v>
      </c>
      <c r="QK61" s="28"/>
      <c r="QL61" s="29"/>
      <c r="QM61" s="29"/>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row>
    <row r="62" spans="1:516">
      <c r="A62" s="5"/>
      <c r="B62" s="24"/>
      <c r="C62" s="2214" t="s">
        <v>282</v>
      </c>
      <c r="D62" s="1112"/>
      <c r="E62" s="225"/>
      <c r="F62" s="225"/>
      <c r="G62" s="225"/>
      <c r="H62" s="225"/>
      <c r="I62" s="225"/>
      <c r="J62" s="225"/>
      <c r="K62" s="225"/>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668">
        <f>'OPERATING LEASES'!BL23/'Bloom Cleaner Data'!GV23</f>
        <v>3.4455692960641146E-2</v>
      </c>
      <c r="DL62" s="2668">
        <f>'OPERATING LEASES'!BM23/'Bloom Cleaner Data'!GW23</f>
        <v>3.2502302034935877E-2</v>
      </c>
      <c r="DM62" s="2668">
        <f>'OPERATING LEASES'!BN23/'Bloom Cleaner Data'!GX23</f>
        <v>2.9857564346164402E-2</v>
      </c>
      <c r="DN62" s="2668">
        <f>'OPERATING LEASES'!BO23/'Bloom Cleaner Data'!GY23</f>
        <v>2.7238265376683595E-2</v>
      </c>
      <c r="DO62" s="2668">
        <f>'OPERATING LEASES'!BP23/'Bloom Cleaner Data'!GZ23</f>
        <v>2.6491521598842535E-2</v>
      </c>
      <c r="DP62" s="2668">
        <f>'OPERATING LEASES'!BQ23/'Bloom Cleaner Data'!HA23</f>
        <v>2.624528995235742E-2</v>
      </c>
      <c r="DQ62" s="2668">
        <f>'OPERATING LEASES'!BR23/'Bloom Cleaner Data'!HB23</f>
        <v>2.6463411634049024E-2</v>
      </c>
      <c r="DR62" s="2668">
        <f>'OPERATING LEASES'!BS23/'Bloom Cleaner Data'!HC23</f>
        <v>2.6744124577032666E-2</v>
      </c>
      <c r="DS62" s="2668">
        <f>'OPERATING LEASES'!BT23/'Bloom Cleaner Data'!HD23</f>
        <v>2.6283197817200329E-2</v>
      </c>
      <c r="DT62" s="2668">
        <f>'OPERATING LEASES'!BU23/'Bloom Cleaner Data'!HE23</f>
        <v>2.6200761554137371E-2</v>
      </c>
      <c r="DU62" s="2668">
        <f>'OPERATING LEASES'!BV23/'Bloom Cleaner Data'!HF23</f>
        <v>2.588265594278507E-2</v>
      </c>
      <c r="DV62" s="2668">
        <f>'OPERATING LEASES'!BW23/'Bloom Cleaner Data'!HG23</f>
        <v>2.6297184293473361E-2</v>
      </c>
      <c r="DW62" s="2668">
        <f>'OPERATING LEASES'!BX23/'Bloom Cleaner Data'!HH23</f>
        <v>2.7193085899799629E-2</v>
      </c>
      <c r="DX62" s="2668">
        <f>'OPERATING LEASES'!BY23/'Bloom Cleaner Data'!HI23</f>
        <v>2.7464686190679221E-2</v>
      </c>
      <c r="DY62" s="2668">
        <f>'OPERATING LEASES'!BZ23/'Bloom Cleaner Data'!HJ23</f>
        <v>2.8080816846969361E-2</v>
      </c>
      <c r="DZ62" s="2668"/>
      <c r="EA62" s="2668">
        <f t="shared" si="253"/>
        <v>2.6957120463859539E-2</v>
      </c>
      <c r="EB62" s="2668"/>
      <c r="EC62" s="2668"/>
      <c r="ED62" s="2668">
        <f t="shared" si="254"/>
        <v>2.6983685834741328E-2</v>
      </c>
      <c r="EE62" s="225"/>
      <c r="EF62" s="2123"/>
      <c r="EG62" s="2123"/>
      <c r="EH62" s="2123"/>
      <c r="EI62" s="2123"/>
      <c r="EJ62" s="2123"/>
      <c r="EK62" s="2123"/>
      <c r="EL62" s="2123"/>
      <c r="EM62" s="225"/>
      <c r="EN62" s="225"/>
      <c r="EO62" s="225"/>
      <c r="EP62" s="225"/>
      <c r="EQ62" s="225"/>
      <c r="ER62" s="225"/>
      <c r="ES62" s="225"/>
      <c r="ET62" s="225"/>
      <c r="EU62" s="225"/>
      <c r="EV62" s="225"/>
      <c r="EW62" s="225"/>
      <c r="EX62" s="225"/>
      <c r="EY62" s="225"/>
      <c r="EZ62" s="225"/>
      <c r="FA62" s="225"/>
      <c r="FB62" s="225"/>
      <c r="FC62" s="225"/>
      <c r="FD62" s="225"/>
      <c r="FE62" s="225"/>
      <c r="FF62" s="225"/>
      <c r="FG62" s="3280"/>
      <c r="FH62" s="224"/>
      <c r="FI62" s="224"/>
      <c r="FJ62" s="224"/>
      <c r="FK62" s="224"/>
      <c r="FL62" s="224"/>
      <c r="FM62" s="224"/>
      <c r="FN62" s="224"/>
      <c r="FO62" s="224"/>
      <c r="FP62" s="224"/>
      <c r="FQ62" s="224"/>
      <c r="FR62" s="224"/>
      <c r="FS62" s="224"/>
      <c r="FT62" s="224"/>
      <c r="FU62" s="224"/>
      <c r="FV62" s="224"/>
      <c r="FW62" s="224"/>
      <c r="FX62" s="224"/>
      <c r="FY62" s="224"/>
      <c r="FZ62" s="224"/>
      <c r="GA62" s="224"/>
      <c r="GB62" s="224"/>
      <c r="GC62" s="224"/>
      <c r="GD62" s="224"/>
      <c r="GE62" s="224"/>
      <c r="GF62" s="224"/>
      <c r="GG62" s="224"/>
      <c r="GH62" s="224"/>
      <c r="GI62" s="224"/>
      <c r="GJ62" s="224"/>
      <c r="GK62" s="224"/>
      <c r="GL62" s="224"/>
      <c r="GM62" s="224"/>
      <c r="GN62" s="224"/>
      <c r="GO62" s="224"/>
      <c r="GP62" s="224"/>
      <c r="GQ62" s="224"/>
      <c r="GR62" s="224"/>
      <c r="GS62" s="224"/>
      <c r="GT62" s="225"/>
      <c r="GU62" s="224"/>
      <c r="GV62" s="224"/>
      <c r="GW62" s="224"/>
      <c r="GX62" s="224"/>
      <c r="GY62" s="224"/>
      <c r="GZ62" s="224"/>
      <c r="HA62" s="224"/>
      <c r="HB62" s="224"/>
      <c r="HC62" s="224"/>
      <c r="HD62" s="224"/>
      <c r="HE62" s="224"/>
      <c r="HF62" s="224"/>
      <c r="HG62" s="224"/>
      <c r="HH62" s="224"/>
      <c r="HI62" s="224"/>
      <c r="HJ62" s="224"/>
      <c r="HK62" s="224"/>
      <c r="HL62" s="224"/>
      <c r="HM62" s="224"/>
      <c r="HN62" s="225"/>
      <c r="HO62" s="224"/>
      <c r="HP62" s="224"/>
      <c r="HQ62" s="224"/>
      <c r="HR62" s="224"/>
      <c r="HS62" s="224"/>
      <c r="HT62" s="224"/>
      <c r="HU62" s="224"/>
      <c r="HV62" s="224"/>
      <c r="HW62" s="224"/>
      <c r="HX62" s="224"/>
      <c r="HY62" s="224"/>
      <c r="HZ62" s="224"/>
      <c r="IA62" s="224"/>
      <c r="IB62" s="224"/>
      <c r="IC62" s="224"/>
      <c r="ID62" s="224"/>
      <c r="IE62" s="224"/>
      <c r="IF62" s="224"/>
      <c r="IG62" s="225"/>
      <c r="IH62" s="224"/>
      <c r="II62" s="224"/>
      <c r="IJ62" s="224"/>
      <c r="IK62" s="2124">
        <f t="shared" si="255"/>
        <v>0.19601342919824533</v>
      </c>
      <c r="IL62" s="2124">
        <f t="shared" si="295"/>
        <v>0.19292801780152893</v>
      </c>
      <c r="IM62" s="2124">
        <f t="shared" si="296"/>
        <v>0.21443574447711036</v>
      </c>
      <c r="IN62" s="2124">
        <f t="shared" si="297"/>
        <v>0.18729576185072533</v>
      </c>
      <c r="IO62" s="2124">
        <f t="shared" si="298"/>
        <v>0.19161126005287984</v>
      </c>
      <c r="IP62" s="2124">
        <f t="shared" si="299"/>
        <v>0.18325354360276136</v>
      </c>
      <c r="IQ62" s="2124">
        <f t="shared" si="300"/>
        <v>0.27496330702034705</v>
      </c>
      <c r="IR62" s="2124">
        <f t="shared" si="301"/>
        <v>0.27382808588148794</v>
      </c>
      <c r="IS62" s="2124">
        <f t="shared" si="302"/>
        <v>0.26681071568314529</v>
      </c>
      <c r="IT62" s="2124">
        <f t="shared" si="303"/>
        <v>0.29255588204432437</v>
      </c>
      <c r="IU62" s="2124">
        <f t="shared" si="304"/>
        <v>0.3002209884660052</v>
      </c>
      <c r="IV62" s="2124">
        <f t="shared" si="305"/>
        <v>0.27954376668816983</v>
      </c>
      <c r="IW62" s="2124">
        <f t="shared" si="306"/>
        <v>0.26309713279828179</v>
      </c>
      <c r="IX62" s="2124">
        <f t="shared" si="307"/>
        <v>0.24121279967371478</v>
      </c>
      <c r="IY62" s="2124">
        <f t="shared" si="308"/>
        <v>0.28287599661626001</v>
      </c>
      <c r="IZ62" s="225"/>
      <c r="JA62" s="2124">
        <f t="shared" si="270"/>
        <v>0.2501311526811702</v>
      </c>
      <c r="JB62" s="224"/>
      <c r="JC62" s="224"/>
      <c r="JD62" s="224"/>
      <c r="JE62" s="224"/>
      <c r="JF62" s="224"/>
      <c r="JG62" s="224"/>
      <c r="JH62" s="224"/>
      <c r="JI62" s="224"/>
      <c r="JJ62" s="224"/>
      <c r="JK62" s="224"/>
      <c r="JL62" s="224"/>
      <c r="JM62" s="224"/>
      <c r="JN62" s="224"/>
      <c r="JO62" s="224"/>
      <c r="JP62" s="224"/>
      <c r="JQ62" s="224"/>
      <c r="JR62" s="224"/>
      <c r="JS62" s="224"/>
      <c r="JT62" s="224"/>
      <c r="JU62" s="225"/>
      <c r="JV62" s="224"/>
      <c r="JW62" s="224"/>
      <c r="JX62" s="224"/>
      <c r="JY62" s="224"/>
      <c r="JZ62" s="224"/>
      <c r="KA62" s="224"/>
      <c r="KB62" s="224"/>
      <c r="KC62" s="224"/>
      <c r="KD62" s="224"/>
      <c r="KE62" s="224"/>
      <c r="KF62" s="224"/>
      <c r="KG62" s="224"/>
      <c r="KH62" s="224"/>
      <c r="KI62" s="224"/>
      <c r="KJ62" s="224"/>
      <c r="KK62" s="224"/>
      <c r="KL62" s="224"/>
      <c r="KM62" s="224"/>
      <c r="KN62" s="224"/>
      <c r="KO62" s="224"/>
      <c r="KP62" s="225"/>
      <c r="KQ62" s="224"/>
      <c r="KR62" s="224"/>
      <c r="KS62" s="224"/>
      <c r="KT62" s="224"/>
      <c r="KU62" s="224"/>
      <c r="KV62" s="224"/>
      <c r="KW62" s="224"/>
      <c r="KX62" s="224"/>
      <c r="KY62" s="224"/>
      <c r="KZ62" s="224"/>
      <c r="LA62" s="224"/>
      <c r="LB62" s="224"/>
      <c r="LC62" s="224"/>
      <c r="LD62" s="224"/>
      <c r="LE62" s="224"/>
      <c r="LF62" s="224"/>
      <c r="LG62" s="224"/>
      <c r="LH62" s="224"/>
      <c r="LI62" s="224"/>
      <c r="LJ62" s="224"/>
      <c r="LK62" s="224"/>
      <c r="LL62" s="225"/>
      <c r="LM62" s="224"/>
      <c r="LN62" s="224"/>
      <c r="LO62" s="224"/>
      <c r="LP62" s="224"/>
      <c r="LQ62" s="224"/>
      <c r="LR62" s="224"/>
      <c r="LS62" s="224"/>
      <c r="LT62" s="224"/>
      <c r="LU62" s="224"/>
      <c r="LV62" s="224"/>
      <c r="LW62" s="224"/>
      <c r="LX62" s="224"/>
      <c r="LY62" s="224"/>
      <c r="LZ62" s="224"/>
      <c r="MA62" s="224"/>
      <c r="MB62" s="224"/>
      <c r="MC62" s="224"/>
      <c r="MD62" s="224"/>
      <c r="ME62" s="224"/>
      <c r="MF62" s="224"/>
      <c r="MG62" s="224"/>
      <c r="MH62" s="224"/>
      <c r="MI62" s="224"/>
      <c r="MJ62" s="224"/>
      <c r="MK62" s="224"/>
      <c r="ML62" s="224"/>
      <c r="MM62" s="224"/>
      <c r="MN62" s="224"/>
      <c r="MO62" s="224"/>
      <c r="MP62" s="224"/>
      <c r="MQ62" s="224"/>
      <c r="MR62" s="224"/>
      <c r="MS62" s="224"/>
      <c r="MT62" s="224"/>
      <c r="MU62" s="224"/>
      <c r="MV62" s="224"/>
      <c r="MW62" s="224"/>
      <c r="MX62" s="224"/>
      <c r="MY62" s="224"/>
      <c r="MZ62" s="224"/>
      <c r="NA62" s="224"/>
      <c r="NB62" s="224"/>
      <c r="NC62" s="224"/>
      <c r="ND62" s="224"/>
      <c r="NE62" s="224"/>
      <c r="NF62" s="224"/>
      <c r="NG62" s="224"/>
      <c r="NH62" s="224"/>
      <c r="NI62" s="224"/>
      <c r="NJ62" s="224"/>
      <c r="NK62" s="224"/>
      <c r="NL62" s="2826">
        <f t="shared" si="250"/>
        <v>0.2</v>
      </c>
      <c r="NM62" s="73" t="s">
        <v>282</v>
      </c>
      <c r="NN62" s="166">
        <f t="shared" si="271"/>
        <v>1.9857315741591319</v>
      </c>
      <c r="NO62" s="166">
        <f t="shared" ref="NO62:OB62" si="311">NO23+0.2</f>
        <v>2.0783271941332147</v>
      </c>
      <c r="NP62" s="166">
        <f t="shared" si="311"/>
        <v>2.064531469862517</v>
      </c>
      <c r="NQ62" s="166">
        <f t="shared" si="311"/>
        <v>1.92145166287616</v>
      </c>
      <c r="NR62" s="166">
        <f t="shared" si="311"/>
        <v>2.0635873863198761</v>
      </c>
      <c r="NS62" s="166">
        <f t="shared" si="311"/>
        <v>2.2270212479324702</v>
      </c>
      <c r="NT62" s="166">
        <f t="shared" si="311"/>
        <v>2.3391042364149763</v>
      </c>
      <c r="NU62" s="166">
        <f t="shared" si="311"/>
        <v>2.5748224447801094</v>
      </c>
      <c r="NV62" s="166">
        <f t="shared" si="311"/>
        <v>2.2676412621483726</v>
      </c>
      <c r="NW62" s="166">
        <f t="shared" si="311"/>
        <v>2.8732674698901572</v>
      </c>
      <c r="NX62" s="166">
        <f t="shared" si="311"/>
        <v>2.6103937327618718</v>
      </c>
      <c r="NY62" s="166">
        <f t="shared" si="311"/>
        <v>2.6266299503951478</v>
      </c>
      <c r="NZ62" s="166">
        <f t="shared" si="311"/>
        <v>2.2060589433180344</v>
      </c>
      <c r="OA62" s="166">
        <f t="shared" si="311"/>
        <v>2.7249413602443324</v>
      </c>
      <c r="OB62" s="166">
        <f t="shared" si="311"/>
        <v>2.8624165226553773</v>
      </c>
      <c r="OC62" s="166"/>
      <c r="OD62" s="11"/>
      <c r="OE62" s="166">
        <f t="shared" si="273"/>
        <v>2.597805608739248</v>
      </c>
      <c r="OF62" s="11"/>
      <c r="OG62" s="166">
        <f t="shared" si="274"/>
        <v>2.6050116941532231</v>
      </c>
      <c r="OH62" s="166">
        <f t="shared" si="252"/>
        <v>2.4124513607384155</v>
      </c>
      <c r="OI62" s="224"/>
      <c r="OJ62" s="224"/>
      <c r="OK62" s="224"/>
      <c r="OL62" s="224"/>
      <c r="OM62" s="224"/>
      <c r="ON62" s="224"/>
      <c r="OO62" s="224"/>
      <c r="OP62" s="224"/>
      <c r="OQ62" s="224"/>
      <c r="OR62" s="224"/>
      <c r="OS62" s="224"/>
      <c r="OT62" s="224"/>
      <c r="OU62" s="224"/>
      <c r="OV62" s="224"/>
      <c r="OW62" s="224"/>
      <c r="OX62" s="224"/>
      <c r="OY62" s="224"/>
      <c r="OZ62" s="224"/>
      <c r="PA62" s="224"/>
      <c r="PB62" s="224"/>
      <c r="PC62" s="224"/>
      <c r="PD62" s="224"/>
      <c r="PE62" s="224"/>
      <c r="PF62" s="224"/>
      <c r="PG62" s="224"/>
      <c r="PH62" s="224"/>
      <c r="PI62" s="224"/>
      <c r="PJ62" s="224"/>
      <c r="PK62" s="224"/>
      <c r="PL62" s="224"/>
      <c r="PM62" s="224"/>
      <c r="PN62" s="224"/>
      <c r="PO62" s="224"/>
      <c r="PP62" s="224"/>
      <c r="PQ62" s="224"/>
      <c r="PR62" s="224"/>
      <c r="PS62" s="224"/>
      <c r="PT62" s="224"/>
      <c r="PU62" s="224"/>
      <c r="PV62" s="224"/>
      <c r="PW62" s="224"/>
      <c r="PX62" s="166"/>
      <c r="PY62" s="166">
        <f>PY23-'Bloom Cleaner Data'!FP23</f>
        <v>-9.2018101599751878E-2</v>
      </c>
      <c r="PZ62" s="166">
        <f>PZ23-'Bloom Cleaner Data'!FQ23</f>
        <v>-9.5753410027068275E-2</v>
      </c>
      <c r="QA62" s="166">
        <f>QA23-'Bloom Cleaner Data'!FR23</f>
        <v>-0.10791238514330015</v>
      </c>
      <c r="QB62" s="166"/>
      <c r="QC62" s="166">
        <f>QC23-'Bloom Cleaner Data'!FT23</f>
        <v>-0.10526418926576531</v>
      </c>
      <c r="QD62" s="166">
        <f>QD23-'Bloom Cleaner Data'!FU23</f>
        <v>-0.10721646867789092</v>
      </c>
      <c r="QE62" s="166">
        <f>QE23-'Bloom Cleaner Data'!FV23</f>
        <v>-0.11050770624826534</v>
      </c>
      <c r="QF62" s="166"/>
      <c r="QG62" s="166"/>
      <c r="QH62" s="166"/>
      <c r="QI62" s="166"/>
      <c r="QJ62" s="166"/>
      <c r="QK62" s="166"/>
      <c r="QL62" s="166"/>
      <c r="QM62" s="166"/>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row>
    <row r="63" spans="1:516">
      <c r="A63" s="5"/>
      <c r="B63" s="24"/>
      <c r="C63" s="2214" t="s">
        <v>280</v>
      </c>
      <c r="D63" s="1112"/>
      <c r="E63" s="225"/>
      <c r="F63" s="225"/>
      <c r="G63" s="225"/>
      <c r="H63" s="225"/>
      <c r="I63" s="225"/>
      <c r="J63" s="225"/>
      <c r="K63" s="225"/>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668">
        <f>'OPERATING LEASES'!BL24/'Bloom Cleaner Data'!GV24</f>
        <v>0.10031333759198498</v>
      </c>
      <c r="DL63" s="2668">
        <f>'OPERATING LEASES'!BM24/'Bloom Cleaner Data'!GW24</f>
        <v>9.2620023770230472E-2</v>
      </c>
      <c r="DM63" s="2668">
        <f>'OPERATING LEASES'!BN24/'Bloom Cleaner Data'!GX24</f>
        <v>7.9132657302445786E-2</v>
      </c>
      <c r="DN63" s="2668">
        <f>'OPERATING LEASES'!BO24/'Bloom Cleaner Data'!GY24</f>
        <v>7.1197347515915305E-2</v>
      </c>
      <c r="DO63" s="2668">
        <f>'OPERATING LEASES'!BP24/'Bloom Cleaner Data'!GZ24</f>
        <v>6.3330251968447507E-2</v>
      </c>
      <c r="DP63" s="2668">
        <f>'OPERATING LEASES'!BQ24/'Bloom Cleaner Data'!HA24</f>
        <v>5.9552459038410541E-2</v>
      </c>
      <c r="DQ63" s="2668">
        <f>'OPERATING LEASES'!BR24/'Bloom Cleaner Data'!HB24</f>
        <v>5.9435018621999132E-2</v>
      </c>
      <c r="DR63" s="2668">
        <f>'OPERATING LEASES'!BS24/'Bloom Cleaner Data'!HC24</f>
        <v>5.549237044818621E-2</v>
      </c>
      <c r="DS63" s="2668">
        <f>'OPERATING LEASES'!BT24/'Bloom Cleaner Data'!HD24</f>
        <v>5.1132205581501493E-2</v>
      </c>
      <c r="DT63" s="2668">
        <f>'OPERATING LEASES'!BU24/'Bloom Cleaner Data'!HE24</f>
        <v>6.0980066211654985E-2</v>
      </c>
      <c r="DU63" s="2668">
        <f>'OPERATING LEASES'!BV24/'Bloom Cleaner Data'!HF24</f>
        <v>7.48180372160792E-2</v>
      </c>
      <c r="DV63" s="2668">
        <f>'OPERATING LEASES'!BW24/'Bloom Cleaner Data'!HG24</f>
        <v>8.4850951975434144E-2</v>
      </c>
      <c r="DW63" s="2668">
        <f>'OPERATING LEASES'!BX24/'Bloom Cleaner Data'!HH24</f>
        <v>9.2238630241806535E-2</v>
      </c>
      <c r="DX63" s="2668">
        <f>'OPERATING LEASES'!BY24/'Bloom Cleaner Data'!HI24</f>
        <v>9.2431974989807236E-2</v>
      </c>
      <c r="DY63" s="2668">
        <f>'OPERATING LEASES'!BZ24/'Bloom Cleaner Data'!HJ24</f>
        <v>9.2204492043464689E-2</v>
      </c>
      <c r="DZ63" s="2668"/>
      <c r="EA63" s="2668">
        <f t="shared" si="253"/>
        <v>7.2061266396550222E-2</v>
      </c>
      <c r="EB63" s="2668"/>
      <c r="EC63" s="2668"/>
      <c r="ED63" s="2668">
        <f t="shared" si="254"/>
        <v>8.7308817293318366E-2</v>
      </c>
      <c r="EE63" s="225"/>
      <c r="EF63" s="2123"/>
      <c r="EG63" s="2123"/>
      <c r="EH63" s="2123"/>
      <c r="EI63" s="2123"/>
      <c r="EJ63" s="2123"/>
      <c r="EK63" s="2123"/>
      <c r="EL63" s="2123"/>
      <c r="EM63" s="225"/>
      <c r="EN63" s="225"/>
      <c r="EO63" s="225"/>
      <c r="EP63" s="225"/>
      <c r="EQ63" s="225"/>
      <c r="ER63" s="225"/>
      <c r="ES63" s="225"/>
      <c r="ET63" s="225"/>
      <c r="EU63" s="225"/>
      <c r="EV63" s="225"/>
      <c r="EW63" s="225"/>
      <c r="EX63" s="225"/>
      <c r="EY63" s="225"/>
      <c r="EZ63" s="225"/>
      <c r="FA63" s="225"/>
      <c r="FB63" s="225"/>
      <c r="FC63" s="225"/>
      <c r="FD63" s="225"/>
      <c r="FE63" s="225"/>
      <c r="FF63" s="225"/>
      <c r="FG63" s="3280"/>
      <c r="FH63" s="224"/>
      <c r="FI63" s="224"/>
      <c r="FJ63" s="224"/>
      <c r="FK63" s="224"/>
      <c r="FL63" s="224"/>
      <c r="FM63" s="224"/>
      <c r="FN63" s="224"/>
      <c r="FO63" s="224"/>
      <c r="FP63" s="224"/>
      <c r="FQ63" s="224"/>
      <c r="FR63" s="224"/>
      <c r="FS63" s="224"/>
      <c r="FT63" s="224"/>
      <c r="FU63" s="224"/>
      <c r="FV63" s="224"/>
      <c r="FW63" s="224"/>
      <c r="FX63" s="224"/>
      <c r="FY63" s="224"/>
      <c r="FZ63" s="224"/>
      <c r="GA63" s="224"/>
      <c r="GB63" s="224"/>
      <c r="GC63" s="224"/>
      <c r="GD63" s="224"/>
      <c r="GE63" s="224"/>
      <c r="GF63" s="224"/>
      <c r="GG63" s="224"/>
      <c r="GH63" s="224"/>
      <c r="GI63" s="224"/>
      <c r="GJ63" s="224"/>
      <c r="GK63" s="224"/>
      <c r="GL63" s="224"/>
      <c r="GM63" s="224"/>
      <c r="GN63" s="224"/>
      <c r="GO63" s="224"/>
      <c r="GP63" s="224"/>
      <c r="GQ63" s="224"/>
      <c r="GR63" s="224"/>
      <c r="GS63" s="224"/>
      <c r="GT63" s="225"/>
      <c r="GU63" s="224"/>
      <c r="GV63" s="224"/>
      <c r="GW63" s="224"/>
      <c r="GX63" s="224"/>
      <c r="GY63" s="224"/>
      <c r="GZ63" s="224"/>
      <c r="HA63" s="224"/>
      <c r="HB63" s="224"/>
      <c r="HC63" s="224"/>
      <c r="HD63" s="224"/>
      <c r="HE63" s="224"/>
      <c r="HF63" s="224"/>
      <c r="HG63" s="224"/>
      <c r="HH63" s="224"/>
      <c r="HI63" s="224"/>
      <c r="HJ63" s="224"/>
      <c r="HK63" s="224"/>
      <c r="HL63" s="224"/>
      <c r="HM63" s="224"/>
      <c r="HN63" s="225"/>
      <c r="HO63" s="224"/>
      <c r="HP63" s="224"/>
      <c r="HQ63" s="224"/>
      <c r="HR63" s="224"/>
      <c r="HS63" s="224"/>
      <c r="HT63" s="224"/>
      <c r="HU63" s="224"/>
      <c r="HV63" s="224"/>
      <c r="HW63" s="224"/>
      <c r="HX63" s="224"/>
      <c r="HY63" s="224"/>
      <c r="HZ63" s="224"/>
      <c r="IA63" s="224"/>
      <c r="IB63" s="224"/>
      <c r="IC63" s="224"/>
      <c r="ID63" s="224"/>
      <c r="IE63" s="224"/>
      <c r="IF63" s="224"/>
      <c r="IG63" s="225"/>
      <c r="IH63" s="224"/>
      <c r="II63" s="224"/>
      <c r="IJ63" s="224"/>
      <c r="IK63" s="2124">
        <f t="shared" si="255"/>
        <v>0.12898140647966524</v>
      </c>
      <c r="IL63" s="2124">
        <f t="shared" si="295"/>
        <v>0.1380528460563592</v>
      </c>
      <c r="IM63" s="2124">
        <f t="shared" si="296"/>
        <v>0.15280916744808323</v>
      </c>
      <c r="IN63" s="2124">
        <f t="shared" si="297"/>
        <v>0.10271257904746049</v>
      </c>
      <c r="IO63" s="2124">
        <f t="shared" si="298"/>
        <v>9.1938678131143467E-2</v>
      </c>
      <c r="IP63" s="2124">
        <f t="shared" si="299"/>
        <v>7.2679201192683063E-2</v>
      </c>
      <c r="IQ63" s="2124">
        <f t="shared" si="300"/>
        <v>0.24199462765035201</v>
      </c>
      <c r="IR63" s="2124">
        <f t="shared" si="301"/>
        <v>0.2245856460117715</v>
      </c>
      <c r="IS63" s="2124">
        <f t="shared" si="302"/>
        <v>0.22065927567404742</v>
      </c>
      <c r="IT63" s="2124">
        <f t="shared" si="303"/>
        <v>0.22020516748148458</v>
      </c>
      <c r="IU63" s="2124">
        <f t="shared" si="304"/>
        <v>0.31602212563008453</v>
      </c>
      <c r="IV63" s="2124">
        <f t="shared" si="305"/>
        <v>0.28154916487544268</v>
      </c>
      <c r="IW63" s="2124">
        <f t="shared" si="306"/>
        <v>0.27822380346221887</v>
      </c>
      <c r="IX63" s="2124">
        <f t="shared" si="307"/>
        <v>0.24013262643683941</v>
      </c>
      <c r="IY63" s="2124">
        <f t="shared" si="308"/>
        <v>0.28147528322389997</v>
      </c>
      <c r="IZ63" s="225"/>
      <c r="JA63" s="2124">
        <f t="shared" si="270"/>
        <v>0.20961441125119315</v>
      </c>
      <c r="JB63" s="224"/>
      <c r="JC63" s="224"/>
      <c r="JD63" s="224"/>
      <c r="JE63" s="224"/>
      <c r="JF63" s="224"/>
      <c r="JG63" s="224"/>
      <c r="JH63" s="224"/>
      <c r="JI63" s="224"/>
      <c r="JJ63" s="224"/>
      <c r="JK63" s="224"/>
      <c r="JL63" s="224"/>
      <c r="JM63" s="224"/>
      <c r="JN63" s="224"/>
      <c r="JO63" s="224"/>
      <c r="JP63" s="224"/>
      <c r="JQ63" s="224"/>
      <c r="JR63" s="224"/>
      <c r="JS63" s="224"/>
      <c r="JT63" s="224"/>
      <c r="JU63" s="225"/>
      <c r="JV63" s="224"/>
      <c r="JW63" s="224"/>
      <c r="JX63" s="224"/>
      <c r="JY63" s="224"/>
      <c r="JZ63" s="224"/>
      <c r="KA63" s="224"/>
      <c r="KB63" s="224"/>
      <c r="KC63" s="224"/>
      <c r="KD63" s="224"/>
      <c r="KE63" s="224"/>
      <c r="KF63" s="224"/>
      <c r="KG63" s="224"/>
      <c r="KH63" s="224"/>
      <c r="KI63" s="224"/>
      <c r="KJ63" s="224"/>
      <c r="KK63" s="224"/>
      <c r="KL63" s="224"/>
      <c r="KM63" s="224"/>
      <c r="KN63" s="224"/>
      <c r="KO63" s="224"/>
      <c r="KP63" s="225"/>
      <c r="KQ63" s="224"/>
      <c r="KR63" s="224"/>
      <c r="KS63" s="224"/>
      <c r="KT63" s="224"/>
      <c r="KU63" s="224"/>
      <c r="KV63" s="224"/>
      <c r="KW63" s="224"/>
      <c r="KX63" s="224"/>
      <c r="KY63" s="224"/>
      <c r="KZ63" s="224"/>
      <c r="LA63" s="224"/>
      <c r="LB63" s="224"/>
      <c r="LC63" s="224"/>
      <c r="LD63" s="224"/>
      <c r="LE63" s="224"/>
      <c r="LF63" s="224"/>
      <c r="LG63" s="224"/>
      <c r="LH63" s="224"/>
      <c r="LI63" s="224"/>
      <c r="LJ63" s="224"/>
      <c r="LK63" s="224"/>
      <c r="LL63" s="225"/>
      <c r="LM63" s="224"/>
      <c r="LN63" s="224"/>
      <c r="LO63" s="224"/>
      <c r="LP63" s="224"/>
      <c r="LQ63" s="224"/>
      <c r="LR63" s="224"/>
      <c r="LS63" s="224"/>
      <c r="LT63" s="224"/>
      <c r="LU63" s="224"/>
      <c r="LV63" s="224"/>
      <c r="LW63" s="224"/>
      <c r="LX63" s="224"/>
      <c r="LY63" s="224"/>
      <c r="LZ63" s="224"/>
      <c r="MA63" s="224"/>
      <c r="MB63" s="224"/>
      <c r="MC63" s="224"/>
      <c r="MD63" s="224"/>
      <c r="ME63" s="224"/>
      <c r="MF63" s="224"/>
      <c r="MG63" s="224"/>
      <c r="MH63" s="224"/>
      <c r="MI63" s="224"/>
      <c r="MJ63" s="224"/>
      <c r="MK63" s="224"/>
      <c r="ML63" s="224"/>
      <c r="MM63" s="224"/>
      <c r="MN63" s="224"/>
      <c r="MO63" s="224"/>
      <c r="MP63" s="224"/>
      <c r="MQ63" s="224"/>
      <c r="MR63" s="224"/>
      <c r="MS63" s="224"/>
      <c r="MT63" s="224"/>
      <c r="MU63" s="224"/>
      <c r="MV63" s="224"/>
      <c r="MW63" s="224"/>
      <c r="MX63" s="224"/>
      <c r="MY63" s="224"/>
      <c r="MZ63" s="224"/>
      <c r="NA63" s="224"/>
      <c r="NB63" s="224"/>
      <c r="NC63" s="224"/>
      <c r="ND63" s="224"/>
      <c r="NE63" s="224"/>
      <c r="NF63" s="224"/>
      <c r="NG63" s="224"/>
      <c r="NH63" s="224"/>
      <c r="NI63" s="224"/>
      <c r="NJ63" s="224"/>
      <c r="NK63" s="224"/>
      <c r="NL63" s="2826">
        <f t="shared" si="250"/>
        <v>0.2</v>
      </c>
      <c r="NM63" s="73" t="s">
        <v>280</v>
      </c>
      <c r="NN63" s="166">
        <f t="shared" si="271"/>
        <v>1.0407162855366883</v>
      </c>
      <c r="NO63" s="166">
        <f t="shared" ref="NO63:OB63" si="312">NO24+0.2</f>
        <v>1.1229760312754102</v>
      </c>
      <c r="NP63" s="166">
        <f t="shared" si="312"/>
        <v>1.1396686992136211</v>
      </c>
      <c r="NQ63" s="166">
        <f t="shared" si="312"/>
        <v>0.97044459203164424</v>
      </c>
      <c r="NR63" s="166">
        <f t="shared" si="312"/>
        <v>0.81584251821841902</v>
      </c>
      <c r="NS63" s="166">
        <f t="shared" si="312"/>
        <v>0.76535669571282439</v>
      </c>
      <c r="NT63" s="166">
        <f t="shared" si="312"/>
        <v>1.9708789105837119</v>
      </c>
      <c r="NU63" s="166">
        <f t="shared" si="312"/>
        <v>1.8720539713810258</v>
      </c>
      <c r="NV63" s="166">
        <f t="shared" si="312"/>
        <v>1.7333385231011276</v>
      </c>
      <c r="NW63" s="166">
        <f t="shared" si="312"/>
        <v>1.82527551828394</v>
      </c>
      <c r="NX63" s="166">
        <f t="shared" si="312"/>
        <v>2.6458410900788696</v>
      </c>
      <c r="NY63" s="166">
        <f t="shared" si="312"/>
        <v>2.5621702844444512</v>
      </c>
      <c r="NZ63" s="166">
        <f t="shared" si="312"/>
        <v>2.6565846380540186</v>
      </c>
      <c r="OA63" s="166">
        <f t="shared" si="312"/>
        <v>2.0307043458305896</v>
      </c>
      <c r="OB63" s="166">
        <f t="shared" si="312"/>
        <v>1.835715357616891</v>
      </c>
      <c r="OC63" s="166"/>
      <c r="OD63" s="11"/>
      <c r="OE63" s="166">
        <f t="shared" si="273"/>
        <v>2.1743347805004998</v>
      </c>
      <c r="OF63" s="11"/>
      <c r="OG63" s="166">
        <f t="shared" si="274"/>
        <v>2.2712936564864874</v>
      </c>
      <c r="OH63" s="166">
        <f t="shared" si="252"/>
        <v>1.7556827034270104</v>
      </c>
      <c r="OI63" s="224"/>
      <c r="OJ63" s="224"/>
      <c r="OK63" s="224"/>
      <c r="OL63" s="224"/>
      <c r="OM63" s="224"/>
      <c r="ON63" s="224"/>
      <c r="OO63" s="224"/>
      <c r="OP63" s="224"/>
      <c r="OQ63" s="224"/>
      <c r="OR63" s="224"/>
      <c r="OS63" s="224"/>
      <c r="OT63" s="224"/>
      <c r="OU63" s="224"/>
      <c r="OV63" s="224"/>
      <c r="OW63" s="224"/>
      <c r="OX63" s="224"/>
      <c r="OY63" s="224"/>
      <c r="OZ63" s="224"/>
      <c r="PA63" s="224"/>
      <c r="PB63" s="224"/>
      <c r="PC63" s="224"/>
      <c r="PD63" s="224"/>
      <c r="PE63" s="224"/>
      <c r="PF63" s="224"/>
      <c r="PG63" s="224"/>
      <c r="PH63" s="224"/>
      <c r="PI63" s="224"/>
      <c r="PJ63" s="224"/>
      <c r="PK63" s="224"/>
      <c r="PL63" s="224"/>
      <c r="PM63" s="224"/>
      <c r="PN63" s="224"/>
      <c r="PO63" s="224"/>
      <c r="PP63" s="224"/>
      <c r="PQ63" s="224"/>
      <c r="PR63" s="224"/>
      <c r="PS63" s="224"/>
      <c r="PT63" s="224"/>
      <c r="PU63" s="224"/>
      <c r="PV63" s="224"/>
      <c r="PW63" s="224"/>
      <c r="PX63" s="166"/>
      <c r="PY63" s="166">
        <f>PY24-'Bloom Cleaner Data'!FP24</f>
        <v>0.75470853904015267</v>
      </c>
      <c r="PZ63" s="166">
        <f>PZ24-'Bloom Cleaner Data'!FQ24</f>
        <v>0.75593434602926401</v>
      </c>
      <c r="QA63" s="166">
        <f>QA24-'Bloom Cleaner Data'!FR24</f>
        <v>0.89167810961482763</v>
      </c>
      <c r="QB63" s="166"/>
      <c r="QC63" s="166">
        <f>QC24-'Bloom Cleaner Data'!FT24</f>
        <v>0.8922114879285048</v>
      </c>
      <c r="QD63" s="166">
        <f>QD24-'Bloom Cleaner Data'!FU24</f>
        <v>0.83273327786182527</v>
      </c>
      <c r="QE63" s="166">
        <f>QE24-'Bloom Cleaner Data'!FV24</f>
        <v>0.78193442723581064</v>
      </c>
      <c r="QF63" s="166"/>
      <c r="QG63" s="166"/>
      <c r="QH63" s="166"/>
      <c r="QI63" s="166"/>
      <c r="QJ63" s="166"/>
      <c r="QK63" s="166"/>
      <c r="QL63" s="166"/>
      <c r="QM63" s="166"/>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row>
    <row r="64" spans="1:516">
      <c r="A64" s="5"/>
      <c r="B64" s="24"/>
      <c r="C64" s="2214" t="s">
        <v>288</v>
      </c>
      <c r="D64" s="1112"/>
      <c r="E64" s="225"/>
      <c r="F64" s="225"/>
      <c r="G64" s="225"/>
      <c r="H64" s="225"/>
      <c r="I64" s="225"/>
      <c r="J64" s="225"/>
      <c r="K64" s="225"/>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668">
        <f>'OPERATING LEASES'!BL25/'Bloom Cleaner Data'!GV25</f>
        <v>2.5985287315659539E-2</v>
      </c>
      <c r="DL64" s="2668">
        <f>'OPERATING LEASES'!BM25/'Bloom Cleaner Data'!GW25</f>
        <v>2.4801392711049548E-2</v>
      </c>
      <c r="DM64" s="2668">
        <f>'OPERATING LEASES'!BN25/'Bloom Cleaner Data'!GX25</f>
        <v>2.3030269553612766E-2</v>
      </c>
      <c r="DN64" s="2668">
        <f>'OPERATING LEASES'!BO25/'Bloom Cleaner Data'!GY25</f>
        <v>2.134304804800467E-2</v>
      </c>
      <c r="DO64" s="2668">
        <f>'OPERATING LEASES'!BP25/'Bloom Cleaner Data'!GZ25</f>
        <v>2.1044176805380413E-2</v>
      </c>
      <c r="DP64" s="2668">
        <f>'OPERATING LEASES'!BQ25/'Bloom Cleaner Data'!HA25</f>
        <v>1.9977069887895198E-2</v>
      </c>
      <c r="DQ64" s="2668">
        <f>'OPERATING LEASES'!BR25/'Bloom Cleaner Data'!HB25</f>
        <v>1.9615924354161405E-2</v>
      </c>
      <c r="DR64" s="2668">
        <f>'OPERATING LEASES'!BS25/'Bloom Cleaner Data'!HC25</f>
        <v>1.8893099848438469E-2</v>
      </c>
      <c r="DS64" s="2668">
        <f>'OPERATING LEASES'!BT25/'Bloom Cleaner Data'!HD25</f>
        <v>1.8226800619251523E-2</v>
      </c>
      <c r="DT64" s="2668">
        <f>'OPERATING LEASES'!BU25/'Bloom Cleaner Data'!HE25</f>
        <v>1.8843732499757848E-2</v>
      </c>
      <c r="DU64" s="2668">
        <f>'OPERATING LEASES'!BV25/'Bloom Cleaner Data'!HF25</f>
        <v>1.9422760404608941E-2</v>
      </c>
      <c r="DV64" s="2668">
        <f>'OPERATING LEASES'!BW25/'Bloom Cleaner Data'!HG25</f>
        <v>2.0515759665002905E-2</v>
      </c>
      <c r="DW64" s="2668">
        <f>'OPERATING LEASES'!BX25/'Bloom Cleaner Data'!HH25</f>
        <v>2.1214988845266559E-2</v>
      </c>
      <c r="DX64" s="2668">
        <f>'OPERATING LEASES'!BY25/'Bloom Cleaner Data'!HI25</f>
        <v>2.1567802556577732E-2</v>
      </c>
      <c r="DY64" s="2668">
        <f>'OPERATING LEASES'!BZ25/'Bloom Cleaner Data'!HJ25</f>
        <v>2.186638767038767E-2</v>
      </c>
      <c r="DZ64" s="2668"/>
      <c r="EA64" s="2668">
        <f t="shared" si="253"/>
        <v>2.0427832366026626E-2</v>
      </c>
      <c r="EB64" s="2668"/>
      <c r="EC64" s="2668"/>
      <c r="ED64" s="2668">
        <f t="shared" si="254"/>
        <v>2.0917539828368765E-2</v>
      </c>
      <c r="EE64" s="225"/>
      <c r="EF64" s="2123"/>
      <c r="EG64" s="2123"/>
      <c r="EH64" s="2123"/>
      <c r="EI64" s="2123"/>
      <c r="EJ64" s="2123"/>
      <c r="EK64" s="2123"/>
      <c r="EL64" s="2123"/>
      <c r="EM64" s="225"/>
      <c r="EN64" s="225"/>
      <c r="EO64" s="225"/>
      <c r="EP64" s="225"/>
      <c r="EQ64" s="225"/>
      <c r="ER64" s="225"/>
      <c r="ES64" s="225"/>
      <c r="ET64" s="225"/>
      <c r="EU64" s="225"/>
      <c r="EV64" s="225"/>
      <c r="EW64" s="225"/>
      <c r="EX64" s="225"/>
      <c r="EY64" s="225"/>
      <c r="EZ64" s="225"/>
      <c r="FA64" s="225"/>
      <c r="FB64" s="225"/>
      <c r="FC64" s="225"/>
      <c r="FD64" s="225"/>
      <c r="FE64" s="225"/>
      <c r="FF64" s="225"/>
      <c r="FG64" s="3280"/>
      <c r="FH64" s="224"/>
      <c r="FI64" s="224"/>
      <c r="FJ64" s="224"/>
      <c r="FK64" s="224"/>
      <c r="FL64" s="224"/>
      <c r="FM64" s="224"/>
      <c r="FN64" s="224"/>
      <c r="FO64" s="224"/>
      <c r="FP64" s="224"/>
      <c r="FQ64" s="224"/>
      <c r="FR64" s="224"/>
      <c r="FS64" s="224"/>
      <c r="FT64" s="224"/>
      <c r="FU64" s="224"/>
      <c r="FV64" s="224"/>
      <c r="FW64" s="224"/>
      <c r="FX64" s="224"/>
      <c r="FY64" s="224"/>
      <c r="FZ64" s="224"/>
      <c r="GA64" s="224"/>
      <c r="GB64" s="224"/>
      <c r="GC64" s="224"/>
      <c r="GD64" s="224"/>
      <c r="GE64" s="224"/>
      <c r="GF64" s="224"/>
      <c r="GG64" s="224"/>
      <c r="GH64" s="224"/>
      <c r="GI64" s="224"/>
      <c r="GJ64" s="224"/>
      <c r="GK64" s="224"/>
      <c r="GL64" s="224"/>
      <c r="GM64" s="224"/>
      <c r="GN64" s="224"/>
      <c r="GO64" s="224"/>
      <c r="GP64" s="224"/>
      <c r="GQ64" s="224"/>
      <c r="GR64" s="224"/>
      <c r="GS64" s="224"/>
      <c r="GT64" s="225"/>
      <c r="GU64" s="224"/>
      <c r="GV64" s="224"/>
      <c r="GW64" s="224"/>
      <c r="GX64" s="224"/>
      <c r="GY64" s="224"/>
      <c r="GZ64" s="224"/>
      <c r="HA64" s="224"/>
      <c r="HB64" s="224"/>
      <c r="HC64" s="224"/>
      <c r="HD64" s="224"/>
      <c r="HE64" s="224"/>
      <c r="HF64" s="224"/>
      <c r="HG64" s="224"/>
      <c r="HH64" s="224"/>
      <c r="HI64" s="224"/>
      <c r="HJ64" s="224"/>
      <c r="HK64" s="224"/>
      <c r="HL64" s="224"/>
      <c r="HM64" s="224"/>
      <c r="HN64" s="225"/>
      <c r="HO64" s="224"/>
      <c r="HP64" s="224"/>
      <c r="HQ64" s="224"/>
      <c r="HR64" s="224"/>
      <c r="HS64" s="224"/>
      <c r="HT64" s="224"/>
      <c r="HU64" s="224"/>
      <c r="HV64" s="224"/>
      <c r="HW64" s="224"/>
      <c r="HX64" s="224"/>
      <c r="HY64" s="224"/>
      <c r="HZ64" s="224"/>
      <c r="IA64" s="224"/>
      <c r="IB64" s="224"/>
      <c r="IC64" s="224"/>
      <c r="ID64" s="224"/>
      <c r="IE64" s="224"/>
      <c r="IF64" s="224"/>
      <c r="IG64" s="225"/>
      <c r="IH64" s="224"/>
      <c r="II64" s="224"/>
      <c r="IJ64" s="224"/>
      <c r="IK64" s="2124">
        <f t="shared" si="255"/>
        <v>0.33284276625171083</v>
      </c>
      <c r="IL64" s="2124">
        <f t="shared" si="295"/>
        <v>0.325236591625295</v>
      </c>
      <c r="IM64" s="2124">
        <f t="shared" si="296"/>
        <v>0.35099231121562197</v>
      </c>
      <c r="IN64" s="2124">
        <f t="shared" si="297"/>
        <v>0.32670748508644687</v>
      </c>
      <c r="IO64" s="2124">
        <f t="shared" si="298"/>
        <v>0.31474148883466341</v>
      </c>
      <c r="IP64" s="2124">
        <f t="shared" si="299"/>
        <v>0.30846766308426782</v>
      </c>
      <c r="IQ64" s="2124">
        <f t="shared" si="300"/>
        <v>0.33825245611310373</v>
      </c>
      <c r="IR64" s="2124">
        <f t="shared" si="301"/>
        <v>0.33412860982799336</v>
      </c>
      <c r="IS64" s="2124">
        <f t="shared" si="302"/>
        <v>0.32728624048925437</v>
      </c>
      <c r="IT64" s="2124">
        <f t="shared" si="303"/>
        <v>0.32215614352162769</v>
      </c>
      <c r="IU64" s="2124">
        <f t="shared" si="304"/>
        <v>0.32431194146150577</v>
      </c>
      <c r="IV64" s="2124">
        <f t="shared" si="305"/>
        <v>0.32262458264990379</v>
      </c>
      <c r="IW64" s="2124">
        <f t="shared" si="306"/>
        <v>0.30107613475000317</v>
      </c>
      <c r="IX64" s="2124">
        <f t="shared" si="307"/>
        <v>0.27552258749341224</v>
      </c>
      <c r="IY64" s="2124">
        <f t="shared" si="308"/>
        <v>0.30362227391248225</v>
      </c>
      <c r="IZ64" s="225"/>
      <c r="JA64" s="2124">
        <f t="shared" si="270"/>
        <v>0.31922230141848357</v>
      </c>
      <c r="JB64" s="224"/>
      <c r="JC64" s="224"/>
      <c r="JD64" s="224"/>
      <c r="JE64" s="224"/>
      <c r="JF64" s="224"/>
      <c r="JG64" s="224"/>
      <c r="JH64" s="224"/>
      <c r="JI64" s="224"/>
      <c r="JJ64" s="224"/>
      <c r="JK64" s="224"/>
      <c r="JL64" s="224"/>
      <c r="JM64" s="224"/>
      <c r="JN64" s="224"/>
      <c r="JO64" s="224"/>
      <c r="JP64" s="224"/>
      <c r="JQ64" s="224"/>
      <c r="JR64" s="224"/>
      <c r="JS64" s="224"/>
      <c r="JT64" s="224"/>
      <c r="JU64" s="225"/>
      <c r="JV64" s="224"/>
      <c r="JW64" s="224"/>
      <c r="JX64" s="224"/>
      <c r="JY64" s="224"/>
      <c r="JZ64" s="224"/>
      <c r="KA64" s="224"/>
      <c r="KB64" s="224"/>
      <c r="KC64" s="224"/>
      <c r="KD64" s="224"/>
      <c r="KE64" s="224"/>
      <c r="KF64" s="224"/>
      <c r="KG64" s="224"/>
      <c r="KH64" s="224"/>
      <c r="KI64" s="224"/>
      <c r="KJ64" s="224"/>
      <c r="KK64" s="224"/>
      <c r="KL64" s="224"/>
      <c r="KM64" s="224"/>
      <c r="KN64" s="224"/>
      <c r="KO64" s="224"/>
      <c r="KP64" s="225"/>
      <c r="KQ64" s="224"/>
      <c r="KR64" s="224"/>
      <c r="KS64" s="224"/>
      <c r="KT64" s="224"/>
      <c r="KU64" s="224"/>
      <c r="KV64" s="224"/>
      <c r="KW64" s="224"/>
      <c r="KX64" s="224"/>
      <c r="KY64" s="224"/>
      <c r="KZ64" s="224"/>
      <c r="LA64" s="224"/>
      <c r="LB64" s="224"/>
      <c r="LC64" s="224"/>
      <c r="LD64" s="224"/>
      <c r="LE64" s="224"/>
      <c r="LF64" s="224"/>
      <c r="LG64" s="224"/>
      <c r="LH64" s="224"/>
      <c r="LI64" s="224"/>
      <c r="LJ64" s="224"/>
      <c r="LK64" s="224"/>
      <c r="LL64" s="225"/>
      <c r="LM64" s="224"/>
      <c r="LN64" s="224"/>
      <c r="LO64" s="224"/>
      <c r="LP64" s="224"/>
      <c r="LQ64" s="224"/>
      <c r="LR64" s="224"/>
      <c r="LS64" s="224"/>
      <c r="LT64" s="224"/>
      <c r="LU64" s="224"/>
      <c r="LV64" s="224"/>
      <c r="LW64" s="224"/>
      <c r="LX64" s="224"/>
      <c r="LY64" s="224"/>
      <c r="LZ64" s="224"/>
      <c r="MA64" s="224"/>
      <c r="MB64" s="224"/>
      <c r="MC64" s="224"/>
      <c r="MD64" s="224"/>
      <c r="ME64" s="224"/>
      <c r="MF64" s="224"/>
      <c r="MG64" s="224"/>
      <c r="MH64" s="224"/>
      <c r="MI64" s="224"/>
      <c r="MJ64" s="224"/>
      <c r="MK64" s="224"/>
      <c r="ML64" s="224"/>
      <c r="MM64" s="224"/>
      <c r="MN64" s="224"/>
      <c r="MO64" s="224"/>
      <c r="MP64" s="224"/>
      <c r="MQ64" s="224"/>
      <c r="MR64" s="224"/>
      <c r="MS64" s="224"/>
      <c r="MT64" s="224"/>
      <c r="MU64" s="224"/>
      <c r="MV64" s="224"/>
      <c r="MW64" s="224"/>
      <c r="MX64" s="224"/>
      <c r="MY64" s="224"/>
      <c r="MZ64" s="224"/>
      <c r="NA64" s="224"/>
      <c r="NB64" s="224"/>
      <c r="NC64" s="224"/>
      <c r="ND64" s="224"/>
      <c r="NE64" s="224"/>
      <c r="NF64" s="224"/>
      <c r="NG64" s="224"/>
      <c r="NH64" s="224"/>
      <c r="NI64" s="224"/>
      <c r="NJ64" s="224"/>
      <c r="NK64" s="224"/>
      <c r="NL64" s="2826">
        <f t="shared" si="250"/>
        <v>0.2</v>
      </c>
      <c r="NM64" s="73" t="s">
        <v>288</v>
      </c>
      <c r="NN64" s="166">
        <f t="shared" si="271"/>
        <v>2.4379886543825369</v>
      </c>
      <c r="NO64" s="166">
        <f t="shared" ref="NO64:OB64" si="313">NO25+0.2</f>
        <v>2.4203887600916811</v>
      </c>
      <c r="NP64" s="166">
        <f t="shared" si="313"/>
        <v>2.4835036879939403</v>
      </c>
      <c r="NQ64" s="166">
        <f t="shared" si="313"/>
        <v>2.3806897264679132</v>
      </c>
      <c r="NR64" s="166">
        <f t="shared" si="313"/>
        <v>2.5118597718425564</v>
      </c>
      <c r="NS64" s="166">
        <f t="shared" si="313"/>
        <v>2.4078171277962275</v>
      </c>
      <c r="NT64" s="166">
        <f t="shared" si="313"/>
        <v>2.5734029855696825</v>
      </c>
      <c r="NU64" s="166">
        <f t="shared" si="313"/>
        <v>2.4580007884340156</v>
      </c>
      <c r="NV64" s="166">
        <f t="shared" si="313"/>
        <v>2.320311720493224</v>
      </c>
      <c r="NW64" s="166">
        <f t="shared" si="313"/>
        <v>2.3361947353713042</v>
      </c>
      <c r="NX64" s="166">
        <f t="shared" si="313"/>
        <v>2.4291346170026555</v>
      </c>
      <c r="NY64" s="166">
        <f t="shared" si="313"/>
        <v>2.4492560198923385</v>
      </c>
      <c r="NZ64" s="166">
        <f t="shared" si="313"/>
        <v>2.4299859720444741</v>
      </c>
      <c r="OA64" s="166">
        <f t="shared" si="313"/>
        <v>2.4692048121414345</v>
      </c>
      <c r="OB64" s="166">
        <f t="shared" si="313"/>
        <v>2.5435449790233799</v>
      </c>
      <c r="OC64" s="166"/>
      <c r="OD64" s="11"/>
      <c r="OE64" s="166">
        <f t="shared" si="273"/>
        <v>2.4809119210697625</v>
      </c>
      <c r="OF64" s="11"/>
      <c r="OG64" s="166">
        <f t="shared" si="274"/>
        <v>2.4729979457754068</v>
      </c>
      <c r="OH64" s="166">
        <f t="shared" si="252"/>
        <v>2.4456082264671655</v>
      </c>
      <c r="OI64" s="224"/>
      <c r="OJ64" s="224"/>
      <c r="OK64" s="224"/>
      <c r="OL64" s="224"/>
      <c r="OM64" s="224"/>
      <c r="ON64" s="224"/>
      <c r="OO64" s="224"/>
      <c r="OP64" s="224"/>
      <c r="OQ64" s="224"/>
      <c r="OR64" s="224"/>
      <c r="OS64" s="224"/>
      <c r="OT64" s="224"/>
      <c r="OU64" s="224"/>
      <c r="OV64" s="224"/>
      <c r="OW64" s="224"/>
      <c r="OX64" s="224"/>
      <c r="OY64" s="224"/>
      <c r="OZ64" s="224"/>
      <c r="PA64" s="224"/>
      <c r="PB64" s="224"/>
      <c r="PC64" s="224"/>
      <c r="PD64" s="224"/>
      <c r="PE64" s="224"/>
      <c r="PF64" s="224"/>
      <c r="PG64" s="224"/>
      <c r="PH64" s="224"/>
      <c r="PI64" s="224"/>
      <c r="PJ64" s="224"/>
      <c r="PK64" s="224"/>
      <c r="PL64" s="224"/>
      <c r="PM64" s="224"/>
      <c r="PN64" s="224"/>
      <c r="PO64" s="224"/>
      <c r="PP64" s="224"/>
      <c r="PQ64" s="224"/>
      <c r="PR64" s="224"/>
      <c r="PS64" s="224"/>
      <c r="PT64" s="224"/>
      <c r="PU64" s="224"/>
      <c r="PV64" s="224"/>
      <c r="PW64" s="224"/>
      <c r="PX64" s="166"/>
      <c r="PY64" s="166">
        <f>PY25-'Bloom Cleaner Data'!FP25</f>
        <v>-6.5681970618786334E-2</v>
      </c>
      <c r="PZ64" s="166">
        <f>PZ25-'Bloom Cleaner Data'!FQ25</f>
        <v>-8.5409247349208961E-2</v>
      </c>
      <c r="QA64" s="127">
        <f>QA25-'Bloom Cleaner Data'!FR25</f>
        <v>-0.12828753361809841</v>
      </c>
      <c r="QB64" s="166"/>
      <c r="QC64" s="166">
        <f>QC25-'Bloom Cleaner Data'!FT25</f>
        <v>5.6330147530468277E-2</v>
      </c>
      <c r="QD64" s="166">
        <f>QD25-'Bloom Cleaner Data'!FU25</f>
        <v>-1.5812437039906424E-2</v>
      </c>
      <c r="QE64" s="166">
        <f>QE25-'Bloom Cleaner Data'!FV25</f>
        <v>-1.7154092876820126E-2</v>
      </c>
      <c r="QF64" s="166"/>
      <c r="QG64" s="166"/>
      <c r="QH64" s="166"/>
      <c r="QI64" s="166"/>
      <c r="QJ64" s="166"/>
      <c r="QK64" s="166"/>
      <c r="QL64" s="166"/>
      <c r="QM64" s="166"/>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row>
    <row r="65" spans="1:516">
      <c r="A65" s="7"/>
      <c r="B65" s="11"/>
      <c r="C65" s="2210" t="s">
        <v>353</v>
      </c>
      <c r="D65" s="1132"/>
      <c r="E65" s="224"/>
      <c r="F65" s="224"/>
      <c r="G65" s="224"/>
      <c r="H65" s="224"/>
      <c r="I65" s="224"/>
      <c r="J65" s="224"/>
      <c r="K65" s="224"/>
      <c r="L65" s="224"/>
      <c r="M65" s="224"/>
      <c r="N65" s="224"/>
      <c r="O65" s="224"/>
      <c r="P65" s="224"/>
      <c r="Q65" s="224"/>
      <c r="R65" s="224"/>
      <c r="S65" s="224"/>
      <c r="T65" s="224"/>
      <c r="U65" s="224"/>
      <c r="V65" s="224"/>
      <c r="W65" s="224"/>
      <c r="X65" s="224"/>
      <c r="Y65" s="224"/>
      <c r="Z65" s="224"/>
      <c r="AA65" s="224"/>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c r="BJ65" s="224"/>
      <c r="BK65" s="224"/>
      <c r="BL65" s="224"/>
      <c r="BM65" s="224"/>
      <c r="BN65" s="224"/>
      <c r="BO65" s="224"/>
      <c r="BP65" s="224"/>
      <c r="BQ65" s="224"/>
      <c r="BR65" s="224"/>
      <c r="BS65" s="224"/>
      <c r="BT65" s="224"/>
      <c r="BU65" s="224"/>
      <c r="BV65" s="224"/>
      <c r="BW65" s="224"/>
      <c r="BX65" s="224"/>
      <c r="BY65" s="224"/>
      <c r="BZ65" s="224"/>
      <c r="CA65" s="224"/>
      <c r="CB65" s="224"/>
      <c r="CC65" s="224"/>
      <c r="CD65" s="224"/>
      <c r="CE65" s="224"/>
      <c r="CF65" s="224"/>
      <c r="CG65" s="224"/>
      <c r="CH65" s="224"/>
      <c r="CI65" s="224"/>
      <c r="CJ65" s="224"/>
      <c r="CK65" s="224"/>
      <c r="CL65" s="224"/>
      <c r="CM65" s="224"/>
      <c r="CN65" s="224"/>
      <c r="CO65" s="224"/>
      <c r="CP65" s="224"/>
      <c r="CQ65" s="224"/>
      <c r="CR65" s="224"/>
      <c r="CS65" s="224"/>
      <c r="CT65" s="224"/>
      <c r="CU65" s="224"/>
      <c r="CV65" s="224"/>
      <c r="CW65" s="224"/>
      <c r="CX65" s="224"/>
      <c r="CY65" s="224"/>
      <c r="CZ65" s="224"/>
      <c r="DA65" s="224"/>
      <c r="DB65" s="224"/>
      <c r="DC65" s="224"/>
      <c r="DD65" s="224"/>
      <c r="DE65" s="224"/>
      <c r="DF65" s="224"/>
      <c r="DG65" s="224"/>
      <c r="DH65" s="224"/>
      <c r="DI65" s="224"/>
      <c r="DJ65" s="224"/>
      <c r="DK65" s="2668">
        <f>'OPERATING LEASES'!BL26/'Bloom Cleaner Data'!GV26</f>
        <v>0.17186341005274616</v>
      </c>
      <c r="DL65" s="2668">
        <f>'OPERATING LEASES'!BM26/'Bloom Cleaner Data'!GW26</f>
        <v>0.16826909259412887</v>
      </c>
      <c r="DM65" s="2668">
        <f>'OPERATING LEASES'!BN26/'Bloom Cleaner Data'!GX26</f>
        <v>0.1619963379639533</v>
      </c>
      <c r="DN65" s="2668">
        <f>'OPERATING LEASES'!BO26/'Bloom Cleaner Data'!GY26</f>
        <v>0.15707373585964801</v>
      </c>
      <c r="DO65" s="2668">
        <f>'OPERATING LEASES'!BP26/'Bloom Cleaner Data'!GZ26</f>
        <v>0.15113397563428049</v>
      </c>
      <c r="DP65" s="2668">
        <f>'OPERATING LEASES'!BQ26/'Bloom Cleaner Data'!HA26</f>
        <v>0.14321295029664116</v>
      </c>
      <c r="DQ65" s="2668">
        <f>'OPERATING LEASES'!BR26/'Bloom Cleaner Data'!HB26</f>
        <v>0.13765417443065447</v>
      </c>
      <c r="DR65" s="2668">
        <f>'OPERATING LEASES'!BS26/'Bloom Cleaner Data'!HC26</f>
        <v>0.1304389259495157</v>
      </c>
      <c r="DS65" s="2668">
        <f>'OPERATING LEASES'!BT26/'Bloom Cleaner Data'!HD26</f>
        <v>0.11416221341073436</v>
      </c>
      <c r="DT65" s="2668">
        <f>'OPERATING LEASES'!BU26/'Bloom Cleaner Data'!HE26</f>
        <v>0.10562540638474538</v>
      </c>
      <c r="DU65" s="2668">
        <f>'OPERATING LEASES'!BV26/'Bloom Cleaner Data'!HF26</f>
        <v>9.6336338152201093E-2</v>
      </c>
      <c r="DV65" s="2668">
        <f>'OPERATING LEASES'!BW26/'Bloom Cleaner Data'!HG26</f>
        <v>8.7126654793324834E-2</v>
      </c>
      <c r="DW65" s="2668">
        <f>'OPERATING LEASES'!BX26/'Bloom Cleaner Data'!HH26</f>
        <v>8.6810525209967085E-2</v>
      </c>
      <c r="DX65" s="2668">
        <f>'OPERATING LEASES'!BY26/'Bloom Cleaner Data'!HI26</f>
        <v>8.6344973599708566E-2</v>
      </c>
      <c r="DY65" s="2668">
        <f>'OPERATING LEASES'!BZ26/'Bloom Cleaner Data'!HJ26</f>
        <v>8.6067024726153393E-2</v>
      </c>
      <c r="DZ65" s="2668"/>
      <c r="EA65" s="2668">
        <f t="shared" si="253"/>
        <v>0.11876794126242525</v>
      </c>
      <c r="EB65" s="2668"/>
      <c r="EC65" s="2668"/>
      <c r="ED65" s="2668">
        <f t="shared" si="254"/>
        <v>8.8537103296270986E-2</v>
      </c>
      <c r="EE65" s="224"/>
      <c r="EF65" s="21"/>
      <c r="EG65" s="21"/>
      <c r="EH65" s="21"/>
      <c r="EI65" s="21"/>
      <c r="EJ65" s="21"/>
      <c r="EK65" s="21"/>
      <c r="EL65" s="21"/>
      <c r="EM65" s="224"/>
      <c r="EN65" s="224"/>
      <c r="EO65" s="224"/>
      <c r="EP65" s="224"/>
      <c r="EQ65" s="224"/>
      <c r="ER65" s="224"/>
      <c r="ES65" s="224"/>
      <c r="ET65" s="224"/>
      <c r="EU65" s="224"/>
      <c r="EV65" s="224"/>
      <c r="EW65" s="224"/>
      <c r="EX65" s="224"/>
      <c r="EY65" s="224"/>
      <c r="EZ65" s="224"/>
      <c r="FA65" s="224"/>
      <c r="FB65" s="224"/>
      <c r="FC65" s="224"/>
      <c r="FD65" s="224"/>
      <c r="FE65" s="224"/>
      <c r="FF65" s="224"/>
      <c r="FG65" s="174"/>
      <c r="FH65" s="908">
        <f>FH26-EN26</f>
        <v>-9.0977709966454157E-2</v>
      </c>
      <c r="FI65" s="908">
        <f t="shared" ref="FI65:FV65" si="314">FI26-EO26</f>
        <v>5.4668174563792249E-2</v>
      </c>
      <c r="FJ65" s="908">
        <f t="shared" si="314"/>
        <v>0.1608584537752149</v>
      </c>
      <c r="FK65" s="908">
        <f t="shared" si="314"/>
        <v>0.18681572099879862</v>
      </c>
      <c r="FL65" s="908">
        <f t="shared" si="314"/>
        <v>0.2320067699231716</v>
      </c>
      <c r="FM65" s="908">
        <f t="shared" si="314"/>
        <v>0.19535135206949406</v>
      </c>
      <c r="FN65" s="908">
        <f t="shared" si="314"/>
        <v>0.20470647744265413</v>
      </c>
      <c r="FO65" s="908">
        <f t="shared" si="314"/>
        <v>0.3020177264441255</v>
      </c>
      <c r="FP65" s="908">
        <f t="shared" si="314"/>
        <v>0.28989429142421219</v>
      </c>
      <c r="FQ65" s="908">
        <f t="shared" si="314"/>
        <v>0.24937507170169848</v>
      </c>
      <c r="FR65" s="908">
        <f t="shared" si="314"/>
        <v>0.22289514537567712</v>
      </c>
      <c r="FS65" s="908">
        <f t="shared" si="314"/>
        <v>0.20975389436962821</v>
      </c>
      <c r="FT65" s="908">
        <f t="shared" si="314"/>
        <v>0.17312520658047914</v>
      </c>
      <c r="FU65" s="908">
        <f t="shared" si="314"/>
        <v>0.14691576910356874</v>
      </c>
      <c r="FV65" s="908">
        <f t="shared" si="314"/>
        <v>0.15840691797725848</v>
      </c>
      <c r="FW65" s="908"/>
      <c r="FX65" s="224"/>
      <c r="FY65" s="224"/>
      <c r="FZ65" s="224"/>
      <c r="GA65" s="224"/>
      <c r="GB65" s="224"/>
      <c r="GC65" s="224"/>
      <c r="GD65" s="224"/>
      <c r="GE65" s="224"/>
      <c r="GF65" s="224"/>
      <c r="GG65" s="224"/>
      <c r="GH65" s="224"/>
      <c r="GI65" s="224"/>
      <c r="GJ65" s="224"/>
      <c r="GK65" s="224"/>
      <c r="GL65" s="224"/>
      <c r="GM65" s="224"/>
      <c r="GN65" s="224"/>
      <c r="GO65" s="224"/>
      <c r="GP65" s="224"/>
      <c r="GQ65" s="224"/>
      <c r="GR65" s="224"/>
      <c r="GS65" s="224"/>
      <c r="GT65" s="224"/>
      <c r="GU65" s="224"/>
      <c r="GV65" s="224"/>
      <c r="GW65" s="224"/>
      <c r="GX65" s="224"/>
      <c r="GY65" s="224"/>
      <c r="GZ65" s="224"/>
      <c r="HA65" s="224"/>
      <c r="HB65" s="224"/>
      <c r="HC65" s="224"/>
      <c r="HD65" s="224"/>
      <c r="HE65" s="224"/>
      <c r="HF65" s="224"/>
      <c r="HG65" s="224"/>
      <c r="HH65" s="224"/>
      <c r="HI65" s="224"/>
      <c r="HJ65" s="224"/>
      <c r="HK65" s="224"/>
      <c r="HL65" s="224"/>
      <c r="HM65" s="224"/>
      <c r="HN65" s="224"/>
      <c r="HO65" s="224"/>
      <c r="HP65" s="224"/>
      <c r="HQ65" s="224"/>
      <c r="HR65" s="224"/>
      <c r="HS65" s="224"/>
      <c r="HT65" s="224"/>
      <c r="HU65" s="224"/>
      <c r="HV65" s="224"/>
      <c r="HW65" s="224"/>
      <c r="HX65" s="224"/>
      <c r="HY65" s="224"/>
      <c r="HZ65" s="224"/>
      <c r="IA65" s="224"/>
      <c r="IB65" s="224"/>
      <c r="IC65" s="224"/>
      <c r="ID65" s="224"/>
      <c r="IE65" s="224"/>
      <c r="IF65" s="224"/>
      <c r="IG65" s="224"/>
      <c r="IH65" s="224"/>
      <c r="II65" s="224"/>
      <c r="IJ65" s="224"/>
      <c r="IK65" s="2124">
        <f t="shared" si="255"/>
        <v>0.39366550457914007</v>
      </c>
      <c r="IL65" s="2124">
        <f t="shared" si="295"/>
        <v>0.42342148591495099</v>
      </c>
      <c r="IM65" s="2124">
        <f t="shared" si="296"/>
        <v>0.45968728767703676</v>
      </c>
      <c r="IN65" s="2124">
        <f t="shared" si="297"/>
        <v>0.46655081840303986</v>
      </c>
      <c r="IO65" s="2124">
        <f t="shared" si="298"/>
        <v>0.48681364376648956</v>
      </c>
      <c r="IP65" s="2124">
        <f t="shared" si="299"/>
        <v>0.46507507193838304</v>
      </c>
      <c r="IQ65" s="2124">
        <f t="shared" si="300"/>
        <v>0.45829764873845052</v>
      </c>
      <c r="IR65" s="2124">
        <f t="shared" si="301"/>
        <v>0.50345733757684008</v>
      </c>
      <c r="IS65" s="2124">
        <f t="shared" si="302"/>
        <v>0.49667140647969393</v>
      </c>
      <c r="IT65" s="2124">
        <f t="shared" si="303"/>
        <v>0.52364565382593475</v>
      </c>
      <c r="IU65" s="2124">
        <f t="shared" si="304"/>
        <v>0.50819822701553052</v>
      </c>
      <c r="IV65" s="2124">
        <f t="shared" si="305"/>
        <v>0.48061963670049579</v>
      </c>
      <c r="IW65" s="2124">
        <f t="shared" si="306"/>
        <v>0.46528956625070156</v>
      </c>
      <c r="IX65" s="2124">
        <f t="shared" si="307"/>
        <v>0.44001735291701949</v>
      </c>
      <c r="IY65" s="2124">
        <f t="shared" si="308"/>
        <v>0.46507375880431212</v>
      </c>
      <c r="IZ65" s="224"/>
      <c r="JA65" s="2124">
        <f t="shared" si="270"/>
        <v>0.47841518539184064</v>
      </c>
      <c r="JB65" s="224"/>
      <c r="JC65" s="224"/>
      <c r="JD65" s="224"/>
      <c r="JE65" s="224"/>
      <c r="JF65" s="224"/>
      <c r="JG65" s="224"/>
      <c r="JH65" s="224"/>
      <c r="JI65" s="224"/>
      <c r="JJ65" s="224"/>
      <c r="JK65" s="224"/>
      <c r="JL65" s="224"/>
      <c r="JM65" s="224"/>
      <c r="JN65" s="224"/>
      <c r="JO65" s="224"/>
      <c r="JP65" s="224"/>
      <c r="JQ65" s="224"/>
      <c r="JR65" s="224"/>
      <c r="JS65" s="224"/>
      <c r="JT65" s="224"/>
      <c r="JU65" s="224"/>
      <c r="JV65" s="224"/>
      <c r="JW65" s="224"/>
      <c r="JX65" s="224"/>
      <c r="JY65" s="224"/>
      <c r="JZ65" s="224"/>
      <c r="KA65" s="224"/>
      <c r="KB65" s="224"/>
      <c r="KC65" s="224"/>
      <c r="KD65" s="224"/>
      <c r="KE65" s="224"/>
      <c r="KF65" s="224"/>
      <c r="KG65" s="224"/>
      <c r="KH65" s="224"/>
      <c r="KI65" s="224"/>
      <c r="KJ65" s="224"/>
      <c r="KK65" s="224"/>
      <c r="KL65" s="224"/>
      <c r="KM65" s="224"/>
      <c r="KN65" s="224"/>
      <c r="KO65" s="224"/>
      <c r="KP65" s="224"/>
      <c r="KQ65" s="224"/>
      <c r="KR65" s="224"/>
      <c r="KS65" s="224"/>
      <c r="KT65" s="224"/>
      <c r="KU65" s="224"/>
      <c r="KV65" s="224"/>
      <c r="KW65" s="224"/>
      <c r="KX65" s="224"/>
      <c r="KY65" s="224"/>
      <c r="KZ65" s="224"/>
      <c r="LA65" s="224"/>
      <c r="LB65" s="224"/>
      <c r="LC65" s="224"/>
      <c r="LD65" s="224"/>
      <c r="LE65" s="224"/>
      <c r="LF65" s="224"/>
      <c r="LG65" s="224"/>
      <c r="LH65" s="224"/>
      <c r="LI65" s="224"/>
      <c r="LJ65" s="224"/>
      <c r="LK65" s="224"/>
      <c r="LL65" s="224"/>
      <c r="LM65" s="224"/>
      <c r="LN65" s="224"/>
      <c r="LO65" s="224"/>
      <c r="LP65" s="224"/>
      <c r="LQ65" s="224"/>
      <c r="LR65" s="224"/>
      <c r="LS65" s="224"/>
      <c r="LT65" s="224"/>
      <c r="LU65" s="224"/>
      <c r="LV65" s="224"/>
      <c r="LW65" s="224"/>
      <c r="LX65" s="224"/>
      <c r="LY65" s="224"/>
      <c r="LZ65" s="224"/>
      <c r="MA65" s="224"/>
      <c r="MB65" s="224"/>
      <c r="MC65" s="224"/>
      <c r="MD65" s="224"/>
      <c r="ME65" s="224"/>
      <c r="MF65" s="224"/>
      <c r="MG65" s="224"/>
      <c r="MH65" s="224"/>
      <c r="MI65" s="224"/>
      <c r="MJ65" s="224"/>
      <c r="MK65" s="224"/>
      <c r="ML65" s="224"/>
      <c r="MM65" s="224"/>
      <c r="MN65" s="224"/>
      <c r="MO65" s="224"/>
      <c r="MP65" s="224"/>
      <c r="MQ65" s="224"/>
      <c r="MR65" s="224"/>
      <c r="MS65" s="224"/>
      <c r="MT65" s="224"/>
      <c r="MU65" s="224"/>
      <c r="MV65" s="224"/>
      <c r="MW65" s="224"/>
      <c r="MX65" s="224"/>
      <c r="MY65" s="224"/>
      <c r="MZ65" s="224"/>
      <c r="NA65" s="224"/>
      <c r="NB65" s="224"/>
      <c r="NC65" s="224"/>
      <c r="ND65" s="224"/>
      <c r="NE65" s="224"/>
      <c r="NF65" s="224"/>
      <c r="NG65" s="224"/>
      <c r="NH65" s="224"/>
      <c r="NI65" s="224"/>
      <c r="NJ65" s="224"/>
      <c r="NK65" s="224"/>
      <c r="NL65" s="2826">
        <f t="shared" si="250"/>
        <v>0.2</v>
      </c>
      <c r="NM65" s="11" t="s">
        <v>353</v>
      </c>
      <c r="NN65" s="166">
        <f t="shared" si="271"/>
        <v>2.7930094739411575</v>
      </c>
      <c r="NO65" s="166">
        <f t="shared" ref="NO65:OB65" si="315">NO26+0.2</f>
        <v>2.631693131311597</v>
      </c>
      <c r="NP65" s="166">
        <f t="shared" si="315"/>
        <v>2.5731879581773129</v>
      </c>
      <c r="NQ65" s="166">
        <f t="shared" si="315"/>
        <v>2.6156810437788787</v>
      </c>
      <c r="NR65" s="166">
        <f t="shared" si="315"/>
        <v>2.5563845743262901</v>
      </c>
      <c r="NS65" s="166">
        <f t="shared" si="315"/>
        <v>2.6748349184465661</v>
      </c>
      <c r="NT65" s="166">
        <f t="shared" si="315"/>
        <v>2.6882205672309096</v>
      </c>
      <c r="NU65" s="166">
        <f t="shared" si="315"/>
        <v>2.6808228202666102</v>
      </c>
      <c r="NV65" s="166">
        <f t="shared" si="315"/>
        <v>2.4960555043102537</v>
      </c>
      <c r="NW65" s="166">
        <f t="shared" si="315"/>
        <v>2.3391924304519285</v>
      </c>
      <c r="NX65" s="166">
        <f t="shared" si="315"/>
        <v>2.335636367730122</v>
      </c>
      <c r="NY65" s="166">
        <f t="shared" si="315"/>
        <v>2.045768028220647</v>
      </c>
      <c r="NZ65" s="166">
        <f t="shared" si="315"/>
        <v>2.1789058815746305</v>
      </c>
      <c r="OA65" s="166">
        <f t="shared" si="315"/>
        <v>2.0996583081835922</v>
      </c>
      <c r="OB65" s="166">
        <f t="shared" si="315"/>
        <v>2.0854531506487364</v>
      </c>
      <c r="OC65" s="166"/>
      <c r="OD65" s="11"/>
      <c r="OE65" s="166">
        <f t="shared" si="273"/>
        <v>2.1213391134689861</v>
      </c>
      <c r="OF65" s="11"/>
      <c r="OG65" s="166">
        <f t="shared" si="274"/>
        <v>2.1024463421569015</v>
      </c>
      <c r="OH65" s="166">
        <f t="shared" si="252"/>
        <v>2.4130616579497293</v>
      </c>
      <c r="OI65" s="224"/>
      <c r="OJ65" s="224"/>
      <c r="OK65" s="224"/>
      <c r="OL65" s="224"/>
      <c r="OM65" s="224"/>
      <c r="ON65" s="224"/>
      <c r="OO65" s="224"/>
      <c r="OP65" s="224"/>
      <c r="OQ65" s="224"/>
      <c r="OR65" s="224"/>
      <c r="OS65" s="224"/>
      <c r="OT65" s="224"/>
      <c r="OU65" s="224"/>
      <c r="OV65" s="224"/>
      <c r="OW65" s="224"/>
      <c r="OX65" s="224"/>
      <c r="OY65" s="224"/>
      <c r="OZ65" s="224"/>
      <c r="PA65" s="224"/>
      <c r="PB65" s="224"/>
      <c r="PC65" s="224"/>
      <c r="PD65" s="224"/>
      <c r="PE65" s="224"/>
      <c r="PF65" s="224"/>
      <c r="PG65" s="224"/>
      <c r="PH65" s="224"/>
      <c r="PI65" s="224"/>
      <c r="PJ65" s="224"/>
      <c r="PK65" s="224"/>
      <c r="PL65" s="224"/>
      <c r="PM65" s="224"/>
      <c r="PN65" s="224"/>
      <c r="PO65" s="224"/>
      <c r="PP65" s="224"/>
      <c r="PQ65" s="224"/>
      <c r="PR65" s="224"/>
      <c r="PS65" s="224"/>
      <c r="PT65" s="224"/>
      <c r="PU65" s="224"/>
      <c r="PV65" s="224"/>
      <c r="PW65" s="224"/>
      <c r="PX65" s="166">
        <f>PX26-'Bloom Cleaner Data'!FO26</f>
        <v>-4.4297045254337863E-4</v>
      </c>
      <c r="PY65" s="166">
        <f>PY26-'Bloom Cleaner Data'!FP26</f>
        <v>-2.7206585236327907E-4</v>
      </c>
      <c r="PZ65" s="166">
        <f>PZ26-'Bloom Cleaner Data'!FQ26</f>
        <v>-2.4682747771365143E-4</v>
      </c>
      <c r="QA65" s="127">
        <f>QA26-'Bloom Cleaner Data'!FR26</f>
        <v>-2.5954246603754005E-2</v>
      </c>
      <c r="QB65" s="166">
        <f>QB26-'Bloom Cleaner Data'!FS26</f>
        <v>-3.331590194123879E-4</v>
      </c>
      <c r="QC65" s="166">
        <f>QC26-'Bloom Cleaner Data'!FT26</f>
        <v>-2.9140859140852626E-4</v>
      </c>
      <c r="QD65" s="166">
        <f>QD26-'Bloom Cleaner Data'!FU26</f>
        <v>-2.0618179789355651E-4</v>
      </c>
      <c r="QE65" s="166">
        <f>QE26-'Bloom Cleaner Data'!FV26</f>
        <v>-1.5890464933021597E-4</v>
      </c>
      <c r="QF65" s="166"/>
      <c r="QG65" s="166"/>
      <c r="QH65" s="166"/>
      <c r="QI65" s="166"/>
      <c r="QJ65" s="166">
        <f>QJ26-'Bloom Cleaner Data'!GA26</f>
        <v>-1.7824717076403429E-4</v>
      </c>
      <c r="QK65" s="166"/>
      <c r="QL65" s="166"/>
      <c r="QM65" s="166"/>
      <c r="QN65" s="7"/>
      <c r="QO65" s="7"/>
      <c r="QP65" s="7"/>
      <c r="QQ65" s="7"/>
      <c r="QR65" s="7"/>
      <c r="QS65" s="7"/>
      <c r="QT65" s="7"/>
      <c r="QU65" s="7"/>
      <c r="QV65" s="7"/>
      <c r="QW65" s="7"/>
      <c r="QX65" s="7"/>
      <c r="QY65" s="7"/>
      <c r="QZ65" s="7"/>
      <c r="RA65" s="7"/>
      <c r="RB65" s="7"/>
      <c r="RC65" s="7"/>
      <c r="RD65" s="7"/>
      <c r="RE65" s="7"/>
      <c r="RF65" s="7"/>
      <c r="RG65" s="7"/>
      <c r="RH65" s="7"/>
      <c r="RI65" s="7"/>
      <c r="RJ65" s="7"/>
      <c r="RK65" s="7"/>
      <c r="RL65" s="7"/>
      <c r="RM65" s="7"/>
      <c r="RN65" s="7"/>
      <c r="RO65" s="7"/>
      <c r="RP65" s="7"/>
      <c r="RQ65" s="7"/>
      <c r="RR65" s="7"/>
      <c r="RS65" s="7"/>
      <c r="RT65" s="7"/>
      <c r="RU65" s="7"/>
      <c r="RV65" s="7"/>
      <c r="RW65" s="7"/>
      <c r="RX65" s="7"/>
      <c r="RY65" s="7"/>
      <c r="RZ65" s="7"/>
      <c r="SA65" s="7"/>
      <c r="SB65" s="7"/>
      <c r="SC65" s="7"/>
      <c r="SD65" s="7"/>
      <c r="SE65" s="7"/>
      <c r="SF65" s="7"/>
      <c r="SG65" s="7"/>
      <c r="SH65" s="7"/>
      <c r="SI65" s="7"/>
      <c r="SJ65" s="7"/>
      <c r="SK65" s="7"/>
      <c r="SL65" s="7"/>
      <c r="SM65" s="7"/>
      <c r="SN65" s="7"/>
      <c r="SO65" s="7"/>
      <c r="SP65" s="7"/>
      <c r="SQ65" s="7"/>
      <c r="SR65" s="7"/>
      <c r="SS65" s="7"/>
      <c r="ST65" s="7"/>
      <c r="SU65" s="7"/>
      <c r="SV65" s="7"/>
    </row>
    <row r="66" spans="1:516">
      <c r="A66" s="7"/>
      <c r="B66" s="11"/>
      <c r="C66" s="2210" t="s">
        <v>354</v>
      </c>
      <c r="D66" s="1132"/>
      <c r="E66" s="224"/>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c r="CC66" s="224"/>
      <c r="CD66" s="224"/>
      <c r="CE66" s="224"/>
      <c r="CF66" s="224"/>
      <c r="CG66" s="224"/>
      <c r="CH66" s="224"/>
      <c r="CI66" s="224"/>
      <c r="CJ66" s="224"/>
      <c r="CK66" s="224"/>
      <c r="CL66" s="224"/>
      <c r="CM66" s="224"/>
      <c r="CN66" s="224"/>
      <c r="CO66" s="224"/>
      <c r="CP66" s="224"/>
      <c r="CQ66" s="224"/>
      <c r="CR66" s="224"/>
      <c r="CS66" s="224"/>
      <c r="CT66" s="224"/>
      <c r="CU66" s="224"/>
      <c r="CV66" s="224"/>
      <c r="CW66" s="224"/>
      <c r="CX66" s="224"/>
      <c r="CY66" s="224"/>
      <c r="CZ66" s="224"/>
      <c r="DA66" s="224"/>
      <c r="DB66" s="224"/>
      <c r="DC66" s="224"/>
      <c r="DD66" s="224"/>
      <c r="DE66" s="224"/>
      <c r="DF66" s="224"/>
      <c r="DG66" s="224"/>
      <c r="DH66" s="224"/>
      <c r="DI66" s="224"/>
      <c r="DJ66" s="224"/>
      <c r="DK66" s="2668">
        <f>'OPERATING LEASES'!BL27/'Bloom Cleaner Data'!GV27</f>
        <v>3.0652071650549593E-2</v>
      </c>
      <c r="DL66" s="2668">
        <f>'OPERATING LEASES'!BM27/'Bloom Cleaner Data'!GW27</f>
        <v>3.1002430340253267E-2</v>
      </c>
      <c r="DM66" s="2668">
        <f>'OPERATING LEASES'!BN27/'Bloom Cleaner Data'!GX27</f>
        <v>3.1038214516881782E-2</v>
      </c>
      <c r="DN66" s="2668">
        <f>'OPERATING LEASES'!BO27/'Bloom Cleaner Data'!GY27</f>
        <v>3.1453139205520862E-2</v>
      </c>
      <c r="DO66" s="2668">
        <f>'OPERATING LEASES'!BP27/'Bloom Cleaner Data'!GZ27</f>
        <v>2.8996602965508888E-2</v>
      </c>
      <c r="DP66" s="2668">
        <f>'OPERATING LEASES'!BQ27/'Bloom Cleaner Data'!HA27</f>
        <v>3.2607706936010811E-2</v>
      </c>
      <c r="DQ66" s="2668">
        <f>'OPERATING LEASES'!BR27/'Bloom Cleaner Data'!HB27</f>
        <v>3.7053365503144073E-2</v>
      </c>
      <c r="DR66" s="2668">
        <f>'OPERATING LEASES'!BS27/'Bloom Cleaner Data'!HC27</f>
        <v>4.0445967164423481E-2</v>
      </c>
      <c r="DS66" s="2668">
        <f>'OPERATING LEASES'!BT27/'Bloom Cleaner Data'!HD27</f>
        <v>5.2960913572806315E-2</v>
      </c>
      <c r="DT66" s="2668">
        <f>'OPERATING LEASES'!BU27/'Bloom Cleaner Data'!HE27</f>
        <v>5.8877463739435539E-2</v>
      </c>
      <c r="DU66" s="2668">
        <f>'OPERATING LEASES'!BV27/'Bloom Cleaner Data'!HF27</f>
        <v>6.4645464790896931E-2</v>
      </c>
      <c r="DV66" s="2668">
        <f>'OPERATING LEASES'!BW27/'Bloom Cleaner Data'!HG27</f>
        <v>7.1503129966067988E-2</v>
      </c>
      <c r="DW66" s="2668">
        <f>'OPERATING LEASES'!BX27/'Bloom Cleaner Data'!HH27</f>
        <v>7.7248390771343003E-2</v>
      </c>
      <c r="DX66" s="2668">
        <f>'OPERATING LEASES'!BY27/'Bloom Cleaner Data'!HI27</f>
        <v>7.9178643368730345E-2</v>
      </c>
      <c r="DY66" s="2668">
        <f>'OPERATING LEASES'!BZ27/'Bloom Cleaner Data'!HJ27</f>
        <v>7.107789662666647E-2</v>
      </c>
      <c r="DZ66" s="2668"/>
      <c r="EA66" s="2668">
        <f t="shared" si="253"/>
        <v>5.2083607625187427E-2</v>
      </c>
      <c r="EB66" s="2668"/>
      <c r="EC66" s="2668"/>
      <c r="ED66" s="2668">
        <f t="shared" si="254"/>
        <v>7.2730705104740945E-2</v>
      </c>
      <c r="EE66" s="224"/>
      <c r="EF66" s="21"/>
      <c r="EG66" s="21"/>
      <c r="EH66" s="21"/>
      <c r="EI66" s="21"/>
      <c r="EJ66" s="21"/>
      <c r="EK66" s="21"/>
      <c r="EL66" s="21"/>
      <c r="EM66" s="224"/>
      <c r="EN66" s="224"/>
      <c r="EO66" s="224"/>
      <c r="EP66" s="224"/>
      <c r="EQ66" s="224"/>
      <c r="ER66" s="224"/>
      <c r="ES66" s="224"/>
      <c r="ET66" s="224"/>
      <c r="EU66" s="224"/>
      <c r="EV66" s="224"/>
      <c r="EW66" s="224"/>
      <c r="EX66" s="224"/>
      <c r="EY66" s="224"/>
      <c r="EZ66" s="224"/>
      <c r="FA66" s="224"/>
      <c r="FB66" s="224"/>
      <c r="FC66" s="224"/>
      <c r="FD66" s="224"/>
      <c r="FE66" s="224"/>
      <c r="FF66" s="224"/>
      <c r="FG66" s="174"/>
      <c r="FH66" s="224"/>
      <c r="FI66" s="224"/>
      <c r="FJ66" s="224"/>
      <c r="FK66" s="224"/>
      <c r="FL66" s="224"/>
      <c r="FM66" s="224"/>
      <c r="FN66" s="224"/>
      <c r="FO66" s="224"/>
      <c r="FP66" s="224"/>
      <c r="FQ66" s="224"/>
      <c r="FR66" s="224"/>
      <c r="FS66" s="224"/>
      <c r="FT66" s="224"/>
      <c r="FU66" s="224"/>
      <c r="FV66" s="224"/>
      <c r="FW66" s="224"/>
      <c r="FX66" s="224"/>
      <c r="FY66" s="224"/>
      <c r="FZ66" s="224"/>
      <c r="GA66" s="224"/>
      <c r="GB66" s="224"/>
      <c r="GC66" s="224"/>
      <c r="GD66" s="224"/>
      <c r="GE66" s="224"/>
      <c r="GF66" s="224"/>
      <c r="GG66" s="224"/>
      <c r="GH66" s="224"/>
      <c r="GI66" s="224"/>
      <c r="GJ66" s="224"/>
      <c r="GK66" s="224"/>
      <c r="GL66" s="224"/>
      <c r="GM66" s="224"/>
      <c r="GN66" s="224"/>
      <c r="GO66" s="224"/>
      <c r="GP66" s="224"/>
      <c r="GQ66" s="224"/>
      <c r="GR66" s="224"/>
      <c r="GS66" s="224"/>
      <c r="GT66" s="224"/>
      <c r="GU66" s="224"/>
      <c r="GV66" s="224"/>
      <c r="GW66" s="224"/>
      <c r="GX66" s="224"/>
      <c r="GY66" s="224"/>
      <c r="GZ66" s="224"/>
      <c r="HA66" s="224"/>
      <c r="HB66" s="224"/>
      <c r="HC66" s="224"/>
      <c r="HD66" s="224"/>
      <c r="HE66" s="224"/>
      <c r="HF66" s="224"/>
      <c r="HG66" s="224"/>
      <c r="HH66" s="224"/>
      <c r="HI66" s="224"/>
      <c r="HJ66" s="224"/>
      <c r="HK66" s="224"/>
      <c r="HL66" s="224"/>
      <c r="HM66" s="224"/>
      <c r="HN66" s="224"/>
      <c r="HO66" s="224"/>
      <c r="HP66" s="224"/>
      <c r="HQ66" s="224"/>
      <c r="HR66" s="224"/>
      <c r="HS66" s="224"/>
      <c r="HT66" s="224"/>
      <c r="HU66" s="224"/>
      <c r="HV66" s="224"/>
      <c r="HW66" s="224"/>
      <c r="HX66" s="224"/>
      <c r="HY66" s="224"/>
      <c r="HZ66" s="224"/>
      <c r="IA66" s="224"/>
      <c r="IB66" s="224"/>
      <c r="IC66" s="224"/>
      <c r="ID66" s="224"/>
      <c r="IE66" s="224"/>
      <c r="IF66" s="224"/>
      <c r="IG66" s="224"/>
      <c r="IH66" s="224"/>
      <c r="II66" s="224"/>
      <c r="IJ66" s="224"/>
      <c r="IK66" s="144">
        <f t="shared" si="255"/>
        <v>0.42997221083871201</v>
      </c>
      <c r="IL66" s="144">
        <f t="shared" si="295"/>
        <v>0.45281886800186638</v>
      </c>
      <c r="IM66" s="144">
        <f t="shared" si="296"/>
        <v>0.48837785245523885</v>
      </c>
      <c r="IN66" s="144">
        <f t="shared" si="297"/>
        <v>0.32068204478749368</v>
      </c>
      <c r="IO66" s="144">
        <f t="shared" si="298"/>
        <v>0.50618916176036455</v>
      </c>
      <c r="IP66" s="144">
        <f t="shared" si="299"/>
        <v>0.50438508797734638</v>
      </c>
      <c r="IQ66" s="144">
        <f t="shared" si="300"/>
        <v>0.52733427511662723</v>
      </c>
      <c r="IR66" s="144">
        <f t="shared" si="301"/>
        <v>0.53764177825502679</v>
      </c>
      <c r="IS66" s="144">
        <f t="shared" si="302"/>
        <v>0.53934899870094088</v>
      </c>
      <c r="IT66" s="144">
        <f t="shared" si="303"/>
        <v>0.49743899065188774</v>
      </c>
      <c r="IU66" s="144">
        <f t="shared" si="304"/>
        <v>0.50982229417251801</v>
      </c>
      <c r="IV66" s="144">
        <f t="shared" si="305"/>
        <v>0.46872714503922225</v>
      </c>
      <c r="IW66" s="144">
        <f t="shared" si="306"/>
        <v>0.41864104210174313</v>
      </c>
      <c r="IX66" s="144">
        <f t="shared" si="307"/>
        <v>0.47290971472258075</v>
      </c>
      <c r="IY66" s="144">
        <f t="shared" si="308"/>
        <v>0.40051001362688471</v>
      </c>
      <c r="IZ66" s="224"/>
      <c r="JA66" s="144">
        <f t="shared" si="270"/>
        <v>0.47630833841291353</v>
      </c>
      <c r="JB66" s="224"/>
      <c r="JC66" s="224"/>
      <c r="JD66" s="224"/>
      <c r="JE66" s="224"/>
      <c r="JF66" s="224"/>
      <c r="JG66" s="224"/>
      <c r="JH66" s="224"/>
      <c r="JI66" s="224"/>
      <c r="JJ66" s="224"/>
      <c r="JK66" s="224"/>
      <c r="JL66" s="224"/>
      <c r="JM66" s="224"/>
      <c r="JN66" s="224"/>
      <c r="JO66" s="224"/>
      <c r="JP66" s="224"/>
      <c r="JQ66" s="224"/>
      <c r="JR66" s="224"/>
      <c r="JS66" s="224"/>
      <c r="JT66" s="224"/>
      <c r="JU66" s="224"/>
      <c r="JV66" s="224"/>
      <c r="JW66" s="224"/>
      <c r="JX66" s="224"/>
      <c r="JY66" s="224"/>
      <c r="JZ66" s="224"/>
      <c r="KA66" s="224"/>
      <c r="KB66" s="224"/>
      <c r="KC66" s="224"/>
      <c r="KD66" s="224"/>
      <c r="KE66" s="224"/>
      <c r="KF66" s="224"/>
      <c r="KG66" s="224"/>
      <c r="KH66" s="224"/>
      <c r="KI66" s="224"/>
      <c r="KJ66" s="224"/>
      <c r="KK66" s="224"/>
      <c r="KL66" s="224"/>
      <c r="KM66" s="224"/>
      <c r="KN66" s="224"/>
      <c r="KO66" s="224"/>
      <c r="KP66" s="224"/>
      <c r="KQ66" s="224"/>
      <c r="KR66" s="224"/>
      <c r="KS66" s="224"/>
      <c r="KT66" s="224"/>
      <c r="KU66" s="224"/>
      <c r="KV66" s="224"/>
      <c r="KW66" s="224"/>
      <c r="KX66" s="224"/>
      <c r="KY66" s="224"/>
      <c r="KZ66" s="224"/>
      <c r="LA66" s="224"/>
      <c r="LB66" s="224"/>
      <c r="LC66" s="224"/>
      <c r="LD66" s="224"/>
      <c r="LE66" s="224"/>
      <c r="LF66" s="224"/>
      <c r="LG66" s="224"/>
      <c r="LH66" s="224"/>
      <c r="LI66" s="224"/>
      <c r="LJ66" s="224"/>
      <c r="LK66" s="224"/>
      <c r="LL66" s="224"/>
      <c r="LM66" s="224"/>
      <c r="LN66" s="224"/>
      <c r="LO66" s="224"/>
      <c r="LP66" s="224"/>
      <c r="LQ66" s="224"/>
      <c r="LR66" s="224"/>
      <c r="LS66" s="224"/>
      <c r="LT66" s="224"/>
      <c r="LU66" s="224"/>
      <c r="LV66" s="224"/>
      <c r="LW66" s="224"/>
      <c r="LX66" s="224"/>
      <c r="LY66" s="224"/>
      <c r="LZ66" s="224"/>
      <c r="MA66" s="224"/>
      <c r="MB66" s="224"/>
      <c r="MC66" s="224"/>
      <c r="MD66" s="224"/>
      <c r="ME66" s="224"/>
      <c r="MF66" s="224"/>
      <c r="MG66" s="224"/>
      <c r="MH66" s="224"/>
      <c r="MI66" s="224"/>
      <c r="MJ66" s="224"/>
      <c r="MK66" s="224"/>
      <c r="ML66" s="224"/>
      <c r="MM66" s="224"/>
      <c r="MN66" s="224"/>
      <c r="MO66" s="224"/>
      <c r="MP66" s="224"/>
      <c r="MQ66" s="224"/>
      <c r="MR66" s="224"/>
      <c r="MS66" s="224"/>
      <c r="MT66" s="224"/>
      <c r="MU66" s="224"/>
      <c r="MV66" s="224"/>
      <c r="MW66" s="224"/>
      <c r="MX66" s="224"/>
      <c r="MY66" s="224"/>
      <c r="MZ66" s="224"/>
      <c r="NA66" s="224"/>
      <c r="NB66" s="224"/>
      <c r="NC66" s="224"/>
      <c r="ND66" s="224"/>
      <c r="NE66" s="224"/>
      <c r="NF66" s="224"/>
      <c r="NG66" s="224"/>
      <c r="NH66" s="224"/>
      <c r="NI66" s="224"/>
      <c r="NJ66" s="224"/>
      <c r="NK66" s="224"/>
      <c r="NL66" s="2826">
        <f t="shared" si="250"/>
        <v>0.2</v>
      </c>
      <c r="NM66" s="1032" t="s">
        <v>354</v>
      </c>
      <c r="NN66" s="2075">
        <f t="shared" si="271"/>
        <v>2.5923068487287102</v>
      </c>
      <c r="NO66" s="2075">
        <f t="shared" ref="NO66:OB66" si="316">NO27+0.2</f>
        <v>2.6147966908749178</v>
      </c>
      <c r="NP66" s="2075">
        <f t="shared" si="316"/>
        <v>2.5434736362388568</v>
      </c>
      <c r="NQ66" s="2075">
        <f t="shared" si="316"/>
        <v>1.368879497141916</v>
      </c>
      <c r="NR66" s="2075">
        <f t="shared" si="316"/>
        <v>2.3156987271911351</v>
      </c>
      <c r="NS66" s="2075">
        <f t="shared" si="316"/>
        <v>2.1192410155025438</v>
      </c>
      <c r="NT66" s="2075">
        <f t="shared" si="316"/>
        <v>2.0915719133319532</v>
      </c>
      <c r="NU66" s="2075">
        <f t="shared" si="316"/>
        <v>1.9066378013473766</v>
      </c>
      <c r="NV66" s="2075">
        <f t="shared" si="316"/>
        <v>2.2496927754913392</v>
      </c>
      <c r="NW66" s="2075">
        <f t="shared" si="316"/>
        <v>1.9933572566160331</v>
      </c>
      <c r="NX66" s="2075">
        <f t="shared" si="316"/>
        <v>1.981933875983465</v>
      </c>
      <c r="NY66" s="2075">
        <f t="shared" si="316"/>
        <v>2.0679965483712532</v>
      </c>
      <c r="NZ66" s="2075">
        <f t="shared" si="316"/>
        <v>2.1278647771673325</v>
      </c>
      <c r="OA66" s="2075">
        <f t="shared" si="316"/>
        <v>2.3653559200384828</v>
      </c>
      <c r="OB66" s="2075">
        <f t="shared" si="316"/>
        <v>2.0407910060455046</v>
      </c>
      <c r="OC66" s="2075"/>
      <c r="OD66" s="224"/>
      <c r="OE66" s="2075">
        <f t="shared" si="273"/>
        <v>2.1780039010837733</v>
      </c>
      <c r="OF66" s="224"/>
      <c r="OG66" s="2075">
        <f t="shared" si="274"/>
        <v>2.1505020629056433</v>
      </c>
      <c r="OH66" s="2075">
        <f t="shared" si="252"/>
        <v>2.0901919038820918</v>
      </c>
      <c r="OI66" s="224"/>
      <c r="OJ66" s="224"/>
      <c r="OK66" s="224"/>
      <c r="OL66" s="224"/>
      <c r="OM66" s="224"/>
      <c r="ON66" s="224"/>
      <c r="OO66" s="224"/>
      <c r="OP66" s="224"/>
      <c r="OQ66" s="224"/>
      <c r="OR66" s="224"/>
      <c r="OS66" s="224"/>
      <c r="OT66" s="224"/>
      <c r="OU66" s="224"/>
      <c r="OV66" s="224"/>
      <c r="OW66" s="224"/>
      <c r="OX66" s="224"/>
      <c r="OY66" s="224"/>
      <c r="OZ66" s="224"/>
      <c r="PA66" s="224"/>
      <c r="PB66" s="224"/>
      <c r="PC66" s="224"/>
      <c r="PD66" s="224"/>
      <c r="PE66" s="224"/>
      <c r="PF66" s="224"/>
      <c r="PG66" s="224"/>
      <c r="PH66" s="224"/>
      <c r="PI66" s="224"/>
      <c r="PJ66" s="224"/>
      <c r="PK66" s="224"/>
      <c r="PL66" s="224"/>
      <c r="PM66" s="224"/>
      <c r="PN66" s="224"/>
      <c r="PO66" s="224"/>
      <c r="PP66" s="224"/>
      <c r="PQ66" s="224"/>
      <c r="PR66" s="224"/>
      <c r="PS66" s="224"/>
      <c r="PT66" s="224"/>
      <c r="PU66" s="224"/>
      <c r="PV66" s="224"/>
      <c r="PW66" s="224"/>
      <c r="PX66" s="166"/>
      <c r="PY66" s="166">
        <f>PY27-'Bloom Cleaner Data'!FP27</f>
        <v>-3.0281319093550252E-5</v>
      </c>
      <c r="PZ66" s="166">
        <f>PZ27-'Bloom Cleaner Data'!FQ27</f>
        <v>-4.7350999749840028E-5</v>
      </c>
      <c r="QA66" s="127">
        <f>QA27-'Bloom Cleaner Data'!FR27</f>
        <v>1.4737221519755428E-2</v>
      </c>
      <c r="QB66" s="166"/>
      <c r="QC66" s="166">
        <f>QC27-'Bloom Cleaner Data'!FT27</f>
        <v>2.5828244021308677E-7</v>
      </c>
      <c r="QD66" s="166">
        <f>QD27-'Bloom Cleaner Data'!FU27</f>
        <v>2.5418021505574373E-5</v>
      </c>
      <c r="QE66" s="166">
        <f>QE27-'Bloom Cleaner Data'!FV27</f>
        <v>2.600870954649892E-5</v>
      </c>
      <c r="QF66" s="166"/>
      <c r="QG66" s="166"/>
      <c r="QH66" s="166"/>
      <c r="QI66" s="166"/>
      <c r="QJ66" s="166"/>
      <c r="QK66" s="166"/>
      <c r="QL66" s="16"/>
      <c r="QM66" s="16"/>
      <c r="QN66" s="7"/>
      <c r="QO66" s="7"/>
      <c r="QP66" s="7"/>
      <c r="QQ66" s="7"/>
      <c r="QR66" s="7"/>
      <c r="QS66" s="7"/>
      <c r="QT66" s="7"/>
      <c r="QU66" s="7"/>
      <c r="QV66" s="7"/>
      <c r="QW66" s="7"/>
      <c r="QX66" s="7"/>
      <c r="QY66" s="7"/>
      <c r="QZ66" s="7"/>
      <c r="RA66" s="7"/>
      <c r="RB66" s="7"/>
      <c r="RC66" s="7"/>
      <c r="RD66" s="7"/>
      <c r="RE66" s="7"/>
      <c r="RF66" s="7"/>
      <c r="RG66" s="7"/>
      <c r="RH66" s="7"/>
      <c r="RI66" s="7"/>
      <c r="RJ66" s="7"/>
      <c r="RK66" s="7"/>
      <c r="RL66" s="7"/>
      <c r="RM66" s="7"/>
      <c r="RN66" s="7"/>
      <c r="RO66" s="7"/>
      <c r="RP66" s="7"/>
      <c r="RQ66" s="7"/>
      <c r="RR66" s="7"/>
      <c r="RS66" s="7"/>
      <c r="RT66" s="7"/>
      <c r="RU66" s="7"/>
      <c r="RV66" s="7"/>
      <c r="RW66" s="7"/>
      <c r="RX66" s="7"/>
      <c r="RY66" s="7"/>
      <c r="RZ66" s="7"/>
      <c r="SA66" s="7"/>
      <c r="SB66" s="7"/>
      <c r="SC66" s="7"/>
      <c r="SD66" s="7"/>
      <c r="SE66" s="7"/>
      <c r="SF66" s="7"/>
      <c r="SG66" s="7"/>
      <c r="SH66" s="7"/>
      <c r="SI66" s="7"/>
      <c r="SJ66" s="7"/>
      <c r="SK66" s="7"/>
      <c r="SL66" s="7"/>
      <c r="SM66" s="7"/>
      <c r="SN66" s="7"/>
      <c r="SO66" s="7"/>
      <c r="SP66" s="7"/>
      <c r="SQ66" s="7"/>
      <c r="SR66" s="7"/>
      <c r="SS66" s="7"/>
      <c r="ST66" s="7"/>
      <c r="SU66" s="7"/>
      <c r="SV66" s="7"/>
    </row>
    <row r="67" spans="1:516">
      <c r="A67" s="7"/>
      <c r="B67" s="11"/>
      <c r="C67" s="691" t="s">
        <v>1990</v>
      </c>
      <c r="D67" s="1132"/>
      <c r="E67" s="224"/>
      <c r="F67" s="224"/>
      <c r="G67" s="224"/>
      <c r="H67" s="224"/>
      <c r="I67" s="224"/>
      <c r="J67" s="224"/>
      <c r="K67" s="224"/>
      <c r="L67" s="224"/>
      <c r="M67" s="224"/>
      <c r="N67" s="224"/>
      <c r="O67" s="224"/>
      <c r="P67" s="224"/>
      <c r="Q67" s="224"/>
      <c r="R67" s="224"/>
      <c r="S67" s="224"/>
      <c r="T67" s="224"/>
      <c r="U67" s="224"/>
      <c r="V67" s="224"/>
      <c r="W67" s="224"/>
      <c r="X67" s="224"/>
      <c r="Y67" s="224"/>
      <c r="Z67" s="224"/>
      <c r="AA67" s="224"/>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224"/>
      <c r="BE67" s="224"/>
      <c r="BF67" s="224"/>
      <c r="BG67" s="224"/>
      <c r="BH67" s="224"/>
      <c r="BI67" s="224"/>
      <c r="BJ67" s="224"/>
      <c r="BK67" s="224"/>
      <c r="BL67" s="224"/>
      <c r="BM67" s="224"/>
      <c r="BN67" s="224"/>
      <c r="BO67" s="224"/>
      <c r="BP67" s="224"/>
      <c r="BQ67" s="224"/>
      <c r="BR67" s="224"/>
      <c r="BS67" s="224"/>
      <c r="BT67" s="224"/>
      <c r="BU67" s="224"/>
      <c r="BV67" s="224"/>
      <c r="BW67" s="224"/>
      <c r="BX67" s="224"/>
      <c r="BY67" s="224"/>
      <c r="BZ67" s="224"/>
      <c r="CA67" s="224"/>
      <c r="CB67" s="224"/>
      <c r="CC67" s="224"/>
      <c r="CD67" s="224"/>
      <c r="CE67" s="224"/>
      <c r="CF67" s="224"/>
      <c r="CG67" s="224"/>
      <c r="CH67" s="224"/>
      <c r="CI67" s="224"/>
      <c r="CJ67" s="224"/>
      <c r="CK67" s="224"/>
      <c r="CL67" s="224"/>
      <c r="CM67" s="224"/>
      <c r="CN67" s="224"/>
      <c r="CO67" s="224"/>
      <c r="CP67" s="224"/>
      <c r="CQ67" s="224"/>
      <c r="CR67" s="224"/>
      <c r="CS67" s="224"/>
      <c r="CT67" s="224"/>
      <c r="CU67" s="224"/>
      <c r="CV67" s="224"/>
      <c r="CW67" s="224"/>
      <c r="CX67" s="224"/>
      <c r="CY67" s="224"/>
      <c r="CZ67" s="224"/>
      <c r="DA67" s="224"/>
      <c r="DB67" s="224"/>
      <c r="DC67" s="224"/>
      <c r="DD67" s="224"/>
      <c r="DE67" s="224"/>
      <c r="DF67" s="224"/>
      <c r="DG67" s="224"/>
      <c r="DH67" s="224"/>
      <c r="DI67" s="224"/>
      <c r="DJ67" s="224"/>
      <c r="DK67" s="2668"/>
      <c r="DL67" s="2668"/>
      <c r="DM67" s="2668"/>
      <c r="DN67" s="2668"/>
      <c r="DO67" s="2668"/>
      <c r="DP67" s="2668"/>
      <c r="DQ67" s="2668"/>
      <c r="DR67" s="2668"/>
      <c r="DS67" s="2668"/>
      <c r="DT67" s="2668"/>
      <c r="DU67" s="2668"/>
      <c r="DV67" s="2668"/>
      <c r="DW67" s="2668"/>
      <c r="DX67" s="2668"/>
      <c r="DY67" s="2668"/>
      <c r="DZ67" s="2668"/>
      <c r="EA67" s="2668"/>
      <c r="EB67" s="2668"/>
      <c r="EC67" s="2668"/>
      <c r="ED67" s="2668"/>
      <c r="EE67" s="224"/>
      <c r="EF67" s="21"/>
      <c r="EG67" s="21"/>
      <c r="EH67" s="21"/>
      <c r="EI67" s="21"/>
      <c r="EJ67" s="21"/>
      <c r="EK67" s="21"/>
      <c r="EL67" s="21"/>
      <c r="EM67" s="224"/>
      <c r="EN67" s="224"/>
      <c r="EO67" s="224"/>
      <c r="EP67" s="224"/>
      <c r="EQ67" s="224"/>
      <c r="ER67" s="224"/>
      <c r="ES67" s="224"/>
      <c r="ET67" s="224"/>
      <c r="EU67" s="224"/>
      <c r="EV67" s="224"/>
      <c r="EW67" s="224"/>
      <c r="EX67" s="224"/>
      <c r="EY67" s="224"/>
      <c r="EZ67" s="224"/>
      <c r="FA67" s="224"/>
      <c r="FB67" s="224"/>
      <c r="FC67" s="224"/>
      <c r="FD67" s="224"/>
      <c r="FE67" s="224"/>
      <c r="FF67" s="224"/>
      <c r="FG67" s="174"/>
      <c r="FH67" s="705">
        <f t="shared" ref="FH67:FV67" si="317">FH29-EN29</f>
        <v>-3.4984443151278022E-2</v>
      </c>
      <c r="FI67" s="705">
        <f t="shared" si="317"/>
        <v>-3.3515555049091539E-2</v>
      </c>
      <c r="FJ67" s="705">
        <f t="shared" si="317"/>
        <v>-1.0799834914894113E-2</v>
      </c>
      <c r="FK67" s="705">
        <f t="shared" si="317"/>
        <v>-8.0094890196029667E-3</v>
      </c>
      <c r="FL67" s="705">
        <f t="shared" si="317"/>
        <v>2.5075752926952077E-2</v>
      </c>
      <c r="FM67" s="705">
        <f t="shared" si="317"/>
        <v>3.2393275992809833E-2</v>
      </c>
      <c r="FN67" s="705">
        <f t="shared" si="317"/>
        <v>2.8396409619487528E-2</v>
      </c>
      <c r="FO67" s="705">
        <f t="shared" si="317"/>
        <v>3.0437640449388681E-2</v>
      </c>
      <c r="FP67" s="705">
        <f t="shared" si="317"/>
        <v>4.1682741524149414E-2</v>
      </c>
      <c r="FQ67" s="705">
        <f t="shared" si="317"/>
        <v>4.5104082114725053E-2</v>
      </c>
      <c r="FR67" s="705">
        <f t="shared" si="317"/>
        <v>4.5043487249770919E-2</v>
      </c>
      <c r="FS67" s="705">
        <f t="shared" si="317"/>
        <v>4.4854510515156321E-2</v>
      </c>
      <c r="FT67" s="705">
        <f t="shared" si="317"/>
        <v>5.6975314517347719E-2</v>
      </c>
      <c r="FU67" s="705">
        <f t="shared" si="317"/>
        <v>5.6319854327664842E-2</v>
      </c>
      <c r="FV67" s="705">
        <f t="shared" si="317"/>
        <v>5.4700406469866181E-2</v>
      </c>
      <c r="FW67" s="705"/>
      <c r="FX67" s="703">
        <f>AVERAGE(FJ67:FV67)</f>
        <v>3.4013396290217039E-2</v>
      </c>
      <c r="FY67" s="709">
        <f>AVERAGE(FR67:FV67)</f>
        <v>5.1578714615961196E-2</v>
      </c>
      <c r="FZ67" s="705"/>
      <c r="GA67" s="697">
        <f>AVERAGE(FM67:FV67)</f>
        <v>4.3590772278036649E-2</v>
      </c>
      <c r="GB67" s="697"/>
      <c r="GC67" s="697"/>
      <c r="GD67" s="224"/>
      <c r="GE67" s="224"/>
      <c r="GF67" s="224"/>
      <c r="GG67" s="224"/>
      <c r="GH67" s="224"/>
      <c r="GI67" s="224"/>
      <c r="GJ67" s="224"/>
      <c r="GK67" s="224"/>
      <c r="GL67" s="224"/>
      <c r="GM67" s="224"/>
      <c r="GN67" s="224"/>
      <c r="GO67" s="224"/>
      <c r="GP67" s="224"/>
      <c r="GQ67" s="224"/>
      <c r="GR67" s="224"/>
      <c r="GS67" s="224"/>
      <c r="GT67" s="224"/>
      <c r="GU67" s="224"/>
      <c r="GV67" s="224"/>
      <c r="GW67" s="224"/>
      <c r="GX67" s="224"/>
      <c r="GY67" s="224"/>
      <c r="GZ67" s="224"/>
      <c r="HA67" s="224"/>
      <c r="HB67" s="224"/>
      <c r="HC67" s="224"/>
      <c r="HD67" s="224"/>
      <c r="HE67" s="224"/>
      <c r="HF67" s="224"/>
      <c r="HG67" s="224"/>
      <c r="HH67" s="224"/>
      <c r="HI67" s="224"/>
      <c r="HJ67" s="224"/>
      <c r="HK67" s="224"/>
      <c r="HL67" s="224"/>
      <c r="HM67" s="224"/>
      <c r="HN67" s="224"/>
      <c r="HO67" s="224"/>
      <c r="HP67" s="224"/>
      <c r="HQ67" s="224"/>
      <c r="HR67" s="224"/>
      <c r="HS67" s="224"/>
      <c r="HT67" s="224"/>
      <c r="HU67" s="224"/>
      <c r="HV67" s="224"/>
      <c r="HW67" s="224"/>
      <c r="HX67" s="224"/>
      <c r="HY67" s="224"/>
      <c r="HZ67" s="224"/>
      <c r="IA67" s="224"/>
      <c r="IB67" s="224"/>
      <c r="IC67" s="224"/>
      <c r="ID67" s="224"/>
      <c r="IE67" s="224"/>
      <c r="IF67" s="224"/>
      <c r="IG67" s="224"/>
      <c r="IH67" s="224"/>
      <c r="II67" s="224"/>
      <c r="IJ67" s="224"/>
      <c r="IK67" s="144"/>
      <c r="IL67" s="144"/>
      <c r="IM67" s="144"/>
      <c r="IN67" s="144"/>
      <c r="IO67" s="144"/>
      <c r="IP67" s="144"/>
      <c r="IQ67" s="144"/>
      <c r="IR67" s="144"/>
      <c r="IS67" s="144"/>
      <c r="IT67" s="144"/>
      <c r="IU67" s="144"/>
      <c r="IV67" s="144"/>
      <c r="IW67" s="144"/>
      <c r="IX67" s="144"/>
      <c r="IY67" s="144"/>
      <c r="IZ67" s="224"/>
      <c r="JA67" s="144"/>
      <c r="JB67" s="224"/>
      <c r="JC67" s="224"/>
      <c r="JD67" s="224"/>
      <c r="JE67" s="224"/>
      <c r="JF67" s="224"/>
      <c r="JG67" s="224"/>
      <c r="JH67" s="224"/>
      <c r="JI67" s="224"/>
      <c r="JJ67" s="224"/>
      <c r="JK67" s="224"/>
      <c r="JL67" s="224"/>
      <c r="JM67" s="224"/>
      <c r="JN67" s="224"/>
      <c r="JO67" s="224"/>
      <c r="JP67" s="224"/>
      <c r="JQ67" s="224"/>
      <c r="JR67" s="224"/>
      <c r="JS67" s="224"/>
      <c r="JT67" s="224"/>
      <c r="JU67" s="224"/>
      <c r="JV67" s="224"/>
      <c r="JW67" s="224"/>
      <c r="JX67" s="224"/>
      <c r="JY67" s="224"/>
      <c r="JZ67" s="224"/>
      <c r="KA67" s="224"/>
      <c r="KB67" s="224"/>
      <c r="KC67" s="224"/>
      <c r="KD67" s="224"/>
      <c r="KE67" s="224"/>
      <c r="KF67" s="224"/>
      <c r="KG67" s="224"/>
      <c r="KH67" s="224"/>
      <c r="KI67" s="224"/>
      <c r="KJ67" s="224"/>
      <c r="KK67" s="224"/>
      <c r="KL67" s="224"/>
      <c r="KM67" s="224"/>
      <c r="KN67" s="224"/>
      <c r="KO67" s="224"/>
      <c r="KP67" s="224"/>
      <c r="KQ67" s="224"/>
      <c r="KR67" s="224"/>
      <c r="KS67" s="224"/>
      <c r="KT67" s="224"/>
      <c r="KU67" s="224"/>
      <c r="KV67" s="224"/>
      <c r="KW67" s="224"/>
      <c r="KX67" s="224"/>
      <c r="KY67" s="224"/>
      <c r="KZ67" s="224"/>
      <c r="LA67" s="224"/>
      <c r="LB67" s="224"/>
      <c r="LC67" s="224"/>
      <c r="LD67" s="224"/>
      <c r="LE67" s="224"/>
      <c r="LF67" s="224"/>
      <c r="LG67" s="224"/>
      <c r="LH67" s="224"/>
      <c r="LI67" s="224"/>
      <c r="LJ67" s="224"/>
      <c r="LK67" s="224"/>
      <c r="LL67" s="224"/>
      <c r="LM67" s="224"/>
      <c r="LN67" s="224"/>
      <c r="LO67" s="224"/>
      <c r="LP67" s="224"/>
      <c r="LQ67" s="224"/>
      <c r="LR67" s="224"/>
      <c r="LS67" s="224"/>
      <c r="LT67" s="224"/>
      <c r="LU67" s="224"/>
      <c r="LV67" s="224"/>
      <c r="LW67" s="224"/>
      <c r="LX67" s="224"/>
      <c r="LY67" s="224"/>
      <c r="LZ67" s="224"/>
      <c r="MA67" s="224"/>
      <c r="MB67" s="224"/>
      <c r="MC67" s="224"/>
      <c r="MD67" s="224"/>
      <c r="ME67" s="224"/>
      <c r="MF67" s="224"/>
      <c r="MG67" s="224"/>
      <c r="MH67" s="224"/>
      <c r="MI67" s="224"/>
      <c r="MJ67" s="224"/>
      <c r="MK67" s="224"/>
      <c r="ML67" s="224"/>
      <c r="MM67" s="224"/>
      <c r="MN67" s="224"/>
      <c r="MO67" s="224"/>
      <c r="MP67" s="224"/>
      <c r="MQ67" s="224"/>
      <c r="MR67" s="224"/>
      <c r="MS67" s="224"/>
      <c r="MT67" s="224"/>
      <c r="MU67" s="224"/>
      <c r="MV67" s="224"/>
      <c r="MW67" s="224"/>
      <c r="MX67" s="224"/>
      <c r="MY67" s="224"/>
      <c r="MZ67" s="224"/>
      <c r="NA67" s="224"/>
      <c r="NB67" s="224"/>
      <c r="NC67" s="224"/>
      <c r="ND67" s="224"/>
      <c r="NE67" s="224"/>
      <c r="NF67" s="224"/>
      <c r="NG67" s="224"/>
      <c r="NH67" s="224"/>
      <c r="NI67" s="224"/>
      <c r="NJ67" s="224"/>
      <c r="NK67" s="224"/>
      <c r="NL67" s="2826"/>
      <c r="NM67" s="1032"/>
      <c r="NN67" s="2075"/>
      <c r="NO67" s="2075"/>
      <c r="NP67" s="2075"/>
      <c r="NQ67" s="2075"/>
      <c r="NR67" s="2075"/>
      <c r="NS67" s="2075"/>
      <c r="NT67" s="2075"/>
      <c r="NU67" s="2075"/>
      <c r="NV67" s="2075"/>
      <c r="NW67" s="2075"/>
      <c r="NX67" s="2075"/>
      <c r="NY67" s="2075"/>
      <c r="NZ67" s="2075"/>
      <c r="OA67" s="2075"/>
      <c r="OB67" s="2075"/>
      <c r="OC67" s="2075"/>
      <c r="OD67" s="224"/>
      <c r="OE67" s="2075"/>
      <c r="OF67" s="224"/>
      <c r="OG67" s="2075"/>
      <c r="OH67" s="2075"/>
      <c r="OI67" s="224"/>
      <c r="OJ67" s="224"/>
      <c r="OK67" s="224"/>
      <c r="OL67" s="224"/>
      <c r="OM67" s="224"/>
      <c r="ON67" s="224"/>
      <c r="OO67" s="224"/>
      <c r="OP67" s="224"/>
      <c r="OQ67" s="224"/>
      <c r="OR67" s="224"/>
      <c r="OS67" s="224"/>
      <c r="OT67" s="224"/>
      <c r="OU67" s="224"/>
      <c r="OV67" s="224"/>
      <c r="OW67" s="224"/>
      <c r="OX67" s="224"/>
      <c r="OY67" s="224"/>
      <c r="OZ67" s="224"/>
      <c r="PA67" s="224"/>
      <c r="PB67" s="224"/>
      <c r="PC67" s="224"/>
      <c r="PD67" s="224"/>
      <c r="PE67" s="224"/>
      <c r="PF67" s="224"/>
      <c r="PG67" s="224"/>
      <c r="PH67" s="224"/>
      <c r="PI67" s="224"/>
      <c r="PJ67" s="224"/>
      <c r="PK67" s="224"/>
      <c r="PL67" s="224"/>
      <c r="PM67" s="224"/>
      <c r="PN67" s="224"/>
      <c r="PO67" s="224"/>
      <c r="PP67" s="224"/>
      <c r="PQ67" s="224"/>
      <c r="PR67" s="224"/>
      <c r="PS67" s="224"/>
      <c r="PT67" s="224"/>
      <c r="PU67" s="224"/>
      <c r="PV67" s="224"/>
      <c r="PW67" s="224"/>
      <c r="PX67" s="166"/>
      <c r="PY67" s="166"/>
      <c r="PZ67" s="166"/>
      <c r="QA67" s="127"/>
      <c r="QB67" s="166"/>
      <c r="QC67" s="166"/>
      <c r="QD67" s="166"/>
      <c r="QE67" s="166"/>
      <c r="QF67" s="166"/>
      <c r="QG67" s="166"/>
      <c r="QH67" s="166"/>
      <c r="QI67" s="166"/>
      <c r="QJ67" s="166"/>
      <c r="QK67" s="166"/>
      <c r="QL67" s="16"/>
      <c r="QM67" s="16"/>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7"/>
      <c r="RS67" s="7"/>
      <c r="RT67" s="7"/>
      <c r="RU67" s="7"/>
      <c r="RV67" s="7"/>
      <c r="RW67" s="7"/>
      <c r="RX67" s="7"/>
      <c r="RY67" s="7"/>
      <c r="RZ67" s="7"/>
      <c r="SA67" s="7"/>
      <c r="SB67" s="7"/>
      <c r="SC67" s="7"/>
      <c r="SD67" s="7"/>
      <c r="SE67" s="7"/>
      <c r="SF67" s="7"/>
      <c r="SG67" s="7"/>
      <c r="SH67" s="7"/>
      <c r="SI67" s="7"/>
      <c r="SJ67" s="7"/>
      <c r="SK67" s="7"/>
      <c r="SL67" s="7"/>
      <c r="SM67" s="7"/>
      <c r="SN67" s="7"/>
      <c r="SO67" s="7"/>
      <c r="SP67" s="7"/>
      <c r="SQ67" s="7"/>
      <c r="SR67" s="7"/>
      <c r="SS67" s="7"/>
      <c r="ST67" s="7"/>
      <c r="SU67" s="7"/>
      <c r="SV67" s="7"/>
    </row>
    <row r="68" spans="1:516">
      <c r="A68" s="7"/>
      <c r="B68" s="11"/>
      <c r="C68" s="2201"/>
      <c r="D68" s="216"/>
      <c r="E68" s="224"/>
      <c r="F68" s="224"/>
      <c r="G68" s="224"/>
      <c r="H68" s="7"/>
      <c r="I68" s="7"/>
      <c r="J68" s="7"/>
      <c r="K68" s="7"/>
      <c r="L68" s="7"/>
      <c r="M68" s="11"/>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11"/>
      <c r="EF68" s="21"/>
      <c r="EG68" s="21"/>
      <c r="EH68" s="21"/>
      <c r="EI68" s="21"/>
      <c r="EJ68" s="21"/>
      <c r="EK68" s="21"/>
      <c r="EL68" s="21"/>
      <c r="EM68" s="7"/>
      <c r="EN68" s="7"/>
      <c r="EO68" s="7"/>
      <c r="EP68" s="7"/>
      <c r="EQ68" s="7"/>
      <c r="ER68" s="7"/>
      <c r="ES68" s="7"/>
      <c r="ET68" s="7"/>
      <c r="EU68" s="7"/>
      <c r="EV68" s="7"/>
      <c r="EW68" s="7"/>
      <c r="EX68" s="7"/>
      <c r="EY68" s="7"/>
      <c r="EZ68" s="7"/>
      <c r="FA68" s="7"/>
      <c r="FB68" s="7"/>
      <c r="FC68" s="7"/>
      <c r="FD68" s="7"/>
      <c r="FE68" s="7"/>
      <c r="FF68" s="7"/>
      <c r="FG68" s="174"/>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2815"/>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7"/>
      <c r="OM68" s="7"/>
      <c r="ON68" s="7"/>
      <c r="OO68" s="7"/>
      <c r="OP68" s="7"/>
      <c r="OQ68" s="7"/>
      <c r="OR68" s="7"/>
      <c r="OS68" s="7"/>
      <c r="OT68" s="7"/>
      <c r="OU68" s="7"/>
      <c r="OV68" s="7"/>
      <c r="OW68" s="7"/>
      <c r="OX68" s="7"/>
      <c r="OY68" s="7"/>
      <c r="OZ68" s="7"/>
      <c r="PA68" s="11"/>
      <c r="PB68" s="11"/>
      <c r="PC68" s="11"/>
      <c r="PD68" s="7"/>
      <c r="PE68" s="7"/>
      <c r="PF68" s="7"/>
      <c r="PG68" s="7"/>
      <c r="PH68" s="7"/>
      <c r="PI68" s="7"/>
      <c r="PJ68" s="7"/>
      <c r="PK68" s="7"/>
      <c r="PL68" s="7"/>
      <c r="PM68" s="7"/>
      <c r="PN68" s="7"/>
      <c r="PO68" s="7"/>
      <c r="PP68" s="7"/>
      <c r="PQ68" s="7"/>
      <c r="PR68" s="7"/>
      <c r="PS68" s="7"/>
      <c r="PT68" s="7"/>
      <c r="PU68" s="7"/>
      <c r="PV68" s="7"/>
      <c r="PW68" s="7"/>
      <c r="PX68" s="15"/>
      <c r="PY68" s="15"/>
      <c r="PZ68" s="15"/>
      <c r="QA68" s="15"/>
      <c r="QB68" s="15"/>
      <c r="QC68" s="15"/>
      <c r="QD68" s="15"/>
      <c r="QE68" s="15"/>
      <c r="QF68" s="15"/>
      <c r="QG68" s="15"/>
      <c r="QH68" s="15"/>
      <c r="QI68" s="15"/>
      <c r="QJ68" s="15"/>
      <c r="QK68" s="15"/>
      <c r="QL68" s="15"/>
      <c r="QM68" s="15"/>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7"/>
      <c r="RZ68" s="7"/>
      <c r="SA68" s="7"/>
      <c r="SB68" s="7"/>
      <c r="SC68" s="7"/>
      <c r="SD68" s="7"/>
      <c r="SE68" s="7"/>
      <c r="SF68" s="7"/>
      <c r="SG68" s="7"/>
      <c r="SH68" s="7"/>
      <c r="SI68" s="7"/>
      <c r="SJ68" s="7"/>
      <c r="SK68" s="7"/>
      <c r="SL68" s="7"/>
      <c r="SM68" s="7"/>
      <c r="SN68" s="7"/>
      <c r="SO68" s="7"/>
      <c r="SP68" s="7"/>
      <c r="SQ68" s="7"/>
      <c r="SR68" s="7"/>
      <c r="SS68" s="7"/>
      <c r="ST68" s="7"/>
      <c r="SU68" s="7"/>
      <c r="SV68" s="7"/>
    </row>
    <row r="69" spans="1:516" s="2592" customFormat="1">
      <c r="A69" s="2285"/>
      <c r="B69" s="2285"/>
      <c r="C69" s="2313"/>
      <c r="D69" s="2286"/>
      <c r="E69" s="2314"/>
      <c r="F69" s="2314"/>
      <c r="G69" s="2314"/>
      <c r="H69" s="2286"/>
      <c r="I69" s="2286"/>
      <c r="J69" s="2286"/>
      <c r="K69" s="2286"/>
      <c r="L69" s="2286"/>
      <c r="M69" s="2285"/>
      <c r="N69" s="2286"/>
      <c r="O69" s="2286"/>
      <c r="P69" s="2286"/>
      <c r="Q69" s="2286"/>
      <c r="R69" s="2286"/>
      <c r="S69" s="2286"/>
      <c r="T69" s="2286"/>
      <c r="U69" s="2286"/>
      <c r="V69" s="2286"/>
      <c r="W69" s="2286"/>
      <c r="X69" s="2286"/>
      <c r="Y69" s="2286"/>
      <c r="Z69" s="2286"/>
      <c r="AA69" s="2286"/>
      <c r="AB69" s="2286"/>
      <c r="AC69" s="2286"/>
      <c r="AD69" s="2286"/>
      <c r="AE69" s="2286"/>
      <c r="AF69" s="2286"/>
      <c r="AG69" s="2286"/>
      <c r="AH69" s="2286"/>
      <c r="AI69" s="2286"/>
      <c r="AJ69" s="2286"/>
      <c r="AK69" s="2286"/>
      <c r="AL69" s="2286"/>
      <c r="AM69" s="2286"/>
      <c r="AN69" s="2286"/>
      <c r="AO69" s="2286"/>
      <c r="AP69" s="2286"/>
      <c r="AQ69" s="2286"/>
      <c r="AR69" s="2286"/>
      <c r="AS69" s="2286"/>
      <c r="AT69" s="2286"/>
      <c r="AU69" s="2286"/>
      <c r="AV69" s="2286"/>
      <c r="AW69" s="2286"/>
      <c r="AX69" s="2286"/>
      <c r="AY69" s="2286"/>
      <c r="AZ69" s="2286"/>
      <c r="BA69" s="2286"/>
      <c r="BB69" s="2286"/>
      <c r="BC69" s="2286"/>
      <c r="BD69" s="2286"/>
      <c r="BE69" s="2286"/>
      <c r="BF69" s="2286"/>
      <c r="BG69" s="2286"/>
      <c r="BH69" s="2286"/>
      <c r="BI69" s="2286"/>
      <c r="BJ69" s="2286"/>
      <c r="BK69" s="2286"/>
      <c r="BL69" s="2286"/>
      <c r="BM69" s="2286"/>
      <c r="BN69" s="2286"/>
      <c r="BO69" s="2286"/>
      <c r="BP69" s="2286"/>
      <c r="BQ69" s="2286"/>
      <c r="BR69" s="2286"/>
      <c r="BS69" s="2286"/>
      <c r="BT69" s="2286"/>
      <c r="BU69" s="2286"/>
      <c r="BV69" s="2286"/>
      <c r="BW69" s="2286"/>
      <c r="BX69" s="2286"/>
      <c r="BY69" s="2286"/>
      <c r="BZ69" s="2286"/>
      <c r="CA69" s="2286"/>
      <c r="CB69" s="2286"/>
      <c r="CC69" s="2286"/>
      <c r="CD69" s="2286"/>
      <c r="CE69" s="2286"/>
      <c r="CF69" s="2286"/>
      <c r="CG69" s="2286"/>
      <c r="CH69" s="2286"/>
      <c r="CI69" s="2286"/>
      <c r="CJ69" s="2286"/>
      <c r="CK69" s="2286"/>
      <c r="CL69" s="2286"/>
      <c r="CM69" s="2286"/>
      <c r="CN69" s="2286"/>
      <c r="CO69" s="2286"/>
      <c r="CP69" s="2286"/>
      <c r="CQ69" s="2286"/>
      <c r="CR69" s="2286"/>
      <c r="CS69" s="2286"/>
      <c r="CT69" s="2286"/>
      <c r="CU69" s="2286"/>
      <c r="CV69" s="2286"/>
      <c r="CW69" s="2286"/>
      <c r="CX69" s="2286"/>
      <c r="CY69" s="2286"/>
      <c r="CZ69" s="2286"/>
      <c r="DA69" s="2286"/>
      <c r="DB69" s="2286"/>
      <c r="DC69" s="2286"/>
      <c r="DD69" s="2286"/>
      <c r="DE69" s="2286"/>
      <c r="DF69" s="2286"/>
      <c r="DG69" s="2286"/>
      <c r="DH69" s="2286"/>
      <c r="DI69" s="2286"/>
      <c r="DJ69" s="2286"/>
      <c r="DK69" s="2286"/>
      <c r="DL69" s="2286"/>
      <c r="DM69" s="2286"/>
      <c r="DN69" s="2286"/>
      <c r="DO69" s="2286"/>
      <c r="DP69" s="2286"/>
      <c r="DQ69" s="2286"/>
      <c r="DR69" s="2286"/>
      <c r="DS69" s="2286"/>
      <c r="DT69" s="2286"/>
      <c r="DU69" s="2286"/>
      <c r="DV69" s="2286"/>
      <c r="DW69" s="2286"/>
      <c r="DX69" s="2286"/>
      <c r="DY69" s="2286"/>
      <c r="DZ69" s="2286"/>
      <c r="EA69" s="2286"/>
      <c r="EB69" s="2286"/>
      <c r="EC69" s="2286"/>
      <c r="ED69" s="2286"/>
      <c r="EE69" s="2285"/>
      <c r="EF69" s="3986"/>
      <c r="EG69" s="3986"/>
      <c r="EH69" s="3986"/>
      <c r="EI69" s="3986"/>
      <c r="EJ69" s="3986"/>
      <c r="EK69" s="3986"/>
      <c r="EL69" s="3986"/>
      <c r="EM69" s="2286"/>
      <c r="EN69" s="2286"/>
      <c r="EO69" s="2286"/>
      <c r="EP69" s="2286"/>
      <c r="EQ69" s="2286"/>
      <c r="ER69" s="2286"/>
      <c r="ES69" s="2286"/>
      <c r="ET69" s="2286"/>
      <c r="EU69" s="2286"/>
      <c r="EV69" s="2286"/>
      <c r="EW69" s="2286"/>
      <c r="EX69" s="2286"/>
      <c r="EY69" s="2286"/>
      <c r="EZ69" s="2286"/>
      <c r="FA69" s="2286"/>
      <c r="FB69" s="2286"/>
      <c r="FC69" s="2286"/>
      <c r="FD69" s="2286"/>
      <c r="FE69" s="2286"/>
      <c r="FF69" s="2286"/>
      <c r="FG69" s="2285"/>
      <c r="FH69" s="2286"/>
      <c r="FI69" s="2286"/>
      <c r="FJ69" s="2286"/>
      <c r="FK69" s="2286"/>
      <c r="FL69" s="2286"/>
      <c r="FM69" s="2286"/>
      <c r="FN69" s="2286"/>
      <c r="FO69" s="2286"/>
      <c r="FP69" s="2286"/>
      <c r="FQ69" s="2286"/>
      <c r="FR69" s="2286"/>
      <c r="FS69" s="2286"/>
      <c r="FT69" s="2286"/>
      <c r="FU69" s="2286"/>
      <c r="FV69" s="2286"/>
      <c r="FW69" s="2286"/>
      <c r="FX69" s="2286"/>
      <c r="FY69" s="2286"/>
      <c r="FZ69" s="2286"/>
      <c r="GA69" s="2286"/>
      <c r="GB69" s="2286"/>
      <c r="GC69" s="2286"/>
      <c r="GD69" s="2286"/>
      <c r="GE69" s="2286"/>
      <c r="GF69" s="2286"/>
      <c r="GG69" s="2286"/>
      <c r="GH69" s="2286"/>
      <c r="GI69" s="2286"/>
      <c r="GJ69" s="2286"/>
      <c r="GK69" s="2286"/>
      <c r="GL69" s="2286"/>
      <c r="GM69" s="2286"/>
      <c r="GN69" s="2286"/>
      <c r="GO69" s="2286"/>
      <c r="GP69" s="2286"/>
      <c r="GQ69" s="2286"/>
      <c r="GR69" s="2286"/>
      <c r="GS69" s="2286"/>
      <c r="GT69" s="2286"/>
      <c r="GU69" s="2286"/>
      <c r="GV69" s="2286"/>
      <c r="GW69" s="2286"/>
      <c r="GX69" s="2286"/>
      <c r="GY69" s="2286"/>
      <c r="GZ69" s="2286"/>
      <c r="HA69" s="2286"/>
      <c r="HB69" s="2286"/>
      <c r="HC69" s="2286"/>
      <c r="HD69" s="2286"/>
      <c r="HE69" s="2286"/>
      <c r="HF69" s="2286"/>
      <c r="HG69" s="2286"/>
      <c r="HH69" s="2286"/>
      <c r="HI69" s="2286"/>
      <c r="HJ69" s="2286"/>
      <c r="HK69" s="2286"/>
      <c r="HL69" s="2286"/>
      <c r="HM69" s="2286"/>
      <c r="HN69" s="2286"/>
      <c r="HO69" s="2286"/>
      <c r="HP69" s="2286"/>
      <c r="HQ69" s="2286"/>
      <c r="HR69" s="2286"/>
      <c r="HS69" s="2286"/>
      <c r="HT69" s="2286"/>
      <c r="HU69" s="2286"/>
      <c r="HV69" s="2286"/>
      <c r="HW69" s="2286"/>
      <c r="HX69" s="2286"/>
      <c r="HY69" s="2286"/>
      <c r="HZ69" s="2286"/>
      <c r="IA69" s="2286"/>
      <c r="IB69" s="2286"/>
      <c r="IC69" s="2286"/>
      <c r="ID69" s="2286"/>
      <c r="IE69" s="2286"/>
      <c r="IF69" s="2286"/>
      <c r="IG69" s="2286"/>
      <c r="IH69" s="2286"/>
      <c r="II69" s="2286"/>
      <c r="IJ69" s="2286"/>
      <c r="IK69" s="2286"/>
      <c r="IL69" s="2286"/>
      <c r="IM69" s="2286"/>
      <c r="IN69" s="2286"/>
      <c r="IO69" s="2286"/>
      <c r="IP69" s="2286"/>
      <c r="IQ69" s="2286"/>
      <c r="IR69" s="2286"/>
      <c r="IS69" s="2286"/>
      <c r="IT69" s="2286"/>
      <c r="IU69" s="2286"/>
      <c r="IV69" s="2286"/>
      <c r="IW69" s="2286"/>
      <c r="IX69" s="2286"/>
      <c r="IY69" s="2286"/>
      <c r="IZ69" s="2286"/>
      <c r="JA69" s="2286"/>
      <c r="JB69" s="2286"/>
      <c r="JC69" s="2286"/>
      <c r="JD69" s="2286"/>
      <c r="JE69" s="2286"/>
      <c r="JF69" s="2286"/>
      <c r="JG69" s="2286"/>
      <c r="JH69" s="2286"/>
      <c r="JI69" s="2286"/>
      <c r="JJ69" s="2286"/>
      <c r="JK69" s="2286"/>
      <c r="JL69" s="2286"/>
      <c r="JM69" s="2286"/>
      <c r="JN69" s="2286"/>
      <c r="JO69" s="2286"/>
      <c r="JP69" s="2286"/>
      <c r="JQ69" s="2286"/>
      <c r="JR69" s="2286"/>
      <c r="JS69" s="2286"/>
      <c r="JT69" s="2286"/>
      <c r="JU69" s="2286"/>
      <c r="JV69" s="2286"/>
      <c r="JW69" s="2286"/>
      <c r="JX69" s="2286"/>
      <c r="JY69" s="2286"/>
      <c r="JZ69" s="2286"/>
      <c r="KA69" s="2286"/>
      <c r="KB69" s="2286"/>
      <c r="KC69" s="2286"/>
      <c r="KD69" s="2286"/>
      <c r="KE69" s="2286"/>
      <c r="KF69" s="2286"/>
      <c r="KG69" s="2286"/>
      <c r="KH69" s="2286"/>
      <c r="KI69" s="2286"/>
      <c r="KJ69" s="2286"/>
      <c r="KK69" s="2286"/>
      <c r="KL69" s="2286"/>
      <c r="KM69" s="2286"/>
      <c r="KN69" s="2286"/>
      <c r="KO69" s="2286"/>
      <c r="KP69" s="2286"/>
      <c r="KQ69" s="2286"/>
      <c r="KR69" s="2286"/>
      <c r="KS69" s="2286"/>
      <c r="KT69" s="2286"/>
      <c r="KU69" s="2286"/>
      <c r="KV69" s="2286"/>
      <c r="KW69" s="2286"/>
      <c r="KX69" s="2286"/>
      <c r="KY69" s="2286"/>
      <c r="KZ69" s="2286"/>
      <c r="LA69" s="2286"/>
      <c r="LB69" s="2286"/>
      <c r="LC69" s="2286"/>
      <c r="LD69" s="2286"/>
      <c r="LE69" s="2286"/>
      <c r="LF69" s="2286"/>
      <c r="LG69" s="2286"/>
      <c r="LH69" s="2286"/>
      <c r="LI69" s="2286"/>
      <c r="LJ69" s="2286"/>
      <c r="LK69" s="2286"/>
      <c r="LL69" s="2286"/>
      <c r="LM69" s="2286"/>
      <c r="LN69" s="2286"/>
      <c r="LO69" s="2286"/>
      <c r="LP69" s="2286"/>
      <c r="LQ69" s="2286"/>
      <c r="LR69" s="2286"/>
      <c r="LS69" s="2286"/>
      <c r="LT69" s="2286"/>
      <c r="LU69" s="2286"/>
      <c r="LV69" s="2286"/>
      <c r="LW69" s="2286"/>
      <c r="LX69" s="2286"/>
      <c r="LY69" s="2286"/>
      <c r="LZ69" s="2286"/>
      <c r="MA69" s="2286"/>
      <c r="MB69" s="2286"/>
      <c r="MC69" s="2286"/>
      <c r="MD69" s="2286"/>
      <c r="ME69" s="2286"/>
      <c r="MF69" s="2286"/>
      <c r="MG69" s="2286"/>
      <c r="MH69" s="2286"/>
      <c r="MI69" s="2286"/>
      <c r="MJ69" s="2286"/>
      <c r="MK69" s="2286"/>
      <c r="ML69" s="2286"/>
      <c r="MM69" s="2286"/>
      <c r="MN69" s="2286"/>
      <c r="MO69" s="2286"/>
      <c r="MP69" s="2286"/>
      <c r="MQ69" s="2286"/>
      <c r="MR69" s="2286"/>
      <c r="MS69" s="2286"/>
      <c r="MT69" s="2286"/>
      <c r="MU69" s="2286"/>
      <c r="MV69" s="2286"/>
      <c r="MW69" s="2286"/>
      <c r="MX69" s="2286"/>
      <c r="MY69" s="2286"/>
      <c r="MZ69" s="2286"/>
      <c r="NA69" s="2286"/>
      <c r="NB69" s="2286"/>
      <c r="NC69" s="2286"/>
      <c r="ND69" s="2286"/>
      <c r="NE69" s="2286"/>
      <c r="NF69" s="2286"/>
      <c r="NG69" s="2286"/>
      <c r="NH69" s="2286"/>
      <c r="NI69" s="2286"/>
      <c r="NJ69" s="2286"/>
      <c r="NK69" s="2286"/>
      <c r="NL69" s="2824"/>
      <c r="NM69" s="2286"/>
      <c r="NN69" s="2286"/>
      <c r="NO69" s="2286"/>
      <c r="NP69" s="2286"/>
      <c r="NQ69" s="2286"/>
      <c r="NR69" s="2286"/>
      <c r="NS69" s="2286"/>
      <c r="NT69" s="2286"/>
      <c r="NU69" s="2286"/>
      <c r="NV69" s="2286"/>
      <c r="NW69" s="2286"/>
      <c r="NX69" s="2286"/>
      <c r="NY69" s="2286"/>
      <c r="NZ69" s="2286"/>
      <c r="OA69" s="2286"/>
      <c r="OB69" s="2286"/>
      <c r="OC69" s="2286"/>
      <c r="OD69" s="2286"/>
      <c r="OE69" s="2286"/>
      <c r="OF69" s="2286"/>
      <c r="OG69" s="2286"/>
      <c r="OH69" s="2286"/>
      <c r="OI69" s="2286"/>
      <c r="OJ69" s="2286"/>
      <c r="OK69" s="2286"/>
      <c r="OL69" s="2286"/>
      <c r="OM69" s="2286"/>
      <c r="ON69" s="2286"/>
      <c r="OO69" s="2286"/>
      <c r="OP69" s="2286"/>
      <c r="OQ69" s="2286"/>
      <c r="OR69" s="2286"/>
      <c r="OS69" s="2286"/>
      <c r="OT69" s="2286"/>
      <c r="OU69" s="2286"/>
      <c r="OV69" s="2286"/>
      <c r="OW69" s="2286"/>
      <c r="OX69" s="2286"/>
      <c r="OY69" s="2286"/>
      <c r="OZ69" s="2286"/>
      <c r="PA69" s="2285"/>
      <c r="PB69" s="2285"/>
      <c r="PC69" s="2285"/>
      <c r="PD69" s="2286"/>
      <c r="PE69" s="2286"/>
      <c r="PF69" s="2286"/>
      <c r="PG69" s="2286"/>
      <c r="PH69" s="2286"/>
      <c r="PI69" s="2286"/>
      <c r="PJ69" s="2286"/>
      <c r="PK69" s="2286"/>
      <c r="PL69" s="2286"/>
      <c r="PM69" s="2286"/>
      <c r="PN69" s="2286"/>
      <c r="PO69" s="2286"/>
      <c r="PP69" s="2286"/>
      <c r="PQ69" s="2286"/>
      <c r="PR69" s="2286"/>
      <c r="PS69" s="2286"/>
      <c r="PT69" s="2286"/>
      <c r="PU69" s="2286"/>
      <c r="PV69" s="2286"/>
      <c r="PW69" s="2286"/>
      <c r="PX69" s="2315"/>
      <c r="PY69" s="2315"/>
      <c r="PZ69" s="2315"/>
      <c r="QA69" s="2315"/>
      <c r="QB69" s="2315"/>
      <c r="QC69" s="2315"/>
      <c r="QD69" s="2315"/>
      <c r="QE69" s="2315"/>
      <c r="QF69" s="2315"/>
      <c r="QG69" s="2315"/>
      <c r="QH69" s="2315"/>
      <c r="QI69" s="2315"/>
      <c r="QJ69" s="2315"/>
      <c r="QK69" s="2315"/>
      <c r="QL69" s="2315"/>
      <c r="QM69" s="2315"/>
      <c r="QN69" s="2286"/>
      <c r="QO69" s="2286"/>
      <c r="QP69" s="2286"/>
      <c r="QQ69" s="2286"/>
      <c r="QR69" s="2286"/>
      <c r="QS69" s="2286"/>
      <c r="QT69" s="2286"/>
      <c r="QU69" s="2286"/>
      <c r="QV69" s="2286"/>
      <c r="QW69" s="2286"/>
      <c r="QX69" s="2286"/>
      <c r="QY69" s="2286"/>
      <c r="QZ69" s="2286"/>
      <c r="RA69" s="2286"/>
      <c r="RB69" s="2286"/>
      <c r="RC69" s="2286"/>
      <c r="RD69" s="2286"/>
      <c r="RE69" s="2286"/>
      <c r="RF69" s="2286"/>
      <c r="RG69" s="2286"/>
      <c r="RH69" s="2286"/>
      <c r="RI69" s="2286"/>
      <c r="RJ69" s="2286"/>
      <c r="RK69" s="2286"/>
      <c r="RL69" s="2286"/>
      <c r="RM69" s="2286"/>
      <c r="RN69" s="2286"/>
      <c r="RO69" s="2286"/>
      <c r="RP69" s="2286"/>
      <c r="RQ69" s="2286"/>
      <c r="RR69" s="2286"/>
      <c r="RS69" s="2286"/>
      <c r="RT69" s="2286"/>
      <c r="RU69" s="2286"/>
      <c r="RV69" s="2286"/>
      <c r="RW69" s="2286"/>
      <c r="RX69" s="2286"/>
      <c r="RY69" s="2286"/>
      <c r="RZ69" s="2286"/>
      <c r="SA69" s="2286"/>
      <c r="SB69" s="2286"/>
      <c r="SC69" s="2286"/>
      <c r="SD69" s="2286"/>
      <c r="SE69" s="2286"/>
      <c r="SF69" s="2286"/>
      <c r="SG69" s="2286"/>
      <c r="SH69" s="2286"/>
      <c r="SI69" s="2286"/>
      <c r="SJ69" s="2286"/>
      <c r="SK69" s="2286"/>
      <c r="SL69" s="2286"/>
      <c r="SM69" s="2286"/>
      <c r="SN69" s="2286"/>
      <c r="SO69" s="2286"/>
      <c r="SP69" s="2286"/>
      <c r="SQ69" s="2286"/>
      <c r="SR69" s="2286"/>
      <c r="SS69" s="2286"/>
      <c r="ST69" s="2286"/>
      <c r="SU69" s="2286"/>
      <c r="SV69" s="2286"/>
    </row>
    <row r="86" spans="164:286">
      <c r="FH86" s="2316"/>
      <c r="FI86" s="2316"/>
      <c r="FJ86" s="2316"/>
      <c r="FK86" s="2316"/>
      <c r="FL86" s="2316"/>
      <c r="FM86" s="2316"/>
      <c r="FN86" s="2316"/>
      <c r="FO86" s="2316"/>
      <c r="FP86" s="2316"/>
      <c r="FQ86" s="2316"/>
      <c r="FR86" s="2316"/>
      <c r="FS86" s="2316"/>
      <c r="FT86" s="2316"/>
      <c r="FU86" s="2316"/>
      <c r="FV86" s="2316"/>
      <c r="FW86" s="2316"/>
      <c r="FZ86" s="2316"/>
      <c r="GA86" s="2316"/>
      <c r="GB86" s="2316"/>
      <c r="GC86" s="2316"/>
      <c r="GD86" s="2316"/>
      <c r="GE86" s="2316"/>
      <c r="GF86" s="2316"/>
      <c r="GG86" s="2316"/>
      <c r="GH86" s="2316"/>
      <c r="GI86" s="2316"/>
      <c r="GJ86" s="2316"/>
      <c r="GK86" s="2316"/>
      <c r="GL86" s="2316"/>
      <c r="GM86" s="2316"/>
      <c r="GN86" s="2316"/>
      <c r="GO86" s="2316"/>
      <c r="GP86" s="2316"/>
      <c r="GQ86" s="2316"/>
      <c r="GR86" s="2316"/>
      <c r="GS86" s="2316"/>
      <c r="GU86" s="2316"/>
      <c r="GV86" s="2316"/>
      <c r="GW86" s="2316"/>
      <c r="GX86" s="2316"/>
    </row>
    <row r="88" spans="164:286">
      <c r="FH88" s="2317"/>
      <c r="FI88" s="2317"/>
      <c r="FJ88" s="2317"/>
      <c r="FK88" s="2317"/>
      <c r="FL88" s="2317"/>
      <c r="FM88" s="2317"/>
      <c r="FN88" s="2317"/>
      <c r="FO88" s="2317"/>
      <c r="FP88" s="2317"/>
      <c r="FQ88" s="2317"/>
      <c r="FR88" s="2317"/>
      <c r="FS88" s="2317"/>
      <c r="FT88" s="2317"/>
      <c r="FU88" s="2317"/>
      <c r="FV88" s="2317"/>
      <c r="FW88" s="2317"/>
      <c r="FZ88" s="2317"/>
      <c r="GA88" s="2317"/>
      <c r="GB88" s="2317"/>
      <c r="GC88" s="2317"/>
      <c r="GD88" s="2317"/>
      <c r="GE88" s="2317"/>
      <c r="GF88" s="2317"/>
      <c r="GG88" s="2317"/>
      <c r="GH88" s="2317"/>
      <c r="GI88" s="2317"/>
      <c r="GJ88" s="2317"/>
      <c r="GK88" s="2317"/>
      <c r="GL88" s="2317"/>
      <c r="GM88" s="2317"/>
      <c r="GN88" s="2317"/>
      <c r="GO88" s="2317"/>
      <c r="GP88" s="2317"/>
      <c r="GQ88" s="2317"/>
      <c r="GR88" s="2317"/>
      <c r="GS88" s="2317"/>
      <c r="GU88" s="2317"/>
      <c r="GV88" s="2317"/>
      <c r="GW88" s="2317"/>
      <c r="GX88" s="2317"/>
      <c r="GY88" s="2287"/>
      <c r="GZ88" s="2287"/>
      <c r="HA88" s="2287"/>
      <c r="HB88" s="2287"/>
      <c r="HC88" s="2287"/>
      <c r="HD88" s="2287"/>
      <c r="HE88" s="2287"/>
      <c r="HF88" s="2287"/>
      <c r="HG88" s="2287"/>
      <c r="HH88" s="2287"/>
      <c r="HI88" s="2287"/>
      <c r="HJ88" s="2287"/>
      <c r="HK88" s="2287"/>
      <c r="HL88" s="2287"/>
    </row>
    <row r="89" spans="164:286">
      <c r="FH89" s="2289"/>
      <c r="FI89" s="2289"/>
      <c r="FJ89" s="2289"/>
      <c r="FK89" s="2289"/>
      <c r="FL89" s="2289"/>
      <c r="FM89" s="2289"/>
      <c r="FN89" s="2289"/>
      <c r="FO89" s="2289"/>
      <c r="FP89" s="2289"/>
      <c r="FQ89" s="2289"/>
      <c r="FR89" s="2289"/>
      <c r="FS89" s="2289"/>
      <c r="FT89" s="2289"/>
      <c r="FU89" s="2289"/>
      <c r="FV89" s="2289"/>
      <c r="FW89" s="2289"/>
      <c r="FX89" s="2318"/>
      <c r="FY89" s="2318"/>
      <c r="FZ89" s="2289"/>
      <c r="GA89" s="2289"/>
      <c r="GB89" s="2289"/>
      <c r="GC89" s="2289"/>
      <c r="GD89" s="2289"/>
      <c r="GE89" s="2289"/>
      <c r="GF89" s="2289"/>
      <c r="GG89" s="2289"/>
      <c r="GH89" s="2289"/>
      <c r="GI89" s="2289"/>
      <c r="GJ89" s="2289"/>
      <c r="GK89" s="2289"/>
      <c r="GL89" s="2289"/>
      <c r="GM89" s="2289"/>
      <c r="GN89" s="2289"/>
      <c r="GO89" s="2289"/>
      <c r="GP89" s="2289"/>
      <c r="GQ89" s="2289"/>
      <c r="GR89" s="2289"/>
      <c r="GS89" s="2289"/>
      <c r="GU89" s="2289"/>
      <c r="GV89" s="2289"/>
      <c r="GW89" s="2289"/>
      <c r="GX89" s="2289"/>
      <c r="GY89" s="2318"/>
      <c r="GZ89" s="2318"/>
      <c r="HA89" s="2318"/>
      <c r="HB89" s="2318"/>
      <c r="HC89" s="2318"/>
      <c r="HD89" s="2318"/>
      <c r="HE89" s="2318"/>
      <c r="HF89" s="2318"/>
      <c r="HG89" s="2318"/>
      <c r="HH89" s="2318"/>
      <c r="HI89" s="2318"/>
      <c r="HJ89" s="2318"/>
      <c r="HK89" s="2318"/>
      <c r="HL89" s="2319"/>
      <c r="HM89" s="2318"/>
      <c r="HO89" s="2318"/>
      <c r="HP89" s="2318"/>
      <c r="HQ89" s="2318"/>
      <c r="HR89" s="2318"/>
      <c r="HS89" s="2318"/>
      <c r="HT89" s="2318"/>
      <c r="HU89" s="2318"/>
      <c r="HV89" s="2318"/>
      <c r="HW89" s="2318"/>
      <c r="HX89" s="2318"/>
      <c r="HY89" s="2318"/>
      <c r="HZ89" s="2318"/>
      <c r="IA89" s="2318"/>
      <c r="IB89" s="2318"/>
      <c r="IC89" s="2318"/>
      <c r="ID89" s="2318"/>
      <c r="IE89" s="2318"/>
      <c r="IF89" s="2318"/>
      <c r="IH89" s="2318"/>
      <c r="II89" s="2318"/>
      <c r="IJ89" s="2318"/>
      <c r="IK89" s="2318"/>
      <c r="IL89" s="2318"/>
      <c r="IM89" s="2318"/>
      <c r="IN89" s="2318"/>
      <c r="IO89" s="2318"/>
      <c r="IP89" s="2318"/>
      <c r="IQ89" s="2318"/>
      <c r="IR89" s="2318"/>
      <c r="IS89" s="2318"/>
      <c r="IT89" s="2318"/>
      <c r="IU89" s="2318"/>
      <c r="IV89" s="2318"/>
      <c r="IW89" s="2318"/>
      <c r="IX89" s="2318"/>
      <c r="IY89" s="2318"/>
      <c r="JA89" s="2318"/>
      <c r="JB89" s="2318"/>
      <c r="JC89" s="2318"/>
      <c r="JD89" s="2318"/>
      <c r="JE89" s="2318"/>
      <c r="JF89" s="2318"/>
      <c r="JG89" s="2318"/>
      <c r="JH89" s="2318"/>
      <c r="JI89" s="2318"/>
      <c r="JJ89" s="2318"/>
      <c r="JK89" s="2318"/>
      <c r="JL89" s="2318"/>
      <c r="JM89" s="2318"/>
      <c r="JN89" s="2318"/>
      <c r="JO89" s="2318"/>
      <c r="JP89" s="2318"/>
      <c r="JQ89" s="2318"/>
      <c r="JR89" s="2318"/>
      <c r="JS89" s="2318"/>
      <c r="JT89" s="2318"/>
      <c r="JV89" s="2318"/>
      <c r="JW89" s="2318"/>
      <c r="JX89" s="2318"/>
      <c r="JY89" s="2318"/>
      <c r="JZ89" s="2318"/>
    </row>
    <row r="90" spans="164:286">
      <c r="FH90" s="2320"/>
      <c r="FI90" s="2320"/>
      <c r="FJ90" s="2320"/>
      <c r="FK90" s="2320"/>
      <c r="FL90" s="2320"/>
      <c r="FM90" s="2320"/>
      <c r="FN90" s="2320"/>
      <c r="FO90" s="2320"/>
      <c r="FP90" s="2320"/>
      <c r="FQ90" s="2320"/>
      <c r="FR90" s="2320"/>
      <c r="FS90" s="2320"/>
      <c r="FT90" s="2320"/>
      <c r="FU90" s="2320"/>
      <c r="FV90" s="2320"/>
      <c r="FW90" s="2320"/>
      <c r="FX90" s="2318"/>
      <c r="FY90" s="2318"/>
      <c r="FZ90" s="2320"/>
      <c r="GA90" s="2320"/>
      <c r="GB90" s="2320"/>
      <c r="GC90" s="2320"/>
      <c r="GD90" s="2320"/>
      <c r="GE90" s="2320"/>
      <c r="GF90" s="2320"/>
      <c r="GG90" s="2320"/>
      <c r="GH90" s="2320"/>
      <c r="GI90" s="2320"/>
      <c r="GJ90" s="2320"/>
      <c r="GK90" s="2320"/>
      <c r="GL90" s="2320"/>
      <c r="GM90" s="2320"/>
      <c r="GN90" s="2320"/>
      <c r="GO90" s="2320"/>
      <c r="GP90" s="2320"/>
      <c r="GQ90" s="2320"/>
      <c r="GR90" s="2320"/>
      <c r="GS90" s="2320"/>
      <c r="GU90" s="2320"/>
      <c r="GV90" s="2320"/>
      <c r="GW90" s="2320"/>
      <c r="GX90" s="2320"/>
      <c r="GY90" s="2321"/>
      <c r="GZ90" s="2321"/>
      <c r="HA90" s="2321"/>
      <c r="HB90" s="2321"/>
      <c r="HC90" s="2321"/>
      <c r="HD90" s="2321"/>
      <c r="HE90" s="2321"/>
      <c r="HF90" s="2321"/>
      <c r="HG90" s="2321"/>
      <c r="HH90" s="2321"/>
      <c r="HI90" s="2321"/>
      <c r="HJ90" s="2321"/>
      <c r="HK90" s="2321"/>
      <c r="HL90" s="2321"/>
      <c r="HM90" s="2318"/>
      <c r="HO90" s="2318"/>
      <c r="HP90" s="2318"/>
      <c r="HQ90" s="2318"/>
      <c r="HR90" s="2318"/>
      <c r="HS90" s="2318"/>
      <c r="HT90" s="2318"/>
      <c r="HU90" s="2318"/>
      <c r="HV90" s="2318"/>
      <c r="HW90" s="2318"/>
      <c r="HX90" s="2318"/>
      <c r="HY90" s="2318"/>
      <c r="HZ90" s="2318"/>
      <c r="IA90" s="2318"/>
      <c r="IB90" s="2318"/>
      <c r="IC90" s="2318"/>
      <c r="ID90" s="2318"/>
      <c r="IE90" s="2318"/>
      <c r="IF90" s="2318"/>
      <c r="IH90" s="2318"/>
      <c r="II90" s="2318"/>
      <c r="IJ90" s="2318"/>
      <c r="IK90" s="2318"/>
      <c r="IL90" s="2318"/>
      <c r="IM90" s="2318"/>
      <c r="IN90" s="2318"/>
      <c r="IO90" s="2318"/>
      <c r="IP90" s="2318"/>
      <c r="IQ90" s="2318"/>
      <c r="IR90" s="2318"/>
      <c r="IS90" s="2318"/>
      <c r="IT90" s="2318"/>
      <c r="IU90" s="2318"/>
      <c r="IV90" s="2318"/>
      <c r="IW90" s="2318"/>
      <c r="IX90" s="2318"/>
      <c r="IY90" s="2318"/>
      <c r="JA90" s="2318"/>
      <c r="JB90" s="2318"/>
      <c r="JC90" s="2318"/>
      <c r="JD90" s="2318"/>
      <c r="JE90" s="2318"/>
      <c r="JF90" s="2318"/>
      <c r="JG90" s="2318"/>
      <c r="JH90" s="2318"/>
      <c r="JI90" s="2318"/>
      <c r="JJ90" s="2318"/>
      <c r="JK90" s="2318"/>
      <c r="JL90" s="2318"/>
      <c r="JM90" s="2318"/>
      <c r="JN90" s="2318"/>
      <c r="JO90" s="2318"/>
      <c r="JP90" s="2318"/>
      <c r="JQ90" s="2318"/>
      <c r="JR90" s="2318"/>
      <c r="JS90" s="2318"/>
      <c r="JT90" s="2318"/>
      <c r="JV90" s="2318"/>
      <c r="JW90" s="2318"/>
      <c r="JX90" s="2318"/>
      <c r="JY90" s="2318"/>
      <c r="JZ90" s="2318"/>
    </row>
    <row r="91" spans="164:286">
      <c r="FH91" s="2320"/>
      <c r="FI91" s="2320"/>
      <c r="FJ91" s="2320"/>
      <c r="FK91" s="2320"/>
      <c r="FL91" s="2320"/>
      <c r="FM91" s="2320"/>
      <c r="FN91" s="2320"/>
      <c r="FO91" s="2320"/>
      <c r="FP91" s="2320"/>
      <c r="FQ91" s="2320"/>
      <c r="FR91" s="2320"/>
      <c r="FS91" s="2320"/>
      <c r="FT91" s="2320"/>
      <c r="FU91" s="2320"/>
      <c r="FV91" s="2320"/>
      <c r="FW91" s="2320"/>
      <c r="FX91" s="2318"/>
      <c r="FY91" s="2318"/>
      <c r="FZ91" s="2320"/>
      <c r="GA91" s="2320"/>
      <c r="GB91" s="2320"/>
      <c r="GC91" s="2320"/>
      <c r="GD91" s="2320"/>
      <c r="GE91" s="2320"/>
      <c r="GF91" s="2320"/>
      <c r="GG91" s="2320"/>
      <c r="GH91" s="2320"/>
      <c r="GI91" s="2320"/>
      <c r="GJ91" s="2320"/>
      <c r="GK91" s="2320"/>
      <c r="GL91" s="2320"/>
      <c r="GM91" s="2320"/>
      <c r="GN91" s="2320"/>
      <c r="GO91" s="2320"/>
      <c r="GP91" s="2320"/>
      <c r="GQ91" s="2320"/>
      <c r="GR91" s="2320"/>
      <c r="GS91" s="2320"/>
      <c r="GU91" s="2320"/>
      <c r="GV91" s="2320"/>
      <c r="GW91" s="2320"/>
      <c r="GX91" s="2320"/>
      <c r="GY91" s="2321"/>
      <c r="GZ91" s="2321"/>
      <c r="HA91" s="2321"/>
      <c r="HB91" s="2321"/>
      <c r="HC91" s="2321"/>
      <c r="HD91" s="2321"/>
      <c r="HE91" s="2321"/>
      <c r="HF91" s="2321"/>
      <c r="HG91" s="2321"/>
      <c r="HH91" s="2321"/>
      <c r="HI91" s="2321"/>
      <c r="HJ91" s="2321"/>
      <c r="HK91" s="2321"/>
      <c r="HL91" s="2321"/>
      <c r="HM91" s="2318"/>
      <c r="HO91" s="2318"/>
      <c r="HP91" s="2318"/>
      <c r="HQ91" s="2318"/>
      <c r="HR91" s="2318"/>
      <c r="HS91" s="2318"/>
      <c r="HT91" s="2318"/>
      <c r="HU91" s="2318"/>
      <c r="HV91" s="2318"/>
      <c r="HW91" s="2318"/>
      <c r="HX91" s="2318"/>
      <c r="HY91" s="2318"/>
      <c r="HZ91" s="2318"/>
      <c r="IA91" s="2318"/>
      <c r="IB91" s="2318"/>
      <c r="IC91" s="2318"/>
      <c r="ID91" s="2318"/>
      <c r="IE91" s="2318"/>
      <c r="IF91" s="2318"/>
      <c r="IH91" s="2318"/>
      <c r="II91" s="2318"/>
      <c r="IJ91" s="2318"/>
      <c r="IK91" s="2318"/>
      <c r="IL91" s="2318"/>
      <c r="IM91" s="2318"/>
      <c r="IN91" s="2318"/>
      <c r="IO91" s="2318"/>
      <c r="IP91" s="2318"/>
      <c r="IQ91" s="2318"/>
      <c r="IR91" s="2318"/>
      <c r="IS91" s="2318"/>
      <c r="IT91" s="2318"/>
      <c r="IU91" s="2318"/>
      <c r="IV91" s="2318"/>
      <c r="IW91" s="2318"/>
      <c r="IX91" s="2318"/>
      <c r="IY91" s="2318"/>
      <c r="JA91" s="2318"/>
      <c r="JB91" s="2318"/>
      <c r="JC91" s="2318"/>
      <c r="JD91" s="2318"/>
      <c r="JE91" s="2318"/>
      <c r="JF91" s="2318"/>
      <c r="JG91" s="2318"/>
      <c r="JH91" s="2318"/>
      <c r="JI91" s="2318"/>
      <c r="JJ91" s="2318"/>
      <c r="JK91" s="2318"/>
      <c r="JL91" s="2318"/>
      <c r="JM91" s="2318"/>
      <c r="JN91" s="2318"/>
      <c r="JO91" s="2318"/>
      <c r="JP91" s="2318"/>
      <c r="JQ91" s="2318"/>
      <c r="JR91" s="2318"/>
      <c r="JS91" s="2318"/>
      <c r="JT91" s="2318"/>
      <c r="JV91" s="2318"/>
      <c r="JW91" s="2318"/>
      <c r="JX91" s="2318"/>
      <c r="JY91" s="2318"/>
      <c r="JZ91" s="2318"/>
    </row>
    <row r="92" spans="164:286">
      <c r="FH92" s="2320"/>
      <c r="FI92" s="2320"/>
      <c r="FJ92" s="2320"/>
      <c r="FK92" s="2320"/>
      <c r="FL92" s="2320"/>
      <c r="FM92" s="2320"/>
      <c r="FN92" s="2320"/>
      <c r="FO92" s="2320"/>
      <c r="FP92" s="2320"/>
      <c r="FQ92" s="2320"/>
      <c r="FR92" s="2320"/>
      <c r="FS92" s="2320"/>
      <c r="FT92" s="2320"/>
      <c r="FU92" s="2320"/>
      <c r="FV92" s="2320"/>
      <c r="FW92" s="2320"/>
      <c r="FX92" s="2318"/>
      <c r="FY92" s="2318"/>
      <c r="FZ92" s="2320"/>
      <c r="GA92" s="2320"/>
      <c r="GB92" s="2320"/>
      <c r="GC92" s="2320"/>
      <c r="GD92" s="2320"/>
      <c r="GE92" s="2320"/>
      <c r="GF92" s="2320"/>
      <c r="GG92" s="2320"/>
      <c r="GH92" s="2320"/>
      <c r="GI92" s="2320"/>
      <c r="GJ92" s="2320"/>
      <c r="GK92" s="2320"/>
      <c r="GL92" s="2320"/>
      <c r="GM92" s="2320"/>
      <c r="GN92" s="2320"/>
      <c r="GO92" s="2320"/>
      <c r="GP92" s="2320"/>
      <c r="GQ92" s="2320"/>
      <c r="GR92" s="2320"/>
      <c r="GS92" s="2320"/>
      <c r="GU92" s="2320"/>
      <c r="GV92" s="2320"/>
      <c r="GW92" s="2320"/>
      <c r="GX92" s="2320"/>
      <c r="GY92" s="2321"/>
      <c r="GZ92" s="2321"/>
      <c r="HA92" s="2321"/>
      <c r="HB92" s="2321"/>
      <c r="HC92" s="2321"/>
      <c r="HD92" s="2321"/>
      <c r="HE92" s="2321"/>
      <c r="HF92" s="2321"/>
      <c r="HG92" s="2321"/>
      <c r="HH92" s="2321"/>
      <c r="HI92" s="2321"/>
      <c r="HJ92" s="2321"/>
      <c r="HK92" s="2321"/>
      <c r="HL92" s="2321"/>
      <c r="HM92" s="2318"/>
      <c r="HO92" s="2318"/>
      <c r="HP92" s="2318"/>
      <c r="HQ92" s="2318"/>
      <c r="HR92" s="2318"/>
      <c r="HS92" s="2318"/>
      <c r="HT92" s="2318"/>
      <c r="HU92" s="2318"/>
      <c r="HV92" s="2318"/>
      <c r="HW92" s="2318"/>
      <c r="HX92" s="2318"/>
      <c r="HY92" s="2318"/>
      <c r="HZ92" s="2318"/>
      <c r="IA92" s="2318"/>
      <c r="IB92" s="2318"/>
      <c r="IC92" s="2318"/>
      <c r="ID92" s="2318"/>
      <c r="IE92" s="2318"/>
      <c r="IF92" s="2318"/>
      <c r="IH92" s="2318"/>
      <c r="II92" s="2318"/>
      <c r="IJ92" s="2318"/>
      <c r="IK92" s="2318"/>
      <c r="IL92" s="2318"/>
      <c r="IM92" s="2318"/>
      <c r="IN92" s="2318"/>
      <c r="IO92" s="2318"/>
      <c r="IP92" s="2318"/>
      <c r="IQ92" s="2318"/>
      <c r="IR92" s="2318"/>
      <c r="IS92" s="2318"/>
      <c r="IT92" s="2318"/>
      <c r="IU92" s="2318"/>
      <c r="IV92" s="2318"/>
      <c r="IW92" s="2318"/>
      <c r="IX92" s="2318"/>
      <c r="IY92" s="2318"/>
      <c r="JA92" s="2318"/>
      <c r="JB92" s="2318"/>
      <c r="JC92" s="2318"/>
      <c r="JD92" s="2318"/>
      <c r="JE92" s="2318"/>
      <c r="JF92" s="2318"/>
      <c r="JG92" s="2318"/>
      <c r="JH92" s="2318"/>
      <c r="JI92" s="2318"/>
      <c r="JJ92" s="2318"/>
      <c r="JK92" s="2318"/>
      <c r="JL92" s="2318"/>
      <c r="JM92" s="2318"/>
      <c r="JN92" s="2318"/>
      <c r="JO92" s="2318"/>
      <c r="JP92" s="2318"/>
      <c r="JQ92" s="2318"/>
      <c r="JR92" s="2318"/>
      <c r="JS92" s="2318"/>
      <c r="JT92" s="2318"/>
      <c r="JV92" s="2318"/>
      <c r="JW92" s="2318"/>
      <c r="JX92" s="2318"/>
      <c r="JY92" s="2318"/>
      <c r="JZ92" s="2318"/>
    </row>
    <row r="93" spans="164:286">
      <c r="FH93" s="2320"/>
      <c r="FI93" s="2320"/>
      <c r="FJ93" s="2320"/>
      <c r="FK93" s="2320"/>
      <c r="FL93" s="2320"/>
      <c r="FM93" s="2320"/>
      <c r="FN93" s="2320"/>
      <c r="FO93" s="2320"/>
      <c r="FP93" s="2320"/>
      <c r="FQ93" s="2320"/>
      <c r="FR93" s="2320"/>
      <c r="FS93" s="2320"/>
      <c r="FT93" s="2320"/>
      <c r="FU93" s="2320"/>
      <c r="FV93" s="2320"/>
      <c r="FW93" s="2320"/>
      <c r="FX93" s="2318"/>
      <c r="FY93" s="2318"/>
      <c r="FZ93" s="2320"/>
      <c r="GA93" s="2320"/>
      <c r="GB93" s="2320"/>
      <c r="GC93" s="2320"/>
      <c r="GD93" s="2320"/>
      <c r="GE93" s="2320"/>
      <c r="GF93" s="2320"/>
      <c r="GG93" s="2320"/>
      <c r="GH93" s="2320"/>
      <c r="GI93" s="2320"/>
      <c r="GJ93" s="2320"/>
      <c r="GK93" s="2320"/>
      <c r="GL93" s="2320"/>
      <c r="GM93" s="2320"/>
      <c r="GN93" s="2320"/>
      <c r="GO93" s="2320"/>
      <c r="GP93" s="2320"/>
      <c r="GQ93" s="2320"/>
      <c r="GR93" s="2320"/>
      <c r="GS93" s="2320"/>
      <c r="GU93" s="2320"/>
      <c r="GV93" s="2320"/>
      <c r="GW93" s="2320"/>
      <c r="GX93" s="2320"/>
      <c r="GY93" s="2321"/>
      <c r="GZ93" s="2321"/>
      <c r="HA93" s="2321"/>
      <c r="HB93" s="2321"/>
      <c r="HC93" s="2321"/>
      <c r="HD93" s="2321"/>
      <c r="HE93" s="2321"/>
      <c r="HF93" s="2321"/>
      <c r="HG93" s="2321"/>
      <c r="HH93" s="2321"/>
      <c r="HI93" s="2321"/>
      <c r="HJ93" s="2321"/>
      <c r="HK93" s="2321"/>
      <c r="HL93" s="2321"/>
      <c r="HM93" s="2318"/>
      <c r="HO93" s="2318"/>
      <c r="HP93" s="2318"/>
      <c r="HQ93" s="2318"/>
      <c r="HR93" s="2318"/>
      <c r="HS93" s="2318"/>
      <c r="HT93" s="2318"/>
      <c r="HU93" s="2318"/>
      <c r="HV93" s="2318"/>
      <c r="HW93" s="2318"/>
      <c r="HX93" s="2318"/>
      <c r="HY93" s="2318"/>
      <c r="HZ93" s="2318"/>
      <c r="IA93" s="2318"/>
      <c r="IB93" s="2318"/>
      <c r="IC93" s="2318"/>
      <c r="ID93" s="2318"/>
      <c r="IE93" s="2318"/>
      <c r="IF93" s="2318"/>
      <c r="IH93" s="2318"/>
      <c r="II93" s="2318"/>
      <c r="IJ93" s="2318"/>
      <c r="IK93" s="2318"/>
      <c r="IL93" s="2318"/>
      <c r="IM93" s="2318"/>
      <c r="IN93" s="2318"/>
      <c r="IO93" s="2318"/>
      <c r="IP93" s="2318"/>
      <c r="IQ93" s="2318"/>
      <c r="IR93" s="2318"/>
      <c r="IS93" s="2318"/>
      <c r="IT93" s="2318"/>
      <c r="IU93" s="2318"/>
      <c r="IV93" s="2318"/>
      <c r="IW93" s="2318"/>
      <c r="IX93" s="2318"/>
      <c r="IY93" s="2318"/>
      <c r="JA93" s="2318"/>
      <c r="JB93" s="2318"/>
      <c r="JC93" s="2318"/>
      <c r="JD93" s="2318"/>
      <c r="JE93" s="2318"/>
      <c r="JF93" s="2318"/>
      <c r="JG93" s="2318"/>
      <c r="JH93" s="2318"/>
      <c r="JI93" s="2318"/>
      <c r="JJ93" s="2318"/>
      <c r="JK93" s="2318"/>
      <c r="JL93" s="2318"/>
      <c r="JM93" s="2318"/>
      <c r="JN93" s="2318"/>
      <c r="JO93" s="2318"/>
      <c r="JP93" s="2318"/>
      <c r="JQ93" s="2318"/>
      <c r="JR93" s="2318"/>
      <c r="JS93" s="2318"/>
      <c r="JT93" s="2318"/>
      <c r="JV93" s="2318"/>
      <c r="JW93" s="2318"/>
      <c r="JX93" s="2318"/>
      <c r="JY93" s="2318"/>
      <c r="JZ93" s="2318"/>
    </row>
    <row r="94" spans="164:286">
      <c r="FH94" s="2320"/>
      <c r="FI94" s="2320"/>
      <c r="FJ94" s="2320"/>
      <c r="FK94" s="2320"/>
      <c r="FL94" s="2320"/>
      <c r="FM94" s="2320"/>
      <c r="FN94" s="2320"/>
      <c r="FO94" s="2320"/>
      <c r="FP94" s="2320"/>
      <c r="FQ94" s="2320"/>
      <c r="FR94" s="2320"/>
      <c r="FS94" s="2320"/>
      <c r="FT94" s="2320"/>
      <c r="FU94" s="2320"/>
      <c r="FV94" s="2320"/>
      <c r="FW94" s="2320"/>
      <c r="FX94" s="2318"/>
      <c r="FY94" s="2318"/>
      <c r="FZ94" s="2320"/>
      <c r="GA94" s="2320"/>
      <c r="GB94" s="2320"/>
      <c r="GC94" s="2320"/>
      <c r="GD94" s="2320"/>
      <c r="GE94" s="2320"/>
      <c r="GF94" s="2320"/>
      <c r="GG94" s="2320"/>
      <c r="GH94" s="2320"/>
      <c r="GI94" s="2320"/>
      <c r="GJ94" s="2320"/>
      <c r="GK94" s="2320"/>
      <c r="GL94" s="2320"/>
      <c r="GM94" s="2320"/>
      <c r="GN94" s="2320"/>
      <c r="GO94" s="2320"/>
      <c r="GP94" s="2320"/>
      <c r="GQ94" s="2320"/>
      <c r="GR94" s="2320"/>
      <c r="GS94" s="2320"/>
      <c r="GU94" s="2320"/>
      <c r="GV94" s="2320"/>
      <c r="GW94" s="2320"/>
      <c r="GX94" s="2320"/>
      <c r="GY94" s="2321"/>
      <c r="GZ94" s="2321"/>
      <c r="HA94" s="2321"/>
      <c r="HB94" s="2321"/>
      <c r="HC94" s="2321"/>
      <c r="HD94" s="2321"/>
      <c r="HE94" s="2321"/>
      <c r="HF94" s="2321"/>
      <c r="HG94" s="2321"/>
      <c r="HH94" s="2321"/>
      <c r="HI94" s="2321"/>
      <c r="HJ94" s="2321"/>
      <c r="HK94" s="2321"/>
      <c r="HL94" s="2321"/>
      <c r="HM94" s="2318"/>
      <c r="HO94" s="2318"/>
      <c r="HP94" s="2318"/>
      <c r="HQ94" s="2318"/>
      <c r="HR94" s="2318"/>
      <c r="HS94" s="2318"/>
      <c r="HT94" s="2318"/>
      <c r="HU94" s="2318"/>
      <c r="HV94" s="2318"/>
      <c r="HW94" s="2318"/>
      <c r="HX94" s="2318"/>
      <c r="HY94" s="2318"/>
      <c r="HZ94" s="2318"/>
      <c r="IA94" s="2318"/>
      <c r="IB94" s="2318"/>
      <c r="IC94" s="2318"/>
      <c r="ID94" s="2318"/>
      <c r="IE94" s="2318"/>
      <c r="IF94" s="2318"/>
      <c r="IH94" s="2318"/>
      <c r="II94" s="2318"/>
      <c r="IJ94" s="2318"/>
      <c r="IK94" s="2318"/>
      <c r="IL94" s="2318"/>
      <c r="IM94" s="2318"/>
      <c r="IN94" s="2318"/>
      <c r="IO94" s="2318"/>
      <c r="IP94" s="2318"/>
      <c r="IQ94" s="2318"/>
      <c r="IR94" s="2318"/>
      <c r="IS94" s="2318"/>
      <c r="IT94" s="2318"/>
      <c r="IU94" s="2318"/>
      <c r="IV94" s="2318"/>
      <c r="IW94" s="2318"/>
      <c r="IX94" s="2318"/>
      <c r="IY94" s="2318"/>
      <c r="JA94" s="2318"/>
      <c r="JB94" s="2318"/>
      <c r="JC94" s="2318"/>
      <c r="JD94" s="2318"/>
      <c r="JE94" s="2318"/>
      <c r="JF94" s="2318"/>
      <c r="JG94" s="2318"/>
      <c r="JH94" s="2318"/>
      <c r="JI94" s="2318"/>
      <c r="JJ94" s="2318"/>
      <c r="JK94" s="2318"/>
      <c r="JL94" s="2318"/>
      <c r="JM94" s="2318"/>
      <c r="JN94" s="2318"/>
      <c r="JO94" s="2318"/>
      <c r="JP94" s="2318"/>
      <c r="JQ94" s="2318"/>
      <c r="JR94" s="2318"/>
      <c r="JS94" s="2318"/>
      <c r="JT94" s="2318"/>
      <c r="JV94" s="2318"/>
      <c r="JW94" s="2318"/>
      <c r="JX94" s="2318"/>
      <c r="JY94" s="2318"/>
      <c r="JZ94" s="2318"/>
    </row>
    <row r="95" spans="164:286">
      <c r="FH95" s="2320"/>
      <c r="FI95" s="2320"/>
      <c r="FJ95" s="2320"/>
      <c r="FK95" s="2320"/>
      <c r="FL95" s="2320"/>
      <c r="FM95" s="2320"/>
      <c r="FN95" s="2320"/>
      <c r="FO95" s="2320"/>
      <c r="FP95" s="2320"/>
      <c r="FQ95" s="2320"/>
      <c r="FR95" s="2320"/>
      <c r="FS95" s="2320"/>
      <c r="FT95" s="2320"/>
      <c r="FU95" s="2320"/>
      <c r="FV95" s="2320"/>
      <c r="FW95" s="2320"/>
      <c r="FX95" s="2318"/>
      <c r="FY95" s="2318"/>
      <c r="FZ95" s="2320"/>
      <c r="GA95" s="2320"/>
      <c r="GB95" s="2320"/>
      <c r="GC95" s="2320"/>
      <c r="GD95" s="2320"/>
      <c r="GE95" s="2320"/>
      <c r="GF95" s="2320"/>
      <c r="GG95" s="2320"/>
      <c r="GH95" s="2320"/>
      <c r="GI95" s="2320"/>
      <c r="GJ95" s="2320"/>
      <c r="GK95" s="2320"/>
      <c r="GL95" s="2320"/>
      <c r="GM95" s="2320"/>
      <c r="GN95" s="2320"/>
      <c r="GO95" s="2320"/>
      <c r="GP95" s="2320"/>
      <c r="GQ95" s="2320"/>
      <c r="GR95" s="2320"/>
      <c r="GS95" s="2320"/>
      <c r="GU95" s="2320"/>
      <c r="GV95" s="2320"/>
      <c r="GW95" s="2320"/>
      <c r="GX95" s="2320"/>
      <c r="GY95" s="2321"/>
      <c r="GZ95" s="2321"/>
      <c r="HA95" s="2321"/>
      <c r="HB95" s="2321"/>
      <c r="HC95" s="2321"/>
      <c r="HD95" s="2321"/>
      <c r="HE95" s="2321"/>
      <c r="HF95" s="2321"/>
      <c r="HG95" s="2321"/>
      <c r="HH95" s="2321"/>
      <c r="HI95" s="2321"/>
      <c r="HJ95" s="2321"/>
      <c r="HK95" s="2321"/>
      <c r="HL95" s="2321"/>
      <c r="HM95" s="2318"/>
      <c r="HO95" s="2318"/>
      <c r="HP95" s="2318"/>
      <c r="HQ95" s="2318"/>
      <c r="HR95" s="2318"/>
      <c r="HS95" s="2318"/>
      <c r="HT95" s="2318"/>
      <c r="HU95" s="2318"/>
      <c r="HV95" s="2318"/>
      <c r="HW95" s="2318"/>
      <c r="HX95" s="2318"/>
      <c r="HY95" s="2318"/>
      <c r="HZ95" s="2318"/>
      <c r="IA95" s="2318"/>
      <c r="IB95" s="2318"/>
      <c r="IC95" s="2318"/>
      <c r="ID95" s="2318"/>
      <c r="IE95" s="2318"/>
      <c r="IF95" s="2318"/>
      <c r="IH95" s="2318"/>
      <c r="II95" s="2318"/>
      <c r="IJ95" s="2318"/>
      <c r="IK95" s="2318"/>
      <c r="IL95" s="2318"/>
      <c r="IM95" s="2318"/>
      <c r="IN95" s="2318"/>
      <c r="IO95" s="2318"/>
      <c r="IP95" s="2318"/>
      <c r="IQ95" s="2318"/>
      <c r="IR95" s="2318"/>
      <c r="IS95" s="2318"/>
      <c r="IT95" s="2318"/>
      <c r="IU95" s="2318"/>
      <c r="IV95" s="2318"/>
      <c r="IW95" s="2318"/>
      <c r="IX95" s="2318"/>
      <c r="IY95" s="2318"/>
      <c r="JA95" s="2318"/>
      <c r="JB95" s="2318"/>
      <c r="JC95" s="2318"/>
      <c r="JD95" s="2318"/>
      <c r="JE95" s="2318"/>
      <c r="JF95" s="2318"/>
      <c r="JG95" s="2318"/>
      <c r="JH95" s="2318"/>
      <c r="JI95" s="2318"/>
      <c r="JJ95" s="2318"/>
      <c r="JK95" s="2318"/>
      <c r="JL95" s="2318"/>
      <c r="JM95" s="2318"/>
      <c r="JN95" s="2318"/>
      <c r="JO95" s="2318"/>
      <c r="JP95" s="2318"/>
      <c r="JQ95" s="2318"/>
      <c r="JR95" s="2318"/>
      <c r="JS95" s="2318"/>
      <c r="JT95" s="2318"/>
      <c r="JV95" s="2318"/>
      <c r="JW95" s="2318"/>
      <c r="JX95" s="2318"/>
      <c r="JY95" s="2318"/>
      <c r="JZ95" s="2318"/>
    </row>
    <row r="96" spans="164:286">
      <c r="FH96" s="2320"/>
      <c r="FI96" s="2320"/>
      <c r="FJ96" s="2320"/>
      <c r="FK96" s="2320"/>
      <c r="FL96" s="2320"/>
      <c r="FM96" s="2320"/>
      <c r="FN96" s="2320"/>
      <c r="FO96" s="2320"/>
      <c r="FP96" s="2320"/>
      <c r="FQ96" s="2320"/>
      <c r="FR96" s="2320"/>
      <c r="FS96" s="2320"/>
      <c r="FT96" s="2320"/>
      <c r="FU96" s="2320"/>
      <c r="FV96" s="2320"/>
      <c r="FW96" s="2320"/>
      <c r="FX96" s="2318"/>
      <c r="FY96" s="2318"/>
      <c r="FZ96" s="2320"/>
      <c r="GA96" s="2320"/>
      <c r="GB96" s="2320"/>
      <c r="GC96" s="2320"/>
      <c r="GD96" s="2320"/>
      <c r="GE96" s="2320"/>
      <c r="GF96" s="2320"/>
      <c r="GG96" s="2320"/>
      <c r="GH96" s="2320"/>
      <c r="GI96" s="2320"/>
      <c r="GJ96" s="2320"/>
      <c r="GK96" s="2320"/>
      <c r="GL96" s="2320"/>
      <c r="GM96" s="2320"/>
      <c r="GN96" s="2320"/>
      <c r="GO96" s="2320"/>
      <c r="GP96" s="2320"/>
      <c r="GQ96" s="2320"/>
      <c r="GR96" s="2320"/>
      <c r="GS96" s="2320"/>
      <c r="GU96" s="2320"/>
      <c r="GV96" s="2320"/>
      <c r="GW96" s="2320"/>
      <c r="GX96" s="2320"/>
      <c r="GY96" s="2321"/>
      <c r="GZ96" s="2321"/>
      <c r="HA96" s="2321"/>
      <c r="HB96" s="2321"/>
      <c r="HC96" s="2321"/>
      <c r="HD96" s="2321"/>
      <c r="HE96" s="2321"/>
      <c r="HF96" s="2321"/>
      <c r="HG96" s="2321"/>
      <c r="HH96" s="2321"/>
      <c r="HI96" s="2321"/>
      <c r="HJ96" s="2321"/>
      <c r="HK96" s="2321"/>
      <c r="HL96" s="2321"/>
      <c r="HM96" s="2318"/>
      <c r="HO96" s="2318"/>
      <c r="HP96" s="2318"/>
      <c r="HQ96" s="2318"/>
      <c r="HR96" s="2318"/>
      <c r="HS96" s="2318"/>
      <c r="HT96" s="2318"/>
      <c r="HU96" s="2318"/>
      <c r="HV96" s="2318"/>
      <c r="HW96" s="2318"/>
      <c r="HX96" s="2318"/>
      <c r="HY96" s="2318"/>
      <c r="HZ96" s="2318"/>
      <c r="IA96" s="2318"/>
      <c r="IB96" s="2318"/>
      <c r="IC96" s="2318"/>
      <c r="ID96" s="2318"/>
      <c r="IE96" s="2318"/>
      <c r="IF96" s="2318"/>
      <c r="IH96" s="2318"/>
      <c r="II96" s="2318"/>
      <c r="IJ96" s="2318"/>
      <c r="IK96" s="2318"/>
      <c r="IL96" s="2318"/>
      <c r="IM96" s="2318"/>
      <c r="IN96" s="2318"/>
      <c r="IO96" s="2318"/>
      <c r="IP96" s="2318"/>
      <c r="IQ96" s="2318"/>
      <c r="IR96" s="2318"/>
      <c r="IS96" s="2318"/>
      <c r="IT96" s="2318"/>
      <c r="IU96" s="2318"/>
      <c r="IV96" s="2318"/>
      <c r="IW96" s="2318"/>
      <c r="IX96" s="2318"/>
      <c r="IY96" s="2318"/>
      <c r="JA96" s="2318"/>
      <c r="JB96" s="2318"/>
      <c r="JC96" s="2318"/>
      <c r="JD96" s="2318"/>
      <c r="JE96" s="2318"/>
      <c r="JF96" s="2318"/>
      <c r="JG96" s="2318"/>
      <c r="JH96" s="2318"/>
      <c r="JI96" s="2318"/>
      <c r="JJ96" s="2318"/>
      <c r="JK96" s="2318"/>
      <c r="JL96" s="2318"/>
      <c r="JM96" s="2318"/>
      <c r="JN96" s="2318"/>
      <c r="JO96" s="2318"/>
      <c r="JP96" s="2318"/>
      <c r="JQ96" s="2318"/>
      <c r="JR96" s="2318"/>
      <c r="JS96" s="2318"/>
      <c r="JT96" s="2318"/>
      <c r="JV96" s="2318"/>
      <c r="JW96" s="2318"/>
      <c r="JX96" s="2318"/>
      <c r="JY96" s="2318"/>
      <c r="JZ96" s="2318"/>
    </row>
    <row r="97" spans="164:286">
      <c r="FH97" s="2320"/>
      <c r="FI97" s="2320"/>
      <c r="FJ97" s="2320"/>
      <c r="FK97" s="2320"/>
      <c r="FL97" s="2320"/>
      <c r="FM97" s="2320"/>
      <c r="FN97" s="2320"/>
      <c r="FO97" s="2320"/>
      <c r="FP97" s="2320"/>
      <c r="FQ97" s="2320"/>
      <c r="FR97" s="2320"/>
      <c r="FS97" s="2320"/>
      <c r="FT97" s="2320"/>
      <c r="FU97" s="2320"/>
      <c r="FV97" s="2320"/>
      <c r="FW97" s="2320"/>
      <c r="FX97" s="2318"/>
      <c r="FY97" s="2318"/>
      <c r="FZ97" s="2320"/>
      <c r="GA97" s="2320"/>
      <c r="GB97" s="2320"/>
      <c r="GC97" s="2320"/>
      <c r="GD97" s="2320"/>
      <c r="GE97" s="2320"/>
      <c r="GF97" s="2320"/>
      <c r="GG97" s="2320"/>
      <c r="GH97" s="2320"/>
      <c r="GI97" s="2320"/>
      <c r="GJ97" s="2320"/>
      <c r="GK97" s="2320"/>
      <c r="GL97" s="2320"/>
      <c r="GM97" s="2320"/>
      <c r="GN97" s="2320"/>
      <c r="GO97" s="2320"/>
      <c r="GP97" s="2320"/>
      <c r="GQ97" s="2320"/>
      <c r="GR97" s="2320"/>
      <c r="GS97" s="2320"/>
      <c r="GU97" s="2320"/>
      <c r="GV97" s="2320"/>
      <c r="GW97" s="2320"/>
      <c r="GX97" s="2320"/>
      <c r="GY97" s="2321"/>
      <c r="GZ97" s="2321"/>
      <c r="HA97" s="2321"/>
      <c r="HB97" s="2321"/>
      <c r="HC97" s="2321"/>
      <c r="HD97" s="2321"/>
      <c r="HE97" s="2321"/>
      <c r="HF97" s="2321"/>
      <c r="HG97" s="2321"/>
      <c r="HH97" s="2321"/>
      <c r="HI97" s="2321"/>
      <c r="HJ97" s="2321"/>
      <c r="HK97" s="2321"/>
      <c r="HL97" s="2321"/>
      <c r="HM97" s="2318"/>
      <c r="HO97" s="2318"/>
      <c r="HP97" s="2318"/>
      <c r="HQ97" s="2318"/>
      <c r="HR97" s="2318"/>
      <c r="HS97" s="2318"/>
      <c r="HT97" s="2318"/>
      <c r="HU97" s="2318"/>
      <c r="HV97" s="2318"/>
      <c r="HW97" s="2318"/>
      <c r="HX97" s="2318"/>
      <c r="HY97" s="2318"/>
      <c r="HZ97" s="2318"/>
      <c r="IA97" s="2318"/>
      <c r="IB97" s="2318"/>
      <c r="IC97" s="2318"/>
      <c r="ID97" s="2318"/>
      <c r="IE97" s="2318"/>
      <c r="IF97" s="2318"/>
      <c r="IH97" s="2318"/>
      <c r="II97" s="2318"/>
      <c r="IJ97" s="2318"/>
      <c r="IK97" s="2318"/>
      <c r="IL97" s="2318"/>
      <c r="IM97" s="2318"/>
      <c r="IN97" s="2318"/>
      <c r="IO97" s="2318"/>
      <c r="IP97" s="2318"/>
      <c r="IQ97" s="2318"/>
      <c r="IR97" s="2318"/>
      <c r="IS97" s="2318"/>
      <c r="IT97" s="2318"/>
      <c r="IU97" s="2318"/>
      <c r="IV97" s="2318"/>
      <c r="IW97" s="2318"/>
      <c r="IX97" s="2318"/>
      <c r="IY97" s="2318"/>
      <c r="JA97" s="2318"/>
      <c r="JB97" s="2318"/>
      <c r="JC97" s="2318"/>
      <c r="JD97" s="2318"/>
      <c r="JE97" s="2318"/>
      <c r="JF97" s="2318"/>
      <c r="JG97" s="2318"/>
      <c r="JH97" s="2318"/>
      <c r="JI97" s="2318"/>
      <c r="JJ97" s="2318"/>
      <c r="JK97" s="2318"/>
      <c r="JL97" s="2318"/>
      <c r="JM97" s="2318"/>
      <c r="JN97" s="2318"/>
      <c r="JO97" s="2318"/>
      <c r="JP97" s="2318"/>
      <c r="JQ97" s="2318"/>
      <c r="JR97" s="2318"/>
      <c r="JS97" s="2318"/>
      <c r="JT97" s="2318"/>
      <c r="JV97" s="2318"/>
      <c r="JW97" s="2318"/>
      <c r="JX97" s="2318"/>
      <c r="JY97" s="2318"/>
      <c r="JZ97" s="2318"/>
    </row>
    <row r="98" spans="164:286">
      <c r="FH98" s="2320"/>
      <c r="FI98" s="2320"/>
      <c r="FJ98" s="2320"/>
      <c r="FK98" s="2320"/>
      <c r="FL98" s="2320"/>
      <c r="FM98" s="2320"/>
      <c r="FN98" s="2320"/>
      <c r="FO98" s="2320"/>
      <c r="FP98" s="2320"/>
      <c r="FQ98" s="2320"/>
      <c r="FR98" s="2320"/>
      <c r="FS98" s="2320"/>
      <c r="FT98" s="2320"/>
      <c r="FU98" s="2320"/>
      <c r="FV98" s="2320"/>
      <c r="FW98" s="2320"/>
      <c r="FX98" s="2318"/>
      <c r="FY98" s="2318"/>
      <c r="FZ98" s="2320"/>
      <c r="GA98" s="2320"/>
      <c r="GB98" s="2320"/>
      <c r="GC98" s="2320"/>
      <c r="GD98" s="2320"/>
      <c r="GE98" s="2320"/>
      <c r="GF98" s="2320"/>
      <c r="GG98" s="2320"/>
      <c r="GH98" s="2320"/>
      <c r="GI98" s="2320"/>
      <c r="GJ98" s="2320"/>
      <c r="GK98" s="2320"/>
      <c r="GL98" s="2320"/>
      <c r="GM98" s="2320"/>
      <c r="GN98" s="2320"/>
      <c r="GO98" s="2320"/>
      <c r="GP98" s="2320"/>
      <c r="GQ98" s="2320"/>
      <c r="GR98" s="2320"/>
      <c r="GS98" s="2320"/>
      <c r="GU98" s="2320"/>
      <c r="GV98" s="2320"/>
      <c r="GW98" s="2320"/>
      <c r="GX98" s="2320"/>
      <c r="GY98" s="2321"/>
      <c r="GZ98" s="2321"/>
      <c r="HA98" s="2321"/>
      <c r="HB98" s="2321"/>
      <c r="HC98" s="2321"/>
      <c r="HD98" s="2321"/>
      <c r="HE98" s="2321"/>
      <c r="HF98" s="2321"/>
      <c r="HG98" s="2321"/>
      <c r="HH98" s="2321"/>
      <c r="HI98" s="2321"/>
      <c r="HJ98" s="2321"/>
      <c r="HK98" s="2321"/>
      <c r="HL98" s="2321"/>
      <c r="HM98" s="2318"/>
      <c r="HO98" s="2318"/>
      <c r="HP98" s="2318"/>
      <c r="HQ98" s="2318"/>
      <c r="HR98" s="2318"/>
      <c r="HS98" s="2318"/>
      <c r="HT98" s="2318"/>
      <c r="HU98" s="2318"/>
      <c r="HV98" s="2318"/>
      <c r="HW98" s="2318"/>
      <c r="HX98" s="2318"/>
      <c r="HY98" s="2318"/>
      <c r="HZ98" s="2318"/>
      <c r="IA98" s="2318"/>
      <c r="IB98" s="2318"/>
      <c r="IC98" s="2318"/>
      <c r="ID98" s="2318"/>
      <c r="IE98" s="2318"/>
      <c r="IF98" s="2318"/>
      <c r="IH98" s="2318"/>
      <c r="II98" s="2318"/>
      <c r="IJ98" s="2318"/>
      <c r="IK98" s="2318"/>
      <c r="IL98" s="2318"/>
      <c r="IM98" s="2318"/>
      <c r="IN98" s="2318"/>
      <c r="IO98" s="2318"/>
      <c r="IP98" s="2318"/>
      <c r="IQ98" s="2318"/>
      <c r="IR98" s="2318"/>
      <c r="IS98" s="2318"/>
      <c r="IT98" s="2318"/>
      <c r="IU98" s="2318"/>
      <c r="IV98" s="2318"/>
      <c r="IW98" s="2318"/>
      <c r="IX98" s="2318"/>
      <c r="IY98" s="2318"/>
      <c r="JA98" s="2318"/>
      <c r="JB98" s="2318"/>
      <c r="JC98" s="2318"/>
      <c r="JD98" s="2318"/>
      <c r="JE98" s="2318"/>
      <c r="JF98" s="2318"/>
      <c r="JG98" s="2318"/>
      <c r="JH98" s="2318"/>
      <c r="JI98" s="2318"/>
      <c r="JJ98" s="2318"/>
      <c r="JK98" s="2318"/>
      <c r="JL98" s="2318"/>
      <c r="JM98" s="2318"/>
      <c r="JN98" s="2318"/>
      <c r="JO98" s="2318"/>
      <c r="JP98" s="2318"/>
      <c r="JQ98" s="2318"/>
      <c r="JR98" s="2318"/>
      <c r="JS98" s="2318"/>
      <c r="JT98" s="2318"/>
      <c r="JV98" s="2318"/>
      <c r="JW98" s="2318"/>
      <c r="JX98" s="2318"/>
      <c r="JY98" s="2318"/>
      <c r="JZ98" s="2318"/>
    </row>
    <row r="99" spans="164:286">
      <c r="FH99" s="2320"/>
      <c r="FI99" s="2320"/>
      <c r="FJ99" s="2320"/>
      <c r="FK99" s="2320"/>
      <c r="FL99" s="2320"/>
      <c r="FM99" s="2320"/>
      <c r="FN99" s="2320"/>
      <c r="FO99" s="2320"/>
      <c r="FP99" s="2320"/>
      <c r="FQ99" s="2320"/>
      <c r="FR99" s="2320"/>
      <c r="FS99" s="2320"/>
      <c r="FT99" s="2320"/>
      <c r="FU99" s="2320"/>
      <c r="FV99" s="2320"/>
      <c r="FW99" s="2320"/>
      <c r="FX99" s="2318"/>
      <c r="FY99" s="2318"/>
      <c r="FZ99" s="2320"/>
      <c r="GA99" s="2320"/>
      <c r="GB99" s="2320"/>
      <c r="GC99" s="2320"/>
      <c r="GD99" s="2320"/>
      <c r="GE99" s="2320"/>
      <c r="GF99" s="2320"/>
      <c r="GG99" s="2320"/>
      <c r="GH99" s="2320"/>
      <c r="GI99" s="2320"/>
      <c r="GJ99" s="2320"/>
      <c r="GK99" s="2320"/>
      <c r="GL99" s="2320"/>
      <c r="GM99" s="2320"/>
      <c r="GN99" s="2320"/>
      <c r="GO99" s="2320"/>
      <c r="GP99" s="2320"/>
      <c r="GQ99" s="2320"/>
      <c r="GR99" s="2320"/>
      <c r="GS99" s="2320"/>
      <c r="GU99" s="2320"/>
      <c r="GV99" s="2320"/>
      <c r="GW99" s="2320"/>
      <c r="GX99" s="2320"/>
      <c r="GY99" s="2321"/>
      <c r="GZ99" s="2321"/>
      <c r="HA99" s="2321"/>
      <c r="HB99" s="2321"/>
      <c r="HC99" s="2321"/>
      <c r="HD99" s="2321"/>
      <c r="HE99" s="2321"/>
      <c r="HF99" s="2321"/>
      <c r="HG99" s="2321"/>
      <c r="HH99" s="2321"/>
      <c r="HI99" s="2321"/>
      <c r="HJ99" s="2321"/>
      <c r="HK99" s="2321"/>
      <c r="HL99" s="2321"/>
      <c r="HM99" s="2318"/>
      <c r="HO99" s="2318"/>
      <c r="HP99" s="2318"/>
      <c r="HQ99" s="2318"/>
      <c r="HR99" s="2318"/>
      <c r="HS99" s="2318"/>
      <c r="HT99" s="2318"/>
      <c r="HU99" s="2318"/>
      <c r="HV99" s="2318"/>
      <c r="HW99" s="2318"/>
      <c r="HX99" s="2318"/>
      <c r="HY99" s="2318"/>
      <c r="HZ99" s="2318"/>
      <c r="IA99" s="2318"/>
      <c r="IB99" s="2318"/>
      <c r="IC99" s="2318"/>
      <c r="ID99" s="2318"/>
      <c r="IE99" s="2318"/>
      <c r="IF99" s="2318"/>
      <c r="IH99" s="2318"/>
      <c r="II99" s="2318"/>
      <c r="IJ99" s="2318"/>
      <c r="IK99" s="2318"/>
      <c r="IL99" s="2318"/>
      <c r="IM99" s="2318"/>
      <c r="IN99" s="2318"/>
      <c r="IO99" s="2318"/>
      <c r="IP99" s="2318"/>
      <c r="IQ99" s="2318"/>
      <c r="IR99" s="2318"/>
      <c r="IS99" s="2318"/>
      <c r="IT99" s="2318"/>
      <c r="IU99" s="2318"/>
      <c r="IV99" s="2318"/>
      <c r="IW99" s="2318"/>
      <c r="IX99" s="2318"/>
      <c r="IY99" s="2318"/>
      <c r="JA99" s="2318"/>
      <c r="JB99" s="2318"/>
      <c r="JC99" s="2318"/>
      <c r="JD99" s="2318"/>
      <c r="JE99" s="2318"/>
      <c r="JF99" s="2318"/>
      <c r="JG99" s="2318"/>
      <c r="JH99" s="2318"/>
      <c r="JI99" s="2318"/>
      <c r="JJ99" s="2318"/>
      <c r="JK99" s="2318"/>
      <c r="JL99" s="2318"/>
      <c r="JM99" s="2318"/>
      <c r="JN99" s="2318"/>
      <c r="JO99" s="2318"/>
      <c r="JP99" s="2318"/>
      <c r="JQ99" s="2318"/>
      <c r="JR99" s="2318"/>
      <c r="JS99" s="2318"/>
      <c r="JT99" s="2318"/>
      <c r="JV99" s="2318"/>
      <c r="JW99" s="2318"/>
      <c r="JX99" s="2318"/>
      <c r="JY99" s="2318"/>
      <c r="JZ99" s="2318"/>
    </row>
    <row r="100" spans="164:286">
      <c r="FH100" s="2320"/>
      <c r="FI100" s="2320"/>
      <c r="FJ100" s="2320"/>
      <c r="FK100" s="2320"/>
      <c r="FL100" s="2320"/>
      <c r="FM100" s="2320"/>
      <c r="FN100" s="2320"/>
      <c r="FO100" s="2320"/>
      <c r="FP100" s="2320"/>
      <c r="FQ100" s="2320"/>
      <c r="FR100" s="2320"/>
      <c r="FS100" s="2320"/>
      <c r="FT100" s="2320"/>
      <c r="FU100" s="2320"/>
      <c r="FV100" s="2320"/>
      <c r="FW100" s="2320"/>
      <c r="FX100" s="2318"/>
      <c r="FY100" s="2318"/>
      <c r="FZ100" s="2320"/>
      <c r="GA100" s="2320"/>
      <c r="GB100" s="2320"/>
      <c r="GC100" s="2320"/>
      <c r="GD100" s="2320"/>
      <c r="GE100" s="2320"/>
      <c r="GF100" s="2320"/>
      <c r="GG100" s="2320"/>
      <c r="GH100" s="2320"/>
      <c r="GI100" s="2320"/>
      <c r="GJ100" s="2320"/>
      <c r="GK100" s="2320"/>
      <c r="GL100" s="2320"/>
      <c r="GM100" s="2320"/>
      <c r="GN100" s="2320"/>
      <c r="GO100" s="2320"/>
      <c r="GP100" s="2320"/>
      <c r="GQ100" s="2320"/>
      <c r="GR100" s="2320"/>
      <c r="GS100" s="2320"/>
      <c r="GU100" s="2320"/>
      <c r="GV100" s="2320"/>
      <c r="GW100" s="2320"/>
      <c r="GX100" s="2320"/>
      <c r="GY100" s="2321"/>
      <c r="GZ100" s="2321"/>
      <c r="HA100" s="2321"/>
      <c r="HB100" s="2321"/>
      <c r="HC100" s="2321"/>
      <c r="HD100" s="2321"/>
      <c r="HE100" s="2321"/>
      <c r="HF100" s="2321"/>
      <c r="HG100" s="2321"/>
      <c r="HH100" s="2321"/>
      <c r="HI100" s="2321"/>
      <c r="HJ100" s="2321"/>
      <c r="HK100" s="2321"/>
      <c r="HL100" s="2321"/>
      <c r="HM100" s="2318"/>
      <c r="HO100" s="2318"/>
      <c r="HP100" s="2318"/>
      <c r="HQ100" s="2318"/>
      <c r="HR100" s="2318"/>
      <c r="HS100" s="2318"/>
      <c r="HT100" s="2318"/>
      <c r="HU100" s="2318"/>
      <c r="HV100" s="2318"/>
      <c r="HW100" s="2318"/>
      <c r="HX100" s="2318"/>
      <c r="HY100" s="2318"/>
      <c r="HZ100" s="2318"/>
      <c r="IA100" s="2318"/>
      <c r="IB100" s="2318"/>
      <c r="IC100" s="2318"/>
      <c r="ID100" s="2318"/>
      <c r="IE100" s="2318"/>
      <c r="IF100" s="2318"/>
      <c r="IH100" s="2318"/>
      <c r="II100" s="2318"/>
      <c r="IJ100" s="2318"/>
      <c r="IK100" s="2318"/>
      <c r="IL100" s="2318"/>
      <c r="IM100" s="2318"/>
      <c r="IN100" s="2318"/>
      <c r="IO100" s="2318"/>
      <c r="IP100" s="2318"/>
      <c r="IQ100" s="2318"/>
      <c r="IR100" s="2318"/>
      <c r="IS100" s="2318"/>
      <c r="IT100" s="2318"/>
      <c r="IU100" s="2318"/>
      <c r="IV100" s="2318"/>
      <c r="IW100" s="2318"/>
      <c r="IX100" s="2318"/>
      <c r="IY100" s="2318"/>
      <c r="JA100" s="2318"/>
      <c r="JB100" s="2318"/>
      <c r="JC100" s="2318"/>
      <c r="JD100" s="2318"/>
      <c r="JE100" s="2318"/>
      <c r="JF100" s="2318"/>
      <c r="JG100" s="2318"/>
      <c r="JH100" s="2318"/>
      <c r="JI100" s="2318"/>
      <c r="JJ100" s="2318"/>
      <c r="JK100" s="2318"/>
      <c r="JL100" s="2318"/>
      <c r="JM100" s="2318"/>
      <c r="JN100" s="2318"/>
      <c r="JO100" s="2318"/>
      <c r="JP100" s="2318"/>
      <c r="JQ100" s="2318"/>
      <c r="JR100" s="2318"/>
      <c r="JS100" s="2318"/>
      <c r="JT100" s="2318"/>
      <c r="JV100" s="2318"/>
      <c r="JW100" s="2318"/>
      <c r="JX100" s="2318"/>
      <c r="JY100" s="2318"/>
      <c r="JZ100" s="2318"/>
    </row>
    <row r="101" spans="164:286">
      <c r="FH101" s="2320"/>
      <c r="FI101" s="2320"/>
      <c r="FJ101" s="2320"/>
      <c r="FK101" s="2320"/>
      <c r="FL101" s="2320"/>
      <c r="FM101" s="2320"/>
      <c r="FN101" s="2320"/>
      <c r="FO101" s="2320"/>
      <c r="FP101" s="2320"/>
      <c r="FQ101" s="2320"/>
      <c r="FR101" s="2320"/>
      <c r="FS101" s="2320"/>
      <c r="FT101" s="2320"/>
      <c r="FU101" s="2320"/>
      <c r="FV101" s="2320"/>
      <c r="FW101" s="2320"/>
      <c r="FX101" s="2318"/>
      <c r="FY101" s="2318"/>
      <c r="FZ101" s="2320"/>
      <c r="GA101" s="2320"/>
      <c r="GB101" s="2320"/>
      <c r="GC101" s="2320"/>
      <c r="GD101" s="2320"/>
      <c r="GE101" s="2320"/>
      <c r="GF101" s="2320"/>
      <c r="GG101" s="2320"/>
      <c r="GH101" s="2320"/>
      <c r="GI101" s="2320"/>
      <c r="GJ101" s="2320"/>
      <c r="GK101" s="2320"/>
      <c r="GL101" s="2320"/>
      <c r="GM101" s="2320"/>
      <c r="GN101" s="2320"/>
      <c r="GO101" s="2320"/>
      <c r="GP101" s="2320"/>
      <c r="GQ101" s="2320"/>
      <c r="GR101" s="2320"/>
      <c r="GS101" s="2320"/>
      <c r="GU101" s="2320"/>
      <c r="GV101" s="2320"/>
      <c r="GW101" s="2320"/>
      <c r="GX101" s="2320"/>
      <c r="GY101" s="2321"/>
      <c r="GZ101" s="2321"/>
      <c r="HA101" s="2321"/>
      <c r="HB101" s="2321"/>
      <c r="HC101" s="2321"/>
      <c r="HD101" s="2321"/>
      <c r="HE101" s="2321"/>
      <c r="HF101" s="2321"/>
      <c r="HG101" s="2321"/>
      <c r="HH101" s="2321"/>
      <c r="HI101" s="2321"/>
      <c r="HJ101" s="2321"/>
      <c r="HK101" s="2321"/>
      <c r="HL101" s="2321"/>
      <c r="HM101" s="2318"/>
      <c r="HO101" s="2318"/>
      <c r="HP101" s="2318"/>
      <c r="HQ101" s="2318"/>
      <c r="HR101" s="2318"/>
      <c r="HS101" s="2318"/>
      <c r="HT101" s="2318"/>
      <c r="HU101" s="2318"/>
      <c r="HV101" s="2318"/>
      <c r="HW101" s="2318"/>
      <c r="HX101" s="2318"/>
      <c r="HY101" s="2318"/>
      <c r="HZ101" s="2318"/>
      <c r="IA101" s="2318"/>
      <c r="IB101" s="2318"/>
      <c r="IC101" s="2318"/>
      <c r="ID101" s="2318"/>
      <c r="IE101" s="2318"/>
      <c r="IF101" s="2318"/>
      <c r="IH101" s="2318"/>
      <c r="II101" s="2318"/>
      <c r="IJ101" s="2318"/>
      <c r="IK101" s="2318"/>
      <c r="IL101" s="2318"/>
      <c r="IM101" s="2318"/>
      <c r="IN101" s="2318"/>
      <c r="IO101" s="2318"/>
      <c r="IP101" s="2318"/>
      <c r="IQ101" s="2318"/>
      <c r="IR101" s="2318"/>
      <c r="IS101" s="2318"/>
      <c r="IT101" s="2318"/>
      <c r="IU101" s="2318"/>
      <c r="IV101" s="2318"/>
      <c r="IW101" s="2318"/>
      <c r="IX101" s="2318"/>
      <c r="IY101" s="2318"/>
      <c r="JA101" s="2318"/>
      <c r="JB101" s="2318"/>
      <c r="JC101" s="2318"/>
      <c r="JD101" s="2318"/>
      <c r="JE101" s="2318"/>
      <c r="JF101" s="2318"/>
      <c r="JG101" s="2318"/>
      <c r="JH101" s="2318"/>
      <c r="JI101" s="2318"/>
      <c r="JJ101" s="2318"/>
      <c r="JK101" s="2318"/>
      <c r="JL101" s="2318"/>
      <c r="JM101" s="2318"/>
      <c r="JN101" s="2318"/>
      <c r="JO101" s="2318"/>
      <c r="JP101" s="2318"/>
      <c r="JQ101" s="2318"/>
      <c r="JR101" s="2318"/>
      <c r="JS101" s="2318"/>
      <c r="JT101" s="2318"/>
      <c r="JV101" s="2318"/>
      <c r="JW101" s="2318"/>
      <c r="JX101" s="2318"/>
      <c r="JY101" s="2318"/>
      <c r="JZ101" s="2318"/>
    </row>
    <row r="102" spans="164:286">
      <c r="FH102" s="2320"/>
      <c r="FI102" s="2320"/>
      <c r="FJ102" s="2320"/>
      <c r="FK102" s="2320"/>
      <c r="FL102" s="2320"/>
      <c r="FM102" s="2320"/>
      <c r="FN102" s="2320"/>
      <c r="FO102" s="2320"/>
      <c r="FP102" s="2320"/>
      <c r="FQ102" s="2320"/>
      <c r="FR102" s="2320"/>
      <c r="FS102" s="2320"/>
      <c r="FT102" s="2320"/>
      <c r="FU102" s="2320"/>
      <c r="FV102" s="2320"/>
      <c r="FW102" s="2320"/>
      <c r="FX102" s="2318"/>
      <c r="FY102" s="2318"/>
      <c r="FZ102" s="2320"/>
      <c r="GA102" s="2320"/>
      <c r="GB102" s="2320"/>
      <c r="GC102" s="2320"/>
      <c r="GD102" s="2320"/>
      <c r="GE102" s="2320"/>
      <c r="GF102" s="2320"/>
      <c r="GG102" s="2320"/>
      <c r="GH102" s="2320"/>
      <c r="GI102" s="2320"/>
      <c r="GJ102" s="2320"/>
      <c r="GK102" s="2320"/>
      <c r="GL102" s="2320"/>
      <c r="GM102" s="2320"/>
      <c r="GN102" s="2320"/>
      <c r="GO102" s="2320"/>
      <c r="GP102" s="2320"/>
      <c r="GQ102" s="2320"/>
      <c r="GR102" s="2320"/>
      <c r="GS102" s="2320"/>
      <c r="GU102" s="2320"/>
      <c r="GV102" s="2320"/>
      <c r="GW102" s="2320"/>
      <c r="GX102" s="2320"/>
      <c r="GY102" s="2321"/>
      <c r="GZ102" s="2321"/>
      <c r="HA102" s="2321"/>
      <c r="HB102" s="2321"/>
      <c r="HC102" s="2321"/>
      <c r="HD102" s="2321"/>
      <c r="HE102" s="2321"/>
      <c r="HF102" s="2321"/>
      <c r="HG102" s="2321"/>
      <c r="HH102" s="2321"/>
      <c r="HI102" s="2321"/>
      <c r="HJ102" s="2321"/>
      <c r="HK102" s="2321"/>
      <c r="HL102" s="2321"/>
      <c r="HM102" s="2318"/>
      <c r="HO102" s="2318"/>
      <c r="HP102" s="2318"/>
      <c r="HQ102" s="2318"/>
      <c r="HR102" s="2318"/>
      <c r="HS102" s="2318"/>
      <c r="HT102" s="2318"/>
      <c r="HU102" s="2318"/>
      <c r="HV102" s="2318"/>
      <c r="HW102" s="2318"/>
      <c r="HX102" s="2318"/>
      <c r="HY102" s="2318"/>
      <c r="HZ102" s="2318"/>
      <c r="IA102" s="2318"/>
      <c r="IB102" s="2318"/>
      <c r="IC102" s="2318"/>
      <c r="ID102" s="2318"/>
      <c r="IE102" s="2318"/>
      <c r="IF102" s="2318"/>
      <c r="IH102" s="2318"/>
      <c r="II102" s="2318"/>
      <c r="IJ102" s="2318"/>
      <c r="IK102" s="2318"/>
      <c r="IL102" s="2318"/>
      <c r="IM102" s="2318"/>
      <c r="IN102" s="2318"/>
      <c r="IO102" s="2318"/>
      <c r="IP102" s="2318"/>
      <c r="IQ102" s="2318"/>
      <c r="IR102" s="2318"/>
      <c r="IS102" s="2318"/>
      <c r="IT102" s="2318"/>
      <c r="IU102" s="2318"/>
      <c r="IV102" s="2318"/>
      <c r="IW102" s="2318"/>
      <c r="IX102" s="2318"/>
      <c r="IY102" s="2318"/>
      <c r="JA102" s="2318"/>
      <c r="JB102" s="2318"/>
      <c r="JC102" s="2318"/>
      <c r="JD102" s="2318"/>
      <c r="JE102" s="2318"/>
      <c r="JF102" s="2318"/>
      <c r="JG102" s="2318"/>
      <c r="JH102" s="2318"/>
      <c r="JI102" s="2318"/>
      <c r="JJ102" s="2318"/>
      <c r="JK102" s="2318"/>
      <c r="JL102" s="2318"/>
      <c r="JM102" s="2318"/>
      <c r="JN102" s="2318"/>
      <c r="JO102" s="2318"/>
      <c r="JP102" s="2318"/>
      <c r="JQ102" s="2318"/>
      <c r="JR102" s="2318"/>
      <c r="JS102" s="2318"/>
      <c r="JT102" s="2318"/>
      <c r="JV102" s="2318"/>
      <c r="JW102" s="2318"/>
      <c r="JX102" s="2318"/>
      <c r="JY102" s="2318"/>
      <c r="JZ102" s="2318"/>
    </row>
    <row r="103" spans="164:286">
      <c r="FH103" s="2320"/>
      <c r="FI103" s="2320"/>
      <c r="FJ103" s="2320"/>
      <c r="FK103" s="2320"/>
      <c r="FL103" s="2320"/>
      <c r="FM103" s="2320"/>
      <c r="FN103" s="2320"/>
      <c r="FO103" s="2320"/>
      <c r="FP103" s="2320"/>
      <c r="FQ103" s="2320"/>
      <c r="FR103" s="2320"/>
      <c r="FS103" s="2320"/>
      <c r="FT103" s="2320"/>
      <c r="FU103" s="2320"/>
      <c r="FV103" s="2320"/>
      <c r="FW103" s="2320"/>
      <c r="FX103" s="2318"/>
      <c r="FY103" s="2318"/>
      <c r="FZ103" s="2320"/>
      <c r="GA103" s="2320"/>
      <c r="GB103" s="2320"/>
      <c r="GC103" s="2320"/>
      <c r="GD103" s="2320"/>
      <c r="GE103" s="2320"/>
      <c r="GF103" s="2320"/>
      <c r="GG103" s="2320"/>
      <c r="GH103" s="2320"/>
      <c r="GI103" s="2320"/>
      <c r="GJ103" s="2320"/>
      <c r="GK103" s="2320"/>
      <c r="GL103" s="2320"/>
      <c r="GM103" s="2320"/>
      <c r="GN103" s="2320"/>
      <c r="GO103" s="2320"/>
      <c r="GP103" s="2320"/>
      <c r="GQ103" s="2320"/>
      <c r="GR103" s="2320"/>
      <c r="GS103" s="2320"/>
      <c r="GU103" s="2320"/>
      <c r="GV103" s="2320"/>
      <c r="GW103" s="2320"/>
      <c r="GX103" s="2320"/>
      <c r="GY103" s="2321"/>
      <c r="GZ103" s="2321"/>
      <c r="HA103" s="2321"/>
      <c r="HB103" s="2321"/>
      <c r="HC103" s="2321"/>
      <c r="HD103" s="2321"/>
      <c r="HE103" s="2321"/>
      <c r="HF103" s="2321"/>
      <c r="HG103" s="2321"/>
      <c r="HH103" s="2321"/>
      <c r="HI103" s="2321"/>
      <c r="HJ103" s="2321"/>
      <c r="HK103" s="2321"/>
      <c r="HL103" s="2321"/>
      <c r="HM103" s="2318"/>
      <c r="HO103" s="2318"/>
      <c r="HP103" s="2318"/>
      <c r="HQ103" s="2318"/>
      <c r="HR103" s="2318"/>
      <c r="HS103" s="2318"/>
      <c r="HT103" s="2318"/>
      <c r="HU103" s="2318"/>
      <c r="HV103" s="2318"/>
      <c r="HW103" s="2318"/>
      <c r="HX103" s="2318"/>
      <c r="HY103" s="2318"/>
      <c r="HZ103" s="2318"/>
      <c r="IA103" s="2318"/>
      <c r="IB103" s="2318"/>
      <c r="IC103" s="2318"/>
      <c r="ID103" s="2318"/>
      <c r="IE103" s="2318"/>
      <c r="IF103" s="2318"/>
      <c r="IH103" s="2318"/>
      <c r="II103" s="2318"/>
      <c r="IJ103" s="2318"/>
      <c r="IK103" s="2318"/>
      <c r="IL103" s="2318"/>
      <c r="IM103" s="2318"/>
      <c r="IN103" s="2318"/>
      <c r="IO103" s="2318"/>
      <c r="IP103" s="2318"/>
      <c r="IQ103" s="2318"/>
      <c r="IR103" s="2318"/>
      <c r="IS103" s="2318"/>
      <c r="IT103" s="2318"/>
      <c r="IU103" s="2318"/>
      <c r="IV103" s="2318"/>
      <c r="IW103" s="2318"/>
      <c r="IX103" s="2318"/>
      <c r="IY103" s="2318"/>
      <c r="JA103" s="2318"/>
      <c r="JB103" s="2318"/>
      <c r="JC103" s="2318"/>
      <c r="JD103" s="2318"/>
      <c r="JE103" s="2318"/>
      <c r="JF103" s="2318"/>
      <c r="JG103" s="2318"/>
      <c r="JH103" s="2318"/>
      <c r="JI103" s="2318"/>
      <c r="JJ103" s="2318"/>
      <c r="JK103" s="2318"/>
      <c r="JL103" s="2318"/>
      <c r="JM103" s="2318"/>
      <c r="JN103" s="2318"/>
      <c r="JO103" s="2318"/>
      <c r="JP103" s="2318"/>
      <c r="JQ103" s="2318"/>
      <c r="JR103" s="2318"/>
      <c r="JS103" s="2318"/>
      <c r="JT103" s="2318"/>
      <c r="JV103" s="2318"/>
      <c r="JW103" s="2318"/>
      <c r="JX103" s="2318"/>
      <c r="JY103" s="2318"/>
      <c r="JZ103" s="2318"/>
    </row>
  </sheetData>
  <sortState ref="A121:T141">
    <sortCondition descending="1" ref="L121:L141"/>
  </sortState>
  <mergeCells count="2">
    <mergeCell ref="SS35:SV37"/>
    <mergeCell ref="SS38:SV39"/>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CC88"/>
  <sheetViews>
    <sheetView showGridLines="0" zoomScale="90" zoomScaleNormal="90" workbookViewId="0">
      <pane xSplit="2" ySplit="3" topLeftCell="Q34" activePane="bottomRight" state="frozen"/>
      <selection pane="topRight" activeCell="C1" sqref="C1"/>
      <selection pane="bottomLeft" activeCell="A4" sqref="A4"/>
      <selection pane="bottomRight" activeCell="X78" sqref="X78"/>
    </sheetView>
  </sheetViews>
  <sheetFormatPr defaultColWidth="11.42578125" defaultRowHeight="12.75"/>
  <cols>
    <col min="1" max="1" width="15.7109375" style="2292" customWidth="1"/>
    <col min="2" max="2" width="11.5703125" style="2301" customWidth="1"/>
    <col min="3" max="3" width="19.140625" style="2292" customWidth="1"/>
    <col min="4" max="4" width="9" style="2292" customWidth="1"/>
    <col min="5" max="5" width="9.28515625" style="2292" bestFit="1" customWidth="1"/>
    <col min="6" max="6" width="9" style="2292" bestFit="1" customWidth="1"/>
    <col min="7" max="7" width="10.85546875" style="2292" customWidth="1"/>
    <col min="8" max="8" width="11" style="2292" bestFit="1" customWidth="1"/>
    <col min="9" max="9" width="11.5703125" style="2292" bestFit="1" customWidth="1"/>
    <col min="10" max="12" width="11" style="2292" bestFit="1" customWidth="1"/>
    <col min="13" max="13" width="11.5703125" style="2292" customWidth="1"/>
    <col min="14" max="14" width="11.42578125" style="2292"/>
    <col min="15" max="16" width="11.5703125" style="2292" customWidth="1"/>
    <col min="17" max="17" width="11.7109375" style="2292" customWidth="1"/>
    <col min="18" max="23" width="11" style="2292" bestFit="1" customWidth="1"/>
    <col min="24" max="24" width="11.140625" style="2292" customWidth="1"/>
    <col min="25" max="25" width="11.85546875" style="2292" customWidth="1"/>
    <col min="26" max="26" width="11.28515625" style="2292" customWidth="1"/>
    <col min="27" max="32" width="11" style="2292" bestFit="1" customWidth="1"/>
    <col min="33" max="33" width="11.5703125" style="2292" bestFit="1" customWidth="1"/>
    <col min="34" max="38" width="11" style="2292" bestFit="1" customWidth="1"/>
    <col min="39" max="39" width="10.140625" style="2292" customWidth="1"/>
    <col min="40" max="43" width="11" style="2288" hidden="1" customWidth="1"/>
    <col min="44" max="44" width="10.140625" style="2288" customWidth="1"/>
    <col min="45" max="46" width="10.140625" style="2292" customWidth="1"/>
    <col min="47" max="61" width="11" style="2292" bestFit="1" customWidth="1"/>
    <col min="62" max="63" width="10.140625" style="2292" customWidth="1"/>
    <col min="64" max="78" width="11" style="2292" bestFit="1" customWidth="1"/>
    <col min="79" max="79" width="11.42578125" style="2292"/>
    <col min="80" max="80" width="11.5703125" style="2291"/>
    <col min="81" max="16384" width="11.42578125" style="2292"/>
  </cols>
  <sheetData>
    <row r="1" spans="1:80">
      <c r="A1" s="109" t="s">
        <v>1100</v>
      </c>
      <c r="B1" s="2087"/>
      <c r="C1" s="214"/>
      <c r="D1"/>
      <c r="E1"/>
      <c r="F1"/>
      <c r="G1"/>
      <c r="H1"/>
      <c r="I1"/>
      <c r="J1"/>
      <c r="K1"/>
      <c r="L1"/>
      <c r="M1"/>
      <c r="N1"/>
      <c r="O1"/>
      <c r="P1"/>
      <c r="Q1"/>
      <c r="R1"/>
      <c r="S1"/>
      <c r="T1"/>
      <c r="U1"/>
      <c r="V1"/>
      <c r="W1"/>
      <c r="X1"/>
      <c r="Y1"/>
      <c r="Z1"/>
      <c r="AA1"/>
      <c r="AB1"/>
      <c r="AC1" s="1"/>
      <c r="AD1" s="1"/>
      <c r="AE1"/>
      <c r="AF1"/>
      <c r="AG1" s="1"/>
      <c r="AH1" s="1"/>
      <c r="AI1" s="1"/>
      <c r="AJ1" s="1"/>
      <c r="AK1"/>
      <c r="AL1"/>
      <c r="AM1" s="3396"/>
      <c r="AN1" s="216"/>
      <c r="AO1" s="216"/>
      <c r="AP1" s="216"/>
      <c r="AQ1" s="216"/>
      <c r="AR1" s="216"/>
      <c r="AS1" s="3396"/>
      <c r="AT1" s="3902"/>
      <c r="AU1" s="3902"/>
      <c r="AV1" s="1032">
        <v>1</v>
      </c>
      <c r="AW1" s="1032">
        <v>2</v>
      </c>
      <c r="AX1" s="1032">
        <v>3</v>
      </c>
      <c r="AY1" s="3902"/>
      <c r="AZ1" s="1032">
        <v>1</v>
      </c>
      <c r="BA1" s="1032">
        <v>2</v>
      </c>
      <c r="BB1" s="1032">
        <v>3</v>
      </c>
      <c r="BC1" s="3902"/>
      <c r="BD1" s="1032">
        <v>1</v>
      </c>
      <c r="BE1" s="1032">
        <v>2</v>
      </c>
      <c r="BF1" s="1032">
        <v>3</v>
      </c>
      <c r="BG1" s="3902"/>
      <c r="BH1" s="3902"/>
      <c r="BI1" s="3902"/>
      <c r="BJ1"/>
      <c r="BK1" s="1358" t="s">
        <v>1082</v>
      </c>
      <c r="BL1" s="3902"/>
      <c r="BM1" s="1032">
        <v>1</v>
      </c>
      <c r="BN1" s="1032">
        <v>2</v>
      </c>
      <c r="BO1" s="1032">
        <v>3</v>
      </c>
      <c r="BP1" s="3902"/>
      <c r="BQ1" s="1032">
        <v>1</v>
      </c>
      <c r="BR1" s="1032">
        <v>2</v>
      </c>
      <c r="BS1" s="1032">
        <v>3</v>
      </c>
      <c r="BT1" s="3902"/>
      <c r="BU1" s="1032">
        <v>1</v>
      </c>
      <c r="BV1" s="1032">
        <v>2</v>
      </c>
      <c r="BW1" s="1032">
        <v>3</v>
      </c>
      <c r="BX1" s="3902"/>
      <c r="BY1" s="3902"/>
      <c r="BZ1" s="3902"/>
      <c r="CA1" s="3902"/>
    </row>
    <row r="2" spans="1:80">
      <c r="A2" s="2707" t="s">
        <v>1952</v>
      </c>
      <c r="B2" s="2198"/>
      <c r="C2" s="2192" t="s">
        <v>729</v>
      </c>
      <c r="D2" s="4564" t="s">
        <v>731</v>
      </c>
      <c r="E2" s="4565"/>
      <c r="F2" s="4566"/>
      <c r="G2" s="1448">
        <v>40178</v>
      </c>
      <c r="H2" s="1449">
        <f>G2</f>
        <v>40178</v>
      </c>
      <c r="I2" s="1449">
        <f t="shared" ref="I2:N2" si="0">H2</f>
        <v>40178</v>
      </c>
      <c r="J2" s="1449">
        <f t="shared" si="0"/>
        <v>40178</v>
      </c>
      <c r="K2" s="1450">
        <f t="shared" si="0"/>
        <v>40178</v>
      </c>
      <c r="L2" s="1448">
        <f t="shared" si="0"/>
        <v>40178</v>
      </c>
      <c r="M2" s="1449">
        <f t="shared" si="0"/>
        <v>40178</v>
      </c>
      <c r="N2" s="1449">
        <f t="shared" si="0"/>
        <v>40178</v>
      </c>
      <c r="O2" s="1448">
        <v>40543</v>
      </c>
      <c r="P2" s="1449">
        <f>O2</f>
        <v>40543</v>
      </c>
      <c r="Q2" s="1449">
        <f t="shared" ref="Q2:V2" si="1">P2</f>
        <v>40543</v>
      </c>
      <c r="R2" s="1449">
        <f t="shared" si="1"/>
        <v>40543</v>
      </c>
      <c r="S2" s="1450">
        <f t="shared" si="1"/>
        <v>40543</v>
      </c>
      <c r="T2" s="1448">
        <f t="shared" si="1"/>
        <v>40543</v>
      </c>
      <c r="U2" s="1449">
        <f t="shared" si="1"/>
        <v>40543</v>
      </c>
      <c r="V2" s="1449">
        <f t="shared" si="1"/>
        <v>40543</v>
      </c>
      <c r="W2" s="1448">
        <v>40908</v>
      </c>
      <c r="X2" s="1449">
        <f>W2</f>
        <v>40908</v>
      </c>
      <c r="Y2" s="1449">
        <f t="shared" ref="Y2:AD2" si="2">X2</f>
        <v>40908</v>
      </c>
      <c r="Z2" s="1449">
        <f t="shared" si="2"/>
        <v>40908</v>
      </c>
      <c r="AA2" s="1450">
        <f t="shared" si="2"/>
        <v>40908</v>
      </c>
      <c r="AB2" s="1448">
        <f t="shared" si="2"/>
        <v>40908</v>
      </c>
      <c r="AC2" s="1449">
        <f t="shared" si="2"/>
        <v>40908</v>
      </c>
      <c r="AD2" s="1449">
        <f t="shared" si="2"/>
        <v>40908</v>
      </c>
      <c r="AE2" s="1448">
        <v>41274</v>
      </c>
      <c r="AF2" s="1449">
        <f>AE2</f>
        <v>41274</v>
      </c>
      <c r="AG2" s="1449">
        <f t="shared" ref="AG2:AL2" si="3">AF2</f>
        <v>41274</v>
      </c>
      <c r="AH2" s="1449">
        <f t="shared" si="3"/>
        <v>41274</v>
      </c>
      <c r="AI2" s="1450">
        <f t="shared" si="3"/>
        <v>41274</v>
      </c>
      <c r="AJ2" s="1448">
        <f t="shared" si="3"/>
        <v>41274</v>
      </c>
      <c r="AK2" s="1449">
        <f t="shared" si="3"/>
        <v>41274</v>
      </c>
      <c r="AL2" s="1449">
        <f t="shared" si="3"/>
        <v>41274</v>
      </c>
      <c r="AM2" s="3396"/>
      <c r="AN2" s="217">
        <v>40178</v>
      </c>
      <c r="AO2" s="217">
        <v>40543</v>
      </c>
      <c r="AP2" s="217">
        <v>40908</v>
      </c>
      <c r="AQ2" s="217">
        <v>41274</v>
      </c>
      <c r="AR2" s="174" t="s">
        <v>1629</v>
      </c>
      <c r="AS2" s="3396"/>
      <c r="AT2" s="185" t="s">
        <v>724</v>
      </c>
      <c r="AU2" s="5">
        <v>40178</v>
      </c>
      <c r="AV2" s="5">
        <v>40268</v>
      </c>
      <c r="AW2" s="5">
        <v>40359</v>
      </c>
      <c r="AX2" s="5">
        <v>40451</v>
      </c>
      <c r="AY2" s="5">
        <v>40543</v>
      </c>
      <c r="AZ2" s="5">
        <v>40633</v>
      </c>
      <c r="BA2" s="5">
        <v>40724</v>
      </c>
      <c r="BB2" s="5">
        <v>40816</v>
      </c>
      <c r="BC2" s="5">
        <v>40908</v>
      </c>
      <c r="BD2" s="5">
        <v>40999</v>
      </c>
      <c r="BE2" s="5">
        <v>41090</v>
      </c>
      <c r="BF2" s="5">
        <v>41182</v>
      </c>
      <c r="BG2" s="5">
        <v>41274</v>
      </c>
      <c r="BH2" s="5">
        <v>41364</v>
      </c>
      <c r="BI2" s="24">
        <v>41455</v>
      </c>
      <c r="BJ2" s="24"/>
      <c r="BK2" s="2297" t="s">
        <v>724</v>
      </c>
      <c r="BL2" s="5">
        <v>40178</v>
      </c>
      <c r="BM2" s="5">
        <v>40268</v>
      </c>
      <c r="BN2" s="5">
        <v>40359</v>
      </c>
      <c r="BO2" s="5">
        <v>40451</v>
      </c>
      <c r="BP2" s="5">
        <v>40543</v>
      </c>
      <c r="BQ2" s="5">
        <v>40633</v>
      </c>
      <c r="BR2" s="5">
        <v>40724</v>
      </c>
      <c r="BS2" s="5">
        <v>40816</v>
      </c>
      <c r="BT2" s="5">
        <v>40908</v>
      </c>
      <c r="BU2" s="5">
        <v>40999</v>
      </c>
      <c r="BV2" s="5">
        <v>41090</v>
      </c>
      <c r="BW2" s="5">
        <v>41182</v>
      </c>
      <c r="BX2" s="5">
        <v>41274</v>
      </c>
      <c r="BY2" s="5">
        <v>41364</v>
      </c>
      <c r="BZ2" s="24">
        <v>41455</v>
      </c>
      <c r="CA2"/>
      <c r="CB2" s="2298"/>
    </row>
    <row r="3" spans="1:80">
      <c r="A3" s="1197" t="s">
        <v>403</v>
      </c>
      <c r="B3" s="1196">
        <v>8</v>
      </c>
      <c r="C3" s="2193" t="s">
        <v>728</v>
      </c>
      <c r="D3" s="1447" t="s">
        <v>730</v>
      </c>
      <c r="E3" s="1447" t="s">
        <v>732</v>
      </c>
      <c r="F3" s="1447" t="s">
        <v>739</v>
      </c>
      <c r="G3" s="1448" t="s">
        <v>442</v>
      </c>
      <c r="H3" s="1197" t="s">
        <v>101</v>
      </c>
      <c r="I3" s="1197" t="s">
        <v>404</v>
      </c>
      <c r="J3" s="1197" t="s">
        <v>405</v>
      </c>
      <c r="K3" s="1451" t="s">
        <v>408</v>
      </c>
      <c r="L3" s="1448" t="s">
        <v>726</v>
      </c>
      <c r="M3" s="1452" t="s">
        <v>441</v>
      </c>
      <c r="N3" s="1453" t="s">
        <v>727</v>
      </c>
      <c r="O3" s="1448" t="s">
        <v>442</v>
      </c>
      <c r="P3" s="1197" t="s">
        <v>101</v>
      </c>
      <c r="Q3" s="1197" t="s">
        <v>404</v>
      </c>
      <c r="R3" s="1197" t="s">
        <v>405</v>
      </c>
      <c r="S3" s="1451" t="s">
        <v>408</v>
      </c>
      <c r="T3" s="1448" t="s">
        <v>726</v>
      </c>
      <c r="U3" s="1452" t="s">
        <v>441</v>
      </c>
      <c r="V3" s="1453" t="s">
        <v>727</v>
      </c>
      <c r="W3" s="1448" t="s">
        <v>442</v>
      </c>
      <c r="X3" s="1197" t="s">
        <v>101</v>
      </c>
      <c r="Y3" s="1197" t="s">
        <v>404</v>
      </c>
      <c r="Z3" s="1197" t="s">
        <v>405</v>
      </c>
      <c r="AA3" s="1451" t="s">
        <v>408</v>
      </c>
      <c r="AB3" s="1448" t="s">
        <v>726</v>
      </c>
      <c r="AC3" s="1452" t="s">
        <v>441</v>
      </c>
      <c r="AD3" s="1453" t="s">
        <v>727</v>
      </c>
      <c r="AE3" s="1448" t="s">
        <v>442</v>
      </c>
      <c r="AF3" s="1197" t="s">
        <v>101</v>
      </c>
      <c r="AG3" s="1197" t="s">
        <v>404</v>
      </c>
      <c r="AH3" s="1197" t="s">
        <v>405</v>
      </c>
      <c r="AI3" s="1451" t="s">
        <v>408</v>
      </c>
      <c r="AJ3" s="1448" t="s">
        <v>726</v>
      </c>
      <c r="AK3" s="1452" t="s">
        <v>441</v>
      </c>
      <c r="AL3" s="1453" t="s">
        <v>727</v>
      </c>
      <c r="AM3" s="3396"/>
      <c r="AN3" s="174" t="s">
        <v>1627</v>
      </c>
      <c r="AO3" s="174" t="s">
        <v>1627</v>
      </c>
      <c r="AP3" s="174" t="s">
        <v>1627</v>
      </c>
      <c r="AQ3" s="174" t="s">
        <v>1627</v>
      </c>
      <c r="AR3" s="174" t="s">
        <v>1628</v>
      </c>
      <c r="AS3" s="3396"/>
      <c r="AT3" s="185" t="s">
        <v>725</v>
      </c>
      <c r="AU3" s="4" t="s">
        <v>723</v>
      </c>
      <c r="AV3" s="4" t="s">
        <v>723</v>
      </c>
      <c r="AW3" s="4" t="s">
        <v>723</v>
      </c>
      <c r="AX3" s="4" t="s">
        <v>723</v>
      </c>
      <c r="AY3" s="4" t="s">
        <v>723</v>
      </c>
      <c r="AZ3" s="4" t="s">
        <v>723</v>
      </c>
      <c r="BA3" s="4" t="s">
        <v>723</v>
      </c>
      <c r="BB3" s="4" t="s">
        <v>723</v>
      </c>
      <c r="BC3" s="4" t="s">
        <v>723</v>
      </c>
      <c r="BD3" s="4" t="s">
        <v>723</v>
      </c>
      <c r="BE3" s="4" t="s">
        <v>723</v>
      </c>
      <c r="BF3" s="4" t="s">
        <v>723</v>
      </c>
      <c r="BG3" s="4" t="s">
        <v>723</v>
      </c>
      <c r="BH3" s="4" t="s">
        <v>723</v>
      </c>
      <c r="BI3" s="4" t="s">
        <v>723</v>
      </c>
      <c r="BJ3" s="4"/>
      <c r="BK3" s="2297" t="s">
        <v>725</v>
      </c>
      <c r="BL3" s="4" t="s">
        <v>1081</v>
      </c>
      <c r="BM3" s="4" t="s">
        <v>1081</v>
      </c>
      <c r="BN3" s="4" t="s">
        <v>1081</v>
      </c>
      <c r="BO3" s="4" t="s">
        <v>1081</v>
      </c>
      <c r="BP3" s="4" t="s">
        <v>1081</v>
      </c>
      <c r="BQ3" s="4" t="s">
        <v>1081</v>
      </c>
      <c r="BR3" s="4" t="s">
        <v>1081</v>
      </c>
      <c r="BS3" s="4" t="s">
        <v>1081</v>
      </c>
      <c r="BT3" s="4" t="s">
        <v>1081</v>
      </c>
      <c r="BU3" s="4" t="s">
        <v>1081</v>
      </c>
      <c r="BV3" s="4" t="s">
        <v>1081</v>
      </c>
      <c r="BW3" s="4" t="s">
        <v>1081</v>
      </c>
      <c r="BX3" s="4" t="s">
        <v>1081</v>
      </c>
      <c r="BY3" s="4" t="s">
        <v>1081</v>
      </c>
      <c r="BZ3" s="4" t="s">
        <v>1081</v>
      </c>
      <c r="CA3"/>
    </row>
    <row r="4" spans="1:80">
      <c r="A4" s="448"/>
      <c r="B4" s="2199"/>
      <c r="C4" s="2194"/>
      <c r="D4" s="1190"/>
      <c r="E4" s="1190"/>
      <c r="F4" s="33"/>
      <c r="G4" s="6"/>
      <c r="H4" s="6"/>
      <c r="I4" s="6"/>
      <c r="J4" s="6"/>
      <c r="K4" s="6"/>
      <c r="L4" s="6"/>
      <c r="M4" s="6"/>
      <c r="N4" s="6"/>
      <c r="O4" s="8"/>
      <c r="P4" s="6"/>
      <c r="Q4" s="6"/>
      <c r="R4" s="6"/>
      <c r="S4" s="6"/>
      <c r="T4" s="6"/>
      <c r="U4" s="6"/>
      <c r="V4" s="6"/>
      <c r="W4" s="8"/>
      <c r="X4" s="6"/>
      <c r="Y4" s="6"/>
      <c r="Z4" s="6"/>
      <c r="AA4" s="6"/>
      <c r="AB4" s="6"/>
      <c r="AC4" s="6"/>
      <c r="AD4" s="6"/>
      <c r="AE4" s="8"/>
      <c r="AF4" s="6"/>
      <c r="AG4" s="6"/>
      <c r="AH4" s="6"/>
      <c r="AI4" s="6"/>
      <c r="AJ4" s="6"/>
      <c r="AK4" s="6"/>
      <c r="AL4" s="33"/>
      <c r="AM4" s="3396"/>
      <c r="AN4" s="216"/>
      <c r="AO4" s="216"/>
      <c r="AP4" s="216"/>
      <c r="AQ4" s="216"/>
      <c r="AR4" s="216"/>
      <c r="AS4" s="3396"/>
      <c r="AT4"/>
      <c r="AU4"/>
      <c r="AV4"/>
      <c r="AW4"/>
      <c r="AX4"/>
      <c r="AY4"/>
      <c r="AZ4"/>
      <c r="BA4"/>
      <c r="BB4"/>
      <c r="BC4"/>
      <c r="BD4"/>
      <c r="BE4"/>
      <c r="BF4"/>
      <c r="BG4"/>
      <c r="BH4"/>
      <c r="BI4"/>
      <c r="BJ4"/>
      <c r="BK4"/>
      <c r="BL4"/>
      <c r="BM4"/>
      <c r="BN4"/>
      <c r="BO4"/>
      <c r="BP4"/>
      <c r="BQ4"/>
      <c r="BR4"/>
      <c r="BS4"/>
      <c r="BT4"/>
      <c r="BU4"/>
      <c r="BV4"/>
      <c r="BW4"/>
      <c r="BX4"/>
      <c r="BY4"/>
      <c r="BZ4"/>
      <c r="CA4"/>
    </row>
    <row r="5" spans="1:80">
      <c r="A5" s="31" t="s">
        <v>498</v>
      </c>
      <c r="B5" s="83" t="s">
        <v>52</v>
      </c>
      <c r="C5" s="2195">
        <f t="shared" ref="C5:C27" si="4">AVERAGE(L5,T5,AB5,AJ5)</f>
        <v>0.37382176061566441</v>
      </c>
      <c r="D5" s="1184">
        <f>CALCULATIONS!JC5</f>
        <v>7.2799548070315856E-2</v>
      </c>
      <c r="E5" s="1184">
        <f>CALCULATIONS!JD5</f>
        <v>0.14127907721011346</v>
      </c>
      <c r="F5" s="471">
        <f>CALCULATIONS!JY5</f>
        <v>0.34346263458677162</v>
      </c>
      <c r="G5" s="449">
        <f>'Bloom Cleaner Data'!AJ5</f>
        <v>24548</v>
      </c>
      <c r="H5" s="449" t="str">
        <f>RATINGS!D798</f>
        <v>BBB+</v>
      </c>
      <c r="I5" s="450">
        <f t="shared" ref="I5:I27" si="5">INDEX($D$39:$K$49,MATCH(H5,$A$39:$A$49,0),MATCH(J5,$D$38:$K$38,0))/100</f>
        <v>4.4912000000000001E-2</v>
      </c>
      <c r="J5" s="193">
        <f>$B$3</f>
        <v>8</v>
      </c>
      <c r="K5" s="451">
        <f>(1-1/(1+I5)^J5)/I5*G5/J5</f>
        <v>20246.755045418417</v>
      </c>
      <c r="L5" s="452">
        <f>K5/('Bloom Cleaner Data'!T5)</f>
        <v>0.45840325677908023</v>
      </c>
      <c r="M5" s="452">
        <f>K5/('Bloom Cleaner Data'!T5+K5)</f>
        <v>0.31431859099894993</v>
      </c>
      <c r="N5" s="452">
        <f t="shared" ref="N5:N14" si="6">K5/G5</f>
        <v>0.82478226517102882</v>
      </c>
      <c r="O5" s="186">
        <f>'Bloom Cleaner Data'!AK5</f>
        <v>17663</v>
      </c>
      <c r="P5" s="449" t="str">
        <f>RATINGS!H798</f>
        <v>BBB+</v>
      </c>
      <c r="Q5" s="450">
        <f t="shared" ref="Q5:Q27" si="7">INDEX($D$39:$K$49,MATCH(P5,$A$39:$A$49,0),MATCH(R5,$D$38:$K$38,0))/100</f>
        <v>4.4912000000000001E-2</v>
      </c>
      <c r="R5" s="193">
        <f>$B$3</f>
        <v>8</v>
      </c>
      <c r="S5" s="451">
        <f>(1-1/(1+Q5)^R5)/Q5*O5/R5</f>
        <v>14568.129149715882</v>
      </c>
      <c r="T5" s="452">
        <f>S5/('Bloom Cleaner Data'!X5)</f>
        <v>0.32112439160860295</v>
      </c>
      <c r="U5" s="452">
        <f>S5/('Bloom Cleaner Data'!X5+S5)</f>
        <v>0.24306900519609773</v>
      </c>
      <c r="V5" s="452">
        <f t="shared" ref="V5:V14" si="8">S5/O5</f>
        <v>0.82478226517102882</v>
      </c>
      <c r="W5" s="186">
        <f>'Bloom Cleaner Data'!AL5</f>
        <v>17470</v>
      </c>
      <c r="X5" s="95" t="str">
        <f>RATINGS!L798</f>
        <v>BBB+</v>
      </c>
      <c r="Y5" s="450">
        <f t="shared" ref="Y5:Y27" si="9">INDEX($D$39:$K$49,MATCH(X5,$A$39:$A$49,0),MATCH(Z5,$D$38:$K$38,0))/100</f>
        <v>4.4912000000000001E-2</v>
      </c>
      <c r="Z5" s="193">
        <f>$B$3</f>
        <v>8</v>
      </c>
      <c r="AA5" s="451">
        <f>(1-1/(1+Y5)^Z5)/Y5*W5/Z5</f>
        <v>14408.946172537873</v>
      </c>
      <c r="AB5" s="452">
        <f>AA5/('Bloom Cleaner Data'!AB5)</f>
        <v>0.34147658954730004</v>
      </c>
      <c r="AC5" s="452">
        <f>AA5/('Bloom Cleaner Data'!AB5+AA5)</f>
        <v>0.25455277580545488</v>
      </c>
      <c r="AD5" s="452">
        <f t="shared" ref="AD5:AD27" si="10">AA5/W5</f>
        <v>0.82478226517102882</v>
      </c>
      <c r="AE5" s="186">
        <f>'Bloom Cleaner Data'!AM5</f>
        <v>17502</v>
      </c>
      <c r="AF5" s="95" t="str">
        <f>RATINGS!P798</f>
        <v>BBB+</v>
      </c>
      <c r="AG5" s="450">
        <f t="shared" ref="AG5:AG27" si="11">INDEX($D$39:$K$49,MATCH(AF5,$A$39:$A$49,0),MATCH(AH5,$D$38:$K$38,0))/100</f>
        <v>4.4912000000000001E-2</v>
      </c>
      <c r="AH5" s="193">
        <f>$B$3</f>
        <v>8</v>
      </c>
      <c r="AI5" s="451">
        <f>(1-1/(1+AG5)^AH5)/AG5*AE5/AH5</f>
        <v>14435.339205023347</v>
      </c>
      <c r="AJ5" s="452">
        <f>AI5/('Bloom Cleaner Data'!AF5)</f>
        <v>0.37428280452767443</v>
      </c>
      <c r="AK5" s="452">
        <f>AI5/('Bloom Cleaner Data'!AF5+AI5)</f>
        <v>0.27234773170018034</v>
      </c>
      <c r="AL5" s="453">
        <f t="shared" ref="AL5:AL27" si="12">AI5/AE5</f>
        <v>0.82478226517102882</v>
      </c>
      <c r="AM5" s="3396"/>
      <c r="AN5" s="229">
        <f>K5/G5</f>
        <v>0.82478226517102882</v>
      </c>
      <c r="AO5" s="229">
        <f>S5/O5</f>
        <v>0.82478226517102882</v>
      </c>
      <c r="AP5" s="229">
        <f>AA5/W5</f>
        <v>0.82478226517102882</v>
      </c>
      <c r="AQ5" s="229">
        <f>AI5/AE5</f>
        <v>0.82478226517102882</v>
      </c>
      <c r="AR5" s="467">
        <f>AVERAGE(AO5:AQ5)</f>
        <v>0.82478226517102871</v>
      </c>
      <c r="AS5" s="3396"/>
      <c r="AT5"/>
      <c r="AU5" s="13">
        <f t="shared" ref="AU5:AU27" si="13">K5</f>
        <v>20246.755045418417</v>
      </c>
      <c r="AV5" s="26">
        <f t="shared" ref="AV5:AX27" si="14">$AU5+($AY5-$AU5)*AV$1/4</f>
        <v>18827.098571492781</v>
      </c>
      <c r="AW5" s="26">
        <f t="shared" si="14"/>
        <v>17407.442097567149</v>
      </c>
      <c r="AX5" s="26">
        <f t="shared" si="14"/>
        <v>15987.785623641515</v>
      </c>
      <c r="AY5" s="13">
        <f t="shared" ref="AY5:AY27" si="15">S5</f>
        <v>14568.129149715882</v>
      </c>
      <c r="AZ5" s="26">
        <f t="shared" ref="AZ5:BB27" si="16">$AY5+($BC5-$AY5)*AZ$1/4</f>
        <v>14528.333405421379</v>
      </c>
      <c r="BA5" s="26">
        <f t="shared" si="16"/>
        <v>14488.537661126877</v>
      </c>
      <c r="BB5" s="26">
        <f t="shared" si="16"/>
        <v>14448.741916832376</v>
      </c>
      <c r="BC5" s="13">
        <f t="shared" ref="BC5:BC27" si="17">AA5</f>
        <v>14408.946172537873</v>
      </c>
      <c r="BD5" s="26">
        <f t="shared" ref="BD5:BF27" si="18">$BC5+($BG5-$BC5)*BD$1/4</f>
        <v>14415.544430659242</v>
      </c>
      <c r="BE5" s="26">
        <f t="shared" si="18"/>
        <v>14422.14268878061</v>
      </c>
      <c r="BF5" s="26">
        <f t="shared" si="18"/>
        <v>14428.740946901979</v>
      </c>
      <c r="BG5" s="13">
        <f>AI5</f>
        <v>14435.339205023347</v>
      </c>
      <c r="BH5" s="26">
        <f>BG5</f>
        <v>14435.339205023347</v>
      </c>
      <c r="BI5" s="26">
        <f>BH5</f>
        <v>14435.339205023347</v>
      </c>
      <c r="BJ5" s="26"/>
      <c r="BK5"/>
      <c r="BL5" s="13">
        <f>G5/(J5-1)</f>
        <v>3506.8571428571427</v>
      </c>
      <c r="BM5" s="26">
        <f>$BL5+($BP5-$BL5)*BM$1/4</f>
        <v>3182.1116071428569</v>
      </c>
      <c r="BN5" s="26">
        <f t="shared" ref="BN5:BO20" si="19">$BL5+($BP5-$BL5)*BN$1/4</f>
        <v>2857.3660714285716</v>
      </c>
      <c r="BO5" s="26">
        <f t="shared" si="19"/>
        <v>2532.6205357142858</v>
      </c>
      <c r="BP5" s="13">
        <f>O5/R5</f>
        <v>2207.875</v>
      </c>
      <c r="BQ5" s="26">
        <f>$BP5+($BT5-$BP5)*BQ$1/4</f>
        <v>2201.84375</v>
      </c>
      <c r="BR5" s="26">
        <f t="shared" ref="BR5:BS20" si="20">$BP5+($BT5-$BP5)*BR$1/4</f>
        <v>2195.8125</v>
      </c>
      <c r="BS5" s="26">
        <f t="shared" si="20"/>
        <v>2189.78125</v>
      </c>
      <c r="BT5" s="13">
        <f t="shared" ref="BT5:BT11" si="21">W5/Z5</f>
        <v>2183.75</v>
      </c>
      <c r="BU5" s="26">
        <f>$BT5+($BX5-$BT5)*BU$1/4</f>
        <v>2184.75</v>
      </c>
      <c r="BV5" s="26">
        <f t="shared" ref="BV5:BW20" si="22">$BT5+($BX5-$BT5)*BV$1/4</f>
        <v>2185.75</v>
      </c>
      <c r="BW5" s="26">
        <f t="shared" si="22"/>
        <v>2186.75</v>
      </c>
      <c r="BX5" s="13">
        <f>AE5/AH5</f>
        <v>2187.75</v>
      </c>
      <c r="BY5" s="26">
        <f>BX5</f>
        <v>2187.75</v>
      </c>
      <c r="BZ5" s="26">
        <f>BY5</f>
        <v>2187.75</v>
      </c>
      <c r="CA5"/>
    </row>
    <row r="6" spans="1:80">
      <c r="A6" s="31" t="s">
        <v>385</v>
      </c>
      <c r="B6" s="83" t="s">
        <v>276</v>
      </c>
      <c r="C6" s="2195">
        <f t="shared" si="4"/>
        <v>2.7961278082264694E-2</v>
      </c>
      <c r="D6" s="1184">
        <f>CALCULATIONS!JC6</f>
        <v>6.4842828807925579E-3</v>
      </c>
      <c r="E6" s="1184">
        <f>CALCULATIONS!JD6</f>
        <v>1.3219701596443154E-2</v>
      </c>
      <c r="F6" s="471">
        <f>CALCULATIONS!JY6</f>
        <v>2.647280349562214E-2</v>
      </c>
      <c r="G6" s="449">
        <f>'Bloom Cleaner Data'!AJ6</f>
        <v>122.795</v>
      </c>
      <c r="H6" s="449" t="str">
        <f>RATINGS!D799</f>
        <v>BBB</v>
      </c>
      <c r="I6" s="450">
        <f t="shared" si="5"/>
        <v>4.9021999999999996E-2</v>
      </c>
      <c r="J6" s="193">
        <f t="shared" ref="J6:J27" si="23">$B$3</f>
        <v>8</v>
      </c>
      <c r="K6" s="451">
        <f t="shared" ref="K6:K27" si="24">(1-1/(1+I6)^J6)/I6*G6/J6</f>
        <v>99.599669283650783</v>
      </c>
      <c r="L6" s="452">
        <f>K6/('Bloom Cleaner Data'!T6)</f>
        <v>3.1666089919165613E-2</v>
      </c>
      <c r="M6" s="452">
        <f>K6/('Bloom Cleaner Data'!T6+K6)</f>
        <v>3.0694126935631616E-2</v>
      </c>
      <c r="N6" s="452">
        <f t="shared" si="6"/>
        <v>0.81110525089499397</v>
      </c>
      <c r="O6" s="186">
        <f>'Bloom Cleaner Data'!AK6</f>
        <v>109.989</v>
      </c>
      <c r="P6" s="449" t="str">
        <f>RATINGS!H799</f>
        <v>BBB</v>
      </c>
      <c r="Q6" s="450">
        <f t="shared" si="7"/>
        <v>4.9021999999999996E-2</v>
      </c>
      <c r="R6" s="193">
        <f t="shared" ref="R6:R27" si="25">$B$3</f>
        <v>8</v>
      </c>
      <c r="S6" s="451">
        <f t="shared" ref="S6:S27" si="26">(1-1/(1+Q6)^R6)/Q6*O6/R6</f>
        <v>89.212655440689488</v>
      </c>
      <c r="T6" s="452">
        <f>S6/('Bloom Cleaner Data'!X6)</f>
        <v>2.6630476477815954E-2</v>
      </c>
      <c r="U6" s="452">
        <f>S6/('Bloom Cleaner Data'!X6+S6)</f>
        <v>2.593969016893042E-2</v>
      </c>
      <c r="V6" s="452">
        <f t="shared" si="8"/>
        <v>0.81110525089499386</v>
      </c>
      <c r="W6" s="186">
        <f>'Bloom Cleaner Data'!AL6</f>
        <v>109.435</v>
      </c>
      <c r="X6" s="95" t="str">
        <f>RATINGS!L799</f>
        <v>BBB</v>
      </c>
      <c r="Y6" s="450">
        <f t="shared" si="9"/>
        <v>4.9021999999999996E-2</v>
      </c>
      <c r="Z6" s="193">
        <f t="shared" ref="Z6:Z27" si="27">$B$3</f>
        <v>8</v>
      </c>
      <c r="AA6" s="451">
        <f t="shared" ref="AA6:AA27" si="28">(1-1/(1+Y6)^Z6)/Y6*W6/Z6</f>
        <v>88.763303131693661</v>
      </c>
      <c r="AB6" s="452">
        <f>AA6/('Bloom Cleaner Data'!AB6)</f>
        <v>2.6709273674318367E-2</v>
      </c>
      <c r="AC6" s="452">
        <f>AA6/('Bloom Cleaner Data'!AB6+AA6)</f>
        <v>2.6014446697976153E-2</v>
      </c>
      <c r="AD6" s="452">
        <f t="shared" si="10"/>
        <v>0.81110525089499397</v>
      </c>
      <c r="AE6" s="186">
        <f>'Bloom Cleaner Data'!AM6</f>
        <v>105.739</v>
      </c>
      <c r="AF6" s="95" t="str">
        <f>RATINGS!P799</f>
        <v>BBB</v>
      </c>
      <c r="AG6" s="450">
        <f t="shared" si="11"/>
        <v>4.9021999999999996E-2</v>
      </c>
      <c r="AH6" s="193">
        <f t="shared" ref="AH6:AH27" si="29">$B$3</f>
        <v>8</v>
      </c>
      <c r="AI6" s="451">
        <f t="shared" ref="AI6:AI27" si="30">(1-1/(1+AG6)^AH6)/AG6*AE6/AH6</f>
        <v>85.765458124385773</v>
      </c>
      <c r="AJ6" s="452">
        <f>AI6/('Bloom Cleaner Data'!AF6)</f>
        <v>2.6839272257758836E-2</v>
      </c>
      <c r="AK6" s="452">
        <f>AI6/('Bloom Cleaner Data'!AF6+AI6)</f>
        <v>2.613775396294114E-2</v>
      </c>
      <c r="AL6" s="453">
        <f t="shared" si="12"/>
        <v>0.81110525089499397</v>
      </c>
      <c r="AM6" s="3396"/>
      <c r="AN6" s="229">
        <f t="shared" ref="AN6:AN27" si="31">K6/G6</f>
        <v>0.81110525089499397</v>
      </c>
      <c r="AO6" s="229">
        <f t="shared" ref="AO6:AO27" si="32">S6/O6</f>
        <v>0.81110525089499386</v>
      </c>
      <c r="AP6" s="229">
        <f t="shared" ref="AP6:AP27" si="33">AA6/W6</f>
        <v>0.81110525089499397</v>
      </c>
      <c r="AQ6" s="229">
        <f t="shared" ref="AQ6:AQ27" si="34">AI6/AE6</f>
        <v>0.81110525089499397</v>
      </c>
      <c r="AR6" s="467">
        <f t="shared" ref="AR6:AR27" si="35">AVERAGE(AO6:AQ6)</f>
        <v>0.81110525089499397</v>
      </c>
      <c r="AS6" s="3396"/>
      <c r="AT6"/>
      <c r="AU6" s="13">
        <f t="shared" si="13"/>
        <v>99.599669283650783</v>
      </c>
      <c r="AV6" s="26">
        <f t="shared" si="14"/>
        <v>97.002915822910467</v>
      </c>
      <c r="AW6" s="26">
        <f t="shared" si="14"/>
        <v>94.406162362170136</v>
      </c>
      <c r="AX6" s="26">
        <f t="shared" si="14"/>
        <v>91.809408901429805</v>
      </c>
      <c r="AY6" s="13">
        <f t="shared" si="15"/>
        <v>89.212655440689488</v>
      </c>
      <c r="AZ6" s="26">
        <f t="shared" si="16"/>
        <v>89.100317363440524</v>
      </c>
      <c r="BA6" s="26">
        <f t="shared" si="16"/>
        <v>88.987979286191575</v>
      </c>
      <c r="BB6" s="26">
        <f t="shared" si="16"/>
        <v>88.875641208942625</v>
      </c>
      <c r="BC6" s="13">
        <f t="shared" si="17"/>
        <v>88.763303131693661</v>
      </c>
      <c r="BD6" s="26">
        <f t="shared" si="18"/>
        <v>88.013841879866689</v>
      </c>
      <c r="BE6" s="26">
        <f t="shared" si="18"/>
        <v>87.264380628039717</v>
      </c>
      <c r="BF6" s="26">
        <f t="shared" si="18"/>
        <v>86.514919376212745</v>
      </c>
      <c r="BG6" s="13">
        <f t="shared" ref="BG6:BG27" si="36">AI6</f>
        <v>85.765458124385773</v>
      </c>
      <c r="BH6" s="26">
        <f t="shared" ref="BH6:BI27" si="37">BG6</f>
        <v>85.765458124385773</v>
      </c>
      <c r="BI6" s="26">
        <f t="shared" si="37"/>
        <v>85.765458124385773</v>
      </c>
      <c r="BJ6" s="26"/>
      <c r="BK6"/>
      <c r="BL6" s="13">
        <f t="shared" ref="BL6:BL27" si="38">G6/(J6-1)</f>
        <v>17.542142857142856</v>
      </c>
      <c r="BM6" s="26">
        <f t="shared" ref="BM6:BO27" si="39">$BL6+($BP6-$BL6)*BM$1/4</f>
        <v>16.593763392857142</v>
      </c>
      <c r="BN6" s="26">
        <f t="shared" si="19"/>
        <v>15.645383928571428</v>
      </c>
      <c r="BO6" s="26">
        <f t="shared" si="19"/>
        <v>14.697004464285715</v>
      </c>
      <c r="BP6" s="13">
        <f t="shared" ref="BP6:BP27" si="40">O6/R6</f>
        <v>13.748625000000001</v>
      </c>
      <c r="BQ6" s="26">
        <f t="shared" ref="BQ6:BS27" si="41">$BP6+($BT6-$BP6)*BQ$1/4</f>
        <v>13.731312500000001</v>
      </c>
      <c r="BR6" s="26">
        <f t="shared" si="20"/>
        <v>13.714</v>
      </c>
      <c r="BS6" s="26">
        <f t="shared" si="20"/>
        <v>13.696687499999999</v>
      </c>
      <c r="BT6" s="13">
        <f t="shared" si="21"/>
        <v>13.679375</v>
      </c>
      <c r="BU6" s="26">
        <f t="shared" ref="BU6:BW26" si="42">$BT6+($BX6-$BT6)*BU$1/4</f>
        <v>13.563874999999999</v>
      </c>
      <c r="BV6" s="26">
        <f t="shared" si="22"/>
        <v>13.448375</v>
      </c>
      <c r="BW6" s="26">
        <f t="shared" si="22"/>
        <v>13.332875000000001</v>
      </c>
      <c r="BX6" s="13">
        <f t="shared" ref="BX6:BX27" si="43">AE6/AH6</f>
        <v>13.217375000000001</v>
      </c>
      <c r="BY6" s="26">
        <f t="shared" ref="BY6:BY27" si="44">BX6</f>
        <v>13.217375000000001</v>
      </c>
      <c r="BZ6" s="26">
        <f t="shared" ref="BZ6:BZ27" si="45">BY6</f>
        <v>13.217375000000001</v>
      </c>
      <c r="CA6"/>
    </row>
    <row r="7" spans="1:80">
      <c r="A7" s="1140" t="s">
        <v>319</v>
      </c>
      <c r="B7" s="1370" t="s">
        <v>750</v>
      </c>
      <c r="C7" s="2196">
        <f t="shared" si="4"/>
        <v>0.16459885189047749</v>
      </c>
      <c r="D7" s="1185">
        <f>CALCULATIONS!JC7</f>
        <v>2.3186825311846848E-2</v>
      </c>
      <c r="E7" s="1185">
        <f>CALCULATIONS!JD7</f>
        <v>0.13338182932260462</v>
      </c>
      <c r="F7" s="1141">
        <f>CALCULATIONS!JY7</f>
        <v>0.16567978274254216</v>
      </c>
      <c r="G7" s="1142">
        <f>'Bloom Cleaner Data'!AJ7</f>
        <v>325</v>
      </c>
      <c r="H7" s="1142" t="str">
        <f>RATINGS!D800</f>
        <v>A</v>
      </c>
      <c r="I7" s="1143">
        <f t="shared" si="5"/>
        <v>4.1006999999999995E-2</v>
      </c>
      <c r="J7" s="1142">
        <f t="shared" si="23"/>
        <v>8</v>
      </c>
      <c r="K7" s="1144">
        <f t="shared" si="24"/>
        <v>272.38400340378695</v>
      </c>
      <c r="L7" s="700">
        <f>K7/('Bloom Cleaner Data'!T7)</f>
        <v>0.15311073828206123</v>
      </c>
      <c r="M7" s="700">
        <f>K7/('Bloom Cleaner Data'!T7+K7)</f>
        <v>0.13278060224308566</v>
      </c>
      <c r="N7" s="700">
        <f t="shared" si="6"/>
        <v>0.83810462585780598</v>
      </c>
      <c r="O7" s="1145">
        <f>'Bloom Cleaner Data'!AK7</f>
        <v>329</v>
      </c>
      <c r="P7" s="1142" t="str">
        <f>RATINGS!H800</f>
        <v>A</v>
      </c>
      <c r="Q7" s="1143">
        <f t="shared" si="7"/>
        <v>4.1006999999999995E-2</v>
      </c>
      <c r="R7" s="1142">
        <f t="shared" si="25"/>
        <v>8</v>
      </c>
      <c r="S7" s="1144">
        <f t="shared" si="26"/>
        <v>275.73642190721819</v>
      </c>
      <c r="T7" s="700">
        <f>S7/('Bloom Cleaner Data'!X7)</f>
        <v>0.17652779891627285</v>
      </c>
      <c r="U7" s="700">
        <f>S7/('Bloom Cleaner Data'!X7+S7)</f>
        <v>0.15004133270703565</v>
      </c>
      <c r="V7" s="700">
        <f t="shared" si="8"/>
        <v>0.83810462585780598</v>
      </c>
      <c r="W7" s="1145">
        <f>'Bloom Cleaner Data'!AL7</f>
        <v>330</v>
      </c>
      <c r="X7" s="1775" t="str">
        <f>RATINGS!L800</f>
        <v>A</v>
      </c>
      <c r="Y7" s="1143">
        <f t="shared" si="9"/>
        <v>4.1006999999999995E-2</v>
      </c>
      <c r="Z7" s="1142">
        <f t="shared" si="27"/>
        <v>8</v>
      </c>
      <c r="AA7" s="1144">
        <f t="shared" si="28"/>
        <v>276.57452653307598</v>
      </c>
      <c r="AB7" s="700">
        <f>AA7/('Bloom Cleaner Data'!AB7)</f>
        <v>0.17114760305264604</v>
      </c>
      <c r="AC7" s="700">
        <f>AA7/('Bloom Cleaner Data'!AB7+AA7)</f>
        <v>0.14613666339455633</v>
      </c>
      <c r="AD7" s="700">
        <f t="shared" si="10"/>
        <v>0.83810462585780598</v>
      </c>
      <c r="AE7" s="1145">
        <f>'Bloom Cleaner Data'!AM7</f>
        <v>318</v>
      </c>
      <c r="AF7" s="1775" t="str">
        <f>RATINGS!P800</f>
        <v>A</v>
      </c>
      <c r="AG7" s="1143">
        <f t="shared" si="11"/>
        <v>4.1006999999999995E-2</v>
      </c>
      <c r="AH7" s="1142">
        <f t="shared" si="29"/>
        <v>8</v>
      </c>
      <c r="AI7" s="1144">
        <f t="shared" si="30"/>
        <v>266.51727102278232</v>
      </c>
      <c r="AJ7" s="700">
        <f>AI7/('Bloom Cleaner Data'!AF7)</f>
        <v>0.15760926731092981</v>
      </c>
      <c r="AK7" s="700">
        <f>AI7/('Bloom Cleaner Data'!AF7+AI7)</f>
        <v>0.1361506613341551</v>
      </c>
      <c r="AL7" s="1146">
        <f t="shared" si="12"/>
        <v>0.8381046258578061</v>
      </c>
      <c r="AM7" s="1147"/>
      <c r="AN7" s="696">
        <f t="shared" si="31"/>
        <v>0.83810462585780598</v>
      </c>
      <c r="AO7" s="696">
        <f t="shared" si="32"/>
        <v>0.83810462585780598</v>
      </c>
      <c r="AP7" s="696">
        <f t="shared" si="33"/>
        <v>0.83810462585780598</v>
      </c>
      <c r="AQ7" s="696">
        <f t="shared" si="34"/>
        <v>0.8381046258578061</v>
      </c>
      <c r="AR7" s="695">
        <f t="shared" si="35"/>
        <v>0.83810462585780598</v>
      </c>
      <c r="AS7" s="1147"/>
      <c r="AT7" s="1147"/>
      <c r="AU7" s="694">
        <f t="shared" si="13"/>
        <v>272.38400340378695</v>
      </c>
      <c r="AV7" s="707">
        <f t="shared" si="14"/>
        <v>273.22210802964474</v>
      </c>
      <c r="AW7" s="707">
        <f t="shared" si="14"/>
        <v>274.0602126555026</v>
      </c>
      <c r="AX7" s="707">
        <f t="shared" si="14"/>
        <v>274.89831728136039</v>
      </c>
      <c r="AY7" s="694">
        <f t="shared" si="15"/>
        <v>275.73642190721819</v>
      </c>
      <c r="AZ7" s="707">
        <f t="shared" si="16"/>
        <v>275.94594806368264</v>
      </c>
      <c r="BA7" s="707">
        <f t="shared" si="16"/>
        <v>276.15547422014708</v>
      </c>
      <c r="BB7" s="707">
        <f t="shared" si="16"/>
        <v>276.36500037661153</v>
      </c>
      <c r="BC7" s="694">
        <f t="shared" si="17"/>
        <v>276.57452653307598</v>
      </c>
      <c r="BD7" s="707">
        <f t="shared" si="18"/>
        <v>274.0602126555026</v>
      </c>
      <c r="BE7" s="707">
        <f t="shared" si="18"/>
        <v>271.54589877792915</v>
      </c>
      <c r="BF7" s="707">
        <f t="shared" si="18"/>
        <v>269.03158490035571</v>
      </c>
      <c r="BG7" s="694">
        <f t="shared" si="36"/>
        <v>266.51727102278232</v>
      </c>
      <c r="BH7" s="707">
        <f t="shared" si="37"/>
        <v>266.51727102278232</v>
      </c>
      <c r="BI7" s="707">
        <f t="shared" si="37"/>
        <v>266.51727102278232</v>
      </c>
      <c r="BJ7" s="707"/>
      <c r="BK7" s="1147"/>
      <c r="BL7" s="694">
        <f t="shared" si="38"/>
        <v>46.428571428571431</v>
      </c>
      <c r="BM7" s="707">
        <f t="shared" si="39"/>
        <v>45.102678571428569</v>
      </c>
      <c r="BN7" s="707">
        <f t="shared" si="19"/>
        <v>43.776785714285715</v>
      </c>
      <c r="BO7" s="707">
        <f t="shared" si="19"/>
        <v>42.450892857142861</v>
      </c>
      <c r="BP7" s="694">
        <f t="shared" si="40"/>
        <v>41.125</v>
      </c>
      <c r="BQ7" s="707">
        <f t="shared" si="41"/>
        <v>41.15625</v>
      </c>
      <c r="BR7" s="707">
        <f t="shared" si="20"/>
        <v>41.1875</v>
      </c>
      <c r="BS7" s="707">
        <f t="shared" si="20"/>
        <v>41.21875</v>
      </c>
      <c r="BT7" s="694">
        <f t="shared" si="21"/>
        <v>41.25</v>
      </c>
      <c r="BU7" s="707">
        <f t="shared" si="42"/>
        <v>40.875</v>
      </c>
      <c r="BV7" s="707">
        <f t="shared" si="22"/>
        <v>40.5</v>
      </c>
      <c r="BW7" s="707">
        <f t="shared" si="22"/>
        <v>40.125</v>
      </c>
      <c r="BX7" s="694">
        <f t="shared" si="43"/>
        <v>39.75</v>
      </c>
      <c r="BY7" s="707">
        <f t="shared" si="44"/>
        <v>39.75</v>
      </c>
      <c r="BZ7" s="707">
        <f t="shared" si="45"/>
        <v>39.75</v>
      </c>
      <c r="CA7" s="1147"/>
    </row>
    <row r="8" spans="1:80">
      <c r="A8" s="1140" t="s">
        <v>319</v>
      </c>
      <c r="B8" s="1370" t="s">
        <v>751</v>
      </c>
      <c r="C8" s="2196">
        <f t="shared" si="4"/>
        <v>1.1187837190393966</v>
      </c>
      <c r="D8" s="1185">
        <f>CALCULATIONS!JC8</f>
        <v>0.10729022798540988</v>
      </c>
      <c r="E8" s="1185">
        <f>CALCULATIONS!JD8</f>
        <v>0.65064148250965514</v>
      </c>
      <c r="F8" s="1141">
        <f>CALCULATIONS!JY8</f>
        <v>0.91004578331972896</v>
      </c>
      <c r="G8" s="1142">
        <f>'Bloom Cleaner Data'!AJ8</f>
        <v>420.51799999999997</v>
      </c>
      <c r="H8" s="1142" t="str">
        <f>RATINGS!D801</f>
        <v>BBB-</v>
      </c>
      <c r="I8" s="1143">
        <f t="shared" si="5"/>
        <v>5.4413999999999997E-2</v>
      </c>
      <c r="J8" s="1142">
        <f t="shared" si="23"/>
        <v>8</v>
      </c>
      <c r="K8" s="1144">
        <f t="shared" si="24"/>
        <v>333.75673061864001</v>
      </c>
      <c r="L8" s="700">
        <f>K8/('Bloom Cleaner Data'!T8)</f>
        <v>1.1591713546094669</v>
      </c>
      <c r="M8" s="700">
        <f>K8/('Bloom Cleaner Data'!T8+K8)</f>
        <v>0.53685936140956636</v>
      </c>
      <c r="N8" s="700">
        <f t="shared" si="6"/>
        <v>0.79368001041249137</v>
      </c>
      <c r="O8" s="1145">
        <f>'Bloom Cleaner Data'!AK8</f>
        <v>474.03199999999998</v>
      </c>
      <c r="P8" s="1142" t="str">
        <f>RATINGS!H801</f>
        <v>BBB-</v>
      </c>
      <c r="Q8" s="1143">
        <f t="shared" si="7"/>
        <v>5.4413999999999997E-2</v>
      </c>
      <c r="R8" s="1142">
        <f t="shared" si="25"/>
        <v>8</v>
      </c>
      <c r="S8" s="1144">
        <f t="shared" si="26"/>
        <v>376.22972269585409</v>
      </c>
      <c r="T8" s="700">
        <f>S8/('Bloom Cleaner Data'!X8)</f>
        <v>1.3070566544350399</v>
      </c>
      <c r="U8" s="700">
        <f>S8/('Bloom Cleaner Data'!X8+S8)</f>
        <v>0.56654727222341084</v>
      </c>
      <c r="V8" s="700">
        <f t="shared" si="8"/>
        <v>0.79368001041249137</v>
      </c>
      <c r="W8" s="1145">
        <f>'Bloom Cleaner Data'!AL8</f>
        <v>446.65600000000001</v>
      </c>
      <c r="X8" s="1568" t="str">
        <f>RATINGS!L801</f>
        <v>BBB-</v>
      </c>
      <c r="Y8" s="1143">
        <f t="shared" si="9"/>
        <v>5.4413999999999997E-2</v>
      </c>
      <c r="Z8" s="1142">
        <f t="shared" si="27"/>
        <v>8</v>
      </c>
      <c r="AA8" s="1144">
        <f t="shared" si="28"/>
        <v>354.50193873080173</v>
      </c>
      <c r="AB8" s="700">
        <f>AA8/('Bloom Cleaner Data'!AB8)</f>
        <v>1.1641144035163016</v>
      </c>
      <c r="AC8" s="700">
        <f>AA8/('Bloom Cleaner Data'!AB8+AA8)</f>
        <v>0.53791721991444741</v>
      </c>
      <c r="AD8" s="700">
        <f t="shared" si="10"/>
        <v>0.79368001041249137</v>
      </c>
      <c r="AE8" s="1145">
        <f>'Bloom Cleaner Data'!AM8</f>
        <v>441.06900000000002</v>
      </c>
      <c r="AF8" s="1568" t="str">
        <f>RATINGS!P801</f>
        <v>BB+</v>
      </c>
      <c r="AG8" s="1143">
        <f t="shared" si="11"/>
        <v>6.7202999999999999E-2</v>
      </c>
      <c r="AH8" s="1142">
        <f t="shared" si="29"/>
        <v>8</v>
      </c>
      <c r="AI8" s="1144">
        <f t="shared" si="30"/>
        <v>332.8178181284411</v>
      </c>
      <c r="AJ8" s="700">
        <f>AI8/('Bloom Cleaner Data'!AF8)</f>
        <v>0.84479246359677818</v>
      </c>
      <c r="AK8" s="700">
        <f>AI8/('Bloom Cleaner Data'!AF8+AI8)</f>
        <v>0.45793360514368786</v>
      </c>
      <c r="AL8" s="1146">
        <f t="shared" si="12"/>
        <v>0.75457086788788397</v>
      </c>
      <c r="AM8" s="1147"/>
      <c r="AN8" s="696">
        <f t="shared" si="31"/>
        <v>0.79368001041249137</v>
      </c>
      <c r="AO8" s="696">
        <f t="shared" si="32"/>
        <v>0.79368001041249137</v>
      </c>
      <c r="AP8" s="696">
        <f t="shared" si="33"/>
        <v>0.79368001041249137</v>
      </c>
      <c r="AQ8" s="696">
        <f t="shared" si="34"/>
        <v>0.75457086788788397</v>
      </c>
      <c r="AR8" s="695">
        <f t="shared" si="35"/>
        <v>0.78064362957095546</v>
      </c>
      <c r="AS8" s="1147"/>
      <c r="AT8" s="1147"/>
      <c r="AU8" s="694">
        <f t="shared" si="13"/>
        <v>333.75673061864001</v>
      </c>
      <c r="AV8" s="707">
        <f t="shared" si="14"/>
        <v>344.37497863794351</v>
      </c>
      <c r="AW8" s="707">
        <f t="shared" si="14"/>
        <v>354.99322665724708</v>
      </c>
      <c r="AX8" s="707">
        <f t="shared" si="14"/>
        <v>365.61147467655059</v>
      </c>
      <c r="AY8" s="694">
        <f t="shared" si="15"/>
        <v>376.22972269585409</v>
      </c>
      <c r="AZ8" s="707">
        <f t="shared" si="16"/>
        <v>370.797776704591</v>
      </c>
      <c r="BA8" s="707">
        <f t="shared" si="16"/>
        <v>365.36583071332791</v>
      </c>
      <c r="BB8" s="707">
        <f t="shared" si="16"/>
        <v>359.93388472206482</v>
      </c>
      <c r="BC8" s="694">
        <f t="shared" si="17"/>
        <v>354.50193873080173</v>
      </c>
      <c r="BD8" s="707">
        <f t="shared" si="18"/>
        <v>349.0809085802116</v>
      </c>
      <c r="BE8" s="707">
        <f t="shared" si="18"/>
        <v>343.65987842962141</v>
      </c>
      <c r="BF8" s="707">
        <f t="shared" si="18"/>
        <v>338.23884827903123</v>
      </c>
      <c r="BG8" s="694">
        <f t="shared" si="36"/>
        <v>332.8178181284411</v>
      </c>
      <c r="BH8" s="707">
        <f t="shared" si="37"/>
        <v>332.8178181284411</v>
      </c>
      <c r="BI8" s="707">
        <f t="shared" si="37"/>
        <v>332.8178181284411</v>
      </c>
      <c r="BJ8" s="707"/>
      <c r="BK8" s="1147"/>
      <c r="BL8" s="694">
        <f t="shared" si="38"/>
        <v>60.073999999999998</v>
      </c>
      <c r="BM8" s="707">
        <f t="shared" si="39"/>
        <v>59.869</v>
      </c>
      <c r="BN8" s="707">
        <f t="shared" si="19"/>
        <v>59.664000000000001</v>
      </c>
      <c r="BO8" s="707">
        <f t="shared" si="19"/>
        <v>59.458999999999996</v>
      </c>
      <c r="BP8" s="694">
        <f t="shared" si="40"/>
        <v>59.253999999999998</v>
      </c>
      <c r="BQ8" s="707">
        <f t="shared" si="41"/>
        <v>58.398499999999999</v>
      </c>
      <c r="BR8" s="707">
        <f t="shared" si="20"/>
        <v>57.542999999999999</v>
      </c>
      <c r="BS8" s="707">
        <f t="shared" si="20"/>
        <v>56.6875</v>
      </c>
      <c r="BT8" s="694">
        <f t="shared" si="21"/>
        <v>55.832000000000001</v>
      </c>
      <c r="BU8" s="707">
        <f t="shared" si="42"/>
        <v>55.657406250000001</v>
      </c>
      <c r="BV8" s="707">
        <f t="shared" si="22"/>
        <v>55.482812500000001</v>
      </c>
      <c r="BW8" s="707">
        <f t="shared" si="22"/>
        <v>55.308218750000002</v>
      </c>
      <c r="BX8" s="694">
        <f t="shared" si="43"/>
        <v>55.133625000000002</v>
      </c>
      <c r="BY8" s="707">
        <f t="shared" si="44"/>
        <v>55.133625000000002</v>
      </c>
      <c r="BZ8" s="707">
        <f t="shared" si="45"/>
        <v>55.133625000000002</v>
      </c>
      <c r="CA8" s="1147"/>
    </row>
    <row r="9" spans="1:80">
      <c r="A9" s="1140" t="s">
        <v>319</v>
      </c>
      <c r="B9" s="1370" t="s">
        <v>752</v>
      </c>
      <c r="C9" s="2196">
        <f t="shared" si="4"/>
        <v>1.2313022606948007E-2</v>
      </c>
      <c r="D9" s="1185">
        <f>CALCULATIONS!JC9</f>
        <v>2.9573643390376492E-3</v>
      </c>
      <c r="E9" s="1185">
        <f>CALCULATIONS!JD9</f>
        <v>6.9750331863245195E-3</v>
      </c>
      <c r="F9" s="1141">
        <f>CALCULATIONS!JY9</f>
        <v>1.209957580920811E-2</v>
      </c>
      <c r="G9" s="1142">
        <f>'Bloom Cleaner Data'!AJ9</f>
        <v>39.396000000000001</v>
      </c>
      <c r="H9" s="1142" t="str">
        <f>RATINGS!D802</f>
        <v>BB-</v>
      </c>
      <c r="I9" s="1143">
        <f t="shared" si="5"/>
        <v>9.2781000000000002E-2</v>
      </c>
      <c r="J9" s="1142">
        <f t="shared" si="23"/>
        <v>8</v>
      </c>
      <c r="K9" s="1144">
        <f t="shared" si="24"/>
        <v>26.976749845841756</v>
      </c>
      <c r="L9" s="700">
        <f>K9/('Bloom Cleaner Data'!T9)</f>
        <v>1.2130569906825171E-2</v>
      </c>
      <c r="M9" s="700">
        <f>K9/('Bloom Cleaner Data'!T9+K9)</f>
        <v>1.1985182808915541E-2</v>
      </c>
      <c r="N9" s="700">
        <f t="shared" si="6"/>
        <v>0.68475860102146802</v>
      </c>
      <c r="O9" s="1145">
        <f>'Bloom Cleaner Data'!AK9</f>
        <v>50.572000000000003</v>
      </c>
      <c r="P9" s="1142" t="str">
        <f>RATINGS!H802</f>
        <v>BB-</v>
      </c>
      <c r="Q9" s="1143">
        <f t="shared" si="7"/>
        <v>9.2781000000000002E-2</v>
      </c>
      <c r="R9" s="1142">
        <f t="shared" si="25"/>
        <v>8</v>
      </c>
      <c r="S9" s="1144">
        <f t="shared" si="26"/>
        <v>34.629611970857681</v>
      </c>
      <c r="T9" s="700">
        <f>S9/('Bloom Cleaner Data'!X9)</f>
        <v>1.5472668728308278E-2</v>
      </c>
      <c r="U9" s="700">
        <f>S9/('Bloom Cleaner Data'!X9+S9)</f>
        <v>1.5236913020696987E-2</v>
      </c>
      <c r="V9" s="700">
        <f t="shared" si="8"/>
        <v>0.68475860102146802</v>
      </c>
      <c r="W9" s="1145">
        <f>'Bloom Cleaner Data'!AL9</f>
        <v>46.893999999999998</v>
      </c>
      <c r="X9" s="1568" t="str">
        <f>RATINGS!L802</f>
        <v>BB-</v>
      </c>
      <c r="Y9" s="1143">
        <f t="shared" si="9"/>
        <v>9.2781000000000002E-2</v>
      </c>
      <c r="Z9" s="1142">
        <f t="shared" si="27"/>
        <v>8</v>
      </c>
      <c r="AA9" s="1144">
        <f t="shared" si="28"/>
        <v>32.111069836300722</v>
      </c>
      <c r="AB9" s="700">
        <f>AA9/('Bloom Cleaner Data'!AB9)</f>
        <v>1.2289267642338243E-2</v>
      </c>
      <c r="AC9" s="700">
        <f>AA9/('Bloom Cleaner Data'!AB9+AA9)</f>
        <v>1.2140075011325994E-2</v>
      </c>
      <c r="AD9" s="700">
        <f t="shared" si="10"/>
        <v>0.68475860102146802</v>
      </c>
      <c r="AE9" s="1145">
        <f>'Bloom Cleaner Data'!AM9</f>
        <v>42.057000000000002</v>
      </c>
      <c r="AF9" s="1568" t="str">
        <f>RATINGS!P802</f>
        <v>B+</v>
      </c>
      <c r="AG9" s="1143">
        <f t="shared" si="11"/>
        <v>0.10557</v>
      </c>
      <c r="AH9" s="1142">
        <f t="shared" si="29"/>
        <v>8</v>
      </c>
      <c r="AI9" s="1144">
        <f t="shared" si="30"/>
        <v>27.486590280938547</v>
      </c>
      <c r="AJ9" s="700">
        <f>AI9/('Bloom Cleaner Data'!AF9)</f>
        <v>9.3595841503203384E-3</v>
      </c>
      <c r="AK9" s="700">
        <f>AI9/('Bloom Cleaner Data'!AF9+AI9)</f>
        <v>9.2727946484990713E-3</v>
      </c>
      <c r="AL9" s="1146">
        <f t="shared" si="12"/>
        <v>0.65355565734452159</v>
      </c>
      <c r="AM9" s="1147"/>
      <c r="AN9" s="696">
        <f t="shared" si="31"/>
        <v>0.68475860102146802</v>
      </c>
      <c r="AO9" s="696">
        <f t="shared" si="32"/>
        <v>0.68475860102146802</v>
      </c>
      <c r="AP9" s="696">
        <f t="shared" si="33"/>
        <v>0.68475860102146802</v>
      </c>
      <c r="AQ9" s="696">
        <f t="shared" si="34"/>
        <v>0.65355565734452159</v>
      </c>
      <c r="AR9" s="695">
        <f t="shared" si="35"/>
        <v>0.67435761979581921</v>
      </c>
      <c r="AS9" s="1147"/>
      <c r="AT9" s="1147"/>
      <c r="AU9" s="694">
        <f t="shared" si="13"/>
        <v>26.976749845841756</v>
      </c>
      <c r="AV9" s="707">
        <f t="shared" si="14"/>
        <v>28.889965377095738</v>
      </c>
      <c r="AW9" s="707">
        <f t="shared" si="14"/>
        <v>30.803180908349717</v>
      </c>
      <c r="AX9" s="707">
        <f t="shared" si="14"/>
        <v>32.716396439603699</v>
      </c>
      <c r="AY9" s="694">
        <f t="shared" si="15"/>
        <v>34.629611970857681</v>
      </c>
      <c r="AZ9" s="707">
        <f t="shared" si="16"/>
        <v>33.999976437218443</v>
      </c>
      <c r="BA9" s="707">
        <f t="shared" si="16"/>
        <v>33.370340903579205</v>
      </c>
      <c r="BB9" s="707">
        <f t="shared" si="16"/>
        <v>32.74070536993996</v>
      </c>
      <c r="BC9" s="694">
        <f t="shared" si="17"/>
        <v>32.111069836300722</v>
      </c>
      <c r="BD9" s="707">
        <f t="shared" si="18"/>
        <v>30.954949947460179</v>
      </c>
      <c r="BE9" s="707">
        <f t="shared" si="18"/>
        <v>29.798830058619636</v>
      </c>
      <c r="BF9" s="707">
        <f t="shared" si="18"/>
        <v>28.64271016977909</v>
      </c>
      <c r="BG9" s="694">
        <f t="shared" si="36"/>
        <v>27.486590280938547</v>
      </c>
      <c r="BH9" s="707">
        <f t="shared" si="37"/>
        <v>27.486590280938547</v>
      </c>
      <c r="BI9" s="707">
        <f t="shared" si="37"/>
        <v>27.486590280938547</v>
      </c>
      <c r="BJ9" s="707"/>
      <c r="BK9" s="1147"/>
      <c r="BL9" s="694">
        <f t="shared" si="38"/>
        <v>5.6280000000000001</v>
      </c>
      <c r="BM9" s="707">
        <f t="shared" si="39"/>
        <v>5.8013750000000002</v>
      </c>
      <c r="BN9" s="707">
        <f t="shared" si="19"/>
        <v>5.9747500000000002</v>
      </c>
      <c r="BO9" s="707">
        <f t="shared" si="19"/>
        <v>6.1481250000000003</v>
      </c>
      <c r="BP9" s="694">
        <f t="shared" si="40"/>
        <v>6.3215000000000003</v>
      </c>
      <c r="BQ9" s="707">
        <f t="shared" si="41"/>
        <v>6.2065625000000004</v>
      </c>
      <c r="BR9" s="707">
        <f t="shared" si="20"/>
        <v>6.0916250000000005</v>
      </c>
      <c r="BS9" s="707">
        <f t="shared" si="20"/>
        <v>5.9766874999999997</v>
      </c>
      <c r="BT9" s="694">
        <f t="shared" si="21"/>
        <v>5.8617499999999998</v>
      </c>
      <c r="BU9" s="707">
        <f t="shared" si="42"/>
        <v>5.7105937500000001</v>
      </c>
      <c r="BV9" s="707">
        <f t="shared" si="22"/>
        <v>5.5594374999999996</v>
      </c>
      <c r="BW9" s="707">
        <f t="shared" si="22"/>
        <v>5.4082812499999999</v>
      </c>
      <c r="BX9" s="694">
        <f t="shared" si="43"/>
        <v>5.2571250000000003</v>
      </c>
      <c r="BY9" s="707">
        <f t="shared" si="44"/>
        <v>5.2571250000000003</v>
      </c>
      <c r="BZ9" s="707">
        <f t="shared" si="45"/>
        <v>5.2571250000000003</v>
      </c>
      <c r="CA9" s="1147"/>
    </row>
    <row r="10" spans="1:80">
      <c r="A10" s="31" t="s">
        <v>539</v>
      </c>
      <c r="B10" s="2200" t="s">
        <v>39</v>
      </c>
      <c r="C10" s="2195">
        <f t="shared" si="4"/>
        <v>0.2788754726661028</v>
      </c>
      <c r="D10" s="1184">
        <f>CALCULATIONS!JC10</f>
        <v>6.101092516450346E-2</v>
      </c>
      <c r="E10" s="1184">
        <f>CALCULATIONS!JD10</f>
        <v>0.15646866216553562</v>
      </c>
      <c r="F10" s="471">
        <f>CALCULATIONS!JY10</f>
        <v>0.28380240083844599</v>
      </c>
      <c r="G10" s="449">
        <f>'Bloom Cleaner Data'!AJ10</f>
        <v>8817</v>
      </c>
      <c r="H10" s="449" t="str">
        <f>RATINGS!D803</f>
        <v>BBB</v>
      </c>
      <c r="I10" s="450">
        <f t="shared" si="5"/>
        <v>4.9021999999999996E-2</v>
      </c>
      <c r="J10" s="193">
        <f t="shared" si="23"/>
        <v>8</v>
      </c>
      <c r="K10" s="451">
        <f t="shared" si="24"/>
        <v>7151.514997141162</v>
      </c>
      <c r="L10" s="452">
        <f>K10/('Bloom Cleaner Data'!T10)</f>
        <v>0.21262122780262113</v>
      </c>
      <c r="M10" s="452">
        <f>K10/('Bloom Cleaner Data'!T10+K10)</f>
        <v>0.17534018284333514</v>
      </c>
      <c r="N10" s="452">
        <f t="shared" si="6"/>
        <v>0.81110525089499397</v>
      </c>
      <c r="O10" s="186">
        <f>'Bloom Cleaner Data'!AK10</f>
        <v>8613</v>
      </c>
      <c r="P10" s="449" t="str">
        <f>RATINGS!H803</f>
        <v>BBB</v>
      </c>
      <c r="Q10" s="450">
        <f t="shared" si="7"/>
        <v>4.9021999999999996E-2</v>
      </c>
      <c r="R10" s="193">
        <f t="shared" si="25"/>
        <v>8</v>
      </c>
      <c r="S10" s="451">
        <f t="shared" si="26"/>
        <v>6986.0495259585832</v>
      </c>
      <c r="T10" s="452">
        <f>S10/('Bloom Cleaner Data'!X10)</f>
        <v>0.30623107552529627</v>
      </c>
      <c r="U10" s="452">
        <f>S10/('Bloom Cleaner Data'!X10+S10)</f>
        <v>0.23443866959155482</v>
      </c>
      <c r="V10" s="452">
        <f t="shared" si="8"/>
        <v>0.81110525089499397</v>
      </c>
      <c r="W10" s="186">
        <f>'Bloom Cleaner Data'!AL10</f>
        <v>8438</v>
      </c>
      <c r="X10" s="95" t="str">
        <f>RATINGS!L803</f>
        <v>BBB</v>
      </c>
      <c r="Y10" s="450">
        <f t="shared" si="9"/>
        <v>4.9021999999999996E-2</v>
      </c>
      <c r="Z10" s="193">
        <f t="shared" si="27"/>
        <v>8</v>
      </c>
      <c r="AA10" s="451">
        <f t="shared" si="28"/>
        <v>6844.106107051959</v>
      </c>
      <c r="AB10" s="452">
        <f>AA10/('Bloom Cleaner Data'!AB10)</f>
        <v>0.31494667097933637</v>
      </c>
      <c r="AC10" s="452">
        <f>AA10/('Bloom Cleaner Data'!AB10+AA10)</f>
        <v>0.23951288514596011</v>
      </c>
      <c r="AD10" s="452">
        <f t="shared" si="10"/>
        <v>0.81110525089499397</v>
      </c>
      <c r="AE10" s="186">
        <f>'Bloom Cleaner Data'!AM10</f>
        <v>7978</v>
      </c>
      <c r="AF10" s="95" t="str">
        <f>RATINGS!P803</f>
        <v>BBB</v>
      </c>
      <c r="AG10" s="450">
        <f t="shared" si="11"/>
        <v>4.9021999999999996E-2</v>
      </c>
      <c r="AH10" s="193">
        <f t="shared" si="29"/>
        <v>8</v>
      </c>
      <c r="AI10" s="451">
        <f t="shared" si="30"/>
        <v>6470.997691640262</v>
      </c>
      <c r="AJ10" s="452">
        <f>AI10/('Bloom Cleaner Data'!AF10)</f>
        <v>0.28170291635715738</v>
      </c>
      <c r="AK10" s="452">
        <f>AI10/('Bloom Cleaner Data'!AF10+AI10)</f>
        <v>0.21978799670504803</v>
      </c>
      <c r="AL10" s="453">
        <f t="shared" si="12"/>
        <v>0.81110525089499397</v>
      </c>
      <c r="AM10" s="3396"/>
      <c r="AN10" s="229">
        <f t="shared" si="31"/>
        <v>0.81110525089499397</v>
      </c>
      <c r="AO10" s="229">
        <f t="shared" si="32"/>
        <v>0.81110525089499397</v>
      </c>
      <c r="AP10" s="229">
        <f t="shared" si="33"/>
        <v>0.81110525089499397</v>
      </c>
      <c r="AQ10" s="229">
        <f t="shared" si="34"/>
        <v>0.81110525089499397</v>
      </c>
      <c r="AR10" s="467">
        <f t="shared" si="35"/>
        <v>0.81110525089499397</v>
      </c>
      <c r="AS10" s="3396"/>
      <c r="AT10"/>
      <c r="AU10" s="13">
        <f t="shared" si="13"/>
        <v>7151.514997141162</v>
      </c>
      <c r="AV10" s="26">
        <f t="shared" si="14"/>
        <v>7110.1486293455173</v>
      </c>
      <c r="AW10" s="26">
        <f t="shared" si="14"/>
        <v>7068.7822615498726</v>
      </c>
      <c r="AX10" s="26">
        <f t="shared" si="14"/>
        <v>7027.4158937542279</v>
      </c>
      <c r="AY10" s="13">
        <f t="shared" si="15"/>
        <v>6986.0495259585832</v>
      </c>
      <c r="AZ10" s="26">
        <f t="shared" si="16"/>
        <v>6950.5636712319274</v>
      </c>
      <c r="BA10" s="26">
        <f t="shared" si="16"/>
        <v>6915.0778165052707</v>
      </c>
      <c r="BB10" s="26">
        <f t="shared" si="16"/>
        <v>6879.5919617786149</v>
      </c>
      <c r="BC10" s="13">
        <f t="shared" si="17"/>
        <v>6844.106107051959</v>
      </c>
      <c r="BD10" s="26">
        <f t="shared" si="18"/>
        <v>6750.8290031990346</v>
      </c>
      <c r="BE10" s="26">
        <f t="shared" si="18"/>
        <v>6657.5518993461101</v>
      </c>
      <c r="BF10" s="26">
        <f t="shared" si="18"/>
        <v>6564.2747954931865</v>
      </c>
      <c r="BG10" s="13">
        <f t="shared" si="36"/>
        <v>6470.997691640262</v>
      </c>
      <c r="BH10" s="26">
        <f t="shared" si="37"/>
        <v>6470.997691640262</v>
      </c>
      <c r="BI10" s="26">
        <f t="shared" si="37"/>
        <v>6470.997691640262</v>
      </c>
      <c r="BJ10" s="26"/>
      <c r="BK10"/>
      <c r="BL10" s="13">
        <f t="shared" si="38"/>
        <v>1259.5714285714287</v>
      </c>
      <c r="BM10" s="26">
        <f t="shared" si="39"/>
        <v>1213.8348214285716</v>
      </c>
      <c r="BN10" s="26">
        <f t="shared" si="19"/>
        <v>1168.0982142857142</v>
      </c>
      <c r="BO10" s="26">
        <f t="shared" si="19"/>
        <v>1122.3616071428571</v>
      </c>
      <c r="BP10" s="13">
        <f t="shared" si="40"/>
        <v>1076.625</v>
      </c>
      <c r="BQ10" s="26">
        <f t="shared" si="41"/>
        <v>1071.15625</v>
      </c>
      <c r="BR10" s="26">
        <f t="shared" si="20"/>
        <v>1065.6875</v>
      </c>
      <c r="BS10" s="26">
        <f t="shared" si="20"/>
        <v>1060.21875</v>
      </c>
      <c r="BT10" s="13">
        <f t="shared" si="21"/>
        <v>1054.75</v>
      </c>
      <c r="BU10" s="26">
        <f t="shared" si="42"/>
        <v>1040.375</v>
      </c>
      <c r="BV10" s="26">
        <f t="shared" si="22"/>
        <v>1026</v>
      </c>
      <c r="BW10" s="26">
        <f t="shared" si="22"/>
        <v>1011.625</v>
      </c>
      <c r="BX10" s="13">
        <f t="shared" si="43"/>
        <v>997.25</v>
      </c>
      <c r="BY10" s="26">
        <f t="shared" si="44"/>
        <v>997.25</v>
      </c>
      <c r="BZ10" s="26">
        <f t="shared" si="45"/>
        <v>997.25</v>
      </c>
      <c r="CA10"/>
    </row>
    <row r="11" spans="1:80">
      <c r="A11" s="36" t="s">
        <v>217</v>
      </c>
      <c r="B11" s="83" t="s">
        <v>53</v>
      </c>
      <c r="C11" s="2195">
        <f t="shared" si="4"/>
        <v>0.13140549058509757</v>
      </c>
      <c r="D11" s="1184">
        <f>CALCULATIONS!JC11</f>
        <v>3.1287048988056343E-2</v>
      </c>
      <c r="E11" s="1184">
        <f>CALCULATIONS!JD11</f>
        <v>6.4663630732222685E-2</v>
      </c>
      <c r="F11" s="471">
        <f>CALCULATIONS!JY11</f>
        <v>0.13694875439037466</v>
      </c>
      <c r="G11" s="449">
        <f>'Bloom Cleaner Data'!AJ11</f>
        <v>6547</v>
      </c>
      <c r="H11" s="449" t="str">
        <f>RATINGS!D804</f>
        <v>BBB</v>
      </c>
      <c r="I11" s="450">
        <f t="shared" si="5"/>
        <v>4.9021999999999996E-2</v>
      </c>
      <c r="J11" s="193">
        <f t="shared" si="23"/>
        <v>8</v>
      </c>
      <c r="K11" s="451">
        <f t="shared" si="24"/>
        <v>5310.3060776095253</v>
      </c>
      <c r="L11" s="452">
        <f>K11/('Bloom Cleaner Data'!T11)</f>
        <v>0.11601647464846468</v>
      </c>
      <c r="M11" s="452">
        <f>K11/('Bloom Cleaner Data'!T11+K11)</f>
        <v>0.10395587993896671</v>
      </c>
      <c r="N11" s="452">
        <f t="shared" si="6"/>
        <v>0.81110525089499397</v>
      </c>
      <c r="O11" s="186">
        <f>'Bloom Cleaner Data'!AK11</f>
        <v>8842</v>
      </c>
      <c r="P11" s="449" t="str">
        <f>RATINGS!H804</f>
        <v>BBB</v>
      </c>
      <c r="Q11" s="450">
        <f t="shared" si="7"/>
        <v>4.9021999999999996E-2</v>
      </c>
      <c r="R11" s="193">
        <f t="shared" si="25"/>
        <v>8</v>
      </c>
      <c r="S11" s="451">
        <f t="shared" si="26"/>
        <v>7171.7926284135365</v>
      </c>
      <c r="T11" s="452">
        <f>S11/('Bloom Cleaner Data'!X11)</f>
        <v>0.1296747663619415</v>
      </c>
      <c r="U11" s="452">
        <f>S11/('Bloom Cleaner Data'!X11+S11)</f>
        <v>0.11478946881282681</v>
      </c>
      <c r="V11" s="452">
        <f t="shared" si="8"/>
        <v>0.81110525089499397</v>
      </c>
      <c r="W11" s="186">
        <f>'Bloom Cleaner Data'!AL11</f>
        <v>9613</v>
      </c>
      <c r="X11" s="95" t="str">
        <f>RATINGS!L804</f>
        <v>BBB</v>
      </c>
      <c r="Y11" s="450">
        <f t="shared" si="9"/>
        <v>4.9021999999999996E-2</v>
      </c>
      <c r="Z11" s="193">
        <f t="shared" si="27"/>
        <v>8</v>
      </c>
      <c r="AA11" s="451">
        <f t="shared" si="28"/>
        <v>7797.1547768535775</v>
      </c>
      <c r="AB11" s="452">
        <f>AA11/('Bloom Cleaner Data'!AB11)</f>
        <v>0.13093239033523496</v>
      </c>
      <c r="AC11" s="452">
        <f>AA11/('Bloom Cleaner Data'!AB11+AA11)</f>
        <v>0.11577384417862814</v>
      </c>
      <c r="AD11" s="452">
        <f t="shared" si="10"/>
        <v>0.81110525089499397</v>
      </c>
      <c r="AE11" s="186">
        <f>'Bloom Cleaner Data'!AM11</f>
        <v>10128</v>
      </c>
      <c r="AF11" s="95" t="str">
        <f>RATINGS!P804</f>
        <v>BBB</v>
      </c>
      <c r="AG11" s="450">
        <f t="shared" si="11"/>
        <v>4.9021999999999996E-2</v>
      </c>
      <c r="AH11" s="193">
        <f t="shared" si="29"/>
        <v>8</v>
      </c>
      <c r="AI11" s="451">
        <f t="shared" si="30"/>
        <v>8214.8739810644984</v>
      </c>
      <c r="AJ11" s="452">
        <f>AI11/('Bloom Cleaner Data'!AF11)</f>
        <v>0.14899833099474913</v>
      </c>
      <c r="AK11" s="452">
        <f>AI11/('Bloom Cleaner Data'!AF11+AI11)</f>
        <v>0.12967671664566591</v>
      </c>
      <c r="AL11" s="453">
        <f t="shared" si="12"/>
        <v>0.81110525089499397</v>
      </c>
      <c r="AM11" s="3396"/>
      <c r="AN11" s="229">
        <f t="shared" si="31"/>
        <v>0.81110525089499397</v>
      </c>
      <c r="AO11" s="229">
        <f t="shared" si="32"/>
        <v>0.81110525089499397</v>
      </c>
      <c r="AP11" s="229">
        <f t="shared" si="33"/>
        <v>0.81110525089499397</v>
      </c>
      <c r="AQ11" s="229">
        <f t="shared" si="34"/>
        <v>0.81110525089499397</v>
      </c>
      <c r="AR11" s="467">
        <f t="shared" si="35"/>
        <v>0.81110525089499397</v>
      </c>
      <c r="AS11" s="3396"/>
      <c r="AT11"/>
      <c r="AU11" s="13">
        <f t="shared" si="13"/>
        <v>5310.3060776095253</v>
      </c>
      <c r="AV11" s="26">
        <f t="shared" si="14"/>
        <v>5775.6777153105286</v>
      </c>
      <c r="AW11" s="26">
        <f t="shared" si="14"/>
        <v>6241.0493530115309</v>
      </c>
      <c r="AX11" s="26">
        <f t="shared" si="14"/>
        <v>6706.4209907125332</v>
      </c>
      <c r="AY11" s="13">
        <f t="shared" si="15"/>
        <v>7171.7926284135365</v>
      </c>
      <c r="AZ11" s="26">
        <f t="shared" si="16"/>
        <v>7328.1331655235463</v>
      </c>
      <c r="BA11" s="26">
        <f t="shared" si="16"/>
        <v>7484.473702633557</v>
      </c>
      <c r="BB11" s="26">
        <f t="shared" si="16"/>
        <v>7640.8142397435677</v>
      </c>
      <c r="BC11" s="13">
        <f t="shared" si="17"/>
        <v>7797.1547768535775</v>
      </c>
      <c r="BD11" s="26">
        <f t="shared" si="18"/>
        <v>7901.5845779063075</v>
      </c>
      <c r="BE11" s="26">
        <f t="shared" si="18"/>
        <v>8006.0143789590384</v>
      </c>
      <c r="BF11" s="26">
        <f t="shared" si="18"/>
        <v>8110.4441800117684</v>
      </c>
      <c r="BG11" s="13">
        <f t="shared" si="36"/>
        <v>8214.8739810644984</v>
      </c>
      <c r="BH11" s="26">
        <f t="shared" si="37"/>
        <v>8214.8739810644984</v>
      </c>
      <c r="BI11" s="26">
        <f t="shared" si="37"/>
        <v>8214.8739810644984</v>
      </c>
      <c r="BJ11" s="26"/>
      <c r="BK11"/>
      <c r="BL11" s="13">
        <f t="shared" si="38"/>
        <v>935.28571428571433</v>
      </c>
      <c r="BM11" s="26">
        <f t="shared" si="39"/>
        <v>977.77678571428578</v>
      </c>
      <c r="BN11" s="26">
        <f t="shared" si="19"/>
        <v>1020.2678571428571</v>
      </c>
      <c r="BO11" s="26">
        <f t="shared" si="19"/>
        <v>1062.7589285714287</v>
      </c>
      <c r="BP11" s="13">
        <f t="shared" si="40"/>
        <v>1105.25</v>
      </c>
      <c r="BQ11" s="26">
        <f t="shared" si="41"/>
        <v>1129.34375</v>
      </c>
      <c r="BR11" s="26">
        <f t="shared" si="20"/>
        <v>1153.4375</v>
      </c>
      <c r="BS11" s="26">
        <f t="shared" si="20"/>
        <v>1177.53125</v>
      </c>
      <c r="BT11" s="13">
        <f t="shared" si="21"/>
        <v>1201.625</v>
      </c>
      <c r="BU11" s="26">
        <f t="shared" si="42"/>
        <v>1217.71875</v>
      </c>
      <c r="BV11" s="26">
        <f t="shared" si="22"/>
        <v>1233.8125</v>
      </c>
      <c r="BW11" s="26">
        <f t="shared" si="22"/>
        <v>1249.90625</v>
      </c>
      <c r="BX11" s="13">
        <f t="shared" si="43"/>
        <v>1266</v>
      </c>
      <c r="BY11" s="26">
        <f t="shared" si="44"/>
        <v>1266</v>
      </c>
      <c r="BZ11" s="26">
        <f t="shared" si="45"/>
        <v>1266</v>
      </c>
      <c r="CA11"/>
    </row>
    <row r="12" spans="1:80">
      <c r="A12" s="31" t="s">
        <v>73</v>
      </c>
      <c r="B12" s="83" t="s">
        <v>283</v>
      </c>
      <c r="C12" s="2195">
        <f t="shared" si="4"/>
        <v>0.10403230809748659</v>
      </c>
      <c r="D12" s="1184">
        <f>CALCULATIONS!JC12</f>
        <v>1.9741500884439211E-2</v>
      </c>
      <c r="E12" s="1184">
        <f>CALCULATIONS!JD12</f>
        <v>8.1609841042717679E-2</v>
      </c>
      <c r="F12" s="471">
        <f>CALCULATIONS!JY12</f>
        <v>0.10961409343857391</v>
      </c>
      <c r="G12" s="449">
        <f>'Bloom Cleaner Data'!AJ12</f>
        <v>67.5</v>
      </c>
      <c r="H12" s="449" t="str">
        <f>RATINGS!D805</f>
        <v>BBB</v>
      </c>
      <c r="I12" s="450">
        <f t="shared" si="5"/>
        <v>4.9021999999999996E-2</v>
      </c>
      <c r="J12" s="193">
        <f t="shared" si="23"/>
        <v>8</v>
      </c>
      <c r="K12" s="451">
        <f t="shared" si="24"/>
        <v>54.749604435412095</v>
      </c>
      <c r="L12" s="452">
        <f>K12/('Bloom Cleaner Data'!T12)</f>
        <v>7.61998669943105E-2</v>
      </c>
      <c r="M12" s="452">
        <f>K12/('Bloom Cleaner Data'!T12+K12)</f>
        <v>7.0804568306746821E-2</v>
      </c>
      <c r="N12" s="452">
        <f t="shared" si="6"/>
        <v>0.81110525089499397</v>
      </c>
      <c r="O12" s="186">
        <f>'Bloom Cleaner Data'!AK12</f>
        <v>61.7</v>
      </c>
      <c r="P12" s="449" t="str">
        <f>RATINGS!H805</f>
        <v>BBB</v>
      </c>
      <c r="Q12" s="450">
        <f t="shared" si="7"/>
        <v>4.9021999999999996E-2</v>
      </c>
      <c r="R12" s="193">
        <f t="shared" si="25"/>
        <v>8</v>
      </c>
      <c r="S12" s="451">
        <f t="shared" si="26"/>
        <v>50.045193980221129</v>
      </c>
      <c r="T12" s="452">
        <f>S12/('Bloom Cleaner Data'!X12)</f>
        <v>6.4466306814660743E-2</v>
      </c>
      <c r="U12" s="452">
        <f>S12/('Bloom Cleaner Data'!X12+S12)</f>
        <v>6.0562092385593257E-2</v>
      </c>
      <c r="V12" s="452">
        <f t="shared" si="8"/>
        <v>0.81110525089499397</v>
      </c>
      <c r="W12" s="186">
        <f>'Bloom Cleaner Data'!AL12</f>
        <v>182.6</v>
      </c>
      <c r="X12" s="95" t="str">
        <f>RATINGS!L805</f>
        <v>BBB</v>
      </c>
      <c r="Y12" s="450">
        <f t="shared" si="9"/>
        <v>4.9021999999999996E-2</v>
      </c>
      <c r="Z12" s="193">
        <f t="shared" si="27"/>
        <v>8</v>
      </c>
      <c r="AA12" s="451">
        <f t="shared" si="28"/>
        <v>148.10781881342589</v>
      </c>
      <c r="AB12" s="452">
        <f>AA12/('Bloom Cleaner Data'!AB12)</f>
        <v>0.1879302357739194</v>
      </c>
      <c r="AC12" s="452">
        <f>AA12/('Bloom Cleaner Data'!AB12+AA12)</f>
        <v>0.15819972428893148</v>
      </c>
      <c r="AD12" s="452">
        <f t="shared" si="10"/>
        <v>0.81110525089499397</v>
      </c>
      <c r="AE12" s="186">
        <f>'Bloom Cleaner Data'!AM12</f>
        <v>90.5</v>
      </c>
      <c r="AF12" s="95" t="str">
        <f>RATINGS!P805</f>
        <v>BBB</v>
      </c>
      <c r="AG12" s="450">
        <f t="shared" si="11"/>
        <v>4.9021999999999996E-2</v>
      </c>
      <c r="AH12" s="193">
        <f t="shared" si="29"/>
        <v>8</v>
      </c>
      <c r="AI12" s="451">
        <f t="shared" si="30"/>
        <v>73.405025205996949</v>
      </c>
      <c r="AJ12" s="452">
        <f>AI12/('Bloom Cleaner Data'!AF12)</f>
        <v>8.7532822807055738E-2</v>
      </c>
      <c r="AK12" s="452">
        <f>AI12/('Bloom Cleaner Data'!AF12+AI12)</f>
        <v>8.0487522740805909E-2</v>
      </c>
      <c r="AL12" s="453">
        <f t="shared" si="12"/>
        <v>0.81110525089499397</v>
      </c>
      <c r="AM12" s="3396"/>
      <c r="AN12" s="229">
        <f t="shared" si="31"/>
        <v>0.81110525089499397</v>
      </c>
      <c r="AO12" s="229">
        <f t="shared" si="32"/>
        <v>0.81110525089499397</v>
      </c>
      <c r="AP12" s="229">
        <f t="shared" si="33"/>
        <v>0.81110525089499397</v>
      </c>
      <c r="AQ12" s="229">
        <f t="shared" si="34"/>
        <v>0.81110525089499397</v>
      </c>
      <c r="AR12" s="467">
        <f t="shared" si="35"/>
        <v>0.81110525089499397</v>
      </c>
      <c r="AS12" s="3396"/>
      <c r="AT12"/>
      <c r="AU12" s="13">
        <f t="shared" si="13"/>
        <v>54.749604435412095</v>
      </c>
      <c r="AV12" s="26">
        <f t="shared" si="14"/>
        <v>53.573501821614357</v>
      </c>
      <c r="AW12" s="26">
        <f t="shared" si="14"/>
        <v>52.397399207816612</v>
      </c>
      <c r="AX12" s="26">
        <f t="shared" si="14"/>
        <v>51.221296594018867</v>
      </c>
      <c r="AY12" s="13">
        <f t="shared" si="15"/>
        <v>50.045193980221129</v>
      </c>
      <c r="AZ12" s="26">
        <f t="shared" si="16"/>
        <v>74.560850188522323</v>
      </c>
      <c r="BA12" s="26">
        <f t="shared" si="16"/>
        <v>99.076506396823504</v>
      </c>
      <c r="BB12" s="26">
        <f t="shared" si="16"/>
        <v>123.5921626051247</v>
      </c>
      <c r="BC12" s="13">
        <f t="shared" si="17"/>
        <v>148.10781881342589</v>
      </c>
      <c r="BD12" s="26">
        <f t="shared" si="18"/>
        <v>129.43212041156866</v>
      </c>
      <c r="BE12" s="26">
        <f t="shared" si="18"/>
        <v>110.75642200971143</v>
      </c>
      <c r="BF12" s="26">
        <f t="shared" si="18"/>
        <v>92.080723607854182</v>
      </c>
      <c r="BG12" s="13">
        <f t="shared" si="36"/>
        <v>73.405025205996949</v>
      </c>
      <c r="BH12" s="26">
        <f t="shared" si="37"/>
        <v>73.405025205996949</v>
      </c>
      <c r="BI12" s="26">
        <f t="shared" si="37"/>
        <v>73.405025205996949</v>
      </c>
      <c r="BJ12" s="26"/>
      <c r="BK12"/>
      <c r="BL12" s="13">
        <f t="shared" si="38"/>
        <v>9.6428571428571423</v>
      </c>
      <c r="BM12" s="26">
        <f t="shared" si="39"/>
        <v>9.1602678571428573</v>
      </c>
      <c r="BN12" s="26">
        <f t="shared" si="19"/>
        <v>8.6776785714285722</v>
      </c>
      <c r="BO12" s="26">
        <f t="shared" si="19"/>
        <v>8.1950892857142854</v>
      </c>
      <c r="BP12" s="13">
        <f t="shared" si="40"/>
        <v>7.7125000000000004</v>
      </c>
      <c r="BQ12" s="26">
        <f t="shared" si="41"/>
        <v>11.490625</v>
      </c>
      <c r="BR12" s="26">
        <f t="shared" si="20"/>
        <v>15.268750000000001</v>
      </c>
      <c r="BS12" s="26">
        <f t="shared" si="20"/>
        <v>19.046875</v>
      </c>
      <c r="BT12" s="13">
        <f t="shared" ref="BT12:BT27" si="46">W12/Z12</f>
        <v>22.824999999999999</v>
      </c>
      <c r="BU12" s="26">
        <f t="shared" si="42"/>
        <v>19.946874999999999</v>
      </c>
      <c r="BV12" s="26">
        <f t="shared" si="22"/>
        <v>17.068750000000001</v>
      </c>
      <c r="BW12" s="26">
        <f t="shared" si="22"/>
        <v>14.190625000000001</v>
      </c>
      <c r="BX12" s="13">
        <f t="shared" si="43"/>
        <v>11.3125</v>
      </c>
      <c r="BY12" s="26">
        <f t="shared" si="44"/>
        <v>11.3125</v>
      </c>
      <c r="BZ12" s="26">
        <f t="shared" si="45"/>
        <v>11.3125</v>
      </c>
      <c r="CA12"/>
    </row>
    <row r="13" spans="1:80">
      <c r="A13" s="31" t="s">
        <v>19</v>
      </c>
      <c r="B13" s="83" t="s">
        <v>285</v>
      </c>
      <c r="C13" s="2195">
        <f t="shared" si="4"/>
        <v>0.17831893587106579</v>
      </c>
      <c r="D13" s="1184">
        <f>CALCULATIONS!JC13</f>
        <v>2.5473012549392576E-2</v>
      </c>
      <c r="E13" s="1184">
        <f>CALCULATIONS!JD13</f>
        <v>0.18900335031669008</v>
      </c>
      <c r="F13" s="471">
        <f>CALCULATIONS!JY13</f>
        <v>0.22549964880556086</v>
      </c>
      <c r="G13" s="449">
        <f>'Bloom Cleaner Data'!AJ13</f>
        <v>14.516999999999999</v>
      </c>
      <c r="H13" s="449" t="str">
        <f>RATINGS!D806</f>
        <v>A-</v>
      </c>
      <c r="I13" s="450">
        <f t="shared" si="5"/>
        <v>4.2959499999999998E-2</v>
      </c>
      <c r="J13" s="193">
        <f t="shared" si="23"/>
        <v>8</v>
      </c>
      <c r="K13" s="451">
        <f t="shared" si="24"/>
        <v>12.069476215574586</v>
      </c>
      <c r="L13" s="452">
        <f>K13/('Bloom Cleaner Data'!T13)</f>
        <v>1.8152945906648277E-2</v>
      </c>
      <c r="M13" s="452">
        <f>K13/('Bloom Cleaner Data'!T13+K13)</f>
        <v>1.78292917381714E-2</v>
      </c>
      <c r="N13" s="452">
        <f t="shared" si="6"/>
        <v>0.83140292178649766</v>
      </c>
      <c r="O13" s="186">
        <f>'Bloom Cleaner Data'!AK13</f>
        <v>0.311</v>
      </c>
      <c r="P13" s="449" t="str">
        <f>RATINGS!H806</f>
        <v>A-</v>
      </c>
      <c r="Q13" s="450">
        <f t="shared" si="7"/>
        <v>4.2959499999999998E-2</v>
      </c>
      <c r="R13" s="193">
        <f t="shared" si="25"/>
        <v>8</v>
      </c>
      <c r="S13" s="451">
        <f t="shared" si="26"/>
        <v>0.25856630867560076</v>
      </c>
      <c r="T13" s="452">
        <f>S13/('Bloom Cleaner Data'!X13)</f>
        <v>3.7402313672949043E-4</v>
      </c>
      <c r="U13" s="452">
        <f>S13/('Bloom Cleaner Data'!X13+S13)</f>
        <v>3.7388329572645205E-4</v>
      </c>
      <c r="V13" s="452">
        <f t="shared" si="8"/>
        <v>0.83140292178649766</v>
      </c>
      <c r="W13" s="186">
        <f>'Bloom Cleaner Data'!AL13</f>
        <v>402</v>
      </c>
      <c r="X13" s="99" t="str">
        <f>RATINGS!L806</f>
        <v>A-</v>
      </c>
      <c r="Y13" s="450">
        <f t="shared" si="9"/>
        <v>4.2959499999999998E-2</v>
      </c>
      <c r="Z13" s="193">
        <f t="shared" si="27"/>
        <v>8</v>
      </c>
      <c r="AA13" s="451">
        <f t="shared" si="28"/>
        <v>334.22397455817207</v>
      </c>
      <c r="AB13" s="452">
        <f>AA13/('Bloom Cleaner Data'!AB13)</f>
        <v>0.34476694782258677</v>
      </c>
      <c r="AC13" s="452">
        <f>AA13/('Bloom Cleaner Data'!AB13+AA13)</f>
        <v>0.25637672637688252</v>
      </c>
      <c r="AD13" s="452">
        <f t="shared" si="10"/>
        <v>0.83140292178649766</v>
      </c>
      <c r="AE13" s="186">
        <f>'Bloom Cleaner Data'!AM13</f>
        <v>448</v>
      </c>
      <c r="AF13" s="99" t="str">
        <f>RATINGS!P806</f>
        <v>A-</v>
      </c>
      <c r="AG13" s="450">
        <f t="shared" si="11"/>
        <v>4.2959499999999998E-2</v>
      </c>
      <c r="AH13" s="193">
        <f t="shared" si="29"/>
        <v>8</v>
      </c>
      <c r="AI13" s="451">
        <f t="shared" si="30"/>
        <v>372.46850896035096</v>
      </c>
      <c r="AJ13" s="452">
        <f>AI13/('Bloom Cleaner Data'!AF13)</f>
        <v>0.34998182661829869</v>
      </c>
      <c r="AK13" s="452">
        <f>AI13/('Bloom Cleaner Data'!AF13+AI13)</f>
        <v>0.25924928744781867</v>
      </c>
      <c r="AL13" s="453">
        <f t="shared" si="12"/>
        <v>0.83140292178649766</v>
      </c>
      <c r="AM13" s="3396"/>
      <c r="AN13" s="229">
        <f t="shared" si="31"/>
        <v>0.83140292178649766</v>
      </c>
      <c r="AO13" s="229">
        <f t="shared" si="32"/>
        <v>0.83140292178649766</v>
      </c>
      <c r="AP13" s="229">
        <f t="shared" si="33"/>
        <v>0.83140292178649766</v>
      </c>
      <c r="AQ13" s="229">
        <f t="shared" si="34"/>
        <v>0.83140292178649766</v>
      </c>
      <c r="AR13" s="467">
        <f t="shared" si="35"/>
        <v>0.83140292178649766</v>
      </c>
      <c r="AS13" s="3396"/>
      <c r="AT13"/>
      <c r="AU13" s="13">
        <f t="shared" si="13"/>
        <v>12.069476215574586</v>
      </c>
      <c r="AV13" s="26">
        <f t="shared" si="14"/>
        <v>9.1167487388498394</v>
      </c>
      <c r="AW13" s="26">
        <f t="shared" si="14"/>
        <v>6.1640212621250932</v>
      </c>
      <c r="AX13" s="26">
        <f t="shared" si="14"/>
        <v>3.2112937854003469</v>
      </c>
      <c r="AY13" s="13">
        <f t="shared" si="15"/>
        <v>0.25856630867560076</v>
      </c>
      <c r="AZ13" s="26">
        <f t="shared" si="16"/>
        <v>83.749918371049716</v>
      </c>
      <c r="BA13" s="26">
        <f t="shared" si="16"/>
        <v>167.24127043342384</v>
      </c>
      <c r="BB13" s="26">
        <f t="shared" si="16"/>
        <v>250.73262249579795</v>
      </c>
      <c r="BC13" s="13">
        <f t="shared" si="17"/>
        <v>334.22397455817207</v>
      </c>
      <c r="BD13" s="26">
        <f t="shared" si="18"/>
        <v>343.78510815871681</v>
      </c>
      <c r="BE13" s="26">
        <f t="shared" si="18"/>
        <v>353.34624175926149</v>
      </c>
      <c r="BF13" s="26">
        <f t="shared" si="18"/>
        <v>362.90737535980622</v>
      </c>
      <c r="BG13" s="13">
        <f t="shared" si="36"/>
        <v>372.46850896035096</v>
      </c>
      <c r="BH13" s="26">
        <f t="shared" si="37"/>
        <v>372.46850896035096</v>
      </c>
      <c r="BI13" s="26">
        <f t="shared" si="37"/>
        <v>372.46850896035096</v>
      </c>
      <c r="BJ13" s="26"/>
      <c r="BK13"/>
      <c r="BL13" s="13">
        <f t="shared" si="38"/>
        <v>2.0738571428571428</v>
      </c>
      <c r="BM13" s="26">
        <f t="shared" si="39"/>
        <v>1.5651116071428572</v>
      </c>
      <c r="BN13" s="26">
        <f t="shared" si="19"/>
        <v>1.0563660714285714</v>
      </c>
      <c r="BO13" s="26">
        <f t="shared" si="19"/>
        <v>0.54762053571428559</v>
      </c>
      <c r="BP13" s="13">
        <f t="shared" si="40"/>
        <v>3.8875E-2</v>
      </c>
      <c r="BQ13" s="26">
        <f t="shared" si="41"/>
        <v>12.591656250000002</v>
      </c>
      <c r="BR13" s="26">
        <f t="shared" si="20"/>
        <v>25.144437500000002</v>
      </c>
      <c r="BS13" s="26">
        <f t="shared" si="20"/>
        <v>37.697218749999998</v>
      </c>
      <c r="BT13" s="13">
        <f t="shared" si="46"/>
        <v>50.25</v>
      </c>
      <c r="BU13" s="26">
        <f t="shared" si="42"/>
        <v>51.6875</v>
      </c>
      <c r="BV13" s="26">
        <f t="shared" si="22"/>
        <v>53.125</v>
      </c>
      <c r="BW13" s="26">
        <f t="shared" si="22"/>
        <v>54.5625</v>
      </c>
      <c r="BX13" s="13">
        <f t="shared" si="43"/>
        <v>56</v>
      </c>
      <c r="BY13" s="26">
        <f t="shared" si="44"/>
        <v>56</v>
      </c>
      <c r="BZ13" s="26">
        <f t="shared" si="45"/>
        <v>56</v>
      </c>
      <c r="CA13"/>
    </row>
    <row r="14" spans="1:80">
      <c r="A14" s="31" t="s">
        <v>19</v>
      </c>
      <c r="B14" s="83" t="s">
        <v>286</v>
      </c>
      <c r="C14" s="2195">
        <f t="shared" si="4"/>
        <v>0.18027539673878426</v>
      </c>
      <c r="D14" s="1184">
        <f>CALCULATIONS!JC14</f>
        <v>4.0640666398684355E-2</v>
      </c>
      <c r="E14" s="1184">
        <f>CALCULATIONS!JD14</f>
        <v>7.9946920433679999E-2</v>
      </c>
      <c r="F14" s="471">
        <f>CALCULATIONS!JY14</f>
        <v>0.18391009333003108</v>
      </c>
      <c r="G14" s="468">
        <f>'Bloom Cleaner Data'!AJ14</f>
        <v>6685</v>
      </c>
      <c r="H14" s="449" t="str">
        <f>RATINGS!D807</f>
        <v>A-</v>
      </c>
      <c r="I14" s="450">
        <f t="shared" si="5"/>
        <v>4.2959499999999998E-2</v>
      </c>
      <c r="J14" s="193">
        <f t="shared" si="23"/>
        <v>8</v>
      </c>
      <c r="K14" s="451">
        <f t="shared" si="24"/>
        <v>5557.9285321427369</v>
      </c>
      <c r="L14" s="452">
        <f>K14/('Bloom Cleaner Data'!T14)</f>
        <v>0.16888779762808767</v>
      </c>
      <c r="M14" s="452">
        <f>K14/('Bloom Cleaner Data'!T14+K14)</f>
        <v>0.14448589331738729</v>
      </c>
      <c r="N14" s="452">
        <f t="shared" si="6"/>
        <v>0.83140292178649766</v>
      </c>
      <c r="O14" s="186">
        <f>'Bloom Cleaner Data'!AK14</f>
        <v>6685</v>
      </c>
      <c r="P14" s="449" t="str">
        <f>RATINGS!H807</f>
        <v>A-</v>
      </c>
      <c r="Q14" s="450">
        <f t="shared" si="7"/>
        <v>4.2959499999999998E-2</v>
      </c>
      <c r="R14" s="193">
        <f t="shared" si="25"/>
        <v>8</v>
      </c>
      <c r="S14" s="451">
        <f t="shared" si="26"/>
        <v>5557.9285321427369</v>
      </c>
      <c r="T14" s="452">
        <f>S14/('Bloom Cleaner Data'!X14)</f>
        <v>0.17954285218189484</v>
      </c>
      <c r="U14" s="452">
        <f>S14/('Bloom Cleaner Data'!X14+S14)</f>
        <v>0.15221392919280555</v>
      </c>
      <c r="V14" s="452">
        <f t="shared" si="8"/>
        <v>0.83140292178649766</v>
      </c>
      <c r="W14" s="186">
        <f>'Bloom Cleaner Data'!AL14</f>
        <v>6255</v>
      </c>
      <c r="X14" s="1776" t="str">
        <f>RATINGS!L807</f>
        <v>A-</v>
      </c>
      <c r="Y14" s="450">
        <f t="shared" si="9"/>
        <v>4.2959499999999998E-2</v>
      </c>
      <c r="Z14" s="193">
        <f t="shared" si="27"/>
        <v>8</v>
      </c>
      <c r="AA14" s="451">
        <f t="shared" si="28"/>
        <v>5200.4252757745426</v>
      </c>
      <c r="AB14" s="452">
        <f>AA14/('Bloom Cleaner Data'!AB14)</f>
        <v>0.17117360441639651</v>
      </c>
      <c r="AC14" s="452">
        <f>AA14/('Bloom Cleaner Data'!AB14+AA14)</f>
        <v>0.14615562011551092</v>
      </c>
      <c r="AD14" s="452">
        <f t="shared" si="10"/>
        <v>0.83140292178649766</v>
      </c>
      <c r="AE14" s="186">
        <f>'Bloom Cleaner Data'!AM14</f>
        <v>7453</v>
      </c>
      <c r="AF14" s="1776" t="str">
        <f>RATINGS!P807</f>
        <v>A-</v>
      </c>
      <c r="AG14" s="450">
        <f t="shared" si="11"/>
        <v>4.2959499999999998E-2</v>
      </c>
      <c r="AH14" s="193">
        <f t="shared" si="29"/>
        <v>8</v>
      </c>
      <c r="AI14" s="451">
        <f t="shared" si="30"/>
        <v>6196.4459760747668</v>
      </c>
      <c r="AJ14" s="452">
        <f>AI14/('Bloom Cleaner Data'!AF14)</f>
        <v>0.20149733272875803</v>
      </c>
      <c r="AK14" s="452">
        <f>AI14/('Bloom Cleaner Data'!AF14+AI14)</f>
        <v>0.16770518522178585</v>
      </c>
      <c r="AL14" s="453">
        <f t="shared" si="12"/>
        <v>0.83140292178649766</v>
      </c>
      <c r="AM14" s="3396"/>
      <c r="AN14" s="229">
        <f t="shared" si="31"/>
        <v>0.83140292178649766</v>
      </c>
      <c r="AO14" s="229">
        <f t="shared" si="32"/>
        <v>0.83140292178649766</v>
      </c>
      <c r="AP14" s="229">
        <f t="shared" si="33"/>
        <v>0.83140292178649766</v>
      </c>
      <c r="AQ14" s="229">
        <f t="shared" si="34"/>
        <v>0.83140292178649766</v>
      </c>
      <c r="AR14" s="467">
        <f t="shared" si="35"/>
        <v>0.83140292178649766</v>
      </c>
      <c r="AS14" s="3396"/>
      <c r="AT14"/>
      <c r="AU14" s="13">
        <f t="shared" si="13"/>
        <v>5557.9285321427369</v>
      </c>
      <c r="AV14" s="26">
        <f t="shared" si="14"/>
        <v>5557.9285321427369</v>
      </c>
      <c r="AW14" s="26">
        <f t="shared" si="14"/>
        <v>5557.9285321427369</v>
      </c>
      <c r="AX14" s="26">
        <f t="shared" si="14"/>
        <v>5557.9285321427369</v>
      </c>
      <c r="AY14" s="13">
        <f t="shared" si="15"/>
        <v>5557.9285321427369</v>
      </c>
      <c r="AZ14" s="26">
        <f t="shared" si="16"/>
        <v>5468.5527180506888</v>
      </c>
      <c r="BA14" s="26">
        <f t="shared" si="16"/>
        <v>5379.1769039586397</v>
      </c>
      <c r="BB14" s="26">
        <f t="shared" si="16"/>
        <v>5289.8010898665907</v>
      </c>
      <c r="BC14" s="13">
        <f t="shared" si="17"/>
        <v>5200.4252757745426</v>
      </c>
      <c r="BD14" s="26">
        <f t="shared" si="18"/>
        <v>5449.4304508495989</v>
      </c>
      <c r="BE14" s="26">
        <f t="shared" si="18"/>
        <v>5698.4356259246542</v>
      </c>
      <c r="BF14" s="26">
        <f t="shared" si="18"/>
        <v>5947.4408009997105</v>
      </c>
      <c r="BG14" s="13">
        <f t="shared" si="36"/>
        <v>6196.4459760747668</v>
      </c>
      <c r="BH14" s="26">
        <f t="shared" si="37"/>
        <v>6196.4459760747668</v>
      </c>
      <c r="BI14" s="26">
        <f t="shared" si="37"/>
        <v>6196.4459760747668</v>
      </c>
      <c r="BJ14" s="26"/>
      <c r="BK14"/>
      <c r="BL14" s="13">
        <f t="shared" si="38"/>
        <v>955</v>
      </c>
      <c r="BM14" s="26">
        <f t="shared" si="39"/>
        <v>925.15625</v>
      </c>
      <c r="BN14" s="26">
        <f t="shared" si="19"/>
        <v>895.3125</v>
      </c>
      <c r="BO14" s="26">
        <f t="shared" si="19"/>
        <v>865.46875</v>
      </c>
      <c r="BP14" s="13">
        <f t="shared" si="40"/>
        <v>835.625</v>
      </c>
      <c r="BQ14" s="26">
        <f t="shared" si="41"/>
        <v>822.1875</v>
      </c>
      <c r="BR14" s="26">
        <f t="shared" si="20"/>
        <v>808.75</v>
      </c>
      <c r="BS14" s="26">
        <f t="shared" si="20"/>
        <v>795.3125</v>
      </c>
      <c r="BT14" s="13">
        <f t="shared" si="46"/>
        <v>781.875</v>
      </c>
      <c r="BU14" s="26">
        <f t="shared" si="42"/>
        <v>819.3125</v>
      </c>
      <c r="BV14" s="26">
        <f t="shared" si="22"/>
        <v>856.75</v>
      </c>
      <c r="BW14" s="26">
        <f t="shared" si="22"/>
        <v>894.1875</v>
      </c>
      <c r="BX14" s="13">
        <f t="shared" si="43"/>
        <v>931.625</v>
      </c>
      <c r="BY14" s="26">
        <f t="shared" si="44"/>
        <v>931.625</v>
      </c>
      <c r="BZ14" s="26">
        <f t="shared" si="45"/>
        <v>931.625</v>
      </c>
      <c r="CA14"/>
    </row>
    <row r="15" spans="1:80">
      <c r="A15" s="31" t="s">
        <v>374</v>
      </c>
      <c r="B15" s="2200" t="s">
        <v>42</v>
      </c>
      <c r="C15" s="2195">
        <f t="shared" si="4"/>
        <v>8.8141922005698592E-2</v>
      </c>
      <c r="D15" s="1184">
        <f>CALCULATIONS!JC15</f>
        <v>2.500940162152776E-2</v>
      </c>
      <c r="E15" s="1184">
        <f>CALCULATIONS!JD15</f>
        <v>4.1074885519406669E-2</v>
      </c>
      <c r="F15" s="471">
        <f>CALCULATIONS!JY15</f>
        <v>0.11939169637420323</v>
      </c>
      <c r="G15" s="449">
        <f>'Bloom Cleaner Data'!AJ15</f>
        <v>0</v>
      </c>
      <c r="H15" s="449" t="str">
        <f>RATINGS!D808</f>
        <v>B-</v>
      </c>
      <c r="I15" s="450">
        <f t="shared" si="5"/>
        <v>0.12398616000000001</v>
      </c>
      <c r="J15" s="193">
        <f t="shared" si="23"/>
        <v>8</v>
      </c>
      <c r="K15" s="451">
        <f t="shared" si="24"/>
        <v>0</v>
      </c>
      <c r="L15" s="452">
        <f>K15/('Bloom Cleaner Data'!T15)</f>
        <v>0</v>
      </c>
      <c r="M15" s="452">
        <f>K15/('Bloom Cleaner Data'!T15+K15)</f>
        <v>0</v>
      </c>
      <c r="N15" s="452"/>
      <c r="O15" s="186">
        <f>'Bloom Cleaner Data'!AK15</f>
        <v>0</v>
      </c>
      <c r="P15" s="449" t="str">
        <f>RATINGS!H808</f>
        <v>B-</v>
      </c>
      <c r="Q15" s="450">
        <f t="shared" si="7"/>
        <v>0.12398616000000001</v>
      </c>
      <c r="R15" s="193">
        <f t="shared" si="25"/>
        <v>8</v>
      </c>
      <c r="S15" s="451">
        <f t="shared" si="26"/>
        <v>0</v>
      </c>
      <c r="T15" s="452">
        <f>S15/('Bloom Cleaner Data'!X15)</f>
        <v>0</v>
      </c>
      <c r="U15" s="452">
        <f>S15/('Bloom Cleaner Data'!X15+S15)</f>
        <v>0</v>
      </c>
      <c r="V15" s="452"/>
      <c r="W15" s="186">
        <f>'Bloom Cleaner Data'!AL15</f>
        <v>826.7</v>
      </c>
      <c r="X15" s="95" t="str">
        <f>RATINGS!L808</f>
        <v>B-</v>
      </c>
      <c r="Y15" s="450">
        <f t="shared" si="9"/>
        <v>0.12398616000000001</v>
      </c>
      <c r="Z15" s="193">
        <f t="shared" si="27"/>
        <v>8</v>
      </c>
      <c r="AA15" s="451">
        <f t="shared" si="28"/>
        <v>506.27221295180038</v>
      </c>
      <c r="AB15" s="452">
        <f>AA15/('Bloom Cleaner Data'!AB15)</f>
        <v>0.14526762874861565</v>
      </c>
      <c r="AC15" s="452">
        <f>AA15/('Bloom Cleaner Data'!AB15+AA15)</f>
        <v>0.12684164391107719</v>
      </c>
      <c r="AD15" s="452">
        <f t="shared" si="10"/>
        <v>0.61240137045095</v>
      </c>
      <c r="AE15" s="186">
        <f>'Bloom Cleaner Data'!AM15</f>
        <v>953.7</v>
      </c>
      <c r="AF15" s="95" t="str">
        <f>RATINGS!P808</f>
        <v>B-</v>
      </c>
      <c r="AG15" s="450">
        <f t="shared" si="11"/>
        <v>0.12398616000000001</v>
      </c>
      <c r="AH15" s="193">
        <f t="shared" si="29"/>
        <v>8</v>
      </c>
      <c r="AI15" s="451">
        <f t="shared" si="30"/>
        <v>584.04718699907107</v>
      </c>
      <c r="AJ15" s="452">
        <f>AI15/('Bloom Cleaner Data'!AF15)</f>
        <v>0.20730005927417869</v>
      </c>
      <c r="AK15" s="452">
        <f>AI15/('Bloom Cleaner Data'!AF15+AI15)</f>
        <v>0.17170549912737204</v>
      </c>
      <c r="AL15" s="453">
        <f t="shared" si="12"/>
        <v>0.61240137045095</v>
      </c>
      <c r="AM15" s="3396"/>
      <c r="AN15" s="229"/>
      <c r="AO15" s="229"/>
      <c r="AP15" s="229">
        <f t="shared" si="33"/>
        <v>0.61240137045095</v>
      </c>
      <c r="AQ15" s="229">
        <f t="shared" si="34"/>
        <v>0.61240137045095</v>
      </c>
      <c r="AR15" s="467">
        <f t="shared" si="35"/>
        <v>0.61240137045095</v>
      </c>
      <c r="AS15" s="3396"/>
      <c r="AT15"/>
      <c r="AU15" s="13">
        <f t="shared" si="13"/>
        <v>0</v>
      </c>
      <c r="AV15" s="26">
        <f t="shared" si="14"/>
        <v>0</v>
      </c>
      <c r="AW15" s="26">
        <f t="shared" si="14"/>
        <v>0</v>
      </c>
      <c r="AX15" s="26">
        <f t="shared" si="14"/>
        <v>0</v>
      </c>
      <c r="AY15" s="13">
        <f t="shared" si="15"/>
        <v>0</v>
      </c>
      <c r="AZ15" s="26">
        <f t="shared" si="16"/>
        <v>126.5680532379501</v>
      </c>
      <c r="BA15" s="26">
        <f t="shared" si="16"/>
        <v>253.13610647590019</v>
      </c>
      <c r="BB15" s="26">
        <f t="shared" si="16"/>
        <v>379.70415971385029</v>
      </c>
      <c r="BC15" s="13">
        <f t="shared" si="17"/>
        <v>506.27221295180038</v>
      </c>
      <c r="BD15" s="26">
        <f t="shared" si="18"/>
        <v>525.71595646361811</v>
      </c>
      <c r="BE15" s="26">
        <f t="shared" si="18"/>
        <v>545.15969997543573</v>
      </c>
      <c r="BF15" s="26">
        <f t="shared" si="18"/>
        <v>564.60344348725334</v>
      </c>
      <c r="BG15" s="13">
        <f t="shared" si="36"/>
        <v>584.04718699907107</v>
      </c>
      <c r="BH15" s="26">
        <f t="shared" si="37"/>
        <v>584.04718699907107</v>
      </c>
      <c r="BI15" s="26">
        <f t="shared" si="37"/>
        <v>584.04718699907107</v>
      </c>
      <c r="BJ15" s="26"/>
      <c r="BK15"/>
      <c r="BL15" s="13">
        <f t="shared" si="38"/>
        <v>0</v>
      </c>
      <c r="BM15" s="26">
        <f t="shared" si="39"/>
        <v>0</v>
      </c>
      <c r="BN15" s="26">
        <f t="shared" si="19"/>
        <v>0</v>
      </c>
      <c r="BO15" s="26">
        <f t="shared" si="19"/>
        <v>0</v>
      </c>
      <c r="BP15" s="13">
        <f t="shared" si="40"/>
        <v>0</v>
      </c>
      <c r="BQ15" s="26">
        <f t="shared" si="41"/>
        <v>25.834375000000001</v>
      </c>
      <c r="BR15" s="26">
        <f t="shared" si="20"/>
        <v>51.668750000000003</v>
      </c>
      <c r="BS15" s="26">
        <f t="shared" si="20"/>
        <v>77.503125000000011</v>
      </c>
      <c r="BT15" s="13">
        <f t="shared" si="46"/>
        <v>103.33750000000001</v>
      </c>
      <c r="BU15" s="26">
        <f t="shared" si="42"/>
        <v>107.30625000000001</v>
      </c>
      <c r="BV15" s="26">
        <f t="shared" si="22"/>
        <v>111.27500000000001</v>
      </c>
      <c r="BW15" s="26">
        <f t="shared" si="22"/>
        <v>115.24375000000001</v>
      </c>
      <c r="BX15" s="13">
        <f t="shared" si="43"/>
        <v>119.21250000000001</v>
      </c>
      <c r="BY15" s="26">
        <f t="shared" si="44"/>
        <v>119.21250000000001</v>
      </c>
      <c r="BZ15" s="26">
        <f t="shared" si="45"/>
        <v>119.21250000000001</v>
      </c>
      <c r="CA15"/>
    </row>
    <row r="16" spans="1:80">
      <c r="A16" s="31" t="s">
        <v>25</v>
      </c>
      <c r="B16" s="83" t="s">
        <v>284</v>
      </c>
      <c r="C16" s="2195">
        <f t="shared" si="4"/>
        <v>2.2100310884920774E-2</v>
      </c>
      <c r="D16" s="1184">
        <f>CALCULATIONS!JC16</f>
        <v>4.5961501391620363E-3</v>
      </c>
      <c r="E16" s="1184">
        <f>CALCULATIONS!JD16</f>
        <v>6.7592727231349809E-3</v>
      </c>
      <c r="F16" s="471">
        <f>CALCULATIONS!JY16</f>
        <v>2.1614247274507968E-2</v>
      </c>
      <c r="G16" s="449">
        <f>'Bloom Cleaner Data'!AJ16</f>
        <v>1082</v>
      </c>
      <c r="H16" s="449" t="str">
        <f>RATINGS!D809</f>
        <v>BBB-</v>
      </c>
      <c r="I16" s="450">
        <f t="shared" si="5"/>
        <v>5.4413999999999997E-2</v>
      </c>
      <c r="J16" s="193">
        <f t="shared" si="23"/>
        <v>8</v>
      </c>
      <c r="K16" s="451">
        <f t="shared" si="24"/>
        <v>858.76177126631569</v>
      </c>
      <c r="L16" s="452">
        <f>K16/('Bloom Cleaner Data'!T16)</f>
        <v>2.3598191071042721E-2</v>
      </c>
      <c r="M16" s="452">
        <f>K16/('Bloom Cleaner Data'!T16+K16)</f>
        <v>2.3054154722910111E-2</v>
      </c>
      <c r="N16" s="452">
        <f t="shared" ref="N16:N27" si="47">K16/G16</f>
        <v>0.79368001041249137</v>
      </c>
      <c r="O16" s="186">
        <f>'Bloom Cleaner Data'!AK16</f>
        <v>872</v>
      </c>
      <c r="P16" s="449" t="str">
        <f>RATINGS!H809</f>
        <v>BBB-</v>
      </c>
      <c r="Q16" s="450">
        <f t="shared" si="7"/>
        <v>5.4413999999999997E-2</v>
      </c>
      <c r="R16" s="193">
        <f t="shared" si="25"/>
        <v>8</v>
      </c>
      <c r="S16" s="451">
        <f t="shared" si="26"/>
        <v>692.08896907969245</v>
      </c>
      <c r="T16" s="452">
        <f>S16/('Bloom Cleaner Data'!X16)</f>
        <v>2.01258860381439E-2</v>
      </c>
      <c r="U16" s="452">
        <f>S16/('Bloom Cleaner Data'!X16+S16)</f>
        <v>1.972882593569571E-2</v>
      </c>
      <c r="V16" s="452">
        <f t="shared" ref="V16:V27" si="48">S16/O16</f>
        <v>0.79368001041249137</v>
      </c>
      <c r="W16" s="186">
        <f>'Bloom Cleaner Data'!AL16</f>
        <v>975</v>
      </c>
      <c r="X16" s="95" t="str">
        <f>RATINGS!L809</f>
        <v>BBB-</v>
      </c>
      <c r="Y16" s="450">
        <f t="shared" si="9"/>
        <v>5.4413999999999997E-2</v>
      </c>
      <c r="Z16" s="193">
        <f t="shared" si="27"/>
        <v>8</v>
      </c>
      <c r="AA16" s="451">
        <f t="shared" si="28"/>
        <v>773.83801015217909</v>
      </c>
      <c r="AB16" s="452">
        <f>AA16/('Bloom Cleaner Data'!AB16)</f>
        <v>2.2916311601284621E-2</v>
      </c>
      <c r="AC16" s="452">
        <f>AA16/('Bloom Cleaner Data'!AB16+AA16)</f>
        <v>2.2402919321338394E-2</v>
      </c>
      <c r="AD16" s="452">
        <f t="shared" si="10"/>
        <v>0.79368001041249137</v>
      </c>
      <c r="AE16" s="186">
        <f>'Bloom Cleaner Data'!AM16</f>
        <v>865</v>
      </c>
      <c r="AF16" s="95" t="str">
        <f>RATINGS!P809</f>
        <v>BBB-</v>
      </c>
      <c r="AG16" s="450">
        <f t="shared" si="11"/>
        <v>5.4413999999999997E-2</v>
      </c>
      <c r="AH16" s="193">
        <f t="shared" si="29"/>
        <v>8</v>
      </c>
      <c r="AI16" s="451">
        <f t="shared" si="30"/>
        <v>686.53320900680501</v>
      </c>
      <c r="AJ16" s="452">
        <f>AI16/('Bloom Cleaner Data'!AF16)</f>
        <v>2.1760854829211862E-2</v>
      </c>
      <c r="AK16" s="452">
        <f>AI16/('Bloom Cleaner Data'!AF16+AI16)</f>
        <v>2.1297405088834809E-2</v>
      </c>
      <c r="AL16" s="453">
        <f t="shared" si="12"/>
        <v>0.79368001041249137</v>
      </c>
      <c r="AM16" s="3396"/>
      <c r="AN16" s="229">
        <f t="shared" si="31"/>
        <v>0.79368001041249137</v>
      </c>
      <c r="AO16" s="229">
        <f t="shared" si="32"/>
        <v>0.79368001041249137</v>
      </c>
      <c r="AP16" s="229">
        <f t="shared" si="33"/>
        <v>0.79368001041249137</v>
      </c>
      <c r="AQ16" s="229">
        <f t="shared" si="34"/>
        <v>0.79368001041249137</v>
      </c>
      <c r="AR16" s="467">
        <f t="shared" si="35"/>
        <v>0.79368001041249137</v>
      </c>
      <c r="AS16" s="3396"/>
      <c r="AT16"/>
      <c r="AU16" s="13">
        <f t="shared" si="13"/>
        <v>858.76177126631569</v>
      </c>
      <c r="AV16" s="26">
        <f t="shared" si="14"/>
        <v>817.09357071965985</v>
      </c>
      <c r="AW16" s="26">
        <f t="shared" si="14"/>
        <v>775.42537017300401</v>
      </c>
      <c r="AX16" s="26">
        <f t="shared" si="14"/>
        <v>733.75716962634829</v>
      </c>
      <c r="AY16" s="13">
        <f t="shared" si="15"/>
        <v>692.08896907969245</v>
      </c>
      <c r="AZ16" s="26">
        <f t="shared" si="16"/>
        <v>712.52622934781414</v>
      </c>
      <c r="BA16" s="26">
        <f t="shared" si="16"/>
        <v>732.96348961593571</v>
      </c>
      <c r="BB16" s="26">
        <f t="shared" si="16"/>
        <v>753.4007498840574</v>
      </c>
      <c r="BC16" s="13">
        <f t="shared" si="17"/>
        <v>773.83801015217909</v>
      </c>
      <c r="BD16" s="26">
        <f t="shared" si="18"/>
        <v>752.01180986583563</v>
      </c>
      <c r="BE16" s="26">
        <f t="shared" si="18"/>
        <v>730.18560957949205</v>
      </c>
      <c r="BF16" s="26">
        <f t="shared" si="18"/>
        <v>708.35940929314847</v>
      </c>
      <c r="BG16" s="13">
        <f t="shared" si="36"/>
        <v>686.53320900680501</v>
      </c>
      <c r="BH16" s="26">
        <f t="shared" si="37"/>
        <v>686.53320900680501</v>
      </c>
      <c r="BI16" s="26">
        <f t="shared" si="37"/>
        <v>686.53320900680501</v>
      </c>
      <c r="BJ16" s="26"/>
      <c r="BK16"/>
      <c r="BL16" s="13">
        <f t="shared" si="38"/>
        <v>154.57142857142858</v>
      </c>
      <c r="BM16" s="26">
        <f t="shared" si="39"/>
        <v>143.17857142857144</v>
      </c>
      <c r="BN16" s="26">
        <f t="shared" si="19"/>
        <v>131.78571428571428</v>
      </c>
      <c r="BO16" s="26">
        <f t="shared" si="19"/>
        <v>120.39285714285714</v>
      </c>
      <c r="BP16" s="13">
        <f t="shared" si="40"/>
        <v>109</v>
      </c>
      <c r="BQ16" s="26">
        <f t="shared" si="41"/>
        <v>112.21875</v>
      </c>
      <c r="BR16" s="26">
        <f t="shared" si="20"/>
        <v>115.4375</v>
      </c>
      <c r="BS16" s="26">
        <f t="shared" si="20"/>
        <v>118.65625</v>
      </c>
      <c r="BT16" s="13">
        <f t="shared" si="46"/>
        <v>121.875</v>
      </c>
      <c r="BU16" s="26">
        <f t="shared" si="42"/>
        <v>118.4375</v>
      </c>
      <c r="BV16" s="26">
        <f t="shared" si="22"/>
        <v>115</v>
      </c>
      <c r="BW16" s="26">
        <f t="shared" si="22"/>
        <v>111.5625</v>
      </c>
      <c r="BX16" s="13">
        <f t="shared" si="43"/>
        <v>108.125</v>
      </c>
      <c r="BY16" s="26">
        <f t="shared" si="44"/>
        <v>108.125</v>
      </c>
      <c r="BZ16" s="26">
        <f t="shared" si="45"/>
        <v>108.125</v>
      </c>
      <c r="CA16"/>
    </row>
    <row r="17" spans="1:81">
      <c r="A17" s="31" t="s">
        <v>500</v>
      </c>
      <c r="B17" s="83" t="s">
        <v>279</v>
      </c>
      <c r="C17" s="2195">
        <f t="shared" si="4"/>
        <v>0.34270006488764843</v>
      </c>
      <c r="D17" s="1184">
        <f>CALCULATIONS!JC17</f>
        <v>3.7162372871396732E-2</v>
      </c>
      <c r="E17" s="1184">
        <f>CALCULATIONS!JD17</f>
        <v>0.25234350412762557</v>
      </c>
      <c r="F17" s="471">
        <f>CALCULATIONS!JY17</f>
        <v>0.30601742506449969</v>
      </c>
      <c r="G17" s="449">
        <f>'Bloom Cleaner Data'!AJ17</f>
        <v>10953</v>
      </c>
      <c r="H17" s="449" t="str">
        <f>RATINGS!D810</f>
        <v>A-</v>
      </c>
      <c r="I17" s="450">
        <f t="shared" si="5"/>
        <v>4.2959499999999998E-2</v>
      </c>
      <c r="J17" s="193">
        <f t="shared" si="23"/>
        <v>8</v>
      </c>
      <c r="K17" s="451">
        <f t="shared" si="24"/>
        <v>9106.3562023275081</v>
      </c>
      <c r="L17" s="452">
        <f>K17/('Bloom Cleaner Data'!T17)</f>
        <v>0.32682612074534356</v>
      </c>
      <c r="M17" s="452">
        <f>K17/('Bloom Cleaner Data'!T17+K17)</f>
        <v>0.24632174151180355</v>
      </c>
      <c r="N17" s="452">
        <f t="shared" si="47"/>
        <v>0.83140292178649755</v>
      </c>
      <c r="O17" s="186">
        <f>'Bloom Cleaner Data'!AK17</f>
        <v>11843</v>
      </c>
      <c r="P17" s="449" t="str">
        <f>RATINGS!H810</f>
        <v>A-</v>
      </c>
      <c r="Q17" s="450">
        <f t="shared" si="7"/>
        <v>4.2959499999999998E-2</v>
      </c>
      <c r="R17" s="193">
        <f t="shared" si="25"/>
        <v>8</v>
      </c>
      <c r="S17" s="451">
        <f t="shared" si="26"/>
        <v>9846.3048027174918</v>
      </c>
      <c r="T17" s="452">
        <f>S17/('Bloom Cleaner Data'!X17)</f>
        <v>0.47233545057648912</v>
      </c>
      <c r="U17" s="452">
        <f>S17/('Bloom Cleaner Data'!X17+S17)</f>
        <v>0.32080695359983852</v>
      </c>
      <c r="V17" s="452">
        <f t="shared" si="48"/>
        <v>0.83140292178649766</v>
      </c>
      <c r="W17" s="186">
        <f>'Bloom Cleaner Data'!AL17</f>
        <v>10054</v>
      </c>
      <c r="X17" s="95" t="str">
        <f>RATINGS!L810</f>
        <v>A-</v>
      </c>
      <c r="Y17" s="450">
        <f t="shared" si="9"/>
        <v>4.2959499999999998E-2</v>
      </c>
      <c r="Z17" s="193">
        <f t="shared" si="27"/>
        <v>8</v>
      </c>
      <c r="AA17" s="451">
        <f t="shared" si="28"/>
        <v>8358.9249756414483</v>
      </c>
      <c r="AB17" s="452">
        <f>AA17/('Bloom Cleaner Data'!AB17)</f>
        <v>0.39757074794965269</v>
      </c>
      <c r="AC17" s="452">
        <f>AA17/('Bloom Cleaner Data'!AB17+AA17)</f>
        <v>0.28447271705773791</v>
      </c>
      <c r="AD17" s="452">
        <f t="shared" si="10"/>
        <v>0.83140292178649777</v>
      </c>
      <c r="AE17" s="186">
        <f>'Bloom Cleaner Data'!AM17</f>
        <v>8646</v>
      </c>
      <c r="AF17" s="95" t="str">
        <f>RATINGS!P810</f>
        <v>A-</v>
      </c>
      <c r="AG17" s="450">
        <f t="shared" si="11"/>
        <v>4.2959499999999998E-2</v>
      </c>
      <c r="AH17" s="193">
        <f t="shared" si="29"/>
        <v>8</v>
      </c>
      <c r="AI17" s="451">
        <f t="shared" si="30"/>
        <v>7188.3096617660585</v>
      </c>
      <c r="AJ17" s="452">
        <f>AI17/('Bloom Cleaner Data'!AF17)</f>
        <v>0.17406794027910835</v>
      </c>
      <c r="AK17" s="452">
        <f>AI17/('Bloom Cleaner Data'!AF17+AI17)</f>
        <v>0.14826053442676207</v>
      </c>
      <c r="AL17" s="453">
        <f t="shared" si="12"/>
        <v>0.83140292178649766</v>
      </c>
      <c r="AM17" s="3396"/>
      <c r="AN17" s="229">
        <f t="shared" si="31"/>
        <v>0.83140292178649755</v>
      </c>
      <c r="AO17" s="229">
        <f t="shared" si="32"/>
        <v>0.83140292178649766</v>
      </c>
      <c r="AP17" s="229">
        <f t="shared" si="33"/>
        <v>0.83140292178649777</v>
      </c>
      <c r="AQ17" s="229">
        <f t="shared" si="34"/>
        <v>0.83140292178649766</v>
      </c>
      <c r="AR17" s="467">
        <f t="shared" si="35"/>
        <v>0.83140292178649766</v>
      </c>
      <c r="AS17" s="3396"/>
      <c r="AT17"/>
      <c r="AU17" s="13">
        <f t="shared" si="13"/>
        <v>9106.3562023275081</v>
      </c>
      <c r="AV17" s="26">
        <f t="shared" si="14"/>
        <v>9291.3433524250031</v>
      </c>
      <c r="AW17" s="26">
        <f t="shared" si="14"/>
        <v>9476.3305025225</v>
      </c>
      <c r="AX17" s="26">
        <f t="shared" si="14"/>
        <v>9661.3176526199968</v>
      </c>
      <c r="AY17" s="13">
        <f t="shared" si="15"/>
        <v>9846.3048027174918</v>
      </c>
      <c r="AZ17" s="26">
        <f t="shared" si="16"/>
        <v>9474.4598459484805</v>
      </c>
      <c r="BA17" s="26">
        <f t="shared" si="16"/>
        <v>9102.6148891794692</v>
      </c>
      <c r="BB17" s="26">
        <f t="shared" si="16"/>
        <v>8730.7699324104597</v>
      </c>
      <c r="BC17" s="13">
        <f t="shared" si="17"/>
        <v>8358.9249756414483</v>
      </c>
      <c r="BD17" s="26">
        <f t="shared" si="18"/>
        <v>8066.2711471726006</v>
      </c>
      <c r="BE17" s="26">
        <f t="shared" si="18"/>
        <v>7773.617318703753</v>
      </c>
      <c r="BF17" s="26">
        <f t="shared" si="18"/>
        <v>7480.9634902349062</v>
      </c>
      <c r="BG17" s="13">
        <f t="shared" si="36"/>
        <v>7188.3096617660585</v>
      </c>
      <c r="BH17" s="26">
        <f t="shared" si="37"/>
        <v>7188.3096617660585</v>
      </c>
      <c r="BI17" s="26">
        <f t="shared" si="37"/>
        <v>7188.3096617660585</v>
      </c>
      <c r="BJ17" s="26"/>
      <c r="BK17"/>
      <c r="BL17" s="13">
        <f t="shared" si="38"/>
        <v>1564.7142857142858</v>
      </c>
      <c r="BM17" s="26">
        <f t="shared" si="39"/>
        <v>1543.6294642857142</v>
      </c>
      <c r="BN17" s="26">
        <f t="shared" si="19"/>
        <v>1522.5446428571429</v>
      </c>
      <c r="BO17" s="26">
        <f t="shared" si="19"/>
        <v>1501.4598214285716</v>
      </c>
      <c r="BP17" s="13">
        <f t="shared" si="40"/>
        <v>1480.375</v>
      </c>
      <c r="BQ17" s="26">
        <f t="shared" si="41"/>
        <v>1424.46875</v>
      </c>
      <c r="BR17" s="26">
        <f t="shared" si="20"/>
        <v>1368.5625</v>
      </c>
      <c r="BS17" s="26">
        <f t="shared" si="20"/>
        <v>1312.65625</v>
      </c>
      <c r="BT17" s="13">
        <f t="shared" si="46"/>
        <v>1256.75</v>
      </c>
      <c r="BU17" s="26">
        <f t="shared" si="42"/>
        <v>1212.75</v>
      </c>
      <c r="BV17" s="26">
        <f t="shared" si="22"/>
        <v>1168.75</v>
      </c>
      <c r="BW17" s="26">
        <f t="shared" si="22"/>
        <v>1124.75</v>
      </c>
      <c r="BX17" s="13">
        <f t="shared" si="43"/>
        <v>1080.75</v>
      </c>
      <c r="BY17" s="26">
        <f t="shared" si="44"/>
        <v>1080.75</v>
      </c>
      <c r="BZ17" s="26">
        <f t="shared" si="45"/>
        <v>1080.75</v>
      </c>
      <c r="CA17"/>
    </row>
    <row r="18" spans="1:81">
      <c r="A18" s="31" t="s">
        <v>501</v>
      </c>
      <c r="B18" s="83" t="s">
        <v>44</v>
      </c>
      <c r="C18" s="2195">
        <f t="shared" si="4"/>
        <v>0.14493461032194538</v>
      </c>
      <c r="D18" s="1184">
        <f>CALCULATIONS!JC18</f>
        <v>3.1308148362253818E-2</v>
      </c>
      <c r="E18" s="1184">
        <f>CALCULATIONS!JD18</f>
        <v>6.0410020577161203E-2</v>
      </c>
      <c r="F18" s="471">
        <f>CALCULATIONS!JY18</f>
        <v>0.14892177271262927</v>
      </c>
      <c r="G18" s="449">
        <f>'Bloom Cleaner Data'!AJ18</f>
        <v>2078</v>
      </c>
      <c r="H18" s="449" t="str">
        <f>RATINGS!D811</f>
        <v>BBB-</v>
      </c>
      <c r="I18" s="450">
        <f t="shared" si="5"/>
        <v>5.4413999999999997E-2</v>
      </c>
      <c r="J18" s="193">
        <f t="shared" si="23"/>
        <v>8</v>
      </c>
      <c r="K18" s="451">
        <f t="shared" si="24"/>
        <v>1649.267061637157</v>
      </c>
      <c r="L18" s="452">
        <f>K18/('Bloom Cleaner Data'!T18)</f>
        <v>0.15444021552927775</v>
      </c>
      <c r="M18" s="452">
        <f>K18/('Bloom Cleaner Data'!T18+K18)</f>
        <v>0.13377931005155716</v>
      </c>
      <c r="N18" s="452">
        <f t="shared" si="47"/>
        <v>0.79368001041249137</v>
      </c>
      <c r="O18" s="186">
        <f>'Bloom Cleaner Data'!AK18</f>
        <v>1820</v>
      </c>
      <c r="P18" s="449" t="str">
        <f>RATINGS!H811</f>
        <v>BBB-</v>
      </c>
      <c r="Q18" s="450">
        <f t="shared" si="7"/>
        <v>5.4413999999999997E-2</v>
      </c>
      <c r="R18" s="193">
        <f t="shared" si="25"/>
        <v>8</v>
      </c>
      <c r="S18" s="451">
        <f t="shared" si="26"/>
        <v>1444.4976189507342</v>
      </c>
      <c r="T18" s="452">
        <f>S18/('Bloom Cleaner Data'!X18)</f>
        <v>0.12331378000262372</v>
      </c>
      <c r="U18" s="452">
        <f>S18/('Bloom Cleaner Data'!X18+S18)</f>
        <v>0.10977678917313352</v>
      </c>
      <c r="V18" s="452">
        <f t="shared" si="48"/>
        <v>0.79368001041249137</v>
      </c>
      <c r="W18" s="186">
        <f>'Bloom Cleaner Data'!AL18</f>
        <v>2222</v>
      </c>
      <c r="X18" s="95" t="str">
        <f>RATINGS!L811</f>
        <v>BBB-</v>
      </c>
      <c r="Y18" s="450">
        <f t="shared" si="9"/>
        <v>5.4413999999999997E-2</v>
      </c>
      <c r="Z18" s="193">
        <f t="shared" si="27"/>
        <v>8</v>
      </c>
      <c r="AA18" s="451">
        <f t="shared" si="28"/>
        <v>1763.5569831365558</v>
      </c>
      <c r="AB18" s="452">
        <f>AA18/('Bloom Cleaner Data'!AB18)</f>
        <v>0.14564018359373654</v>
      </c>
      <c r="AC18" s="452">
        <f>AA18/('Bloom Cleaner Data'!AB18+AA18)</f>
        <v>0.12712558941227137</v>
      </c>
      <c r="AD18" s="452">
        <f t="shared" si="10"/>
        <v>0.79368001041249137</v>
      </c>
      <c r="AE18" s="186">
        <f>'Bloom Cleaner Data'!AM18</f>
        <v>2484</v>
      </c>
      <c r="AF18" s="95" t="str">
        <f>RATINGS!P811</f>
        <v>BBB-</v>
      </c>
      <c r="AG18" s="450">
        <f t="shared" si="11"/>
        <v>5.4413999999999997E-2</v>
      </c>
      <c r="AH18" s="193">
        <f t="shared" si="29"/>
        <v>8</v>
      </c>
      <c r="AI18" s="451">
        <f t="shared" si="30"/>
        <v>1971.5011458646286</v>
      </c>
      <c r="AJ18" s="452">
        <f>AI18/('Bloom Cleaner Data'!AF18)</f>
        <v>0.15634426216214342</v>
      </c>
      <c r="AK18" s="452">
        <f>AI18/('Bloom Cleaner Data'!AF18+AI18)</f>
        <v>0.13520563665859286</v>
      </c>
      <c r="AL18" s="453">
        <f t="shared" si="12"/>
        <v>0.79368001041249137</v>
      </c>
      <c r="AM18" s="3396"/>
      <c r="AN18" s="229">
        <f t="shared" si="31"/>
        <v>0.79368001041249137</v>
      </c>
      <c r="AO18" s="229">
        <f t="shared" si="32"/>
        <v>0.79368001041249137</v>
      </c>
      <c r="AP18" s="229">
        <f t="shared" si="33"/>
        <v>0.79368001041249137</v>
      </c>
      <c r="AQ18" s="229">
        <f t="shared" si="34"/>
        <v>0.79368001041249137</v>
      </c>
      <c r="AR18" s="467">
        <f t="shared" si="35"/>
        <v>0.79368001041249137</v>
      </c>
      <c r="AS18" s="3396"/>
      <c r="AT18"/>
      <c r="AU18" s="13">
        <f t="shared" si="13"/>
        <v>1649.267061637157</v>
      </c>
      <c r="AV18" s="26">
        <f t="shared" si="14"/>
        <v>1598.0747009655513</v>
      </c>
      <c r="AW18" s="26">
        <f t="shared" si="14"/>
        <v>1546.8823402939456</v>
      </c>
      <c r="AX18" s="26">
        <f t="shared" si="14"/>
        <v>1495.6899796223399</v>
      </c>
      <c r="AY18" s="13">
        <f t="shared" si="15"/>
        <v>1444.4976189507342</v>
      </c>
      <c r="AZ18" s="26">
        <f t="shared" si="16"/>
        <v>1524.2624599971896</v>
      </c>
      <c r="BA18" s="26">
        <f t="shared" si="16"/>
        <v>1604.0273010436449</v>
      </c>
      <c r="BB18" s="26">
        <f t="shared" si="16"/>
        <v>1683.7921420901005</v>
      </c>
      <c r="BC18" s="13">
        <f t="shared" si="17"/>
        <v>1763.5569831365558</v>
      </c>
      <c r="BD18" s="26">
        <f t="shared" si="18"/>
        <v>1815.5430238185741</v>
      </c>
      <c r="BE18" s="26">
        <f t="shared" si="18"/>
        <v>1867.5290645005921</v>
      </c>
      <c r="BF18" s="26">
        <f t="shared" si="18"/>
        <v>1919.5151051826103</v>
      </c>
      <c r="BG18" s="13">
        <f t="shared" si="36"/>
        <v>1971.5011458646286</v>
      </c>
      <c r="BH18" s="26">
        <f t="shared" si="37"/>
        <v>1971.5011458646286</v>
      </c>
      <c r="BI18" s="26">
        <f t="shared" si="37"/>
        <v>1971.5011458646286</v>
      </c>
      <c r="BJ18" s="26"/>
      <c r="BK18"/>
      <c r="BL18" s="13">
        <f t="shared" si="38"/>
        <v>296.85714285714283</v>
      </c>
      <c r="BM18" s="26">
        <f t="shared" si="39"/>
        <v>279.51785714285711</v>
      </c>
      <c r="BN18" s="26">
        <f t="shared" si="19"/>
        <v>262.17857142857144</v>
      </c>
      <c r="BO18" s="26">
        <f t="shared" si="19"/>
        <v>244.83928571428572</v>
      </c>
      <c r="BP18" s="13">
        <f t="shared" si="40"/>
        <v>227.5</v>
      </c>
      <c r="BQ18" s="26">
        <f t="shared" si="41"/>
        <v>240.0625</v>
      </c>
      <c r="BR18" s="26">
        <f t="shared" si="20"/>
        <v>252.625</v>
      </c>
      <c r="BS18" s="26">
        <f t="shared" si="20"/>
        <v>265.1875</v>
      </c>
      <c r="BT18" s="13">
        <f t="shared" si="46"/>
        <v>277.75</v>
      </c>
      <c r="BU18" s="26">
        <f t="shared" si="42"/>
        <v>285.9375</v>
      </c>
      <c r="BV18" s="26">
        <f t="shared" si="22"/>
        <v>294.125</v>
      </c>
      <c r="BW18" s="26">
        <f t="shared" si="22"/>
        <v>302.3125</v>
      </c>
      <c r="BX18" s="13">
        <f t="shared" si="43"/>
        <v>310.5</v>
      </c>
      <c r="BY18" s="26">
        <f t="shared" si="44"/>
        <v>310.5</v>
      </c>
      <c r="BZ18" s="26">
        <f t="shared" si="45"/>
        <v>310.5</v>
      </c>
      <c r="CA18"/>
    </row>
    <row r="19" spans="1:81">
      <c r="A19" s="31" t="s">
        <v>502</v>
      </c>
      <c r="B19" s="83" t="s">
        <v>287</v>
      </c>
      <c r="C19" s="2195">
        <f t="shared" si="4"/>
        <v>0.19939898650973931</v>
      </c>
      <c r="D19" s="1184">
        <f>CALCULATIONS!JC19</f>
        <v>2.2632461433464091E-2</v>
      </c>
      <c r="E19" s="1184">
        <f>CALCULATIONS!JD19</f>
        <v>0.13878945758144007</v>
      </c>
      <c r="F19" s="471">
        <f>CALCULATIONS!JY19</f>
        <v>0.17262745040452451</v>
      </c>
      <c r="G19" s="449">
        <f>'Bloom Cleaner Data'!AJ19</f>
        <v>595</v>
      </c>
      <c r="H19" s="449" t="str">
        <f>RATINGS!D812</f>
        <v>BBB+</v>
      </c>
      <c r="I19" s="450">
        <f t="shared" si="5"/>
        <v>4.4912000000000001E-2</v>
      </c>
      <c r="J19" s="193">
        <f t="shared" si="23"/>
        <v>8</v>
      </c>
      <c r="K19" s="451">
        <f t="shared" si="24"/>
        <v>490.74544777676215</v>
      </c>
      <c r="L19" s="452">
        <f>K19/('Bloom Cleaner Data'!T19)</f>
        <v>0.11796765571556782</v>
      </c>
      <c r="M19" s="452">
        <f>K19/('Bloom Cleaner Data'!T19+K19)</f>
        <v>0.10551973942400085</v>
      </c>
      <c r="N19" s="452">
        <f t="shared" si="47"/>
        <v>0.82478226517102882</v>
      </c>
      <c r="O19" s="186">
        <f>'Bloom Cleaner Data'!AK19</f>
        <v>499</v>
      </c>
      <c r="P19" s="449" t="str">
        <f>RATINGS!H812</f>
        <v>BBB+</v>
      </c>
      <c r="Q19" s="450">
        <f t="shared" si="7"/>
        <v>4.4912000000000001E-2</v>
      </c>
      <c r="R19" s="193">
        <f t="shared" si="25"/>
        <v>8</v>
      </c>
      <c r="S19" s="451">
        <f t="shared" si="26"/>
        <v>411.56635032034336</v>
      </c>
      <c r="T19" s="452">
        <f>S19/('Bloom Cleaner Data'!X19)</f>
        <v>0.11725537046163628</v>
      </c>
      <c r="U19" s="452">
        <f>S19/('Bloom Cleaner Data'!X19+S19)</f>
        <v>0.10494948027252517</v>
      </c>
      <c r="V19" s="452">
        <f t="shared" si="48"/>
        <v>0.82478226517102882</v>
      </c>
      <c r="W19" s="186">
        <f>'Bloom Cleaner Data'!AL19</f>
        <v>920</v>
      </c>
      <c r="X19" s="1776" t="str">
        <f>RATINGS!L812</f>
        <v>BBB+</v>
      </c>
      <c r="Y19" s="450">
        <f t="shared" si="9"/>
        <v>4.4912000000000001E-2</v>
      </c>
      <c r="Z19" s="193">
        <f t="shared" si="27"/>
        <v>8</v>
      </c>
      <c r="AA19" s="451">
        <f t="shared" si="28"/>
        <v>758.79968395734647</v>
      </c>
      <c r="AB19" s="452">
        <f>AA19/('Bloom Cleaner Data'!AB19)</f>
        <v>0.41171985022102359</v>
      </c>
      <c r="AC19" s="452">
        <f>AA19/('Bloom Cleaner Data'!AB19+AA19)</f>
        <v>0.29164416024649886</v>
      </c>
      <c r="AD19" s="452">
        <f t="shared" si="10"/>
        <v>0.82478226517102882</v>
      </c>
      <c r="AE19" s="186">
        <f>'Bloom Cleaner Data'!AM19</f>
        <v>870</v>
      </c>
      <c r="AF19" s="1776" t="str">
        <f>RATINGS!P812</f>
        <v>BBB+</v>
      </c>
      <c r="AG19" s="450">
        <f t="shared" si="11"/>
        <v>4.4912000000000001E-2</v>
      </c>
      <c r="AH19" s="193">
        <f t="shared" si="29"/>
        <v>8</v>
      </c>
      <c r="AI19" s="451">
        <f t="shared" si="30"/>
        <v>717.56057069879512</v>
      </c>
      <c r="AJ19" s="452">
        <f>AI19/('Bloom Cleaner Data'!AF19)</f>
        <v>0.15065306964072961</v>
      </c>
      <c r="AK19" s="452">
        <f>AI19/('Bloom Cleaner Data'!AF19+AI19)</f>
        <v>0.13092831681035558</v>
      </c>
      <c r="AL19" s="453">
        <f t="shared" si="12"/>
        <v>0.82478226517102882</v>
      </c>
      <c r="AM19" s="3396"/>
      <c r="AN19" s="229">
        <f t="shared" si="31"/>
        <v>0.82478226517102882</v>
      </c>
      <c r="AO19" s="229">
        <f t="shared" si="32"/>
        <v>0.82478226517102882</v>
      </c>
      <c r="AP19" s="229">
        <f t="shared" si="33"/>
        <v>0.82478226517102882</v>
      </c>
      <c r="AQ19" s="229">
        <f t="shared" si="34"/>
        <v>0.82478226517102882</v>
      </c>
      <c r="AR19" s="467">
        <f t="shared" si="35"/>
        <v>0.82478226517102871</v>
      </c>
      <c r="AS19" s="3396"/>
      <c r="AT19"/>
      <c r="AU19" s="13">
        <f t="shared" si="13"/>
        <v>490.74544777676215</v>
      </c>
      <c r="AV19" s="26">
        <f t="shared" si="14"/>
        <v>470.95067341265747</v>
      </c>
      <c r="AW19" s="26">
        <f t="shared" si="14"/>
        <v>451.15589904855278</v>
      </c>
      <c r="AX19" s="26">
        <f t="shared" si="14"/>
        <v>431.36112468444804</v>
      </c>
      <c r="AY19" s="13">
        <f t="shared" si="15"/>
        <v>411.56635032034336</v>
      </c>
      <c r="AZ19" s="26">
        <f t="shared" si="16"/>
        <v>498.37468372959415</v>
      </c>
      <c r="BA19" s="26">
        <f t="shared" si="16"/>
        <v>585.18301713884489</v>
      </c>
      <c r="BB19" s="26">
        <f t="shared" si="16"/>
        <v>671.99135054809562</v>
      </c>
      <c r="BC19" s="13">
        <f t="shared" si="17"/>
        <v>758.79968395734647</v>
      </c>
      <c r="BD19" s="26">
        <f t="shared" si="18"/>
        <v>748.48990564270866</v>
      </c>
      <c r="BE19" s="26">
        <f t="shared" si="18"/>
        <v>738.18012732807074</v>
      </c>
      <c r="BF19" s="26">
        <f t="shared" si="18"/>
        <v>727.87034901343293</v>
      </c>
      <c r="BG19" s="13">
        <f t="shared" si="36"/>
        <v>717.56057069879512</v>
      </c>
      <c r="BH19" s="26">
        <f t="shared" si="37"/>
        <v>717.56057069879512</v>
      </c>
      <c r="BI19" s="26">
        <f t="shared" si="37"/>
        <v>717.56057069879512</v>
      </c>
      <c r="BJ19" s="26"/>
      <c r="BK19"/>
      <c r="BL19" s="13">
        <f t="shared" si="38"/>
        <v>85</v>
      </c>
      <c r="BM19" s="26">
        <f t="shared" si="39"/>
        <v>79.34375</v>
      </c>
      <c r="BN19" s="26">
        <f t="shared" si="19"/>
        <v>73.6875</v>
      </c>
      <c r="BO19" s="26">
        <f t="shared" si="19"/>
        <v>68.03125</v>
      </c>
      <c r="BP19" s="13">
        <f t="shared" si="40"/>
        <v>62.375</v>
      </c>
      <c r="BQ19" s="26">
        <f t="shared" si="41"/>
        <v>75.53125</v>
      </c>
      <c r="BR19" s="26">
        <f t="shared" si="20"/>
        <v>88.6875</v>
      </c>
      <c r="BS19" s="26">
        <f t="shared" si="20"/>
        <v>101.84375</v>
      </c>
      <c r="BT19" s="13">
        <f t="shared" si="46"/>
        <v>115</v>
      </c>
      <c r="BU19" s="26">
        <f t="shared" si="42"/>
        <v>113.4375</v>
      </c>
      <c r="BV19" s="26">
        <f t="shared" si="22"/>
        <v>111.875</v>
      </c>
      <c r="BW19" s="26">
        <f t="shared" si="22"/>
        <v>110.3125</v>
      </c>
      <c r="BX19" s="13">
        <f t="shared" si="43"/>
        <v>108.75</v>
      </c>
      <c r="BY19" s="26">
        <f t="shared" si="44"/>
        <v>108.75</v>
      </c>
      <c r="BZ19" s="26">
        <f t="shared" si="45"/>
        <v>108.75</v>
      </c>
      <c r="CA19"/>
    </row>
    <row r="20" spans="1:81">
      <c r="A20" s="31" t="s">
        <v>27</v>
      </c>
      <c r="B20" s="83" t="s">
        <v>54</v>
      </c>
      <c r="C20" s="2195">
        <f t="shared" si="4"/>
        <v>6.3158082080748579E-2</v>
      </c>
      <c r="D20" s="1184">
        <f>CALCULATIONS!JC20</f>
        <v>7.6694021962473435E-3</v>
      </c>
      <c r="E20" s="1184">
        <f>CALCULATIONS!JD20</f>
        <v>1.3522205581530675E-2</v>
      </c>
      <c r="F20" s="471">
        <f>CALCULATIONS!JY20</f>
        <v>2.2145906570959436E-2</v>
      </c>
      <c r="G20" s="449">
        <f>'Bloom Cleaner Data'!AJ20</f>
        <v>951.67439999999999</v>
      </c>
      <c r="H20" s="449" t="str">
        <f>RATINGS!D813</f>
        <v>BBB-</v>
      </c>
      <c r="I20" s="450">
        <f t="shared" si="5"/>
        <v>5.4413999999999997E-2</v>
      </c>
      <c r="J20" s="193">
        <f t="shared" si="23"/>
        <v>8</v>
      </c>
      <c r="K20" s="451">
        <f t="shared" si="24"/>
        <v>755.32494770130143</v>
      </c>
      <c r="L20" s="452">
        <f>K20/('Bloom Cleaner Data'!T20)</f>
        <v>0.13561409100773103</v>
      </c>
      <c r="M20" s="452">
        <f>K20/('Bloom Cleaner Data'!T20+K20)</f>
        <v>0.11941916896028353</v>
      </c>
      <c r="N20" s="452">
        <f t="shared" si="47"/>
        <v>0.79368001041249137</v>
      </c>
      <c r="O20" s="186">
        <f>'Bloom Cleaner Data'!AK20</f>
        <v>210.5</v>
      </c>
      <c r="P20" s="449" t="str">
        <f>RATINGS!H813</f>
        <v>BBB-</v>
      </c>
      <c r="Q20" s="450">
        <f t="shared" si="7"/>
        <v>5.4413999999999997E-2</v>
      </c>
      <c r="R20" s="193">
        <f t="shared" si="25"/>
        <v>8</v>
      </c>
      <c r="S20" s="451">
        <f t="shared" si="26"/>
        <v>167.06964219182944</v>
      </c>
      <c r="T20" s="452">
        <f>S20/('Bloom Cleaner Data'!X20)</f>
        <v>7.9564686458091574E-2</v>
      </c>
      <c r="U20" s="452">
        <f>S20/('Bloom Cleaner Data'!X20+S20)</f>
        <v>7.370071238540854E-2</v>
      </c>
      <c r="V20" s="452">
        <f t="shared" si="48"/>
        <v>0.79368001041249148</v>
      </c>
      <c r="W20" s="186">
        <f>'Bloom Cleaner Data'!AL20</f>
        <v>168.44800000000001</v>
      </c>
      <c r="X20" s="95" t="str">
        <f>RATINGS!L813</f>
        <v>BBB-</v>
      </c>
      <c r="Y20" s="450">
        <f t="shared" si="9"/>
        <v>5.4413999999999997E-2</v>
      </c>
      <c r="Z20" s="193">
        <f t="shared" si="27"/>
        <v>8</v>
      </c>
      <c r="AA20" s="451">
        <f t="shared" si="28"/>
        <v>133.69381039396336</v>
      </c>
      <c r="AB20" s="452">
        <f>AA20/('Bloom Cleaner Data'!AB20)</f>
        <v>2.0217324432151688E-2</v>
      </c>
      <c r="AC20" s="452">
        <f>AA20/('Bloom Cleaner Data'!AB20+AA20)</f>
        <v>1.981668410052197E-2</v>
      </c>
      <c r="AD20" s="452">
        <f t="shared" si="10"/>
        <v>0.79368001041249137</v>
      </c>
      <c r="AE20" s="186">
        <f>'Bloom Cleaner Data'!AM20</f>
        <v>167.4632</v>
      </c>
      <c r="AF20" s="95" t="str">
        <f>RATINGS!P813</f>
        <v>BBB-</v>
      </c>
      <c r="AG20" s="450">
        <f t="shared" si="11"/>
        <v>5.4413999999999997E-2</v>
      </c>
      <c r="AH20" s="193">
        <f t="shared" si="29"/>
        <v>8</v>
      </c>
      <c r="AI20" s="451">
        <f t="shared" si="30"/>
        <v>132.91219431970913</v>
      </c>
      <c r="AJ20" s="452">
        <f>AI20/('Bloom Cleaner Data'!AF20)</f>
        <v>1.7236226425020058E-2</v>
      </c>
      <c r="AK20" s="452">
        <f>AI20/('Bloom Cleaner Data'!AF20+AI20)</f>
        <v>1.694417282561312E-2</v>
      </c>
      <c r="AL20" s="453">
        <f t="shared" si="12"/>
        <v>0.79368001041249137</v>
      </c>
      <c r="AM20" s="3396"/>
      <c r="AN20" s="229">
        <f t="shared" si="31"/>
        <v>0.79368001041249137</v>
      </c>
      <c r="AO20" s="229">
        <f t="shared" si="32"/>
        <v>0.79368001041249148</v>
      </c>
      <c r="AP20" s="229">
        <f t="shared" si="33"/>
        <v>0.79368001041249137</v>
      </c>
      <c r="AQ20" s="229">
        <f t="shared" si="34"/>
        <v>0.79368001041249137</v>
      </c>
      <c r="AR20" s="467">
        <f t="shared" si="35"/>
        <v>0.79368001041249148</v>
      </c>
      <c r="AS20" s="3396"/>
      <c r="AT20"/>
      <c r="AU20" s="13">
        <f t="shared" si="13"/>
        <v>755.32494770130143</v>
      </c>
      <c r="AV20" s="26">
        <f t="shared" si="14"/>
        <v>608.26112132393337</v>
      </c>
      <c r="AW20" s="26">
        <f t="shared" si="14"/>
        <v>461.19729494656542</v>
      </c>
      <c r="AX20" s="26">
        <f t="shared" si="14"/>
        <v>314.13346856919742</v>
      </c>
      <c r="AY20" s="13">
        <f t="shared" si="15"/>
        <v>167.06964219182944</v>
      </c>
      <c r="AZ20" s="26">
        <f t="shared" si="16"/>
        <v>158.72568424236292</v>
      </c>
      <c r="BA20" s="26">
        <f t="shared" si="16"/>
        <v>150.38172629289642</v>
      </c>
      <c r="BB20" s="26">
        <f t="shared" si="16"/>
        <v>142.03776834342989</v>
      </c>
      <c r="BC20" s="13">
        <f t="shared" si="17"/>
        <v>133.69381039396336</v>
      </c>
      <c r="BD20" s="26">
        <f t="shared" si="18"/>
        <v>133.49840637539981</v>
      </c>
      <c r="BE20" s="26">
        <f t="shared" si="18"/>
        <v>133.30300235683626</v>
      </c>
      <c r="BF20" s="26">
        <f t="shared" si="18"/>
        <v>133.10759833827268</v>
      </c>
      <c r="BG20" s="13">
        <f t="shared" si="36"/>
        <v>132.91219431970913</v>
      </c>
      <c r="BH20" s="26">
        <f t="shared" si="37"/>
        <v>132.91219431970913</v>
      </c>
      <c r="BI20" s="26">
        <f t="shared" si="37"/>
        <v>132.91219431970913</v>
      </c>
      <c r="BJ20" s="26"/>
      <c r="BK20"/>
      <c r="BL20" s="13">
        <f t="shared" si="38"/>
        <v>135.9534857142857</v>
      </c>
      <c r="BM20" s="26">
        <f t="shared" si="39"/>
        <v>108.54323928571428</v>
      </c>
      <c r="BN20" s="26">
        <f t="shared" si="19"/>
        <v>81.132992857142852</v>
      </c>
      <c r="BO20" s="26">
        <f t="shared" si="19"/>
        <v>53.722746428571426</v>
      </c>
      <c r="BP20" s="13">
        <f t="shared" si="40"/>
        <v>26.3125</v>
      </c>
      <c r="BQ20" s="26">
        <f t="shared" si="41"/>
        <v>24.998374999999999</v>
      </c>
      <c r="BR20" s="26">
        <f t="shared" si="20"/>
        <v>23.684249999999999</v>
      </c>
      <c r="BS20" s="26">
        <f t="shared" si="20"/>
        <v>22.370125000000002</v>
      </c>
      <c r="BT20" s="13">
        <f t="shared" si="46"/>
        <v>21.056000000000001</v>
      </c>
      <c r="BU20" s="26">
        <f t="shared" si="42"/>
        <v>21.025224999999999</v>
      </c>
      <c r="BV20" s="26">
        <f t="shared" si="22"/>
        <v>20.994450000000001</v>
      </c>
      <c r="BW20" s="26">
        <f t="shared" si="22"/>
        <v>20.963675000000002</v>
      </c>
      <c r="BX20" s="13">
        <f t="shared" si="43"/>
        <v>20.9329</v>
      </c>
      <c r="BY20" s="26">
        <f t="shared" si="44"/>
        <v>20.9329</v>
      </c>
      <c r="BZ20" s="26">
        <f t="shared" si="45"/>
        <v>20.9329</v>
      </c>
      <c r="CA20"/>
    </row>
    <row r="21" spans="1:81" s="2300" customFormat="1">
      <c r="A21" s="454" t="s">
        <v>32</v>
      </c>
      <c r="B21" s="1761" t="s">
        <v>50</v>
      </c>
      <c r="C21" s="2195">
        <f t="shared" si="4"/>
        <v>0.64458507599375447</v>
      </c>
      <c r="D21" s="1184">
        <f>CALCULATIONS!JC21</f>
        <v>0.11901864524699346</v>
      </c>
      <c r="E21" s="1184">
        <f>CALCULATIONS!JD21</f>
        <v>0.32145312000294263</v>
      </c>
      <c r="F21" s="471">
        <f>CALCULATIONS!JY21</f>
        <v>0.6369152506967799</v>
      </c>
      <c r="G21" s="469">
        <f>'Bloom Cleaner Data'!AJ21</f>
        <v>7687</v>
      </c>
      <c r="H21" s="449" t="str">
        <f>RATINGS!D814</f>
        <v>BBB</v>
      </c>
      <c r="I21" s="450">
        <f t="shared" si="5"/>
        <v>4.9021999999999996E-2</v>
      </c>
      <c r="J21" s="193">
        <f t="shared" si="23"/>
        <v>8</v>
      </c>
      <c r="K21" s="451">
        <f t="shared" si="24"/>
        <v>6234.9660636298186</v>
      </c>
      <c r="L21" s="452">
        <f>K21/('Bloom Cleaner Data'!T21)</f>
        <v>0.54635174059146674</v>
      </c>
      <c r="M21" s="452">
        <f>K21/('Bloom Cleaner Data'!T21+K21)</f>
        <v>0.35331660077705979</v>
      </c>
      <c r="N21" s="452">
        <f t="shared" si="47"/>
        <v>0.81110525089499397</v>
      </c>
      <c r="O21" s="187">
        <f>'Bloom Cleaner Data'!AK21</f>
        <v>7192</v>
      </c>
      <c r="P21" s="449" t="str">
        <f>RATINGS!H814</f>
        <v>BBB</v>
      </c>
      <c r="Q21" s="450">
        <f t="shared" si="7"/>
        <v>4.9021999999999996E-2</v>
      </c>
      <c r="R21" s="193">
        <f t="shared" si="25"/>
        <v>8</v>
      </c>
      <c r="S21" s="451">
        <f t="shared" si="26"/>
        <v>5833.4689644367963</v>
      </c>
      <c r="T21" s="452">
        <f>S21/('Bloom Cleaner Data'!X21)</f>
        <v>0.61134656931846532</v>
      </c>
      <c r="U21" s="452">
        <f>S21/('Bloom Cleaner Data'!X21+S21)</f>
        <v>0.37940104317660245</v>
      </c>
      <c r="V21" s="452">
        <f t="shared" si="48"/>
        <v>0.81110525089499397</v>
      </c>
      <c r="W21" s="187">
        <f>'Bloom Cleaner Data'!AL21</f>
        <v>7593</v>
      </c>
      <c r="X21" s="95" t="str">
        <f>RATINGS!L814</f>
        <v>BBB</v>
      </c>
      <c r="Y21" s="450">
        <f t="shared" si="9"/>
        <v>4.9021999999999996E-2</v>
      </c>
      <c r="Z21" s="193">
        <f t="shared" si="27"/>
        <v>8</v>
      </c>
      <c r="AA21" s="451">
        <f t="shared" si="28"/>
        <v>6158.7221700456894</v>
      </c>
      <c r="AB21" s="452">
        <f>AA21/('Bloom Cleaner Data'!AB21)</f>
        <v>0.73651305549458135</v>
      </c>
      <c r="AC21" s="452">
        <f>AA21/('Bloom Cleaner Data'!AB21+AA21)</f>
        <v>0.42413332463245595</v>
      </c>
      <c r="AD21" s="452">
        <f t="shared" si="10"/>
        <v>0.81110525089499397</v>
      </c>
      <c r="AE21" s="187">
        <f>'Bloom Cleaner Data'!AM21</f>
        <v>7182</v>
      </c>
      <c r="AF21" s="95" t="str">
        <f>RATINGS!P814</f>
        <v>BBB</v>
      </c>
      <c r="AG21" s="450">
        <f t="shared" si="11"/>
        <v>4.9021999999999996E-2</v>
      </c>
      <c r="AH21" s="193">
        <f t="shared" si="29"/>
        <v>8</v>
      </c>
      <c r="AI21" s="451">
        <f t="shared" si="30"/>
        <v>5825.3579119278465</v>
      </c>
      <c r="AJ21" s="452">
        <f>AI21/('Bloom Cleaner Data'!AF21)</f>
        <v>0.68412893857050461</v>
      </c>
      <c r="AK21" s="452">
        <f>AI21/('Bloom Cleaner Data'!AF21+AI21)</f>
        <v>0.4062212357393466</v>
      </c>
      <c r="AL21" s="453">
        <f t="shared" si="12"/>
        <v>0.81110525089499397</v>
      </c>
      <c r="AM21" s="3903"/>
      <c r="AN21" s="229">
        <f t="shared" si="31"/>
        <v>0.81110525089499397</v>
      </c>
      <c r="AO21" s="229">
        <f t="shared" si="32"/>
        <v>0.81110525089499397</v>
      </c>
      <c r="AP21" s="229">
        <f t="shared" si="33"/>
        <v>0.81110525089499397</v>
      </c>
      <c r="AQ21" s="229">
        <f t="shared" si="34"/>
        <v>0.81110525089499397</v>
      </c>
      <c r="AR21" s="467">
        <f t="shared" si="35"/>
        <v>0.81110525089499397</v>
      </c>
      <c r="AS21" s="3903"/>
      <c r="AT21" s="185"/>
      <c r="AU21" s="13">
        <f t="shared" si="13"/>
        <v>6234.9660636298186</v>
      </c>
      <c r="AV21" s="26">
        <f t="shared" si="14"/>
        <v>6134.5917888315635</v>
      </c>
      <c r="AW21" s="26">
        <f t="shared" si="14"/>
        <v>6034.2175140333075</v>
      </c>
      <c r="AX21" s="26">
        <f t="shared" si="14"/>
        <v>5933.8432392350514</v>
      </c>
      <c r="AY21" s="13">
        <f t="shared" si="15"/>
        <v>5833.4689644367963</v>
      </c>
      <c r="AZ21" s="26">
        <f t="shared" si="16"/>
        <v>5914.7822658390196</v>
      </c>
      <c r="BA21" s="26">
        <f t="shared" si="16"/>
        <v>5996.0955672412429</v>
      </c>
      <c r="BB21" s="26">
        <f t="shared" si="16"/>
        <v>6077.4088686434661</v>
      </c>
      <c r="BC21" s="13">
        <f t="shared" si="17"/>
        <v>6158.7221700456894</v>
      </c>
      <c r="BD21" s="26">
        <f t="shared" si="18"/>
        <v>6075.3811055162287</v>
      </c>
      <c r="BE21" s="26">
        <f t="shared" si="18"/>
        <v>5992.040040986768</v>
      </c>
      <c r="BF21" s="26">
        <f t="shared" si="18"/>
        <v>5908.6989764573073</v>
      </c>
      <c r="BG21" s="13">
        <f t="shared" si="36"/>
        <v>5825.3579119278465</v>
      </c>
      <c r="BH21" s="26">
        <f t="shared" si="37"/>
        <v>5825.3579119278465</v>
      </c>
      <c r="BI21" s="26">
        <f t="shared" si="37"/>
        <v>5825.3579119278465</v>
      </c>
      <c r="BJ21" s="26"/>
      <c r="BK21" s="185"/>
      <c r="BL21" s="13">
        <f t="shared" si="38"/>
        <v>1098.1428571428571</v>
      </c>
      <c r="BM21" s="26">
        <f t="shared" si="39"/>
        <v>1048.3571428571429</v>
      </c>
      <c r="BN21" s="26">
        <f t="shared" si="39"/>
        <v>998.57142857142856</v>
      </c>
      <c r="BO21" s="26">
        <f t="shared" si="39"/>
        <v>948.78571428571422</v>
      </c>
      <c r="BP21" s="13">
        <f t="shared" si="40"/>
        <v>899</v>
      </c>
      <c r="BQ21" s="26">
        <f t="shared" si="41"/>
        <v>911.53125</v>
      </c>
      <c r="BR21" s="26">
        <f t="shared" si="41"/>
        <v>924.0625</v>
      </c>
      <c r="BS21" s="26">
        <f t="shared" si="41"/>
        <v>936.59375</v>
      </c>
      <c r="BT21" s="13">
        <f t="shared" si="46"/>
        <v>949.125</v>
      </c>
      <c r="BU21" s="26">
        <f t="shared" si="42"/>
        <v>936.28125</v>
      </c>
      <c r="BV21" s="26">
        <f t="shared" si="42"/>
        <v>923.4375</v>
      </c>
      <c r="BW21" s="26">
        <f t="shared" si="42"/>
        <v>910.59375</v>
      </c>
      <c r="BX21" s="13">
        <f t="shared" si="43"/>
        <v>897.75</v>
      </c>
      <c r="BY21" s="26">
        <f t="shared" si="44"/>
        <v>897.75</v>
      </c>
      <c r="BZ21" s="26">
        <f t="shared" si="45"/>
        <v>897.75</v>
      </c>
      <c r="CA21" s="185"/>
      <c r="CB21" s="2299"/>
    </row>
    <row r="22" spans="1:81" s="2300" customFormat="1">
      <c r="A22" s="454" t="s">
        <v>32</v>
      </c>
      <c r="B22" s="1761" t="s">
        <v>277</v>
      </c>
      <c r="C22" s="2195">
        <f t="shared" si="4"/>
        <v>0.18480448868315813</v>
      </c>
      <c r="D22" s="1184">
        <f>CALCULATIONS!JC22</f>
        <v>3.3609629735961127E-2</v>
      </c>
      <c r="E22" s="1184">
        <f>CALCULATIONS!JD22</f>
        <v>0.13713050455108242</v>
      </c>
      <c r="F22" s="471">
        <f>CALCULATIONS!JY22</f>
        <v>0.18919231816563808</v>
      </c>
      <c r="G22" s="469">
        <f>'Bloom Cleaner Data'!AJ22</f>
        <v>6243</v>
      </c>
      <c r="H22" s="449" t="str">
        <f>RATINGS!D815</f>
        <v>A-</v>
      </c>
      <c r="I22" s="450">
        <f t="shared" si="5"/>
        <v>4.2959499999999998E-2</v>
      </c>
      <c r="J22" s="193">
        <f t="shared" si="23"/>
        <v>8</v>
      </c>
      <c r="K22" s="451">
        <f t="shared" si="24"/>
        <v>5190.4484407131049</v>
      </c>
      <c r="L22" s="452">
        <f>K22/('Bloom Cleaner Data'!T22)</f>
        <v>0.16009526050131412</v>
      </c>
      <c r="M22" s="452">
        <f>K22/('Bloom Cleaner Data'!T22+K22)</f>
        <v>0.13800182274008418</v>
      </c>
      <c r="N22" s="452">
        <f t="shared" si="47"/>
        <v>0.83140292178649766</v>
      </c>
      <c r="O22" s="187">
        <f>'Bloom Cleaner Data'!AK22</f>
        <v>6513</v>
      </c>
      <c r="P22" s="449" t="str">
        <f>RATINGS!H815</f>
        <v>A-</v>
      </c>
      <c r="Q22" s="450">
        <f t="shared" si="7"/>
        <v>4.2959499999999998E-2</v>
      </c>
      <c r="R22" s="193">
        <f t="shared" si="25"/>
        <v>8</v>
      </c>
      <c r="S22" s="451">
        <f t="shared" si="26"/>
        <v>5414.9272295954597</v>
      </c>
      <c r="T22" s="452">
        <f>S22/('Bloom Cleaner Data'!X22)</f>
        <v>0.16949985850078914</v>
      </c>
      <c r="U22" s="452">
        <f>S22/('Bloom Cleaner Data'!X22+S22)</f>
        <v>0.14493362890875011</v>
      </c>
      <c r="V22" s="452">
        <f t="shared" si="48"/>
        <v>0.83140292178649777</v>
      </c>
      <c r="W22" s="187">
        <f>'Bloom Cleaner Data'!AL22</f>
        <v>6141</v>
      </c>
      <c r="X22" s="95" t="str">
        <f>RATINGS!L815</f>
        <v>A-</v>
      </c>
      <c r="Y22" s="450">
        <f t="shared" si="9"/>
        <v>4.2959499999999998E-2</v>
      </c>
      <c r="Z22" s="193">
        <f t="shared" si="27"/>
        <v>8</v>
      </c>
      <c r="AA22" s="451">
        <f t="shared" si="28"/>
        <v>5105.645342690882</v>
      </c>
      <c r="AB22" s="452">
        <f>AA22/('Bloom Cleaner Data'!AB22)</f>
        <v>0.1869001681226643</v>
      </c>
      <c r="AC22" s="452">
        <f>AA22/('Bloom Cleaner Data'!AB22+AA22)</f>
        <v>0.15746915633038183</v>
      </c>
      <c r="AD22" s="452">
        <f t="shared" si="10"/>
        <v>0.83140292178649766</v>
      </c>
      <c r="AE22" s="187">
        <f>'Bloom Cleaner Data'!AM22</f>
        <v>6640</v>
      </c>
      <c r="AF22" s="95" t="str">
        <f>RATINGS!P815</f>
        <v>A-</v>
      </c>
      <c r="AG22" s="450">
        <f t="shared" si="11"/>
        <v>4.2959499999999998E-2</v>
      </c>
      <c r="AH22" s="193">
        <f t="shared" si="29"/>
        <v>8</v>
      </c>
      <c r="AI22" s="451">
        <f t="shared" si="30"/>
        <v>5520.5154006623443</v>
      </c>
      <c r="AJ22" s="452">
        <f>AI22/('Bloom Cleaner Data'!AF22)</f>
        <v>0.22272266760786494</v>
      </c>
      <c r="AK22" s="452">
        <f>AI22/('Bloom Cleaner Data'!AF22+AI22)</f>
        <v>0.18215305359767284</v>
      </c>
      <c r="AL22" s="453">
        <f t="shared" si="12"/>
        <v>0.83140292178649766</v>
      </c>
      <c r="AM22" s="3903"/>
      <c r="AN22" s="229">
        <f t="shared" si="31"/>
        <v>0.83140292178649766</v>
      </c>
      <c r="AO22" s="229">
        <f t="shared" si="32"/>
        <v>0.83140292178649777</v>
      </c>
      <c r="AP22" s="229">
        <f t="shared" si="33"/>
        <v>0.83140292178649766</v>
      </c>
      <c r="AQ22" s="229">
        <f t="shared" si="34"/>
        <v>0.83140292178649766</v>
      </c>
      <c r="AR22" s="467">
        <f t="shared" si="35"/>
        <v>0.83140292178649766</v>
      </c>
      <c r="AS22" s="3903"/>
      <c r="AT22" s="185"/>
      <c r="AU22" s="13">
        <f t="shared" si="13"/>
        <v>5190.4484407131049</v>
      </c>
      <c r="AV22" s="26">
        <f t="shared" si="14"/>
        <v>5246.5681379336938</v>
      </c>
      <c r="AW22" s="26">
        <f t="shared" si="14"/>
        <v>5302.6878351542819</v>
      </c>
      <c r="AX22" s="26">
        <f t="shared" si="14"/>
        <v>5358.8075323748708</v>
      </c>
      <c r="AY22" s="13">
        <f t="shared" si="15"/>
        <v>5414.9272295954597</v>
      </c>
      <c r="AZ22" s="26">
        <f t="shared" si="16"/>
        <v>5337.6067578693155</v>
      </c>
      <c r="BA22" s="26">
        <f t="shared" si="16"/>
        <v>5260.2862861431713</v>
      </c>
      <c r="BB22" s="26">
        <f t="shared" si="16"/>
        <v>5182.9658144170262</v>
      </c>
      <c r="BC22" s="13">
        <f t="shared" si="17"/>
        <v>5105.645342690882</v>
      </c>
      <c r="BD22" s="26">
        <f t="shared" si="18"/>
        <v>5209.3628571837471</v>
      </c>
      <c r="BE22" s="26">
        <f t="shared" si="18"/>
        <v>5313.0803716766131</v>
      </c>
      <c r="BF22" s="26">
        <f t="shared" si="18"/>
        <v>5416.7978861694792</v>
      </c>
      <c r="BG22" s="13">
        <f t="shared" si="36"/>
        <v>5520.5154006623443</v>
      </c>
      <c r="BH22" s="26">
        <f t="shared" si="37"/>
        <v>5520.5154006623443</v>
      </c>
      <c r="BI22" s="26">
        <f t="shared" si="37"/>
        <v>5520.5154006623443</v>
      </c>
      <c r="BJ22" s="26"/>
      <c r="BK22" s="185"/>
      <c r="BL22" s="13">
        <f t="shared" si="38"/>
        <v>891.85714285714289</v>
      </c>
      <c r="BM22" s="26">
        <f t="shared" si="39"/>
        <v>872.42410714285711</v>
      </c>
      <c r="BN22" s="26">
        <f t="shared" si="39"/>
        <v>852.99107142857144</v>
      </c>
      <c r="BO22" s="26">
        <f t="shared" si="39"/>
        <v>833.55803571428578</v>
      </c>
      <c r="BP22" s="13">
        <f t="shared" si="40"/>
        <v>814.125</v>
      </c>
      <c r="BQ22" s="26">
        <f t="shared" si="41"/>
        <v>802.5</v>
      </c>
      <c r="BR22" s="26">
        <f t="shared" si="41"/>
        <v>790.875</v>
      </c>
      <c r="BS22" s="26">
        <f t="shared" si="41"/>
        <v>779.25</v>
      </c>
      <c r="BT22" s="13">
        <f t="shared" si="46"/>
        <v>767.625</v>
      </c>
      <c r="BU22" s="26">
        <f t="shared" si="42"/>
        <v>783.21875</v>
      </c>
      <c r="BV22" s="26">
        <f t="shared" si="42"/>
        <v>798.8125</v>
      </c>
      <c r="BW22" s="26">
        <f t="shared" si="42"/>
        <v>814.40625</v>
      </c>
      <c r="BX22" s="13">
        <f t="shared" si="43"/>
        <v>830</v>
      </c>
      <c r="BY22" s="26">
        <f t="shared" si="44"/>
        <v>830</v>
      </c>
      <c r="BZ22" s="26">
        <f t="shared" si="45"/>
        <v>830</v>
      </c>
      <c r="CA22" s="185"/>
      <c r="CB22" s="2299"/>
    </row>
    <row r="23" spans="1:81">
      <c r="A23" s="31" t="s">
        <v>503</v>
      </c>
      <c r="B23" s="83" t="s">
        <v>282</v>
      </c>
      <c r="C23" s="2195">
        <f t="shared" si="4"/>
        <v>0.12047757627265061</v>
      </c>
      <c r="D23" s="1184">
        <f>CALCULATIONS!JC23</f>
        <v>1.7976972508553457E-2</v>
      </c>
      <c r="E23" s="1184">
        <f>CALCULATIONS!JD23</f>
        <v>7.7435489187344358E-2</v>
      </c>
      <c r="F23" s="471">
        <f>CALCULATIONS!JY23</f>
        <v>0.10241776801433373</v>
      </c>
      <c r="G23" s="449">
        <f>'Bloom Cleaner Data'!AJ23</f>
        <v>8924</v>
      </c>
      <c r="H23" s="449" t="str">
        <f>RATINGS!D816</f>
        <v>A-</v>
      </c>
      <c r="I23" s="450">
        <f t="shared" si="5"/>
        <v>4.2959499999999998E-2</v>
      </c>
      <c r="J23" s="193">
        <f t="shared" si="23"/>
        <v>8</v>
      </c>
      <c r="K23" s="451">
        <f t="shared" si="24"/>
        <v>7419.4396740227048</v>
      </c>
      <c r="L23" s="452">
        <f>K23/('Bloom Cleaner Data'!T23)</f>
        <v>0.15035848969546467</v>
      </c>
      <c r="M23" s="452">
        <f>K23/('Bloom Cleaner Data'!T23+K23)</f>
        <v>0.1307057678474379</v>
      </c>
      <c r="N23" s="452">
        <f t="shared" si="47"/>
        <v>0.83140292178649766</v>
      </c>
      <c r="O23" s="186">
        <f>'Bloom Cleaner Data'!AK23</f>
        <v>7985</v>
      </c>
      <c r="P23" s="449" t="str">
        <f>RATINGS!H816</f>
        <v>A-</v>
      </c>
      <c r="Q23" s="450">
        <f t="shared" si="7"/>
        <v>4.2959499999999998E-2</v>
      </c>
      <c r="R23" s="193">
        <f t="shared" si="25"/>
        <v>8</v>
      </c>
      <c r="S23" s="451">
        <f t="shared" si="26"/>
        <v>6638.7523304651841</v>
      </c>
      <c r="T23" s="452">
        <f>S23/('Bloom Cleaner Data'!X23)</f>
        <v>0.1325311892211368</v>
      </c>
      <c r="U23" s="452">
        <f>S23/('Bloom Cleaner Data'!X23+S23)</f>
        <v>0.11702210983900674</v>
      </c>
      <c r="V23" s="452">
        <f t="shared" si="48"/>
        <v>0.83140292178649766</v>
      </c>
      <c r="W23" s="188">
        <f>'Bloom Cleaner Data'!AL23</f>
        <v>7801.5</v>
      </c>
      <c r="X23" s="95" t="str">
        <f>RATINGS!L816</f>
        <v>A-</v>
      </c>
      <c r="Y23" s="450">
        <f t="shared" si="9"/>
        <v>4.2959499999999998E-2</v>
      </c>
      <c r="Z23" s="193">
        <f t="shared" si="27"/>
        <v>8</v>
      </c>
      <c r="AA23" s="451">
        <f t="shared" si="28"/>
        <v>6486.1898943173619</v>
      </c>
      <c r="AB23" s="452">
        <f>AA23/('Bloom Cleaner Data'!AB23)</f>
        <v>9.6504886020403829E-2</v>
      </c>
      <c r="AC23" s="452">
        <f>AA23/('Bloom Cleaner Data'!AB23+AA23)</f>
        <v>8.801135977665682E-2</v>
      </c>
      <c r="AD23" s="452">
        <f t="shared" si="10"/>
        <v>0.83140292178649766</v>
      </c>
      <c r="AE23" s="186">
        <f>'Bloom Cleaner Data'!AM23</f>
        <v>7618</v>
      </c>
      <c r="AF23" s="95" t="str">
        <f>RATINGS!P816</f>
        <v>A-</v>
      </c>
      <c r="AG23" s="450">
        <f t="shared" si="11"/>
        <v>4.2959499999999998E-2</v>
      </c>
      <c r="AH23" s="193">
        <f t="shared" si="29"/>
        <v>8</v>
      </c>
      <c r="AI23" s="451">
        <f t="shared" si="30"/>
        <v>6333.6274581695388</v>
      </c>
      <c r="AJ23" s="452">
        <f>AI23/('Bloom Cleaner Data'!AF23)</f>
        <v>0.10251574015359714</v>
      </c>
      <c r="AK23" s="452">
        <f>AI23/('Bloom Cleaner Data'!AF23+AI23)</f>
        <v>9.2983470820394057E-2</v>
      </c>
      <c r="AL23" s="453">
        <f t="shared" si="12"/>
        <v>0.83140292178649766</v>
      </c>
      <c r="AM23" s="3396"/>
      <c r="AN23" s="229">
        <f t="shared" si="31"/>
        <v>0.83140292178649766</v>
      </c>
      <c r="AO23" s="229">
        <f t="shared" si="32"/>
        <v>0.83140292178649766</v>
      </c>
      <c r="AP23" s="229">
        <f t="shared" si="33"/>
        <v>0.83140292178649766</v>
      </c>
      <c r="AQ23" s="229">
        <f t="shared" si="34"/>
        <v>0.83140292178649766</v>
      </c>
      <c r="AR23" s="467">
        <f t="shared" si="35"/>
        <v>0.83140292178649766</v>
      </c>
      <c r="AS23" s="3396"/>
      <c r="AT23"/>
      <c r="AU23" s="13">
        <f t="shared" si="13"/>
        <v>7419.4396740227048</v>
      </c>
      <c r="AV23" s="26">
        <f t="shared" si="14"/>
        <v>7224.2678381333244</v>
      </c>
      <c r="AW23" s="26">
        <f t="shared" si="14"/>
        <v>7029.0960022439449</v>
      </c>
      <c r="AX23" s="26">
        <f t="shared" si="14"/>
        <v>6833.9241663545645</v>
      </c>
      <c r="AY23" s="13">
        <f t="shared" si="15"/>
        <v>6638.7523304651841</v>
      </c>
      <c r="AZ23" s="26">
        <f t="shared" si="16"/>
        <v>6600.6117214282285</v>
      </c>
      <c r="BA23" s="26">
        <f t="shared" si="16"/>
        <v>6562.471112391273</v>
      </c>
      <c r="BB23" s="26">
        <f t="shared" si="16"/>
        <v>6524.3305033543174</v>
      </c>
      <c r="BC23" s="13">
        <f t="shared" si="17"/>
        <v>6486.1898943173619</v>
      </c>
      <c r="BD23" s="26">
        <f t="shared" si="18"/>
        <v>6448.0492852804064</v>
      </c>
      <c r="BE23" s="26">
        <f t="shared" si="18"/>
        <v>6409.9086762434508</v>
      </c>
      <c r="BF23" s="26">
        <f t="shared" si="18"/>
        <v>6371.7680672064944</v>
      </c>
      <c r="BG23" s="13">
        <f t="shared" si="36"/>
        <v>6333.6274581695388</v>
      </c>
      <c r="BH23" s="26">
        <f t="shared" si="37"/>
        <v>6333.6274581695388</v>
      </c>
      <c r="BI23" s="26">
        <f t="shared" si="37"/>
        <v>6333.6274581695388</v>
      </c>
      <c r="BJ23" s="26"/>
      <c r="BK23"/>
      <c r="BL23" s="13">
        <f t="shared" si="38"/>
        <v>1274.8571428571429</v>
      </c>
      <c r="BM23" s="26">
        <f t="shared" si="39"/>
        <v>1205.6741071428571</v>
      </c>
      <c r="BN23" s="26">
        <f t="shared" si="39"/>
        <v>1136.4910714285716</v>
      </c>
      <c r="BO23" s="26">
        <f t="shared" si="39"/>
        <v>1067.3080357142858</v>
      </c>
      <c r="BP23" s="13">
        <f t="shared" si="40"/>
        <v>998.125</v>
      </c>
      <c r="BQ23" s="26">
        <f t="shared" si="41"/>
        <v>992.390625</v>
      </c>
      <c r="BR23" s="26">
        <f t="shared" si="41"/>
        <v>986.65625</v>
      </c>
      <c r="BS23" s="26">
        <f t="shared" si="41"/>
        <v>980.921875</v>
      </c>
      <c r="BT23" s="13">
        <f t="shared" si="46"/>
        <v>975.1875</v>
      </c>
      <c r="BU23" s="26">
        <f t="shared" si="42"/>
        <v>969.453125</v>
      </c>
      <c r="BV23" s="26">
        <f t="shared" si="42"/>
        <v>963.71875</v>
      </c>
      <c r="BW23" s="26">
        <f t="shared" si="42"/>
        <v>957.984375</v>
      </c>
      <c r="BX23" s="13">
        <f t="shared" si="43"/>
        <v>952.25</v>
      </c>
      <c r="BY23" s="26">
        <f t="shared" si="44"/>
        <v>952.25</v>
      </c>
      <c r="BZ23" s="26">
        <f t="shared" si="45"/>
        <v>952.25</v>
      </c>
      <c r="CA23"/>
    </row>
    <row r="24" spans="1:81">
      <c r="A24" s="31" t="s">
        <v>503</v>
      </c>
      <c r="B24" s="83" t="s">
        <v>280</v>
      </c>
      <c r="C24" s="2195">
        <f t="shared" si="4"/>
        <v>1.5610783314670447</v>
      </c>
      <c r="D24" s="1184">
        <f>CALCULATIONS!JC24</f>
        <v>5.592232047851195E-2</v>
      </c>
      <c r="E24" s="1184">
        <f>CALCULATIONS!JD24</f>
        <v>0.36385945559959909</v>
      </c>
      <c r="F24" s="471">
        <f>CALCULATIONS!JY24</f>
        <v>0.43818962731762556</v>
      </c>
      <c r="G24" s="449">
        <f>'Bloom Cleaner Data'!AJ24</f>
        <v>6451</v>
      </c>
      <c r="H24" s="449" t="str">
        <f>RATINGS!D817</f>
        <v>A-</v>
      </c>
      <c r="I24" s="450">
        <f t="shared" si="5"/>
        <v>4.2959499999999998E-2</v>
      </c>
      <c r="J24" s="193">
        <f t="shared" si="23"/>
        <v>8</v>
      </c>
      <c r="K24" s="451">
        <f t="shared" si="24"/>
        <v>5363.380248444696</v>
      </c>
      <c r="L24" s="452">
        <f>K24/('Bloom Cleaner Data'!T24)</f>
        <v>2.9420626705675788</v>
      </c>
      <c r="M24" s="452">
        <f>K24/('Bloom Cleaner Data'!T24+K24)</f>
        <v>0.74632569708588126</v>
      </c>
      <c r="N24" s="452">
        <f t="shared" si="47"/>
        <v>0.83140292178649755</v>
      </c>
      <c r="O24" s="186">
        <f>'Bloom Cleaner Data'!AK24</f>
        <v>5452</v>
      </c>
      <c r="P24" s="449" t="str">
        <f>RATINGS!H817</f>
        <v>A-</v>
      </c>
      <c r="Q24" s="450">
        <f t="shared" si="7"/>
        <v>4.2959499999999998E-2</v>
      </c>
      <c r="R24" s="193">
        <f t="shared" si="25"/>
        <v>8</v>
      </c>
      <c r="S24" s="451">
        <f t="shared" si="26"/>
        <v>4532.8087295799851</v>
      </c>
      <c r="T24" s="452">
        <f>S24/('Bloom Cleaner Data'!X24)</f>
        <v>2.6981004342738006</v>
      </c>
      <c r="U24" s="452">
        <f>S24/('Bloom Cleaner Data'!X24+S24)</f>
        <v>0.72959090274237759</v>
      </c>
      <c r="V24" s="452">
        <f t="shared" si="48"/>
        <v>0.83140292178649766</v>
      </c>
      <c r="W24" s="186">
        <f>'Bloom Cleaner Data'!AL24</f>
        <v>4534</v>
      </c>
      <c r="X24" s="99" t="str">
        <f>RATINGS!L817</f>
        <v>BBB+</v>
      </c>
      <c r="Y24" s="450">
        <f t="shared" si="9"/>
        <v>4.4912000000000001E-2</v>
      </c>
      <c r="Z24" s="193">
        <f t="shared" si="27"/>
        <v>8</v>
      </c>
      <c r="AA24" s="451">
        <f t="shared" si="28"/>
        <v>3739.5627902854449</v>
      </c>
      <c r="AB24" s="452">
        <f>AA24/('Bloom Cleaner Data'!AB24)</f>
        <v>0.28548460113638024</v>
      </c>
      <c r="AC24" s="452">
        <f>AA24/('Bloom Cleaner Data'!AB24+AA24)</f>
        <v>0.22208325240458671</v>
      </c>
      <c r="AD24" s="452">
        <f t="shared" si="10"/>
        <v>0.82478226517102882</v>
      </c>
      <c r="AE24" s="186">
        <f>'Bloom Cleaner Data'!AM24</f>
        <v>5980</v>
      </c>
      <c r="AF24" s="99" t="str">
        <f>RATINGS!P817</f>
        <v>BBB</v>
      </c>
      <c r="AG24" s="450">
        <f t="shared" si="11"/>
        <v>4.9021999999999996E-2</v>
      </c>
      <c r="AH24" s="193">
        <f t="shared" si="29"/>
        <v>8</v>
      </c>
      <c r="AI24" s="451">
        <f t="shared" si="30"/>
        <v>4850.409400352064</v>
      </c>
      <c r="AJ24" s="452">
        <f>AI24/('Bloom Cleaner Data'!AF24)</f>
        <v>0.31866561989041875</v>
      </c>
      <c r="AK24" s="452">
        <f>AI24/('Bloom Cleaner Data'!AF24+AI24)</f>
        <v>0.24165763866422776</v>
      </c>
      <c r="AL24" s="453">
        <f t="shared" si="12"/>
        <v>0.81110525089499397</v>
      </c>
      <c r="AM24" s="3396"/>
      <c r="AN24" s="229">
        <f t="shared" si="31"/>
        <v>0.83140292178649755</v>
      </c>
      <c r="AO24" s="229">
        <f t="shared" si="32"/>
        <v>0.83140292178649766</v>
      </c>
      <c r="AP24" s="229">
        <f t="shared" si="33"/>
        <v>0.82478226517102882</v>
      </c>
      <c r="AQ24" s="229">
        <f t="shared" si="34"/>
        <v>0.81110525089499397</v>
      </c>
      <c r="AR24" s="467">
        <f t="shared" si="35"/>
        <v>0.82243014595084019</v>
      </c>
      <c r="AS24" s="3396"/>
      <c r="AT24"/>
      <c r="AU24" s="13">
        <f t="shared" si="13"/>
        <v>5363.380248444696</v>
      </c>
      <c r="AV24" s="26">
        <f t="shared" si="14"/>
        <v>5155.737368728518</v>
      </c>
      <c r="AW24" s="26">
        <f t="shared" si="14"/>
        <v>4948.094489012341</v>
      </c>
      <c r="AX24" s="26">
        <f t="shared" si="14"/>
        <v>4740.451609296163</v>
      </c>
      <c r="AY24" s="13">
        <f t="shared" si="15"/>
        <v>4532.8087295799851</v>
      </c>
      <c r="AZ24" s="26">
        <f t="shared" si="16"/>
        <v>4334.4972447563505</v>
      </c>
      <c r="BA24" s="26">
        <f t="shared" si="16"/>
        <v>4136.185759932715</v>
      </c>
      <c r="BB24" s="26">
        <f t="shared" si="16"/>
        <v>3937.8742751090799</v>
      </c>
      <c r="BC24" s="13">
        <f t="shared" si="17"/>
        <v>3739.5627902854449</v>
      </c>
      <c r="BD24" s="26">
        <f t="shared" si="18"/>
        <v>4017.2744428020997</v>
      </c>
      <c r="BE24" s="26">
        <f t="shared" si="18"/>
        <v>4294.9860953187545</v>
      </c>
      <c r="BF24" s="26">
        <f t="shared" si="18"/>
        <v>4572.6977478354092</v>
      </c>
      <c r="BG24" s="13">
        <f t="shared" si="36"/>
        <v>4850.409400352064</v>
      </c>
      <c r="BH24" s="26">
        <f t="shared" si="37"/>
        <v>4850.409400352064</v>
      </c>
      <c r="BI24" s="26">
        <f t="shared" si="37"/>
        <v>4850.409400352064</v>
      </c>
      <c r="BJ24" s="26"/>
      <c r="BK24"/>
      <c r="BL24" s="13">
        <f t="shared" si="38"/>
        <v>921.57142857142856</v>
      </c>
      <c r="BM24" s="26">
        <f t="shared" si="39"/>
        <v>861.55357142857144</v>
      </c>
      <c r="BN24" s="26">
        <f t="shared" si="39"/>
        <v>801.53571428571422</v>
      </c>
      <c r="BO24" s="26">
        <f t="shared" si="39"/>
        <v>741.51785714285711</v>
      </c>
      <c r="BP24" s="13">
        <f t="shared" si="40"/>
        <v>681.5</v>
      </c>
      <c r="BQ24" s="26">
        <f t="shared" si="41"/>
        <v>652.8125</v>
      </c>
      <c r="BR24" s="26">
        <f t="shared" si="41"/>
        <v>624.125</v>
      </c>
      <c r="BS24" s="26">
        <f t="shared" si="41"/>
        <v>595.4375</v>
      </c>
      <c r="BT24" s="13">
        <f t="shared" si="46"/>
        <v>566.75</v>
      </c>
      <c r="BU24" s="26">
        <f t="shared" si="42"/>
        <v>611.9375</v>
      </c>
      <c r="BV24" s="26">
        <f t="shared" si="42"/>
        <v>657.125</v>
      </c>
      <c r="BW24" s="26">
        <f t="shared" si="42"/>
        <v>702.3125</v>
      </c>
      <c r="BX24" s="13">
        <f t="shared" si="43"/>
        <v>747.5</v>
      </c>
      <c r="BY24" s="26">
        <f t="shared" si="44"/>
        <v>747.5</v>
      </c>
      <c r="BZ24" s="26">
        <f t="shared" si="45"/>
        <v>747.5</v>
      </c>
      <c r="CA24"/>
    </row>
    <row r="25" spans="1:81">
      <c r="A25" s="31" t="s">
        <v>504</v>
      </c>
      <c r="B25" s="83" t="s">
        <v>288</v>
      </c>
      <c r="C25" s="2195">
        <f t="shared" si="4"/>
        <v>6.8810343681242545E-2</v>
      </c>
      <c r="D25" s="1184">
        <f>CALCULATIONS!JC25</f>
        <v>1.3636467231258886E-2</v>
      </c>
      <c r="E25" s="1184">
        <f>CALCULATIONS!JD25</f>
        <v>4.4624016252350789E-2</v>
      </c>
      <c r="F25" s="471">
        <f>CALCULATIONS!JY25</f>
        <v>6.5544775038338318E-2</v>
      </c>
      <c r="G25" s="449">
        <f>'Bloom Cleaner Data'!AJ25</f>
        <v>852</v>
      </c>
      <c r="H25" s="449" t="str">
        <f>RATINGS!D818</f>
        <v>A</v>
      </c>
      <c r="I25" s="450">
        <f t="shared" si="5"/>
        <v>4.1006999999999995E-2</v>
      </c>
      <c r="J25" s="193">
        <f t="shared" si="23"/>
        <v>8</v>
      </c>
      <c r="K25" s="451">
        <f t="shared" si="24"/>
        <v>714.06514123085071</v>
      </c>
      <c r="L25" s="452">
        <f>K25/('Bloom Cleaner Data'!T25)</f>
        <v>7.5093610393401067E-2</v>
      </c>
      <c r="M25" s="452">
        <f>K25/('Bloom Cleaner Data'!T25+K25)</f>
        <v>6.9848438933538648E-2</v>
      </c>
      <c r="N25" s="452">
        <f t="shared" si="47"/>
        <v>0.83810462585780598</v>
      </c>
      <c r="O25" s="186">
        <f>'Bloom Cleaner Data'!AK25</f>
        <v>732</v>
      </c>
      <c r="P25" s="449" t="str">
        <f>RATINGS!H818</f>
        <v>A</v>
      </c>
      <c r="Q25" s="450">
        <f t="shared" si="7"/>
        <v>4.1006999999999995E-2</v>
      </c>
      <c r="R25" s="193">
        <f t="shared" si="25"/>
        <v>8</v>
      </c>
      <c r="S25" s="451">
        <f t="shared" si="26"/>
        <v>613.49258612791402</v>
      </c>
      <c r="T25" s="452">
        <f>S25/('Bloom Cleaner Data'!X25)</f>
        <v>6.6924030340123702E-2</v>
      </c>
      <c r="U25" s="452">
        <f>S25/('Bloom Cleaner Data'!X25+S25)</f>
        <v>6.2726143977457391E-2</v>
      </c>
      <c r="V25" s="452">
        <f t="shared" si="48"/>
        <v>0.8381046258578061</v>
      </c>
      <c r="W25" s="186">
        <f>'Bloom Cleaner Data'!AL25</f>
        <v>627</v>
      </c>
      <c r="X25" s="95" t="str">
        <f>RATINGS!L818</f>
        <v>A</v>
      </c>
      <c r="Y25" s="450">
        <f t="shared" si="9"/>
        <v>4.1006999999999995E-2</v>
      </c>
      <c r="Z25" s="193">
        <f t="shared" si="27"/>
        <v>8</v>
      </c>
      <c r="AA25" s="451">
        <f t="shared" si="28"/>
        <v>525.49160041284438</v>
      </c>
      <c r="AB25" s="452">
        <f>AA25/('Bloom Cleaner Data'!AB25)</f>
        <v>6.2232543866987726E-2</v>
      </c>
      <c r="AC25" s="452">
        <f>AA25/('Bloom Cleaner Data'!AB25+AA25)</f>
        <v>5.858655360005658E-2</v>
      </c>
      <c r="AD25" s="452">
        <f t="shared" si="10"/>
        <v>0.83810462585780598</v>
      </c>
      <c r="AE25" s="186">
        <f>'Bloom Cleaner Data'!AM25</f>
        <v>695</v>
      </c>
      <c r="AF25" s="95" t="str">
        <f>RATINGS!P818</f>
        <v>A</v>
      </c>
      <c r="AG25" s="450">
        <f t="shared" si="11"/>
        <v>4.1006999999999995E-2</v>
      </c>
      <c r="AH25" s="193">
        <f t="shared" si="29"/>
        <v>8</v>
      </c>
      <c r="AI25" s="451">
        <f t="shared" si="30"/>
        <v>582.48271497117514</v>
      </c>
      <c r="AJ25" s="452">
        <f>AI25/('Bloom Cleaner Data'!AF25)</f>
        <v>7.0991190124457662E-2</v>
      </c>
      <c r="AK25" s="452">
        <f>AI25/('Bloom Cleaner Data'!AF25+AI25)</f>
        <v>6.6285503353400999E-2</v>
      </c>
      <c r="AL25" s="453">
        <f t="shared" si="12"/>
        <v>0.83810462585780598</v>
      </c>
      <c r="AM25" s="3396"/>
      <c r="AN25" s="229">
        <f t="shared" si="31"/>
        <v>0.83810462585780598</v>
      </c>
      <c r="AO25" s="229">
        <f t="shared" si="32"/>
        <v>0.8381046258578061</v>
      </c>
      <c r="AP25" s="229">
        <f t="shared" si="33"/>
        <v>0.83810462585780598</v>
      </c>
      <c r="AQ25" s="229">
        <f t="shared" si="34"/>
        <v>0.83810462585780598</v>
      </c>
      <c r="AR25" s="467">
        <f t="shared" si="35"/>
        <v>0.83810462585780598</v>
      </c>
      <c r="AS25" s="3396"/>
      <c r="AT25"/>
      <c r="AU25" s="13">
        <f t="shared" si="13"/>
        <v>714.06514123085071</v>
      </c>
      <c r="AV25" s="26">
        <f t="shared" si="14"/>
        <v>688.92200245511651</v>
      </c>
      <c r="AW25" s="26">
        <f t="shared" si="14"/>
        <v>663.77886367938231</v>
      </c>
      <c r="AX25" s="26">
        <f t="shared" si="14"/>
        <v>638.63572490364822</v>
      </c>
      <c r="AY25" s="13">
        <f t="shared" si="15"/>
        <v>613.49258612791402</v>
      </c>
      <c r="AZ25" s="26">
        <f t="shared" si="16"/>
        <v>591.49233969914667</v>
      </c>
      <c r="BA25" s="26">
        <f t="shared" si="16"/>
        <v>569.4920932703792</v>
      </c>
      <c r="BB25" s="26">
        <f t="shared" si="16"/>
        <v>547.49184684161173</v>
      </c>
      <c r="BC25" s="13">
        <f t="shared" si="17"/>
        <v>525.49160041284438</v>
      </c>
      <c r="BD25" s="26">
        <f t="shared" si="18"/>
        <v>539.73937905242701</v>
      </c>
      <c r="BE25" s="26">
        <f t="shared" si="18"/>
        <v>553.98715769200976</v>
      </c>
      <c r="BF25" s="26">
        <f t="shared" si="18"/>
        <v>568.23493633159251</v>
      </c>
      <c r="BG25" s="13">
        <f t="shared" si="36"/>
        <v>582.48271497117514</v>
      </c>
      <c r="BH25" s="26">
        <f t="shared" si="37"/>
        <v>582.48271497117514</v>
      </c>
      <c r="BI25" s="26">
        <f t="shared" si="37"/>
        <v>582.48271497117514</v>
      </c>
      <c r="BJ25" s="26"/>
      <c r="BK25"/>
      <c r="BL25" s="13">
        <f t="shared" si="38"/>
        <v>121.71428571428571</v>
      </c>
      <c r="BM25" s="26">
        <f t="shared" si="39"/>
        <v>114.16071428571428</v>
      </c>
      <c r="BN25" s="26">
        <f t="shared" si="39"/>
        <v>106.60714285714286</v>
      </c>
      <c r="BO25" s="26">
        <f t="shared" si="39"/>
        <v>99.053571428571431</v>
      </c>
      <c r="BP25" s="13">
        <f t="shared" si="40"/>
        <v>91.5</v>
      </c>
      <c r="BQ25" s="26">
        <f t="shared" si="41"/>
        <v>88.21875</v>
      </c>
      <c r="BR25" s="26">
        <f t="shared" si="41"/>
        <v>84.9375</v>
      </c>
      <c r="BS25" s="26">
        <f t="shared" si="41"/>
        <v>81.65625</v>
      </c>
      <c r="BT25" s="13">
        <f t="shared" si="46"/>
        <v>78.375</v>
      </c>
      <c r="BU25" s="26">
        <f t="shared" si="42"/>
        <v>80.5</v>
      </c>
      <c r="BV25" s="26">
        <f t="shared" si="42"/>
        <v>82.625</v>
      </c>
      <c r="BW25" s="26">
        <f t="shared" si="42"/>
        <v>84.75</v>
      </c>
      <c r="BX25" s="13">
        <f t="shared" si="43"/>
        <v>86.875</v>
      </c>
      <c r="BY25" s="26">
        <f t="shared" si="44"/>
        <v>86.875</v>
      </c>
      <c r="BZ25" s="26">
        <f t="shared" si="45"/>
        <v>86.875</v>
      </c>
      <c r="CA25"/>
    </row>
    <row r="26" spans="1:81">
      <c r="A26" s="31" t="s">
        <v>27</v>
      </c>
      <c r="B26" s="2201" t="s">
        <v>353</v>
      </c>
      <c r="C26" s="2195">
        <f t="shared" si="4"/>
        <v>0.50885367008809312</v>
      </c>
      <c r="D26" s="1184">
        <f>CALCULATIONS!JC26</f>
        <v>9.6811952716971572E-2</v>
      </c>
      <c r="E26" s="1184">
        <f>CALCULATIONS!JD26</f>
        <v>0.25369793656715856</v>
      </c>
      <c r="F26" s="471">
        <f>CALCULATIONS!JY26</f>
        <v>0.48591775239932961</v>
      </c>
      <c r="G26" s="449">
        <f>'Bloom Cleaner Data'!AJ26</f>
        <v>211.43430000000001</v>
      </c>
      <c r="H26" s="449" t="str">
        <f>RATINGS!D819</f>
        <v>BB</v>
      </c>
      <c r="I26" s="450">
        <f t="shared" si="5"/>
        <v>7.9992000000000008E-2</v>
      </c>
      <c r="J26" s="193">
        <f t="shared" si="23"/>
        <v>8</v>
      </c>
      <c r="K26" s="451">
        <f t="shared" si="24"/>
        <v>151.88418388920758</v>
      </c>
      <c r="L26" s="452">
        <f>K26/('Bloom Cleaner Data'!T26)</f>
        <v>0.50877701217040805</v>
      </c>
      <c r="M26" s="452">
        <f>K26/('Bloom Cleaner Data'!T26+K26)</f>
        <v>0.33721153494943656</v>
      </c>
      <c r="N26" s="452">
        <f t="shared" si="47"/>
        <v>0.71835167656906929</v>
      </c>
      <c r="O26" s="186">
        <f>'Bloom Cleaner Data'!AK26</f>
        <v>234.34620000000001</v>
      </c>
      <c r="P26" s="449" t="str">
        <f>RATINGS!H819</f>
        <v>BB</v>
      </c>
      <c r="Q26" s="450">
        <f t="shared" si="7"/>
        <v>7.9992000000000008E-2</v>
      </c>
      <c r="R26" s="193">
        <f t="shared" si="25"/>
        <v>8</v>
      </c>
      <c r="S26" s="451">
        <f t="shared" si="26"/>
        <v>168.34298566759043</v>
      </c>
      <c r="T26" s="452">
        <f>S26/('Bloom Cleaner Data'!X26)</f>
        <v>0.58284977695187656</v>
      </c>
      <c r="U26" s="452">
        <f>S26/('Bloom Cleaner Data'!X26+S26)</f>
        <v>0.3682281069491517</v>
      </c>
      <c r="V26" s="452">
        <f t="shared" si="48"/>
        <v>0.71835167656906929</v>
      </c>
      <c r="W26" s="186">
        <f>'Bloom Cleaner Data'!AL26</f>
        <v>220.49350000000001</v>
      </c>
      <c r="X26" s="95" t="str">
        <f>RATINGS!L819</f>
        <v>BB</v>
      </c>
      <c r="Y26" s="450">
        <f t="shared" si="9"/>
        <v>7.9992000000000008E-2</v>
      </c>
      <c r="Z26" s="193">
        <f t="shared" si="27"/>
        <v>8</v>
      </c>
      <c r="AA26" s="451">
        <f t="shared" si="28"/>
        <v>158.39187539758208</v>
      </c>
      <c r="AB26" s="452">
        <f>AA26/('Bloom Cleaner Data'!AB26)</f>
        <v>0.58692373341765391</v>
      </c>
      <c r="AC26" s="452">
        <f>AA26/('Bloom Cleaner Data'!AB26+AA26)</f>
        <v>0.36984999408486674</v>
      </c>
      <c r="AD26" s="452">
        <f t="shared" si="10"/>
        <v>0.71835167656906929</v>
      </c>
      <c r="AE26" s="186">
        <f>'Bloom Cleaner Data'!AM26</f>
        <v>170.7689</v>
      </c>
      <c r="AF26" s="95" t="str">
        <f>RATINGS!P819</f>
        <v>BB</v>
      </c>
      <c r="AG26" s="450">
        <f t="shared" si="11"/>
        <v>7.9992000000000008E-2</v>
      </c>
      <c r="AH26" s="193">
        <f t="shared" si="29"/>
        <v>8</v>
      </c>
      <c r="AI26" s="451">
        <f t="shared" si="30"/>
        <v>122.67212562085574</v>
      </c>
      <c r="AJ26" s="452">
        <f>AI26/('Bloom Cleaner Data'!AF26)</f>
        <v>0.35686415781243397</v>
      </c>
      <c r="AK26" s="452">
        <f>AI26/('Bloom Cleaner Data'!AF26+AI26)</f>
        <v>0.26300654767665038</v>
      </c>
      <c r="AL26" s="453">
        <f t="shared" si="12"/>
        <v>0.71835167656906929</v>
      </c>
      <c r="AM26" s="3396"/>
      <c r="AN26" s="229">
        <f t="shared" si="31"/>
        <v>0.71835167656906929</v>
      </c>
      <c r="AO26" s="229">
        <f t="shared" si="32"/>
        <v>0.71835167656906929</v>
      </c>
      <c r="AP26" s="229">
        <f t="shared" si="33"/>
        <v>0.71835167656906929</v>
      </c>
      <c r="AQ26" s="229">
        <f t="shared" si="34"/>
        <v>0.71835167656906929</v>
      </c>
      <c r="AR26" s="467">
        <f t="shared" si="35"/>
        <v>0.71835167656906929</v>
      </c>
      <c r="AS26" s="3396"/>
      <c r="AT26"/>
      <c r="AU26" s="13">
        <f t="shared" si="13"/>
        <v>151.88418388920758</v>
      </c>
      <c r="AV26" s="26">
        <f t="shared" si="14"/>
        <v>155.99888433380329</v>
      </c>
      <c r="AW26" s="26">
        <f t="shared" si="14"/>
        <v>160.113584778399</v>
      </c>
      <c r="AX26" s="26">
        <f t="shared" si="14"/>
        <v>164.22828522299471</v>
      </c>
      <c r="AY26" s="13">
        <f t="shared" si="15"/>
        <v>168.34298566759043</v>
      </c>
      <c r="AZ26" s="26">
        <f t="shared" si="16"/>
        <v>165.85520810008833</v>
      </c>
      <c r="BA26" s="26">
        <f t="shared" si="16"/>
        <v>163.36743053258624</v>
      </c>
      <c r="BB26" s="26">
        <f t="shared" si="16"/>
        <v>160.87965296508418</v>
      </c>
      <c r="BC26" s="13">
        <f t="shared" si="17"/>
        <v>158.39187539758208</v>
      </c>
      <c r="BD26" s="26">
        <f t="shared" si="18"/>
        <v>149.46193795340051</v>
      </c>
      <c r="BE26" s="26">
        <f t="shared" si="18"/>
        <v>140.5320005092189</v>
      </c>
      <c r="BF26" s="26">
        <f t="shared" si="18"/>
        <v>131.60206306503733</v>
      </c>
      <c r="BG26" s="13">
        <f t="shared" si="36"/>
        <v>122.67212562085574</v>
      </c>
      <c r="BH26" s="26">
        <f t="shared" si="37"/>
        <v>122.67212562085574</v>
      </c>
      <c r="BI26" s="26">
        <f t="shared" si="37"/>
        <v>122.67212562085574</v>
      </c>
      <c r="BJ26" s="26"/>
      <c r="BK26"/>
      <c r="BL26" s="13">
        <f t="shared" si="38"/>
        <v>30.204900000000002</v>
      </c>
      <c r="BM26" s="26">
        <f t="shared" si="39"/>
        <v>29.976993750000002</v>
      </c>
      <c r="BN26" s="26">
        <f t="shared" si="39"/>
        <v>29.749087500000002</v>
      </c>
      <c r="BO26" s="26">
        <f t="shared" si="39"/>
        <v>29.521181250000001</v>
      </c>
      <c r="BP26" s="13">
        <f t="shared" si="40"/>
        <v>29.293275000000001</v>
      </c>
      <c r="BQ26" s="26">
        <f t="shared" si="41"/>
        <v>28.860378125</v>
      </c>
      <c r="BR26" s="26">
        <f t="shared" si="41"/>
        <v>28.42748125</v>
      </c>
      <c r="BS26" s="26">
        <f t="shared" si="41"/>
        <v>27.994584375000002</v>
      </c>
      <c r="BT26" s="13">
        <f t="shared" si="46"/>
        <v>27.561687500000001</v>
      </c>
      <c r="BU26" s="26">
        <f t="shared" si="42"/>
        <v>26.007793750000001</v>
      </c>
      <c r="BV26" s="26">
        <f t="shared" si="42"/>
        <v>24.453900000000001</v>
      </c>
      <c r="BW26" s="26">
        <f t="shared" si="42"/>
        <v>22.900006250000001</v>
      </c>
      <c r="BX26" s="13">
        <f t="shared" si="43"/>
        <v>21.3461125</v>
      </c>
      <c r="BY26" s="26">
        <f t="shared" si="44"/>
        <v>21.3461125</v>
      </c>
      <c r="BZ26" s="26">
        <f t="shared" si="45"/>
        <v>21.3461125</v>
      </c>
      <c r="CA26"/>
    </row>
    <row r="27" spans="1:81">
      <c r="A27" s="37" t="s">
        <v>712</v>
      </c>
      <c r="B27" s="2202" t="s">
        <v>354</v>
      </c>
      <c r="C27" s="2197">
        <f t="shared" si="4"/>
        <v>0.17396825796361076</v>
      </c>
      <c r="D27" s="1186">
        <f>CALCULATIONS!JC27</f>
        <v>4.7246211235248359E-2</v>
      </c>
      <c r="E27" s="1186">
        <f>CALCULATIONS!JD27</f>
        <v>0.1101150818088513</v>
      </c>
      <c r="F27" s="464">
        <f>CALCULATIONS!JY27</f>
        <v>0.20489877204179593</v>
      </c>
      <c r="G27" s="457">
        <f>'Bloom Cleaner Data'!AJ27</f>
        <v>59.494</v>
      </c>
      <c r="H27" s="457" t="str">
        <f>RATINGS!D820</f>
        <v>BB+</v>
      </c>
      <c r="I27" s="458">
        <f t="shared" si="5"/>
        <v>6.7202999999999999E-2</v>
      </c>
      <c r="J27" s="459">
        <f t="shared" si="23"/>
        <v>8</v>
      </c>
      <c r="K27" s="460">
        <f t="shared" si="24"/>
        <v>44.892439214121765</v>
      </c>
      <c r="L27" s="461">
        <f>K27/('Bloom Cleaner Data'!T27)</f>
        <v>7.2692772269953826E-2</v>
      </c>
      <c r="M27" s="461">
        <f>K27/('Bloom Cleaner Data'!T27+K27)</f>
        <v>6.7766628198796114E-2</v>
      </c>
      <c r="N27" s="461">
        <f t="shared" si="47"/>
        <v>0.75457086788788386</v>
      </c>
      <c r="O27" s="456">
        <f>'Bloom Cleaner Data'!AK27</f>
        <v>66.087000000000003</v>
      </c>
      <c r="P27" s="457" t="str">
        <f>RATINGS!H820</f>
        <v>BB+</v>
      </c>
      <c r="Q27" s="458">
        <f t="shared" si="7"/>
        <v>6.7202999999999999E-2</v>
      </c>
      <c r="R27" s="459">
        <f t="shared" si="25"/>
        <v>8</v>
      </c>
      <c r="S27" s="460">
        <f t="shared" si="26"/>
        <v>49.867324946106592</v>
      </c>
      <c r="T27" s="461">
        <f>S27/('Bloom Cleaner Data'!X27)</f>
        <v>9.5234259715115677E-2</v>
      </c>
      <c r="U27" s="461">
        <f>S27/('Bloom Cleaner Data'!X27+S27)</f>
        <v>8.6953324250363853E-2</v>
      </c>
      <c r="V27" s="461">
        <f t="shared" si="48"/>
        <v>0.75457086788788397</v>
      </c>
      <c r="W27" s="462">
        <f>'Bloom Cleaner Data'!AL27</f>
        <v>106.1995</v>
      </c>
      <c r="X27" s="1777" t="str">
        <f>RATINGS!L820</f>
        <v>BB+</v>
      </c>
      <c r="Y27" s="458">
        <f t="shared" si="9"/>
        <v>6.7202999999999999E-2</v>
      </c>
      <c r="Z27" s="459">
        <f t="shared" si="27"/>
        <v>8</v>
      </c>
      <c r="AA27" s="460">
        <f t="shared" si="28"/>
        <v>80.135048884259334</v>
      </c>
      <c r="AB27" s="461">
        <f>AA27/('Bloom Cleaner Data'!AB27)</f>
        <v>0.20055020542840243</v>
      </c>
      <c r="AC27" s="461">
        <f>AA27/('Bloom Cleaner Data'!AB27+AA27)</f>
        <v>0.1670485786613467</v>
      </c>
      <c r="AD27" s="461">
        <f t="shared" si="10"/>
        <v>0.75457086788788397</v>
      </c>
      <c r="AE27" s="456">
        <f>'Bloom Cleaner Data'!AM27</f>
        <v>146.31200000000001</v>
      </c>
      <c r="AF27" s="1777" t="str">
        <f>RATINGS!P820</f>
        <v>BB+</v>
      </c>
      <c r="AG27" s="458">
        <f t="shared" si="11"/>
        <v>6.7202999999999999E-2</v>
      </c>
      <c r="AH27" s="459">
        <f t="shared" si="29"/>
        <v>8</v>
      </c>
      <c r="AI27" s="460">
        <f t="shared" si="30"/>
        <v>110.40277282241209</v>
      </c>
      <c r="AJ27" s="461">
        <f>AI27/('Bloom Cleaner Data'!AF27)</f>
        <v>0.32739579444097117</v>
      </c>
      <c r="AK27" s="461">
        <f>AI27/('Bloom Cleaner Data'!AF27+AI27)</f>
        <v>0.24664519490876718</v>
      </c>
      <c r="AL27" s="463">
        <f t="shared" si="12"/>
        <v>0.75457086788788397</v>
      </c>
      <c r="AM27" s="3396"/>
      <c r="AN27" s="229">
        <f t="shared" si="31"/>
        <v>0.75457086788788386</v>
      </c>
      <c r="AO27" s="229">
        <f t="shared" si="32"/>
        <v>0.75457086788788397</v>
      </c>
      <c r="AP27" s="229">
        <f t="shared" si="33"/>
        <v>0.75457086788788397</v>
      </c>
      <c r="AQ27" s="229">
        <f t="shared" si="34"/>
        <v>0.75457086788788397</v>
      </c>
      <c r="AR27" s="467">
        <f t="shared" si="35"/>
        <v>0.75457086788788397</v>
      </c>
      <c r="AS27" s="3396"/>
      <c r="AT27"/>
      <c r="AU27" s="13">
        <f t="shared" si="13"/>
        <v>44.892439214121765</v>
      </c>
      <c r="AV27" s="26">
        <f t="shared" si="14"/>
        <v>46.136160647117975</v>
      </c>
      <c r="AW27" s="26">
        <f t="shared" si="14"/>
        <v>47.379882080114179</v>
      </c>
      <c r="AX27" s="26">
        <f t="shared" si="14"/>
        <v>48.623603513110382</v>
      </c>
      <c r="AY27" s="13">
        <f t="shared" si="15"/>
        <v>49.867324946106592</v>
      </c>
      <c r="AZ27" s="26">
        <f t="shared" si="16"/>
        <v>57.434255930644781</v>
      </c>
      <c r="BA27" s="26">
        <f t="shared" si="16"/>
        <v>65.001186915182956</v>
      </c>
      <c r="BB27" s="26">
        <f t="shared" si="16"/>
        <v>72.568117899721145</v>
      </c>
      <c r="BC27" s="13">
        <f t="shared" si="17"/>
        <v>80.135048884259334</v>
      </c>
      <c r="BD27" s="26">
        <f t="shared" si="18"/>
        <v>87.701979868797522</v>
      </c>
      <c r="BE27" s="26">
        <f t="shared" si="18"/>
        <v>95.268910853335711</v>
      </c>
      <c r="BF27" s="26">
        <f t="shared" si="18"/>
        <v>102.8358418378739</v>
      </c>
      <c r="BG27" s="13">
        <f t="shared" si="36"/>
        <v>110.40277282241209</v>
      </c>
      <c r="BH27" s="26">
        <f t="shared" si="37"/>
        <v>110.40277282241209</v>
      </c>
      <c r="BI27" s="26">
        <f t="shared" si="37"/>
        <v>110.40277282241209</v>
      </c>
      <c r="BJ27" s="26"/>
      <c r="BK27"/>
      <c r="BL27" s="13">
        <f t="shared" si="38"/>
        <v>8.4991428571428571</v>
      </c>
      <c r="BM27" s="26">
        <f t="shared" si="39"/>
        <v>8.4395758928571425</v>
      </c>
      <c r="BN27" s="26">
        <f t="shared" si="39"/>
        <v>8.3800089285714279</v>
      </c>
      <c r="BO27" s="26">
        <f t="shared" si="39"/>
        <v>8.320441964285715</v>
      </c>
      <c r="BP27" s="13">
        <f t="shared" si="40"/>
        <v>8.2608750000000004</v>
      </c>
      <c r="BQ27" s="26">
        <f t="shared" si="41"/>
        <v>9.5143906250000008</v>
      </c>
      <c r="BR27" s="26">
        <f t="shared" si="41"/>
        <v>10.767906249999999</v>
      </c>
      <c r="BS27" s="26">
        <f t="shared" si="41"/>
        <v>12.021421875</v>
      </c>
      <c r="BT27" s="13">
        <f t="shared" si="46"/>
        <v>13.2749375</v>
      </c>
      <c r="BU27" s="26">
        <f>$BT27+($BX27-$BT27)*BU$1/4</f>
        <v>14.528453125</v>
      </c>
      <c r="BV27" s="26">
        <f>$BT27+($BX27-$BT27)*BV$1/4</f>
        <v>15.781968750000001</v>
      </c>
      <c r="BW27" s="26">
        <f>$BT27+($BX27-$BT27)*BW$1/4</f>
        <v>17.035484375000003</v>
      </c>
      <c r="BX27" s="13">
        <f t="shared" si="43"/>
        <v>18.289000000000001</v>
      </c>
      <c r="BY27" s="26">
        <f t="shared" si="44"/>
        <v>18.289000000000001</v>
      </c>
      <c r="BZ27" s="26">
        <f t="shared" si="45"/>
        <v>18.289000000000001</v>
      </c>
      <c r="CA27"/>
    </row>
    <row r="28" spans="1:81">
      <c r="A28" s="446"/>
      <c r="B28" s="2201"/>
      <c r="C28" s="218"/>
      <c r="D28" s="470"/>
      <c r="E28" s="470"/>
      <c r="F28" s="472"/>
      <c r="G28" s="449"/>
      <c r="H28" s="449"/>
      <c r="I28" s="450"/>
      <c r="J28" s="193"/>
      <c r="K28" s="451"/>
      <c r="L28" s="452"/>
      <c r="M28" s="452"/>
      <c r="N28" s="452"/>
      <c r="O28" s="449"/>
      <c r="P28" s="449"/>
      <c r="Q28" s="450"/>
      <c r="R28" s="193"/>
      <c r="S28" s="451"/>
      <c r="T28" s="452"/>
      <c r="U28" s="452"/>
      <c r="V28" s="452"/>
      <c r="W28" s="468"/>
      <c r="X28" s="449"/>
      <c r="Y28" s="450"/>
      <c r="Z28" s="193"/>
      <c r="AA28" s="451"/>
      <c r="AB28" s="452"/>
      <c r="AC28" s="452"/>
      <c r="AD28" s="452"/>
      <c r="AE28" s="449"/>
      <c r="AF28" s="2"/>
      <c r="AG28" s="450"/>
      <c r="AH28" s="193"/>
      <c r="AI28" s="451"/>
      <c r="AJ28" s="452"/>
      <c r="AK28" s="452"/>
      <c r="AL28" s="452"/>
      <c r="AM28" s="3396"/>
      <c r="AN28" s="216"/>
      <c r="AO28" s="216"/>
      <c r="AP28" s="216"/>
      <c r="AQ28" s="216"/>
      <c r="AR28" s="3904">
        <f>AVERAGE(AR5:AR27)</f>
        <v>0.79487434725774431</v>
      </c>
      <c r="AS28" s="3396"/>
      <c r="AT28"/>
      <c r="AU28" s="13"/>
      <c r="AV28" s="26"/>
      <c r="AW28" s="26"/>
      <c r="AX28" s="26"/>
      <c r="AY28" s="13"/>
      <c r="AZ28" s="26"/>
      <c r="BA28" s="26"/>
      <c r="BB28" s="26"/>
      <c r="BC28" s="13"/>
      <c r="BD28" s="26"/>
      <c r="BE28" s="26"/>
      <c r="BF28" s="26"/>
      <c r="BG28" s="13"/>
      <c r="BH28" s="26"/>
      <c r="BI28" s="26"/>
      <c r="BJ28" s="26"/>
      <c r="BK28"/>
      <c r="BL28"/>
      <c r="BM28"/>
      <c r="BN28"/>
      <c r="BO28"/>
      <c r="BP28"/>
      <c r="BQ28"/>
      <c r="BR28"/>
      <c r="BS28"/>
      <c r="BT28"/>
      <c r="BU28"/>
      <c r="BV28"/>
      <c r="BW28"/>
      <c r="BX28" s="13"/>
      <c r="BY28"/>
      <c r="BZ28"/>
      <c r="CA28"/>
    </row>
    <row r="29" spans="1:81">
      <c r="A29" s="3896" t="s">
        <v>443</v>
      </c>
      <c r="B29" s="3897"/>
      <c r="C29" s="1"/>
      <c r="D29"/>
      <c r="E29"/>
      <c r="F29"/>
      <c r="G29" s="14" t="str">
        <f>'Bloom Cleaner Data'!AJ29</f>
        <v>UK Telcos: values as of end fiscal year = March 31st.</v>
      </c>
      <c r="H29"/>
      <c r="I29"/>
      <c r="J29"/>
      <c r="K29"/>
      <c r="L29"/>
      <c r="M29" s="3891" t="s">
        <v>1468</v>
      </c>
      <c r="N29" s="3891"/>
      <c r="O29" s="146"/>
      <c r="P29" s="146"/>
      <c r="Q29" s="146"/>
      <c r="R29" s="146"/>
      <c r="S29" s="146"/>
      <c r="T29" s="146"/>
      <c r="U29" s="146"/>
      <c r="V29" s="146"/>
      <c r="W29" s="146"/>
      <c r="X29" s="146"/>
      <c r="Y29" s="146"/>
      <c r="Z29" s="146"/>
      <c r="AA29" s="146"/>
      <c r="AB29" s="3157"/>
      <c r="AC29"/>
      <c r="AD29"/>
      <c r="AE29"/>
      <c r="AF29"/>
      <c r="AG29"/>
      <c r="AH29"/>
      <c r="AI29"/>
      <c r="AJ29"/>
      <c r="AK29"/>
      <c r="AL29"/>
      <c r="AM29" s="3396"/>
      <c r="AN29" s="216"/>
      <c r="AO29" s="216"/>
      <c r="AP29" s="216"/>
      <c r="AQ29" s="216"/>
      <c r="AR29" s="216"/>
      <c r="AS29" s="3396"/>
      <c r="AT29"/>
      <c r="AU29"/>
      <c r="AV29"/>
      <c r="AW29"/>
      <c r="AX29"/>
      <c r="AY29"/>
      <c r="AZ29"/>
      <c r="BA29"/>
      <c r="BB29"/>
      <c r="BC29"/>
      <c r="BD29"/>
      <c r="BE29"/>
      <c r="BF29"/>
      <c r="BG29"/>
      <c r="BH29"/>
      <c r="BI29"/>
      <c r="BJ29"/>
      <c r="BK29"/>
      <c r="BL29"/>
      <c r="BM29"/>
      <c r="BN29"/>
      <c r="BO29"/>
      <c r="BP29"/>
      <c r="BQ29"/>
      <c r="BR29"/>
      <c r="BS29"/>
      <c r="BT29"/>
      <c r="BU29"/>
      <c r="BV29"/>
      <c r="BW29"/>
      <c r="BX29"/>
      <c r="BY29"/>
      <c r="BZ29"/>
      <c r="CA29"/>
    </row>
    <row r="30" spans="1:81">
      <c r="A30" s="1140" t="s">
        <v>444</v>
      </c>
      <c r="B30" s="3893"/>
      <c r="C30" s="1"/>
      <c r="D30"/>
      <c r="E30"/>
      <c r="F30"/>
      <c r="G30" s="124" t="str">
        <f>'Bloom Cleaner Data'!AJ31</f>
        <v>ORA 2009 : n/a, set at 2010 value.</v>
      </c>
      <c r="H30"/>
      <c r="I30"/>
      <c r="J30"/>
      <c r="K30"/>
      <c r="L30"/>
      <c r="M30" s="3892"/>
      <c r="N30" s="3892"/>
      <c r="O30" s="3892"/>
      <c r="P30" s="3892"/>
      <c r="Q30" s="3892"/>
      <c r="R30" s="3892"/>
      <c r="S30" s="3892"/>
      <c r="T30" s="3892"/>
      <c r="U30" s="3892"/>
      <c r="V30" s="3892"/>
      <c r="W30" s="3892"/>
      <c r="X30" s="3892"/>
      <c r="Y30" s="3892"/>
      <c r="Z30" s="3892"/>
      <c r="AA30" s="3892"/>
      <c r="AB30" s="3892"/>
      <c r="AC30"/>
      <c r="AD30"/>
      <c r="AE30" s="2561"/>
      <c r="AF30" s="2561"/>
      <c r="AG30" s="2561"/>
      <c r="AH30" s="2561"/>
      <c r="AI30" s="2561"/>
      <c r="AJ30" s="2561"/>
      <c r="AK30" s="2561"/>
      <c r="AL30" s="2561"/>
      <c r="AN30" s="2562"/>
      <c r="AO30" s="2562"/>
      <c r="AP30" s="2562"/>
      <c r="AQ30" s="2562"/>
      <c r="AR30" s="2562"/>
      <c r="AT30" s="2561"/>
      <c r="AU30" s="2561"/>
      <c r="AV30" s="2561"/>
      <c r="AW30" s="2561"/>
      <c r="AX30" s="2561"/>
      <c r="AY30" s="2561"/>
      <c r="AZ30" s="2561"/>
      <c r="BA30" s="2561"/>
      <c r="BB30" s="2561"/>
      <c r="BC30" s="2561"/>
      <c r="BD30" s="2561"/>
      <c r="BE30" s="2561"/>
      <c r="BF30" s="2561"/>
      <c r="BG30" s="2561"/>
      <c r="BH30" s="2561"/>
      <c r="BI30" s="2561"/>
      <c r="BJ30" s="2561"/>
      <c r="BK30" s="2561"/>
      <c r="BL30" s="2561"/>
      <c r="BM30" s="2561"/>
      <c r="BN30" s="2561"/>
      <c r="BO30" s="2561"/>
      <c r="BP30" s="2561"/>
      <c r="BQ30" s="2561"/>
      <c r="BR30" s="2561"/>
      <c r="BS30" s="2561"/>
      <c r="BT30" s="2561"/>
      <c r="BU30" s="2561"/>
      <c r="BV30" s="2561"/>
      <c r="BW30" s="2561"/>
      <c r="BX30" s="2561"/>
      <c r="BY30" s="2561"/>
      <c r="BZ30" s="2561"/>
      <c r="CA30" s="2561"/>
      <c r="CB30" s="2682"/>
      <c r="CC30" s="2561"/>
    </row>
    <row r="31" spans="1:81">
      <c r="A31" s="3898" t="s">
        <v>445</v>
      </c>
      <c r="B31" s="3893"/>
      <c r="C31" s="1"/>
      <c r="D31"/>
      <c r="E31"/>
      <c r="F31"/>
      <c r="G31" s="124" t="str">
        <f>'Bloom Cleaner Data'!AJ32</f>
        <v>TLSN &amp; TLSG 2011 : n/a, set at avg (2010, 2012) value.</v>
      </c>
      <c r="H31"/>
      <c r="I31"/>
      <c r="J31"/>
      <c r="K31"/>
      <c r="L31"/>
      <c r="M31" s="3892"/>
      <c r="N31" s="3892"/>
      <c r="O31" s="3892"/>
      <c r="P31" s="3892"/>
      <c r="Q31" s="3892"/>
      <c r="R31" s="3892"/>
      <c r="S31" s="3892"/>
      <c r="T31" s="3892"/>
      <c r="U31" s="3892"/>
      <c r="V31" s="3892"/>
      <c r="W31" s="3892"/>
      <c r="X31" s="3892"/>
      <c r="Y31" s="3892"/>
      <c r="Z31" s="3892"/>
      <c r="AA31" s="3892"/>
      <c r="AB31" s="3892"/>
      <c r="AC31"/>
      <c r="AD31"/>
      <c r="AE31" s="2561"/>
      <c r="AF31" s="2561"/>
      <c r="AG31" s="2561"/>
      <c r="AH31" s="2561"/>
      <c r="AI31" s="2561"/>
      <c r="AJ31" s="2561"/>
      <c r="AK31" s="2561"/>
      <c r="AL31" s="2561"/>
      <c r="AN31" s="2562"/>
      <c r="AO31" s="2562"/>
      <c r="AP31" s="2562"/>
      <c r="AQ31" s="2562"/>
      <c r="AR31" s="2562"/>
      <c r="AT31" s="2561"/>
      <c r="AU31" s="2561"/>
      <c r="AV31" s="2561"/>
      <c r="AW31" s="2561"/>
      <c r="AX31" s="2561"/>
      <c r="AY31" s="2561"/>
      <c r="AZ31" s="2561"/>
      <c r="BA31" s="2561"/>
      <c r="BB31" s="2561"/>
      <c r="BC31" s="2561"/>
      <c r="BD31" s="2561"/>
      <c r="BE31" s="2561"/>
      <c r="BF31" s="2561"/>
      <c r="BG31" s="2561"/>
      <c r="BH31" s="2561"/>
      <c r="BI31" s="2561"/>
      <c r="BJ31" s="2561"/>
      <c r="BK31" s="2561"/>
      <c r="BL31" s="2561"/>
      <c r="BM31" s="2561"/>
      <c r="BN31" s="2561"/>
      <c r="BO31" s="2561"/>
      <c r="BP31" s="2561"/>
      <c r="BQ31" s="2561"/>
      <c r="BR31" s="2561"/>
      <c r="BS31" s="2561"/>
      <c r="BT31" s="2561"/>
      <c r="BU31" s="2561"/>
      <c r="BV31" s="2561"/>
      <c r="BW31" s="2561"/>
      <c r="BX31" s="2561"/>
      <c r="BY31" s="2561"/>
      <c r="BZ31" s="2561"/>
      <c r="CA31" s="2561"/>
      <c r="CB31" s="2682"/>
      <c r="CC31" s="2561"/>
    </row>
    <row r="32" spans="1:81">
      <c r="A32" s="1140" t="s">
        <v>1792</v>
      </c>
      <c r="B32" s="3893"/>
      <c r="C32" s="1"/>
      <c r="D32"/>
      <c r="E32"/>
      <c r="F32"/>
      <c r="G32"/>
      <c r="H32"/>
      <c r="I32"/>
      <c r="J32"/>
      <c r="K32"/>
      <c r="L32"/>
      <c r="M32" s="3892"/>
      <c r="N32" s="3892"/>
      <c r="O32" s="3892"/>
      <c r="P32" s="3892"/>
      <c r="Q32" s="3892"/>
      <c r="R32" s="3892"/>
      <c r="S32" s="3892"/>
      <c r="T32" s="3892"/>
      <c r="U32" s="3892"/>
      <c r="V32" s="3892"/>
      <c r="W32" s="3892"/>
      <c r="X32" s="3892"/>
      <c r="Y32" s="3892"/>
      <c r="Z32" s="3892"/>
      <c r="AA32" s="3892"/>
      <c r="AB32" s="3892"/>
      <c r="AC32"/>
      <c r="AD32" s="4"/>
      <c r="AE32" s="2561"/>
      <c r="AF32" s="2561"/>
      <c r="AG32" s="2561"/>
      <c r="AH32" s="2561"/>
      <c r="AI32" s="2561"/>
      <c r="AJ32" s="2561"/>
      <c r="AK32" s="2561"/>
      <c r="AL32" s="2561"/>
      <c r="AN32" s="2562"/>
      <c r="AO32" s="2562"/>
      <c r="AP32" s="2562"/>
      <c r="AQ32" s="2562"/>
      <c r="AR32" s="2562"/>
      <c r="AT32" s="2561"/>
      <c r="AU32" s="2561"/>
      <c r="AV32" s="2561"/>
      <c r="AW32" s="2561"/>
      <c r="AX32" s="2561"/>
      <c r="AY32" s="2561"/>
      <c r="AZ32" s="2561"/>
      <c r="BA32" s="2561"/>
      <c r="BB32" s="2561"/>
      <c r="BC32" s="2561"/>
      <c r="BD32" s="2561"/>
      <c r="BE32" s="2561"/>
      <c r="BF32" s="2561"/>
      <c r="BG32" s="2561"/>
      <c r="BH32" s="2561"/>
      <c r="BI32" s="2561"/>
      <c r="BJ32" s="2561"/>
      <c r="BK32" s="2561"/>
      <c r="BL32" s="2561"/>
      <c r="BM32" s="2561"/>
      <c r="BN32" s="2561"/>
      <c r="BO32" s="2561"/>
      <c r="BP32" s="2561"/>
      <c r="BQ32" s="2561"/>
      <c r="BR32" s="2561"/>
      <c r="BS32" s="2561"/>
      <c r="BT32" s="2561"/>
      <c r="BU32" s="2561"/>
      <c r="BV32" s="2561"/>
      <c r="BW32" s="2561"/>
      <c r="BX32" s="2561"/>
      <c r="BY32" s="2561"/>
      <c r="BZ32" s="2561"/>
      <c r="CA32" s="2561"/>
      <c r="CB32" s="2682"/>
      <c r="CC32" s="2561"/>
    </row>
    <row r="33" spans="1:81">
      <c r="A33" s="1140" t="s">
        <v>738</v>
      </c>
      <c r="B33" s="3893"/>
      <c r="C33" s="1"/>
      <c r="D33"/>
      <c r="E33"/>
      <c r="F33"/>
      <c r="G33"/>
      <c r="H33"/>
      <c r="I33"/>
      <c r="J33"/>
      <c r="K33"/>
      <c r="L33"/>
      <c r="M33" s="3892"/>
      <c r="N33" s="3892"/>
      <c r="O33" s="3892"/>
      <c r="P33" s="3892"/>
      <c r="Q33" s="3892"/>
      <c r="R33" s="3892"/>
      <c r="S33" s="3892"/>
      <c r="T33" s="3892"/>
      <c r="U33" s="3892"/>
      <c r="V33" s="3892"/>
      <c r="W33" s="3892"/>
      <c r="X33" s="3892"/>
      <c r="Y33" s="3892"/>
      <c r="Z33" s="3892"/>
      <c r="AA33" s="3892"/>
      <c r="AB33" s="3892"/>
      <c r="AC33"/>
      <c r="AD33"/>
      <c r="AE33" s="2561"/>
      <c r="AF33" s="2561"/>
      <c r="AG33" s="2561"/>
      <c r="AH33" s="2561"/>
      <c r="AI33" s="2561"/>
      <c r="AJ33" s="2561"/>
      <c r="AK33" s="2561"/>
      <c r="AL33" s="2561"/>
      <c r="AN33" s="2562"/>
      <c r="AO33" s="2562"/>
      <c r="AP33" s="2562"/>
      <c r="AQ33" s="2562"/>
      <c r="AR33" s="2562"/>
      <c r="AT33" s="2561"/>
      <c r="AU33" s="2561"/>
      <c r="AV33" s="2561"/>
      <c r="AW33" s="2561"/>
      <c r="AX33" s="2561"/>
      <c r="AY33" s="2561"/>
      <c r="AZ33" s="2561"/>
      <c r="BA33" s="2561"/>
      <c r="BB33" s="2561"/>
      <c r="BC33" s="2561"/>
      <c r="BD33" s="2561"/>
      <c r="BE33" s="2561"/>
      <c r="BF33" s="2561"/>
      <c r="BG33" s="2561"/>
      <c r="BH33" s="2561"/>
      <c r="BI33" s="2561"/>
      <c r="BJ33" s="2561"/>
      <c r="BK33" s="2561"/>
      <c r="BL33" s="2561"/>
      <c r="BM33" s="2561"/>
      <c r="BN33" s="2561"/>
      <c r="BO33" s="2561"/>
      <c r="BP33" s="2561"/>
      <c r="BQ33" s="2561"/>
      <c r="BR33" s="2561"/>
      <c r="BS33" s="2561"/>
      <c r="BT33" s="2561"/>
      <c r="BU33" s="2561"/>
      <c r="BV33" s="2561"/>
      <c r="BW33" s="2561"/>
      <c r="BX33" s="2561"/>
      <c r="BY33" s="2561"/>
      <c r="BZ33" s="2561"/>
      <c r="CA33" s="2561"/>
      <c r="CB33" s="2682"/>
      <c r="CC33" s="2561"/>
    </row>
    <row r="34" spans="1:81">
      <c r="A34" s="3899" t="s">
        <v>1101</v>
      </c>
      <c r="B34" s="3900"/>
      <c r="C34" s="1"/>
      <c r="D34" s="4"/>
      <c r="E34"/>
      <c r="F34"/>
      <c r="G34"/>
      <c r="H34"/>
      <c r="I34"/>
      <c r="J34"/>
      <c r="K34"/>
      <c r="L34"/>
      <c r="M34" s="3892"/>
      <c r="N34" s="3892"/>
      <c r="O34" s="3892"/>
      <c r="P34" s="3892"/>
      <c r="Q34" s="3892"/>
      <c r="R34" s="3892"/>
      <c r="S34" s="3892"/>
      <c r="T34" s="3892"/>
      <c r="U34" s="3892"/>
      <c r="V34" s="3892"/>
      <c r="W34" s="3892"/>
      <c r="X34" s="3892"/>
      <c r="Y34" s="3892"/>
      <c r="Z34" s="3892"/>
      <c r="AA34" s="3892"/>
      <c r="AB34" s="3892"/>
      <c r="AC34"/>
      <c r="AD34"/>
      <c r="AE34" s="2561"/>
      <c r="AF34" s="2561"/>
      <c r="AG34" s="2561"/>
      <c r="AH34" s="2561"/>
      <c r="AI34" s="2561"/>
      <c r="AJ34" s="2561"/>
      <c r="AK34" s="2561"/>
      <c r="AL34" s="2561"/>
      <c r="AN34" s="2562"/>
      <c r="AO34" s="2562"/>
      <c r="AP34" s="2562"/>
      <c r="AQ34" s="2562"/>
      <c r="AR34" s="2562"/>
      <c r="AT34" s="2561"/>
      <c r="AU34" s="2561"/>
      <c r="AV34" s="2561"/>
      <c r="AW34" s="2561"/>
      <c r="AX34" s="2561"/>
      <c r="AY34" s="2561"/>
      <c r="AZ34" s="2561"/>
      <c r="BA34" s="2561"/>
      <c r="BB34" s="2561"/>
      <c r="BC34" s="2561"/>
      <c r="BD34" s="2561"/>
      <c r="BE34" s="2561"/>
      <c r="BF34" s="2561"/>
      <c r="BG34" s="2561"/>
      <c r="BH34" s="2561"/>
      <c r="BI34" s="2561"/>
      <c r="BJ34" s="2561"/>
      <c r="BK34" s="2561"/>
      <c r="BL34" s="2561"/>
      <c r="BM34" s="2561"/>
      <c r="BN34" s="2561"/>
      <c r="BO34" s="2561"/>
      <c r="BP34" s="2561"/>
      <c r="BQ34" s="2561"/>
      <c r="BR34" s="2561"/>
      <c r="BS34" s="2561"/>
      <c r="BT34" s="2561"/>
      <c r="BU34" s="2561"/>
      <c r="BV34" s="2561"/>
      <c r="BW34" s="2561"/>
      <c r="BX34" s="2561"/>
      <c r="BY34" s="2561"/>
      <c r="BZ34" s="2561"/>
      <c r="CA34" s="2561"/>
      <c r="CB34" s="2682"/>
      <c r="CC34" s="2561"/>
    </row>
    <row r="35" spans="1:81">
      <c r="A35" s="171"/>
      <c r="B35" s="35"/>
      <c r="C35" s="1"/>
      <c r="D35"/>
      <c r="E35"/>
      <c r="F35"/>
      <c r="G35"/>
      <c r="H35"/>
      <c r="I35"/>
      <c r="J35"/>
      <c r="K35"/>
      <c r="L35"/>
      <c r="M35" s="146"/>
      <c r="N35" s="146"/>
      <c r="O35" s="146"/>
      <c r="P35" s="146"/>
      <c r="Q35" s="146"/>
      <c r="R35" s="146"/>
      <c r="S35" s="146"/>
      <c r="T35" s="146"/>
      <c r="U35" s="146"/>
      <c r="V35" s="146"/>
      <c r="W35" s="146"/>
      <c r="X35" s="146"/>
      <c r="Y35" s="146"/>
      <c r="Z35" s="146"/>
      <c r="AA35" s="146"/>
      <c r="AB35" s="146"/>
      <c r="AC35"/>
      <c r="AD35"/>
      <c r="AE35" s="2561"/>
      <c r="AF35" s="2561"/>
      <c r="AG35" s="2561"/>
      <c r="AH35" s="2561"/>
      <c r="AI35" s="2561"/>
      <c r="AJ35" s="2561"/>
      <c r="AK35" s="2561"/>
      <c r="AL35" s="2561"/>
      <c r="AN35" s="2562"/>
      <c r="AO35" s="2562"/>
      <c r="AP35" s="2562"/>
      <c r="AQ35" s="2562"/>
      <c r="AR35" s="2562"/>
      <c r="AT35" s="2561"/>
      <c r="AU35" s="2561"/>
      <c r="AV35" s="2561"/>
      <c r="AW35" s="2561"/>
      <c r="AX35" s="2561"/>
      <c r="AY35" s="2561"/>
      <c r="AZ35" s="2561"/>
      <c r="BA35" s="2561"/>
      <c r="BB35" s="2561"/>
      <c r="BC35" s="2561"/>
      <c r="BD35" s="2561"/>
      <c r="BE35" s="2561"/>
      <c r="BF35" s="2561"/>
      <c r="BG35" s="2561"/>
      <c r="BH35" s="2561"/>
      <c r="BI35" s="2561"/>
      <c r="BJ35" s="2561"/>
      <c r="BK35" s="2561"/>
      <c r="BL35" s="2561"/>
      <c r="BM35" s="2561"/>
      <c r="BN35" s="2561"/>
      <c r="BO35" s="2561"/>
      <c r="BP35" s="2561"/>
      <c r="BQ35" s="2561"/>
      <c r="BR35" s="2561"/>
      <c r="BS35" s="2561"/>
      <c r="BT35" s="2561"/>
      <c r="BU35" s="2561"/>
      <c r="BV35" s="2561"/>
      <c r="BW35" s="2561"/>
      <c r="BX35" s="2561"/>
      <c r="BY35" s="2561"/>
      <c r="BZ35" s="2561"/>
      <c r="CA35" s="2561"/>
      <c r="CB35" s="2682"/>
      <c r="CC35" s="2561"/>
    </row>
    <row r="36" spans="1:81">
      <c r="A36" s="3894" t="s">
        <v>2720</v>
      </c>
      <c r="B36" s="3895"/>
      <c r="C36" s="146" t="s">
        <v>2726</v>
      </c>
      <c r="D36" s="146" t="s">
        <v>2719</v>
      </c>
      <c r="E36"/>
      <c r="F36"/>
      <c r="G36"/>
      <c r="H36"/>
      <c r="I36"/>
      <c r="J36"/>
      <c r="K36"/>
      <c r="L36"/>
      <c r="M36"/>
      <c r="N36"/>
      <c r="O36"/>
      <c r="P36"/>
      <c r="Q36"/>
      <c r="R36"/>
      <c r="S36"/>
      <c r="T36"/>
      <c r="U36"/>
      <c r="V36"/>
      <c r="W36"/>
      <c r="X36" s="1"/>
      <c r="Y36" s="1"/>
      <c r="Z36" s="1"/>
      <c r="AA36" s="1"/>
      <c r="AB36"/>
      <c r="AC36"/>
      <c r="AD36"/>
      <c r="AE36" s="2561"/>
      <c r="AF36" s="2561"/>
      <c r="AG36" s="2561"/>
      <c r="AH36" s="2561"/>
      <c r="AI36" s="2561"/>
      <c r="AJ36" s="2561"/>
      <c r="AK36" s="2561"/>
      <c r="AL36" s="2561"/>
      <c r="AN36" s="2562"/>
      <c r="AO36" s="2562"/>
      <c r="AP36" s="2562"/>
      <c r="AQ36" s="2562"/>
      <c r="AR36" s="2562"/>
      <c r="AT36" s="2561"/>
      <c r="AU36" s="2561"/>
      <c r="AV36" s="2561"/>
      <c r="AW36" s="2561"/>
      <c r="AX36" s="2561"/>
      <c r="AY36" s="2561"/>
      <c r="AZ36" s="2561"/>
      <c r="BA36" s="2561"/>
      <c r="BB36" s="2561"/>
      <c r="BC36" s="2561"/>
      <c r="BD36" s="2561"/>
      <c r="BE36" s="2561"/>
      <c r="BF36" s="2561"/>
      <c r="BG36" s="2561"/>
      <c r="BH36" s="2561"/>
      <c r="BI36" s="2561"/>
      <c r="BJ36" s="2561"/>
      <c r="BK36" s="2561"/>
      <c r="BL36" s="2561"/>
      <c r="BM36" s="2561"/>
      <c r="BN36" s="2561"/>
      <c r="BO36" s="2561"/>
      <c r="BP36" s="2561"/>
      <c r="BQ36" s="2561"/>
      <c r="BR36" s="2561"/>
      <c r="BS36" s="2561"/>
      <c r="BT36" s="2561"/>
      <c r="BU36" s="2561"/>
      <c r="BV36" s="2561"/>
      <c r="BW36" s="2561"/>
      <c r="BX36" s="2561"/>
      <c r="BY36" s="2561"/>
      <c r="BZ36" s="2561"/>
      <c r="CA36" s="2561"/>
      <c r="CB36" s="2682"/>
      <c r="CC36" s="2561"/>
    </row>
    <row r="37" spans="1:81" ht="13.5" thickBot="1">
      <c r="A37" s="475" t="s">
        <v>2721</v>
      </c>
      <c r="B37" s="35"/>
      <c r="C37" s="1"/>
      <c r="D37"/>
      <c r="E37"/>
      <c r="F37"/>
      <c r="G37"/>
      <c r="H37"/>
      <c r="I37"/>
      <c r="J37"/>
      <c r="K37"/>
      <c r="L37"/>
      <c r="M37"/>
      <c r="N37"/>
      <c r="O37"/>
      <c r="P37"/>
      <c r="Q37"/>
      <c r="R37"/>
      <c r="S37"/>
      <c r="T37"/>
      <c r="U37"/>
      <c r="V37"/>
      <c r="W37"/>
      <c r="X37" s="1"/>
      <c r="Y37" s="1"/>
      <c r="Z37" s="1"/>
      <c r="AA37" s="1"/>
      <c r="AB37"/>
      <c r="AC37"/>
      <c r="AD37"/>
      <c r="AE37" s="2561"/>
      <c r="AF37" s="2561"/>
      <c r="AG37" s="2561"/>
      <c r="AH37" s="2561"/>
      <c r="AI37" s="2561"/>
      <c r="AJ37" s="2561"/>
      <c r="AK37" s="2561"/>
      <c r="AL37" s="2561"/>
      <c r="AN37" s="2562"/>
      <c r="AO37" s="2562"/>
      <c r="AP37" s="2562"/>
      <c r="AQ37" s="2562"/>
      <c r="AR37" s="2562"/>
      <c r="AT37" s="2561"/>
      <c r="AU37" s="2561"/>
      <c r="AV37" s="2561"/>
      <c r="AW37" s="2561"/>
      <c r="AX37" s="2561"/>
      <c r="AY37" s="2561"/>
      <c r="AZ37" s="2561"/>
      <c r="BA37" s="2561"/>
      <c r="BB37" s="2561"/>
      <c r="BC37" s="2561"/>
      <c r="BD37" s="2561"/>
      <c r="BE37" s="2561"/>
      <c r="BF37" s="2561"/>
      <c r="BG37" s="2561"/>
      <c r="BH37" s="2561"/>
      <c r="BI37" s="2561"/>
      <c r="BJ37" s="2561"/>
      <c r="BK37" s="2561"/>
      <c r="BL37" s="2561"/>
      <c r="BM37" s="2561"/>
      <c r="BN37" s="2561"/>
      <c r="BO37" s="2561"/>
      <c r="BP37" s="2561"/>
      <c r="BQ37" s="2561"/>
      <c r="BR37" s="2561"/>
      <c r="BS37" s="2561"/>
      <c r="BT37" s="2561"/>
      <c r="BU37" s="2561"/>
      <c r="BV37" s="2561"/>
      <c r="BW37" s="2561"/>
      <c r="BX37" s="2561"/>
      <c r="BY37" s="2561"/>
      <c r="BZ37" s="2561"/>
      <c r="CA37" s="2561"/>
      <c r="CB37" s="2682"/>
      <c r="CC37" s="2561"/>
    </row>
    <row r="38" spans="1:81" ht="13.5" thickBot="1">
      <c r="A38" s="1445" t="s">
        <v>2722</v>
      </c>
      <c r="B38" s="1446"/>
      <c r="C38" s="21" t="s">
        <v>407</v>
      </c>
      <c r="D38" s="1847">
        <v>3</v>
      </c>
      <c r="E38" s="957">
        <v>4</v>
      </c>
      <c r="F38" s="956">
        <v>5</v>
      </c>
      <c r="G38" s="957">
        <v>6</v>
      </c>
      <c r="H38" s="957">
        <v>7</v>
      </c>
      <c r="I38" s="1838">
        <v>8</v>
      </c>
      <c r="J38" s="957">
        <v>9</v>
      </c>
      <c r="K38" s="1840">
        <v>10</v>
      </c>
      <c r="L38"/>
      <c r="M38" s="1181"/>
      <c r="N38" s="1182"/>
      <c r="O38" s="1182"/>
      <c r="P38" s="1183" t="s">
        <v>440</v>
      </c>
      <c r="Q38" s="1182"/>
      <c r="R38" s="1182"/>
      <c r="S38" s="1182"/>
      <c r="T38" s="1182"/>
      <c r="U38" s="1182"/>
      <c r="V38" s="1094"/>
      <c r="W38"/>
      <c r="X38" s="4561" t="s">
        <v>1793</v>
      </c>
      <c r="Y38" s="4562"/>
      <c r="Z38" s="4562"/>
      <c r="AA38" s="4562"/>
      <c r="AB38" s="4563"/>
      <c r="AC38" s="108"/>
      <c r="AD38" s="1543"/>
      <c r="AE38" s="2561"/>
      <c r="AF38" s="2561"/>
      <c r="AG38" s="2561"/>
      <c r="AH38" s="2399"/>
      <c r="AI38" s="2561"/>
      <c r="AJ38" s="2561"/>
      <c r="AK38" s="2561"/>
      <c r="AL38" s="2399"/>
      <c r="AN38" s="2562"/>
      <c r="AO38" s="2562"/>
      <c r="AP38" s="2562"/>
      <c r="AQ38" s="2562"/>
      <c r="AR38" s="2562"/>
      <c r="AT38" s="2561"/>
      <c r="AU38" s="2561"/>
      <c r="AV38" s="2399"/>
      <c r="AW38" s="2561"/>
      <c r="AX38" s="2561"/>
      <c r="AY38" s="2561"/>
      <c r="AZ38" s="2561"/>
      <c r="BA38" s="2561"/>
      <c r="BB38" s="2561"/>
      <c r="BC38" s="2561"/>
      <c r="BD38" s="2561"/>
      <c r="BE38" s="2561"/>
      <c r="BF38" s="2561"/>
      <c r="BG38" s="2561"/>
      <c r="BH38" s="2561"/>
      <c r="BI38" s="2561"/>
      <c r="BJ38" s="2561"/>
      <c r="BK38" s="2561"/>
      <c r="BL38" s="2561"/>
      <c r="BM38" s="2561"/>
      <c r="BN38" s="2561"/>
      <c r="BO38" s="2561"/>
      <c r="BP38" s="2561"/>
      <c r="BQ38" s="2561"/>
      <c r="BR38" s="2561"/>
      <c r="BS38" s="2561"/>
      <c r="BT38" s="2561"/>
      <c r="BU38" s="2561"/>
      <c r="BV38" s="2561"/>
      <c r="BW38" s="2561"/>
      <c r="BX38" s="2561"/>
      <c r="BY38" s="2561"/>
      <c r="BZ38" s="2561"/>
      <c r="CA38" s="2561"/>
      <c r="CB38" s="2682"/>
      <c r="CC38" s="2561"/>
    </row>
    <row r="39" spans="1:81" ht="13.9" customHeight="1">
      <c r="A39" s="950" t="s">
        <v>67</v>
      </c>
      <c r="B39" s="35"/>
      <c r="C39" s="7"/>
      <c r="D39" s="1848">
        <f>'OUTPUTS &amp; Inputs'!C100</f>
        <v>2.6006999999999998</v>
      </c>
      <c r="E39" s="530">
        <f>'OUTPUTS &amp; Inputs'!D100</f>
        <v>3.0310999999999999</v>
      </c>
      <c r="F39" s="531">
        <f>'OUTPUTS &amp; Inputs'!E100</f>
        <v>3.4615</v>
      </c>
      <c r="G39" s="530">
        <f>'OUTPUTS &amp; Inputs'!F100</f>
        <v>3.6745666666666668</v>
      </c>
      <c r="H39" s="530">
        <f>'OUTPUTS &amp; Inputs'!G100</f>
        <v>3.8876333333333331</v>
      </c>
      <c r="I39" s="532">
        <f>'OUTPUTS &amp; Inputs'!H100</f>
        <v>4.1006999999999998</v>
      </c>
      <c r="J39" s="530">
        <f>'OUTPUTS &amp; Inputs'!I100</f>
        <v>4.3128500000000001</v>
      </c>
      <c r="K39" s="1841">
        <f>'OUTPUTS &amp; Inputs'!J100</f>
        <v>4.5250000000000004</v>
      </c>
      <c r="L39"/>
      <c r="M39" s="4567" t="s">
        <v>1469</v>
      </c>
      <c r="N39" s="4568"/>
      <c r="O39" s="4568"/>
      <c r="P39" s="4568"/>
      <c r="Q39" s="4568"/>
      <c r="R39" s="4568"/>
      <c r="S39" s="4568"/>
      <c r="T39" s="4568"/>
      <c r="U39" s="4568"/>
      <c r="V39" s="4569"/>
      <c r="W39"/>
      <c r="X39" s="2690" t="s">
        <v>1794</v>
      </c>
      <c r="Y39" s="2"/>
      <c r="Z39" s="2"/>
      <c r="AA39" s="3"/>
      <c r="AB39" s="2689"/>
      <c r="AC39" s="77"/>
      <c r="AD39" s="1759"/>
      <c r="AE39" s="2683"/>
      <c r="AF39" s="2683"/>
      <c r="AG39" s="2683"/>
      <c r="AH39" s="2683"/>
      <c r="AI39" s="2683"/>
      <c r="AJ39" s="2683"/>
      <c r="AK39" s="2683"/>
      <c r="AL39" s="2497"/>
      <c r="AM39" s="2475"/>
      <c r="AN39" s="2683"/>
      <c r="AO39" s="2683"/>
      <c r="AP39" s="2683"/>
      <c r="AQ39" s="2683"/>
      <c r="AR39" s="2683"/>
      <c r="AS39" s="2475"/>
      <c r="AT39" s="2683"/>
      <c r="AU39" s="2683"/>
      <c r="AV39" s="2497"/>
      <c r="AW39" s="2561"/>
      <c r="AX39" s="2561"/>
      <c r="AY39" s="2561"/>
      <c r="AZ39" s="2561"/>
      <c r="BA39" s="2561"/>
      <c r="BB39" s="2561"/>
      <c r="BC39" s="2561"/>
      <c r="BD39" s="2561"/>
      <c r="BE39" s="2561"/>
      <c r="BF39" s="2561"/>
      <c r="BG39" s="2561"/>
      <c r="BH39" s="2561"/>
      <c r="BI39" s="2561"/>
      <c r="BJ39" s="2561"/>
      <c r="BK39" s="2561"/>
      <c r="BL39" s="2561"/>
      <c r="BM39" s="2561"/>
      <c r="BN39" s="2561"/>
      <c r="BO39" s="2561"/>
      <c r="BP39" s="2561"/>
      <c r="BQ39" s="2561"/>
      <c r="BR39" s="2561"/>
      <c r="BS39" s="2561"/>
      <c r="BT39" s="2561"/>
      <c r="BU39" s="2561"/>
      <c r="BV39" s="2561"/>
      <c r="BW39" s="2561"/>
      <c r="BX39" s="2561"/>
      <c r="BY39" s="2561"/>
      <c r="BZ39" s="2561"/>
      <c r="CA39" s="2561"/>
      <c r="CB39" s="2682"/>
      <c r="CC39" s="2561"/>
    </row>
    <row r="40" spans="1:81" ht="13.15" customHeight="1">
      <c r="A40" s="951" t="s">
        <v>68</v>
      </c>
      <c r="B40" s="35"/>
      <c r="C40" s="7"/>
      <c r="D40" s="1849">
        <f>'OUTPUTS &amp; Inputs'!C101</f>
        <v>2.7525499999999998</v>
      </c>
      <c r="E40" s="535">
        <f>'OUTPUTS &amp; Inputs'!D101</f>
        <v>3.1616749999999998</v>
      </c>
      <c r="F40" s="535">
        <f>'OUTPUTS &amp; Inputs'!E101</f>
        <v>3.5708000000000002</v>
      </c>
      <c r="G40" s="535">
        <f>'OUTPUTS &amp; Inputs'!F101</f>
        <v>3.8125166666666668</v>
      </c>
      <c r="H40" s="535">
        <f>'OUTPUTS &amp; Inputs'!G101</f>
        <v>4.0542333333333334</v>
      </c>
      <c r="I40" s="536">
        <f>'OUTPUTS &amp; Inputs'!H101</f>
        <v>4.2959499999999995</v>
      </c>
      <c r="J40" s="535">
        <f>'OUTPUTS &amp; Inputs'!I101</f>
        <v>4.4652250000000002</v>
      </c>
      <c r="K40" s="1842">
        <f>'OUTPUTS &amp; Inputs'!J101</f>
        <v>4.6345000000000001</v>
      </c>
      <c r="L40"/>
      <c r="M40" s="4570"/>
      <c r="N40" s="4571"/>
      <c r="O40" s="4571"/>
      <c r="P40" s="4571"/>
      <c r="Q40" s="4571"/>
      <c r="R40" s="4571"/>
      <c r="S40" s="4571"/>
      <c r="T40" s="4571"/>
      <c r="U40" s="4571"/>
      <c r="V40" s="4572"/>
      <c r="W40"/>
      <c r="X40" s="4553" t="s">
        <v>1470</v>
      </c>
      <c r="Y40" s="4554"/>
      <c r="Z40" s="4554"/>
      <c r="AA40" s="4554"/>
      <c r="AB40" s="4555"/>
      <c r="AC40" s="77"/>
      <c r="AD40" s="116"/>
      <c r="AE40" s="2684"/>
      <c r="AF40" s="2684"/>
      <c r="AG40" s="2684"/>
      <c r="AH40" s="2684"/>
      <c r="AI40" s="2684"/>
      <c r="AJ40" s="2684"/>
      <c r="AK40" s="2684"/>
      <c r="AL40" s="2684"/>
      <c r="AM40" s="3901"/>
      <c r="AN40" s="2684"/>
      <c r="AO40" s="2684"/>
      <c r="AP40" s="2684"/>
      <c r="AQ40" s="2684"/>
      <c r="AR40" s="2684"/>
      <c r="AS40" s="3901"/>
      <c r="AT40" s="2684"/>
      <c r="AU40" s="2684"/>
      <c r="AV40" s="2684"/>
      <c r="AW40" s="2561"/>
      <c r="AX40" s="2561"/>
      <c r="AY40" s="2561"/>
      <c r="AZ40" s="2561"/>
      <c r="BA40" s="2561"/>
      <c r="BB40" s="2561"/>
      <c r="BC40" s="2561"/>
      <c r="BD40" s="2561"/>
      <c r="BE40" s="2561"/>
      <c r="BF40" s="2561"/>
      <c r="BG40" s="2561"/>
      <c r="BH40" s="2561"/>
      <c r="BI40" s="2561"/>
      <c r="BJ40" s="2561"/>
      <c r="BK40" s="2561"/>
      <c r="BL40" s="2561"/>
      <c r="BM40" s="2561"/>
      <c r="BN40" s="2561"/>
      <c r="BO40" s="2561"/>
      <c r="BP40" s="2561"/>
      <c r="BQ40" s="2561"/>
      <c r="BR40" s="2561"/>
      <c r="BS40" s="2561"/>
      <c r="BT40" s="2561"/>
      <c r="BU40" s="2561"/>
      <c r="BV40" s="2561"/>
      <c r="BW40" s="2561"/>
      <c r="BX40" s="2561"/>
      <c r="BY40" s="2561"/>
      <c r="BZ40" s="2561"/>
      <c r="CA40" s="2561"/>
      <c r="CB40" s="2682"/>
      <c r="CC40" s="2561"/>
    </row>
    <row r="41" spans="1:81" ht="13.15" customHeight="1">
      <c r="A41" s="950" t="s">
        <v>69</v>
      </c>
      <c r="B41" s="35"/>
      <c r="C41" s="7"/>
      <c r="D41" s="1850">
        <f>'OUTPUTS &amp; Inputs'!C102</f>
        <v>2.9043999999999999</v>
      </c>
      <c r="E41" s="535">
        <f>'OUTPUTS &amp; Inputs'!D102</f>
        <v>3.2922500000000001</v>
      </c>
      <c r="F41" s="539">
        <f>'OUTPUTS &amp; Inputs'!E102</f>
        <v>3.6800999999999999</v>
      </c>
      <c r="G41" s="535">
        <f>'OUTPUTS &amp; Inputs'!F102</f>
        <v>3.9504666666666668</v>
      </c>
      <c r="H41" s="535">
        <f>'OUTPUTS &amp; Inputs'!G102</f>
        <v>4.2208333333333332</v>
      </c>
      <c r="I41" s="540">
        <f>'OUTPUTS &amp; Inputs'!H102</f>
        <v>4.4912000000000001</v>
      </c>
      <c r="J41" s="535">
        <f>'OUTPUTS &amp; Inputs'!I102</f>
        <v>4.6175999999999995</v>
      </c>
      <c r="K41" s="1843">
        <f>'OUTPUTS &amp; Inputs'!J102</f>
        <v>4.7439999999999998</v>
      </c>
      <c r="L41"/>
      <c r="M41" s="4573"/>
      <c r="N41" s="4574"/>
      <c r="O41" s="4574"/>
      <c r="P41" s="4574"/>
      <c r="Q41" s="4574"/>
      <c r="R41" s="4574"/>
      <c r="S41" s="4574"/>
      <c r="T41" s="4574"/>
      <c r="U41" s="4574"/>
      <c r="V41" s="4575"/>
      <c r="W41"/>
      <c r="X41" s="4553"/>
      <c r="Y41" s="4554"/>
      <c r="Z41" s="4554"/>
      <c r="AA41" s="4554"/>
      <c r="AB41" s="4555"/>
      <c r="AC41" s="77"/>
      <c r="AD41" s="116"/>
      <c r="AE41" s="2561"/>
      <c r="AF41" s="2561"/>
      <c r="AG41" s="2561"/>
      <c r="AH41" s="2684"/>
      <c r="AI41" s="2561"/>
      <c r="AJ41" s="2561"/>
      <c r="AK41" s="2561"/>
      <c r="AL41" s="2684"/>
      <c r="AN41" s="2562"/>
      <c r="AO41" s="2562"/>
      <c r="AP41" s="2562"/>
      <c r="AQ41" s="2562"/>
      <c r="AR41" s="2562"/>
      <c r="AT41" s="2561"/>
      <c r="AU41" s="2561"/>
      <c r="AV41" s="2684"/>
      <c r="AW41" s="2561"/>
      <c r="AX41" s="2561"/>
      <c r="AY41" s="2561"/>
      <c r="AZ41" s="2561"/>
      <c r="BA41" s="2561"/>
      <c r="BB41" s="2561"/>
      <c r="BC41" s="2561"/>
      <c r="BD41" s="2561"/>
      <c r="BE41" s="2561"/>
      <c r="BF41" s="2561"/>
      <c r="BG41" s="2561"/>
      <c r="BH41" s="2561"/>
      <c r="BI41" s="2561"/>
      <c r="BJ41" s="2561"/>
      <c r="BK41" s="2561"/>
      <c r="BL41" s="2561"/>
      <c r="BM41" s="2561"/>
      <c r="BN41" s="2561"/>
      <c r="BO41" s="2561"/>
      <c r="BP41" s="2561"/>
      <c r="BQ41" s="2561"/>
      <c r="BR41" s="2561"/>
      <c r="BS41" s="2561"/>
      <c r="BT41" s="2561"/>
      <c r="BU41" s="2561"/>
      <c r="BV41" s="2561"/>
      <c r="BW41" s="2561"/>
      <c r="BX41" s="2561"/>
      <c r="BY41" s="2561"/>
      <c r="BZ41" s="2561"/>
      <c r="CA41" s="2561"/>
      <c r="CB41" s="2682"/>
      <c r="CC41" s="2561"/>
    </row>
    <row r="42" spans="1:81" ht="13.15" customHeight="1">
      <c r="A42" s="950" t="s">
        <v>70</v>
      </c>
      <c r="B42" s="35"/>
      <c r="C42" s="7"/>
      <c r="D42" s="1850">
        <f>'OUTPUTS &amp; Inputs'!C103</f>
        <v>3.2193999999999998</v>
      </c>
      <c r="E42" s="535">
        <f>'OUTPUTS &amp; Inputs'!D103</f>
        <v>3.6592500000000001</v>
      </c>
      <c r="F42" s="539">
        <f>'OUTPUTS &amp; Inputs'!E103</f>
        <v>4.0991</v>
      </c>
      <c r="G42" s="535">
        <f>'OUTPUTS &amp; Inputs'!F103</f>
        <v>4.3667999999999996</v>
      </c>
      <c r="H42" s="535">
        <f>'OUTPUTS &amp; Inputs'!G103</f>
        <v>4.6345000000000001</v>
      </c>
      <c r="I42" s="540">
        <f>'OUTPUTS &amp; Inputs'!H103</f>
        <v>4.9021999999999997</v>
      </c>
      <c r="J42" s="535">
        <f>'OUTPUTS &amp; Inputs'!I103</f>
        <v>4.9926499999999994</v>
      </c>
      <c r="K42" s="1843">
        <f>'OUTPUTS &amp; Inputs'!J103</f>
        <v>5.0831</v>
      </c>
      <c r="L42"/>
      <c r="M42" s="201"/>
      <c r="N42" s="202"/>
      <c r="O42" s="202"/>
      <c r="P42" s="202"/>
      <c r="Q42" s="202"/>
      <c r="R42" s="202"/>
      <c r="S42" s="202"/>
      <c r="T42" s="202"/>
      <c r="U42" s="202"/>
      <c r="V42" s="35"/>
      <c r="W42"/>
      <c r="X42" s="4576" t="s">
        <v>1250</v>
      </c>
      <c r="Y42" s="4577"/>
      <c r="Z42" s="4577"/>
      <c r="AA42" s="4577"/>
      <c r="AB42" s="4578"/>
      <c r="AC42" s="77"/>
      <c r="AD42" s="116"/>
      <c r="AE42" s="2684"/>
      <c r="AF42" s="2684"/>
      <c r="AG42" s="2684"/>
      <c r="AH42" s="2684"/>
      <c r="AI42" s="2684"/>
      <c r="AJ42" s="2684"/>
      <c r="AK42" s="2684"/>
      <c r="AL42" s="2684"/>
      <c r="AM42" s="3901"/>
      <c r="AN42" s="2684"/>
      <c r="AO42" s="2684"/>
      <c r="AP42" s="2684"/>
      <c r="AQ42" s="2684"/>
      <c r="AR42" s="2684"/>
      <c r="AS42" s="3901"/>
      <c r="AT42" s="2684"/>
      <c r="AU42" s="2684"/>
      <c r="AV42" s="2684"/>
      <c r="AW42" s="2561"/>
      <c r="AX42" s="2561"/>
      <c r="AY42" s="2561"/>
      <c r="AZ42" s="2561"/>
      <c r="BA42" s="2561"/>
      <c r="BB42" s="2561"/>
      <c r="BC42" s="2561"/>
      <c r="BD42" s="2561"/>
      <c r="BE42" s="2561"/>
      <c r="BF42" s="2561"/>
      <c r="BG42" s="2561"/>
      <c r="BH42" s="2561"/>
      <c r="BI42" s="2561"/>
      <c r="BJ42" s="2561"/>
      <c r="BK42" s="2561"/>
      <c r="BL42" s="2561"/>
      <c r="BM42" s="2561"/>
      <c r="BN42" s="2561"/>
      <c r="BO42" s="2561"/>
      <c r="BP42" s="2561"/>
      <c r="BQ42" s="2561"/>
      <c r="BR42" s="2561"/>
      <c r="BS42" s="2561"/>
      <c r="BT42" s="2561"/>
      <c r="BU42" s="2561"/>
      <c r="BV42" s="2561"/>
      <c r="BW42" s="2561"/>
      <c r="BX42" s="2561"/>
      <c r="BY42" s="2561"/>
      <c r="BZ42" s="2561"/>
      <c r="CA42" s="2561"/>
      <c r="CB42" s="2682"/>
      <c r="CC42" s="2561"/>
    </row>
    <row r="43" spans="1:81">
      <c r="A43" s="952" t="s">
        <v>71</v>
      </c>
      <c r="B43" s="35"/>
      <c r="C43" s="7"/>
      <c r="D43" s="1850">
        <f>'OUTPUTS &amp; Inputs'!C104</f>
        <v>3.3774999999999999</v>
      </c>
      <c r="E43" s="535">
        <f>'OUTPUTS &amp; Inputs'!D104</f>
        <v>3.8537499999999998</v>
      </c>
      <c r="F43" s="539">
        <f>'OUTPUTS &amp; Inputs'!E104</f>
        <v>4.33</v>
      </c>
      <c r="G43" s="535">
        <f>'OUTPUTS &amp; Inputs'!F104</f>
        <v>4.7004666666666663</v>
      </c>
      <c r="H43" s="535">
        <f>'OUTPUTS &amp; Inputs'!G104</f>
        <v>5.0709333333333335</v>
      </c>
      <c r="I43" s="540">
        <f>'OUTPUTS &amp; Inputs'!H104</f>
        <v>5.4413999999999998</v>
      </c>
      <c r="J43" s="535">
        <f>'OUTPUTS &amp; Inputs'!I104</f>
        <v>5.5159000000000002</v>
      </c>
      <c r="K43" s="1843">
        <f>'OUTPUTS &amp; Inputs'!J104</f>
        <v>5.5903999999999998</v>
      </c>
      <c r="L43"/>
      <c r="M43" s="203" t="s">
        <v>409</v>
      </c>
      <c r="N43" s="204"/>
      <c r="O43" s="204"/>
      <c r="P43" s="204"/>
      <c r="Q43" s="204"/>
      <c r="R43" s="204"/>
      <c r="S43" s="204"/>
      <c r="T43" s="204"/>
      <c r="U43" s="204"/>
      <c r="V43" s="35"/>
      <c r="W43"/>
      <c r="X43" s="4579"/>
      <c r="Y43" s="4580"/>
      <c r="Z43" s="4580"/>
      <c r="AA43" s="4580"/>
      <c r="AB43" s="4581"/>
      <c r="AC43" s="77"/>
      <c r="AD43" s="116"/>
      <c r="AE43" s="2684"/>
      <c r="AF43" s="2684"/>
      <c r="AG43" s="2684"/>
      <c r="AH43" s="2684"/>
      <c r="AI43" s="2684"/>
      <c r="AJ43" s="2684"/>
      <c r="AK43" s="2684"/>
      <c r="AL43" s="2684"/>
      <c r="AM43" s="3901"/>
      <c r="AN43" s="2684"/>
      <c r="AO43" s="2684"/>
      <c r="AP43" s="2684"/>
      <c r="AQ43" s="2684"/>
      <c r="AR43" s="2684"/>
      <c r="AS43" s="3901"/>
      <c r="AT43" s="2684"/>
      <c r="AU43" s="2684"/>
      <c r="AV43" s="2684"/>
      <c r="AW43" s="2561"/>
      <c r="AX43" s="2561"/>
      <c r="AY43" s="2561"/>
      <c r="AZ43" s="2561"/>
      <c r="BA43" s="2561"/>
      <c r="BB43" s="2561"/>
      <c r="BC43" s="2561"/>
      <c r="BD43" s="2561"/>
      <c r="BE43" s="2561"/>
      <c r="BF43" s="2561"/>
      <c r="BG43" s="2561"/>
      <c r="BH43" s="2561"/>
      <c r="BI43" s="2561"/>
      <c r="BJ43" s="2561"/>
      <c r="BK43" s="2561"/>
      <c r="BL43" s="2561"/>
      <c r="BM43" s="2561"/>
      <c r="BN43" s="2561"/>
      <c r="BO43" s="2561"/>
      <c r="BP43" s="2561"/>
      <c r="BQ43" s="2561"/>
      <c r="BR43" s="2561"/>
      <c r="BS43" s="2561"/>
      <c r="BT43" s="2561"/>
      <c r="BU43" s="2561"/>
      <c r="BV43" s="2561"/>
      <c r="BW43" s="2561"/>
      <c r="BX43" s="2561"/>
      <c r="BY43" s="2561"/>
      <c r="BZ43" s="2561"/>
      <c r="CA43" s="2561"/>
      <c r="CB43" s="2682"/>
      <c r="CC43" s="2561"/>
    </row>
    <row r="44" spans="1:81">
      <c r="A44" s="951" t="s">
        <v>330</v>
      </c>
      <c r="B44" s="35"/>
      <c r="C44" s="7"/>
      <c r="D44" s="1849">
        <f>'OUTPUTS &amp; Inputs'!C105</f>
        <v>4.2245499999999998</v>
      </c>
      <c r="E44" s="535">
        <f>'OUTPUTS &amp; Inputs'!D105</f>
        <v>4.8033000000000001</v>
      </c>
      <c r="F44" s="535">
        <f>'OUTPUTS &amp; Inputs'!E105</f>
        <v>5.3820499999999996</v>
      </c>
      <c r="G44" s="535">
        <f>'OUTPUTS &amp; Inputs'!F105</f>
        <v>5.8281333333333336</v>
      </c>
      <c r="H44" s="535">
        <f>'OUTPUTS &amp; Inputs'!G105</f>
        <v>6.2742166666666668</v>
      </c>
      <c r="I44" s="536">
        <f>'OUTPUTS &amp; Inputs'!H105</f>
        <v>6.7202999999999999</v>
      </c>
      <c r="J44" s="535">
        <f>'OUTPUTS &amp; Inputs'!I105</f>
        <v>6.7680499999999997</v>
      </c>
      <c r="K44" s="1842">
        <f>'OUTPUTS &amp; Inputs'!J105</f>
        <v>6.8157999999999994</v>
      </c>
      <c r="L44"/>
      <c r="M44" s="205" t="s">
        <v>410</v>
      </c>
      <c r="N44" s="206"/>
      <c r="O44" s="206"/>
      <c r="P44" s="206"/>
      <c r="Q44" s="2302">
        <v>2500</v>
      </c>
      <c r="R44"/>
      <c r="S44"/>
      <c r="T44" s="206"/>
      <c r="U44" s="206"/>
      <c r="V44" s="35"/>
      <c r="W44"/>
      <c r="X44" s="4582" t="s">
        <v>1475</v>
      </c>
      <c r="Y44" s="4583"/>
      <c r="Z44" s="4583"/>
      <c r="AA44" s="4583"/>
      <c r="AB44" s="4584"/>
      <c r="AC44" s="1454"/>
      <c r="AD44" s="1567"/>
      <c r="AE44" s="2685"/>
      <c r="AF44" s="2685"/>
      <c r="AG44" s="1390"/>
      <c r="AH44" s="2561"/>
      <c r="AI44" s="2561"/>
      <c r="AJ44" s="2561"/>
      <c r="AK44" s="2561"/>
      <c r="AL44" s="2561"/>
      <c r="AN44" s="2562"/>
      <c r="AO44" s="2562"/>
      <c r="AP44" s="2562"/>
      <c r="AQ44" s="2562"/>
      <c r="AR44" s="2562"/>
      <c r="AT44" s="2561"/>
      <c r="AU44" s="2561"/>
      <c r="AV44" s="2561"/>
      <c r="AW44" s="2561"/>
      <c r="AX44" s="2561"/>
      <c r="AY44" s="2561"/>
      <c r="AZ44" s="2561"/>
      <c r="BA44" s="2561"/>
      <c r="BB44" s="2561"/>
      <c r="BC44" s="2561"/>
      <c r="BD44" s="2561"/>
      <c r="BE44" s="2561"/>
      <c r="BF44" s="2561"/>
      <c r="BG44" s="2561"/>
      <c r="BH44" s="2561"/>
      <c r="BI44" s="2561"/>
      <c r="BJ44" s="2561"/>
      <c r="BK44" s="2561"/>
      <c r="BL44" s="2561"/>
      <c r="BM44" s="2561"/>
      <c r="BN44" s="2561"/>
      <c r="BO44" s="2561"/>
      <c r="BP44" s="2561"/>
      <c r="BQ44" s="2561"/>
      <c r="BR44" s="2561"/>
      <c r="BS44" s="2561"/>
      <c r="BT44" s="2561"/>
      <c r="BU44" s="2561"/>
      <c r="BV44" s="2561"/>
      <c r="BW44" s="2561"/>
      <c r="BX44" s="2561"/>
      <c r="BY44" s="2561"/>
      <c r="BZ44" s="2561"/>
      <c r="CA44" s="2561"/>
      <c r="CB44" s="2682"/>
      <c r="CC44" s="2561"/>
    </row>
    <row r="45" spans="1:81">
      <c r="A45" s="950" t="s">
        <v>117</v>
      </c>
      <c r="B45" s="35"/>
      <c r="C45" s="7"/>
      <c r="D45" s="1850">
        <f>'OUTPUTS &amp; Inputs'!C106</f>
        <v>5.0716000000000001</v>
      </c>
      <c r="E45" s="535">
        <f>'OUTPUTS &amp; Inputs'!D106</f>
        <v>5.7528500000000005</v>
      </c>
      <c r="F45" s="539">
        <f>'OUTPUTS &amp; Inputs'!E106</f>
        <v>6.4340999999999999</v>
      </c>
      <c r="G45" s="535">
        <f>'OUTPUTS &amp; Inputs'!F106</f>
        <v>6.9558</v>
      </c>
      <c r="H45" s="535">
        <f>'OUTPUTS &amp; Inputs'!G106</f>
        <v>7.4775</v>
      </c>
      <c r="I45" s="540">
        <f>'OUTPUTS &amp; Inputs'!H106</f>
        <v>7.9992000000000001</v>
      </c>
      <c r="J45" s="535">
        <f>'OUTPUTS &amp; Inputs'!I106</f>
        <v>8.0201999999999991</v>
      </c>
      <c r="K45" s="1843">
        <f>'OUTPUTS &amp; Inputs'!J106</f>
        <v>8.0411999999999999</v>
      </c>
      <c r="L45"/>
      <c r="M45" s="207" t="s">
        <v>411</v>
      </c>
      <c r="N45" s="208"/>
      <c r="O45" s="208"/>
      <c r="P45" s="208"/>
      <c r="Q45" s="208"/>
      <c r="R45" s="32"/>
      <c r="S45" s="208"/>
      <c r="T45" s="208"/>
      <c r="U45" s="208"/>
      <c r="V45" s="35"/>
      <c r="W45"/>
      <c r="X45" s="4550"/>
      <c r="Y45" s="4551"/>
      <c r="Z45" s="4551"/>
      <c r="AA45" s="4551"/>
      <c r="AB45" s="4552"/>
      <c r="AC45"/>
      <c r="AD45" s="7"/>
      <c r="AE45" s="2562"/>
      <c r="AF45" s="2562"/>
      <c r="AG45" s="2561"/>
      <c r="AH45" s="2561"/>
      <c r="AI45" s="2561"/>
      <c r="AJ45" s="2561"/>
      <c r="AK45" s="2561"/>
      <c r="AL45" s="2561"/>
      <c r="AN45" s="2562"/>
      <c r="AO45" s="2562"/>
      <c r="AP45" s="2562"/>
      <c r="AQ45" s="2562"/>
      <c r="AR45" s="2562"/>
      <c r="AT45" s="2561"/>
      <c r="AU45" s="2561"/>
      <c r="AV45" s="2561"/>
      <c r="AW45" s="2561"/>
      <c r="AX45" s="2561"/>
      <c r="AY45" s="2561"/>
      <c r="AZ45" s="2561"/>
      <c r="BA45" s="2561"/>
      <c r="BB45" s="2561"/>
      <c r="BC45" s="2561"/>
      <c r="BD45" s="2561"/>
      <c r="BE45" s="2561"/>
      <c r="BF45" s="2561"/>
      <c r="BG45" s="2561"/>
      <c r="BH45" s="2561"/>
      <c r="BI45" s="2561"/>
      <c r="BJ45" s="2561"/>
      <c r="BK45" s="2561"/>
      <c r="BL45" s="2561"/>
      <c r="BM45" s="2561"/>
      <c r="BN45" s="2561"/>
      <c r="BO45" s="2561"/>
      <c r="BP45" s="2561"/>
      <c r="BQ45" s="2561"/>
      <c r="BR45" s="2561"/>
      <c r="BS45" s="2561"/>
      <c r="BT45" s="2561"/>
      <c r="BU45" s="2561"/>
      <c r="BV45" s="2561"/>
      <c r="BW45" s="2561"/>
      <c r="BX45" s="2561"/>
      <c r="BY45" s="2561"/>
      <c r="BZ45" s="2561"/>
      <c r="CA45" s="2561"/>
      <c r="CB45" s="2682"/>
      <c r="CC45" s="2561"/>
    </row>
    <row r="46" spans="1:81" ht="13.15" customHeight="1">
      <c r="A46" s="953" t="s">
        <v>329</v>
      </c>
      <c r="B46" s="35"/>
      <c r="C46" s="7"/>
      <c r="D46" s="1851">
        <f>'OUTPUTS &amp; Inputs'!C107</f>
        <v>5.9186500000000004</v>
      </c>
      <c r="E46" s="535">
        <f>'OUTPUTS &amp; Inputs'!D107</f>
        <v>6.7024000000000008</v>
      </c>
      <c r="F46" s="543">
        <f>'OUTPUTS &amp; Inputs'!E107</f>
        <v>7.4861500000000003</v>
      </c>
      <c r="G46" s="535">
        <f>'OUTPUTS &amp; Inputs'!F107</f>
        <v>8.0834666666666664</v>
      </c>
      <c r="H46" s="535">
        <f>'OUTPUTS &amp; Inputs'!G107</f>
        <v>8.6807833333333342</v>
      </c>
      <c r="I46" s="544">
        <f>'OUTPUTS &amp; Inputs'!H107</f>
        <v>9.2781000000000002</v>
      </c>
      <c r="J46" s="535">
        <f>'OUTPUTS &amp; Inputs'!I107</f>
        <v>8.3239575902335456</v>
      </c>
      <c r="K46" s="1844">
        <f>'OUTPUTS &amp; Inputs'!J107</f>
        <v>9.2666000000000004</v>
      </c>
      <c r="L46"/>
      <c r="M46" s="195" t="s">
        <v>412</v>
      </c>
      <c r="N46" s="195" t="s">
        <v>413</v>
      </c>
      <c r="O46" s="206" t="s">
        <v>414</v>
      </c>
      <c r="P46" s="206"/>
      <c r="Q46" s="206"/>
      <c r="R46" s="206"/>
      <c r="S46" s="206"/>
      <c r="T46" s="206"/>
      <c r="U46" s="206"/>
      <c r="V46" s="35"/>
      <c r="W46"/>
      <c r="X46" s="4550" t="s">
        <v>1477</v>
      </c>
      <c r="Y46" s="4551"/>
      <c r="Z46" s="4551"/>
      <c r="AA46" s="4551"/>
      <c r="AB46" s="4552"/>
      <c r="AC46"/>
      <c r="AD46" s="7"/>
      <c r="AE46" s="2562"/>
      <c r="AF46" s="2562"/>
      <c r="AG46" s="2561"/>
      <c r="AH46" s="2561"/>
      <c r="AI46" s="2561"/>
      <c r="AJ46" s="2561"/>
      <c r="AK46" s="2561"/>
      <c r="AL46" s="2561"/>
      <c r="AN46" s="2562"/>
      <c r="AO46" s="2562"/>
      <c r="AP46" s="2562"/>
      <c r="AQ46" s="2562"/>
      <c r="AR46" s="2562"/>
      <c r="AT46" s="2561"/>
      <c r="AU46" s="2561"/>
      <c r="AV46" s="2561"/>
      <c r="AW46" s="2561"/>
      <c r="AX46" s="2561"/>
      <c r="AY46" s="2561"/>
      <c r="AZ46" s="2561"/>
      <c r="BA46" s="2561"/>
      <c r="BB46" s="2561"/>
      <c r="BC46" s="2561"/>
      <c r="BD46" s="2561"/>
      <c r="BE46" s="2561"/>
      <c r="BF46" s="2561"/>
      <c r="BG46" s="2561"/>
      <c r="BH46" s="2561"/>
      <c r="BI46" s="2561"/>
      <c r="BJ46" s="2561"/>
      <c r="BK46" s="2561"/>
      <c r="BL46" s="2561"/>
      <c r="BM46" s="2561"/>
      <c r="BN46" s="2561"/>
      <c r="BO46" s="2561"/>
      <c r="BP46" s="2561"/>
      <c r="BQ46" s="2561"/>
      <c r="BR46" s="2561"/>
      <c r="BS46" s="2561"/>
      <c r="BT46" s="2561"/>
      <c r="BU46" s="2561"/>
      <c r="BV46" s="2561"/>
      <c r="BW46" s="2561"/>
      <c r="BX46" s="2561"/>
      <c r="BY46" s="2561"/>
      <c r="BZ46" s="2561"/>
      <c r="CA46" s="2561"/>
      <c r="CB46" s="2682"/>
      <c r="CC46" s="2561"/>
    </row>
    <row r="47" spans="1:81">
      <c r="A47" s="953" t="s">
        <v>109</v>
      </c>
      <c r="B47" s="35"/>
      <c r="C47" s="7"/>
      <c r="D47" s="1851">
        <f>'OUTPUTS &amp; Inputs'!C108</f>
        <v>6.7657000000000007</v>
      </c>
      <c r="E47" s="535">
        <f>'OUTPUTS &amp; Inputs'!D108</f>
        <v>7.6519500000000003</v>
      </c>
      <c r="F47" s="543">
        <f>'OUTPUTS &amp; Inputs'!E108</f>
        <v>8.5381999999999998</v>
      </c>
      <c r="G47" s="535">
        <f>'OUTPUTS &amp; Inputs'!F108</f>
        <v>9.2111333333333327</v>
      </c>
      <c r="H47" s="535">
        <f>'OUTPUTS &amp; Inputs'!G108</f>
        <v>9.8840666666666674</v>
      </c>
      <c r="I47" s="544">
        <f>'OUTPUTS &amp; Inputs'!H108</f>
        <v>10.557</v>
      </c>
      <c r="J47" s="535">
        <f>'OUTPUTS &amp; Inputs'!I108</f>
        <v>8.6277151804670922</v>
      </c>
      <c r="K47" s="1844">
        <f>'OUTPUTS &amp; Inputs'!J108</f>
        <v>10.492000000000001</v>
      </c>
      <c r="L47"/>
      <c r="M47" s="195">
        <v>1</v>
      </c>
      <c r="N47" s="2302">
        <v>2000</v>
      </c>
      <c r="O47" s="206"/>
      <c r="P47" s="206"/>
      <c r="Q47" s="206"/>
      <c r="R47" s="206"/>
      <c r="S47" s="206"/>
      <c r="T47" s="206"/>
      <c r="U47" s="206"/>
      <c r="V47" s="35"/>
      <c r="W47"/>
      <c r="X47" s="4550"/>
      <c r="Y47" s="4551"/>
      <c r="Z47" s="4551"/>
      <c r="AA47" s="4551"/>
      <c r="AB47" s="4552"/>
      <c r="AC47"/>
      <c r="AD47" s="7"/>
      <c r="AE47" s="2562"/>
      <c r="AF47" s="2562"/>
      <c r="AG47" s="2561"/>
      <c r="AH47" s="2561"/>
      <c r="AI47" s="2561"/>
      <c r="AJ47" s="2561"/>
      <c r="AK47" s="2561"/>
      <c r="AL47" s="2561"/>
      <c r="AN47" s="2562"/>
      <c r="AO47" s="2562"/>
      <c r="AP47" s="2562"/>
      <c r="AQ47" s="2562"/>
      <c r="AR47" s="2562"/>
      <c r="AT47" s="2561"/>
      <c r="AU47" s="2561"/>
      <c r="AV47" s="2561"/>
      <c r="AW47" s="2561"/>
      <c r="AX47" s="2561"/>
      <c r="AY47" s="2561"/>
      <c r="AZ47" s="2561"/>
      <c r="BA47" s="2561"/>
      <c r="BB47" s="2561"/>
      <c r="BC47" s="2561"/>
      <c r="BD47" s="2561"/>
      <c r="BE47" s="2561"/>
      <c r="BF47" s="2561"/>
      <c r="BG47" s="2561"/>
      <c r="BH47" s="2561"/>
      <c r="BI47" s="2561"/>
      <c r="BJ47" s="2561"/>
      <c r="BK47" s="2561"/>
      <c r="BL47" s="2561"/>
      <c r="BM47" s="2561"/>
      <c r="BN47" s="2561"/>
      <c r="BO47" s="2561"/>
      <c r="BP47" s="2561"/>
      <c r="BQ47" s="2561"/>
      <c r="BR47" s="2561"/>
      <c r="BS47" s="2561"/>
      <c r="BT47" s="2561"/>
      <c r="BU47" s="2561"/>
      <c r="BV47" s="2561"/>
      <c r="BW47" s="2561"/>
      <c r="BX47" s="2561"/>
      <c r="BY47" s="2561"/>
      <c r="BZ47" s="2561"/>
      <c r="CA47" s="2561"/>
      <c r="CB47" s="2682"/>
      <c r="CC47" s="2561"/>
    </row>
    <row r="48" spans="1:81">
      <c r="A48" s="954" t="s">
        <v>331</v>
      </c>
      <c r="B48" s="35"/>
      <c r="C48" s="7"/>
      <c r="D48" s="1851">
        <f>'OUTPUTS &amp; Inputs'!C109</f>
        <v>7.443340000000001</v>
      </c>
      <c r="E48" s="535">
        <f>'OUTPUTS &amp; Inputs'!D109</f>
        <v>8.4115900000000003</v>
      </c>
      <c r="F48" s="543">
        <f>'OUTPUTS &amp; Inputs'!E109</f>
        <v>9.3798399999999997</v>
      </c>
      <c r="G48" s="535">
        <f>'OUTPUTS &amp; Inputs'!F109</f>
        <v>10.113266666666666</v>
      </c>
      <c r="H48" s="535">
        <f>'OUTPUTS &amp; Inputs'!G109</f>
        <v>10.846693333333334</v>
      </c>
      <c r="I48" s="544">
        <f>'OUTPUTS &amp; Inputs'!H109</f>
        <v>11.580120000000001</v>
      </c>
      <c r="J48" s="535">
        <f>'OUTPUTS &amp; Inputs'!I109</f>
        <v>11.526220000000002</v>
      </c>
      <c r="K48" s="1844">
        <f>'OUTPUTS &amp; Inputs'!J109</f>
        <v>11.472320000000002</v>
      </c>
      <c r="L48"/>
      <c r="M48" s="195">
        <v>2</v>
      </c>
      <c r="N48" s="2302">
        <v>2000</v>
      </c>
      <c r="O48" s="206"/>
      <c r="P48" s="206"/>
      <c r="Q48" s="206"/>
      <c r="R48" s="206"/>
      <c r="S48" s="206"/>
      <c r="T48" s="206"/>
      <c r="U48" s="206"/>
      <c r="V48" s="35"/>
      <c r="W48"/>
      <c r="X48" s="2688" t="s">
        <v>1795</v>
      </c>
      <c r="Y48" s="3"/>
      <c r="Z48" s="95"/>
      <c r="AA48" s="99"/>
      <c r="AB48" s="2689"/>
      <c r="AC48"/>
      <c r="AD48" s="7"/>
      <c r="AE48" s="2562"/>
      <c r="AF48" s="2562"/>
      <c r="AG48" s="2561"/>
      <c r="AH48" s="2561"/>
      <c r="AI48" s="2561"/>
      <c r="AJ48" s="2561"/>
      <c r="AK48" s="2561"/>
      <c r="AL48" s="2561"/>
      <c r="AN48" s="2562"/>
      <c r="AO48" s="2562"/>
      <c r="AP48" s="2562"/>
      <c r="AQ48" s="2562"/>
      <c r="AR48" s="2562"/>
      <c r="AT48" s="2561"/>
      <c r="AU48" s="2561"/>
      <c r="AV48" s="2561"/>
      <c r="AW48" s="2561"/>
      <c r="AX48" s="2561"/>
      <c r="AY48" s="2561"/>
      <c r="AZ48" s="2561"/>
      <c r="BA48" s="2561"/>
      <c r="BB48" s="2561"/>
      <c r="BC48" s="2561"/>
      <c r="BD48" s="2561"/>
      <c r="BE48" s="2561"/>
      <c r="BF48" s="2561"/>
      <c r="BG48" s="2561"/>
      <c r="BH48" s="2561"/>
      <c r="BI48" s="2561"/>
      <c r="BJ48" s="2561"/>
      <c r="BK48" s="2561"/>
      <c r="BL48" s="2561"/>
      <c r="BM48" s="2561"/>
      <c r="BN48" s="2561"/>
      <c r="BO48" s="2561"/>
      <c r="BP48" s="2561"/>
      <c r="BQ48" s="2561"/>
      <c r="BR48" s="2561"/>
      <c r="BS48" s="2561"/>
      <c r="BT48" s="2561"/>
      <c r="BU48" s="2561"/>
      <c r="BV48" s="2561"/>
      <c r="BW48" s="2561"/>
      <c r="BX48" s="2561"/>
      <c r="BY48" s="2561"/>
      <c r="BZ48" s="2561"/>
      <c r="CA48" s="2561"/>
      <c r="CB48" s="2682"/>
      <c r="CC48" s="2561"/>
    </row>
    <row r="49" spans="1:81">
      <c r="A49" s="955" t="s">
        <v>112</v>
      </c>
      <c r="B49" s="35"/>
      <c r="C49" s="7"/>
      <c r="D49" s="1852">
        <f>'OUTPUTS &amp; Inputs'!C110</f>
        <v>7.9854520000000013</v>
      </c>
      <c r="E49" s="547">
        <f>'OUTPUTS &amp; Inputs'!D110</f>
        <v>9.0193019999999997</v>
      </c>
      <c r="F49" s="548">
        <f>'OUTPUTS &amp; Inputs'!E110</f>
        <v>10.053151999999999</v>
      </c>
      <c r="G49" s="547">
        <f>'OUTPUTS &amp; Inputs'!F110</f>
        <v>10.834973333333332</v>
      </c>
      <c r="H49" s="547">
        <f>'OUTPUTS &amp; Inputs'!G110</f>
        <v>11.616794666666667</v>
      </c>
      <c r="I49" s="549">
        <f>'OUTPUTS &amp; Inputs'!H110</f>
        <v>12.398616000000001</v>
      </c>
      <c r="J49" s="547">
        <f>'OUTPUTS &amp; Inputs'!I110</f>
        <v>12.327596000000002</v>
      </c>
      <c r="K49" s="1845">
        <f>'OUTPUTS &amp; Inputs'!J110</f>
        <v>12.256576000000003</v>
      </c>
      <c r="L49"/>
      <c r="M49" s="195">
        <v>3</v>
      </c>
      <c r="N49" s="2302">
        <v>2000</v>
      </c>
      <c r="O49" s="206"/>
      <c r="P49" s="206"/>
      <c r="Q49" s="206"/>
      <c r="R49" s="206"/>
      <c r="S49" s="206"/>
      <c r="T49" s="206"/>
      <c r="U49" s="206"/>
      <c r="V49" s="35"/>
      <c r="W49"/>
      <c r="X49" s="4553" t="s">
        <v>1476</v>
      </c>
      <c r="Y49" s="4554"/>
      <c r="Z49" s="4554"/>
      <c r="AA49" s="4554"/>
      <c r="AB49" s="4555"/>
      <c r="AC49"/>
      <c r="AD49" s="7"/>
      <c r="AE49" s="2562"/>
      <c r="AF49" s="2562"/>
      <c r="AG49" s="2561"/>
      <c r="AH49" s="2561"/>
      <c r="AI49" s="2561"/>
      <c r="AJ49" s="2561"/>
      <c r="AK49" s="2561"/>
      <c r="AL49" s="2561"/>
      <c r="AN49" s="2562"/>
      <c r="AO49" s="2562"/>
      <c r="AP49" s="2562"/>
      <c r="AQ49" s="2562"/>
      <c r="AR49" s="2562"/>
      <c r="AT49" s="2561"/>
      <c r="AU49" s="2561"/>
      <c r="AV49" s="2561"/>
      <c r="AW49" s="2561"/>
      <c r="AX49" s="2561"/>
      <c r="AY49" s="2561"/>
      <c r="AZ49" s="2561"/>
      <c r="BA49" s="2561"/>
      <c r="BB49" s="2561"/>
      <c r="BC49" s="2561"/>
      <c r="BD49" s="2561"/>
      <c r="BE49" s="2561"/>
      <c r="BF49" s="2561"/>
      <c r="BG49" s="2561"/>
      <c r="BH49" s="2561"/>
      <c r="BI49" s="2561"/>
      <c r="BJ49" s="2561"/>
      <c r="BK49" s="2561"/>
      <c r="BL49" s="2561"/>
      <c r="BM49" s="2561"/>
      <c r="BN49" s="2561"/>
      <c r="BO49" s="2561"/>
      <c r="BP49" s="2561"/>
      <c r="BQ49" s="2561"/>
      <c r="BR49" s="2561"/>
      <c r="BS49" s="2561"/>
      <c r="BT49" s="2561"/>
      <c r="BU49" s="2561"/>
      <c r="BV49" s="2561"/>
      <c r="BW49" s="2561"/>
      <c r="BX49" s="2561"/>
      <c r="BY49" s="2561"/>
      <c r="BZ49" s="2561"/>
      <c r="CA49" s="2561"/>
      <c r="CB49" s="2682"/>
      <c r="CC49" s="2561"/>
    </row>
    <row r="50" spans="1:81">
      <c r="A50" s="1445" t="s">
        <v>2723</v>
      </c>
      <c r="B50" s="1446"/>
      <c r="C50" s="21" t="s">
        <v>407</v>
      </c>
      <c r="D50" s="1853">
        <f>'OUTPUTS &amp; Inputs'!C111</f>
        <v>3</v>
      </c>
      <c r="E50" s="194">
        <f>'OUTPUTS &amp; Inputs'!D111</f>
        <v>4</v>
      </c>
      <c r="F50" s="193">
        <f>'OUTPUTS &amp; Inputs'!E111</f>
        <v>5</v>
      </c>
      <c r="G50" s="194">
        <f>'OUTPUTS &amp; Inputs'!F111</f>
        <v>6</v>
      </c>
      <c r="H50" s="194">
        <f>'OUTPUTS &amp; Inputs'!G111</f>
        <v>7</v>
      </c>
      <c r="I50" s="1839">
        <f>'OUTPUTS &amp; Inputs'!H111</f>
        <v>8</v>
      </c>
      <c r="J50" s="194">
        <f>'OUTPUTS &amp; Inputs'!I111</f>
        <v>9</v>
      </c>
      <c r="K50" s="1846">
        <f>'OUTPUTS &amp; Inputs'!J111</f>
        <v>10</v>
      </c>
      <c r="L50"/>
      <c r="M50" s="195">
        <v>4</v>
      </c>
      <c r="N50" s="2302">
        <v>1800</v>
      </c>
      <c r="O50" s="206"/>
      <c r="P50" s="206"/>
      <c r="Q50" s="206"/>
      <c r="R50" s="206"/>
      <c r="S50" s="206"/>
      <c r="T50" s="206"/>
      <c r="U50" s="206"/>
      <c r="V50" s="209"/>
      <c r="W50"/>
      <c r="X50" s="4556"/>
      <c r="Y50" s="4557"/>
      <c r="Z50" s="4557"/>
      <c r="AA50" s="4557"/>
      <c r="AB50" s="4558"/>
      <c r="AC50"/>
      <c r="AD50" s="7"/>
      <c r="AE50" s="2562"/>
      <c r="AF50" s="2562"/>
      <c r="AG50" s="2561"/>
      <c r="AH50" s="2561"/>
      <c r="AI50" s="2561"/>
      <c r="AJ50" s="2561"/>
      <c r="AK50" s="2561"/>
      <c r="AL50" s="2561"/>
      <c r="AN50" s="2562"/>
      <c r="AO50" s="2562"/>
      <c r="AP50" s="2562"/>
      <c r="AQ50" s="2562"/>
      <c r="AR50" s="2562"/>
      <c r="AT50" s="2561"/>
      <c r="AU50" s="2561"/>
      <c r="AV50" s="2561"/>
      <c r="AW50" s="2561"/>
      <c r="AX50" s="2561"/>
      <c r="AY50" s="2561"/>
      <c r="AZ50" s="2561"/>
      <c r="BA50" s="2561"/>
      <c r="BB50" s="2561"/>
      <c r="BC50" s="2561"/>
      <c r="BD50" s="2561"/>
      <c r="BE50" s="2561"/>
      <c r="BF50" s="2561"/>
      <c r="BG50" s="2561"/>
      <c r="BH50" s="2561"/>
      <c r="BI50" s="2561"/>
      <c r="BJ50" s="2561"/>
      <c r="BK50" s="2561"/>
      <c r="BL50" s="2561"/>
      <c r="BM50" s="2561"/>
      <c r="BN50" s="2561"/>
      <c r="BO50" s="2561"/>
      <c r="BP50" s="2561"/>
      <c r="BQ50" s="2561"/>
      <c r="BR50" s="2561"/>
      <c r="BS50" s="2561"/>
      <c r="BT50" s="2561"/>
      <c r="BU50" s="2561"/>
      <c r="BV50" s="2561"/>
      <c r="BW50" s="2561"/>
      <c r="BX50" s="2561"/>
      <c r="BY50" s="2561"/>
      <c r="BZ50" s="2561"/>
      <c r="CA50" s="2561"/>
      <c r="CB50" s="2682"/>
      <c r="CC50" s="2561"/>
    </row>
    <row r="51" spans="1:81">
      <c r="A51" s="950" t="s">
        <v>67</v>
      </c>
      <c r="B51" s="35"/>
      <c r="C51" s="7"/>
      <c r="D51" s="1848">
        <f>'OUTPUTS &amp; Inputs'!C112</f>
        <v>2.2086999999999999</v>
      </c>
      <c r="E51" s="530">
        <f>'OUTPUTS &amp; Inputs'!D112</f>
        <v>2.6264500000000002</v>
      </c>
      <c r="F51" s="531">
        <f>'OUTPUTS &amp; Inputs'!E112</f>
        <v>3.0442</v>
      </c>
      <c r="G51" s="530">
        <f>'OUTPUTS &amp; Inputs'!F112</f>
        <v>3.2697666666666665</v>
      </c>
      <c r="H51" s="530">
        <f>'OUTPUTS &amp; Inputs'!G112</f>
        <v>3.4953333333333334</v>
      </c>
      <c r="I51" s="532">
        <f>'OUTPUTS &amp; Inputs'!H112</f>
        <v>3.7208999999999999</v>
      </c>
      <c r="J51" s="530">
        <f>'OUTPUTS &amp; Inputs'!I112</f>
        <v>3.8762999999999996</v>
      </c>
      <c r="K51" s="1841">
        <f>'OUTPUTS &amp; Inputs'!J112</f>
        <v>4.0316999999999998</v>
      </c>
      <c r="L51"/>
      <c r="M51" s="195">
        <v>5</v>
      </c>
      <c r="N51" s="2302">
        <v>1600</v>
      </c>
      <c r="O51" s="206"/>
      <c r="P51" s="206"/>
      <c r="Q51" s="206"/>
      <c r="R51" s="206"/>
      <c r="S51" s="206"/>
      <c r="T51" s="206"/>
      <c r="U51" s="206"/>
      <c r="V51" s="210"/>
      <c r="W51"/>
      <c r="X51" s="2686"/>
      <c r="Y51" s="1857"/>
      <c r="Z51" s="1857"/>
      <c r="AA51" s="1858"/>
      <c r="AB51" s="2687"/>
      <c r="AC51"/>
      <c r="AD51" s="7"/>
      <c r="AE51" s="2562"/>
      <c r="AF51" s="2562"/>
      <c r="AG51" s="2561"/>
      <c r="AH51" s="2561"/>
      <c r="AI51" s="2561"/>
      <c r="AJ51" s="2561"/>
      <c r="AK51" s="2561"/>
      <c r="AL51" s="2561"/>
      <c r="AN51" s="2562"/>
      <c r="AO51" s="2562"/>
      <c r="AP51" s="2562"/>
      <c r="AQ51" s="2562"/>
      <c r="AR51" s="2562"/>
      <c r="AT51" s="2561"/>
      <c r="AU51" s="2561"/>
      <c r="AV51" s="2561"/>
      <c r="AW51" s="2561"/>
      <c r="AX51" s="2561"/>
      <c r="AY51" s="2561"/>
      <c r="AZ51" s="2561"/>
      <c r="BA51" s="2561"/>
      <c r="BB51" s="2561"/>
      <c r="BC51" s="2561"/>
      <c r="BD51" s="2561"/>
      <c r="BE51" s="2561"/>
      <c r="BF51" s="2561"/>
      <c r="BG51" s="2561"/>
      <c r="BH51" s="2561"/>
      <c r="BI51" s="2561"/>
      <c r="BJ51" s="2561"/>
      <c r="BK51" s="2561"/>
      <c r="BL51" s="2561"/>
      <c r="BM51" s="2561"/>
      <c r="BN51" s="2561"/>
      <c r="BO51" s="2561"/>
      <c r="BP51" s="2561"/>
      <c r="BQ51" s="2561"/>
      <c r="BR51" s="2561"/>
      <c r="BS51" s="2561"/>
      <c r="BT51" s="2561"/>
      <c r="BU51" s="2561"/>
      <c r="BV51" s="2561"/>
      <c r="BW51" s="2561"/>
      <c r="BX51" s="2561"/>
      <c r="BY51" s="2561"/>
      <c r="BZ51" s="2561"/>
      <c r="CA51" s="2561"/>
      <c r="CB51" s="2682"/>
      <c r="CC51" s="2561"/>
    </row>
    <row r="52" spans="1:81">
      <c r="A52" s="951" t="s">
        <v>68</v>
      </c>
      <c r="B52" s="35"/>
      <c r="C52" s="7"/>
      <c r="D52" s="1849">
        <f>'OUTPUTS &amp; Inputs'!C113</f>
        <v>2.3807</v>
      </c>
      <c r="E52" s="535">
        <f>'OUTPUTS &amp; Inputs'!D113</f>
        <v>2.8003749999999998</v>
      </c>
      <c r="F52" s="535">
        <f>'OUTPUTS &amp; Inputs'!E113</f>
        <v>3.2200500000000001</v>
      </c>
      <c r="G52" s="535">
        <f>'OUTPUTS &amp; Inputs'!F113</f>
        <v>3.4429333333333334</v>
      </c>
      <c r="H52" s="535">
        <f>'OUTPUTS &amp; Inputs'!G113</f>
        <v>3.6658166666666667</v>
      </c>
      <c r="I52" s="536">
        <f>'OUTPUTS &amp; Inputs'!H113</f>
        <v>3.8887</v>
      </c>
      <c r="J52" s="535">
        <f>'OUTPUTS &amp; Inputs'!I113</f>
        <v>4.0272249999999996</v>
      </c>
      <c r="K52" s="1842">
        <f>'OUTPUTS &amp; Inputs'!J113</f>
        <v>4.1657500000000001</v>
      </c>
      <c r="L52"/>
      <c r="M52" s="195" t="s">
        <v>415</v>
      </c>
      <c r="N52" s="2302">
        <v>8000</v>
      </c>
      <c r="O52" s="206"/>
      <c r="P52" s="206"/>
      <c r="Q52" s="206"/>
      <c r="R52" s="206"/>
      <c r="S52" s="206"/>
      <c r="T52" s="206"/>
      <c r="U52" s="206"/>
      <c r="V52" s="210"/>
      <c r="W52"/>
      <c r="X52" s="2690" t="s">
        <v>438</v>
      </c>
      <c r="Y52" s="446">
        <f>SUM(N47:N52)</f>
        <v>17400</v>
      </c>
      <c r="Z52" s="95" t="s">
        <v>1478</v>
      </c>
      <c r="AA52" s="3"/>
      <c r="AB52" s="2691"/>
      <c r="AC52"/>
      <c r="AD52" s="7"/>
      <c r="AE52" s="2562"/>
      <c r="AF52" s="2562"/>
      <c r="AG52" s="2561"/>
      <c r="AH52" s="2561"/>
      <c r="AI52" s="2561"/>
      <c r="AJ52" s="2561"/>
      <c r="AK52" s="2561"/>
      <c r="AL52" s="2561"/>
      <c r="AN52" s="2562"/>
      <c r="AO52" s="2562"/>
      <c r="AP52" s="2562"/>
      <c r="AQ52" s="2562"/>
      <c r="AR52" s="2562"/>
      <c r="AT52" s="2561"/>
      <c r="AU52" s="2561"/>
      <c r="AV52" s="2561"/>
      <c r="AW52" s="2561"/>
      <c r="AX52" s="2561"/>
      <c r="AY52" s="2561"/>
      <c r="AZ52" s="2561"/>
      <c r="BA52" s="2561"/>
      <c r="BB52" s="2561"/>
      <c r="BC52" s="2561"/>
      <c r="BD52" s="2561"/>
      <c r="BE52" s="2561"/>
      <c r="BF52" s="2561"/>
      <c r="BG52" s="2561"/>
      <c r="BH52" s="2561"/>
      <c r="BI52" s="2561"/>
      <c r="BJ52" s="2561"/>
      <c r="BK52" s="2561"/>
      <c r="BL52" s="2561"/>
      <c r="BM52" s="2561"/>
      <c r="BN52" s="2561"/>
      <c r="BO52" s="2561"/>
      <c r="BP52" s="2561"/>
      <c r="BQ52" s="2561"/>
      <c r="BR52" s="2561"/>
      <c r="BS52" s="2561"/>
      <c r="BT52" s="2561"/>
      <c r="BU52" s="2561"/>
      <c r="BV52" s="2561"/>
      <c r="BW52" s="2561"/>
      <c r="BX52" s="2561"/>
      <c r="BY52" s="2561"/>
      <c r="BZ52" s="2561"/>
      <c r="CA52" s="2561"/>
      <c r="CB52" s="2682"/>
      <c r="CC52" s="2561"/>
    </row>
    <row r="53" spans="1:81" ht="13.5" thickBot="1">
      <c r="A53" s="950" t="s">
        <v>69</v>
      </c>
      <c r="B53" s="35"/>
      <c r="C53" s="7"/>
      <c r="D53" s="1850">
        <f>'OUTPUTS &amp; Inputs'!C114</f>
        <v>2.5526999999999997</v>
      </c>
      <c r="E53" s="535">
        <f>'OUTPUTS &amp; Inputs'!D114</f>
        <v>2.9742999999999999</v>
      </c>
      <c r="F53" s="539">
        <f>'OUTPUTS &amp; Inputs'!E114</f>
        <v>3.3959000000000001</v>
      </c>
      <c r="G53" s="535">
        <f>'OUTPUTS &amp; Inputs'!F114</f>
        <v>3.6160999999999999</v>
      </c>
      <c r="H53" s="535">
        <f>'OUTPUTS &amp; Inputs'!G114</f>
        <v>3.8363</v>
      </c>
      <c r="I53" s="540">
        <f>'OUTPUTS &amp; Inputs'!H114</f>
        <v>4.0564999999999998</v>
      </c>
      <c r="J53" s="535">
        <f>'OUTPUTS &amp; Inputs'!I114</f>
        <v>4.1781500000000005</v>
      </c>
      <c r="K53" s="1843">
        <f>'OUTPUTS &amp; Inputs'!J114</f>
        <v>4.2998000000000003</v>
      </c>
      <c r="L53"/>
      <c r="M53" s="205"/>
      <c r="N53" s="206"/>
      <c r="O53" s="206"/>
      <c r="P53" s="206"/>
      <c r="Q53" s="206"/>
      <c r="R53" s="206"/>
      <c r="S53" s="206"/>
      <c r="T53" s="206"/>
      <c r="U53" s="206"/>
      <c r="V53" s="210"/>
      <c r="W53"/>
      <c r="X53" s="2690" t="s">
        <v>1471</v>
      </c>
      <c r="Y53" s="446">
        <f>5+P61</f>
        <v>9</v>
      </c>
      <c r="Z53" s="95"/>
      <c r="AA53" s="206"/>
      <c r="AB53" s="2691"/>
      <c r="AC53"/>
      <c r="AD53" s="7"/>
      <c r="AE53" s="2562"/>
      <c r="AF53" s="2562"/>
      <c r="AG53" s="2561"/>
      <c r="AH53" s="2561"/>
      <c r="AI53" s="2561"/>
      <c r="AJ53" s="2561"/>
      <c r="AK53" s="2561"/>
      <c r="AL53" s="2561"/>
      <c r="AN53" s="2562"/>
      <c r="AO53" s="2562"/>
      <c r="AP53" s="2562"/>
      <c r="AQ53" s="2562"/>
      <c r="AR53" s="2562"/>
      <c r="AT53" s="2561"/>
      <c r="AU53" s="2561"/>
      <c r="AV53" s="2561"/>
      <c r="AW53" s="2561"/>
      <c r="AX53" s="2561"/>
      <c r="AY53" s="2561"/>
      <c r="AZ53" s="2561"/>
      <c r="BA53" s="2561"/>
      <c r="BB53" s="2561"/>
      <c r="BC53" s="2561"/>
      <c r="BD53" s="2561"/>
      <c r="BE53" s="2561"/>
      <c r="BF53" s="2561"/>
      <c r="BG53" s="2561"/>
      <c r="BH53" s="2561"/>
      <c r="BI53" s="2561"/>
      <c r="BJ53" s="2561"/>
      <c r="BK53" s="2561"/>
      <c r="BL53" s="2561"/>
      <c r="BM53" s="2561"/>
      <c r="BN53" s="2561"/>
      <c r="BO53" s="2561"/>
      <c r="BP53" s="2561"/>
      <c r="BQ53" s="2561"/>
      <c r="BR53" s="2561"/>
      <c r="BS53" s="2561"/>
      <c r="BT53" s="2561"/>
      <c r="BU53" s="2561"/>
      <c r="BV53" s="2561"/>
      <c r="BW53" s="2561"/>
      <c r="BX53" s="2561"/>
      <c r="BY53" s="2561"/>
      <c r="BZ53" s="2561"/>
      <c r="CA53" s="2561"/>
      <c r="CB53" s="2682"/>
      <c r="CC53" s="2561"/>
    </row>
    <row r="54" spans="1:81" ht="13.5" thickBot="1">
      <c r="A54" s="950" t="s">
        <v>70</v>
      </c>
      <c r="B54" s="35"/>
      <c r="C54" s="7"/>
      <c r="D54" s="1850">
        <f>'OUTPUTS &amp; Inputs'!C115</f>
        <v>2.6638999999999999</v>
      </c>
      <c r="E54" s="535">
        <f>'OUTPUTS &amp; Inputs'!D115</f>
        <v>3.0922499999999999</v>
      </c>
      <c r="F54" s="539">
        <f>'OUTPUTS &amp; Inputs'!E115</f>
        <v>3.5206</v>
      </c>
      <c r="G54" s="535">
        <f>'OUTPUTS &amp; Inputs'!F115</f>
        <v>3.7473000000000001</v>
      </c>
      <c r="H54" s="535">
        <f>'OUTPUTS &amp; Inputs'!G115</f>
        <v>3.9740000000000002</v>
      </c>
      <c r="I54" s="540">
        <f>'OUTPUTS &amp; Inputs'!H115</f>
        <v>4.2007000000000003</v>
      </c>
      <c r="J54" s="535">
        <f>'OUTPUTS &amp; Inputs'!I115</f>
        <v>4.2973499999999998</v>
      </c>
      <c r="K54" s="1843">
        <f>'OUTPUTS &amp; Inputs'!J115</f>
        <v>4.3940000000000001</v>
      </c>
      <c r="L54"/>
      <c r="M54" s="205" t="s">
        <v>416</v>
      </c>
      <c r="N54" s="206"/>
      <c r="O54" s="196">
        <v>5.4800000000000001E-2</v>
      </c>
      <c r="P54" s="206"/>
      <c r="Q54" s="206"/>
      <c r="R54" s="206"/>
      <c r="S54" s="206"/>
      <c r="T54" s="206"/>
      <c r="U54" s="206"/>
      <c r="V54" s="211"/>
      <c r="W54"/>
      <c r="X54" s="2692" t="s">
        <v>1472</v>
      </c>
      <c r="Y54" s="1856">
        <f>Y52/Y53</f>
        <v>1933.3333333333333</v>
      </c>
      <c r="Z54" s="1179" t="s">
        <v>1080</v>
      </c>
      <c r="AA54" s="1855"/>
      <c r="AB54" s="2693"/>
      <c r="AC54"/>
      <c r="AD54"/>
      <c r="AE54" s="2561"/>
      <c r="AF54" s="2561"/>
      <c r="AG54" s="2561"/>
      <c r="AH54" s="2561"/>
      <c r="AI54" s="2561"/>
      <c r="AJ54" s="2561"/>
      <c r="AK54" s="2561"/>
      <c r="AL54" s="2561"/>
      <c r="AN54" s="2562"/>
      <c r="AO54" s="2562"/>
      <c r="AP54" s="2562"/>
      <c r="AQ54" s="2562"/>
      <c r="AR54" s="2562"/>
      <c r="AT54" s="2561"/>
      <c r="AU54" s="2561"/>
      <c r="AV54" s="2561"/>
      <c r="AW54" s="2561"/>
      <c r="AX54" s="2561"/>
      <c r="AY54" s="2561"/>
      <c r="AZ54" s="2561"/>
      <c r="BA54" s="2561"/>
      <c r="BB54" s="2561"/>
      <c r="BC54" s="2561"/>
      <c r="BD54" s="2561"/>
      <c r="BE54" s="2561"/>
      <c r="BF54" s="2561"/>
      <c r="BG54" s="2561"/>
      <c r="BH54" s="2561"/>
      <c r="BI54" s="2561"/>
      <c r="BJ54" s="2561"/>
      <c r="BK54" s="2561"/>
      <c r="BL54" s="2561"/>
      <c r="BM54" s="2561"/>
      <c r="BN54" s="2561"/>
      <c r="BO54" s="2561"/>
      <c r="BP54" s="2561"/>
      <c r="BQ54" s="2561"/>
      <c r="BR54" s="2561"/>
      <c r="BS54" s="2561"/>
      <c r="BT54" s="2561"/>
      <c r="BU54" s="2561"/>
      <c r="BV54" s="2561"/>
      <c r="BW54" s="2561"/>
      <c r="BX54" s="2561"/>
      <c r="BY54" s="2561"/>
      <c r="BZ54" s="2561"/>
      <c r="CA54" s="2561"/>
      <c r="CB54" s="2682"/>
      <c r="CC54" s="2561"/>
    </row>
    <row r="55" spans="1:81">
      <c r="A55" s="952" t="s">
        <v>71</v>
      </c>
      <c r="B55" s="35"/>
      <c r="C55" s="7"/>
      <c r="D55" s="1850">
        <f>'OUTPUTS &amp; Inputs'!C116</f>
        <v>3.1474000000000002</v>
      </c>
      <c r="E55" s="535">
        <f>'OUTPUTS &amp; Inputs'!D116</f>
        <v>3.6794000000000002</v>
      </c>
      <c r="F55" s="539">
        <f>'OUTPUTS &amp; Inputs'!E116</f>
        <v>4.2114000000000003</v>
      </c>
      <c r="G55" s="535">
        <f>'OUTPUTS &amp; Inputs'!F116</f>
        <v>4.4847333333333337</v>
      </c>
      <c r="H55" s="535">
        <f>'OUTPUTS &amp; Inputs'!G116</f>
        <v>4.7580666666666662</v>
      </c>
      <c r="I55" s="540">
        <f>'OUTPUTS &amp; Inputs'!H116</f>
        <v>5.0313999999999997</v>
      </c>
      <c r="J55" s="535">
        <f>'OUTPUTS &amp; Inputs'!I116</f>
        <v>5.0970999999999993</v>
      </c>
      <c r="K55" s="1843">
        <f>'OUTPUTS &amp; Inputs'!J116</f>
        <v>5.1627999999999998</v>
      </c>
      <c r="L55"/>
      <c r="M55" s="205"/>
      <c r="N55" s="206"/>
      <c r="O55" s="206"/>
      <c r="P55" s="206"/>
      <c r="Q55" s="206"/>
      <c r="R55" s="206"/>
      <c r="S55" s="206"/>
      <c r="T55" s="206"/>
      <c r="U55" s="206"/>
      <c r="V55" s="210"/>
      <c r="W55"/>
      <c r="X55" s="2694"/>
      <c r="Y55" s="1861"/>
      <c r="Z55" s="1862"/>
      <c r="AA55" s="1863"/>
      <c r="AB55" s="2695"/>
      <c r="AC55"/>
      <c r="AD55"/>
      <c r="AE55" s="2561"/>
      <c r="AF55" s="2561"/>
      <c r="AG55" s="2561"/>
      <c r="AH55" s="2561"/>
      <c r="AI55" s="2561"/>
      <c r="AJ55" s="2561"/>
      <c r="AK55" s="2561"/>
      <c r="AL55" s="2561"/>
      <c r="AN55" s="2562"/>
      <c r="AO55" s="2562"/>
      <c r="AP55" s="2562"/>
      <c r="AQ55" s="2562"/>
      <c r="AR55" s="2562"/>
      <c r="AT55" s="2561"/>
      <c r="AU55" s="2561"/>
      <c r="AV55" s="2561"/>
      <c r="AW55" s="2561"/>
      <c r="AX55" s="2561"/>
      <c r="AY55" s="2561"/>
      <c r="AZ55" s="2561"/>
      <c r="BA55" s="2561"/>
      <c r="BB55" s="2561"/>
      <c r="BC55" s="2561"/>
      <c r="BD55" s="2561"/>
      <c r="BE55" s="2561"/>
      <c r="BF55" s="2561"/>
      <c r="BG55" s="2561"/>
      <c r="BH55" s="2561"/>
      <c r="BI55" s="2561"/>
      <c r="BJ55" s="2561"/>
      <c r="BK55" s="2561"/>
      <c r="BL55" s="2561"/>
      <c r="BM55" s="2561"/>
      <c r="BN55" s="2561"/>
      <c r="BO55" s="2561"/>
      <c r="BP55" s="2561"/>
      <c r="BQ55" s="2561"/>
      <c r="BR55" s="2561"/>
      <c r="BS55" s="2561"/>
      <c r="BT55" s="2561"/>
      <c r="BU55" s="2561"/>
      <c r="BV55" s="2561"/>
      <c r="BW55" s="2561"/>
      <c r="BX55" s="2561"/>
      <c r="BY55" s="2561"/>
      <c r="BZ55" s="2561"/>
      <c r="CA55" s="2561"/>
      <c r="CB55" s="2682"/>
      <c r="CC55" s="2561"/>
    </row>
    <row r="56" spans="1:81">
      <c r="A56" s="951" t="s">
        <v>330</v>
      </c>
      <c r="B56" s="35"/>
      <c r="C56" s="7"/>
      <c r="D56" s="1849">
        <f>'OUTPUTS &amp; Inputs'!C117</f>
        <v>3.2775500000000002</v>
      </c>
      <c r="E56" s="535">
        <f>'OUTPUTS &amp; Inputs'!D117</f>
        <v>3.9935749999999999</v>
      </c>
      <c r="F56" s="535">
        <f>'OUTPUTS &amp; Inputs'!E117</f>
        <v>4.7096</v>
      </c>
      <c r="G56" s="535">
        <f>'OUTPUTS &amp; Inputs'!F117</f>
        <v>5.0823666666666671</v>
      </c>
      <c r="H56" s="535">
        <f>'OUTPUTS &amp; Inputs'!G117</f>
        <v>5.4551333333333325</v>
      </c>
      <c r="I56" s="536">
        <f>'OUTPUTS &amp; Inputs'!H117</f>
        <v>5.8278999999999996</v>
      </c>
      <c r="J56" s="535">
        <f>'OUTPUTS &amp; Inputs'!I117</f>
        <v>5.9238749999999998</v>
      </c>
      <c r="K56" s="1842">
        <f>'OUTPUTS &amp; Inputs'!J117</f>
        <v>6.0198499999999999</v>
      </c>
      <c r="L56"/>
      <c r="M56" s="207" t="s">
        <v>417</v>
      </c>
      <c r="N56" s="208"/>
      <c r="O56" s="208"/>
      <c r="P56" s="208"/>
      <c r="Q56" s="208"/>
      <c r="R56" s="208"/>
      <c r="S56" s="208"/>
      <c r="T56" s="208"/>
      <c r="U56" s="208"/>
      <c r="V56" s="211"/>
      <c r="W56"/>
      <c r="X56" s="2690" t="s">
        <v>439</v>
      </c>
      <c r="Y56" s="95"/>
      <c r="Z56" s="95"/>
      <c r="AA56" s="1854"/>
      <c r="AB56" s="2691"/>
      <c r="AC56"/>
      <c r="AD56"/>
      <c r="AE56" s="2561"/>
      <c r="AF56" s="2561"/>
      <c r="AG56" s="2561"/>
      <c r="AH56" s="2561"/>
      <c r="AI56" s="2561"/>
      <c r="AJ56" s="2561"/>
      <c r="AK56" s="2561"/>
      <c r="AL56" s="2561"/>
      <c r="AN56" s="2562"/>
      <c r="AO56" s="2562"/>
      <c r="AP56" s="2562"/>
      <c r="AQ56" s="2562"/>
      <c r="AR56" s="2562"/>
      <c r="AT56" s="2561"/>
      <c r="AU56" s="2561"/>
      <c r="AV56" s="2561"/>
      <c r="AW56" s="2561"/>
      <c r="AX56" s="2561"/>
      <c r="AY56" s="2561"/>
      <c r="AZ56" s="2561"/>
      <c r="BA56" s="2561"/>
      <c r="BB56" s="2561"/>
      <c r="BC56" s="2561"/>
      <c r="BD56" s="2561"/>
      <c r="BE56" s="2561"/>
      <c r="BF56" s="2561"/>
      <c r="BG56" s="2561"/>
      <c r="BH56" s="2561"/>
      <c r="BI56" s="2561"/>
      <c r="BJ56" s="2561"/>
      <c r="BK56" s="2561"/>
      <c r="BL56" s="2561"/>
      <c r="BM56" s="2561"/>
      <c r="BN56" s="2561"/>
      <c r="BO56" s="2561"/>
      <c r="BP56" s="2561"/>
      <c r="BQ56" s="2561"/>
      <c r="BR56" s="2561"/>
      <c r="BS56" s="2561"/>
      <c r="BT56" s="2561"/>
      <c r="BU56" s="2561"/>
      <c r="BV56" s="2561"/>
      <c r="BW56" s="2561"/>
      <c r="BX56" s="2561"/>
      <c r="BY56" s="2561"/>
      <c r="BZ56" s="2561"/>
      <c r="CA56" s="2561"/>
      <c r="CB56" s="2682"/>
      <c r="CC56" s="2561"/>
    </row>
    <row r="57" spans="1:81">
      <c r="A57" s="950" t="s">
        <v>117</v>
      </c>
      <c r="B57" s="35"/>
      <c r="C57" s="7"/>
      <c r="D57" s="1850">
        <f>'OUTPUTS &amp; Inputs'!C118</f>
        <v>3.4077000000000002</v>
      </c>
      <c r="E57" s="535">
        <f>'OUTPUTS &amp; Inputs'!D118</f>
        <v>4.3077500000000004</v>
      </c>
      <c r="F57" s="539">
        <f>'OUTPUTS &amp; Inputs'!E118</f>
        <v>5.2077999999999998</v>
      </c>
      <c r="G57" s="535">
        <f>'OUTPUTS &amp; Inputs'!F118</f>
        <v>5.68</v>
      </c>
      <c r="H57" s="535">
        <f>'OUTPUTS &amp; Inputs'!G118</f>
        <v>6.1521999999999997</v>
      </c>
      <c r="I57" s="540">
        <f>'OUTPUTS &amp; Inputs'!H118</f>
        <v>6.6243999999999996</v>
      </c>
      <c r="J57" s="535">
        <f>'OUTPUTS &amp; Inputs'!I118</f>
        <v>6.7506500000000003</v>
      </c>
      <c r="K57" s="1843">
        <f>'OUTPUTS &amp; Inputs'!J118</f>
        <v>6.8769</v>
      </c>
      <c r="L57"/>
      <c r="M57" s="205" t="s">
        <v>418</v>
      </c>
      <c r="N57" s="206"/>
      <c r="O57" s="206"/>
      <c r="P57" s="2302">
        <v>10000</v>
      </c>
      <c r="Q57" s="206" t="s">
        <v>419</v>
      </c>
      <c r="R57" s="206"/>
      <c r="S57" s="206"/>
      <c r="T57" s="206"/>
      <c r="U57" s="206"/>
      <c r="V57" s="209"/>
      <c r="W57"/>
      <c r="X57" s="2696" t="s">
        <v>1479</v>
      </c>
      <c r="Y57" s="1860">
        <v>1</v>
      </c>
      <c r="Z57" s="95"/>
      <c r="AA57" s="3"/>
      <c r="AB57" s="2689"/>
      <c r="AC57"/>
      <c r="AD57"/>
      <c r="AE57" s="2561"/>
      <c r="AF57" s="2561"/>
      <c r="AG57" s="2561"/>
      <c r="AH57" s="2561"/>
      <c r="AI57" s="2561"/>
      <c r="AJ57" s="2561"/>
      <c r="AK57" s="2561"/>
      <c r="AL57" s="2561"/>
      <c r="AN57" s="2562"/>
      <c r="AO57" s="2562"/>
      <c r="AP57" s="2562"/>
      <c r="AQ57" s="2562"/>
      <c r="AR57" s="2562"/>
      <c r="AT57" s="2561"/>
      <c r="AU57" s="2561"/>
      <c r="AV57" s="2561"/>
      <c r="AW57" s="2561"/>
      <c r="AX57" s="2561"/>
      <c r="AY57" s="2561"/>
      <c r="AZ57" s="2561"/>
      <c r="BA57" s="2561"/>
      <c r="BB57" s="2561"/>
      <c r="BC57" s="2561"/>
      <c r="BD57" s="2561"/>
      <c r="BE57" s="2561"/>
      <c r="BF57" s="2561"/>
      <c r="BG57" s="2561"/>
      <c r="BH57" s="2561"/>
      <c r="BI57" s="2561"/>
      <c r="BJ57" s="2561"/>
      <c r="BK57" s="2561"/>
      <c r="BL57" s="2561"/>
      <c r="BM57" s="2561"/>
      <c r="BN57" s="2561"/>
      <c r="BO57" s="2561"/>
      <c r="BP57" s="2561"/>
      <c r="BQ57" s="2561"/>
      <c r="BR57" s="2561"/>
      <c r="BS57" s="2561"/>
      <c r="BT57" s="2561"/>
      <c r="BU57" s="2561"/>
      <c r="BV57" s="2561"/>
      <c r="BW57" s="2561"/>
      <c r="BX57" s="2561"/>
      <c r="BY57" s="2561"/>
      <c r="BZ57" s="2561"/>
      <c r="CA57" s="2561"/>
      <c r="CB57" s="2682"/>
      <c r="CC57" s="2561"/>
    </row>
    <row r="58" spans="1:81">
      <c r="A58" s="953" t="s">
        <v>329</v>
      </c>
      <c r="B58" s="35"/>
      <c r="C58" s="7"/>
      <c r="D58" s="1851">
        <f>'OUTPUTS &amp; Inputs'!C119</f>
        <v>3.5378500000000002</v>
      </c>
      <c r="E58" s="535">
        <f>'OUTPUTS &amp; Inputs'!D119</f>
        <v>4.6219250000000001</v>
      </c>
      <c r="F58" s="543">
        <f>'OUTPUTS &amp; Inputs'!E119</f>
        <v>5.7059999999999995</v>
      </c>
      <c r="G58" s="535">
        <f>'OUTPUTS &amp; Inputs'!F119</f>
        <v>6.2776333333333332</v>
      </c>
      <c r="H58" s="535">
        <f>'OUTPUTS &amp; Inputs'!G119</f>
        <v>6.8492666666666659</v>
      </c>
      <c r="I58" s="544">
        <f>'OUTPUTS &amp; Inputs'!H119</f>
        <v>7.4208999999999996</v>
      </c>
      <c r="J58" s="535">
        <f>'OUTPUTS &amp; Inputs'!I119</f>
        <v>7.0544075902335459</v>
      </c>
      <c r="K58" s="1844">
        <f>'OUTPUTS &amp; Inputs'!J119</f>
        <v>7.7339500000000001</v>
      </c>
      <c r="L58"/>
      <c r="M58" s="205" t="s">
        <v>420</v>
      </c>
      <c r="N58" s="206"/>
      <c r="O58" s="206"/>
      <c r="P58" s="2302">
        <v>25000</v>
      </c>
      <c r="Q58" s="206" t="s">
        <v>421</v>
      </c>
      <c r="R58" s="206"/>
      <c r="S58" s="206"/>
      <c r="T58" s="206"/>
      <c r="U58" s="206"/>
      <c r="V58" s="210"/>
      <c r="W58"/>
      <c r="X58" s="2697" t="s">
        <v>1473</v>
      </c>
      <c r="Y58" s="99" t="s">
        <v>1474</v>
      </c>
      <c r="Z58" s="1854"/>
      <c r="AA58" s="3"/>
      <c r="AB58" s="2689"/>
      <c r="AC58"/>
      <c r="AD58"/>
      <c r="AE58" s="2561"/>
      <c r="AF58" s="2561"/>
      <c r="AG58" s="2561"/>
      <c r="AH58" s="2561"/>
      <c r="AI58" s="2561"/>
      <c r="AJ58" s="2561"/>
      <c r="AK58" s="2561"/>
      <c r="AL58" s="2561"/>
      <c r="AN58" s="2562"/>
      <c r="AO58" s="2562"/>
      <c r="AP58" s="2562"/>
      <c r="AQ58" s="2562"/>
      <c r="AR58" s="2562"/>
      <c r="AT58" s="2561"/>
      <c r="AU58" s="2561"/>
      <c r="AV58" s="2561"/>
      <c r="AW58" s="2561"/>
      <c r="AX58" s="2561"/>
      <c r="AY58" s="2561"/>
      <c r="AZ58" s="2561"/>
      <c r="BA58" s="2561"/>
      <c r="BB58" s="2561"/>
      <c r="BC58" s="2561"/>
      <c r="BD58" s="2561"/>
      <c r="BE58" s="2561"/>
      <c r="BF58" s="2561"/>
      <c r="BG58" s="2561"/>
      <c r="BH58" s="2561"/>
      <c r="BI58" s="2561"/>
      <c r="BJ58" s="2561"/>
      <c r="BK58" s="2561"/>
      <c r="BL58" s="2561"/>
      <c r="BM58" s="2561"/>
      <c r="BN58" s="2561"/>
      <c r="BO58" s="2561"/>
      <c r="BP58" s="2561"/>
      <c r="BQ58" s="2561"/>
      <c r="BR58" s="2561"/>
      <c r="BS58" s="2561"/>
      <c r="BT58" s="2561"/>
      <c r="BU58" s="2561"/>
      <c r="BV58" s="2561"/>
      <c r="BW58" s="2561"/>
      <c r="BX58" s="2561"/>
      <c r="BY58" s="2561"/>
      <c r="BZ58" s="2561"/>
      <c r="CA58" s="2561"/>
      <c r="CB58" s="2682"/>
      <c r="CC58" s="2561"/>
    </row>
    <row r="59" spans="1:81">
      <c r="A59" s="953" t="s">
        <v>109</v>
      </c>
      <c r="B59" s="35"/>
      <c r="C59" s="7"/>
      <c r="D59" s="1851">
        <f>'OUTPUTS &amp; Inputs'!C120</f>
        <v>3.6680000000000001</v>
      </c>
      <c r="E59" s="535">
        <f>'OUTPUTS &amp; Inputs'!D120</f>
        <v>4.9360999999999997</v>
      </c>
      <c r="F59" s="543">
        <f>'OUTPUTS &amp; Inputs'!E120</f>
        <v>6.2041999999999993</v>
      </c>
      <c r="G59" s="535">
        <f>'OUTPUTS &amp; Inputs'!F120</f>
        <v>6.8752666666666657</v>
      </c>
      <c r="H59" s="535">
        <f>'OUTPUTS &amp; Inputs'!G120</f>
        <v>7.5463333333333331</v>
      </c>
      <c r="I59" s="544">
        <f>'OUTPUTS &amp; Inputs'!H120</f>
        <v>8.2173999999999996</v>
      </c>
      <c r="J59" s="535">
        <f>'OUTPUTS &amp; Inputs'!I120</f>
        <v>7.3581651804670916</v>
      </c>
      <c r="K59" s="1844">
        <f>'OUTPUTS &amp; Inputs'!J120</f>
        <v>8.5910000000000011</v>
      </c>
      <c r="L59"/>
      <c r="M59" s="205" t="s">
        <v>422</v>
      </c>
      <c r="N59" s="206"/>
      <c r="O59" s="206"/>
      <c r="P59" s="2302">
        <v>2000</v>
      </c>
      <c r="Q59" s="206"/>
      <c r="R59" s="206"/>
      <c r="S59" s="206"/>
      <c r="T59" s="206"/>
      <c r="U59" s="206"/>
      <c r="V59" s="210"/>
      <c r="W59"/>
      <c r="X59" s="2698" t="s">
        <v>1480</v>
      </c>
      <c r="Y59" s="3"/>
      <c r="Z59" s="3"/>
      <c r="AA59" s="3"/>
      <c r="AB59" s="2691"/>
      <c r="AC59"/>
      <c r="AD59"/>
      <c r="AE59" s="2561"/>
      <c r="AF59" s="2561"/>
      <c r="AG59" s="2561"/>
      <c r="AH59" s="2561"/>
      <c r="AI59" s="2561"/>
      <c r="AJ59" s="2561"/>
      <c r="AK59" s="2561"/>
      <c r="AL59" s="2561"/>
      <c r="AN59" s="2562"/>
      <c r="AO59" s="2562"/>
      <c r="AP59" s="2562"/>
      <c r="AQ59" s="2562"/>
      <c r="AR59" s="2562"/>
      <c r="AT59" s="2561"/>
      <c r="AU59" s="2561"/>
      <c r="AV59" s="2561"/>
      <c r="AW59" s="2561"/>
      <c r="AX59" s="2561"/>
      <c r="AY59" s="2561"/>
      <c r="AZ59" s="2561"/>
      <c r="BA59" s="2561"/>
      <c r="BB59" s="2561"/>
      <c r="BC59" s="2561"/>
      <c r="BD59" s="2561"/>
      <c r="BE59" s="2561"/>
      <c r="BF59" s="2561"/>
      <c r="BG59" s="2561"/>
      <c r="BH59" s="2561"/>
      <c r="BI59" s="2561"/>
      <c r="BJ59" s="2561"/>
      <c r="BK59" s="2561"/>
      <c r="BL59" s="2561"/>
      <c r="BM59" s="2561"/>
      <c r="BN59" s="2561"/>
      <c r="BO59" s="2561"/>
      <c r="BP59" s="2561"/>
      <c r="BQ59" s="2561"/>
      <c r="BR59" s="2561"/>
      <c r="BS59" s="2561"/>
      <c r="BT59" s="2561"/>
      <c r="BU59" s="2561"/>
      <c r="BV59" s="2561"/>
      <c r="BW59" s="2561"/>
      <c r="BX59" s="2561"/>
      <c r="BY59" s="2561"/>
      <c r="BZ59" s="2561"/>
      <c r="CA59" s="2561"/>
      <c r="CB59" s="2682"/>
      <c r="CC59" s="2561"/>
    </row>
    <row r="60" spans="1:81">
      <c r="A60" s="954" t="s">
        <v>331</v>
      </c>
      <c r="B60" s="35"/>
      <c r="C60" s="7"/>
      <c r="D60" s="1851">
        <f>'OUTPUTS &amp; Inputs'!C121</f>
        <v>3.7721200000000001</v>
      </c>
      <c r="E60" s="535">
        <f>'OUTPUTS &amp; Inputs'!D121</f>
        <v>5.1874399999999996</v>
      </c>
      <c r="F60" s="543">
        <f>'OUTPUTS &amp; Inputs'!E121</f>
        <v>6.6027599999999991</v>
      </c>
      <c r="G60" s="535">
        <f>'OUTPUTS &amp; Inputs'!F121</f>
        <v>7.3533733333333329</v>
      </c>
      <c r="H60" s="535">
        <f>'OUTPUTS &amp; Inputs'!G121</f>
        <v>8.1039866666666658</v>
      </c>
      <c r="I60" s="544">
        <f>'OUTPUTS &amp; Inputs'!H121</f>
        <v>8.8545999999999996</v>
      </c>
      <c r="J60" s="535">
        <f>'OUTPUTS &amp; Inputs'!I121</f>
        <v>9.0656200000000009</v>
      </c>
      <c r="K60" s="1844">
        <f>'OUTPUTS &amp; Inputs'!J121</f>
        <v>9.2766400000000022</v>
      </c>
      <c r="L60"/>
      <c r="M60" s="203" t="s">
        <v>423</v>
      </c>
      <c r="N60" s="204"/>
      <c r="O60" s="204"/>
      <c r="P60" s="197"/>
      <c r="Q60" s="204"/>
      <c r="R60" s="204"/>
      <c r="S60" s="204"/>
      <c r="T60" s="204"/>
      <c r="U60" s="204"/>
      <c r="V60" s="210"/>
      <c r="W60"/>
      <c r="X60" s="2697" t="s">
        <v>1481</v>
      </c>
      <c r="Y60" s="3" t="s">
        <v>1482</v>
      </c>
      <c r="Z60" s="3"/>
      <c r="AA60" s="3"/>
      <c r="AB60" s="2691"/>
      <c r="AC60"/>
      <c r="AD60"/>
      <c r="AE60" s="2561"/>
      <c r="AF60" s="2561"/>
      <c r="AG60" s="2561"/>
      <c r="AH60" s="2561"/>
      <c r="AI60" s="2561"/>
      <c r="AJ60" s="2561"/>
      <c r="AK60" s="2561"/>
      <c r="AL60" s="2561"/>
      <c r="AN60" s="2562"/>
      <c r="AO60" s="2562"/>
      <c r="AP60" s="2562"/>
      <c r="AQ60" s="2562"/>
      <c r="AR60" s="2562"/>
      <c r="AT60" s="2561"/>
      <c r="AU60" s="2561"/>
      <c r="AV60" s="2561"/>
      <c r="AW60" s="2561"/>
      <c r="AX60" s="2561"/>
      <c r="AY60" s="2561"/>
      <c r="AZ60" s="2561"/>
      <c r="BA60" s="2561"/>
      <c r="BB60" s="2561"/>
      <c r="BC60" s="2561"/>
      <c r="BD60" s="2561"/>
      <c r="BE60" s="2561"/>
      <c r="BF60" s="2561"/>
      <c r="BG60" s="2561"/>
      <c r="BH60" s="2561"/>
      <c r="BI60" s="2561"/>
      <c r="BJ60" s="2561"/>
      <c r="BK60" s="2561"/>
      <c r="BL60" s="2561"/>
      <c r="BM60" s="2561"/>
      <c r="BN60" s="2561"/>
      <c r="BO60" s="2561"/>
      <c r="BP60" s="2561"/>
      <c r="BQ60" s="2561"/>
      <c r="BR60" s="2561"/>
      <c r="BS60" s="2561"/>
      <c r="BT60" s="2561"/>
      <c r="BU60" s="2561"/>
      <c r="BV60" s="2561"/>
      <c r="BW60" s="2561"/>
      <c r="BX60" s="2561"/>
      <c r="BY60" s="2561"/>
      <c r="BZ60" s="2561"/>
      <c r="CA60" s="2561"/>
      <c r="CB60" s="2682"/>
      <c r="CC60" s="2561"/>
    </row>
    <row r="61" spans="1:81">
      <c r="A61" s="955" t="s">
        <v>112</v>
      </c>
      <c r="B61" s="35"/>
      <c r="C61" s="7"/>
      <c r="D61" s="1852">
        <f>'OUTPUTS &amp; Inputs'!C122</f>
        <v>3.855416</v>
      </c>
      <c r="E61" s="547">
        <f>'OUTPUTS &amp; Inputs'!D122</f>
        <v>5.3885119999999995</v>
      </c>
      <c r="F61" s="548">
        <f>'OUTPUTS &amp; Inputs'!E122</f>
        <v>6.9216079999999991</v>
      </c>
      <c r="G61" s="547">
        <f>'OUTPUTS &amp; Inputs'!F122</f>
        <v>7.7358586666666662</v>
      </c>
      <c r="H61" s="547">
        <f>'OUTPUTS &amp; Inputs'!G122</f>
        <v>8.5501093333333333</v>
      </c>
      <c r="I61" s="549">
        <f>'OUTPUTS &amp; Inputs'!H122</f>
        <v>9.3643599999999996</v>
      </c>
      <c r="J61" s="547">
        <f>'OUTPUTS &amp; Inputs'!I122</f>
        <v>9.5947560000000003</v>
      </c>
      <c r="K61" s="1845">
        <f>'OUTPUTS &amp; Inputs'!J122</f>
        <v>9.8251520000000028</v>
      </c>
      <c r="L61"/>
      <c r="M61" s="205" t="s">
        <v>424</v>
      </c>
      <c r="N61" s="206"/>
      <c r="O61" s="206"/>
      <c r="P61" s="198">
        <f>ROUND(N52/AVERAGE(N47:N51),0)</f>
        <v>4</v>
      </c>
      <c r="Q61" s="206" t="s">
        <v>425</v>
      </c>
      <c r="R61" s="206"/>
      <c r="S61" s="206"/>
      <c r="T61" s="206"/>
      <c r="U61" s="206"/>
      <c r="V61" s="210"/>
      <c r="W61"/>
      <c r="X61" s="2699" t="s">
        <v>1432</v>
      </c>
      <c r="Y61" s="99" t="s">
        <v>1486</v>
      </c>
      <c r="Z61" s="3"/>
      <c r="AA61" s="3"/>
      <c r="AB61" s="2689"/>
      <c r="AC61"/>
      <c r="AD61"/>
      <c r="AE61" s="2561"/>
      <c r="AF61" s="2561"/>
      <c r="AG61" s="2561"/>
      <c r="AH61" s="2561"/>
      <c r="AI61" s="2561"/>
      <c r="AJ61" s="2561"/>
      <c r="AK61" s="2561"/>
      <c r="AL61" s="2561"/>
      <c r="AN61" s="2562"/>
      <c r="AO61" s="2562"/>
      <c r="AP61" s="2562"/>
      <c r="AQ61" s="2562"/>
      <c r="AR61" s="2562"/>
      <c r="AT61" s="2561"/>
      <c r="AU61" s="2561"/>
      <c r="AV61" s="2561"/>
      <c r="AW61" s="2561"/>
      <c r="AX61" s="2561"/>
      <c r="AY61" s="2561"/>
      <c r="AZ61" s="2561"/>
      <c r="BA61" s="2561"/>
      <c r="BB61" s="2561"/>
      <c r="BC61" s="2561"/>
      <c r="BD61" s="2561"/>
      <c r="BE61" s="2561"/>
      <c r="BF61" s="2561"/>
      <c r="BG61" s="2561"/>
      <c r="BH61" s="2561"/>
      <c r="BI61" s="2561"/>
      <c r="BJ61" s="2561"/>
      <c r="BK61" s="2561"/>
      <c r="BL61" s="2561"/>
      <c r="BM61" s="2561"/>
      <c r="BN61" s="2561"/>
      <c r="BO61" s="2561"/>
      <c r="BP61" s="2561"/>
      <c r="BQ61" s="2561"/>
      <c r="BR61" s="2561"/>
      <c r="BS61" s="2561"/>
      <c r="BT61" s="2561"/>
      <c r="BU61" s="2561"/>
      <c r="BV61" s="2561"/>
      <c r="BW61" s="2561"/>
      <c r="BX61" s="2561"/>
      <c r="BY61" s="2561"/>
      <c r="BZ61" s="2561"/>
      <c r="CA61" s="2561"/>
      <c r="CB61" s="2682"/>
      <c r="CC61" s="2561"/>
    </row>
    <row r="62" spans="1:81">
      <c r="A62" s="1445" t="s">
        <v>2724</v>
      </c>
      <c r="B62" s="1446"/>
      <c r="C62" s="21" t="s">
        <v>407</v>
      </c>
      <c r="D62" s="1853">
        <f>'OUTPUTS &amp; Inputs'!C123</f>
        <v>3</v>
      </c>
      <c r="E62" s="194">
        <f>'OUTPUTS &amp; Inputs'!D123</f>
        <v>4</v>
      </c>
      <c r="F62" s="193">
        <f>'OUTPUTS &amp; Inputs'!E123</f>
        <v>5</v>
      </c>
      <c r="G62" s="194">
        <f>'OUTPUTS &amp; Inputs'!F123</f>
        <v>6</v>
      </c>
      <c r="H62" s="194">
        <f>'OUTPUTS &amp; Inputs'!G123</f>
        <v>7</v>
      </c>
      <c r="I62" s="1839">
        <f>'OUTPUTS &amp; Inputs'!H123</f>
        <v>8</v>
      </c>
      <c r="J62" s="194">
        <f>'OUTPUTS &amp; Inputs'!I123</f>
        <v>9</v>
      </c>
      <c r="K62" s="1846">
        <f>'OUTPUTS &amp; Inputs'!J123</f>
        <v>10</v>
      </c>
      <c r="L62"/>
      <c r="M62" s="203"/>
      <c r="N62" s="204"/>
      <c r="O62" s="204"/>
      <c r="P62" s="204"/>
      <c r="Q62" s="206" t="s">
        <v>426</v>
      </c>
      <c r="R62" s="204"/>
      <c r="S62" s="204"/>
      <c r="T62" s="204"/>
      <c r="U62" s="204"/>
      <c r="V62" s="210"/>
      <c r="W62"/>
      <c r="X62" s="2700"/>
      <c r="Y62" s="1855"/>
      <c r="Z62" s="1855"/>
      <c r="AA62" s="1855"/>
      <c r="AB62" s="2701"/>
      <c r="AC62"/>
      <c r="AD62"/>
      <c r="AE62" s="2561"/>
      <c r="AF62" s="2561"/>
      <c r="AG62" s="2561"/>
      <c r="AH62" s="2561"/>
      <c r="AI62" s="2561"/>
      <c r="AJ62" s="2561"/>
      <c r="AK62" s="2561"/>
      <c r="AL62" s="2561"/>
      <c r="AN62" s="2562"/>
      <c r="AO62" s="2562"/>
      <c r="AP62" s="2562"/>
      <c r="AQ62" s="2562"/>
      <c r="AR62" s="2562"/>
      <c r="AT62" s="2561"/>
      <c r="AU62" s="2561"/>
      <c r="AV62" s="2561"/>
      <c r="AW62" s="2561"/>
      <c r="AX62" s="2561"/>
      <c r="AY62" s="2561"/>
      <c r="AZ62" s="2561"/>
      <c r="BA62" s="2561"/>
      <c r="BB62" s="2561"/>
      <c r="BC62" s="2561"/>
      <c r="BD62" s="2561"/>
      <c r="BE62" s="2561"/>
      <c r="BF62" s="2561"/>
      <c r="BG62" s="2561"/>
      <c r="BH62" s="2561"/>
      <c r="BI62" s="2561"/>
      <c r="BJ62" s="2561"/>
      <c r="BK62" s="2561"/>
      <c r="BL62" s="2561"/>
      <c r="BM62" s="2561"/>
      <c r="BN62" s="2561"/>
      <c r="BO62" s="2561"/>
      <c r="BP62" s="2561"/>
      <c r="BQ62" s="2561"/>
      <c r="BR62" s="2561"/>
      <c r="BS62" s="2561"/>
      <c r="BT62" s="2561"/>
      <c r="BU62" s="2561"/>
      <c r="BV62" s="2561"/>
      <c r="BW62" s="2561"/>
      <c r="BX62" s="2561"/>
      <c r="BY62" s="2561"/>
      <c r="BZ62" s="2561"/>
      <c r="CA62" s="2561"/>
      <c r="CB62" s="2682"/>
      <c r="CC62" s="2561"/>
    </row>
    <row r="63" spans="1:81">
      <c r="A63" s="950" t="s">
        <v>67</v>
      </c>
      <c r="B63" s="35"/>
      <c r="C63" s="7"/>
      <c r="D63" s="1848">
        <f>'OUTPUTS &amp; Inputs'!C124</f>
        <v>1.9253</v>
      </c>
      <c r="E63" s="530">
        <f>'OUTPUTS &amp; Inputs'!D124</f>
        <v>2.1547999999999998</v>
      </c>
      <c r="F63" s="531">
        <f>'OUTPUTS &amp; Inputs'!E124</f>
        <v>2.3843000000000001</v>
      </c>
      <c r="G63" s="530">
        <f>'OUTPUTS &amp; Inputs'!F124</f>
        <v>2.6815666666666669</v>
      </c>
      <c r="H63" s="530">
        <f>'OUTPUTS &amp; Inputs'!G124</f>
        <v>2.9788333333333332</v>
      </c>
      <c r="I63" s="532">
        <f>'OUTPUTS &amp; Inputs'!H124</f>
        <v>3.2761</v>
      </c>
      <c r="J63" s="530">
        <f>'OUTPUTS &amp; Inputs'!I124</f>
        <v>3.37195</v>
      </c>
      <c r="K63" s="1841">
        <f>'OUTPUTS &amp; Inputs'!J124</f>
        <v>3.4678</v>
      </c>
      <c r="L63"/>
      <c r="M63" s="207" t="s">
        <v>427</v>
      </c>
      <c r="N63" s="208"/>
      <c r="O63" s="208"/>
      <c r="P63" s="208"/>
      <c r="Q63" s="208"/>
      <c r="R63" s="208"/>
      <c r="S63" s="208"/>
      <c r="T63" s="208"/>
      <c r="U63" s="208"/>
      <c r="V63" s="210"/>
      <c r="W63"/>
      <c r="X63" s="2702" t="s">
        <v>1484</v>
      </c>
      <c r="Y63" s="1865">
        <f>O54</f>
        <v>5.4800000000000001E-2</v>
      </c>
      <c r="Z63" s="1862"/>
      <c r="AA63" s="1866"/>
      <c r="AB63" s="2703"/>
      <c r="AC63"/>
      <c r="AD63"/>
      <c r="AE63" s="2561"/>
      <c r="AF63" s="2561"/>
      <c r="AG63" s="2561"/>
      <c r="AH63" s="2561"/>
      <c r="AI63" s="2561"/>
      <c r="AJ63" s="2561"/>
      <c r="AK63" s="2561"/>
      <c r="AL63" s="2561"/>
      <c r="AN63" s="2562"/>
      <c r="AO63" s="2562"/>
      <c r="AP63" s="2562"/>
      <c r="AQ63" s="2562"/>
      <c r="AR63" s="2562"/>
      <c r="AT63" s="2561"/>
      <c r="AU63" s="2561"/>
      <c r="AV63" s="2561"/>
      <c r="AW63" s="2561"/>
      <c r="AX63" s="2561"/>
      <c r="AY63" s="2561"/>
      <c r="AZ63" s="2561"/>
      <c r="BA63" s="2561"/>
      <c r="BB63" s="2561"/>
      <c r="BC63" s="2561"/>
      <c r="BD63" s="2561"/>
      <c r="BE63" s="2561"/>
      <c r="BF63" s="2561"/>
      <c r="BG63" s="2561"/>
      <c r="BH63" s="2561"/>
      <c r="BI63" s="2561"/>
      <c r="BJ63" s="2561"/>
      <c r="BK63" s="2561"/>
      <c r="BL63" s="2561"/>
      <c r="BM63" s="2561"/>
      <c r="BN63" s="2561"/>
      <c r="BO63" s="2561"/>
      <c r="BP63" s="2561"/>
      <c r="BQ63" s="2561"/>
      <c r="BR63" s="2561"/>
      <c r="BS63" s="2561"/>
      <c r="BT63" s="2561"/>
      <c r="BU63" s="2561"/>
      <c r="BV63" s="2561"/>
      <c r="BW63" s="2561"/>
      <c r="BX63" s="2561"/>
      <c r="BY63" s="2561"/>
      <c r="BZ63" s="2561"/>
      <c r="CA63" s="2561"/>
      <c r="CB63" s="2682"/>
      <c r="CC63" s="2561"/>
    </row>
    <row r="64" spans="1:81">
      <c r="A64" s="951" t="s">
        <v>68</v>
      </c>
      <c r="B64" s="35"/>
      <c r="C64" s="7"/>
      <c r="D64" s="1849">
        <f>'OUTPUTS &amp; Inputs'!C125</f>
        <v>2.2683499999999999</v>
      </c>
      <c r="E64" s="535">
        <f>'OUTPUTS &amp; Inputs'!D125</f>
        <v>2.5891250000000001</v>
      </c>
      <c r="F64" s="535">
        <f>'OUTPUTS &amp; Inputs'!E125</f>
        <v>2.9099000000000004</v>
      </c>
      <c r="G64" s="535">
        <f>'OUTPUTS &amp; Inputs'!F125</f>
        <v>3.1443833333333338</v>
      </c>
      <c r="H64" s="535">
        <f>'OUTPUTS &amp; Inputs'!G125</f>
        <v>3.3788666666666667</v>
      </c>
      <c r="I64" s="536">
        <f>'OUTPUTS &amp; Inputs'!H125</f>
        <v>3.6133500000000001</v>
      </c>
      <c r="J64" s="535">
        <f>'OUTPUTS &amp; Inputs'!I125</f>
        <v>3.7482250000000001</v>
      </c>
      <c r="K64" s="1842">
        <f>'OUTPUTS &amp; Inputs'!J125</f>
        <v>3.8830999999999998</v>
      </c>
      <c r="L64"/>
      <c r="M64" s="195" t="s">
        <v>412</v>
      </c>
      <c r="N64" s="195" t="s">
        <v>413</v>
      </c>
      <c r="O64" s="195" t="s">
        <v>406</v>
      </c>
      <c r="P64" s="206"/>
      <c r="Q64" s="206"/>
      <c r="R64" s="206"/>
      <c r="S64" s="206"/>
      <c r="T64" s="206"/>
      <c r="U64" s="206"/>
      <c r="V64" s="210"/>
      <c r="W64"/>
      <c r="X64" s="2697" t="s">
        <v>1481</v>
      </c>
      <c r="Y64" s="1178">
        <f>(1-1/(1+Y63)^Y53)/Y63</f>
        <v>6.9583205132720973</v>
      </c>
      <c r="Z64" s="3"/>
      <c r="AA64" s="1854"/>
      <c r="AB64" s="2689"/>
      <c r="AC64"/>
      <c r="AD64"/>
      <c r="AE64" s="2561"/>
      <c r="AF64" s="2561"/>
      <c r="AG64" s="2561"/>
      <c r="AH64" s="2561"/>
      <c r="AI64" s="2561"/>
      <c r="AJ64" s="2561"/>
      <c r="AK64" s="2561"/>
      <c r="AL64" s="2561"/>
      <c r="AN64" s="2562"/>
      <c r="AO64" s="2562"/>
      <c r="AP64" s="2562"/>
      <c r="AQ64" s="2562"/>
      <c r="AR64" s="2562"/>
      <c r="AT64" s="2561"/>
      <c r="AU64" s="2561"/>
      <c r="AV64" s="2561"/>
      <c r="AW64" s="2561"/>
      <c r="AX64" s="2561"/>
      <c r="AY64" s="2561"/>
      <c r="AZ64" s="2561"/>
      <c r="BA64" s="2561"/>
      <c r="BB64" s="2561"/>
      <c r="BC64" s="2561"/>
      <c r="BD64" s="2561"/>
      <c r="BE64" s="2561"/>
      <c r="BF64" s="2561"/>
      <c r="BG64" s="2561"/>
      <c r="BH64" s="2561"/>
      <c r="BI64" s="2561"/>
      <c r="BJ64" s="2561"/>
      <c r="BK64" s="2561"/>
      <c r="BL64" s="2561"/>
      <c r="BM64" s="2561"/>
      <c r="BN64" s="2561"/>
      <c r="BO64" s="2561"/>
      <c r="BP64" s="2561"/>
      <c r="BQ64" s="2561"/>
      <c r="BR64" s="2561"/>
      <c r="BS64" s="2561"/>
      <c r="BT64" s="2561"/>
      <c r="BU64" s="2561"/>
      <c r="BV64" s="2561"/>
      <c r="BW64" s="2561"/>
      <c r="BX64" s="2561"/>
      <c r="BY64" s="2561"/>
      <c r="BZ64" s="2561"/>
      <c r="CA64" s="2561"/>
      <c r="CB64" s="2682"/>
      <c r="CC64" s="2561"/>
    </row>
    <row r="65" spans="1:81">
      <c r="A65" s="950" t="s">
        <v>69</v>
      </c>
      <c r="B65" s="35"/>
      <c r="C65" s="7"/>
      <c r="D65" s="1850">
        <f>'OUTPUTS &amp; Inputs'!C126</f>
        <v>2.6114000000000002</v>
      </c>
      <c r="E65" s="535">
        <f>'OUTPUTS &amp; Inputs'!D126</f>
        <v>3.0234500000000004</v>
      </c>
      <c r="F65" s="539">
        <f>'OUTPUTS &amp; Inputs'!E126</f>
        <v>3.4355000000000002</v>
      </c>
      <c r="G65" s="535">
        <f>'OUTPUTS &amp; Inputs'!F126</f>
        <v>3.6072000000000002</v>
      </c>
      <c r="H65" s="535">
        <f>'OUTPUTS &amp; Inputs'!G126</f>
        <v>3.7789000000000001</v>
      </c>
      <c r="I65" s="540">
        <f>'OUTPUTS &amp; Inputs'!H126</f>
        <v>3.9506000000000001</v>
      </c>
      <c r="J65" s="535">
        <f>'OUTPUTS &amp; Inputs'!I126</f>
        <v>4.1245000000000003</v>
      </c>
      <c r="K65" s="1843">
        <f>'OUTPUTS &amp; Inputs'!J126</f>
        <v>4.2984</v>
      </c>
      <c r="L65"/>
      <c r="M65" s="199">
        <f>M47</f>
        <v>1</v>
      </c>
      <c r="N65" s="2303">
        <f>N47</f>
        <v>2000</v>
      </c>
      <c r="O65" s="2304">
        <f>N65/(1+$O$54)^M65</f>
        <v>1896.0940462646947</v>
      </c>
      <c r="P65" s="206"/>
      <c r="Q65" s="206"/>
      <c r="R65" s="206"/>
      <c r="S65" s="206"/>
      <c r="T65" s="206"/>
      <c r="U65" s="206"/>
      <c r="V65" s="210"/>
      <c r="W65"/>
      <c r="X65" s="2690" t="s">
        <v>1483</v>
      </c>
      <c r="Y65" s="449">
        <f>Y54*Y64</f>
        <v>13452.752992326054</v>
      </c>
      <c r="Z65" s="4551" t="s">
        <v>1485</v>
      </c>
      <c r="AA65" s="4551"/>
      <c r="AB65" s="4552"/>
      <c r="AC65"/>
      <c r="AD65"/>
      <c r="AE65" s="2561"/>
      <c r="AF65" s="2561"/>
      <c r="AG65" s="2561"/>
      <c r="AH65" s="2561"/>
      <c r="AI65" s="2561"/>
      <c r="AJ65" s="2561"/>
      <c r="AK65" s="2561"/>
      <c r="AL65" s="2561"/>
      <c r="AN65" s="2562"/>
      <c r="AO65" s="2562"/>
      <c r="AP65" s="2562"/>
      <c r="AQ65" s="2562"/>
      <c r="AR65" s="2562"/>
      <c r="AT65" s="2561"/>
      <c r="AU65" s="2561"/>
      <c r="AV65" s="2561"/>
      <c r="AW65" s="2561"/>
      <c r="AX65" s="2561"/>
      <c r="AY65" s="2561"/>
      <c r="AZ65" s="2561"/>
      <c r="BA65" s="2561"/>
      <c r="BB65" s="2561"/>
      <c r="BC65" s="2561"/>
      <c r="BD65" s="2561"/>
      <c r="BE65" s="2561"/>
      <c r="BF65" s="2561"/>
      <c r="BG65" s="2561"/>
      <c r="BH65" s="2561"/>
      <c r="BI65" s="2561"/>
      <c r="BJ65" s="2561"/>
      <c r="BK65" s="2561"/>
      <c r="BL65" s="2561"/>
      <c r="BM65" s="2561"/>
      <c r="BN65" s="2561"/>
      <c r="BO65" s="2561"/>
      <c r="BP65" s="2561"/>
      <c r="BQ65" s="2561"/>
      <c r="BR65" s="2561"/>
      <c r="BS65" s="2561"/>
      <c r="BT65" s="2561"/>
      <c r="BU65" s="2561"/>
      <c r="BV65" s="2561"/>
      <c r="BW65" s="2561"/>
      <c r="BX65" s="2561"/>
      <c r="BY65" s="2561"/>
      <c r="BZ65" s="2561"/>
      <c r="CA65" s="2561"/>
      <c r="CB65" s="2682"/>
      <c r="CC65" s="2561"/>
    </row>
    <row r="66" spans="1:81">
      <c r="A66" s="950" t="s">
        <v>70</v>
      </c>
      <c r="B66" s="35"/>
      <c r="C66" s="7"/>
      <c r="D66" s="1850">
        <f>'OUTPUTS &amp; Inputs'!C127</f>
        <v>3.0844999999999998</v>
      </c>
      <c r="E66" s="535">
        <f>'OUTPUTS &amp; Inputs'!D127</f>
        <v>3.5324999999999998</v>
      </c>
      <c r="F66" s="539">
        <f>'OUTPUTS &amp; Inputs'!E127</f>
        <v>3.9805000000000001</v>
      </c>
      <c r="G66" s="535">
        <f>'OUTPUTS &amp; Inputs'!F127</f>
        <v>4.0835333333333335</v>
      </c>
      <c r="H66" s="535">
        <f>'OUTPUTS &amp; Inputs'!G127</f>
        <v>4.1865666666666668</v>
      </c>
      <c r="I66" s="540">
        <f>'OUTPUTS &amp; Inputs'!H127</f>
        <v>4.2896000000000001</v>
      </c>
      <c r="J66" s="535">
        <f>'OUTPUTS &amp; Inputs'!I127</f>
        <v>4.3565500000000004</v>
      </c>
      <c r="K66" s="1843">
        <f>'OUTPUTS &amp; Inputs'!J127</f>
        <v>4.4234999999999998</v>
      </c>
      <c r="L66"/>
      <c r="M66" s="199">
        <f t="shared" ref="M66:N69" si="49">M48</f>
        <v>2</v>
      </c>
      <c r="N66" s="2303">
        <f t="shared" si="49"/>
        <v>2000</v>
      </c>
      <c r="O66" s="2304">
        <f>N66/(1+$O$54)^M66</f>
        <v>1797.5863161402112</v>
      </c>
      <c r="P66" s="206"/>
      <c r="Q66" s="206"/>
      <c r="R66" s="206"/>
      <c r="S66" s="206"/>
      <c r="T66" s="206"/>
      <c r="U66" s="206"/>
      <c r="V66" s="210"/>
      <c r="W66"/>
      <c r="X66" s="2704"/>
      <c r="Y66" s="95"/>
      <c r="Z66" s="4551"/>
      <c r="AA66" s="4551"/>
      <c r="AB66" s="4552"/>
      <c r="AC66"/>
      <c r="AD66"/>
      <c r="AE66" s="2561"/>
      <c r="AF66" s="2561"/>
      <c r="AG66" s="2561"/>
      <c r="AH66" s="2561"/>
      <c r="AI66" s="2561"/>
      <c r="AJ66" s="2561"/>
      <c r="AK66" s="2561"/>
      <c r="AL66" s="2561"/>
      <c r="AN66" s="2562"/>
      <c r="AO66" s="2562"/>
      <c r="AP66" s="2562"/>
      <c r="AQ66" s="2562"/>
      <c r="AR66" s="2562"/>
      <c r="AT66" s="2561"/>
      <c r="AU66" s="2561"/>
      <c r="AV66" s="2561"/>
      <c r="AW66" s="2561"/>
      <c r="AX66" s="2561"/>
      <c r="AY66" s="2561"/>
      <c r="AZ66" s="2561"/>
      <c r="BA66" s="2561"/>
      <c r="BB66" s="2561"/>
      <c r="BC66" s="2561"/>
      <c r="BD66" s="2561"/>
      <c r="BE66" s="2561"/>
      <c r="BF66" s="2561"/>
      <c r="BG66" s="2561"/>
      <c r="BH66" s="2561"/>
      <c r="BI66" s="2561"/>
      <c r="BJ66" s="2561"/>
      <c r="BK66" s="2561"/>
      <c r="BL66" s="2561"/>
      <c r="BM66" s="2561"/>
      <c r="BN66" s="2561"/>
      <c r="BO66" s="2561"/>
      <c r="BP66" s="2561"/>
      <c r="BQ66" s="2561"/>
      <c r="BR66" s="2561"/>
      <c r="BS66" s="2561"/>
      <c r="BT66" s="2561"/>
      <c r="BU66" s="2561"/>
      <c r="BV66" s="2561"/>
      <c r="BW66" s="2561"/>
      <c r="BX66" s="2561"/>
      <c r="BY66" s="2561"/>
      <c r="BZ66" s="2561"/>
      <c r="CA66" s="2561"/>
      <c r="CB66" s="2682"/>
      <c r="CC66" s="2561"/>
    </row>
    <row r="67" spans="1:81" ht="13.5" thickBot="1">
      <c r="A67" s="952" t="s">
        <v>71</v>
      </c>
      <c r="B67" s="35"/>
      <c r="C67" s="7"/>
      <c r="D67" s="1850">
        <f>'OUTPUTS &amp; Inputs'!C128</f>
        <v>3.5865999999999998</v>
      </c>
      <c r="E67" s="535">
        <f>'OUTPUTS &amp; Inputs'!D128</f>
        <v>4.1591000000000005</v>
      </c>
      <c r="F67" s="539">
        <f>'OUTPUTS &amp; Inputs'!E128</f>
        <v>4.7316000000000003</v>
      </c>
      <c r="G67" s="535">
        <f>'OUTPUTS &amp; Inputs'!F128</f>
        <v>5.0021000000000004</v>
      </c>
      <c r="H67" s="535">
        <f>'OUTPUTS &amp; Inputs'!G128</f>
        <v>5.2725999999999997</v>
      </c>
      <c r="I67" s="540">
        <f>'OUTPUTS &amp; Inputs'!H128</f>
        <v>5.5430999999999999</v>
      </c>
      <c r="J67" s="535">
        <f>'OUTPUTS &amp; Inputs'!I128</f>
        <v>5.6033499999999998</v>
      </c>
      <c r="K67" s="1843">
        <f>'OUTPUTS &amp; Inputs'!J128</f>
        <v>5.6635999999999997</v>
      </c>
      <c r="L67"/>
      <c r="M67" s="199">
        <f t="shared" si="49"/>
        <v>3</v>
      </c>
      <c r="N67" s="2303">
        <f t="shared" si="49"/>
        <v>2000</v>
      </c>
      <c r="O67" s="2304">
        <f>N67/(1+$O$54)^M67</f>
        <v>1704.1963558401701</v>
      </c>
      <c r="P67" s="206"/>
      <c r="Q67" s="206"/>
      <c r="R67" s="206"/>
      <c r="S67" s="206"/>
      <c r="T67" s="206"/>
      <c r="U67" s="206"/>
      <c r="V67" s="210"/>
      <c r="W67"/>
      <c r="X67" s="2705"/>
      <c r="Y67" s="2706"/>
      <c r="Z67" s="4559"/>
      <c r="AA67" s="4559"/>
      <c r="AB67" s="4560"/>
      <c r="AC67"/>
      <c r="AD67"/>
      <c r="AE67" s="2561"/>
      <c r="AF67" s="2561"/>
      <c r="AG67" s="2561"/>
      <c r="AH67" s="2561"/>
      <c r="AI67" s="2561"/>
      <c r="AJ67" s="2561"/>
      <c r="AK67" s="2561"/>
      <c r="AL67" s="2561"/>
      <c r="AN67" s="2562"/>
      <c r="AO67" s="2562"/>
      <c r="AP67" s="2562"/>
      <c r="AQ67" s="2562"/>
      <c r="AR67" s="2562"/>
      <c r="AT67" s="2561"/>
      <c r="AU67" s="2561"/>
      <c r="AV67" s="2561"/>
      <c r="AW67" s="2561"/>
      <c r="AX67" s="2561"/>
      <c r="AY67" s="2561"/>
      <c r="AZ67" s="2561"/>
      <c r="BA67" s="2561"/>
      <c r="BB67" s="2561"/>
      <c r="BC67" s="2561"/>
      <c r="BD67" s="2561"/>
      <c r="BE67" s="2561"/>
      <c r="BF67" s="2561"/>
      <c r="BG67" s="2561"/>
      <c r="BH67" s="2561"/>
      <c r="BI67" s="2561"/>
      <c r="BJ67" s="2561"/>
      <c r="BK67" s="2561"/>
      <c r="BL67" s="2561"/>
      <c r="BM67" s="2561"/>
      <c r="BN67" s="2561"/>
      <c r="BO67" s="2561"/>
      <c r="BP67" s="2561"/>
      <c r="BQ67" s="2561"/>
      <c r="BR67" s="2561"/>
      <c r="BS67" s="2561"/>
      <c r="BT67" s="2561"/>
      <c r="BU67" s="2561"/>
      <c r="BV67" s="2561"/>
      <c r="BW67" s="2561"/>
      <c r="BX67" s="2561"/>
      <c r="BY67" s="2561"/>
      <c r="BZ67" s="2561"/>
      <c r="CA67" s="2561"/>
      <c r="CB67" s="2682"/>
      <c r="CC67" s="2561"/>
    </row>
    <row r="68" spans="1:81">
      <c r="A68" s="951" t="s">
        <v>330</v>
      </c>
      <c r="B68" s="35"/>
      <c r="C68" s="7"/>
      <c r="D68" s="1849">
        <f>'OUTPUTS &amp; Inputs'!C129</f>
        <v>4.4410499999999997</v>
      </c>
      <c r="E68" s="535">
        <f>'OUTPUTS &amp; Inputs'!D129</f>
        <v>5.0649250000000006</v>
      </c>
      <c r="F68" s="535">
        <f>'OUTPUTS &amp; Inputs'!E129</f>
        <v>5.6888000000000005</v>
      </c>
      <c r="G68" s="535">
        <f>'OUTPUTS &amp; Inputs'!F129</f>
        <v>6.0148166666666665</v>
      </c>
      <c r="H68" s="535">
        <f>'OUTPUTS &amp; Inputs'!G129</f>
        <v>6.3408333333333324</v>
      </c>
      <c r="I68" s="536">
        <f>'OUTPUTS &amp; Inputs'!H129</f>
        <v>6.6668500000000002</v>
      </c>
      <c r="J68" s="535">
        <f>'OUTPUTS &amp; Inputs'!I129</f>
        <v>6.7198250000000002</v>
      </c>
      <c r="K68" s="1842">
        <f>'OUTPUTS &amp; Inputs'!J129</f>
        <v>6.7728000000000002</v>
      </c>
      <c r="L68"/>
      <c r="M68" s="199">
        <f t="shared" si="49"/>
        <v>4</v>
      </c>
      <c r="N68" s="2303">
        <f t="shared" si="49"/>
        <v>1800</v>
      </c>
      <c r="O68" s="2304">
        <f>N68/(1+$O$54)^M68</f>
        <v>1454.092453788541</v>
      </c>
      <c r="P68" s="206"/>
      <c r="Q68" s="206"/>
      <c r="R68" s="206"/>
      <c r="S68" s="206"/>
      <c r="T68" s="206"/>
      <c r="U68" s="206"/>
      <c r="V68" s="210"/>
      <c r="W68"/>
      <c r="X68" s="95"/>
      <c r="Y68" s="95"/>
      <c r="Z68" s="95"/>
      <c r="AA68" s="206"/>
      <c r="AB68" s="3"/>
      <c r="AC68"/>
      <c r="AD68"/>
      <c r="AE68" s="2561"/>
      <c r="AF68" s="2561"/>
      <c r="AG68" s="2561"/>
      <c r="AH68" s="2561"/>
      <c r="AI68" s="2561"/>
      <c r="AJ68" s="2561"/>
      <c r="AK68" s="2561"/>
      <c r="AL68" s="2561"/>
      <c r="AN68" s="2562"/>
      <c r="AO68" s="2562"/>
      <c r="AP68" s="2562"/>
      <c r="AQ68" s="2562"/>
      <c r="AR68" s="2562"/>
      <c r="AT68" s="2561"/>
      <c r="AU68" s="2561"/>
      <c r="AV68" s="2561"/>
      <c r="AW68" s="2561"/>
      <c r="AX68" s="2561"/>
      <c r="AY68" s="2561"/>
      <c r="AZ68" s="2561"/>
      <c r="BA68" s="2561"/>
      <c r="BB68" s="2561"/>
      <c r="BC68" s="2561"/>
      <c r="BD68" s="2561"/>
      <c r="BE68" s="2561"/>
      <c r="BF68" s="2561"/>
      <c r="BG68" s="2561"/>
      <c r="BH68" s="2561"/>
      <c r="BI68" s="2561"/>
      <c r="BJ68" s="2561"/>
      <c r="BK68" s="2561"/>
      <c r="BL68" s="2561"/>
      <c r="BM68" s="2561"/>
      <c r="BN68" s="2561"/>
      <c r="BO68" s="2561"/>
      <c r="BP68" s="2561"/>
      <c r="BQ68" s="2561"/>
      <c r="BR68" s="2561"/>
      <c r="BS68" s="2561"/>
      <c r="BT68" s="2561"/>
      <c r="BU68" s="2561"/>
      <c r="BV68" s="2561"/>
      <c r="BW68" s="2561"/>
      <c r="BX68" s="2561"/>
      <c r="BY68" s="2561"/>
      <c r="BZ68" s="2561"/>
      <c r="CA68" s="2561"/>
      <c r="CB68" s="2682"/>
      <c r="CC68" s="2561"/>
    </row>
    <row r="69" spans="1:81">
      <c r="A69" s="950" t="s">
        <v>117</v>
      </c>
      <c r="B69" s="35"/>
      <c r="C69" s="7"/>
      <c r="D69" s="1850">
        <f>'OUTPUTS &amp; Inputs'!C130</f>
        <v>5.2954999999999997</v>
      </c>
      <c r="E69" s="535">
        <f>'OUTPUTS &amp; Inputs'!D130</f>
        <v>5.9707499999999998</v>
      </c>
      <c r="F69" s="539">
        <f>'OUTPUTS &amp; Inputs'!E130</f>
        <v>6.6459999999999999</v>
      </c>
      <c r="G69" s="535">
        <f>'OUTPUTS &amp; Inputs'!F130</f>
        <v>7.0275333333333334</v>
      </c>
      <c r="H69" s="535">
        <f>'OUTPUTS &amp; Inputs'!G130</f>
        <v>7.409066666666666</v>
      </c>
      <c r="I69" s="540">
        <f>'OUTPUTS &amp; Inputs'!H130</f>
        <v>7.7905999999999995</v>
      </c>
      <c r="J69" s="535">
        <f>'OUTPUTS &amp; Inputs'!I130</f>
        <v>7.8362999999999996</v>
      </c>
      <c r="K69" s="1843">
        <f>'OUTPUTS &amp; Inputs'!J130</f>
        <v>7.8819999999999997</v>
      </c>
      <c r="L69"/>
      <c r="M69" s="199">
        <f t="shared" si="49"/>
        <v>5</v>
      </c>
      <c r="N69" s="2303">
        <f t="shared" si="49"/>
        <v>1600</v>
      </c>
      <c r="O69" s="2304">
        <f>N69/(1+$O$54)^M69</f>
        <v>1225.3760197097213</v>
      </c>
      <c r="P69" s="206"/>
      <c r="Q69" s="206"/>
      <c r="R69" s="206"/>
      <c r="S69" s="206"/>
      <c r="T69" s="206"/>
      <c r="U69" s="206"/>
      <c r="V69" s="210"/>
      <c r="W69"/>
      <c r="X69" s="1"/>
      <c r="Y69" s="1"/>
      <c r="Z69" s="1"/>
      <c r="AA69" s="1"/>
      <c r="AB69"/>
      <c r="AC69"/>
      <c r="AD69"/>
      <c r="AE69" s="2561"/>
      <c r="AF69" s="2561"/>
      <c r="AG69" s="2561"/>
      <c r="AH69" s="2561"/>
      <c r="AI69" s="2561"/>
      <c r="AJ69" s="2561"/>
      <c r="AK69" s="2561"/>
      <c r="AL69" s="2561"/>
      <c r="AN69" s="2562"/>
      <c r="AO69" s="2562"/>
      <c r="AP69" s="2562"/>
      <c r="AQ69" s="2562"/>
      <c r="AR69" s="2562"/>
      <c r="AT69" s="2561"/>
      <c r="AU69" s="2561"/>
      <c r="AV69" s="2561"/>
      <c r="AW69" s="2561"/>
      <c r="AX69" s="2561"/>
      <c r="AY69" s="2561"/>
      <c r="AZ69" s="2561"/>
      <c r="BA69" s="2561"/>
      <c r="BB69" s="2561"/>
      <c r="BC69" s="2561"/>
      <c r="BD69" s="2561"/>
      <c r="BE69" s="2561"/>
      <c r="BF69" s="2561"/>
      <c r="BG69" s="2561"/>
      <c r="BH69" s="2561"/>
      <c r="BI69" s="2561"/>
      <c r="BJ69" s="2561"/>
      <c r="BK69" s="2561"/>
      <c r="BL69" s="2561"/>
      <c r="BM69" s="2561"/>
      <c r="BN69" s="2561"/>
      <c r="BO69" s="2561"/>
      <c r="BP69" s="2561"/>
      <c r="BQ69" s="2561"/>
      <c r="BR69" s="2561"/>
      <c r="BS69" s="2561"/>
      <c r="BT69" s="2561"/>
      <c r="BU69" s="2561"/>
      <c r="BV69" s="2561"/>
      <c r="BW69" s="2561"/>
      <c r="BX69" s="2561"/>
      <c r="BY69" s="2561"/>
      <c r="BZ69" s="2561"/>
      <c r="CA69" s="2561"/>
      <c r="CB69" s="2682"/>
      <c r="CC69" s="2561"/>
    </row>
    <row r="70" spans="1:81" ht="13.5" thickBot="1">
      <c r="A70" s="953" t="s">
        <v>329</v>
      </c>
      <c r="B70" s="35"/>
      <c r="C70" s="7"/>
      <c r="D70" s="1851">
        <f>'OUTPUTS &amp; Inputs'!C131</f>
        <v>6.1499499999999996</v>
      </c>
      <c r="E70" s="535">
        <f>'OUTPUTS &amp; Inputs'!D131</f>
        <v>6.876574999999999</v>
      </c>
      <c r="F70" s="543">
        <f>'OUTPUTS &amp; Inputs'!E131</f>
        <v>7.6031999999999993</v>
      </c>
      <c r="G70" s="535">
        <f>'OUTPUTS &amp; Inputs'!F131</f>
        <v>8.0402499999999986</v>
      </c>
      <c r="H70" s="535">
        <f>'OUTPUTS &amp; Inputs'!G131</f>
        <v>8.4772999999999996</v>
      </c>
      <c r="I70" s="544">
        <f>'OUTPUTS &amp; Inputs'!H131</f>
        <v>8.9143499999999989</v>
      </c>
      <c r="J70" s="535">
        <f>'OUTPUTS &amp; Inputs'!I131</f>
        <v>8.1400575902335461</v>
      </c>
      <c r="K70" s="1844">
        <f>'OUTPUTS &amp; Inputs'!J131</f>
        <v>8.9911999999999992</v>
      </c>
      <c r="L70"/>
      <c r="M70" s="200" t="str">
        <f>M52</f>
        <v>6 and beyond</v>
      </c>
      <c r="N70" s="2305">
        <f>IF(N52&gt;0,IF(P61&gt;1,N52/P61,N52),0)</f>
        <v>2000</v>
      </c>
      <c r="O70" s="2306">
        <f>IF(P61&gt;0,(N70*(1-(1+O54)^(-P61))/O54)/(1+$O$54)^5,N70/(1+O54)^6)</f>
        <v>5371.3860016747049</v>
      </c>
      <c r="P70" s="206" t="s">
        <v>428</v>
      </c>
      <c r="Q70" s="206"/>
      <c r="R70" s="206"/>
      <c r="S70" s="206"/>
      <c r="T70" s="206"/>
      <c r="U70" s="206"/>
      <c r="V70" s="35"/>
      <c r="W70"/>
      <c r="X70"/>
      <c r="Y70"/>
      <c r="Z70"/>
      <c r="AA70" s="1"/>
      <c r="AB70" s="1"/>
      <c r="AC70"/>
      <c r="AD70"/>
      <c r="AE70" s="2561"/>
      <c r="AF70" s="2561"/>
      <c r="AG70" s="2561"/>
      <c r="AH70" s="2561"/>
      <c r="AI70" s="2561"/>
      <c r="AJ70" s="2561"/>
      <c r="AK70" s="2561"/>
      <c r="AL70" s="2561"/>
      <c r="AN70" s="2562"/>
      <c r="AO70" s="2562"/>
      <c r="AP70" s="2562"/>
      <c r="AQ70" s="2562"/>
      <c r="AR70" s="2562"/>
      <c r="AT70" s="2561"/>
      <c r="AU70" s="2561"/>
      <c r="AV70" s="2561"/>
      <c r="AW70" s="2561"/>
      <c r="AX70" s="2561"/>
      <c r="AY70" s="2561"/>
      <c r="AZ70" s="2561"/>
      <c r="BA70" s="2561"/>
      <c r="BB70" s="2561"/>
      <c r="BC70" s="2561"/>
      <c r="BD70" s="2561"/>
      <c r="BE70" s="2561"/>
      <c r="BF70" s="2561"/>
      <c r="BG70" s="2561"/>
      <c r="BH70" s="2561"/>
      <c r="BI70" s="2561"/>
      <c r="BJ70" s="2561"/>
      <c r="BK70" s="2561"/>
      <c r="BL70" s="2561"/>
      <c r="BM70" s="2561"/>
      <c r="BN70" s="2561"/>
      <c r="BO70" s="2561"/>
      <c r="BP70" s="2561"/>
      <c r="BQ70" s="2561"/>
      <c r="BR70" s="2561"/>
      <c r="BS70" s="2561"/>
      <c r="BT70" s="2561"/>
      <c r="BU70" s="2561"/>
      <c r="BV70" s="2561"/>
      <c r="BW70" s="2561"/>
      <c r="BX70" s="2561"/>
      <c r="BY70" s="2561"/>
      <c r="BZ70" s="2561"/>
      <c r="CA70" s="2561"/>
      <c r="CB70" s="2682"/>
      <c r="CC70" s="2561"/>
    </row>
    <row r="71" spans="1:81" ht="13.5" thickBot="1">
      <c r="A71" s="953" t="s">
        <v>109</v>
      </c>
      <c r="B71" s="35"/>
      <c r="C71" s="7"/>
      <c r="D71" s="1851">
        <f>'OUTPUTS &amp; Inputs'!C132</f>
        <v>7.0043999999999995</v>
      </c>
      <c r="E71" s="535">
        <f>'OUTPUTS &amp; Inputs'!D132</f>
        <v>7.7823999999999991</v>
      </c>
      <c r="F71" s="543">
        <f>'OUTPUTS &amp; Inputs'!E132</f>
        <v>8.5603999999999978</v>
      </c>
      <c r="G71" s="535">
        <f>'OUTPUTS &amp; Inputs'!F132</f>
        <v>9.0529666666666646</v>
      </c>
      <c r="H71" s="535">
        <f>'OUTPUTS &amp; Inputs'!G132</f>
        <v>9.5455333333333314</v>
      </c>
      <c r="I71" s="544">
        <f>'OUTPUTS &amp; Inputs'!H132</f>
        <v>10.038099999999998</v>
      </c>
      <c r="J71" s="535">
        <f>'OUTPUTS &amp; Inputs'!I132</f>
        <v>8.4438151804670927</v>
      </c>
      <c r="K71" s="1844">
        <f>'OUTPUTS &amp; Inputs'!J132</f>
        <v>10.100399999999999</v>
      </c>
      <c r="L71"/>
      <c r="M71" s="212" t="s">
        <v>429</v>
      </c>
      <c r="N71" s="2307"/>
      <c r="O71" s="2308">
        <f>SUM(O65:O70)</f>
        <v>13448.731193418043</v>
      </c>
      <c r="P71" s="206"/>
      <c r="Q71" s="206"/>
      <c r="R71" s="206"/>
      <c r="S71" s="206"/>
      <c r="T71" s="206"/>
      <c r="U71" s="206"/>
      <c r="V71" s="35"/>
      <c r="W71"/>
      <c r="X71"/>
      <c r="Y71"/>
      <c r="Z71"/>
      <c r="AA71" s="1"/>
      <c r="AB71" s="1"/>
      <c r="AC71"/>
      <c r="AD71"/>
      <c r="AE71" s="2561"/>
      <c r="AF71" s="2561"/>
      <c r="AG71" s="2561"/>
      <c r="AH71" s="2561"/>
      <c r="AI71" s="2561"/>
      <c r="AJ71" s="2561"/>
      <c r="AK71" s="2561"/>
      <c r="AL71" s="2561"/>
      <c r="AN71" s="2562"/>
      <c r="AO71" s="2562"/>
      <c r="AP71" s="2562"/>
      <c r="AQ71" s="2562"/>
      <c r="AR71" s="2562"/>
      <c r="AT71" s="2561"/>
      <c r="AU71" s="2561"/>
      <c r="AV71" s="2561"/>
      <c r="AW71" s="2561"/>
      <c r="AX71" s="2561"/>
      <c r="AY71" s="2561"/>
      <c r="AZ71" s="2561"/>
      <c r="BA71" s="2561"/>
      <c r="BB71" s="2561"/>
      <c r="BC71" s="2561"/>
      <c r="BD71" s="2561"/>
      <c r="BE71" s="2561"/>
      <c r="BF71" s="2561"/>
      <c r="BG71" s="2561"/>
      <c r="BH71" s="2561"/>
      <c r="BI71" s="2561"/>
      <c r="BJ71" s="2561"/>
      <c r="BK71" s="2561"/>
      <c r="BL71" s="2561"/>
      <c r="BM71" s="2561"/>
      <c r="BN71" s="2561"/>
      <c r="BO71" s="2561"/>
      <c r="BP71" s="2561"/>
      <c r="BQ71" s="2561"/>
      <c r="BR71" s="2561"/>
      <c r="BS71" s="2561"/>
      <c r="BT71" s="2561"/>
      <c r="BU71" s="2561"/>
      <c r="BV71" s="2561"/>
      <c r="BW71" s="2561"/>
      <c r="BX71" s="2561"/>
      <c r="BY71" s="2561"/>
      <c r="BZ71" s="2561"/>
      <c r="CA71" s="2561"/>
      <c r="CB71" s="2682"/>
      <c r="CC71" s="2561"/>
    </row>
    <row r="72" spans="1:81">
      <c r="A72" s="954" t="s">
        <v>331</v>
      </c>
      <c r="B72" s="35"/>
      <c r="C72" s="7"/>
      <c r="D72" s="1851">
        <f>'OUTPUTS &amp; Inputs'!C133</f>
        <v>7.6879599999999995</v>
      </c>
      <c r="E72" s="535">
        <f>'OUTPUTS &amp; Inputs'!D133</f>
        <v>8.5070599999999974</v>
      </c>
      <c r="F72" s="543">
        <f>'OUTPUTS &amp; Inputs'!E133</f>
        <v>9.3261599999999962</v>
      </c>
      <c r="G72" s="535">
        <f>'OUTPUTS &amp; Inputs'!F133</f>
        <v>9.863139999999996</v>
      </c>
      <c r="H72" s="535">
        <f>'OUTPUTS &amp; Inputs'!G133</f>
        <v>10.400119999999998</v>
      </c>
      <c r="I72" s="544">
        <f>'OUTPUTS &amp; Inputs'!H133</f>
        <v>10.937099999999997</v>
      </c>
      <c r="J72" s="535">
        <f>'OUTPUTS &amp; Inputs'!I133</f>
        <v>10.962429999999998</v>
      </c>
      <c r="K72" s="1844">
        <f>'OUTPUTS &amp; Inputs'!J133</f>
        <v>10.987759999999998</v>
      </c>
      <c r="L72"/>
      <c r="M72" s="205"/>
      <c r="N72" s="206"/>
      <c r="O72" s="206"/>
      <c r="P72" s="206"/>
      <c r="Q72" s="206"/>
      <c r="R72" s="206"/>
      <c r="S72" s="206"/>
      <c r="T72" s="206"/>
      <c r="U72" s="206"/>
      <c r="V72" s="35"/>
      <c r="W72"/>
      <c r="X72"/>
      <c r="Y72"/>
      <c r="Z72"/>
      <c r="AA72" s="1"/>
      <c r="AB72"/>
      <c r="AC72"/>
      <c r="AD72"/>
      <c r="AE72" s="2561"/>
      <c r="AF72" s="2561"/>
      <c r="AG72" s="2561"/>
      <c r="AH72" s="2561"/>
      <c r="AI72" s="2561"/>
      <c r="AJ72" s="2561"/>
      <c r="AK72" s="2561"/>
      <c r="AL72" s="2561"/>
      <c r="AN72" s="2562"/>
      <c r="AO72" s="2562"/>
      <c r="AP72" s="2562"/>
      <c r="AQ72" s="2562"/>
      <c r="AR72" s="2562"/>
      <c r="AT72" s="2561"/>
      <c r="AU72" s="2561"/>
      <c r="AV72" s="2561"/>
      <c r="AW72" s="2561"/>
      <c r="AX72" s="2561"/>
      <c r="AY72" s="2561"/>
      <c r="AZ72" s="2561"/>
      <c r="BA72" s="2561"/>
      <c r="BB72" s="2561"/>
      <c r="BC72" s="2561"/>
      <c r="BD72" s="2561"/>
      <c r="BE72" s="2561"/>
      <c r="BF72" s="2561"/>
      <c r="BG72" s="2561"/>
      <c r="BH72" s="2561"/>
      <c r="BI72" s="2561"/>
      <c r="BJ72" s="2561"/>
      <c r="BK72" s="2561"/>
      <c r="BL72" s="2561"/>
      <c r="BM72" s="2561"/>
      <c r="BN72" s="2561"/>
      <c r="BO72" s="2561"/>
      <c r="BP72" s="2561"/>
      <c r="BQ72" s="2561"/>
      <c r="BR72" s="2561"/>
      <c r="BS72" s="2561"/>
      <c r="BT72" s="2561"/>
      <c r="BU72" s="2561"/>
      <c r="BV72" s="2561"/>
      <c r="BW72" s="2561"/>
      <c r="BX72" s="2561"/>
      <c r="BY72" s="2561"/>
      <c r="BZ72" s="2561"/>
      <c r="CA72" s="2561"/>
      <c r="CB72" s="2682"/>
      <c r="CC72" s="2561"/>
    </row>
    <row r="73" spans="1:81" ht="13.5" thickBot="1">
      <c r="A73" s="955" t="s">
        <v>112</v>
      </c>
      <c r="B73" s="35"/>
      <c r="C73" s="7"/>
      <c r="D73" s="1852">
        <f>'OUTPUTS &amp; Inputs'!C134</f>
        <v>8.2348079999999992</v>
      </c>
      <c r="E73" s="547">
        <f>'OUTPUTS &amp; Inputs'!D134</f>
        <v>9.0867879999999968</v>
      </c>
      <c r="F73" s="548">
        <f>'OUTPUTS &amp; Inputs'!E134</f>
        <v>9.9387679999999943</v>
      </c>
      <c r="G73" s="547">
        <f>'OUTPUTS &amp; Inputs'!F134</f>
        <v>10.511278666666662</v>
      </c>
      <c r="H73" s="547">
        <f>'OUTPUTS &amp; Inputs'!G134</f>
        <v>11.083789333333328</v>
      </c>
      <c r="I73" s="549">
        <f>'OUTPUTS &amp; Inputs'!H134</f>
        <v>11.656299999999996</v>
      </c>
      <c r="J73" s="547">
        <f>'OUTPUTS &amp; Inputs'!I134</f>
        <v>11.676973999999998</v>
      </c>
      <c r="K73" s="1845">
        <f>'OUTPUTS &amp; Inputs'!J134</f>
        <v>11.697647999999997</v>
      </c>
      <c r="L73"/>
      <c r="M73" s="207" t="s">
        <v>430</v>
      </c>
      <c r="N73" s="206"/>
      <c r="O73" s="206"/>
      <c r="P73" s="206"/>
      <c r="Q73" s="206"/>
      <c r="R73" s="206"/>
      <c r="S73" s="206"/>
      <c r="T73" s="206"/>
      <c r="U73" s="206"/>
      <c r="V73" s="35"/>
      <c r="W73"/>
      <c r="X73" s="4" t="s">
        <v>1382</v>
      </c>
      <c r="Y73"/>
      <c r="Z73"/>
      <c r="AA73" s="1"/>
      <c r="AB73"/>
      <c r="AC73"/>
      <c r="AD73"/>
      <c r="AE73" s="2561"/>
      <c r="AF73" s="2561"/>
      <c r="AG73" s="2561"/>
      <c r="AH73" s="2561"/>
      <c r="AI73" s="2561"/>
      <c r="AJ73" s="2561"/>
      <c r="AK73" s="2561"/>
      <c r="AL73" s="2561"/>
      <c r="AN73" s="2562"/>
      <c r="AO73" s="2562"/>
      <c r="AP73" s="2562"/>
      <c r="AQ73" s="2562"/>
      <c r="AR73" s="2562"/>
      <c r="AT73" s="2561"/>
      <c r="AU73" s="2561"/>
      <c r="AV73" s="2561"/>
      <c r="AW73" s="2561"/>
      <c r="AX73" s="2561"/>
      <c r="AY73" s="2561"/>
      <c r="AZ73" s="2561"/>
      <c r="BA73" s="2561"/>
      <c r="BB73" s="2561"/>
      <c r="BC73" s="2561"/>
      <c r="BD73" s="2561"/>
      <c r="BE73" s="2561"/>
      <c r="BF73" s="2561"/>
      <c r="BG73" s="2561"/>
      <c r="BH73" s="2561"/>
      <c r="BI73" s="2561"/>
      <c r="BJ73" s="2561"/>
      <c r="BK73" s="2561"/>
      <c r="BL73" s="2561"/>
      <c r="BM73" s="2561"/>
      <c r="BN73" s="2561"/>
      <c r="BO73" s="2561"/>
      <c r="BP73" s="2561"/>
      <c r="BQ73" s="2561"/>
      <c r="BR73" s="2561"/>
      <c r="BS73" s="2561"/>
      <c r="BT73" s="2561"/>
      <c r="BU73" s="2561"/>
      <c r="BV73" s="2561"/>
      <c r="BW73" s="2561"/>
      <c r="BX73" s="2561"/>
      <c r="BY73" s="2561"/>
      <c r="BZ73" s="2561"/>
      <c r="CA73" s="2561"/>
      <c r="CB73" s="2682"/>
      <c r="CC73" s="2561"/>
    </row>
    <row r="74" spans="1:81" ht="13.5" thickBot="1">
      <c r="A74" s="1445" t="s">
        <v>2725</v>
      </c>
      <c r="B74" s="1446"/>
      <c r="C74" s="21" t="s">
        <v>407</v>
      </c>
      <c r="D74" s="1853">
        <f>'OUTPUTS &amp; Inputs'!C135</f>
        <v>3</v>
      </c>
      <c r="E74" s="194">
        <f>'OUTPUTS &amp; Inputs'!D135</f>
        <v>4</v>
      </c>
      <c r="F74" s="193">
        <f>'OUTPUTS &amp; Inputs'!E135</f>
        <v>5</v>
      </c>
      <c r="G74" s="194">
        <f>'OUTPUTS &amp; Inputs'!F135</f>
        <v>6</v>
      </c>
      <c r="H74" s="194">
        <f>'OUTPUTS &amp; Inputs'!G135</f>
        <v>7</v>
      </c>
      <c r="I74" s="1839">
        <f>'OUTPUTS &amp; Inputs'!H135</f>
        <v>8</v>
      </c>
      <c r="J74" s="194">
        <f>'OUTPUTS &amp; Inputs'!I135</f>
        <v>9</v>
      </c>
      <c r="K74" s="1846">
        <f>'OUTPUTS &amp; Inputs'!J135</f>
        <v>10</v>
      </c>
      <c r="L74"/>
      <c r="M74" s="205" t="s">
        <v>431</v>
      </c>
      <c r="N74" s="206"/>
      <c r="O74" s="206"/>
      <c r="P74" s="206"/>
      <c r="Q74" s="206"/>
      <c r="R74" s="2308">
        <f>P57+O71*O54</f>
        <v>10736.990469399308</v>
      </c>
      <c r="S74" s="206"/>
      <c r="T74" s="206"/>
      <c r="U74" s="206"/>
      <c r="V74" s="35"/>
      <c r="W74"/>
      <c r="X74" s="1606" t="s">
        <v>2767</v>
      </c>
      <c r="Y74" s="2191" t="s">
        <v>1843</v>
      </c>
      <c r="Z74"/>
      <c r="AA74" s="1"/>
      <c r="AB74" s="1"/>
      <c r="AC74"/>
      <c r="AD74"/>
      <c r="AE74" s="2561"/>
      <c r="AF74" s="2561"/>
      <c r="AG74" s="2561"/>
      <c r="AH74" s="2561"/>
      <c r="AI74" s="2561"/>
      <c r="AJ74" s="2561"/>
      <c r="AK74" s="2561"/>
      <c r="AL74" s="2561"/>
      <c r="AN74" s="2562"/>
      <c r="AO74" s="2562"/>
      <c r="AP74" s="2562"/>
      <c r="AQ74" s="2562"/>
      <c r="AR74" s="2562"/>
      <c r="AT74" s="2561"/>
      <c r="AU74" s="2561"/>
      <c r="AV74" s="2561"/>
      <c r="AW74" s="2561"/>
      <c r="AX74" s="2561"/>
      <c r="AY74" s="2561"/>
      <c r="AZ74" s="2561"/>
      <c r="BA74" s="2561"/>
      <c r="BB74" s="2561"/>
      <c r="BC74" s="2561"/>
      <c r="BD74" s="2561"/>
      <c r="BE74" s="2561"/>
      <c r="BF74" s="2561"/>
      <c r="BG74" s="2561"/>
      <c r="BH74" s="2561"/>
      <c r="BI74" s="2561"/>
      <c r="BJ74" s="2561"/>
      <c r="BK74" s="2561"/>
      <c r="BL74" s="2561"/>
      <c r="BM74" s="2561"/>
      <c r="BN74" s="2561"/>
      <c r="BO74" s="2561"/>
      <c r="BP74" s="2561"/>
      <c r="BQ74" s="2561"/>
      <c r="BR74" s="2561"/>
      <c r="BS74" s="2561"/>
      <c r="BT74" s="2561"/>
      <c r="BU74" s="2561"/>
      <c r="BV74" s="2561"/>
      <c r="BW74" s="2561"/>
      <c r="BX74" s="2561"/>
      <c r="BY74" s="2561"/>
      <c r="BZ74" s="2561"/>
      <c r="CA74" s="2561"/>
      <c r="CB74" s="2682"/>
      <c r="CC74" s="2561"/>
    </row>
    <row r="75" spans="1:81" ht="13.5" thickBot="1">
      <c r="A75" s="950" t="s">
        <v>67</v>
      </c>
      <c r="B75" s="35"/>
      <c r="C75" s="189"/>
      <c r="D75" s="1848">
        <f>'OUTPUTS &amp; Inputs'!C136</f>
        <v>0.74229999999999996</v>
      </c>
      <c r="E75" s="530">
        <f>'OUTPUTS &amp; Inputs'!D136</f>
        <v>0.94055</v>
      </c>
      <c r="F75" s="531">
        <f>'OUTPUTS &amp; Inputs'!E136</f>
        <v>1.1388</v>
      </c>
      <c r="G75" s="530">
        <f>'OUTPUTS &amp; Inputs'!F136</f>
        <v>1.3980333333333335</v>
      </c>
      <c r="H75" s="530">
        <f>'OUTPUTS &amp; Inputs'!G136</f>
        <v>1.6572666666666667</v>
      </c>
      <c r="I75" s="532">
        <f>'OUTPUTS &amp; Inputs'!H136</f>
        <v>1.9165000000000001</v>
      </c>
      <c r="J75" s="530">
        <f>'OUTPUTS &amp; Inputs'!I136</f>
        <v>2.1565500000000002</v>
      </c>
      <c r="K75" s="1841">
        <f>'OUTPUTS &amp; Inputs'!J136</f>
        <v>2.3965999999999998</v>
      </c>
      <c r="L75"/>
      <c r="M75" s="205" t="s">
        <v>432</v>
      </c>
      <c r="N75" s="206"/>
      <c r="O75" s="206"/>
      <c r="P75" s="206"/>
      <c r="Q75" s="206"/>
      <c r="R75" s="2309">
        <f>P58+O71</f>
        <v>38448.731193418047</v>
      </c>
      <c r="S75" s="206"/>
      <c r="T75" s="206"/>
      <c r="U75" s="206"/>
      <c r="V75" s="35"/>
      <c r="W75"/>
      <c r="X75" s="4548" t="s">
        <v>2768</v>
      </c>
      <c r="Y75" s="4548"/>
      <c r="Z75" s="4548"/>
      <c r="AA75" s="4548"/>
      <c r="AB75" s="4548"/>
      <c r="AC75"/>
      <c r="AD75"/>
      <c r="AE75" s="2561"/>
      <c r="AF75" s="2561"/>
      <c r="AG75" s="2561"/>
      <c r="AH75" s="2561"/>
      <c r="AI75" s="2561"/>
      <c r="AJ75" s="2561"/>
      <c r="AK75" s="2561"/>
      <c r="AL75" s="2561"/>
      <c r="AN75" s="2562"/>
      <c r="AO75" s="2562"/>
      <c r="AP75" s="2562"/>
      <c r="AQ75" s="2562"/>
      <c r="AR75" s="2562"/>
      <c r="AT75" s="2561"/>
      <c r="AU75" s="2561"/>
      <c r="AV75" s="2561"/>
      <c r="AW75" s="2561"/>
      <c r="AX75" s="2561"/>
      <c r="AY75" s="2561"/>
      <c r="AZ75" s="2561"/>
      <c r="BA75" s="2561"/>
      <c r="BB75" s="2561"/>
      <c r="BC75" s="2561"/>
      <c r="BD75" s="2561"/>
      <c r="BE75" s="2561"/>
      <c r="BF75" s="2561"/>
      <c r="BG75" s="2561"/>
      <c r="BH75" s="2561"/>
      <c r="BI75" s="2561"/>
      <c r="BJ75" s="2561"/>
      <c r="BK75" s="2561"/>
      <c r="BL75" s="2561"/>
      <c r="BM75" s="2561"/>
      <c r="BN75" s="2561"/>
      <c r="BO75" s="2561"/>
      <c r="BP75" s="2561"/>
      <c r="BQ75" s="2561"/>
      <c r="BR75" s="2561"/>
      <c r="BS75" s="2561"/>
      <c r="BT75" s="2561"/>
      <c r="BU75" s="2561"/>
      <c r="BV75" s="2561"/>
      <c r="BW75" s="2561"/>
      <c r="BX75" s="2561"/>
      <c r="BY75" s="2561"/>
      <c r="BZ75" s="2561"/>
      <c r="CA75" s="2561"/>
      <c r="CB75" s="2682"/>
      <c r="CC75" s="2561"/>
    </row>
    <row r="76" spans="1:81">
      <c r="A76" s="951" t="s">
        <v>68</v>
      </c>
      <c r="B76" s="35"/>
      <c r="C76" s="190"/>
      <c r="D76" s="1849">
        <f>'OUTPUTS &amp; Inputs'!C137</f>
        <v>0.87229999999999996</v>
      </c>
      <c r="E76" s="535">
        <f>'OUTPUTS &amp; Inputs'!D137</f>
        <v>1.1142000000000001</v>
      </c>
      <c r="F76" s="535">
        <f>'OUTPUTS &amp; Inputs'!E137</f>
        <v>1.3561000000000001</v>
      </c>
      <c r="G76" s="535">
        <f>'OUTPUTS &amp; Inputs'!F137</f>
        <v>1.5951</v>
      </c>
      <c r="H76" s="535">
        <f>'OUTPUTS &amp; Inputs'!G137</f>
        <v>1.8340999999999998</v>
      </c>
      <c r="I76" s="536">
        <f>'OUTPUTS &amp; Inputs'!H137</f>
        <v>2.0731000000000002</v>
      </c>
      <c r="J76" s="535">
        <f>'OUTPUTS &amp; Inputs'!I137</f>
        <v>2.2617250000000002</v>
      </c>
      <c r="K76" s="1842">
        <f>'OUTPUTS &amp; Inputs'!J137</f>
        <v>2.4503500000000003</v>
      </c>
      <c r="L76"/>
      <c r="M76" s="34"/>
      <c r="N76" s="2"/>
      <c r="O76" s="2"/>
      <c r="P76" s="2"/>
      <c r="Q76" s="2"/>
      <c r="R76" s="2"/>
      <c r="S76" s="2"/>
      <c r="T76" s="2"/>
      <c r="U76" s="2"/>
      <c r="V76" s="35"/>
      <c r="W76"/>
      <c r="X76" s="4548"/>
      <c r="Y76" s="4548"/>
      <c r="Z76" s="4548"/>
      <c r="AA76" s="4548"/>
      <c r="AB76" s="4548"/>
      <c r="AC76"/>
      <c r="AD76"/>
      <c r="AE76" s="2561"/>
      <c r="AF76" s="2561"/>
      <c r="AG76" s="2561"/>
      <c r="AH76" s="2561"/>
      <c r="AI76" s="2561"/>
      <c r="AJ76" s="2561"/>
      <c r="AK76" s="2561"/>
      <c r="AL76" s="2561"/>
      <c r="AN76" s="2562"/>
      <c r="AO76" s="2562"/>
      <c r="AP76" s="2562"/>
      <c r="AQ76" s="2562"/>
      <c r="AR76" s="2562"/>
      <c r="AT76" s="2561"/>
      <c r="AU76" s="2561"/>
      <c r="AV76" s="2561"/>
      <c r="AW76" s="2561"/>
      <c r="AX76" s="2561"/>
      <c r="AY76" s="2561"/>
      <c r="AZ76" s="2561"/>
      <c r="BA76" s="2561"/>
      <c r="BB76" s="2561"/>
      <c r="BC76" s="2561"/>
      <c r="BD76" s="2561"/>
      <c r="BE76" s="2561"/>
      <c r="BF76" s="2561"/>
      <c r="BG76" s="2561"/>
      <c r="BH76" s="2561"/>
      <c r="BI76" s="2561"/>
      <c r="BJ76" s="2561"/>
      <c r="BK76" s="2561"/>
      <c r="BL76" s="2561"/>
      <c r="BM76" s="2561"/>
      <c r="BN76" s="2561"/>
      <c r="BO76" s="2561"/>
      <c r="BP76" s="2561"/>
      <c r="BQ76" s="2561"/>
      <c r="BR76" s="2561"/>
      <c r="BS76" s="2561"/>
      <c r="BT76" s="2561"/>
      <c r="BU76" s="2561"/>
      <c r="BV76" s="2561"/>
      <c r="BW76" s="2561"/>
      <c r="BX76" s="2561"/>
      <c r="BY76" s="2561"/>
      <c r="BZ76" s="2561"/>
      <c r="CA76" s="2561"/>
      <c r="CB76" s="2682"/>
      <c r="CC76" s="2561"/>
    </row>
    <row r="77" spans="1:81">
      <c r="A77" s="950" t="s">
        <v>69</v>
      </c>
      <c r="B77" s="35"/>
      <c r="C77" s="189"/>
      <c r="D77" s="1850">
        <f>'OUTPUTS &amp; Inputs'!C138</f>
        <v>1.0023</v>
      </c>
      <c r="E77" s="535">
        <f>'OUTPUTS &amp; Inputs'!D138</f>
        <v>1.2878499999999999</v>
      </c>
      <c r="F77" s="539">
        <f>'OUTPUTS &amp; Inputs'!E138</f>
        <v>1.5733999999999999</v>
      </c>
      <c r="G77" s="535">
        <f>'OUTPUTS &amp; Inputs'!F138</f>
        <v>1.7921666666666665</v>
      </c>
      <c r="H77" s="535">
        <f>'OUTPUTS &amp; Inputs'!G138</f>
        <v>2.010933333333333</v>
      </c>
      <c r="I77" s="540">
        <f>'OUTPUTS &amp; Inputs'!H138</f>
        <v>2.2296999999999998</v>
      </c>
      <c r="J77" s="535">
        <f>'OUTPUTS &amp; Inputs'!I138</f>
        <v>2.3669000000000002</v>
      </c>
      <c r="K77" s="1843">
        <f>'OUTPUTS &amp; Inputs'!J138</f>
        <v>2.5041000000000002</v>
      </c>
      <c r="L77"/>
      <c r="M77" s="34"/>
      <c r="N77" s="2"/>
      <c r="O77" s="2"/>
      <c r="P77" s="2"/>
      <c r="Q77" s="2"/>
      <c r="R77" s="2"/>
      <c r="S77" s="2"/>
      <c r="T77" s="2"/>
      <c r="U77" s="2"/>
      <c r="V77" s="35"/>
      <c r="W77"/>
      <c r="X77" s="4548"/>
      <c r="Y77" s="4548"/>
      <c r="Z77" s="4548"/>
      <c r="AA77" s="4548"/>
      <c r="AB77" s="4548"/>
      <c r="AC77"/>
      <c r="AD77"/>
      <c r="AE77" s="2561"/>
      <c r="AF77" s="2561"/>
      <c r="AG77" s="2561"/>
      <c r="AH77" s="2561"/>
      <c r="AI77" s="2561"/>
      <c r="AJ77" s="2561"/>
      <c r="AK77" s="2561"/>
      <c r="AL77" s="2561"/>
      <c r="AN77" s="2562"/>
      <c r="AO77" s="2562"/>
      <c r="AP77" s="2562"/>
      <c r="AQ77" s="2562"/>
      <c r="AR77" s="2562"/>
      <c r="AT77" s="2561"/>
      <c r="AU77" s="2561"/>
      <c r="AV77" s="2561"/>
      <c r="AW77" s="2561"/>
      <c r="AX77" s="2561"/>
      <c r="AY77" s="2561"/>
      <c r="AZ77" s="2561"/>
      <c r="BA77" s="2561"/>
      <c r="BB77" s="2561"/>
      <c r="BC77" s="2561"/>
      <c r="BD77" s="2561"/>
      <c r="BE77" s="2561"/>
      <c r="BF77" s="2561"/>
      <c r="BG77" s="2561"/>
      <c r="BH77" s="2561"/>
      <c r="BI77" s="2561"/>
      <c r="BJ77" s="2561"/>
      <c r="BK77" s="2561"/>
      <c r="BL77" s="2561"/>
      <c r="BM77" s="2561"/>
      <c r="BN77" s="2561"/>
      <c r="BO77" s="2561"/>
      <c r="BP77" s="2561"/>
      <c r="BQ77" s="2561"/>
      <c r="BR77" s="2561"/>
      <c r="BS77" s="2561"/>
      <c r="BT77" s="2561"/>
      <c r="BU77" s="2561"/>
      <c r="BV77" s="2561"/>
      <c r="BW77" s="2561"/>
      <c r="BX77" s="2561"/>
      <c r="BY77" s="2561"/>
      <c r="BZ77" s="2561"/>
      <c r="CA77" s="2561"/>
      <c r="CB77" s="2682"/>
      <c r="CC77" s="2561"/>
    </row>
    <row r="78" spans="1:81">
      <c r="A78" s="950" t="s">
        <v>70</v>
      </c>
      <c r="B78" s="35"/>
      <c r="C78" s="189"/>
      <c r="D78" s="1850">
        <f>'OUTPUTS &amp; Inputs'!C139</f>
        <v>1.2836000000000001</v>
      </c>
      <c r="E78" s="535">
        <f>'OUTPUTS &amp; Inputs'!D139</f>
        <v>1.6460500000000002</v>
      </c>
      <c r="F78" s="539">
        <f>'OUTPUTS &amp; Inputs'!E139</f>
        <v>2.0085000000000002</v>
      </c>
      <c r="G78" s="535">
        <f>'OUTPUTS &amp; Inputs'!F139</f>
        <v>2.1865333333333337</v>
      </c>
      <c r="H78" s="535">
        <f>'OUTPUTS &amp; Inputs'!G139</f>
        <v>2.3645666666666667</v>
      </c>
      <c r="I78" s="540">
        <f>'OUTPUTS &amp; Inputs'!H139</f>
        <v>2.5426000000000002</v>
      </c>
      <c r="J78" s="535">
        <f>'OUTPUTS &amp; Inputs'!I139</f>
        <v>2.8070500000000003</v>
      </c>
      <c r="K78" s="1843">
        <f>'OUTPUTS &amp; Inputs'!J139</f>
        <v>3.0714999999999999</v>
      </c>
      <c r="L78"/>
      <c r="M78" s="205" t="s">
        <v>433</v>
      </c>
      <c r="N78" s="2"/>
      <c r="O78" s="2"/>
      <c r="P78" s="2"/>
      <c r="Q78" s="2"/>
      <c r="R78" s="2"/>
      <c r="S78" s="2"/>
      <c r="T78" s="2"/>
      <c r="U78" s="2"/>
      <c r="V78" s="35"/>
      <c r="W78"/>
      <c r="X78"/>
      <c r="Y78"/>
      <c r="Z78"/>
      <c r="AA78" s="1"/>
      <c r="AB78"/>
      <c r="AC78"/>
      <c r="AD78"/>
      <c r="AE78" s="2561"/>
      <c r="AF78" s="2561"/>
      <c r="AG78" s="2561"/>
      <c r="AH78" s="2561"/>
      <c r="AI78" s="2561"/>
      <c r="AJ78" s="2561"/>
      <c r="AK78" s="2561"/>
      <c r="AL78" s="2561"/>
      <c r="AN78" s="2562"/>
      <c r="AO78" s="2562"/>
      <c r="AP78" s="2562"/>
      <c r="AQ78" s="2562"/>
      <c r="AR78" s="2562"/>
      <c r="AT78" s="2561"/>
      <c r="AU78" s="2561"/>
      <c r="AV78" s="2561"/>
      <c r="AW78" s="2561"/>
      <c r="AX78" s="2561"/>
      <c r="AY78" s="2561"/>
      <c r="AZ78" s="2561"/>
      <c r="BA78" s="2561"/>
      <c r="BB78" s="2561"/>
      <c r="BC78" s="2561"/>
      <c r="BD78" s="2561"/>
      <c r="BE78" s="2561"/>
      <c r="BF78" s="2561"/>
      <c r="BG78" s="2561"/>
      <c r="BH78" s="2561"/>
      <c r="BI78" s="2561"/>
      <c r="BJ78" s="2561"/>
      <c r="BK78" s="2561"/>
      <c r="BL78" s="2561"/>
      <c r="BM78" s="2561"/>
      <c r="BN78" s="2561"/>
      <c r="BO78" s="2561"/>
      <c r="BP78" s="2561"/>
      <c r="BQ78" s="2561"/>
      <c r="BR78" s="2561"/>
      <c r="BS78" s="2561"/>
      <c r="BT78" s="2561"/>
      <c r="BU78" s="2561"/>
      <c r="BV78" s="2561"/>
      <c r="BW78" s="2561"/>
      <c r="BX78" s="2561"/>
      <c r="BY78" s="2561"/>
      <c r="BZ78" s="2561"/>
      <c r="CA78" s="2561"/>
      <c r="CB78" s="2682"/>
      <c r="CC78" s="2561"/>
    </row>
    <row r="79" spans="1:81">
      <c r="A79" s="952" t="s">
        <v>71</v>
      </c>
      <c r="B79" s="35"/>
      <c r="C79" s="105"/>
      <c r="D79" s="1850">
        <f>'OUTPUTS &amp; Inputs'!C140</f>
        <v>1.5377000000000001</v>
      </c>
      <c r="E79" s="535">
        <f>'OUTPUTS &amp; Inputs'!D140</f>
        <v>1.9192</v>
      </c>
      <c r="F79" s="539">
        <f>'OUTPUTS &amp; Inputs'!E140</f>
        <v>2.3007</v>
      </c>
      <c r="G79" s="535">
        <f>'OUTPUTS &amp; Inputs'!F140</f>
        <v>2.5570333333333335</v>
      </c>
      <c r="H79" s="535">
        <f>'OUTPUTS &amp; Inputs'!G140</f>
        <v>2.8133666666666666</v>
      </c>
      <c r="I79" s="540">
        <f>'OUTPUTS &amp; Inputs'!H140</f>
        <v>3.0697000000000001</v>
      </c>
      <c r="J79" s="535">
        <f>'OUTPUTS &amp; Inputs'!I140</f>
        <v>3.22315</v>
      </c>
      <c r="K79" s="1843">
        <f>'OUTPUTS &amp; Inputs'!J140</f>
        <v>3.3765999999999998</v>
      </c>
      <c r="L79"/>
      <c r="M79" s="205" t="s">
        <v>434</v>
      </c>
      <c r="N79" s="2"/>
      <c r="O79" s="2"/>
      <c r="P79" s="2311">
        <f>P57</f>
        <v>10000</v>
      </c>
      <c r="Q79" s="2"/>
      <c r="R79" s="2"/>
      <c r="S79" s="2"/>
      <c r="T79" s="2"/>
      <c r="U79" s="2"/>
      <c r="V79" s="35"/>
      <c r="W79"/>
      <c r="X79"/>
      <c r="Y79"/>
      <c r="Z79"/>
      <c r="AA79" s="1"/>
      <c r="AB79"/>
      <c r="AC79"/>
      <c r="AD79"/>
      <c r="AE79" s="2561"/>
      <c r="AF79" s="2561"/>
      <c r="AG79" s="2561"/>
      <c r="AH79" s="2561"/>
      <c r="AI79" s="2561"/>
      <c r="AJ79" s="2561"/>
      <c r="AK79" s="2561"/>
      <c r="AL79" s="2561"/>
      <c r="AN79" s="2562"/>
      <c r="AO79" s="2562"/>
      <c r="AP79" s="2562"/>
      <c r="AQ79" s="2562"/>
      <c r="AR79" s="2562"/>
      <c r="AT79" s="2561"/>
      <c r="AU79" s="2561"/>
      <c r="AV79" s="2561"/>
      <c r="AW79" s="2561"/>
      <c r="AX79" s="2561"/>
      <c r="AY79" s="2561"/>
      <c r="AZ79" s="2561"/>
      <c r="BA79" s="2561"/>
      <c r="BB79" s="2561"/>
      <c r="BC79" s="2561"/>
      <c r="BD79" s="2561"/>
      <c r="BE79" s="2561"/>
      <c r="BF79" s="2561"/>
      <c r="BG79" s="2561"/>
      <c r="BH79" s="2561"/>
      <c r="BI79" s="2561"/>
      <c r="BJ79" s="2561"/>
      <c r="BK79" s="2561"/>
      <c r="BL79" s="2561"/>
      <c r="BM79" s="2561"/>
      <c r="BN79" s="2561"/>
      <c r="BO79" s="2561"/>
      <c r="BP79" s="2561"/>
      <c r="BQ79" s="2561"/>
      <c r="BR79" s="2561"/>
      <c r="BS79" s="2561"/>
      <c r="BT79" s="2561"/>
      <c r="BU79" s="2561"/>
      <c r="BV79" s="2561"/>
      <c r="BW79" s="2561"/>
      <c r="BX79" s="2561"/>
      <c r="BY79" s="2561"/>
      <c r="BZ79" s="2561"/>
      <c r="CA79" s="2561"/>
      <c r="CB79" s="2682"/>
      <c r="CC79" s="2561"/>
    </row>
    <row r="80" spans="1:81">
      <c r="A80" s="951" t="s">
        <v>330</v>
      </c>
      <c r="B80" s="35"/>
      <c r="C80" s="190"/>
      <c r="D80" s="1849">
        <f>'OUTPUTS &amp; Inputs'!C141</f>
        <v>2.0912000000000002</v>
      </c>
      <c r="E80" s="535">
        <f>'OUTPUTS &amp; Inputs'!D141</f>
        <v>2.59795</v>
      </c>
      <c r="F80" s="535">
        <f>'OUTPUTS &amp; Inputs'!E141</f>
        <v>3.1047000000000002</v>
      </c>
      <c r="G80" s="535">
        <f>'OUTPUTS &amp; Inputs'!F141</f>
        <v>3.4010499999999997</v>
      </c>
      <c r="H80" s="535">
        <f>'OUTPUTS &amp; Inputs'!G141</f>
        <v>3.6974</v>
      </c>
      <c r="I80" s="536">
        <f>'OUTPUTS &amp; Inputs'!H141</f>
        <v>3.9937499999999999</v>
      </c>
      <c r="J80" s="535">
        <f>'OUTPUTS &amp; Inputs'!I141</f>
        <v>4.1211000000000002</v>
      </c>
      <c r="K80" s="1842">
        <f>'OUTPUTS &amp; Inputs'!J141</f>
        <v>4.2484500000000001</v>
      </c>
      <c r="L80"/>
      <c r="M80" s="205" t="s">
        <v>435</v>
      </c>
      <c r="N80" s="2"/>
      <c r="O80" s="2"/>
      <c r="P80" s="2311">
        <f>Q44</f>
        <v>2500</v>
      </c>
      <c r="Q80" s="2"/>
      <c r="R80" s="2"/>
      <c r="S80" s="2"/>
      <c r="T80" s="2"/>
      <c r="U80" s="2"/>
      <c r="V80" s="35"/>
      <c r="W80"/>
      <c r="X80"/>
      <c r="Y80"/>
      <c r="Z80"/>
      <c r="AA80" s="1"/>
      <c r="AB80"/>
      <c r="AC80"/>
      <c r="AD80"/>
      <c r="AE80" s="2561"/>
      <c r="AF80" s="2561"/>
      <c r="AG80" s="2561"/>
      <c r="AH80" s="2561"/>
      <c r="AI80" s="2561"/>
      <c r="AJ80" s="2561"/>
      <c r="AK80" s="2561"/>
      <c r="AL80" s="2561"/>
      <c r="AN80" s="2562"/>
      <c r="AO80" s="2562"/>
      <c r="AP80" s="2562"/>
      <c r="AQ80" s="2562"/>
      <c r="AR80" s="2562"/>
      <c r="AT80" s="2561"/>
      <c r="AU80" s="2561"/>
      <c r="AV80" s="2561"/>
      <c r="AW80" s="2561"/>
      <c r="AX80" s="2561"/>
      <c r="AY80" s="2561"/>
      <c r="AZ80" s="2561"/>
      <c r="BA80" s="2561"/>
      <c r="BB80" s="2561"/>
      <c r="BC80" s="2561"/>
      <c r="BD80" s="2561"/>
      <c r="BE80" s="2561"/>
      <c r="BF80" s="2561"/>
      <c r="BG80" s="2561"/>
      <c r="BH80" s="2561"/>
      <c r="BI80" s="2561"/>
      <c r="BJ80" s="2561"/>
      <c r="BK80" s="2561"/>
      <c r="BL80" s="2561"/>
      <c r="BM80" s="2561"/>
      <c r="BN80" s="2561"/>
      <c r="BO80" s="2561"/>
      <c r="BP80" s="2561"/>
      <c r="BQ80" s="2561"/>
      <c r="BR80" s="2561"/>
      <c r="BS80" s="2561"/>
      <c r="BT80" s="2561"/>
      <c r="BU80" s="2561"/>
      <c r="BV80" s="2561"/>
      <c r="BW80" s="2561"/>
      <c r="BX80" s="2561"/>
      <c r="BY80" s="2561"/>
      <c r="BZ80" s="2561"/>
      <c r="CA80" s="2561"/>
      <c r="CB80" s="2682"/>
      <c r="CC80" s="2561"/>
    </row>
    <row r="81" spans="1:81">
      <c r="A81" s="950" t="s">
        <v>117</v>
      </c>
      <c r="B81" s="35"/>
      <c r="C81" s="189"/>
      <c r="D81" s="1850">
        <f>'OUTPUTS &amp; Inputs'!C142</f>
        <v>2.6447000000000003</v>
      </c>
      <c r="E81" s="535">
        <f>'OUTPUTS &amp; Inputs'!D142</f>
        <v>3.2766999999999999</v>
      </c>
      <c r="F81" s="539">
        <f>'OUTPUTS &amp; Inputs'!E142</f>
        <v>3.9087000000000001</v>
      </c>
      <c r="G81" s="535">
        <f>'OUTPUTS &amp; Inputs'!F142</f>
        <v>4.2450666666666663</v>
      </c>
      <c r="H81" s="535">
        <f>'OUTPUTS &amp; Inputs'!G142</f>
        <v>4.581433333333333</v>
      </c>
      <c r="I81" s="540">
        <f>'OUTPUTS &amp; Inputs'!H142</f>
        <v>4.9177999999999997</v>
      </c>
      <c r="J81" s="535">
        <f>'OUTPUTS &amp; Inputs'!I142</f>
        <v>5.01905</v>
      </c>
      <c r="K81" s="1843">
        <f>'OUTPUTS &amp; Inputs'!J142</f>
        <v>5.1203000000000003</v>
      </c>
      <c r="L81"/>
      <c r="M81" s="205" t="s">
        <v>436</v>
      </c>
      <c r="N81" s="2"/>
      <c r="O81" s="2"/>
      <c r="P81" s="2312">
        <f>O71/(5+P61)</f>
        <v>1494.3034659353382</v>
      </c>
      <c r="Q81" s="2"/>
      <c r="R81" s="2"/>
      <c r="S81" s="2"/>
      <c r="T81" s="2"/>
      <c r="U81" s="2"/>
      <c r="V81" s="35"/>
      <c r="W81"/>
      <c r="X81"/>
      <c r="Y81"/>
      <c r="Z81"/>
      <c r="AA81" s="1"/>
      <c r="AB81"/>
      <c r="AC81"/>
      <c r="AD81"/>
      <c r="AE81" s="2561"/>
      <c r="AF81" s="2561"/>
      <c r="AG81" s="2561"/>
      <c r="AH81" s="2561"/>
      <c r="AI81" s="2561"/>
      <c r="AJ81" s="2561"/>
      <c r="AK81" s="2561"/>
      <c r="AL81" s="2561"/>
      <c r="AN81" s="2562"/>
      <c r="AO81" s="2562"/>
      <c r="AP81" s="2562"/>
      <c r="AQ81" s="2562"/>
      <c r="AR81" s="2562"/>
      <c r="AT81" s="2561"/>
      <c r="AU81" s="2561"/>
      <c r="AV81" s="2561"/>
      <c r="AW81" s="2561"/>
      <c r="AX81" s="2561"/>
      <c r="AY81" s="2561"/>
      <c r="AZ81" s="2561"/>
      <c r="BA81" s="2561"/>
      <c r="BB81" s="2561"/>
      <c r="BC81" s="2561"/>
      <c r="BD81" s="2561"/>
      <c r="BE81" s="2561"/>
      <c r="BF81" s="2561"/>
      <c r="BG81" s="2561"/>
      <c r="BH81" s="2561"/>
      <c r="BI81" s="2561"/>
      <c r="BJ81" s="2561"/>
      <c r="BK81" s="2561"/>
      <c r="BL81" s="2561"/>
      <c r="BM81" s="2561"/>
      <c r="BN81" s="2561"/>
      <c r="BO81" s="2561"/>
      <c r="BP81" s="2561"/>
      <c r="BQ81" s="2561"/>
      <c r="BR81" s="2561"/>
      <c r="BS81" s="2561"/>
      <c r="BT81" s="2561"/>
      <c r="BU81" s="2561"/>
      <c r="BV81" s="2561"/>
      <c r="BW81" s="2561"/>
      <c r="BX81" s="2561"/>
      <c r="BY81" s="2561"/>
      <c r="BZ81" s="2561"/>
      <c r="CA81" s="2561"/>
      <c r="CB81" s="2682"/>
      <c r="CC81" s="2561"/>
    </row>
    <row r="82" spans="1:81">
      <c r="A82" s="953" t="s">
        <v>329</v>
      </c>
      <c r="B82" s="35"/>
      <c r="C82" s="191"/>
      <c r="D82" s="1851">
        <f>'OUTPUTS &amp; Inputs'!C143</f>
        <v>3.1982000000000004</v>
      </c>
      <c r="E82" s="535">
        <f>'OUTPUTS &amp; Inputs'!D143</f>
        <v>3.9554499999999999</v>
      </c>
      <c r="F82" s="543">
        <f>'OUTPUTS &amp; Inputs'!E143</f>
        <v>4.7126999999999999</v>
      </c>
      <c r="G82" s="535">
        <f>'OUTPUTS &amp; Inputs'!F143</f>
        <v>5.089083333333333</v>
      </c>
      <c r="H82" s="535">
        <f>'OUTPUTS &amp; Inputs'!G143</f>
        <v>5.465466666666666</v>
      </c>
      <c r="I82" s="544">
        <f>'OUTPUTS &amp; Inputs'!H143</f>
        <v>5.8418499999999991</v>
      </c>
      <c r="J82" s="535">
        <f>'OUTPUTS &amp; Inputs'!I143</f>
        <v>5.3228075902335457</v>
      </c>
      <c r="K82" s="1844">
        <f>'OUTPUTS &amp; Inputs'!J143</f>
        <v>5.9921500000000005</v>
      </c>
      <c r="L82"/>
      <c r="M82" s="205" t="s">
        <v>437</v>
      </c>
      <c r="N82" s="2"/>
      <c r="O82" s="2"/>
      <c r="P82" s="2310">
        <f>P79+P80-P81</f>
        <v>11005.696534064662</v>
      </c>
      <c r="Q82" s="2"/>
      <c r="R82" s="2"/>
      <c r="S82" s="2"/>
      <c r="T82" s="2"/>
      <c r="U82" s="2"/>
      <c r="V82" s="35"/>
      <c r="W82"/>
      <c r="X82"/>
      <c r="Y82"/>
      <c r="Z82"/>
      <c r="AA82" s="1"/>
      <c r="AB82"/>
      <c r="AC82"/>
      <c r="AD82"/>
      <c r="AE82" s="2561"/>
      <c r="AF82" s="2561"/>
      <c r="AG82" s="2561"/>
      <c r="AH82" s="2561"/>
      <c r="AI82" s="2561"/>
      <c r="AJ82" s="2561"/>
      <c r="AK82" s="2561"/>
      <c r="AL82" s="2561"/>
      <c r="AN82" s="2562"/>
      <c r="AO82" s="2562"/>
      <c r="AP82" s="2562"/>
      <c r="AQ82" s="2562"/>
      <c r="AR82" s="2562"/>
      <c r="AT82" s="2561"/>
      <c r="AU82" s="2561"/>
      <c r="AV82" s="2561"/>
      <c r="AW82" s="2561"/>
      <c r="AX82" s="2561"/>
      <c r="AY82" s="2561"/>
      <c r="AZ82" s="2561"/>
      <c r="BA82" s="2561"/>
      <c r="BB82" s="2561"/>
      <c r="BC82" s="2561"/>
      <c r="BD82" s="2561"/>
      <c r="BE82" s="2561"/>
      <c r="BF82" s="2561"/>
      <c r="BG82" s="2561"/>
      <c r="BH82" s="2561"/>
      <c r="BI82" s="2561"/>
      <c r="BJ82" s="2561"/>
      <c r="BK82" s="2561"/>
      <c r="BL82" s="2561"/>
      <c r="BM82" s="2561"/>
      <c r="BN82" s="2561"/>
      <c r="BO82" s="2561"/>
      <c r="BP82" s="2561"/>
      <c r="BQ82" s="2561"/>
      <c r="BR82" s="2561"/>
      <c r="BS82" s="2561"/>
      <c r="BT82" s="2561"/>
      <c r="BU82" s="2561"/>
      <c r="BV82" s="2561"/>
      <c r="BW82" s="2561"/>
      <c r="BX82" s="2561"/>
      <c r="BY82" s="2561"/>
      <c r="BZ82" s="2561"/>
      <c r="CA82" s="2561"/>
      <c r="CB82" s="2682"/>
      <c r="CC82" s="2561"/>
    </row>
    <row r="83" spans="1:81">
      <c r="A83" s="953" t="s">
        <v>109</v>
      </c>
      <c r="B83" s="35"/>
      <c r="C83" s="191"/>
      <c r="D83" s="1851">
        <f>'OUTPUTS &amp; Inputs'!C144</f>
        <v>3.7517000000000005</v>
      </c>
      <c r="E83" s="535">
        <f>'OUTPUTS &amp; Inputs'!D144</f>
        <v>4.6341999999999999</v>
      </c>
      <c r="F83" s="543">
        <f>'OUTPUTS &amp; Inputs'!E144</f>
        <v>5.5167000000000002</v>
      </c>
      <c r="G83" s="535">
        <f>'OUTPUTS &amp; Inputs'!F144</f>
        <v>5.9330999999999996</v>
      </c>
      <c r="H83" s="535">
        <f>'OUTPUTS &amp; Inputs'!G144</f>
        <v>6.349499999999999</v>
      </c>
      <c r="I83" s="544">
        <f>'OUTPUTS &amp; Inputs'!H144</f>
        <v>6.7658999999999985</v>
      </c>
      <c r="J83" s="535">
        <f>'OUTPUTS &amp; Inputs'!I144</f>
        <v>5.6265651804670913</v>
      </c>
      <c r="K83" s="1844">
        <f>'OUTPUTS &amp; Inputs'!J144</f>
        <v>6.8640000000000008</v>
      </c>
      <c r="L83"/>
      <c r="M83" s="34"/>
      <c r="N83" s="2"/>
      <c r="O83" s="2"/>
      <c r="P83" s="2"/>
      <c r="Q83" s="2"/>
      <c r="R83" s="2"/>
      <c r="S83" s="2"/>
      <c r="T83" s="2"/>
      <c r="U83" s="2"/>
      <c r="V83" s="35"/>
      <c r="W83"/>
      <c r="X83"/>
      <c r="Y83"/>
      <c r="Z83"/>
      <c r="AA83" s="1"/>
      <c r="AB83"/>
      <c r="AC83"/>
      <c r="AD83"/>
      <c r="AE83" s="2561"/>
      <c r="AF83" s="2561"/>
      <c r="AG83" s="2561"/>
      <c r="AH83" s="2561"/>
      <c r="AI83" s="2561"/>
      <c r="AJ83" s="2561"/>
      <c r="AK83" s="2561"/>
      <c r="AL83" s="2561"/>
      <c r="AN83" s="2562"/>
      <c r="AO83" s="2562"/>
      <c r="AP83" s="2562"/>
      <c r="AQ83" s="2562"/>
      <c r="AR83" s="2562"/>
      <c r="AT83" s="2561"/>
      <c r="AU83" s="2561"/>
      <c r="AV83" s="2561"/>
      <c r="AW83" s="2561"/>
      <c r="AX83" s="2561"/>
      <c r="AY83" s="2561"/>
      <c r="AZ83" s="2561"/>
      <c r="BA83" s="2561"/>
      <c r="BB83" s="2561"/>
      <c r="BC83" s="2561"/>
      <c r="BD83" s="2561"/>
      <c r="BE83" s="2561"/>
      <c r="BF83" s="2561"/>
      <c r="BG83" s="2561"/>
      <c r="BH83" s="2561"/>
      <c r="BI83" s="2561"/>
      <c r="BJ83" s="2561"/>
      <c r="BK83" s="2561"/>
      <c r="BL83" s="2561"/>
      <c r="BM83" s="2561"/>
      <c r="BN83" s="2561"/>
      <c r="BO83" s="2561"/>
      <c r="BP83" s="2561"/>
      <c r="BQ83" s="2561"/>
      <c r="BR83" s="2561"/>
      <c r="BS83" s="2561"/>
      <c r="BT83" s="2561"/>
      <c r="BU83" s="2561"/>
      <c r="BV83" s="2561"/>
      <c r="BW83" s="2561"/>
      <c r="BX83" s="2561"/>
      <c r="BY83" s="2561"/>
      <c r="BZ83" s="2561"/>
      <c r="CA83" s="2561"/>
      <c r="CB83" s="2682"/>
      <c r="CC83" s="2561"/>
    </row>
    <row r="84" spans="1:81">
      <c r="A84" s="954" t="s">
        <v>331</v>
      </c>
      <c r="B84" s="35"/>
      <c r="C84" s="192"/>
      <c r="D84" s="1851">
        <f>'OUTPUTS &amp; Inputs'!C145</f>
        <v>4.1945000000000006</v>
      </c>
      <c r="E84" s="535">
        <f>'OUTPUTS &amp; Inputs'!D145</f>
        <v>5.1772000000000009</v>
      </c>
      <c r="F84" s="543">
        <f>'OUTPUTS &amp; Inputs'!E145</f>
        <v>6.1599000000000004</v>
      </c>
      <c r="G84" s="535">
        <f>'OUTPUTS &amp; Inputs'!F145</f>
        <v>6.6083133333333333</v>
      </c>
      <c r="H84" s="535">
        <f>'OUTPUTS &amp; Inputs'!G145</f>
        <v>7.0567266666666653</v>
      </c>
      <c r="I84" s="544">
        <f>'OUTPUTS &amp; Inputs'!H145</f>
        <v>7.5051399999999981</v>
      </c>
      <c r="J84" s="535">
        <f>'OUTPUTS &amp; Inputs'!I145</f>
        <v>7.5333100000000002</v>
      </c>
      <c r="K84" s="1844">
        <f>'OUTPUTS &amp; Inputs'!J145</f>
        <v>7.5614800000000013</v>
      </c>
      <c r="L84"/>
      <c r="M84" s="34"/>
      <c r="N84" s="2"/>
      <c r="O84" s="2"/>
      <c r="P84" s="2"/>
      <c r="Q84" s="2"/>
      <c r="R84" s="2"/>
      <c r="S84" s="2"/>
      <c r="T84" s="2"/>
      <c r="U84" s="2"/>
      <c r="V84" s="35"/>
      <c r="W84"/>
      <c r="X84" s="1"/>
      <c r="Y84" s="1"/>
      <c r="Z84" s="1"/>
      <c r="AA84" s="1"/>
      <c r="AB84"/>
      <c r="AC84"/>
      <c r="AD84"/>
      <c r="AE84" s="2561"/>
      <c r="AF84" s="2561"/>
      <c r="AG84" s="2561"/>
      <c r="AH84" s="2561"/>
      <c r="AI84" s="2561"/>
      <c r="AJ84" s="2561"/>
      <c r="AK84" s="2561"/>
      <c r="AL84" s="2561"/>
      <c r="AN84" s="2562"/>
      <c r="AO84" s="2562"/>
      <c r="AP84" s="2562"/>
      <c r="AQ84" s="2562"/>
      <c r="AR84" s="2562"/>
      <c r="AT84" s="2561"/>
      <c r="AU84" s="2561"/>
      <c r="AV84" s="2561"/>
      <c r="AW84" s="2561"/>
      <c r="AX84" s="2561"/>
      <c r="AY84" s="2561"/>
      <c r="AZ84" s="2561"/>
      <c r="BA84" s="2561"/>
      <c r="BB84" s="2561"/>
      <c r="BC84" s="2561"/>
      <c r="BD84" s="2561"/>
      <c r="BE84" s="2561"/>
      <c r="BF84" s="2561"/>
      <c r="BG84" s="2561"/>
      <c r="BH84" s="2561"/>
      <c r="BI84" s="2561"/>
      <c r="BJ84" s="2561"/>
      <c r="BK84" s="2561"/>
      <c r="BL84" s="2561"/>
      <c r="BM84" s="2561"/>
      <c r="BN84" s="2561"/>
      <c r="BO84" s="2561"/>
      <c r="BP84" s="2561"/>
      <c r="BQ84" s="2561"/>
      <c r="BR84" s="2561"/>
      <c r="BS84" s="2561"/>
      <c r="BT84" s="2561"/>
      <c r="BU84" s="2561"/>
      <c r="BV84" s="2561"/>
      <c r="BW84" s="2561"/>
      <c r="BX84" s="2561"/>
      <c r="BY84" s="2561"/>
      <c r="BZ84" s="2561"/>
      <c r="CA84" s="2561"/>
      <c r="CB84" s="2682"/>
      <c r="CC84" s="2561"/>
    </row>
    <row r="85" spans="1:81">
      <c r="A85" s="955" t="s">
        <v>112</v>
      </c>
      <c r="B85" s="136"/>
      <c r="C85" s="192"/>
      <c r="D85" s="1852">
        <f>'OUTPUTS &amp; Inputs'!C146</f>
        <v>4.5487400000000004</v>
      </c>
      <c r="E85" s="547">
        <f>'OUTPUTS &amp; Inputs'!D146</f>
        <v>5.611600000000001</v>
      </c>
      <c r="F85" s="548">
        <f>'OUTPUTS &amp; Inputs'!E146</f>
        <v>6.6744600000000007</v>
      </c>
      <c r="G85" s="547">
        <f>'OUTPUTS &amp; Inputs'!F146</f>
        <v>7.1484839999999998</v>
      </c>
      <c r="H85" s="547">
        <f>'OUTPUTS &amp; Inputs'!G146</f>
        <v>7.622507999999999</v>
      </c>
      <c r="I85" s="549">
        <f>'OUTPUTS &amp; Inputs'!H146</f>
        <v>8.0965319999999981</v>
      </c>
      <c r="J85" s="547">
        <f>'OUTPUTS &amp; Inputs'!I146</f>
        <v>8.1079980000000003</v>
      </c>
      <c r="K85" s="1845">
        <f>'OUTPUTS &amp; Inputs'!J146</f>
        <v>8.1194640000000025</v>
      </c>
      <c r="L85"/>
      <c r="M85" s="213"/>
      <c r="N85" s="135"/>
      <c r="O85" s="135"/>
      <c r="P85" s="135"/>
      <c r="Q85" s="135"/>
      <c r="R85" s="135"/>
      <c r="S85" s="135"/>
      <c r="T85" s="135"/>
      <c r="U85" s="135"/>
      <c r="V85" s="136"/>
      <c r="W85"/>
      <c r="X85" s="1"/>
      <c r="Y85" s="1"/>
      <c r="Z85" s="1"/>
      <c r="AA85" s="1"/>
      <c r="AB85"/>
      <c r="AC85"/>
      <c r="AD85"/>
      <c r="AE85" s="2561"/>
      <c r="AF85" s="2561"/>
      <c r="AG85" s="2561"/>
      <c r="AH85" s="2561"/>
      <c r="AI85" s="2561"/>
      <c r="AJ85" s="2561"/>
      <c r="AK85" s="2561"/>
      <c r="AL85" s="2561"/>
      <c r="AN85" s="2562"/>
      <c r="AO85" s="2562"/>
      <c r="AP85" s="2562"/>
      <c r="AQ85" s="2562"/>
      <c r="AR85" s="2562"/>
      <c r="AT85" s="2561"/>
      <c r="AU85" s="2561"/>
      <c r="AV85" s="2561"/>
      <c r="AW85" s="2561"/>
      <c r="AX85" s="2561"/>
      <c r="AY85" s="2561"/>
      <c r="AZ85" s="2561"/>
      <c r="BA85" s="2561"/>
      <c r="BB85" s="2561"/>
      <c r="BC85" s="2561"/>
      <c r="BD85" s="2561"/>
      <c r="BE85" s="2561"/>
      <c r="BF85" s="2561"/>
      <c r="BG85" s="2561"/>
      <c r="BH85" s="2561"/>
      <c r="BI85" s="2561"/>
      <c r="BJ85" s="2561"/>
      <c r="BK85" s="2561"/>
      <c r="BL85" s="2561"/>
      <c r="BM85" s="2561"/>
      <c r="BN85" s="2561"/>
      <c r="BO85" s="2561"/>
      <c r="BP85" s="2561"/>
      <c r="BQ85" s="2561"/>
      <c r="BR85" s="2561"/>
      <c r="BS85" s="2561"/>
      <c r="BT85" s="2561"/>
      <c r="BU85" s="2561"/>
      <c r="BV85" s="2561"/>
      <c r="BW85" s="2561"/>
      <c r="BX85" s="2561"/>
      <c r="BY85" s="2561"/>
      <c r="BZ85" s="2561"/>
      <c r="CA85" s="2561"/>
      <c r="CB85" s="2682"/>
      <c r="CC85" s="2561"/>
    </row>
    <row r="86" spans="1:81">
      <c r="A86"/>
      <c r="B86" s="1859"/>
      <c r="C86" s="1"/>
      <c r="D86"/>
      <c r="E86"/>
      <c r="F86"/>
      <c r="G86"/>
      <c r="H86"/>
      <c r="I86"/>
      <c r="J86"/>
      <c r="K86"/>
      <c r="L86"/>
      <c r="M86"/>
      <c r="N86"/>
      <c r="O86"/>
      <c r="P86"/>
      <c r="Q86"/>
      <c r="R86"/>
      <c r="S86"/>
      <c r="T86"/>
      <c r="U86"/>
      <c r="V86"/>
      <c r="W86"/>
      <c r="X86" s="1"/>
      <c r="Y86" s="1"/>
      <c r="Z86" s="1"/>
      <c r="AA86" s="1"/>
      <c r="AB86"/>
      <c r="AC86"/>
      <c r="AD86"/>
      <c r="AE86" s="2561"/>
      <c r="AF86" s="2561"/>
      <c r="AG86" s="2561"/>
      <c r="AH86" s="2561"/>
      <c r="AI86" s="2561"/>
      <c r="AJ86" s="2561"/>
      <c r="AK86" s="2561"/>
      <c r="AL86" s="2561"/>
      <c r="AN86" s="2562"/>
      <c r="AO86" s="2562"/>
      <c r="AP86" s="2562"/>
      <c r="AQ86" s="2562"/>
      <c r="AR86" s="2562"/>
      <c r="AT86" s="2561"/>
      <c r="AU86" s="2561"/>
      <c r="AV86" s="2561"/>
      <c r="AW86" s="2561"/>
      <c r="AX86" s="2561"/>
      <c r="AY86" s="2561"/>
      <c r="AZ86" s="2561"/>
      <c r="BA86" s="2561"/>
      <c r="BB86" s="2561"/>
      <c r="BC86" s="2561"/>
      <c r="BD86" s="2561"/>
      <c r="BE86" s="2561"/>
      <c r="BF86" s="2561"/>
      <c r="BG86" s="2561"/>
      <c r="BH86" s="2561"/>
      <c r="BI86" s="2561"/>
      <c r="BJ86" s="2561"/>
      <c r="BK86" s="2561"/>
      <c r="BL86" s="2561"/>
      <c r="BM86" s="2561"/>
      <c r="BN86" s="2561"/>
      <c r="BO86" s="2561"/>
      <c r="BP86" s="2561"/>
      <c r="BQ86" s="2561"/>
      <c r="BR86" s="2561"/>
      <c r="BS86" s="2561"/>
      <c r="BT86" s="2561"/>
      <c r="BU86" s="2561"/>
      <c r="BV86" s="2561"/>
      <c r="BW86" s="2561"/>
      <c r="BX86" s="2561"/>
      <c r="BY86" s="2561"/>
      <c r="BZ86" s="2561"/>
      <c r="CA86" s="2561"/>
      <c r="CB86" s="2682"/>
      <c r="CC86" s="2561"/>
    </row>
    <row r="87" spans="1:81">
      <c r="A87"/>
      <c r="B87" s="35"/>
      <c r="C87" s="1"/>
      <c r="D87"/>
      <c r="E87"/>
      <c r="F87"/>
      <c r="G87"/>
      <c r="H87"/>
      <c r="I87"/>
      <c r="J87"/>
      <c r="K87"/>
      <c r="L87"/>
      <c r="M87"/>
      <c r="N87"/>
      <c r="O87"/>
      <c r="P87"/>
      <c r="Q87"/>
      <c r="R87"/>
      <c r="S87"/>
      <c r="T87"/>
      <c r="U87"/>
      <c r="V87"/>
      <c r="W87"/>
      <c r="X87" s="1"/>
      <c r="Y87" s="1"/>
      <c r="Z87" s="1"/>
      <c r="AA87" s="1"/>
      <c r="AB87"/>
      <c r="AC87"/>
      <c r="AD87"/>
      <c r="AE87" s="2561"/>
      <c r="AF87" s="2561"/>
      <c r="AG87" s="2561"/>
      <c r="AH87" s="2561"/>
      <c r="AI87" s="2561"/>
      <c r="AJ87" s="2561"/>
      <c r="AK87" s="2561"/>
      <c r="AL87" s="2561"/>
      <c r="AN87" s="2562"/>
      <c r="AO87" s="2562"/>
      <c r="AP87" s="2562"/>
      <c r="AQ87" s="2562"/>
      <c r="AR87" s="2562"/>
      <c r="AT87" s="2561"/>
      <c r="AU87" s="2561"/>
      <c r="AV87" s="2561"/>
      <c r="AW87" s="2561"/>
      <c r="AX87" s="2561"/>
      <c r="AY87" s="2561"/>
      <c r="AZ87" s="2561"/>
      <c r="BA87" s="2561"/>
      <c r="BB87" s="2561"/>
      <c r="BC87" s="2561"/>
      <c r="BD87" s="2561"/>
      <c r="BE87" s="2561"/>
      <c r="BF87" s="2561"/>
      <c r="BG87" s="2561"/>
      <c r="BH87" s="2561"/>
      <c r="BI87" s="2561"/>
      <c r="BJ87" s="2561"/>
      <c r="BK87" s="2561"/>
      <c r="BL87" s="2561"/>
      <c r="BM87" s="2561"/>
      <c r="BN87" s="2561"/>
      <c r="BO87" s="2561"/>
      <c r="BP87" s="2561"/>
      <c r="BQ87" s="2561"/>
      <c r="BR87" s="2561"/>
      <c r="BS87" s="2561"/>
      <c r="BT87" s="2561"/>
      <c r="BU87" s="2561"/>
      <c r="BV87" s="2561"/>
      <c r="BW87" s="2561"/>
      <c r="BX87" s="2561"/>
      <c r="BY87" s="2561"/>
      <c r="BZ87" s="2561"/>
      <c r="CA87" s="2561"/>
      <c r="CB87" s="2682"/>
      <c r="CC87" s="2561"/>
    </row>
    <row r="88" spans="1:81" s="2291" customFormat="1">
      <c r="A88" s="2298"/>
      <c r="B88" s="2301"/>
      <c r="AE88" s="2682"/>
      <c r="AF88" s="2682"/>
      <c r="AG88" s="2682"/>
      <c r="AH88" s="2682"/>
      <c r="AI88" s="2682"/>
      <c r="AJ88" s="2682"/>
      <c r="AK88" s="2682"/>
      <c r="AL88" s="2682"/>
      <c r="AN88" s="2592"/>
      <c r="AO88" s="2592"/>
      <c r="AP88" s="2592"/>
      <c r="AQ88" s="2592"/>
      <c r="AR88" s="2592"/>
      <c r="AT88" s="2682"/>
      <c r="AU88" s="2682"/>
      <c r="AV88" s="2682"/>
      <c r="AW88" s="2682"/>
      <c r="AX88" s="2682"/>
      <c r="AY88" s="2682"/>
      <c r="AZ88" s="2682"/>
      <c r="BA88" s="2682"/>
      <c r="BB88" s="2682"/>
      <c r="BC88" s="2682"/>
      <c r="BD88" s="2682"/>
      <c r="BE88" s="2682"/>
      <c r="BF88" s="2682"/>
      <c r="BG88" s="2682"/>
      <c r="BH88" s="2682"/>
      <c r="BI88" s="2682"/>
      <c r="BJ88" s="2682"/>
      <c r="BK88" s="2682"/>
      <c r="BL88" s="2682"/>
      <c r="BM88" s="2682"/>
      <c r="BN88" s="2682"/>
      <c r="BO88" s="2682"/>
      <c r="BP88" s="2682"/>
      <c r="BQ88" s="2682"/>
      <c r="BR88" s="2682"/>
      <c r="BS88" s="2682"/>
      <c r="BT88" s="2682"/>
      <c r="BU88" s="2682"/>
      <c r="BV88" s="2682"/>
      <c r="BW88" s="2682"/>
      <c r="BX88" s="2682"/>
      <c r="BY88" s="2682"/>
      <c r="BZ88" s="2682"/>
      <c r="CA88" s="2682"/>
      <c r="CB88" s="2682"/>
      <c r="CC88" s="2682"/>
    </row>
  </sheetData>
  <mergeCells count="10">
    <mergeCell ref="D2:F2"/>
    <mergeCell ref="M39:V41"/>
    <mergeCell ref="X40:AB41"/>
    <mergeCell ref="X42:AB43"/>
    <mergeCell ref="X44:AB45"/>
    <mergeCell ref="X46:AB47"/>
    <mergeCell ref="X49:AB50"/>
    <mergeCell ref="Z65:AB67"/>
    <mergeCell ref="X38:AB38"/>
    <mergeCell ref="X75:AB77"/>
  </mergeCells>
  <hyperlinks>
    <hyperlink ref="A2" location="'OPERATING LEASES'!AB64" display="See notes below"/>
    <hyperlink ref="X74" r:id="rId1" display="https://www.fitchratings.com/creditdesk/reports/report_frame.cfm?rpt_id=462222"/>
  </hyperlinks>
  <pageMargins left="0.7" right="0.7" top="0.75" bottom="0.75" header="0.3" footer="0.3"/>
  <pageSetup paperSize="9" orientation="portrait"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1140"/>
  <sheetViews>
    <sheetView showGridLines="0" zoomScale="88" zoomScaleNormal="88" workbookViewId="0">
      <pane xSplit="4" ySplit="3" topLeftCell="F4" activePane="bottomRight" state="frozen"/>
      <selection pane="topRight" activeCell="E1" sqref="E1"/>
      <selection pane="bottomLeft" activeCell="A4" sqref="A4"/>
      <selection pane="bottomRight" activeCell="I1" sqref="I1:L1048576"/>
    </sheetView>
  </sheetViews>
  <sheetFormatPr defaultColWidth="11.42578125" defaultRowHeight="12.75"/>
  <cols>
    <col min="1" max="1" width="15.140625" style="2561" customWidth="1"/>
    <col min="2" max="2" width="12.28515625" style="2561" customWidth="1"/>
    <col min="3" max="3" width="11.42578125" style="2561"/>
    <col min="4" max="4" width="4.28515625" style="2615" customWidth="1"/>
    <col min="5" max="5" width="2.85546875" style="2562" customWidth="1"/>
    <col min="6" max="6" width="6" style="2581" bestFit="1" customWidth="1"/>
    <col min="7" max="7" width="8.140625" style="2581" bestFit="1" customWidth="1"/>
    <col min="8" max="8" width="1.42578125" style="2580" customWidth="1"/>
    <col min="9" max="11" width="7.28515625" style="2581" customWidth="1"/>
    <col min="12" max="12" width="7.28515625" style="2617" customWidth="1"/>
    <col min="13" max="13" width="1.42578125" style="2562" customWidth="1"/>
    <col min="14" max="16" width="7.28515625" style="2581" customWidth="1"/>
    <col min="17" max="17" width="7.28515625" style="2617" customWidth="1"/>
    <col min="18" max="18" width="1.42578125" style="2562" customWidth="1"/>
    <col min="19" max="21" width="7.28515625" style="2580" customWidth="1"/>
    <col min="22" max="22" width="7.28515625" style="2617" customWidth="1"/>
    <col min="23" max="23" width="1.42578125" style="2562" customWidth="1"/>
    <col min="24" max="24" width="7.28515625" style="2619" customWidth="1"/>
    <col min="25" max="26" width="7.28515625" style="2627" customWidth="1"/>
    <col min="27" max="27" width="7.28515625" style="2617" customWidth="1"/>
    <col min="28" max="28" width="1.42578125" style="2562" customWidth="1"/>
    <col min="29" max="31" width="7.28515625" style="2562" customWidth="1"/>
    <col min="32" max="32" width="7.28515625" style="2617" customWidth="1"/>
    <col min="33" max="33" width="5.5703125" style="2561" bestFit="1" customWidth="1"/>
    <col min="34" max="34" width="1.42578125" style="2562" customWidth="1"/>
    <col min="35" max="35" width="5.5703125" style="2619" bestFit="1" customWidth="1"/>
    <col min="36" max="36" width="8.140625" style="2619" bestFit="1" customWidth="1"/>
    <col min="37" max="37" width="1.42578125" style="2562" customWidth="1"/>
    <col min="38" max="40" width="7.28515625" style="2580" customWidth="1"/>
    <col min="41" max="41" width="7.28515625" style="2617" customWidth="1"/>
    <col min="42" max="42" width="1.42578125" style="2562" customWidth="1"/>
    <col min="43" max="45" width="7.28515625" style="2562" customWidth="1"/>
    <col min="46" max="46" width="7.28515625" style="2617" customWidth="1"/>
    <col min="47" max="47" width="5.42578125" style="2561" bestFit="1" customWidth="1"/>
    <col min="48" max="48" width="2.85546875" style="2562" customWidth="1"/>
    <col min="49" max="51" width="7.28515625" style="2619" customWidth="1"/>
    <col min="52" max="52" width="7.28515625" style="2624" customWidth="1"/>
    <col min="53" max="53" width="1.42578125" style="2562" customWidth="1"/>
    <col min="54" max="57" width="7.28515625" style="2561" customWidth="1"/>
    <col min="58" max="58" width="5" style="2562" customWidth="1"/>
    <col min="59" max="59" width="1.42578125" style="2562" customWidth="1"/>
    <col min="60" max="63" width="7.28515625" style="2561" customWidth="1"/>
    <col min="64" max="64" width="5" style="2561" customWidth="1"/>
    <col min="65" max="65" width="2.85546875" style="2562" customWidth="1"/>
    <col min="66" max="16384" width="11.42578125" style="2581"/>
  </cols>
  <sheetData>
    <row r="1" spans="1:65">
      <c r="A1" s="109" t="s">
        <v>1924</v>
      </c>
      <c r="B1" s="2087"/>
      <c r="C1" s="2560"/>
      <c r="D1" s="2610"/>
      <c r="F1" s="4"/>
      <c r="G1" s="4"/>
      <c r="I1" s="4"/>
      <c r="J1" s="4"/>
      <c r="K1" s="4"/>
      <c r="L1" s="21"/>
      <c r="N1" s="4"/>
      <c r="O1" s="4"/>
      <c r="P1" s="4"/>
      <c r="Q1" s="21"/>
      <c r="S1" s="11"/>
      <c r="T1" s="11"/>
      <c r="U1" s="11"/>
      <c r="V1" s="21"/>
      <c r="X1" s="2583"/>
      <c r="Y1" s="2584"/>
      <c r="Z1" s="2584"/>
      <c r="AA1" s="21"/>
      <c r="AC1" s="7"/>
      <c r="AD1" s="7"/>
      <c r="AE1" s="7"/>
      <c r="AF1" s="21"/>
      <c r="AG1" s="2565"/>
      <c r="AI1" s="2583"/>
      <c r="AJ1" s="2583"/>
      <c r="AL1" s="11"/>
      <c r="AM1" s="11"/>
      <c r="AN1" s="11"/>
      <c r="AO1" s="21"/>
      <c r="AQ1" s="7"/>
      <c r="AR1" s="7"/>
      <c r="AS1" s="7"/>
      <c r="AT1" s="21"/>
      <c r="AU1" s="2565"/>
      <c r="AW1" s="2583"/>
      <c r="AX1" s="2583"/>
      <c r="AY1" s="2583"/>
      <c r="AZ1" s="475"/>
      <c r="BB1"/>
      <c r="BC1"/>
      <c r="BD1"/>
      <c r="BE1" s="2565"/>
      <c r="BF1" s="7"/>
      <c r="BH1"/>
      <c r="BI1"/>
      <c r="BJ1"/>
      <c r="BK1" s="2565"/>
      <c r="BL1"/>
    </row>
    <row r="2" spans="1:65" s="2606" customFormat="1">
      <c r="A2" s="2"/>
      <c r="B2" s="2"/>
      <c r="C2" s="2"/>
      <c r="D2" s="2611"/>
      <c r="E2" s="2592"/>
      <c r="F2" s="4528" t="s">
        <v>506</v>
      </c>
      <c r="G2" s="4528"/>
      <c r="H2" s="2563"/>
      <c r="I2" s="446" t="s">
        <v>1925</v>
      </c>
      <c r="J2" s="446" t="s">
        <v>1926</v>
      </c>
      <c r="K2" s="446" t="s">
        <v>1927</v>
      </c>
      <c r="L2" s="1931" t="s">
        <v>1935</v>
      </c>
      <c r="M2" s="2592"/>
      <c r="N2" s="446" t="s">
        <v>1925</v>
      </c>
      <c r="O2" s="446" t="s">
        <v>1926</v>
      </c>
      <c r="P2" s="446" t="s">
        <v>1927</v>
      </c>
      <c r="Q2" s="1931" t="s">
        <v>1935</v>
      </c>
      <c r="R2" s="2592"/>
      <c r="S2" s="446" t="s">
        <v>1925</v>
      </c>
      <c r="T2" s="446" t="s">
        <v>1926</v>
      </c>
      <c r="U2" s="446" t="s">
        <v>1927</v>
      </c>
      <c r="V2" s="1931" t="s">
        <v>1935</v>
      </c>
      <c r="W2" s="2592"/>
      <c r="X2" s="2587" t="s">
        <v>1925</v>
      </c>
      <c r="Y2" s="2587" t="s">
        <v>1926</v>
      </c>
      <c r="Z2" s="2587" t="s">
        <v>1927</v>
      </c>
      <c r="AA2" s="1931" t="s">
        <v>1935</v>
      </c>
      <c r="AB2" s="2592"/>
      <c r="AC2" s="2576" t="s">
        <v>1925</v>
      </c>
      <c r="AD2" s="2576" t="s">
        <v>1926</v>
      </c>
      <c r="AE2" s="2576" t="s">
        <v>1927</v>
      </c>
      <c r="AF2" s="1931" t="s">
        <v>1935</v>
      </c>
      <c r="AG2" s="2"/>
      <c r="AH2" s="2592"/>
      <c r="AI2" s="4529" t="s">
        <v>1942</v>
      </c>
      <c r="AJ2" s="4529"/>
      <c r="AK2" s="2592"/>
      <c r="AL2" s="446" t="s">
        <v>1925</v>
      </c>
      <c r="AM2" s="446" t="s">
        <v>1926</v>
      </c>
      <c r="AN2" s="446" t="s">
        <v>1927</v>
      </c>
      <c r="AO2" s="1931" t="s">
        <v>1935</v>
      </c>
      <c r="AP2" s="2592"/>
      <c r="AQ2" s="2576" t="s">
        <v>1925</v>
      </c>
      <c r="AR2" s="2576" t="s">
        <v>1926</v>
      </c>
      <c r="AS2" s="2576" t="s">
        <v>1927</v>
      </c>
      <c r="AT2" s="1931" t="s">
        <v>1935</v>
      </c>
      <c r="AU2" s="2"/>
      <c r="AV2" s="2592"/>
      <c r="AW2" s="2587" t="s">
        <v>1925</v>
      </c>
      <c r="AX2" s="2587" t="s">
        <v>1926</v>
      </c>
      <c r="AY2" s="2587" t="s">
        <v>1927</v>
      </c>
      <c r="AZ2" s="1931" t="s">
        <v>1935</v>
      </c>
      <c r="BA2" s="2592"/>
      <c r="BB2" s="2576" t="s">
        <v>1925</v>
      </c>
      <c r="BC2" s="2576" t="s">
        <v>1926</v>
      </c>
      <c r="BD2" s="2576" t="s">
        <v>1927</v>
      </c>
      <c r="BE2" s="1931" t="s">
        <v>1935</v>
      </c>
      <c r="BF2" s="2576"/>
      <c r="BG2" s="2592"/>
      <c r="BH2" s="2576" t="s">
        <v>1925</v>
      </c>
      <c r="BI2" s="2576" t="s">
        <v>1926</v>
      </c>
      <c r="BJ2" s="2576" t="s">
        <v>1927</v>
      </c>
      <c r="BK2" s="1931" t="s">
        <v>1935</v>
      </c>
      <c r="BL2" s="2"/>
      <c r="BM2" s="2592"/>
    </row>
    <row r="3" spans="1:65" s="2606" customFormat="1">
      <c r="A3" s="95" t="s">
        <v>1929</v>
      </c>
      <c r="B3" s="95" t="s">
        <v>1930</v>
      </c>
      <c r="C3" s="2243" t="s">
        <v>125</v>
      </c>
      <c r="D3" s="2612"/>
      <c r="E3" s="2563"/>
      <c r="F3" s="95" t="s">
        <v>1941</v>
      </c>
      <c r="G3" s="95" t="s">
        <v>1110</v>
      </c>
      <c r="H3" s="2563"/>
      <c r="I3" s="2243" t="s">
        <v>1937</v>
      </c>
      <c r="J3" s="2243"/>
      <c r="K3" s="2243"/>
      <c r="L3" s="2579"/>
      <c r="M3" s="2563"/>
      <c r="N3" s="95" t="s">
        <v>1949</v>
      </c>
      <c r="O3" s="2243"/>
      <c r="P3" s="2243"/>
      <c r="Q3" s="2579"/>
      <c r="R3" s="2563"/>
      <c r="S3" s="2582" t="s">
        <v>1939</v>
      </c>
      <c r="T3" s="446"/>
      <c r="U3" s="446"/>
      <c r="V3" s="1931"/>
      <c r="W3" s="2563"/>
      <c r="X3" s="2585" t="s">
        <v>1932</v>
      </c>
      <c r="Y3" s="2587"/>
      <c r="Z3" s="2587"/>
      <c r="AA3" s="1931"/>
      <c r="AB3" s="2563"/>
      <c r="AC3" s="2577" t="s">
        <v>1938</v>
      </c>
      <c r="AD3" s="2594"/>
      <c r="AE3" s="2594"/>
      <c r="AF3" s="2608"/>
      <c r="AG3" s="2596" t="s">
        <v>373</v>
      </c>
      <c r="AH3" s="2563"/>
      <c r="AI3" s="2597" t="s">
        <v>1941</v>
      </c>
      <c r="AJ3" s="2597" t="s">
        <v>1110</v>
      </c>
      <c r="AK3" s="2563"/>
      <c r="AL3" s="2582" t="s">
        <v>1943</v>
      </c>
      <c r="AM3" s="446"/>
      <c r="AN3" s="446"/>
      <c r="AO3" s="1931"/>
      <c r="AP3" s="2563"/>
      <c r="AQ3" s="2564" t="s">
        <v>1940</v>
      </c>
      <c r="AR3" s="2598"/>
      <c r="AS3" s="2598"/>
      <c r="AT3" s="2607"/>
      <c r="AU3" s="2599" t="s">
        <v>373</v>
      </c>
      <c r="AV3" s="2563"/>
      <c r="AW3" s="2600" t="s">
        <v>1928</v>
      </c>
      <c r="AX3" s="2597"/>
      <c r="AY3" s="2597"/>
      <c r="AZ3" s="2593"/>
      <c r="BA3" s="2563"/>
      <c r="BB3" s="2578" t="s">
        <v>1933</v>
      </c>
      <c r="BC3" s="2601"/>
      <c r="BD3" s="2601"/>
      <c r="BE3" s="2601"/>
      <c r="BF3" s="2602" t="s">
        <v>373</v>
      </c>
      <c r="BG3" s="2563"/>
      <c r="BH3" s="2577" t="s">
        <v>1944</v>
      </c>
      <c r="BI3" s="2595"/>
      <c r="BJ3" s="2595"/>
      <c r="BK3" s="2595"/>
      <c r="BL3" s="2596" t="s">
        <v>373</v>
      </c>
      <c r="BM3" s="2563"/>
    </row>
    <row r="4" spans="1:65">
      <c r="A4" s="4"/>
      <c r="B4" s="4"/>
      <c r="C4" s="2559"/>
      <c r="D4" s="2613"/>
      <c r="E4" s="2563"/>
      <c r="F4" s="2588"/>
      <c r="G4" s="4"/>
      <c r="H4" s="2563"/>
      <c r="I4" s="4"/>
      <c r="J4" s="4"/>
      <c r="K4" s="4"/>
      <c r="L4" s="21"/>
      <c r="M4" s="2563"/>
      <c r="N4" s="4"/>
      <c r="O4" s="4"/>
      <c r="P4" s="4"/>
      <c r="Q4" s="21"/>
      <c r="R4" s="2563"/>
      <c r="S4" s="4"/>
      <c r="T4" s="4"/>
      <c r="U4" s="4"/>
      <c r="V4" s="475"/>
      <c r="W4" s="2563"/>
      <c r="X4" s="2583"/>
      <c r="Y4" s="2583"/>
      <c r="Z4" s="2583"/>
      <c r="AA4" s="21"/>
      <c r="AB4" s="2563"/>
      <c r="AC4" s="2568"/>
      <c r="AD4" s="2568"/>
      <c r="AE4" s="2568"/>
      <c r="AF4" s="21"/>
      <c r="AG4" s="2565"/>
      <c r="AH4" s="2563"/>
      <c r="AI4" s="2589"/>
      <c r="AJ4" s="2583"/>
      <c r="AK4" s="2563"/>
      <c r="AL4" s="4"/>
      <c r="AM4" s="4"/>
      <c r="AN4" s="4"/>
      <c r="AO4" s="21"/>
      <c r="AP4" s="2563"/>
      <c r="AQ4" s="2568"/>
      <c r="AR4" s="2568"/>
      <c r="AS4" s="2568"/>
      <c r="AT4" s="21"/>
      <c r="AU4" s="2565"/>
      <c r="AV4" s="2563"/>
      <c r="AW4" s="2583"/>
      <c r="AX4" s="2583"/>
      <c r="AY4" s="2583"/>
      <c r="AZ4" s="475"/>
      <c r="BA4" s="2563"/>
      <c r="BB4" s="2566"/>
      <c r="BC4" s="2566"/>
      <c r="BD4" s="2566"/>
      <c r="BE4" s="2566"/>
      <c r="BF4" s="15"/>
      <c r="BG4" s="2563"/>
      <c r="BH4" s="2494"/>
      <c r="BI4" s="2494"/>
      <c r="BJ4" s="2494"/>
      <c r="BK4" s="2565"/>
      <c r="BL4" s="2494"/>
      <c r="BM4" s="2563"/>
    </row>
    <row r="5" spans="1:65">
      <c r="A5" s="2642" t="s">
        <v>1948</v>
      </c>
      <c r="B5" s="5">
        <v>41768</v>
      </c>
      <c r="C5" s="4" t="s">
        <v>37</v>
      </c>
      <c r="D5" s="441">
        <v>0</v>
      </c>
      <c r="F5" s="2603">
        <v>22.63</v>
      </c>
      <c r="G5" s="2604">
        <v>7615.1</v>
      </c>
      <c r="I5" s="2604">
        <v>1876</v>
      </c>
      <c r="J5" s="2604">
        <v>1988</v>
      </c>
      <c r="K5" s="2604">
        <v>2081</v>
      </c>
      <c r="L5" s="21"/>
      <c r="N5" s="2644">
        <f>N6</f>
        <v>196</v>
      </c>
      <c r="O5" s="2644">
        <f>O6</f>
        <v>196</v>
      </c>
      <c r="P5" s="2644">
        <f>P6</f>
        <v>196</v>
      </c>
      <c r="Q5" s="21"/>
      <c r="S5" s="449">
        <f t="shared" ref="S5:U7" si="0">$G5+I5+N5</f>
        <v>9687.1</v>
      </c>
      <c r="T5" s="449">
        <f t="shared" si="0"/>
        <v>9799.1</v>
      </c>
      <c r="U5" s="449">
        <f t="shared" si="0"/>
        <v>9892.1</v>
      </c>
      <c r="V5" s="2575"/>
      <c r="X5" s="2605">
        <v>1641</v>
      </c>
      <c r="Y5" s="2605">
        <v>1608</v>
      </c>
      <c r="Z5" s="2605">
        <v>1624</v>
      </c>
      <c r="AA5" s="2203"/>
      <c r="AC5" s="2570">
        <f t="shared" ref="AC5:AE7" si="1">S5/X5</f>
        <v>5.9031687995124926</v>
      </c>
      <c r="AD5" s="2570">
        <f t="shared" si="1"/>
        <v>6.0939676616915426</v>
      </c>
      <c r="AE5" s="2570">
        <f t="shared" si="1"/>
        <v>6.0911945812807886</v>
      </c>
      <c r="AF5" s="21"/>
      <c r="AG5" s="2574">
        <f>AVERAGE(AC5:AE5)</f>
        <v>6.0294436808282752</v>
      </c>
      <c r="AI5" s="2590">
        <v>22</v>
      </c>
      <c r="AJ5" s="2591">
        <f>G5/F5*AI5</f>
        <v>7403.1020768890867</v>
      </c>
      <c r="AL5" s="449">
        <f t="shared" ref="AL5:AN7" si="2">$AJ5+I5</f>
        <v>9279.1020768890867</v>
      </c>
      <c r="AM5" s="449">
        <f t="shared" si="2"/>
        <v>9391.1020768890867</v>
      </c>
      <c r="AN5" s="449">
        <f t="shared" si="2"/>
        <v>9484.1020768890867</v>
      </c>
      <c r="AO5" s="2575"/>
      <c r="AQ5" s="2570">
        <f t="shared" ref="AQ5:AS7" si="3">AL5/X5</f>
        <v>5.6545411803102299</v>
      </c>
      <c r="AR5" s="2570">
        <f t="shared" si="3"/>
        <v>5.8402376100056506</v>
      </c>
      <c r="AS5" s="2570">
        <f t="shared" si="3"/>
        <v>5.8399643330597826</v>
      </c>
      <c r="AT5" s="21"/>
      <c r="AU5" s="2574">
        <f>AVERAGE(AQ5:AS5)</f>
        <v>5.7782477077918877</v>
      </c>
      <c r="AW5" s="2605">
        <v>3079</v>
      </c>
      <c r="AX5" s="2605">
        <v>3057</v>
      </c>
      <c r="AY5" s="2605">
        <v>3021</v>
      </c>
      <c r="AZ5" s="2575"/>
      <c r="BB5" s="15">
        <f t="shared" ref="BB5:BD7" si="4">X5/AW5</f>
        <v>0.53296524845729132</v>
      </c>
      <c r="BC5" s="15">
        <f t="shared" si="4"/>
        <v>0.52600588812561333</v>
      </c>
      <c r="BD5" s="15">
        <f t="shared" si="4"/>
        <v>0.53757034094670642</v>
      </c>
      <c r="BE5" s="15"/>
      <c r="BF5" s="2628">
        <f>AVERAGE(BB5:BD5)</f>
        <v>0.53218049250987043</v>
      </c>
      <c r="BH5" s="1238">
        <f t="shared" ref="BH5:BJ7" si="5">AW5/$AJ5</f>
        <v>0.41590673315338778</v>
      </c>
      <c r="BI5" s="1238">
        <f t="shared" si="5"/>
        <v>0.41293500592721871</v>
      </c>
      <c r="BJ5" s="1238">
        <f t="shared" si="5"/>
        <v>0.40807217955712388</v>
      </c>
      <c r="BK5" s="2565"/>
      <c r="BL5" s="2567">
        <f>AVERAGE(BH5:BJ5)</f>
        <v>0.41230463954591007</v>
      </c>
    </row>
    <row r="6" spans="1:65">
      <c r="A6" s="4" t="s">
        <v>1931</v>
      </c>
      <c r="B6" s="5">
        <v>41752</v>
      </c>
      <c r="C6" s="4" t="s">
        <v>37</v>
      </c>
      <c r="D6" s="441">
        <v>0</v>
      </c>
      <c r="F6" s="2603">
        <v>22.5</v>
      </c>
      <c r="G6" s="2604">
        <v>7170.6</v>
      </c>
      <c r="I6" s="2604">
        <v>1634.7</v>
      </c>
      <c r="J6" s="2604">
        <v>1603.9</v>
      </c>
      <c r="K6" s="2604">
        <v>1543.2</v>
      </c>
      <c r="L6" s="21"/>
      <c r="N6" s="2604">
        <v>196</v>
      </c>
      <c r="O6" s="2604">
        <v>196</v>
      </c>
      <c r="P6" s="2604">
        <v>196</v>
      </c>
      <c r="Q6" s="21"/>
      <c r="S6" s="449">
        <f t="shared" si="0"/>
        <v>9001.3000000000011</v>
      </c>
      <c r="T6" s="449">
        <f t="shared" si="0"/>
        <v>8970.5</v>
      </c>
      <c r="U6" s="449">
        <f t="shared" si="0"/>
        <v>8909.8000000000011</v>
      </c>
      <c r="V6" s="2575"/>
      <c r="X6" s="2605">
        <v>1660.8</v>
      </c>
      <c r="Y6" s="2605">
        <v>1684.4</v>
      </c>
      <c r="Z6" s="2605">
        <v>1708.5</v>
      </c>
      <c r="AA6" s="2203"/>
      <c r="AC6" s="2570">
        <f t="shared" si="1"/>
        <v>5.4198578998073224</v>
      </c>
      <c r="AD6" s="2570">
        <f t="shared" si="1"/>
        <v>5.3256352410353829</v>
      </c>
      <c r="AE6" s="2570">
        <f t="shared" si="1"/>
        <v>5.2149839040093653</v>
      </c>
      <c r="AF6" s="21"/>
      <c r="AG6" s="2574">
        <f>AVERAGE(AC6:AE6)</f>
        <v>5.3201590149506899</v>
      </c>
      <c r="AI6" s="2590">
        <v>22</v>
      </c>
      <c r="AJ6" s="2643">
        <v>7156</v>
      </c>
      <c r="AL6" s="449">
        <f t="shared" si="2"/>
        <v>8790.7000000000007</v>
      </c>
      <c r="AM6" s="449">
        <f t="shared" si="2"/>
        <v>8759.9</v>
      </c>
      <c r="AN6" s="449">
        <f t="shared" si="2"/>
        <v>8699.2000000000007</v>
      </c>
      <c r="AO6" s="2575"/>
      <c r="AQ6" s="2570">
        <f t="shared" si="3"/>
        <v>5.2930515414258199</v>
      </c>
      <c r="AR6" s="2570">
        <f t="shared" si="3"/>
        <v>5.2006055568748515</v>
      </c>
      <c r="AS6" s="2570">
        <f t="shared" si="3"/>
        <v>5.0917178811823245</v>
      </c>
      <c r="AT6" s="21"/>
      <c r="AU6" s="2574">
        <f>AVERAGE(AQ6:AS6)</f>
        <v>5.1951249931609986</v>
      </c>
      <c r="AW6" s="2605">
        <v>2931.4</v>
      </c>
      <c r="AX6" s="2605">
        <v>3019.9</v>
      </c>
      <c r="AY6" s="2605">
        <v>3117.5</v>
      </c>
      <c r="AZ6" s="2575"/>
      <c r="BB6" s="15">
        <f t="shared" si="4"/>
        <v>0.56655522958313431</v>
      </c>
      <c r="BC6" s="15">
        <f t="shared" si="4"/>
        <v>0.55776681347064472</v>
      </c>
      <c r="BD6" s="15">
        <f t="shared" si="4"/>
        <v>0.54803528468323981</v>
      </c>
      <c r="BE6" s="15"/>
      <c r="BF6" s="2628">
        <f>AVERAGE(BB6:BD6)</f>
        <v>0.55745244257900628</v>
      </c>
      <c r="BH6" s="1238">
        <f t="shared" si="5"/>
        <v>0.40964225824482953</v>
      </c>
      <c r="BI6" s="1238">
        <f t="shared" si="5"/>
        <v>0.42200950251537173</v>
      </c>
      <c r="BJ6" s="1238">
        <f t="shared" si="5"/>
        <v>0.43564840693124651</v>
      </c>
      <c r="BK6" s="2565"/>
      <c r="BL6" s="2567">
        <f>AVERAGE(BH6:BJ6)</f>
        <v>0.42243338923048257</v>
      </c>
    </row>
    <row r="7" spans="1:65">
      <c r="A7" s="4" t="s">
        <v>1936</v>
      </c>
      <c r="B7" s="5">
        <v>41771</v>
      </c>
      <c r="C7" s="4" t="s">
        <v>37</v>
      </c>
      <c r="D7" s="441">
        <v>-1</v>
      </c>
      <c r="F7" s="2603">
        <v>22.63</v>
      </c>
      <c r="G7" s="2604">
        <v>7214</v>
      </c>
      <c r="I7" s="2604">
        <v>2547</v>
      </c>
      <c r="J7" s="2604">
        <v>2618</v>
      </c>
      <c r="K7" s="2604">
        <v>2695</v>
      </c>
      <c r="L7" s="21"/>
      <c r="N7" s="2604"/>
      <c r="O7" s="2604"/>
      <c r="P7" s="2604"/>
      <c r="Q7" s="21"/>
      <c r="S7" s="449">
        <f t="shared" si="0"/>
        <v>9761</v>
      </c>
      <c r="T7" s="449">
        <f t="shared" si="0"/>
        <v>9832</v>
      </c>
      <c r="U7" s="449">
        <f t="shared" si="0"/>
        <v>9909</v>
      </c>
      <c r="V7" s="2575"/>
      <c r="X7" s="2605">
        <v>1630</v>
      </c>
      <c r="Y7" s="2605">
        <v>1588</v>
      </c>
      <c r="Z7" s="2605">
        <v>1585</v>
      </c>
      <c r="AA7" s="2203"/>
      <c r="AC7" s="2570">
        <f t="shared" si="1"/>
        <v>5.9883435582822084</v>
      </c>
      <c r="AD7" s="2570">
        <f t="shared" si="1"/>
        <v>6.1914357682619645</v>
      </c>
      <c r="AE7" s="2570">
        <f t="shared" si="1"/>
        <v>6.2517350157728711</v>
      </c>
      <c r="AF7" s="21"/>
      <c r="AG7" s="2574">
        <f>AVERAGE(AC7:AE7)</f>
        <v>6.143838114105681</v>
      </c>
      <c r="AI7" s="2590">
        <f>F7*19/22.63</f>
        <v>19</v>
      </c>
      <c r="AJ7" s="2591">
        <f>G7/F7*AI7</f>
        <v>6056.8272205037565</v>
      </c>
      <c r="AL7" s="449">
        <f t="shared" si="2"/>
        <v>8603.8272205037574</v>
      </c>
      <c r="AM7" s="449">
        <f t="shared" si="2"/>
        <v>8674.8272205037574</v>
      </c>
      <c r="AN7" s="449">
        <f t="shared" si="2"/>
        <v>8751.8272205037574</v>
      </c>
      <c r="AO7" s="2575"/>
      <c r="AQ7" s="2570">
        <f t="shared" si="3"/>
        <v>5.2784216076710164</v>
      </c>
      <c r="AR7" s="2570">
        <f t="shared" si="3"/>
        <v>5.4627375443978323</v>
      </c>
      <c r="AS7" s="2570">
        <f t="shared" si="3"/>
        <v>5.5216575523683016</v>
      </c>
      <c r="AT7" s="21"/>
      <c r="AU7" s="2574">
        <f>AVERAGE(AQ7:AS7)</f>
        <v>5.4209389014790501</v>
      </c>
      <c r="AW7" s="2605">
        <v>2803</v>
      </c>
      <c r="AX7" s="2605">
        <v>2751</v>
      </c>
      <c r="AY7" s="2605">
        <v>2695</v>
      </c>
      <c r="AZ7" s="2575"/>
      <c r="BB7" s="15">
        <f t="shared" si="4"/>
        <v>0.58151980021405636</v>
      </c>
      <c r="BC7" s="15">
        <f t="shared" si="4"/>
        <v>0.57724463831334061</v>
      </c>
      <c r="BD7" s="15">
        <f t="shared" si="4"/>
        <v>0.58812615955473102</v>
      </c>
      <c r="BE7" s="15"/>
      <c r="BF7" s="2628">
        <f>AVERAGE(BB7:BD7)</f>
        <v>0.58229686602737596</v>
      </c>
      <c r="BH7" s="1238">
        <f t="shared" si="5"/>
        <v>0.46278354953088291</v>
      </c>
      <c r="BI7" s="1238">
        <f t="shared" si="5"/>
        <v>0.4541981964892825</v>
      </c>
      <c r="BJ7" s="1238">
        <f t="shared" si="5"/>
        <v>0.44495243167525128</v>
      </c>
      <c r="BK7" s="2565"/>
      <c r="BL7" s="2567">
        <f>AVERAGE(BH7:BJ7)</f>
        <v>0.45397805923180562</v>
      </c>
    </row>
    <row r="8" spans="1:65">
      <c r="A8" s="4" t="s">
        <v>1945</v>
      </c>
      <c r="B8" s="5">
        <v>41765</v>
      </c>
      <c r="C8" s="4" t="s">
        <v>37</v>
      </c>
      <c r="D8" s="441">
        <v>0</v>
      </c>
      <c r="F8" s="2603">
        <v>22.06</v>
      </c>
      <c r="G8" s="165"/>
      <c r="I8" s="2604"/>
      <c r="J8" s="2604"/>
      <c r="K8" s="2604"/>
      <c r="L8" s="21"/>
      <c r="N8" s="2604"/>
      <c r="O8" s="2604"/>
      <c r="P8" s="2604"/>
      <c r="Q8" s="21"/>
      <c r="S8" s="449"/>
      <c r="T8" s="449"/>
      <c r="U8" s="449"/>
      <c r="V8" s="2575"/>
      <c r="X8" s="2605">
        <v>1645</v>
      </c>
      <c r="Y8" s="2605">
        <v>1632</v>
      </c>
      <c r="Z8" s="2604"/>
      <c r="AA8" s="2203"/>
      <c r="AC8" s="2573">
        <v>5.7</v>
      </c>
      <c r="AD8" s="2573">
        <v>5.8</v>
      </c>
      <c r="AE8" s="2570"/>
      <c r="AF8" s="21"/>
      <c r="AG8" s="2574">
        <f>AVERAGE(AC8:AE8)</f>
        <v>5.75</v>
      </c>
      <c r="AI8" s="2590">
        <v>20</v>
      </c>
      <c r="AJ8" s="2591"/>
      <c r="AL8" s="449"/>
      <c r="AM8" s="449"/>
      <c r="AN8" s="449"/>
      <c r="AO8" s="2575"/>
      <c r="AQ8" s="2573">
        <v>5.3</v>
      </c>
      <c r="AR8" s="2573">
        <v>5.4</v>
      </c>
      <c r="AS8" s="2570"/>
      <c r="AT8" s="21"/>
      <c r="AU8" s="2574">
        <f>AVERAGE(AQ8:AS8)</f>
        <v>5.35</v>
      </c>
      <c r="AW8" s="2605"/>
      <c r="AX8" s="2605"/>
      <c r="AY8" s="2605"/>
      <c r="AZ8" s="2575"/>
      <c r="BB8" s="15"/>
      <c r="BC8" s="15"/>
      <c r="BD8" s="15"/>
      <c r="BE8" s="15"/>
      <c r="BF8" s="2628"/>
      <c r="BH8" s="1238"/>
      <c r="BI8" s="1238"/>
      <c r="BJ8" s="1238"/>
      <c r="BK8" s="2565"/>
      <c r="BL8" s="2567"/>
    </row>
    <row r="9" spans="1:65">
      <c r="A9" s="2512" t="s">
        <v>1934</v>
      </c>
      <c r="B9" s="5">
        <v>41712</v>
      </c>
      <c r="C9" s="4" t="s">
        <v>37</v>
      </c>
      <c r="D9" s="441">
        <v>-1</v>
      </c>
      <c r="F9" s="2603">
        <v>21.8</v>
      </c>
      <c r="G9" s="2604"/>
      <c r="I9" s="2604">
        <v>1947</v>
      </c>
      <c r="J9" s="2604">
        <v>2020</v>
      </c>
      <c r="K9" s="2604">
        <v>2176</v>
      </c>
      <c r="L9" s="21"/>
      <c r="N9" s="2604"/>
      <c r="O9" s="2604"/>
      <c r="P9" s="2604"/>
      <c r="Q9" s="21"/>
      <c r="S9" s="449"/>
      <c r="T9" s="449"/>
      <c r="U9" s="449"/>
      <c r="V9" s="2575"/>
      <c r="X9" s="2605">
        <v>1601</v>
      </c>
      <c r="Y9" s="2605">
        <v>1513</v>
      </c>
      <c r="Z9" s="2605">
        <v>1425</v>
      </c>
      <c r="AA9" s="2203"/>
      <c r="AC9" s="2570"/>
      <c r="AD9" s="2570"/>
      <c r="AE9" s="2570"/>
      <c r="AF9" s="21"/>
      <c r="AG9" s="2574"/>
      <c r="AI9" s="2590">
        <v>17</v>
      </c>
      <c r="AJ9" s="2591"/>
      <c r="AL9" s="449"/>
      <c r="AM9" s="449"/>
      <c r="AN9" s="449"/>
      <c r="AO9" s="2575"/>
      <c r="AQ9" s="2570"/>
      <c r="AR9" s="2570"/>
      <c r="AS9" s="2570"/>
      <c r="AT9" s="21"/>
      <c r="AU9" s="2574"/>
      <c r="AW9" s="2605">
        <v>3009</v>
      </c>
      <c r="AX9" s="2605">
        <v>2957</v>
      </c>
      <c r="AY9" s="2605">
        <v>2821</v>
      </c>
      <c r="AZ9" s="2575"/>
      <c r="BB9" s="15">
        <f>X9/AW9</f>
        <v>0.53207045530076436</v>
      </c>
      <c r="BC9" s="15">
        <f>Y9/AX9</f>
        <v>0.51166723030098071</v>
      </c>
      <c r="BD9" s="15">
        <f>Z9/AY9</f>
        <v>0.50514002126905355</v>
      </c>
      <c r="BE9" s="15"/>
      <c r="BF9" s="2628">
        <f>AVERAGE(BB9:BD9)</f>
        <v>0.51629256895693287</v>
      </c>
      <c r="BH9" s="1238"/>
      <c r="BI9" s="1238"/>
      <c r="BJ9" s="1238"/>
      <c r="BK9" s="2565"/>
      <c r="BL9" s="2567"/>
    </row>
    <row r="10" spans="1:65">
      <c r="A10" s="2494"/>
      <c r="B10" s="5"/>
      <c r="C10" s="2494"/>
      <c r="D10" s="2614"/>
      <c r="F10" s="2588"/>
      <c r="G10" s="4"/>
      <c r="I10" s="4"/>
      <c r="J10" s="4"/>
      <c r="K10" s="4"/>
      <c r="L10" s="21"/>
      <c r="N10" s="4"/>
      <c r="O10" s="4"/>
      <c r="P10" s="4"/>
      <c r="Q10" s="21"/>
      <c r="S10" s="165"/>
      <c r="T10" s="11"/>
      <c r="U10" s="11"/>
      <c r="V10" s="21"/>
      <c r="X10" s="2583"/>
      <c r="Y10" s="2586"/>
      <c r="Z10" s="2586"/>
      <c r="AA10" s="2203"/>
      <c r="AC10" s="2569"/>
      <c r="AD10" s="2569"/>
      <c r="AE10" s="2569"/>
      <c r="AF10" s="21"/>
      <c r="AG10" s="146"/>
      <c r="AI10" s="2589"/>
      <c r="AJ10" s="2583"/>
      <c r="AL10" s="165"/>
      <c r="AM10" s="11"/>
      <c r="AN10" s="11"/>
      <c r="AO10" s="21"/>
      <c r="AQ10" s="2569"/>
      <c r="AR10" s="2569"/>
      <c r="AS10" s="2569"/>
      <c r="AT10" s="21"/>
      <c r="AU10" s="146"/>
      <c r="AW10" s="2583"/>
      <c r="AX10" s="2583"/>
      <c r="AY10" s="2583"/>
      <c r="AZ10" s="475"/>
      <c r="BB10" s="15"/>
      <c r="BC10" s="15"/>
      <c r="BD10" s="15"/>
      <c r="BE10" s="15"/>
      <c r="BF10" s="2628"/>
      <c r="BH10" s="2494"/>
      <c r="BI10" s="2494"/>
      <c r="BJ10" s="2494"/>
      <c r="BK10" s="2565"/>
      <c r="BL10" s="2494"/>
    </row>
    <row r="11" spans="1:65">
      <c r="A11" s="2642" t="s">
        <v>505</v>
      </c>
      <c r="B11" s="5"/>
      <c r="C11" s="2559" t="s">
        <v>37</v>
      </c>
      <c r="D11" s="2645">
        <f>SUM(D5:D9)/5</f>
        <v>-0.4</v>
      </c>
      <c r="F11" s="2588"/>
      <c r="G11" s="4"/>
      <c r="I11" s="4"/>
      <c r="J11" s="4"/>
      <c r="K11" s="4"/>
      <c r="L11" s="21"/>
      <c r="N11" s="4"/>
      <c r="O11" s="4"/>
      <c r="P11" s="4"/>
      <c r="Q11" s="21"/>
      <c r="S11" s="165"/>
      <c r="T11" s="11"/>
      <c r="U11" s="11"/>
      <c r="V11" s="21"/>
      <c r="X11" s="2583"/>
      <c r="Y11" s="2586"/>
      <c r="Z11" s="2586"/>
      <c r="AA11" s="2203"/>
      <c r="AC11" s="2569"/>
      <c r="AD11" s="2569"/>
      <c r="AE11" s="2569"/>
      <c r="AF11" s="21"/>
      <c r="AG11" s="2646">
        <f>AVERAGE(AG5:AG8)</f>
        <v>5.8108602024711615</v>
      </c>
      <c r="AI11" s="2589"/>
      <c r="AJ11" s="2583"/>
      <c r="AL11" s="165"/>
      <c r="AM11" s="11"/>
      <c r="AN11" s="11"/>
      <c r="AO11" s="21"/>
      <c r="AQ11" s="2569"/>
      <c r="AR11" s="2569"/>
      <c r="AS11" s="2569"/>
      <c r="AT11" s="21"/>
      <c r="AU11" s="2647">
        <f>AVERAGE(AU5:AU8)</f>
        <v>5.4360779006079838</v>
      </c>
      <c r="AW11" s="2583"/>
      <c r="AX11" s="2583"/>
      <c r="AY11" s="2583"/>
      <c r="AZ11" s="475"/>
      <c r="BB11" s="15"/>
      <c r="BC11" s="15"/>
      <c r="BD11" s="15"/>
      <c r="BE11" s="15"/>
      <c r="BF11" s="2650">
        <f>AVERAGE(BF5:BF7,BF9)</f>
        <v>0.54705559251829639</v>
      </c>
      <c r="BH11" s="2565"/>
      <c r="BI11" s="2565"/>
      <c r="BJ11" s="2565"/>
      <c r="BK11" s="2565"/>
      <c r="BL11" s="2649">
        <f>AVERAGE(BL5:BL7)</f>
        <v>0.42957202933606609</v>
      </c>
    </row>
    <row r="12" spans="1:65" ht="3.75" customHeight="1">
      <c r="B12" s="2648"/>
      <c r="F12" s="2616"/>
      <c r="S12" s="2618"/>
      <c r="Y12" s="2620"/>
      <c r="Z12" s="2620"/>
      <c r="AA12" s="2621"/>
      <c r="AC12" s="2622"/>
      <c r="AD12" s="2622"/>
      <c r="AE12" s="2622"/>
      <c r="AI12" s="2623"/>
      <c r="AL12" s="2618"/>
      <c r="AQ12" s="2622"/>
      <c r="AR12" s="2622"/>
      <c r="AS12" s="2622"/>
      <c r="BB12" s="2625"/>
      <c r="BC12" s="2625"/>
      <c r="BD12" s="2625"/>
      <c r="BE12" s="2625"/>
      <c r="BF12" s="2629"/>
    </row>
    <row r="13" spans="1:65">
      <c r="A13" s="2565"/>
      <c r="B13" s="5"/>
      <c r="C13" s="2565"/>
      <c r="D13" s="2614"/>
      <c r="F13" s="2588"/>
      <c r="G13" s="4"/>
      <c r="I13" s="4"/>
      <c r="J13" s="4"/>
      <c r="K13" s="4"/>
      <c r="L13" s="21"/>
      <c r="N13" s="4"/>
      <c r="O13" s="4"/>
      <c r="P13" s="4"/>
      <c r="Q13" s="21"/>
      <c r="S13" s="165"/>
      <c r="T13" s="11"/>
      <c r="U13" s="11"/>
      <c r="V13" s="21"/>
      <c r="X13" s="2583"/>
      <c r="Y13" s="2586"/>
      <c r="Z13" s="2586"/>
      <c r="AA13" s="2203"/>
      <c r="AC13" s="2569"/>
      <c r="AD13" s="2569"/>
      <c r="AE13" s="2569"/>
      <c r="AF13" s="21"/>
      <c r="AG13" s="2565"/>
      <c r="AI13" s="2589"/>
      <c r="AJ13" s="2583"/>
      <c r="AL13" s="165"/>
      <c r="AM13" s="11"/>
      <c r="AN13" s="11"/>
      <c r="AO13" s="21"/>
      <c r="AQ13" s="2569"/>
      <c r="AR13" s="2569"/>
      <c r="AS13" s="2569"/>
      <c r="AT13" s="21"/>
      <c r="AU13" s="2565"/>
      <c r="AW13" s="2583"/>
      <c r="AX13" s="2583"/>
      <c r="AY13" s="2583"/>
      <c r="AZ13" s="475"/>
      <c r="BB13" s="15"/>
      <c r="BC13" s="15"/>
      <c r="BD13" s="15"/>
      <c r="BE13" s="15"/>
      <c r="BF13" s="2628"/>
      <c r="BH13" s="2565"/>
      <c r="BI13" s="2565"/>
      <c r="BJ13" s="2565"/>
      <c r="BK13" s="2565"/>
      <c r="BL13" s="2565"/>
    </row>
    <row r="14" spans="1:65">
      <c r="A14" s="2642" t="s">
        <v>1948</v>
      </c>
      <c r="B14" s="5">
        <v>41755</v>
      </c>
      <c r="C14" s="4" t="s">
        <v>36</v>
      </c>
      <c r="D14" s="441">
        <v>0</v>
      </c>
      <c r="F14" s="2603">
        <v>13.1</v>
      </c>
      <c r="G14" s="2604">
        <v>786.2</v>
      </c>
      <c r="I14" s="2604">
        <v>537</v>
      </c>
      <c r="J14" s="2604">
        <v>544</v>
      </c>
      <c r="K14" s="2604">
        <v>536</v>
      </c>
      <c r="L14" s="21"/>
      <c r="N14" s="2604"/>
      <c r="O14" s="2604"/>
      <c r="P14" s="2604"/>
      <c r="Q14" s="21"/>
      <c r="S14" s="449">
        <f>$G14+I14+N14</f>
        <v>1323.2</v>
      </c>
      <c r="T14" s="449">
        <f>$G14+J14+O14</f>
        <v>1330.2</v>
      </c>
      <c r="U14" s="449">
        <f>$G14+K14+P14</f>
        <v>1322.2</v>
      </c>
      <c r="V14" s="2575"/>
      <c r="X14" s="2605">
        <v>269</v>
      </c>
      <c r="Y14" s="2605">
        <v>285</v>
      </c>
      <c r="Z14" s="2605">
        <v>294</v>
      </c>
      <c r="AA14" s="2203"/>
      <c r="AC14" s="2570">
        <f t="shared" ref="AC14:AE16" si="6">S14/X14</f>
        <v>4.9189591078066917</v>
      </c>
      <c r="AD14" s="2570">
        <f t="shared" si="6"/>
        <v>4.6673684210526316</v>
      </c>
      <c r="AE14" s="2570">
        <f t="shared" si="6"/>
        <v>4.4972789115646261</v>
      </c>
      <c r="AF14" s="21"/>
      <c r="AG14" s="2574">
        <f>AVERAGE(AC14:AE14)</f>
        <v>4.6945354801413162</v>
      </c>
      <c r="AI14" s="2590">
        <v>13</v>
      </c>
      <c r="AJ14" s="2591">
        <f>G14/F14*AI14</f>
        <v>780.19847328244282</v>
      </c>
      <c r="AL14" s="449">
        <f t="shared" ref="AL14:AN16" si="7">$AJ14+I14</f>
        <v>1317.1984732824428</v>
      </c>
      <c r="AM14" s="449">
        <f t="shared" si="7"/>
        <v>1324.1984732824428</v>
      </c>
      <c r="AN14" s="449">
        <f t="shared" si="7"/>
        <v>1316.1984732824428</v>
      </c>
      <c r="AO14" s="2575"/>
      <c r="AQ14" s="2570">
        <f>AL14/X14</f>
        <v>4.896648599562984</v>
      </c>
      <c r="AR14" s="2570">
        <f>AM14/Y14</f>
        <v>4.6463104325699751</v>
      </c>
      <c r="AS14" s="2570">
        <f>AN14/Z14</f>
        <v>4.4768655553824583</v>
      </c>
      <c r="AT14" s="21"/>
      <c r="AU14" s="2574">
        <f>AVERAGE(AQ14:AS14)</f>
        <v>4.6732748625051395</v>
      </c>
      <c r="AW14" s="2605">
        <v>385</v>
      </c>
      <c r="AX14" s="2605">
        <v>385</v>
      </c>
      <c r="AY14" s="2605">
        <v>394</v>
      </c>
      <c r="AZ14" s="2575"/>
      <c r="BB14" s="15">
        <f t="shared" ref="BB14:BD16" si="8">X14/AW14</f>
        <v>0.69870129870129871</v>
      </c>
      <c r="BC14" s="15">
        <f t="shared" si="8"/>
        <v>0.74025974025974028</v>
      </c>
      <c r="BD14" s="15">
        <f t="shared" si="8"/>
        <v>0.74619289340101524</v>
      </c>
      <c r="BE14" s="15"/>
      <c r="BF14" s="2628">
        <f>AVERAGE(BB14:BD14)</f>
        <v>0.72838464412068482</v>
      </c>
      <c r="BH14" s="1238">
        <f>AW14/$AJ14</f>
        <v>0.49346418018511629</v>
      </c>
      <c r="BI14" s="1238">
        <f>AX14/$AJ14</f>
        <v>0.49346418018511629</v>
      </c>
      <c r="BJ14" s="1238">
        <f>AY14/$AJ14</f>
        <v>0.50499970647515802</v>
      </c>
      <c r="BK14" s="2565"/>
      <c r="BL14" s="2567">
        <f>AVERAGE(BH14:BJ14)</f>
        <v>0.49730935561513023</v>
      </c>
    </row>
    <row r="15" spans="1:65">
      <c r="A15" s="4" t="s">
        <v>1931</v>
      </c>
      <c r="B15" s="5">
        <v>41752</v>
      </c>
      <c r="C15" s="4" t="s">
        <v>36</v>
      </c>
      <c r="D15" s="441">
        <v>0</v>
      </c>
      <c r="F15" s="2603">
        <v>13.41</v>
      </c>
      <c r="G15" s="2604">
        <v>805.9</v>
      </c>
      <c r="I15" s="2604">
        <v>502.6</v>
      </c>
      <c r="J15" s="2604">
        <v>449.5</v>
      </c>
      <c r="K15" s="2604">
        <v>338.8</v>
      </c>
      <c r="L15" s="21"/>
      <c r="N15" s="2604">
        <v>0</v>
      </c>
      <c r="O15" s="2604">
        <v>0</v>
      </c>
      <c r="P15" s="2604">
        <v>0</v>
      </c>
      <c r="Q15" s="21"/>
      <c r="S15" s="449">
        <f t="shared" ref="S15:U16" si="9">$G15+I15+N15</f>
        <v>1308.5</v>
      </c>
      <c r="T15" s="449">
        <f t="shared" si="9"/>
        <v>1255.4000000000001</v>
      </c>
      <c r="U15" s="449">
        <f t="shared" si="9"/>
        <v>1144.7</v>
      </c>
      <c r="V15" s="2575"/>
      <c r="X15" s="2605">
        <v>259.60000000000002</v>
      </c>
      <c r="Y15" s="2605">
        <v>259.39999999999998</v>
      </c>
      <c r="Z15" s="2605">
        <v>263.8</v>
      </c>
      <c r="AA15" s="2203"/>
      <c r="AC15" s="2570">
        <f t="shared" si="6"/>
        <v>5.0404468412942984</v>
      </c>
      <c r="AD15" s="2570">
        <f t="shared" si="6"/>
        <v>4.8396299151888984</v>
      </c>
      <c r="AE15" s="2570">
        <f t="shared" si="6"/>
        <v>4.3392721758908266</v>
      </c>
      <c r="AF15" s="21"/>
      <c r="AG15" s="2574">
        <f>AVERAGE(AC15:AE15)</f>
        <v>4.7397829774580078</v>
      </c>
      <c r="AI15" s="2590">
        <v>12</v>
      </c>
      <c r="AJ15" s="2643">
        <v>716</v>
      </c>
      <c r="AL15" s="449">
        <f t="shared" si="7"/>
        <v>1218.5999999999999</v>
      </c>
      <c r="AM15" s="449">
        <f t="shared" si="7"/>
        <v>1165.5</v>
      </c>
      <c r="AN15" s="449">
        <f t="shared" si="7"/>
        <v>1054.8</v>
      </c>
      <c r="AO15" s="2575"/>
      <c r="AQ15" s="2570">
        <f t="shared" ref="AQ15:AS16" si="10">AL15/X15</f>
        <v>4.6941448382126341</v>
      </c>
      <c r="AR15" s="2570">
        <f t="shared" si="10"/>
        <v>4.4930609097918275</v>
      </c>
      <c r="AS15" s="2570">
        <f t="shared" si="10"/>
        <v>3.9984836997725548</v>
      </c>
      <c r="AT15" s="21"/>
      <c r="AU15" s="2574">
        <f>AVERAGE(AQ15:AS15)</f>
        <v>4.3952298159256724</v>
      </c>
      <c r="AW15" s="2605">
        <v>364.8</v>
      </c>
      <c r="AX15" s="2605">
        <v>399.3</v>
      </c>
      <c r="AY15" s="2605">
        <v>436.6</v>
      </c>
      <c r="AZ15" s="2575"/>
      <c r="BB15" s="15">
        <f t="shared" si="8"/>
        <v>0.71162280701754388</v>
      </c>
      <c r="BC15" s="15">
        <f t="shared" si="8"/>
        <v>0.64963686451289748</v>
      </c>
      <c r="BD15" s="15">
        <f t="shared" si="8"/>
        <v>0.60421438387540083</v>
      </c>
      <c r="BE15" s="15"/>
      <c r="BF15" s="2628">
        <f>AVERAGE(BB15:BD15)</f>
        <v>0.6551580184686141</v>
      </c>
      <c r="BH15" s="1238">
        <f t="shared" ref="BH15:BJ16" si="11">AW15/$AJ15</f>
        <v>0.50949720670391063</v>
      </c>
      <c r="BI15" s="1238">
        <f t="shared" si="11"/>
        <v>0.55768156424581006</v>
      </c>
      <c r="BJ15" s="1238">
        <f t="shared" si="11"/>
        <v>0.60977653631284923</v>
      </c>
      <c r="BK15" s="2565"/>
      <c r="BL15" s="2567">
        <f>AVERAGE(BH15:BJ15)</f>
        <v>0.55898510242085664</v>
      </c>
    </row>
    <row r="16" spans="1:65">
      <c r="A16" s="4" t="s">
        <v>1936</v>
      </c>
      <c r="B16" s="5">
        <v>41771</v>
      </c>
      <c r="C16" s="4" t="s">
        <v>36</v>
      </c>
      <c r="D16" s="441">
        <v>-1</v>
      </c>
      <c r="F16" s="2603">
        <v>14.49</v>
      </c>
      <c r="G16" s="2604">
        <v>870</v>
      </c>
      <c r="I16" s="2604">
        <v>508.3</v>
      </c>
      <c r="J16" s="2604">
        <v>487.3</v>
      </c>
      <c r="K16" s="2604">
        <v>417.9</v>
      </c>
      <c r="L16" s="21"/>
      <c r="N16" s="2604"/>
      <c r="O16" s="2604"/>
      <c r="P16" s="2604"/>
      <c r="Q16" s="21"/>
      <c r="S16" s="449">
        <f t="shared" si="9"/>
        <v>1378.3</v>
      </c>
      <c r="T16" s="449">
        <f t="shared" si="9"/>
        <v>1357.3</v>
      </c>
      <c r="U16" s="449">
        <f t="shared" si="9"/>
        <v>1287.9000000000001</v>
      </c>
      <c r="V16" s="2575"/>
      <c r="X16" s="2605">
        <v>259.5</v>
      </c>
      <c r="Y16" s="2605">
        <v>252.9</v>
      </c>
      <c r="Z16" s="2605">
        <v>256.39999999999998</v>
      </c>
      <c r="AA16" s="2203"/>
      <c r="AC16" s="2570">
        <f t="shared" si="6"/>
        <v>5.3113680154142582</v>
      </c>
      <c r="AD16" s="2570">
        <f t="shared" si="6"/>
        <v>5.3669434559114269</v>
      </c>
      <c r="AE16" s="2570">
        <f t="shared" si="6"/>
        <v>5.0230109204368185</v>
      </c>
      <c r="AF16" s="21"/>
      <c r="AG16" s="2574">
        <f>AVERAGE(AC16:AE16)</f>
        <v>5.2337741305875012</v>
      </c>
      <c r="AI16" s="2590">
        <v>12</v>
      </c>
      <c r="AJ16" s="2591">
        <f>G16/F16*AI16</f>
        <v>720.49689440993791</v>
      </c>
      <c r="AL16" s="449">
        <f t="shared" si="7"/>
        <v>1228.796894409938</v>
      </c>
      <c r="AM16" s="449">
        <f t="shared" si="7"/>
        <v>1207.796894409938</v>
      </c>
      <c r="AN16" s="449">
        <f t="shared" si="7"/>
        <v>1138.3968944099379</v>
      </c>
      <c r="AO16" s="2575"/>
      <c r="AQ16" s="2570">
        <f t="shared" si="10"/>
        <v>4.7352481480151756</v>
      </c>
      <c r="AR16" s="2570">
        <f t="shared" si="10"/>
        <v>4.7757884318305175</v>
      </c>
      <c r="AS16" s="2570">
        <f t="shared" si="10"/>
        <v>4.4399254852181667</v>
      </c>
      <c r="AT16" s="21"/>
      <c r="AU16" s="2574">
        <f>AVERAGE(AQ16:AS16)</f>
        <v>4.6503206883546202</v>
      </c>
      <c r="AW16" s="2605">
        <v>382.5</v>
      </c>
      <c r="AX16" s="2605">
        <v>416.1</v>
      </c>
      <c r="AY16" s="2605">
        <v>452.6</v>
      </c>
      <c r="AZ16" s="2575"/>
      <c r="BB16" s="15">
        <f t="shared" si="8"/>
        <v>0.67843137254901964</v>
      </c>
      <c r="BC16" s="15">
        <f t="shared" si="8"/>
        <v>0.60778658976207645</v>
      </c>
      <c r="BD16" s="15">
        <f t="shared" si="8"/>
        <v>0.56650463985859467</v>
      </c>
      <c r="BE16" s="15"/>
      <c r="BF16" s="2628">
        <f>AVERAGE(BB16:BD16)</f>
        <v>0.61757420072323022</v>
      </c>
      <c r="BH16" s="1238">
        <f t="shared" si="11"/>
        <v>0.53088362068965511</v>
      </c>
      <c r="BI16" s="1238">
        <f t="shared" si="11"/>
        <v>0.57751810344827592</v>
      </c>
      <c r="BJ16" s="1238">
        <f t="shared" si="11"/>
        <v>0.62817758620689657</v>
      </c>
      <c r="BK16" s="2565"/>
      <c r="BL16" s="2567">
        <f>AVERAGE(BH16:BJ16)</f>
        <v>0.57885977011494261</v>
      </c>
    </row>
    <row r="17" spans="1:65" ht="13.5" customHeight="1">
      <c r="A17" s="4" t="s">
        <v>1945</v>
      </c>
      <c r="B17" s="5">
        <v>41765</v>
      </c>
      <c r="C17" s="4" t="s">
        <v>36</v>
      </c>
      <c r="D17" s="441">
        <v>1</v>
      </c>
      <c r="F17" s="2603">
        <v>14.05</v>
      </c>
      <c r="G17" s="165"/>
      <c r="I17" s="2604">
        <v>554</v>
      </c>
      <c r="J17" s="2604">
        <v>526</v>
      </c>
      <c r="K17" s="2604">
        <v>467</v>
      </c>
      <c r="L17" s="21"/>
      <c r="N17" s="2604"/>
      <c r="O17" s="2604"/>
      <c r="P17" s="2604"/>
      <c r="Q17" s="21"/>
      <c r="S17" s="449"/>
      <c r="T17" s="449"/>
      <c r="U17" s="449"/>
      <c r="V17" s="2575"/>
      <c r="X17" s="2605">
        <v>264</v>
      </c>
      <c r="Y17" s="2605">
        <v>280</v>
      </c>
      <c r="Z17" s="2604">
        <v>308</v>
      </c>
      <c r="AA17" s="2203"/>
      <c r="AC17" s="2573">
        <v>5.3</v>
      </c>
      <c r="AD17" s="2573">
        <v>4.9000000000000004</v>
      </c>
      <c r="AE17" s="2570"/>
      <c r="AF17" s="21"/>
      <c r="AG17" s="2574">
        <f>AVERAGE(AC17:AE17)</f>
        <v>5.0999999999999996</v>
      </c>
      <c r="AI17" s="2590">
        <v>22</v>
      </c>
      <c r="AJ17" s="2591"/>
      <c r="AL17" s="449"/>
      <c r="AM17" s="449"/>
      <c r="AN17" s="449"/>
      <c r="AO17" s="2575"/>
      <c r="AQ17" s="2573">
        <v>7.1</v>
      </c>
      <c r="AR17" s="2573">
        <v>6.6</v>
      </c>
      <c r="AS17" s="2570"/>
      <c r="AT17" s="21"/>
      <c r="AU17" s="2574">
        <f>AVERAGE(AQ17:AS17)</f>
        <v>6.85</v>
      </c>
      <c r="AW17" s="2605"/>
      <c r="AX17" s="2605"/>
      <c r="AY17" s="2605"/>
      <c r="AZ17" s="2575"/>
      <c r="BB17" s="15"/>
      <c r="BC17" s="15"/>
      <c r="BD17" s="15"/>
      <c r="BE17" s="15"/>
      <c r="BF17" s="2628"/>
      <c r="BH17" s="1238"/>
      <c r="BI17" s="1238"/>
      <c r="BJ17" s="1238"/>
      <c r="BK17" s="2565"/>
      <c r="BL17" s="2567"/>
    </row>
    <row r="18" spans="1:65">
      <c r="A18" s="2565" t="s">
        <v>1934</v>
      </c>
      <c r="B18" s="5">
        <v>41712</v>
      </c>
      <c r="C18" s="4" t="s">
        <v>36</v>
      </c>
      <c r="D18" s="441">
        <v>-1</v>
      </c>
      <c r="F18" s="2603">
        <v>11.5</v>
      </c>
      <c r="G18" s="2604"/>
      <c r="I18" s="2604">
        <v>497</v>
      </c>
      <c r="J18" s="2604">
        <v>457</v>
      </c>
      <c r="K18" s="2604">
        <v>455</v>
      </c>
      <c r="L18" s="21"/>
      <c r="N18" s="2604"/>
      <c r="O18" s="2604"/>
      <c r="P18" s="2604"/>
      <c r="Q18" s="21"/>
      <c r="S18" s="449"/>
      <c r="T18" s="449"/>
      <c r="U18" s="449"/>
      <c r="V18" s="2575"/>
      <c r="X18" s="2605">
        <v>252</v>
      </c>
      <c r="Y18" s="2605">
        <v>245</v>
      </c>
      <c r="Z18" s="2605">
        <v>249</v>
      </c>
      <c r="AA18" s="2203"/>
      <c r="AC18" s="2570"/>
      <c r="AD18" s="2570"/>
      <c r="AE18" s="2570"/>
      <c r="AF18" s="21"/>
      <c r="AG18" s="2574"/>
      <c r="AI18" s="2590">
        <v>9.3000000000000007</v>
      </c>
      <c r="AJ18" s="2591"/>
      <c r="AL18" s="449"/>
      <c r="AM18" s="449"/>
      <c r="AN18" s="449"/>
      <c r="AO18" s="2575"/>
      <c r="AQ18" s="2570"/>
      <c r="AR18" s="2570"/>
      <c r="AS18" s="2570"/>
      <c r="AT18" s="21"/>
      <c r="AU18" s="2574"/>
      <c r="AW18" s="2605">
        <v>360</v>
      </c>
      <c r="AX18" s="2605">
        <v>379</v>
      </c>
      <c r="AY18" s="2605">
        <v>360</v>
      </c>
      <c r="AZ18" s="2575"/>
      <c r="BB18" s="15">
        <f>X18/AW18</f>
        <v>0.7</v>
      </c>
      <c r="BC18" s="15">
        <f>Y18/AX18</f>
        <v>0.64643799472295516</v>
      </c>
      <c r="BD18" s="15">
        <f>Z18/AY18</f>
        <v>0.69166666666666665</v>
      </c>
      <c r="BE18" s="15"/>
      <c r="BF18" s="2628">
        <f>AVERAGE(BB18:BD18)</f>
        <v>0.67936822046320733</v>
      </c>
      <c r="BH18" s="1238"/>
      <c r="BI18" s="1238"/>
      <c r="BJ18" s="1238"/>
      <c r="BK18" s="2565"/>
      <c r="BL18" s="2567"/>
    </row>
    <row r="19" spans="1:65">
      <c r="A19" s="2565"/>
      <c r="B19" s="5"/>
      <c r="C19" s="2565"/>
      <c r="D19" s="2614"/>
      <c r="F19" s="2588"/>
      <c r="G19" s="4"/>
      <c r="I19" s="4"/>
      <c r="J19" s="4"/>
      <c r="K19" s="4"/>
      <c r="L19" s="21"/>
      <c r="N19" s="4"/>
      <c r="O19" s="4"/>
      <c r="P19" s="4"/>
      <c r="Q19" s="21"/>
      <c r="S19" s="165"/>
      <c r="T19" s="11"/>
      <c r="U19" s="11"/>
      <c r="V19" s="21"/>
      <c r="X19" s="2583"/>
      <c r="Y19" s="2586"/>
      <c r="Z19" s="2586"/>
      <c r="AA19" s="2203"/>
      <c r="AC19" s="2569"/>
      <c r="AD19" s="2569"/>
      <c r="AE19" s="2569"/>
      <c r="AF19" s="21"/>
      <c r="AG19" s="2565"/>
      <c r="AI19" s="2589"/>
      <c r="AJ19" s="2583"/>
      <c r="AL19" s="165"/>
      <c r="AM19" s="11"/>
      <c r="AN19" s="11"/>
      <c r="AO19" s="21"/>
      <c r="AQ19" s="2569"/>
      <c r="AR19" s="2569"/>
      <c r="AS19" s="2569"/>
      <c r="AT19" s="21"/>
      <c r="AU19" s="2565"/>
      <c r="AW19" s="2583"/>
      <c r="AX19" s="2583"/>
      <c r="AY19" s="2583"/>
      <c r="AZ19" s="475"/>
      <c r="BB19" s="15"/>
      <c r="BC19" s="15"/>
      <c r="BD19" s="15"/>
      <c r="BE19" s="15"/>
      <c r="BF19" s="2628"/>
      <c r="BH19" s="2565"/>
      <c r="BI19" s="2565"/>
      <c r="BJ19" s="2565"/>
      <c r="BK19" s="2565"/>
      <c r="BL19" s="2565"/>
    </row>
    <row r="20" spans="1:65">
      <c r="A20" s="2642" t="s">
        <v>505</v>
      </c>
      <c r="B20" s="5"/>
      <c r="C20" s="2559" t="s">
        <v>36</v>
      </c>
      <c r="D20" s="2645">
        <f>SUM(D14:D18)/5</f>
        <v>-0.2</v>
      </c>
      <c r="F20" s="2588"/>
      <c r="G20" s="4"/>
      <c r="I20" s="4"/>
      <c r="J20" s="4"/>
      <c r="K20" s="4"/>
      <c r="L20" s="21"/>
      <c r="N20" s="4"/>
      <c r="O20" s="4"/>
      <c r="P20" s="4"/>
      <c r="Q20" s="21"/>
      <c r="S20" s="165"/>
      <c r="T20" s="11"/>
      <c r="U20" s="11"/>
      <c r="V20" s="21"/>
      <c r="X20" s="2583"/>
      <c r="Y20" s="2586"/>
      <c r="Z20" s="2586"/>
      <c r="AA20" s="2203"/>
      <c r="AC20" s="2569"/>
      <c r="AD20" s="2569"/>
      <c r="AE20" s="2569"/>
      <c r="AF20" s="21"/>
      <c r="AG20" s="2646">
        <f>AVERAGE(AG14:AG17)</f>
        <v>4.9420231470467062</v>
      </c>
      <c r="AI20" s="2589"/>
      <c r="AJ20" s="2583"/>
      <c r="AL20" s="165"/>
      <c r="AM20" s="11"/>
      <c r="AN20" s="11"/>
      <c r="AO20" s="21"/>
      <c r="AQ20" s="2569"/>
      <c r="AR20" s="2569"/>
      <c r="AS20" s="2569"/>
      <c r="AT20" s="21"/>
      <c r="AU20" s="2647">
        <f>AVERAGE(AU14:AU17)</f>
        <v>5.1422063416963582</v>
      </c>
      <c r="AW20" s="2583"/>
      <c r="AX20" s="2583"/>
      <c r="AY20" s="2583"/>
      <c r="AZ20" s="475"/>
      <c r="BB20" s="15"/>
      <c r="BC20" s="15"/>
      <c r="BD20" s="15"/>
      <c r="BE20" s="15"/>
      <c r="BF20" s="2650">
        <f>AVERAGE(BF14:BF16,BF18)</f>
        <v>0.67012127094393414</v>
      </c>
      <c r="BH20" s="2565"/>
      <c r="BI20" s="2565"/>
      <c r="BJ20" s="2565"/>
      <c r="BK20" s="2565"/>
      <c r="BL20" s="2649">
        <f>AVERAGE(BL14:BL16)</f>
        <v>0.54505140938364305</v>
      </c>
    </row>
    <row r="21" spans="1:65" ht="3.75" customHeight="1">
      <c r="B21" s="2648"/>
      <c r="F21" s="2616"/>
      <c r="S21" s="2618"/>
      <c r="Y21" s="2620"/>
      <c r="Z21" s="2620"/>
      <c r="AA21" s="2621"/>
      <c r="AC21" s="2622"/>
      <c r="AD21" s="2622"/>
      <c r="AE21" s="2622"/>
      <c r="AI21" s="2623"/>
      <c r="AL21" s="2618"/>
      <c r="AQ21" s="2622"/>
      <c r="AR21" s="2622"/>
      <c r="AS21" s="2622"/>
      <c r="BB21" s="2625"/>
      <c r="BC21" s="2625"/>
      <c r="BD21" s="2625"/>
      <c r="BE21" s="2625"/>
      <c r="BF21" s="2629"/>
    </row>
    <row r="22" spans="1:65">
      <c r="A22" s="2565"/>
      <c r="B22" s="5"/>
      <c r="C22" s="2565"/>
      <c r="D22" s="2614"/>
      <c r="F22" s="2588"/>
      <c r="G22" s="4"/>
      <c r="I22" s="4"/>
      <c r="J22" s="4"/>
      <c r="K22" s="4"/>
      <c r="L22" s="21"/>
      <c r="N22" s="4"/>
      <c r="O22" s="4"/>
      <c r="P22" s="4"/>
      <c r="Q22" s="21"/>
      <c r="S22" s="165"/>
      <c r="T22" s="11"/>
      <c r="U22" s="11"/>
      <c r="V22" s="21"/>
      <c r="X22" s="2583"/>
      <c r="Y22" s="2586"/>
      <c r="Z22" s="2586"/>
      <c r="AA22" s="2203"/>
      <c r="AC22" s="2569"/>
      <c r="AD22" s="2569"/>
      <c r="AE22" s="2569"/>
      <c r="AF22" s="21"/>
      <c r="AG22" s="2565"/>
      <c r="AI22" s="2589"/>
      <c r="AJ22" s="2583"/>
      <c r="AL22" s="165"/>
      <c r="AM22" s="11"/>
      <c r="AN22" s="11"/>
      <c r="AO22" s="21"/>
      <c r="AQ22" s="2569"/>
      <c r="AR22" s="2569"/>
      <c r="AS22" s="2569"/>
      <c r="AT22" s="21"/>
      <c r="AU22" s="2565"/>
      <c r="AW22" s="2583"/>
      <c r="AX22" s="2583"/>
      <c r="AY22" s="2583"/>
      <c r="AZ22" s="475"/>
      <c r="BB22" s="15"/>
      <c r="BC22" s="15"/>
      <c r="BD22" s="15"/>
      <c r="BE22" s="15"/>
      <c r="BF22" s="2628"/>
      <c r="BH22" s="2565"/>
      <c r="BI22" s="2565"/>
      <c r="BJ22" s="2565"/>
      <c r="BK22" s="2565"/>
      <c r="BL22" s="2565"/>
    </row>
    <row r="23" spans="1:65">
      <c r="A23" s="4" t="s">
        <v>1931</v>
      </c>
      <c r="B23" s="5">
        <v>41752</v>
      </c>
      <c r="C23" s="4" t="s">
        <v>38</v>
      </c>
      <c r="D23" s="441">
        <v>1</v>
      </c>
      <c r="F23" s="2603">
        <v>45.63</v>
      </c>
      <c r="G23" s="2604">
        <v>5164.1000000000004</v>
      </c>
      <c r="I23" s="2604">
        <v>3342.1</v>
      </c>
      <c r="J23" s="2604">
        <v>3146</v>
      </c>
      <c r="K23" s="2604">
        <v>2901.9</v>
      </c>
      <c r="L23" s="21"/>
      <c r="N23" s="2604">
        <v>8.3000000000000007</v>
      </c>
      <c r="O23" s="2604">
        <v>8.3000000000000007</v>
      </c>
      <c r="P23" s="2604">
        <v>8.3000000000000007</v>
      </c>
      <c r="Q23" s="21"/>
      <c r="S23" s="449">
        <f t="shared" ref="S23:U24" si="12">$G23+I23+N23</f>
        <v>8514.5</v>
      </c>
      <c r="T23" s="449">
        <f t="shared" si="12"/>
        <v>8318.4</v>
      </c>
      <c r="U23" s="449">
        <f t="shared" si="12"/>
        <v>8074.3</v>
      </c>
      <c r="V23" s="2575"/>
      <c r="X23" s="2605">
        <v>890.6</v>
      </c>
      <c r="Y23" s="2605">
        <v>951.1</v>
      </c>
      <c r="Z23" s="2605">
        <v>1002</v>
      </c>
      <c r="AA23" s="2203"/>
      <c r="AC23" s="2570">
        <f t="shared" ref="AC23:AE24" si="13">S23/X23</f>
        <v>9.5604087132270372</v>
      </c>
      <c r="AD23" s="2570">
        <f t="shared" si="13"/>
        <v>8.7460834822836713</v>
      </c>
      <c r="AE23" s="2570">
        <f t="shared" si="13"/>
        <v>8.0581836327345311</v>
      </c>
      <c r="AF23" s="21"/>
      <c r="AG23" s="2574">
        <f>AVERAGE(AC23:AE23)</f>
        <v>8.7882252760817465</v>
      </c>
      <c r="AI23" s="2590">
        <v>50</v>
      </c>
      <c r="AJ23" s="2643">
        <v>5721</v>
      </c>
      <c r="AL23" s="449">
        <f t="shared" ref="AL23:AN24" si="14">$AJ23+I23</f>
        <v>9063.1</v>
      </c>
      <c r="AM23" s="449">
        <f t="shared" si="14"/>
        <v>8867</v>
      </c>
      <c r="AN23" s="449">
        <f t="shared" si="14"/>
        <v>8622.9</v>
      </c>
      <c r="AO23" s="2575"/>
      <c r="AQ23" s="2570">
        <f t="shared" ref="AQ23:AS24" si="15">AL23/X23</f>
        <v>10.176397933977094</v>
      </c>
      <c r="AR23" s="2570">
        <f t="shared" si="15"/>
        <v>9.3228892860897901</v>
      </c>
      <c r="AS23" s="2570">
        <f t="shared" si="15"/>
        <v>8.6056886227544904</v>
      </c>
      <c r="AT23" s="21"/>
      <c r="AU23" s="2574">
        <f>AVERAGE(AQ23:AS23)</f>
        <v>9.3683252809404589</v>
      </c>
      <c r="AW23" s="2605">
        <v>-1102.4000000000001</v>
      </c>
      <c r="AX23" s="2605">
        <v>-683.1</v>
      </c>
      <c r="AY23" s="2605">
        <v>-229.5</v>
      </c>
      <c r="AZ23" s="2575"/>
      <c r="BB23" s="15">
        <f t="shared" ref="BB23:BD24" si="16">X23/AW23</f>
        <v>-0.80787373004354135</v>
      </c>
      <c r="BC23" s="15">
        <f t="shared" si="16"/>
        <v>-1.392329087981262</v>
      </c>
      <c r="BD23" s="15">
        <f t="shared" si="16"/>
        <v>-4.3660130718954244</v>
      </c>
      <c r="BE23" s="15"/>
      <c r="BF23" s="2628">
        <f>AVERAGE(BB23:BD23)</f>
        <v>-2.1887386299734093</v>
      </c>
      <c r="BH23" s="1238">
        <f t="shared" ref="BH23:BJ24" si="17">AW23/$AJ23</f>
        <v>-0.19269358503758086</v>
      </c>
      <c r="BI23" s="1238">
        <f t="shared" si="17"/>
        <v>-0.1194022024121657</v>
      </c>
      <c r="BJ23" s="1238">
        <f t="shared" si="17"/>
        <v>-4.0115364446775041E-2</v>
      </c>
      <c r="BK23" s="2565"/>
      <c r="BL23" s="2567">
        <f>AVERAGE(BH23:BJ23)</f>
        <v>-0.11740371729884053</v>
      </c>
    </row>
    <row r="24" spans="1:65">
      <c r="A24" s="4" t="s">
        <v>1936</v>
      </c>
      <c r="B24" s="5">
        <v>41771</v>
      </c>
      <c r="C24" s="4" t="s">
        <v>38</v>
      </c>
      <c r="D24" s="441">
        <v>0</v>
      </c>
      <c r="F24" s="2603">
        <v>42</v>
      </c>
      <c r="G24" s="2604">
        <v>4760</v>
      </c>
      <c r="I24" s="2604">
        <v>3511.4</v>
      </c>
      <c r="J24" s="2604">
        <v>3872.3</v>
      </c>
      <c r="K24" s="2604">
        <v>3792.8</v>
      </c>
      <c r="L24" s="21"/>
      <c r="N24" s="2604"/>
      <c r="O24" s="2604"/>
      <c r="P24" s="2604"/>
      <c r="Q24" s="21"/>
      <c r="S24" s="449">
        <f t="shared" si="12"/>
        <v>8271.4</v>
      </c>
      <c r="T24" s="449">
        <f t="shared" si="12"/>
        <v>8632.2999999999993</v>
      </c>
      <c r="U24" s="449">
        <f t="shared" si="12"/>
        <v>8552.7999999999993</v>
      </c>
      <c r="V24" s="2575"/>
      <c r="X24" s="2605">
        <v>885.7</v>
      </c>
      <c r="Y24" s="2605">
        <v>919.5</v>
      </c>
      <c r="Z24" s="2605">
        <v>951.3</v>
      </c>
      <c r="AA24" s="2203"/>
      <c r="AC24" s="2570">
        <f t="shared" si="13"/>
        <v>9.3388280456136386</v>
      </c>
      <c r="AD24" s="2570">
        <f t="shared" si="13"/>
        <v>9.3880369766177267</v>
      </c>
      <c r="AE24" s="2570">
        <f t="shared" si="13"/>
        <v>8.9906443813728583</v>
      </c>
      <c r="AF24" s="21"/>
      <c r="AG24" s="2574">
        <f>AVERAGE(AC24:AE24)</f>
        <v>9.2391698012014079</v>
      </c>
      <c r="AI24" s="2590">
        <v>42</v>
      </c>
      <c r="AJ24" s="2591">
        <f>G24/F24*AI24</f>
        <v>4760</v>
      </c>
      <c r="AL24" s="449">
        <f t="shared" si="14"/>
        <v>8271.4</v>
      </c>
      <c r="AM24" s="449">
        <f t="shared" si="14"/>
        <v>8632.2999999999993</v>
      </c>
      <c r="AN24" s="449">
        <f t="shared" si="14"/>
        <v>8552.7999999999993</v>
      </c>
      <c r="AO24" s="2575"/>
      <c r="AQ24" s="2570">
        <f t="shared" si="15"/>
        <v>9.3388280456136386</v>
      </c>
      <c r="AR24" s="2570">
        <f t="shared" si="15"/>
        <v>9.3880369766177267</v>
      </c>
      <c r="AS24" s="2570">
        <f t="shared" si="15"/>
        <v>8.9906443813728583</v>
      </c>
      <c r="AT24" s="21"/>
      <c r="AU24" s="2574">
        <f>AVERAGE(AQ24:AS24)</f>
        <v>9.2391698012014079</v>
      </c>
      <c r="AW24" s="2605">
        <v>-1405.8</v>
      </c>
      <c r="AX24" s="2605">
        <v>-1819.6</v>
      </c>
      <c r="AY24" s="2605">
        <v>-1771.3</v>
      </c>
      <c r="AZ24" s="2575"/>
      <c r="BB24" s="15">
        <f t="shared" si="16"/>
        <v>-0.6300327215820174</v>
      </c>
      <c r="BC24" s="15">
        <f t="shared" si="16"/>
        <v>-0.50533084194328426</v>
      </c>
      <c r="BD24" s="15">
        <f t="shared" si="16"/>
        <v>-0.53706317394004399</v>
      </c>
      <c r="BE24" s="15"/>
      <c r="BF24" s="2628">
        <f>AVERAGE(BB24:BD24)</f>
        <v>-0.55747557915511525</v>
      </c>
      <c r="BH24" s="1238">
        <f t="shared" si="17"/>
        <v>-0.29533613445378148</v>
      </c>
      <c r="BI24" s="1238">
        <f t="shared" si="17"/>
        <v>-0.38226890756302517</v>
      </c>
      <c r="BJ24" s="1238">
        <f t="shared" si="17"/>
        <v>-0.37212184873949578</v>
      </c>
      <c r="BK24" s="2565"/>
      <c r="BL24" s="2567">
        <f>AVERAGE(BH24:BJ24)</f>
        <v>-0.34990896358543416</v>
      </c>
    </row>
    <row r="25" spans="1:65">
      <c r="A25" s="4" t="s">
        <v>1945</v>
      </c>
      <c r="B25" s="5">
        <v>41765</v>
      </c>
      <c r="C25" s="4" t="s">
        <v>38</v>
      </c>
      <c r="D25" s="441">
        <v>0</v>
      </c>
      <c r="F25" s="2603">
        <v>42.25</v>
      </c>
      <c r="G25" s="165"/>
      <c r="I25" s="2604">
        <v>3526</v>
      </c>
      <c r="J25" s="2604">
        <v>3477</v>
      </c>
      <c r="K25" s="2604">
        <v>3305</v>
      </c>
      <c r="L25" s="21"/>
      <c r="N25" s="2604"/>
      <c r="O25" s="2604"/>
      <c r="P25" s="2604"/>
      <c r="Q25" s="21"/>
      <c r="S25" s="449"/>
      <c r="T25" s="449"/>
      <c r="U25" s="449"/>
      <c r="V25" s="2575"/>
      <c r="X25" s="2605">
        <v>894</v>
      </c>
      <c r="Y25" s="2605">
        <v>907</v>
      </c>
      <c r="Z25" s="2604">
        <v>935</v>
      </c>
      <c r="AA25" s="2203"/>
      <c r="AC25" s="2573">
        <v>9.6</v>
      </c>
      <c r="AD25" s="2573">
        <v>9.3000000000000007</v>
      </c>
      <c r="AE25" s="2570"/>
      <c r="AF25" s="21"/>
      <c r="AG25" s="2574">
        <f>AVERAGE(AC25:AE25)</f>
        <v>9.4499999999999993</v>
      </c>
      <c r="AI25" s="2590">
        <v>40</v>
      </c>
      <c r="AJ25" s="2591"/>
      <c r="AL25" s="449"/>
      <c r="AM25" s="449"/>
      <c r="AN25" s="449"/>
      <c r="AO25" s="2575"/>
      <c r="AQ25" s="2573">
        <v>9.3000000000000007</v>
      </c>
      <c r="AR25" s="2573">
        <v>9.1</v>
      </c>
      <c r="AS25" s="2570"/>
      <c r="AT25" s="21"/>
      <c r="AU25" s="2574">
        <f>AVERAGE(AQ25:AS25)</f>
        <v>9.1999999999999993</v>
      </c>
      <c r="AW25" s="2605"/>
      <c r="AX25" s="2605"/>
      <c r="AY25" s="2605"/>
      <c r="AZ25" s="2575"/>
      <c r="BB25" s="15"/>
      <c r="BC25" s="15"/>
      <c r="BD25" s="15"/>
      <c r="BE25" s="15"/>
      <c r="BF25" s="2628"/>
      <c r="BH25" s="1238"/>
      <c r="BI25" s="1238"/>
      <c r="BJ25" s="1238"/>
      <c r="BK25" s="2565"/>
      <c r="BL25" s="2567"/>
    </row>
    <row r="26" spans="1:65">
      <c r="A26" s="2565" t="s">
        <v>1934</v>
      </c>
      <c r="B26" s="5">
        <v>41712</v>
      </c>
      <c r="C26" s="4" t="s">
        <v>38</v>
      </c>
      <c r="D26" s="441">
        <v>0</v>
      </c>
      <c r="F26" s="2603">
        <v>45.3</v>
      </c>
      <c r="G26" s="2604"/>
      <c r="I26" s="2604">
        <v>3477</v>
      </c>
      <c r="J26" s="2604">
        <v>3390</v>
      </c>
      <c r="K26" s="2604">
        <v>3379</v>
      </c>
      <c r="L26" s="21"/>
      <c r="N26" s="2604"/>
      <c r="O26" s="2604"/>
      <c r="P26" s="2604"/>
      <c r="Q26" s="21"/>
      <c r="S26" s="449"/>
      <c r="T26" s="449"/>
      <c r="U26" s="449"/>
      <c r="V26" s="2575"/>
      <c r="X26" s="2605">
        <v>838</v>
      </c>
      <c r="Y26" s="2605">
        <v>878</v>
      </c>
      <c r="Z26" s="2605">
        <v>908</v>
      </c>
      <c r="AA26" s="2203"/>
      <c r="AC26" s="2570"/>
      <c r="AD26" s="2570"/>
      <c r="AE26" s="2570"/>
      <c r="AF26" s="21"/>
      <c r="AG26" s="2574"/>
      <c r="AI26" s="2590">
        <v>47</v>
      </c>
      <c r="AJ26" s="2591"/>
      <c r="AL26" s="449"/>
      <c r="AM26" s="449"/>
      <c r="AN26" s="449"/>
      <c r="AO26" s="2575"/>
      <c r="AQ26" s="2570"/>
      <c r="AR26" s="2570"/>
      <c r="AS26" s="2570"/>
      <c r="AT26" s="21"/>
      <c r="AU26" s="2574"/>
      <c r="AW26" s="2605">
        <v>-1338</v>
      </c>
      <c r="AX26" s="2605">
        <v>-1307</v>
      </c>
      <c r="AY26" s="2605">
        <v>-1320</v>
      </c>
      <c r="AZ26" s="2575"/>
      <c r="BB26" s="15">
        <f>X26/AW26</f>
        <v>-0.62630792227204779</v>
      </c>
      <c r="BC26" s="15">
        <f>Y26/AX26</f>
        <v>-0.67176740627390974</v>
      </c>
      <c r="BD26" s="15">
        <f>Z26/AY26</f>
        <v>-0.68787878787878787</v>
      </c>
      <c r="BE26" s="15"/>
      <c r="BF26" s="2628">
        <f>AVERAGE(BB26:BD26)</f>
        <v>-0.66198470547491517</v>
      </c>
      <c r="BH26" s="1238"/>
      <c r="BI26" s="1238"/>
      <c r="BJ26" s="1238"/>
      <c r="BK26" s="2565"/>
      <c r="BL26" s="2567"/>
    </row>
    <row r="27" spans="1:65">
      <c r="A27" s="2565"/>
      <c r="B27" s="5"/>
      <c r="C27" s="2565"/>
      <c r="D27" s="2614"/>
      <c r="F27" s="2588"/>
      <c r="G27" s="4"/>
      <c r="I27" s="4"/>
      <c r="J27" s="4"/>
      <c r="K27" s="4"/>
      <c r="L27" s="21"/>
      <c r="N27" s="4"/>
      <c r="O27" s="4"/>
      <c r="P27" s="4"/>
      <c r="Q27" s="21"/>
      <c r="S27" s="165"/>
      <c r="T27" s="11"/>
      <c r="U27" s="11"/>
      <c r="V27" s="21"/>
      <c r="X27" s="2583"/>
      <c r="Y27" s="2586"/>
      <c r="Z27" s="2586"/>
      <c r="AA27" s="2203"/>
      <c r="AC27" s="2569"/>
      <c r="AD27" s="2569"/>
      <c r="AE27" s="2569"/>
      <c r="AF27" s="21"/>
      <c r="AG27" s="2565"/>
      <c r="AI27" s="2589"/>
      <c r="AJ27" s="2583"/>
      <c r="AL27" s="165"/>
      <c r="AM27" s="11"/>
      <c r="AN27" s="11"/>
      <c r="AO27" s="21"/>
      <c r="AQ27" s="2569"/>
      <c r="AR27" s="2569"/>
      <c r="AS27" s="2569"/>
      <c r="AT27" s="21"/>
      <c r="AU27" s="2565"/>
      <c r="AW27" s="2583"/>
      <c r="AX27" s="2583"/>
      <c r="AY27" s="2583"/>
      <c r="AZ27" s="475"/>
      <c r="BB27" s="15"/>
      <c r="BC27" s="15"/>
      <c r="BD27" s="15"/>
      <c r="BE27" s="15"/>
      <c r="BF27" s="2628"/>
      <c r="BH27" s="2565"/>
      <c r="BI27" s="2565"/>
      <c r="BJ27" s="2565"/>
      <c r="BK27" s="2565"/>
      <c r="BL27" s="2565"/>
    </row>
    <row r="28" spans="1:65">
      <c r="A28" s="2642" t="s">
        <v>505</v>
      </c>
      <c r="B28" s="5"/>
      <c r="C28" s="2559" t="s">
        <v>38</v>
      </c>
      <c r="D28" s="2645">
        <f>SUM(D23:D26)/5</f>
        <v>0.2</v>
      </c>
      <c r="F28" s="2588"/>
      <c r="G28" s="4"/>
      <c r="I28" s="4"/>
      <c r="J28" s="4"/>
      <c r="K28" s="4"/>
      <c r="L28" s="21"/>
      <c r="N28" s="4"/>
      <c r="O28" s="4"/>
      <c r="P28" s="4"/>
      <c r="Q28" s="21"/>
      <c r="S28" s="165"/>
      <c r="T28" s="11"/>
      <c r="U28" s="11"/>
      <c r="V28" s="21"/>
      <c r="X28" s="2583"/>
      <c r="Y28" s="2586"/>
      <c r="Z28" s="2586"/>
      <c r="AA28" s="2203"/>
      <c r="AC28" s="2569"/>
      <c r="AD28" s="2569"/>
      <c r="AE28" s="2569"/>
      <c r="AF28" s="21"/>
      <c r="AG28" s="2646">
        <f>AVERAGE(AG23:AG25)</f>
        <v>9.1591316924277173</v>
      </c>
      <c r="AI28" s="2589"/>
      <c r="AJ28" s="2583"/>
      <c r="AL28" s="165"/>
      <c r="AM28" s="11"/>
      <c r="AN28" s="11"/>
      <c r="AO28" s="21"/>
      <c r="AQ28" s="2569"/>
      <c r="AR28" s="2569"/>
      <c r="AS28" s="2569"/>
      <c r="AT28" s="21"/>
      <c r="AU28" s="2647">
        <f>AVERAGE(AU23:AU25)</f>
        <v>9.2691650273806214</v>
      </c>
      <c r="AW28" s="2583"/>
      <c r="AX28" s="2583"/>
      <c r="AY28" s="2583"/>
      <c r="AZ28" s="475"/>
      <c r="BB28" s="15"/>
      <c r="BC28" s="15"/>
      <c r="BD28" s="15"/>
      <c r="BE28" s="15"/>
      <c r="BF28" s="2650">
        <f>AVERAGE(BF23:BF24,BF26)</f>
        <v>-1.1360663048678132</v>
      </c>
      <c r="BH28" s="2565"/>
      <c r="BI28" s="2565"/>
      <c r="BJ28" s="2565"/>
      <c r="BK28" s="2565"/>
      <c r="BL28" s="2649">
        <f>AVERAGE(BL23:BL24)</f>
        <v>-0.23365634044213734</v>
      </c>
    </row>
    <row r="29" spans="1:65" ht="3.75" customHeight="1">
      <c r="B29" s="2648"/>
      <c r="F29" s="2616"/>
      <c r="S29" s="2618"/>
      <c r="Y29" s="2620"/>
      <c r="Z29" s="2620"/>
      <c r="AA29" s="2621"/>
      <c r="AC29" s="2622"/>
      <c r="AD29" s="2622"/>
      <c r="AE29" s="2622"/>
      <c r="AI29" s="2623"/>
      <c r="AL29" s="2618"/>
      <c r="AQ29" s="2622"/>
      <c r="AR29" s="2622"/>
      <c r="AS29" s="2622"/>
      <c r="BB29" s="2625"/>
      <c r="BC29" s="2625"/>
      <c r="BD29" s="2625"/>
      <c r="BE29" s="2625"/>
      <c r="BF29" s="2629"/>
    </row>
    <row r="30" spans="1:65" s="2624" customFormat="1">
      <c r="A30" s="475" t="s">
        <v>1946</v>
      </c>
      <c r="B30" s="2633"/>
      <c r="C30" s="475"/>
      <c r="D30" s="475"/>
      <c r="E30" s="2617"/>
      <c r="F30" s="2634"/>
      <c r="G30" s="2634"/>
      <c r="H30" s="2617"/>
      <c r="I30" s="2634"/>
      <c r="J30" s="2634"/>
      <c r="K30" s="475"/>
      <c r="L30" s="21"/>
      <c r="M30" s="2617"/>
      <c r="N30" s="2634"/>
      <c r="O30" s="2634"/>
      <c r="P30" s="475"/>
      <c r="Q30" s="21"/>
      <c r="R30" s="2617"/>
      <c r="S30" s="2203"/>
      <c r="T30" s="21"/>
      <c r="U30" s="21"/>
      <c r="V30" s="21"/>
      <c r="W30" s="2617"/>
      <c r="X30" s="2634"/>
      <c r="Y30" s="2634"/>
      <c r="Z30" s="2203"/>
      <c r="AA30" s="2203"/>
      <c r="AB30" s="2617"/>
      <c r="AC30" s="2630"/>
      <c r="AD30" s="2630"/>
      <c r="AE30" s="2630"/>
      <c r="AF30" s="21"/>
      <c r="AG30" s="475"/>
      <c r="AH30" s="2617"/>
      <c r="AI30" s="2631"/>
      <c r="AJ30" s="475"/>
      <c r="AK30" s="2617"/>
      <c r="AL30" s="2203"/>
      <c r="AM30" s="21"/>
      <c r="AN30" s="21"/>
      <c r="AO30" s="21"/>
      <c r="AP30" s="2617"/>
      <c r="AQ30" s="2630"/>
      <c r="AR30" s="2630"/>
      <c r="AS30" s="2630"/>
      <c r="AT30" s="21"/>
      <c r="AU30" s="475"/>
      <c r="AV30" s="2617"/>
      <c r="AW30" s="2634"/>
      <c r="AX30" s="2634"/>
      <c r="AY30" s="2634"/>
      <c r="AZ30" s="2634"/>
      <c r="BA30" s="2617"/>
      <c r="BB30" s="22"/>
      <c r="BC30" s="22"/>
      <c r="BD30" s="22"/>
      <c r="BE30" s="22"/>
      <c r="BF30" s="2632"/>
      <c r="BG30" s="2617"/>
      <c r="BH30" s="475"/>
      <c r="BI30" s="475"/>
      <c r="BJ30" s="475"/>
      <c r="BK30" s="475"/>
      <c r="BL30" s="475"/>
      <c r="BM30" s="2617"/>
    </row>
    <row r="31" spans="1:65" s="2624" customFormat="1">
      <c r="A31" s="2634" t="s">
        <v>1947</v>
      </c>
      <c r="B31" s="2633">
        <v>41765</v>
      </c>
      <c r="C31" s="475" t="s">
        <v>37</v>
      </c>
      <c r="D31" s="475"/>
      <c r="E31" s="2617"/>
      <c r="F31" s="2635">
        <v>24.245000000000001</v>
      </c>
      <c r="G31" s="2609">
        <v>8195.4194389999993</v>
      </c>
      <c r="H31" s="2617"/>
      <c r="I31" s="2609">
        <v>1981.83</v>
      </c>
      <c r="J31" s="2609">
        <v>2039.7</v>
      </c>
      <c r="K31" s="2609"/>
      <c r="L31" s="21"/>
      <c r="M31" s="2617"/>
      <c r="N31" s="2609"/>
      <c r="O31" s="2609"/>
      <c r="P31" s="2609"/>
      <c r="Q31" s="21"/>
      <c r="R31" s="2617"/>
      <c r="S31" s="2575">
        <f t="shared" ref="S31:T33" si="18">$G31+I31</f>
        <v>10177.249438999999</v>
      </c>
      <c r="T31" s="2575">
        <f t="shared" si="18"/>
        <v>10235.119439</v>
      </c>
      <c r="U31" s="2575"/>
      <c r="V31" s="2575"/>
      <c r="W31" s="2617"/>
      <c r="X31" s="2609">
        <v>1639.14</v>
      </c>
      <c r="Y31" s="2609">
        <v>1613</v>
      </c>
      <c r="Z31" s="2609"/>
      <c r="AA31" s="2203"/>
      <c r="AB31" s="2617"/>
      <c r="AC31" s="2636">
        <f t="shared" ref="AC31:AD33" si="19">S31/X31</f>
        <v>6.2088957862049607</v>
      </c>
      <c r="AD31" s="2636">
        <f t="shared" si="19"/>
        <v>6.3453933285802853</v>
      </c>
      <c r="AE31" s="2636"/>
      <c r="AF31" s="21"/>
      <c r="AG31" s="2637">
        <f>AVERAGE(AC31:AE31)</f>
        <v>6.2771445573926226</v>
      </c>
      <c r="AH31" s="2617"/>
      <c r="AI31" s="2640"/>
      <c r="AJ31" s="2575"/>
      <c r="AK31" s="2617"/>
      <c r="AL31" s="2575"/>
      <c r="AM31" s="2575"/>
      <c r="AN31" s="2575"/>
      <c r="AO31" s="2575"/>
      <c r="AP31" s="2617"/>
      <c r="AQ31" s="2636"/>
      <c r="AR31" s="2636"/>
      <c r="AS31" s="2636"/>
      <c r="AT31" s="21"/>
      <c r="AU31" s="2637"/>
      <c r="AV31" s="2617"/>
      <c r="AW31" s="2609">
        <v>2887.04</v>
      </c>
      <c r="AX31" s="2609">
        <v>2856.65</v>
      </c>
      <c r="AY31" s="2609">
        <v>2869.67</v>
      </c>
      <c r="AZ31" s="2641">
        <v>2776.23</v>
      </c>
      <c r="BA31" s="2617"/>
      <c r="BB31" s="22">
        <f t="shared" ref="BB31:BC33" si="20">X31/AW31</f>
        <v>0.56775798049213044</v>
      </c>
      <c r="BC31" s="22">
        <f t="shared" si="20"/>
        <v>0.56464740167678917</v>
      </c>
      <c r="BD31" s="22"/>
      <c r="BE31" s="22"/>
      <c r="BF31" s="2632">
        <f>AVERAGE(BB31:BC31)</f>
        <v>0.56620269108445975</v>
      </c>
      <c r="BG31" s="2617"/>
      <c r="BH31" s="2638"/>
      <c r="BI31" s="2638"/>
      <c r="BJ31" s="2638"/>
      <c r="BK31" s="475"/>
      <c r="BL31" s="2639"/>
      <c r="BM31" s="2617"/>
    </row>
    <row r="32" spans="1:65" s="2624" customFormat="1">
      <c r="A32" s="475"/>
      <c r="B32" s="2633"/>
      <c r="C32" s="475" t="s">
        <v>36</v>
      </c>
      <c r="D32" s="475"/>
      <c r="E32" s="2617"/>
      <c r="F32" s="2635">
        <v>14.414999999999999</v>
      </c>
      <c r="G32" s="2609">
        <v>865.10777599999994</v>
      </c>
      <c r="H32" s="2617"/>
      <c r="I32" s="2609">
        <v>525</v>
      </c>
      <c r="J32" s="2609">
        <v>497</v>
      </c>
      <c r="K32" s="2609"/>
      <c r="L32" s="21"/>
      <c r="M32" s="2617"/>
      <c r="N32" s="2609"/>
      <c r="O32" s="2609"/>
      <c r="P32" s="2609"/>
      <c r="Q32" s="21"/>
      <c r="R32" s="2617"/>
      <c r="S32" s="2575">
        <f t="shared" si="18"/>
        <v>1390.1077759999998</v>
      </c>
      <c r="T32" s="2575">
        <f t="shared" si="18"/>
        <v>1362.1077759999998</v>
      </c>
      <c r="U32" s="2575"/>
      <c r="V32" s="2575"/>
      <c r="W32" s="2617"/>
      <c r="X32" s="2609">
        <v>265.37799999999999</v>
      </c>
      <c r="Y32" s="2609">
        <v>259</v>
      </c>
      <c r="Z32" s="2609"/>
      <c r="AA32" s="2203"/>
      <c r="AB32" s="2617"/>
      <c r="AC32" s="2636">
        <f t="shared" si="19"/>
        <v>5.2382178477492483</v>
      </c>
      <c r="AD32" s="2636">
        <f t="shared" si="19"/>
        <v>5.259103382239382</v>
      </c>
      <c r="AE32" s="2636"/>
      <c r="AF32" s="21"/>
      <c r="AG32" s="2637">
        <f>AVERAGE(AC32:AE32)</f>
        <v>5.2486606149943151</v>
      </c>
      <c r="AH32" s="2617"/>
      <c r="AI32" s="2640"/>
      <c r="AJ32" s="2575"/>
      <c r="AK32" s="2617"/>
      <c r="AL32" s="2575"/>
      <c r="AM32" s="2575"/>
      <c r="AN32" s="2575"/>
      <c r="AO32" s="2575"/>
      <c r="AP32" s="2617"/>
      <c r="AQ32" s="2636"/>
      <c r="AR32" s="2636"/>
      <c r="AS32" s="2636"/>
      <c r="AT32" s="21"/>
      <c r="AU32" s="2637"/>
      <c r="AV32" s="2617"/>
      <c r="AW32" s="2609">
        <v>383.45699999999999</v>
      </c>
      <c r="AX32" s="2609">
        <v>418.65600000000001</v>
      </c>
      <c r="AY32" s="2609">
        <v>447.55900000000003</v>
      </c>
      <c r="AZ32" s="2641">
        <v>506</v>
      </c>
      <c r="BA32" s="2617"/>
      <c r="BB32" s="22">
        <f t="shared" si="20"/>
        <v>0.69206716789626999</v>
      </c>
      <c r="BC32" s="22">
        <f t="shared" si="20"/>
        <v>0.61864633493846977</v>
      </c>
      <c r="BD32" s="22"/>
      <c r="BE32" s="22"/>
      <c r="BF32" s="2632">
        <f>AVERAGE(BB32:BC32)</f>
        <v>0.65535675141736993</v>
      </c>
      <c r="BG32" s="2617"/>
      <c r="BH32" s="2638"/>
      <c r="BI32" s="2638"/>
      <c r="BJ32" s="2638"/>
      <c r="BK32" s="475"/>
      <c r="BL32" s="2639"/>
      <c r="BM32" s="2617"/>
    </row>
    <row r="33" spans="1:65" s="2624" customFormat="1">
      <c r="A33" s="475"/>
      <c r="B33" s="2633"/>
      <c r="C33" s="475" t="s">
        <v>38</v>
      </c>
      <c r="D33" s="475"/>
      <c r="E33" s="2617"/>
      <c r="F33" s="2635">
        <v>43.475000000000001</v>
      </c>
      <c r="G33" s="2609">
        <v>5037.0299660000001</v>
      </c>
      <c r="H33" s="2617"/>
      <c r="I33" s="2609">
        <v>3705.5</v>
      </c>
      <c r="J33" s="2609">
        <v>3978.85</v>
      </c>
      <c r="K33" s="2609"/>
      <c r="L33" s="21"/>
      <c r="M33" s="2617"/>
      <c r="N33" s="2609"/>
      <c r="O33" s="2609"/>
      <c r="P33" s="2609"/>
      <c r="Q33" s="21"/>
      <c r="R33" s="2617"/>
      <c r="S33" s="2575">
        <f t="shared" si="18"/>
        <v>8742.5299660000001</v>
      </c>
      <c r="T33" s="2575">
        <f t="shared" si="18"/>
        <v>9015.8799660000004</v>
      </c>
      <c r="U33" s="2575"/>
      <c r="V33" s="2575"/>
      <c r="W33" s="2617"/>
      <c r="X33" s="2609">
        <v>894</v>
      </c>
      <c r="Y33" s="2609">
        <v>942.53099999999995</v>
      </c>
      <c r="Z33" s="2609"/>
      <c r="AA33" s="2203"/>
      <c r="AB33" s="2617"/>
      <c r="AC33" s="2636">
        <f t="shared" si="19"/>
        <v>9.7791162930648774</v>
      </c>
      <c r="AD33" s="2636">
        <f t="shared" si="19"/>
        <v>9.5656057636300567</v>
      </c>
      <c r="AE33" s="2636"/>
      <c r="AF33" s="21"/>
      <c r="AG33" s="2637">
        <f>AVERAGE(AC33:AE33)</f>
        <v>9.672361028347467</v>
      </c>
      <c r="AH33" s="2617"/>
      <c r="AI33" s="2640"/>
      <c r="AJ33" s="2575"/>
      <c r="AK33" s="2617"/>
      <c r="AL33" s="2575"/>
      <c r="AM33" s="2575"/>
      <c r="AN33" s="2575"/>
      <c r="AO33" s="2575"/>
      <c r="AP33" s="2617"/>
      <c r="AQ33" s="2636"/>
      <c r="AR33" s="2636"/>
      <c r="AS33" s="2636"/>
      <c r="AT33" s="21"/>
      <c r="AU33" s="2637"/>
      <c r="AV33" s="2617"/>
      <c r="AW33" s="2609">
        <v>-1591.53</v>
      </c>
      <c r="AX33" s="2609">
        <v>-1473.64</v>
      </c>
      <c r="AY33" s="2609">
        <v>-1401.82</v>
      </c>
      <c r="AZ33" s="2641">
        <v>-1900.85</v>
      </c>
      <c r="BA33" s="2617"/>
      <c r="BB33" s="22">
        <f t="shared" si="20"/>
        <v>-0.56172362443686263</v>
      </c>
      <c r="BC33" s="22">
        <f t="shared" si="20"/>
        <v>-0.63959379495670576</v>
      </c>
      <c r="BD33" s="22"/>
      <c r="BE33" s="22"/>
      <c r="BF33" s="2632">
        <f>AVERAGE(BB33:BC33)</f>
        <v>-0.60065870969678414</v>
      </c>
      <c r="BG33" s="2617"/>
      <c r="BH33" s="2638"/>
      <c r="BI33" s="2638"/>
      <c r="BJ33" s="2638"/>
      <c r="BK33" s="475"/>
      <c r="BL33" s="2639"/>
      <c r="BM33" s="2617"/>
    </row>
    <row r="34" spans="1:65">
      <c r="A34"/>
      <c r="B34" s="5"/>
      <c r="C34" s="2494"/>
      <c r="D34" s="2614"/>
      <c r="F34" s="2588"/>
      <c r="G34" s="4"/>
      <c r="I34" s="4"/>
      <c r="J34" s="4"/>
      <c r="K34" s="4"/>
      <c r="L34" s="21"/>
      <c r="N34" s="4"/>
      <c r="O34" s="4"/>
      <c r="P34" s="4"/>
      <c r="Q34" s="21"/>
      <c r="S34" s="165"/>
      <c r="T34" s="11"/>
      <c r="U34" s="11"/>
      <c r="V34" s="21"/>
      <c r="X34" s="2583"/>
      <c r="Y34" s="2586"/>
      <c r="Z34" s="2586"/>
      <c r="AA34" s="2203"/>
      <c r="AC34" s="2569"/>
      <c r="AD34" s="2569"/>
      <c r="AE34" s="2569"/>
      <c r="AF34" s="21"/>
      <c r="AG34" s="2565"/>
      <c r="AI34" s="2589"/>
      <c r="AJ34" s="2583"/>
      <c r="AL34" s="165"/>
      <c r="AM34" s="11"/>
      <c r="AN34" s="11"/>
      <c r="AO34" s="21"/>
      <c r="AQ34" s="2569"/>
      <c r="AR34" s="2569"/>
      <c r="AS34" s="2569"/>
      <c r="AT34" s="21"/>
      <c r="AU34" s="2565"/>
      <c r="AW34" s="2583"/>
      <c r="AX34" s="2583"/>
      <c r="AY34" s="2583"/>
      <c r="AZ34" s="475"/>
      <c r="BB34" s="15"/>
      <c r="BC34" s="15"/>
      <c r="BD34" s="15"/>
      <c r="BE34" s="15"/>
      <c r="BF34" s="2628"/>
      <c r="BH34"/>
      <c r="BI34"/>
      <c r="BJ34"/>
      <c r="BK34" s="2565"/>
      <c r="BL34"/>
    </row>
    <row r="35" spans="1:65">
      <c r="B35" s="2581"/>
      <c r="C35" s="2581"/>
      <c r="F35" s="2616"/>
      <c r="S35" s="2618"/>
      <c r="Y35" s="2620"/>
      <c r="Z35" s="2620"/>
      <c r="AA35" s="2621"/>
      <c r="AC35" s="2622"/>
      <c r="AD35" s="2622"/>
      <c r="AE35" s="2622"/>
      <c r="AI35" s="2623"/>
      <c r="AL35" s="2618"/>
      <c r="AQ35" s="2622"/>
      <c r="AR35" s="2622"/>
      <c r="AS35" s="2622"/>
      <c r="BB35" s="2625"/>
      <c r="BC35" s="2625"/>
      <c r="BD35" s="2625"/>
      <c r="BE35" s="2625"/>
      <c r="BF35" s="2629"/>
    </row>
    <row r="36" spans="1:65">
      <c r="F36" s="2616"/>
      <c r="S36" s="2618"/>
      <c r="Y36" s="2620"/>
      <c r="Z36" s="2620"/>
      <c r="AA36" s="2621"/>
      <c r="AC36" s="2622"/>
      <c r="AD36" s="2622"/>
      <c r="AE36" s="2622"/>
      <c r="AI36" s="2623"/>
      <c r="AL36" s="2618"/>
      <c r="AQ36" s="2622"/>
      <c r="AR36" s="2622"/>
      <c r="AS36" s="2622"/>
      <c r="BB36" s="2625"/>
      <c r="BC36" s="2625"/>
      <c r="BD36" s="2625"/>
      <c r="BE36" s="2625"/>
      <c r="BF36" s="2629"/>
    </row>
    <row r="37" spans="1:65">
      <c r="F37" s="2616"/>
      <c r="S37" s="2618"/>
      <c r="Y37" s="2620"/>
      <c r="Z37" s="2620"/>
      <c r="AA37" s="2621"/>
      <c r="AC37" s="2622"/>
      <c r="AD37" s="2622"/>
      <c r="AE37" s="2622"/>
      <c r="AI37" s="2623"/>
      <c r="AL37" s="2618"/>
      <c r="AQ37" s="2622"/>
      <c r="AR37" s="2622"/>
      <c r="AS37" s="2622"/>
      <c r="BB37" s="2625"/>
      <c r="BC37" s="2625"/>
      <c r="BD37" s="2625"/>
      <c r="BE37" s="2625"/>
      <c r="BF37" s="2629"/>
    </row>
    <row r="38" spans="1:65">
      <c r="F38" s="2616"/>
      <c r="S38" s="2618"/>
      <c r="Y38" s="2620"/>
      <c r="Z38" s="2620"/>
      <c r="AA38" s="2621"/>
      <c r="AC38" s="2622"/>
      <c r="AD38" s="2622"/>
      <c r="AE38" s="2622"/>
      <c r="AI38" s="2623"/>
      <c r="AL38" s="2618"/>
      <c r="AQ38" s="2622"/>
      <c r="AR38" s="2622"/>
      <c r="AS38" s="2622"/>
      <c r="BB38" s="2625"/>
      <c r="BC38" s="2625"/>
      <c r="BD38" s="2625"/>
      <c r="BE38" s="2625"/>
      <c r="BF38" s="2629"/>
    </row>
    <row r="39" spans="1:65">
      <c r="B39" s="2581"/>
      <c r="C39" s="2581"/>
      <c r="F39" s="2616"/>
      <c r="S39" s="2618"/>
      <c r="Y39" s="2620"/>
      <c r="Z39" s="2620"/>
      <c r="AA39" s="2621"/>
      <c r="AC39" s="2622"/>
      <c r="AD39" s="2622"/>
      <c r="AE39" s="2622"/>
      <c r="AI39" s="2623"/>
      <c r="AL39" s="2618"/>
      <c r="AQ39" s="2622"/>
      <c r="AR39" s="2622"/>
      <c r="AS39" s="2622"/>
      <c r="BB39" s="2625"/>
      <c r="BC39" s="2625"/>
      <c r="BD39" s="2625"/>
      <c r="BE39" s="2625"/>
      <c r="BF39" s="2629"/>
    </row>
    <row r="40" spans="1:65">
      <c r="F40" s="2616"/>
      <c r="S40" s="2618"/>
      <c r="Y40" s="2620"/>
      <c r="Z40" s="2620"/>
      <c r="AA40" s="2621"/>
      <c r="AC40" s="2622"/>
      <c r="AD40" s="2622"/>
      <c r="AE40" s="2622"/>
      <c r="AI40" s="2623"/>
      <c r="AL40" s="2618"/>
      <c r="AQ40" s="2622"/>
      <c r="AR40" s="2622"/>
      <c r="AS40" s="2622"/>
      <c r="BB40" s="2625"/>
      <c r="BC40" s="2625"/>
      <c r="BD40" s="2625"/>
      <c r="BE40" s="2625"/>
      <c r="BF40" s="2629"/>
    </row>
    <row r="41" spans="1:65">
      <c r="A41" s="2581"/>
      <c r="F41" s="2616"/>
      <c r="S41" s="2618"/>
      <c r="Y41" s="2620"/>
      <c r="Z41" s="2620"/>
      <c r="AA41" s="2621"/>
      <c r="AC41" s="2622"/>
      <c r="AD41" s="2622"/>
      <c r="AE41" s="2622"/>
      <c r="AI41" s="2623"/>
      <c r="AL41" s="2618"/>
      <c r="AQ41" s="2622"/>
      <c r="AR41" s="2622"/>
      <c r="AS41" s="2622"/>
      <c r="BB41" s="2625"/>
      <c r="BC41" s="2625"/>
      <c r="BD41" s="2625"/>
      <c r="BE41" s="2625"/>
      <c r="BF41" s="2629"/>
    </row>
    <row r="42" spans="1:65">
      <c r="F42" s="2616"/>
      <c r="S42" s="2618"/>
      <c r="Y42" s="2620"/>
      <c r="Z42" s="2620"/>
      <c r="AA42" s="2621"/>
      <c r="AC42" s="2622"/>
      <c r="AD42" s="2622"/>
      <c r="AE42" s="2622"/>
      <c r="AI42" s="2623"/>
      <c r="AL42" s="2618"/>
      <c r="AQ42" s="2622"/>
      <c r="AR42" s="2622"/>
      <c r="AS42" s="2622"/>
      <c r="BB42" s="2625"/>
      <c r="BC42" s="2625"/>
      <c r="BD42" s="2625"/>
      <c r="BE42" s="2625"/>
      <c r="BF42" s="2629"/>
    </row>
    <row r="43" spans="1:65">
      <c r="F43" s="2616"/>
      <c r="S43" s="2618"/>
      <c r="Y43" s="2620"/>
      <c r="Z43" s="2620"/>
      <c r="AA43" s="2621"/>
      <c r="AC43" s="2622"/>
      <c r="AD43" s="2622"/>
      <c r="AE43" s="2622"/>
      <c r="AI43" s="2623"/>
      <c r="AL43" s="2618"/>
      <c r="AQ43" s="2622"/>
      <c r="AR43" s="2622"/>
      <c r="AS43" s="2622"/>
      <c r="BB43" s="2625"/>
      <c r="BC43" s="2625"/>
      <c r="BD43" s="2625"/>
      <c r="BE43" s="2625"/>
      <c r="BF43" s="2629"/>
    </row>
    <row r="44" spans="1:65">
      <c r="F44" s="2616"/>
      <c r="S44" s="2618"/>
      <c r="Y44" s="2620"/>
      <c r="Z44" s="2620"/>
      <c r="AA44" s="2621"/>
      <c r="AC44" s="2622"/>
      <c r="AD44" s="2622"/>
      <c r="AE44" s="2622"/>
      <c r="AI44" s="2623"/>
      <c r="AL44" s="2618"/>
      <c r="AQ44" s="2622"/>
      <c r="AR44" s="2622"/>
      <c r="AS44" s="2622"/>
      <c r="BB44" s="2625"/>
      <c r="BC44" s="2625"/>
      <c r="BD44" s="2625"/>
      <c r="BE44" s="2625"/>
      <c r="BF44" s="2629"/>
    </row>
    <row r="45" spans="1:65">
      <c r="F45" s="2616"/>
      <c r="S45" s="2618"/>
      <c r="Y45" s="2620"/>
      <c r="Z45" s="2620"/>
      <c r="AA45" s="2621"/>
      <c r="AC45" s="2622"/>
      <c r="AD45" s="2622"/>
      <c r="AE45" s="2622"/>
      <c r="AI45" s="2623"/>
      <c r="AL45" s="2618"/>
      <c r="AQ45" s="2622"/>
      <c r="AR45" s="2622"/>
      <c r="AS45" s="2622"/>
      <c r="BB45" s="2625"/>
      <c r="BC45" s="2625"/>
      <c r="BD45" s="2625"/>
      <c r="BE45" s="2625"/>
      <c r="BF45" s="2629"/>
    </row>
    <row r="46" spans="1:65">
      <c r="F46" s="2616"/>
      <c r="S46" s="2618"/>
      <c r="Y46" s="2620"/>
      <c r="Z46" s="2620"/>
      <c r="AA46" s="2621"/>
      <c r="AC46" s="2622"/>
      <c r="AD46" s="2622"/>
      <c r="AE46" s="2622"/>
      <c r="AI46" s="2623"/>
      <c r="AL46" s="2618"/>
      <c r="AQ46" s="2622"/>
      <c r="AR46" s="2622"/>
      <c r="AS46" s="2622"/>
      <c r="BB46" s="2625"/>
      <c r="BC46" s="2625"/>
      <c r="BD46" s="2625"/>
      <c r="BE46" s="2625"/>
      <c r="BF46" s="2629"/>
    </row>
    <row r="47" spans="1:65">
      <c r="F47" s="2616"/>
      <c r="S47" s="2618"/>
      <c r="Y47" s="2620"/>
      <c r="Z47" s="2620"/>
      <c r="AA47" s="2621"/>
      <c r="AC47" s="2622"/>
      <c r="AD47" s="2622"/>
      <c r="AE47" s="2622"/>
      <c r="AI47" s="2623"/>
      <c r="AL47" s="2618"/>
      <c r="AQ47" s="2622"/>
      <c r="AR47" s="2622"/>
      <c r="AS47" s="2622"/>
      <c r="BB47" s="2625"/>
      <c r="BC47" s="2625"/>
      <c r="BD47" s="2625"/>
      <c r="BE47" s="2625"/>
      <c r="BF47" s="2629"/>
    </row>
    <row r="48" spans="1:65">
      <c r="F48" s="2616"/>
      <c r="S48" s="2618"/>
      <c r="Y48" s="2620"/>
      <c r="Z48" s="2620"/>
      <c r="AA48" s="2621"/>
      <c r="AC48" s="2622"/>
      <c r="AD48" s="2622"/>
      <c r="AE48" s="2622"/>
      <c r="AI48" s="2623"/>
      <c r="AL48" s="2618"/>
      <c r="AQ48" s="2622"/>
      <c r="AR48" s="2622"/>
      <c r="AS48" s="2622"/>
      <c r="BB48" s="2625"/>
      <c r="BC48" s="2625"/>
      <c r="BD48" s="2625"/>
      <c r="BE48" s="2625"/>
      <c r="BF48" s="2629"/>
    </row>
    <row r="49" spans="1:58">
      <c r="F49" s="2616"/>
      <c r="S49" s="2618"/>
      <c r="Y49" s="2620"/>
      <c r="Z49" s="2620"/>
      <c r="AA49" s="2621"/>
      <c r="AC49" s="2622"/>
      <c r="AD49" s="2622"/>
      <c r="AE49" s="2622"/>
      <c r="AI49" s="2623"/>
      <c r="AL49" s="2618"/>
      <c r="AQ49" s="2622"/>
      <c r="AR49" s="2622"/>
      <c r="AS49" s="2622"/>
      <c r="BB49" s="2625"/>
      <c r="BC49" s="2625"/>
      <c r="BD49" s="2625"/>
      <c r="BE49" s="2625"/>
      <c r="BF49" s="2629"/>
    </row>
    <row r="50" spans="1:58">
      <c r="F50" s="2616"/>
      <c r="S50" s="2618"/>
      <c r="Y50" s="2620"/>
      <c r="Z50" s="2620"/>
      <c r="AA50" s="2621"/>
      <c r="AC50" s="2622"/>
      <c r="AD50" s="2622"/>
      <c r="AE50" s="2622"/>
      <c r="AI50" s="2623"/>
      <c r="AL50" s="2618"/>
      <c r="AQ50" s="2622"/>
      <c r="AR50" s="2622"/>
      <c r="AS50" s="2622"/>
      <c r="BB50" s="2625"/>
      <c r="BC50" s="2625"/>
      <c r="BD50" s="2625"/>
      <c r="BE50" s="2625"/>
      <c r="BF50" s="2629"/>
    </row>
    <row r="51" spans="1:58">
      <c r="F51" s="2616"/>
      <c r="S51" s="2618"/>
      <c r="Y51" s="2620"/>
      <c r="Z51" s="2620"/>
      <c r="AA51" s="2621"/>
      <c r="AC51" s="2622"/>
      <c r="AD51" s="2622"/>
      <c r="AE51" s="2622"/>
      <c r="AI51" s="2623"/>
      <c r="AL51" s="2618"/>
      <c r="AQ51" s="2622"/>
      <c r="AR51" s="2622"/>
      <c r="AS51" s="2622"/>
      <c r="BB51" s="2625"/>
      <c r="BC51" s="2625"/>
      <c r="BD51" s="2625"/>
      <c r="BE51" s="2625"/>
      <c r="BF51" s="2629"/>
    </row>
    <row r="52" spans="1:58">
      <c r="F52" s="2616"/>
      <c r="S52" s="2618"/>
      <c r="Y52" s="2620"/>
      <c r="Z52" s="2620"/>
      <c r="AA52" s="2621"/>
      <c r="AC52" s="2622"/>
      <c r="AD52" s="2622"/>
      <c r="AE52" s="2622"/>
      <c r="AI52" s="2623"/>
      <c r="AL52" s="2618"/>
      <c r="AQ52" s="2622"/>
      <c r="AR52" s="2622"/>
      <c r="AS52" s="2622"/>
      <c r="BB52" s="2625"/>
      <c r="BC52" s="2625"/>
      <c r="BD52" s="2625"/>
      <c r="BE52" s="2625"/>
      <c r="BF52" s="2629"/>
    </row>
    <row r="53" spans="1:58">
      <c r="F53" s="2616"/>
      <c r="S53" s="2618"/>
      <c r="Y53" s="2620"/>
      <c r="Z53" s="2620"/>
      <c r="AA53" s="2621"/>
      <c r="AC53" s="2622"/>
      <c r="AD53" s="2622"/>
      <c r="AE53" s="2622"/>
      <c r="AI53" s="2623"/>
      <c r="AL53" s="2618"/>
      <c r="AQ53" s="2622"/>
      <c r="AR53" s="2622"/>
      <c r="AS53" s="2622"/>
      <c r="BB53" s="2625"/>
      <c r="BC53" s="2625"/>
      <c r="BD53" s="2625"/>
      <c r="BE53" s="2625"/>
      <c r="BF53" s="2629"/>
    </row>
    <row r="54" spans="1:58">
      <c r="B54" s="2581"/>
      <c r="C54" s="2581"/>
      <c r="F54" s="2616"/>
      <c r="S54" s="2618"/>
      <c r="Y54" s="2620"/>
      <c r="Z54" s="2620"/>
      <c r="AA54" s="2621"/>
      <c r="AC54" s="2622"/>
      <c r="AD54" s="2622"/>
      <c r="AE54" s="2622"/>
      <c r="AI54" s="2623"/>
      <c r="AL54" s="2618"/>
      <c r="AQ54" s="2622"/>
      <c r="AR54" s="2622"/>
      <c r="AS54" s="2622"/>
      <c r="BB54" s="2625"/>
      <c r="BC54" s="2625"/>
      <c r="BD54" s="2625"/>
      <c r="BE54" s="2625"/>
      <c r="BF54" s="2629"/>
    </row>
    <row r="55" spans="1:58">
      <c r="F55" s="2616"/>
      <c r="S55" s="2618"/>
      <c r="Y55" s="2620"/>
      <c r="Z55" s="2620"/>
      <c r="AA55" s="2621"/>
      <c r="AC55" s="2622"/>
      <c r="AD55" s="2622"/>
      <c r="AE55" s="2622"/>
      <c r="AI55" s="2623"/>
      <c r="AL55" s="2618"/>
      <c r="AQ55" s="2622"/>
      <c r="AR55" s="2622"/>
      <c r="AS55" s="2622"/>
      <c r="BB55" s="2625"/>
      <c r="BC55" s="2625"/>
      <c r="BD55" s="2625"/>
      <c r="BE55" s="2625"/>
      <c r="BF55" s="2629"/>
    </row>
    <row r="56" spans="1:58">
      <c r="F56" s="2616"/>
      <c r="S56" s="2618"/>
      <c r="Y56" s="2620"/>
      <c r="Z56" s="2620"/>
      <c r="AA56" s="2621"/>
      <c r="AC56" s="2622"/>
      <c r="AD56" s="2622"/>
      <c r="AE56" s="2622"/>
      <c r="AI56" s="2623"/>
      <c r="AL56" s="2618"/>
      <c r="AQ56" s="2622"/>
      <c r="AR56" s="2622"/>
      <c r="AS56" s="2622"/>
      <c r="BB56" s="2625"/>
      <c r="BC56" s="2625"/>
      <c r="BD56" s="2625"/>
      <c r="BE56" s="2625"/>
      <c r="BF56" s="2629"/>
    </row>
    <row r="57" spans="1:58">
      <c r="F57" s="2616"/>
      <c r="S57" s="2618"/>
      <c r="Y57" s="2620"/>
      <c r="Z57" s="2620"/>
      <c r="AA57" s="2621"/>
      <c r="AC57" s="2622"/>
      <c r="AD57" s="2622"/>
      <c r="AE57" s="2622"/>
      <c r="AI57" s="2623"/>
      <c r="AL57" s="2618"/>
      <c r="AQ57" s="2622"/>
      <c r="AR57" s="2622"/>
      <c r="AS57" s="2622"/>
      <c r="BB57" s="2625"/>
      <c r="BC57" s="2625"/>
      <c r="BD57" s="2625"/>
      <c r="BE57" s="2625"/>
      <c r="BF57" s="2629"/>
    </row>
    <row r="58" spans="1:58">
      <c r="B58" s="2581"/>
      <c r="C58" s="2581"/>
      <c r="F58" s="2616"/>
      <c r="S58" s="2618"/>
      <c r="Y58" s="2620"/>
      <c r="Z58" s="2620"/>
      <c r="AA58" s="2621"/>
      <c r="AC58" s="2622"/>
      <c r="AD58" s="2622"/>
      <c r="AE58" s="2622"/>
      <c r="AI58" s="2623"/>
      <c r="AL58" s="2618"/>
      <c r="AQ58" s="2622"/>
      <c r="AR58" s="2622"/>
      <c r="AS58" s="2622"/>
      <c r="BB58" s="2625"/>
      <c r="BC58" s="2625"/>
      <c r="BD58" s="2625"/>
      <c r="BE58" s="2625"/>
      <c r="BF58" s="2629"/>
    </row>
    <row r="59" spans="1:58">
      <c r="F59" s="2616"/>
      <c r="S59" s="2618"/>
      <c r="Y59" s="2620"/>
      <c r="Z59" s="2620"/>
      <c r="AA59" s="2621"/>
      <c r="AC59" s="2622"/>
      <c r="AD59" s="2622"/>
      <c r="AE59" s="2622"/>
      <c r="AI59" s="2623"/>
      <c r="AL59" s="2618"/>
      <c r="AQ59" s="2622"/>
      <c r="AR59" s="2622"/>
      <c r="AS59" s="2622"/>
      <c r="BB59" s="2625"/>
      <c r="BC59" s="2625"/>
      <c r="BD59" s="2625"/>
      <c r="BE59" s="2625"/>
      <c r="BF59" s="2629"/>
    </row>
    <row r="60" spans="1:58">
      <c r="A60" s="2581"/>
      <c r="F60" s="2616"/>
      <c r="S60" s="2618"/>
      <c r="Y60" s="2620"/>
      <c r="Z60" s="2620"/>
      <c r="AA60" s="2621"/>
      <c r="AC60" s="2622"/>
      <c r="AD60" s="2622"/>
      <c r="AE60" s="2622"/>
      <c r="AI60" s="2623"/>
      <c r="AL60" s="2618"/>
      <c r="AQ60" s="2622"/>
      <c r="AR60" s="2622"/>
      <c r="AS60" s="2622"/>
      <c r="BB60" s="2625"/>
      <c r="BC60" s="2625"/>
      <c r="BD60" s="2625"/>
      <c r="BE60" s="2625"/>
      <c r="BF60" s="2629"/>
    </row>
    <row r="61" spans="1:58">
      <c r="F61" s="2616"/>
      <c r="S61" s="2618"/>
      <c r="Y61" s="2620"/>
      <c r="Z61" s="2620"/>
      <c r="AA61" s="2621"/>
      <c r="AC61" s="2622"/>
      <c r="AD61" s="2622"/>
      <c r="AE61" s="2622"/>
      <c r="AI61" s="2623"/>
      <c r="AL61" s="2618"/>
      <c r="AQ61" s="2622"/>
      <c r="AR61" s="2622"/>
      <c r="AS61" s="2622"/>
      <c r="BB61" s="2625"/>
      <c r="BC61" s="2625"/>
      <c r="BD61" s="2625"/>
      <c r="BE61" s="2625"/>
      <c r="BF61" s="2629"/>
    </row>
    <row r="62" spans="1:58">
      <c r="F62" s="2616"/>
      <c r="S62" s="2618"/>
      <c r="Y62" s="2620"/>
      <c r="Z62" s="2620"/>
      <c r="AA62" s="2621"/>
      <c r="AC62" s="2622"/>
      <c r="AD62" s="2622"/>
      <c r="AE62" s="2622"/>
      <c r="AI62" s="2623"/>
      <c r="AL62" s="2618"/>
      <c r="AQ62" s="2622"/>
      <c r="AR62" s="2622"/>
      <c r="AS62" s="2622"/>
      <c r="BB62" s="2625"/>
      <c r="BC62" s="2625"/>
      <c r="BD62" s="2625"/>
      <c r="BE62" s="2625"/>
      <c r="BF62" s="2629"/>
    </row>
    <row r="63" spans="1:58">
      <c r="F63" s="2616"/>
      <c r="S63" s="2618"/>
      <c r="Y63" s="2620"/>
      <c r="Z63" s="2620"/>
      <c r="AA63" s="2621"/>
      <c r="AC63" s="2622"/>
      <c r="AD63" s="2622"/>
      <c r="AE63" s="2622"/>
      <c r="AI63" s="2623"/>
      <c r="AL63" s="2618"/>
      <c r="AQ63" s="2622"/>
      <c r="AR63" s="2622"/>
      <c r="AS63" s="2622"/>
      <c r="BB63" s="2625"/>
      <c r="BC63" s="2625"/>
      <c r="BD63" s="2625"/>
      <c r="BE63" s="2625"/>
      <c r="BF63" s="2629"/>
    </row>
    <row r="64" spans="1:58">
      <c r="F64" s="2616"/>
      <c r="S64" s="2618"/>
      <c r="Y64" s="2620"/>
      <c r="Z64" s="2620"/>
      <c r="AA64" s="2621"/>
      <c r="AC64" s="2622"/>
      <c r="AD64" s="2622"/>
      <c r="AE64" s="2622"/>
      <c r="AI64" s="2623"/>
      <c r="AL64" s="2618"/>
      <c r="AQ64" s="2622"/>
      <c r="AR64" s="2622"/>
      <c r="AS64" s="2622"/>
      <c r="BB64" s="2625"/>
      <c r="BC64" s="2625"/>
      <c r="BD64" s="2625"/>
      <c r="BE64" s="2625"/>
      <c r="BF64" s="2629"/>
    </row>
    <row r="65" spans="2:58">
      <c r="F65" s="2616"/>
      <c r="S65" s="2618"/>
      <c r="Y65" s="2620"/>
      <c r="Z65" s="2620"/>
      <c r="AA65" s="2621"/>
      <c r="AC65" s="2622"/>
      <c r="AD65" s="2622"/>
      <c r="AE65" s="2622"/>
      <c r="AI65" s="2623"/>
      <c r="AL65" s="2618"/>
      <c r="AQ65" s="2622"/>
      <c r="AR65" s="2622"/>
      <c r="AS65" s="2622"/>
      <c r="BB65" s="2625"/>
      <c r="BC65" s="2625"/>
      <c r="BD65" s="2625"/>
      <c r="BE65" s="2625"/>
      <c r="BF65" s="2629"/>
    </row>
    <row r="66" spans="2:58">
      <c r="F66" s="2616"/>
      <c r="S66" s="2618"/>
      <c r="Y66" s="2620"/>
      <c r="Z66" s="2620"/>
      <c r="AA66" s="2621"/>
      <c r="AC66" s="2622"/>
      <c r="AD66" s="2622"/>
      <c r="AE66" s="2622"/>
      <c r="AI66" s="2623"/>
      <c r="AL66" s="2618"/>
      <c r="AQ66" s="2622"/>
      <c r="AR66" s="2622"/>
      <c r="AS66" s="2622"/>
      <c r="BB66" s="2625"/>
      <c r="BC66" s="2625"/>
      <c r="BD66" s="2625"/>
      <c r="BE66" s="2625"/>
      <c r="BF66" s="2629"/>
    </row>
    <row r="67" spans="2:58">
      <c r="F67" s="2616"/>
      <c r="S67" s="2618"/>
      <c r="Y67" s="2620"/>
      <c r="Z67" s="2620"/>
      <c r="AA67" s="2621"/>
      <c r="AC67" s="2622"/>
      <c r="AD67" s="2622"/>
      <c r="AE67" s="2622"/>
      <c r="AI67" s="2623"/>
      <c r="AL67" s="2618"/>
      <c r="AQ67" s="2622"/>
      <c r="AR67" s="2622"/>
      <c r="AS67" s="2622"/>
      <c r="BB67" s="2625"/>
      <c r="BC67" s="2625"/>
      <c r="BD67" s="2625"/>
      <c r="BE67" s="2625"/>
      <c r="BF67" s="2629"/>
    </row>
    <row r="68" spans="2:58">
      <c r="F68" s="2616"/>
      <c r="S68" s="2618"/>
      <c r="Y68" s="2620"/>
      <c r="Z68" s="2620"/>
      <c r="AA68" s="2621"/>
      <c r="AC68" s="2622"/>
      <c r="AD68" s="2622"/>
      <c r="AE68" s="2622"/>
      <c r="AI68" s="2623"/>
      <c r="AL68" s="2618"/>
      <c r="AQ68" s="2622"/>
      <c r="AR68" s="2622"/>
      <c r="AS68" s="2622"/>
      <c r="BB68" s="2625"/>
      <c r="BC68" s="2625"/>
      <c r="BD68" s="2625"/>
      <c r="BE68" s="2625"/>
      <c r="BF68" s="2629"/>
    </row>
    <row r="69" spans="2:58">
      <c r="F69" s="2616"/>
      <c r="S69" s="2618"/>
      <c r="Y69" s="2620"/>
      <c r="Z69" s="2620"/>
      <c r="AA69" s="2621"/>
      <c r="AC69" s="2622"/>
      <c r="AD69" s="2622"/>
      <c r="AE69" s="2622"/>
      <c r="AI69" s="2623"/>
      <c r="AL69" s="2618"/>
      <c r="AQ69" s="2622"/>
      <c r="AR69" s="2622"/>
      <c r="AS69" s="2622"/>
      <c r="BB69" s="2625"/>
      <c r="BC69" s="2625"/>
      <c r="BD69" s="2625"/>
      <c r="BE69" s="2625"/>
      <c r="BF69" s="2629"/>
    </row>
    <row r="70" spans="2:58">
      <c r="F70" s="2616"/>
      <c r="S70" s="2618"/>
      <c r="Y70" s="2620"/>
      <c r="Z70" s="2620"/>
      <c r="AA70" s="2621"/>
      <c r="AC70" s="2622"/>
      <c r="AD70" s="2622"/>
      <c r="AE70" s="2622"/>
      <c r="AI70" s="2623"/>
      <c r="AL70" s="2618"/>
      <c r="AQ70" s="2622"/>
      <c r="AR70" s="2622"/>
      <c r="AS70" s="2622"/>
      <c r="BB70" s="2625"/>
      <c r="BC70" s="2625"/>
      <c r="BD70" s="2625"/>
      <c r="BE70" s="2625"/>
      <c r="BF70" s="2629"/>
    </row>
    <row r="71" spans="2:58">
      <c r="F71" s="2616"/>
      <c r="S71" s="2618"/>
      <c r="Y71" s="2620"/>
      <c r="Z71" s="2620"/>
      <c r="AA71" s="2621"/>
      <c r="AC71" s="2622"/>
      <c r="AD71" s="2622"/>
      <c r="AE71" s="2622"/>
      <c r="AI71" s="2623"/>
      <c r="AL71" s="2618"/>
      <c r="AQ71" s="2622"/>
      <c r="AR71" s="2622"/>
      <c r="AS71" s="2622"/>
      <c r="BB71" s="2625"/>
      <c r="BC71" s="2625"/>
      <c r="BD71" s="2625"/>
      <c r="BE71" s="2625"/>
      <c r="BF71" s="2629"/>
    </row>
    <row r="72" spans="2:58">
      <c r="F72" s="2616"/>
      <c r="S72" s="2618"/>
      <c r="Y72" s="2620"/>
      <c r="Z72" s="2620"/>
      <c r="AA72" s="2621"/>
      <c r="AC72" s="2622"/>
      <c r="AD72" s="2622"/>
      <c r="AE72" s="2622"/>
      <c r="AI72" s="2623"/>
      <c r="AL72" s="2618"/>
      <c r="AQ72" s="2622"/>
      <c r="AR72" s="2622"/>
      <c r="AS72" s="2622"/>
      <c r="BB72" s="2625"/>
      <c r="BC72" s="2625"/>
      <c r="BD72" s="2625"/>
      <c r="BE72" s="2625"/>
      <c r="BF72" s="2629"/>
    </row>
    <row r="73" spans="2:58">
      <c r="B73" s="2581"/>
      <c r="C73" s="2581"/>
      <c r="F73" s="2616"/>
      <c r="S73" s="2618"/>
      <c r="Y73" s="2620"/>
      <c r="Z73" s="2620"/>
      <c r="AA73" s="2621"/>
      <c r="AC73" s="2622"/>
      <c r="AD73" s="2622"/>
      <c r="AE73" s="2622"/>
      <c r="AI73" s="2623"/>
      <c r="AL73" s="2618"/>
      <c r="AQ73" s="2622"/>
      <c r="AR73" s="2622"/>
      <c r="AS73" s="2622"/>
      <c r="BB73" s="2625"/>
      <c r="BC73" s="2625"/>
      <c r="BD73" s="2625"/>
      <c r="BE73" s="2625"/>
      <c r="BF73" s="2629"/>
    </row>
    <row r="74" spans="2:58">
      <c r="F74" s="2616"/>
      <c r="S74" s="2618"/>
      <c r="Y74" s="2620"/>
      <c r="Z74" s="2620"/>
      <c r="AA74" s="2621"/>
      <c r="AC74" s="2622"/>
      <c r="AD74" s="2622"/>
      <c r="AE74" s="2622"/>
      <c r="AI74" s="2623"/>
      <c r="AL74" s="2618"/>
      <c r="AQ74" s="2622"/>
      <c r="AR74" s="2622"/>
      <c r="AS74" s="2622"/>
      <c r="BB74" s="2625"/>
      <c r="BC74" s="2625"/>
      <c r="BD74" s="2625"/>
      <c r="BE74" s="2625"/>
      <c r="BF74" s="2629"/>
    </row>
    <row r="75" spans="2:58">
      <c r="F75" s="2616"/>
      <c r="S75" s="2618"/>
      <c r="Y75" s="2620"/>
      <c r="Z75" s="2620"/>
      <c r="AA75" s="2621"/>
      <c r="AC75" s="2622"/>
      <c r="AD75" s="2622"/>
      <c r="AE75" s="2622"/>
      <c r="AI75" s="2623"/>
      <c r="AL75" s="2618"/>
      <c r="AQ75" s="2622"/>
      <c r="AR75" s="2622"/>
      <c r="AS75" s="2622"/>
      <c r="BB75" s="2625"/>
      <c r="BC75" s="2625"/>
      <c r="BD75" s="2625"/>
      <c r="BE75" s="2625"/>
      <c r="BF75" s="2629"/>
    </row>
    <row r="76" spans="2:58">
      <c r="F76" s="2616"/>
      <c r="S76" s="2618"/>
      <c r="Y76" s="2620"/>
      <c r="Z76" s="2620"/>
      <c r="AA76" s="2621"/>
      <c r="AC76" s="2622"/>
      <c r="AD76" s="2622"/>
      <c r="AE76" s="2622"/>
      <c r="AI76" s="2623"/>
      <c r="AL76" s="2618"/>
      <c r="AQ76" s="2622"/>
      <c r="AR76" s="2622"/>
      <c r="AS76" s="2622"/>
      <c r="BB76" s="2625"/>
      <c r="BC76" s="2625"/>
      <c r="BD76" s="2625"/>
      <c r="BE76" s="2625"/>
      <c r="BF76" s="2629"/>
    </row>
    <row r="77" spans="2:58">
      <c r="B77" s="2581"/>
      <c r="C77" s="2581"/>
      <c r="F77" s="2616"/>
      <c r="S77" s="2618"/>
      <c r="Y77" s="2620"/>
      <c r="Z77" s="2620"/>
      <c r="AA77" s="2621"/>
      <c r="AC77" s="2622"/>
      <c r="AD77" s="2622"/>
      <c r="AE77" s="2622"/>
      <c r="AI77" s="2623"/>
      <c r="AL77" s="2618"/>
      <c r="AQ77" s="2622"/>
      <c r="AR77" s="2622"/>
      <c r="AS77" s="2622"/>
      <c r="BB77" s="2625"/>
      <c r="BC77" s="2625"/>
      <c r="BD77" s="2625"/>
      <c r="BE77" s="2625"/>
      <c r="BF77" s="2629"/>
    </row>
    <row r="78" spans="2:58">
      <c r="F78" s="2616"/>
      <c r="S78" s="2618"/>
      <c r="Y78" s="2620"/>
      <c r="Z78" s="2620"/>
      <c r="AA78" s="2621"/>
      <c r="AC78" s="2622"/>
      <c r="AD78" s="2622"/>
      <c r="AE78" s="2622"/>
      <c r="AI78" s="2623"/>
      <c r="AL78" s="2618"/>
      <c r="AQ78" s="2622"/>
      <c r="AR78" s="2622"/>
      <c r="AS78" s="2622"/>
      <c r="BB78" s="2625"/>
      <c r="BC78" s="2625"/>
      <c r="BD78" s="2625"/>
      <c r="BE78" s="2625"/>
      <c r="BF78" s="2629"/>
    </row>
    <row r="79" spans="2:58">
      <c r="F79" s="2616"/>
      <c r="S79" s="2618"/>
      <c r="Y79" s="2620"/>
      <c r="Z79" s="2620"/>
      <c r="AA79" s="2621"/>
      <c r="AC79" s="2622"/>
      <c r="AD79" s="2622"/>
      <c r="AE79" s="2622"/>
      <c r="AI79" s="2623"/>
      <c r="AL79" s="2618"/>
      <c r="AQ79" s="2622"/>
      <c r="AR79" s="2622"/>
      <c r="AS79" s="2622"/>
      <c r="BB79" s="2625"/>
      <c r="BC79" s="2625"/>
      <c r="BD79" s="2625"/>
      <c r="BE79" s="2625"/>
      <c r="BF79" s="2629"/>
    </row>
    <row r="80" spans="2:58">
      <c r="F80" s="2616"/>
      <c r="S80" s="2618"/>
      <c r="Y80" s="2620"/>
      <c r="Z80" s="2620"/>
      <c r="AA80" s="2621"/>
      <c r="AC80" s="2622"/>
      <c r="AD80" s="2622"/>
      <c r="AE80" s="2622"/>
      <c r="AI80" s="2623"/>
      <c r="AL80" s="2618"/>
      <c r="AQ80" s="2622"/>
      <c r="AR80" s="2622"/>
      <c r="AS80" s="2622"/>
      <c r="BB80" s="2625"/>
      <c r="BC80" s="2625"/>
      <c r="BD80" s="2625"/>
      <c r="BE80" s="2625"/>
      <c r="BF80" s="2629"/>
    </row>
    <row r="81" spans="19:58">
      <c r="S81" s="2618"/>
      <c r="Y81" s="2620"/>
      <c r="Z81" s="2620"/>
      <c r="AA81" s="2621"/>
      <c r="AC81" s="2622"/>
      <c r="AD81" s="2622"/>
      <c r="AE81" s="2622"/>
      <c r="AI81" s="2623"/>
      <c r="AL81" s="2618"/>
      <c r="AQ81" s="2622"/>
      <c r="AR81" s="2622"/>
      <c r="AS81" s="2622"/>
      <c r="BB81" s="2626"/>
      <c r="BC81" s="2626"/>
      <c r="BD81" s="2626"/>
      <c r="BE81" s="2626"/>
      <c r="BF81" s="2625"/>
    </row>
    <row r="82" spans="19:58">
      <c r="S82" s="2618"/>
      <c r="Y82" s="2620"/>
      <c r="Z82" s="2620"/>
      <c r="AA82" s="2621"/>
      <c r="AC82" s="2622"/>
      <c r="AD82" s="2622"/>
      <c r="AE82" s="2622"/>
      <c r="AI82" s="2623"/>
      <c r="AL82" s="2618"/>
      <c r="AQ82" s="2622"/>
      <c r="AR82" s="2622"/>
      <c r="AS82" s="2622"/>
      <c r="BB82" s="2626"/>
      <c r="BC82" s="2626"/>
      <c r="BD82" s="2626"/>
      <c r="BE82" s="2626"/>
      <c r="BF82" s="2625"/>
    </row>
    <row r="83" spans="19:58">
      <c r="S83" s="2618"/>
      <c r="Y83" s="2620"/>
      <c r="Z83" s="2620"/>
      <c r="AA83" s="2621"/>
      <c r="AC83" s="2622"/>
      <c r="AD83" s="2622"/>
      <c r="AE83" s="2622"/>
      <c r="AI83" s="2623"/>
      <c r="AL83" s="2618"/>
      <c r="AQ83" s="2622"/>
      <c r="AR83" s="2622"/>
      <c r="AS83" s="2622"/>
      <c r="BB83" s="2626"/>
      <c r="BC83" s="2626"/>
      <c r="BD83" s="2626"/>
      <c r="BE83" s="2626"/>
      <c r="BF83" s="2625"/>
    </row>
    <row r="84" spans="19:58">
      <c r="S84" s="2618"/>
      <c r="Y84" s="2620"/>
      <c r="Z84" s="2620"/>
      <c r="AA84" s="2621"/>
      <c r="AC84" s="2622"/>
      <c r="AD84" s="2622"/>
      <c r="AE84" s="2622"/>
      <c r="AI84" s="2623"/>
      <c r="AL84" s="2618"/>
      <c r="AQ84" s="2622"/>
      <c r="AR84" s="2622"/>
      <c r="AS84" s="2622"/>
      <c r="BB84" s="2626"/>
      <c r="BC84" s="2626"/>
      <c r="BD84" s="2626"/>
      <c r="BE84" s="2626"/>
      <c r="BF84" s="2625"/>
    </row>
    <row r="85" spans="19:58">
      <c r="S85" s="2618"/>
      <c r="Y85" s="2620"/>
      <c r="Z85" s="2620"/>
      <c r="AA85" s="2621"/>
      <c r="AC85" s="2622"/>
      <c r="AD85" s="2622"/>
      <c r="AE85" s="2622"/>
      <c r="AI85" s="2623"/>
      <c r="AL85" s="2618"/>
      <c r="AQ85" s="2622"/>
      <c r="AR85" s="2622"/>
      <c r="AS85" s="2622"/>
      <c r="BB85" s="2626"/>
      <c r="BC85" s="2626"/>
      <c r="BD85" s="2626"/>
      <c r="BE85" s="2626"/>
      <c r="BF85" s="2625"/>
    </row>
    <row r="86" spans="19:58">
      <c r="S86" s="2618"/>
      <c r="Y86" s="2620"/>
      <c r="Z86" s="2620"/>
      <c r="AA86" s="2621"/>
      <c r="AC86" s="2622"/>
      <c r="AD86" s="2622"/>
      <c r="AE86" s="2622"/>
      <c r="AI86" s="2623"/>
      <c r="AL86" s="2618"/>
      <c r="AQ86" s="2622"/>
      <c r="AR86" s="2622"/>
      <c r="AS86" s="2622"/>
      <c r="BB86" s="2626"/>
      <c r="BC86" s="2626"/>
      <c r="BD86" s="2626"/>
      <c r="BE86" s="2626"/>
      <c r="BF86" s="2625"/>
    </row>
    <row r="87" spans="19:58">
      <c r="S87" s="2618"/>
      <c r="Y87" s="2620"/>
      <c r="Z87" s="2620"/>
      <c r="AA87" s="2621"/>
      <c r="AC87" s="2622"/>
      <c r="AD87" s="2622"/>
      <c r="AE87" s="2622"/>
      <c r="AI87" s="2623"/>
      <c r="AL87" s="2618"/>
      <c r="AQ87" s="2622"/>
      <c r="AR87" s="2622"/>
      <c r="AS87" s="2622"/>
      <c r="BB87" s="2626"/>
      <c r="BC87" s="2626"/>
      <c r="BD87" s="2626"/>
      <c r="BE87" s="2626"/>
      <c r="BF87" s="2625"/>
    </row>
    <row r="88" spans="19:58">
      <c r="S88" s="2618"/>
      <c r="Y88" s="2620"/>
      <c r="Z88" s="2620"/>
      <c r="AA88" s="2621"/>
      <c r="AC88" s="2622"/>
      <c r="AD88" s="2622"/>
      <c r="AE88" s="2622"/>
      <c r="AI88" s="2623"/>
      <c r="AL88" s="2618"/>
      <c r="AQ88" s="2622"/>
      <c r="AR88" s="2622"/>
      <c r="AS88" s="2622"/>
      <c r="BB88" s="2626"/>
      <c r="BC88" s="2626"/>
      <c r="BD88" s="2626"/>
      <c r="BE88" s="2626"/>
      <c r="BF88" s="2625"/>
    </row>
    <row r="89" spans="19:58">
      <c r="S89" s="2618"/>
      <c r="Y89" s="2620"/>
      <c r="Z89" s="2620"/>
      <c r="AA89" s="2621"/>
      <c r="AI89" s="2623"/>
      <c r="AL89" s="2618"/>
    </row>
    <row r="90" spans="19:58">
      <c r="S90" s="2618"/>
      <c r="Y90" s="2620"/>
      <c r="Z90" s="2620"/>
      <c r="AA90" s="2621"/>
      <c r="AI90" s="2623"/>
      <c r="AL90" s="2618"/>
    </row>
    <row r="91" spans="19:58">
      <c r="S91" s="2618"/>
      <c r="Y91" s="2620"/>
      <c r="Z91" s="2620"/>
      <c r="AA91" s="2621"/>
      <c r="AI91" s="2623"/>
      <c r="AL91" s="2618"/>
    </row>
    <row r="92" spans="19:58">
      <c r="S92" s="2618"/>
      <c r="Y92" s="2620"/>
      <c r="Z92" s="2620"/>
      <c r="AA92" s="2621"/>
      <c r="AI92" s="2623"/>
      <c r="AL92" s="2618"/>
    </row>
    <row r="93" spans="19:58">
      <c r="S93" s="2618"/>
      <c r="Y93" s="2620"/>
      <c r="Z93" s="2620"/>
      <c r="AA93" s="2621"/>
      <c r="AI93" s="2623"/>
      <c r="AL93" s="2618"/>
    </row>
    <row r="94" spans="19:58">
      <c r="S94" s="2618"/>
      <c r="Y94" s="2620"/>
      <c r="Z94" s="2620"/>
      <c r="AA94" s="2621"/>
      <c r="AI94" s="2623"/>
      <c r="AL94" s="2618"/>
    </row>
    <row r="95" spans="19:58">
      <c r="S95" s="2618"/>
      <c r="Y95" s="2620"/>
      <c r="Z95" s="2620"/>
      <c r="AA95" s="2621"/>
      <c r="AI95" s="2623"/>
      <c r="AL95" s="2618"/>
    </row>
    <row r="96" spans="19:58">
      <c r="S96" s="2618"/>
      <c r="Y96" s="2620"/>
      <c r="Z96" s="2620"/>
      <c r="AA96" s="2621"/>
      <c r="AI96" s="2623"/>
      <c r="AL96" s="2618"/>
    </row>
    <row r="97" spans="19:38">
      <c r="S97" s="2618"/>
      <c r="Y97" s="2620"/>
      <c r="Z97" s="2620"/>
      <c r="AA97" s="2621"/>
      <c r="AI97" s="2623"/>
      <c r="AL97" s="2618"/>
    </row>
    <row r="98" spans="19:38">
      <c r="S98" s="2618"/>
      <c r="Y98" s="2620"/>
      <c r="Z98" s="2620"/>
      <c r="AA98" s="2621"/>
      <c r="AI98" s="2623"/>
      <c r="AL98" s="2618"/>
    </row>
    <row r="99" spans="19:38">
      <c r="S99" s="2618"/>
      <c r="Y99" s="2620"/>
      <c r="Z99" s="2620"/>
      <c r="AA99" s="2621"/>
      <c r="AI99" s="2623"/>
      <c r="AL99" s="2618"/>
    </row>
    <row r="100" spans="19:38">
      <c r="S100" s="2618"/>
      <c r="Y100" s="2620"/>
      <c r="Z100" s="2620"/>
      <c r="AA100" s="2621"/>
      <c r="AI100" s="2623"/>
      <c r="AL100" s="2618"/>
    </row>
    <row r="101" spans="19:38">
      <c r="S101" s="2618"/>
      <c r="Y101" s="2620"/>
      <c r="Z101" s="2620"/>
      <c r="AA101" s="2621"/>
      <c r="AI101" s="2623"/>
      <c r="AL101" s="2618"/>
    </row>
    <row r="102" spans="19:38">
      <c r="S102" s="2618"/>
      <c r="Y102" s="2620"/>
      <c r="Z102" s="2620"/>
      <c r="AA102" s="2621"/>
      <c r="AI102" s="2623"/>
      <c r="AL102" s="2618"/>
    </row>
    <row r="103" spans="19:38">
      <c r="S103" s="2618"/>
      <c r="Y103" s="2620"/>
      <c r="Z103" s="2620"/>
      <c r="AA103" s="2621"/>
      <c r="AI103" s="2623"/>
      <c r="AL103" s="2618"/>
    </row>
    <row r="104" spans="19:38">
      <c r="S104" s="2618"/>
      <c r="Y104" s="2620"/>
      <c r="Z104" s="2620"/>
      <c r="AA104" s="2621"/>
      <c r="AI104" s="2623"/>
      <c r="AL104" s="2618"/>
    </row>
    <row r="105" spans="19:38">
      <c r="S105" s="2618"/>
      <c r="Y105" s="2620"/>
      <c r="Z105" s="2620"/>
      <c r="AA105" s="2621"/>
      <c r="AI105" s="2623"/>
      <c r="AL105" s="2618"/>
    </row>
    <row r="106" spans="19:38">
      <c r="S106" s="2618"/>
      <c r="Y106" s="2620"/>
      <c r="Z106" s="2620"/>
      <c r="AA106" s="2621"/>
      <c r="AI106" s="2623"/>
      <c r="AL106" s="2618"/>
    </row>
    <row r="107" spans="19:38">
      <c r="S107" s="2618"/>
      <c r="Y107" s="2620"/>
      <c r="Z107" s="2620"/>
      <c r="AA107" s="2621"/>
      <c r="AI107" s="2623"/>
      <c r="AL107" s="2618"/>
    </row>
    <row r="108" spans="19:38">
      <c r="S108" s="2618"/>
      <c r="Y108" s="2620"/>
      <c r="Z108" s="2620"/>
      <c r="AA108" s="2621"/>
      <c r="AI108" s="2623"/>
      <c r="AL108" s="2618"/>
    </row>
    <row r="109" spans="19:38">
      <c r="S109" s="2618"/>
      <c r="Y109" s="2620"/>
      <c r="Z109" s="2620"/>
      <c r="AA109" s="2621"/>
      <c r="AI109" s="2623"/>
      <c r="AL109" s="2618"/>
    </row>
    <row r="110" spans="19:38">
      <c r="S110" s="2618"/>
      <c r="Y110" s="2620"/>
      <c r="Z110" s="2620"/>
      <c r="AA110" s="2621"/>
      <c r="AI110" s="2623"/>
      <c r="AL110" s="2618"/>
    </row>
    <row r="111" spans="19:38">
      <c r="S111" s="2618"/>
      <c r="Y111" s="2620"/>
      <c r="Z111" s="2620"/>
      <c r="AA111" s="2621"/>
      <c r="AI111" s="2623"/>
      <c r="AL111" s="2618"/>
    </row>
    <row r="112" spans="19:38">
      <c r="S112" s="2618"/>
      <c r="Y112" s="2620"/>
      <c r="Z112" s="2620"/>
      <c r="AA112" s="2621"/>
      <c r="AI112" s="2623"/>
      <c r="AL112" s="2618"/>
    </row>
    <row r="113" spans="19:38">
      <c r="S113" s="2618"/>
      <c r="Y113" s="2620"/>
      <c r="Z113" s="2620"/>
      <c r="AA113" s="2621"/>
      <c r="AI113" s="2623"/>
      <c r="AL113" s="2618"/>
    </row>
    <row r="114" spans="19:38">
      <c r="S114" s="2618"/>
      <c r="Y114" s="2620"/>
      <c r="Z114" s="2620"/>
      <c r="AA114" s="2621"/>
      <c r="AI114" s="2623"/>
      <c r="AL114" s="2618"/>
    </row>
    <row r="115" spans="19:38">
      <c r="S115" s="2618"/>
      <c r="Y115" s="2620"/>
      <c r="Z115" s="2620"/>
      <c r="AA115" s="2621"/>
      <c r="AI115" s="2623"/>
      <c r="AL115" s="2618"/>
    </row>
    <row r="116" spans="19:38">
      <c r="S116" s="2618"/>
      <c r="Y116" s="2620"/>
      <c r="Z116" s="2620"/>
      <c r="AA116" s="2621"/>
      <c r="AI116" s="2623"/>
      <c r="AL116" s="2618"/>
    </row>
    <row r="117" spans="19:38">
      <c r="S117" s="2618"/>
      <c r="Y117" s="2620"/>
      <c r="Z117" s="2620"/>
      <c r="AA117" s="2621"/>
      <c r="AI117" s="2623"/>
      <c r="AL117" s="2618"/>
    </row>
    <row r="118" spans="19:38">
      <c r="S118" s="2618"/>
      <c r="Y118" s="2620"/>
      <c r="Z118" s="2620"/>
      <c r="AA118" s="2621"/>
      <c r="AI118" s="2623"/>
      <c r="AL118" s="2618"/>
    </row>
    <row r="119" spans="19:38">
      <c r="S119" s="2618"/>
      <c r="Y119" s="2620"/>
      <c r="Z119" s="2620"/>
      <c r="AA119" s="2621"/>
      <c r="AI119" s="2623"/>
      <c r="AL119" s="2618"/>
    </row>
    <row r="120" spans="19:38">
      <c r="S120" s="2618"/>
      <c r="Y120" s="2620"/>
      <c r="Z120" s="2620"/>
      <c r="AA120" s="2621"/>
      <c r="AI120" s="2623"/>
      <c r="AL120" s="2618"/>
    </row>
    <row r="121" spans="19:38">
      <c r="S121" s="2618"/>
      <c r="Y121" s="2620"/>
      <c r="Z121" s="2620"/>
      <c r="AA121" s="2621"/>
      <c r="AI121" s="2623"/>
      <c r="AL121" s="2618"/>
    </row>
    <row r="122" spans="19:38">
      <c r="S122" s="2618"/>
      <c r="Y122" s="2620"/>
      <c r="Z122" s="2620"/>
      <c r="AA122" s="2621"/>
      <c r="AI122" s="2623"/>
      <c r="AL122" s="2618"/>
    </row>
    <row r="123" spans="19:38">
      <c r="S123" s="2618"/>
      <c r="Y123" s="2620"/>
      <c r="Z123" s="2620"/>
      <c r="AA123" s="2621"/>
      <c r="AI123" s="2623"/>
      <c r="AL123" s="2618"/>
    </row>
    <row r="124" spans="19:38">
      <c r="S124" s="2618"/>
      <c r="Y124" s="2620"/>
      <c r="Z124" s="2620"/>
      <c r="AA124" s="2621"/>
      <c r="AI124" s="2623"/>
      <c r="AL124" s="2618"/>
    </row>
    <row r="125" spans="19:38">
      <c r="S125" s="2618"/>
      <c r="Y125" s="2620"/>
      <c r="Z125" s="2620"/>
      <c r="AA125" s="2621"/>
      <c r="AI125" s="2623"/>
      <c r="AL125" s="2618"/>
    </row>
    <row r="126" spans="19:38">
      <c r="S126" s="2618"/>
      <c r="Y126" s="2620"/>
      <c r="Z126" s="2620"/>
      <c r="AA126" s="2621"/>
      <c r="AI126" s="2623"/>
      <c r="AL126" s="2618"/>
    </row>
    <row r="127" spans="19:38">
      <c r="S127" s="2618"/>
      <c r="Y127" s="2620"/>
      <c r="Z127" s="2620"/>
      <c r="AA127" s="2621"/>
      <c r="AI127" s="2623"/>
      <c r="AL127" s="2618"/>
    </row>
    <row r="128" spans="19:38">
      <c r="S128" s="2618"/>
      <c r="Y128" s="2620"/>
      <c r="Z128" s="2620"/>
      <c r="AA128" s="2621"/>
      <c r="AI128" s="2623"/>
      <c r="AL128" s="2618"/>
    </row>
    <row r="129" spans="19:38">
      <c r="S129" s="2618"/>
      <c r="Y129" s="2620"/>
      <c r="Z129" s="2620"/>
      <c r="AA129" s="2621"/>
      <c r="AI129" s="2623"/>
      <c r="AL129" s="2618"/>
    </row>
    <row r="130" spans="19:38">
      <c r="S130" s="2618"/>
      <c r="Y130" s="2620"/>
      <c r="Z130" s="2620"/>
      <c r="AA130" s="2621"/>
      <c r="AI130" s="2623"/>
      <c r="AL130" s="2618"/>
    </row>
    <row r="131" spans="19:38">
      <c r="S131" s="2618"/>
      <c r="Y131" s="2620"/>
      <c r="Z131" s="2620"/>
      <c r="AA131" s="2621"/>
      <c r="AI131" s="2623"/>
      <c r="AL131" s="2618"/>
    </row>
    <row r="132" spans="19:38">
      <c r="S132" s="2618"/>
      <c r="Y132" s="2620"/>
      <c r="Z132" s="2620"/>
      <c r="AA132" s="2621"/>
      <c r="AI132" s="2623"/>
      <c r="AL132" s="2618"/>
    </row>
    <row r="133" spans="19:38">
      <c r="S133" s="2618"/>
      <c r="Y133" s="2620"/>
      <c r="Z133" s="2620"/>
      <c r="AA133" s="2621"/>
      <c r="AI133" s="2623"/>
      <c r="AL133" s="2618"/>
    </row>
    <row r="134" spans="19:38">
      <c r="S134" s="2618"/>
      <c r="Y134" s="2620"/>
      <c r="Z134" s="2620"/>
      <c r="AA134" s="2621"/>
      <c r="AI134" s="2623"/>
      <c r="AL134" s="2618"/>
    </row>
    <row r="135" spans="19:38">
      <c r="S135" s="2618"/>
      <c r="Y135" s="2620"/>
      <c r="Z135" s="2620"/>
      <c r="AA135" s="2621"/>
      <c r="AI135" s="2623"/>
      <c r="AL135" s="2618"/>
    </row>
    <row r="136" spans="19:38">
      <c r="S136" s="2618"/>
      <c r="Y136" s="2620"/>
      <c r="Z136" s="2620"/>
      <c r="AA136" s="2621"/>
      <c r="AI136" s="2623"/>
      <c r="AL136" s="2618"/>
    </row>
    <row r="137" spans="19:38">
      <c r="S137" s="2618"/>
      <c r="Y137" s="2620"/>
      <c r="Z137" s="2620"/>
      <c r="AA137" s="2621"/>
      <c r="AI137" s="2623"/>
      <c r="AL137" s="2618"/>
    </row>
    <row r="138" spans="19:38">
      <c r="S138" s="2618"/>
      <c r="Y138" s="2620"/>
      <c r="Z138" s="2620"/>
      <c r="AA138" s="2621"/>
      <c r="AI138" s="2623"/>
      <c r="AL138" s="2618"/>
    </row>
    <row r="139" spans="19:38">
      <c r="S139" s="2618"/>
      <c r="Y139" s="2620"/>
      <c r="Z139" s="2620"/>
      <c r="AA139" s="2621"/>
      <c r="AI139" s="2623"/>
      <c r="AL139" s="2618"/>
    </row>
    <row r="140" spans="19:38">
      <c r="S140" s="2618"/>
      <c r="Y140" s="2620"/>
      <c r="Z140" s="2620"/>
      <c r="AA140" s="2621"/>
      <c r="AI140" s="2623"/>
      <c r="AL140" s="2618"/>
    </row>
    <row r="141" spans="19:38">
      <c r="S141" s="2618"/>
      <c r="Y141" s="2620"/>
      <c r="Z141" s="2620"/>
      <c r="AA141" s="2621"/>
      <c r="AI141" s="2623"/>
      <c r="AL141" s="2618"/>
    </row>
    <row r="142" spans="19:38">
      <c r="S142" s="2618"/>
      <c r="Y142" s="2620"/>
      <c r="Z142" s="2620"/>
      <c r="AA142" s="2621"/>
      <c r="AI142" s="2623"/>
      <c r="AL142" s="2618"/>
    </row>
    <row r="143" spans="19:38">
      <c r="S143" s="2618"/>
      <c r="Y143" s="2620"/>
      <c r="Z143" s="2620"/>
      <c r="AA143" s="2621"/>
      <c r="AI143" s="2623"/>
      <c r="AL143" s="2618"/>
    </row>
    <row r="144" spans="19:38">
      <c r="S144" s="2618"/>
      <c r="Y144" s="2620"/>
      <c r="Z144" s="2620"/>
      <c r="AA144" s="2621"/>
      <c r="AI144" s="2623"/>
      <c r="AL144" s="2618"/>
    </row>
    <row r="145" spans="19:38">
      <c r="S145" s="2618"/>
      <c r="Y145" s="2620"/>
      <c r="Z145" s="2620"/>
      <c r="AA145" s="2621"/>
      <c r="AI145" s="2623"/>
      <c r="AL145" s="2618"/>
    </row>
    <row r="146" spans="19:38">
      <c r="S146" s="2618"/>
      <c r="Y146" s="2620"/>
      <c r="Z146" s="2620"/>
      <c r="AA146" s="2621"/>
      <c r="AI146" s="2623"/>
      <c r="AL146" s="2618"/>
    </row>
    <row r="147" spans="19:38">
      <c r="S147" s="2618"/>
      <c r="Y147" s="2620"/>
      <c r="Z147" s="2620"/>
      <c r="AA147" s="2621"/>
      <c r="AI147" s="2623"/>
      <c r="AL147" s="2618"/>
    </row>
    <row r="148" spans="19:38">
      <c r="S148" s="2618"/>
      <c r="Y148" s="2620"/>
      <c r="Z148" s="2620"/>
      <c r="AA148" s="2621"/>
      <c r="AI148" s="2623"/>
      <c r="AL148" s="2618"/>
    </row>
    <row r="149" spans="19:38">
      <c r="S149" s="2618"/>
      <c r="Y149" s="2620"/>
      <c r="Z149" s="2620"/>
      <c r="AA149" s="2621"/>
      <c r="AI149" s="2623"/>
      <c r="AL149" s="2618"/>
    </row>
    <row r="150" spans="19:38">
      <c r="S150" s="2618"/>
      <c r="Y150" s="2620"/>
      <c r="Z150" s="2620"/>
      <c r="AA150" s="2621"/>
      <c r="AI150" s="2623"/>
      <c r="AL150" s="2618"/>
    </row>
    <row r="151" spans="19:38">
      <c r="S151" s="2618"/>
      <c r="Y151" s="2620"/>
      <c r="Z151" s="2620"/>
      <c r="AA151" s="2621"/>
      <c r="AI151" s="2623"/>
      <c r="AL151" s="2618"/>
    </row>
    <row r="152" spans="19:38">
      <c r="S152" s="2618"/>
      <c r="Y152" s="2620"/>
      <c r="Z152" s="2620"/>
      <c r="AA152" s="2621"/>
      <c r="AL152" s="2618"/>
    </row>
    <row r="153" spans="19:38">
      <c r="S153" s="2618"/>
      <c r="Y153" s="2620"/>
      <c r="Z153" s="2620"/>
      <c r="AA153" s="2621"/>
      <c r="AL153" s="2618"/>
    </row>
    <row r="154" spans="19:38">
      <c r="S154" s="2618"/>
      <c r="Y154" s="2620"/>
      <c r="Z154" s="2620"/>
      <c r="AA154" s="2621"/>
      <c r="AL154" s="2618"/>
    </row>
    <row r="155" spans="19:38">
      <c r="S155" s="2618"/>
      <c r="Y155" s="2620"/>
      <c r="Z155" s="2620"/>
      <c r="AA155" s="2621"/>
      <c r="AL155" s="2618"/>
    </row>
    <row r="156" spans="19:38">
      <c r="S156" s="2618"/>
      <c r="Y156" s="2620"/>
      <c r="Z156" s="2620"/>
      <c r="AA156" s="2621"/>
      <c r="AL156" s="2618"/>
    </row>
    <row r="157" spans="19:38">
      <c r="S157" s="2618"/>
      <c r="Y157" s="2620"/>
      <c r="Z157" s="2620"/>
      <c r="AA157" s="2621"/>
      <c r="AL157" s="2618"/>
    </row>
    <row r="158" spans="19:38">
      <c r="S158" s="2618"/>
      <c r="Y158" s="2620"/>
      <c r="Z158" s="2620"/>
      <c r="AA158" s="2621"/>
      <c r="AL158" s="2618"/>
    </row>
    <row r="159" spans="19:38">
      <c r="S159" s="2618"/>
      <c r="Y159" s="2620"/>
      <c r="Z159" s="2620"/>
      <c r="AA159" s="2621"/>
      <c r="AL159" s="2618"/>
    </row>
    <row r="160" spans="19:38">
      <c r="S160" s="2618"/>
      <c r="Y160" s="2620"/>
      <c r="Z160" s="2620"/>
      <c r="AA160" s="2621"/>
      <c r="AL160" s="2618"/>
    </row>
    <row r="161" spans="19:38">
      <c r="S161" s="2618"/>
      <c r="Y161" s="2620"/>
      <c r="Z161" s="2620"/>
      <c r="AA161" s="2621"/>
      <c r="AL161" s="2618"/>
    </row>
    <row r="162" spans="19:38">
      <c r="S162" s="2618"/>
      <c r="Y162" s="2620"/>
      <c r="Z162" s="2620"/>
      <c r="AA162" s="2621"/>
      <c r="AL162" s="2618"/>
    </row>
    <row r="163" spans="19:38">
      <c r="S163" s="2618"/>
      <c r="Y163" s="2620"/>
      <c r="Z163" s="2620"/>
      <c r="AA163" s="2621"/>
      <c r="AL163" s="2618"/>
    </row>
    <row r="164" spans="19:38">
      <c r="S164" s="2618"/>
      <c r="Y164" s="2620"/>
      <c r="Z164" s="2620"/>
      <c r="AA164" s="2621"/>
      <c r="AL164" s="2618"/>
    </row>
    <row r="165" spans="19:38">
      <c r="S165" s="2618"/>
      <c r="Y165" s="2620"/>
      <c r="Z165" s="2620"/>
      <c r="AA165" s="2621"/>
      <c r="AL165" s="2618"/>
    </row>
    <row r="166" spans="19:38">
      <c r="S166" s="2618"/>
      <c r="Y166" s="2620"/>
      <c r="Z166" s="2620"/>
      <c r="AA166" s="2621"/>
      <c r="AL166" s="2618"/>
    </row>
    <row r="167" spans="19:38">
      <c r="S167" s="2618"/>
      <c r="Y167" s="2620"/>
      <c r="Z167" s="2620"/>
      <c r="AA167" s="2621"/>
      <c r="AL167" s="2618"/>
    </row>
    <row r="168" spans="19:38">
      <c r="S168" s="2618"/>
      <c r="Y168" s="2620"/>
      <c r="Z168" s="2620"/>
      <c r="AA168" s="2621"/>
      <c r="AL168" s="2618"/>
    </row>
    <row r="169" spans="19:38">
      <c r="S169" s="2618"/>
      <c r="Y169" s="2620"/>
      <c r="Z169" s="2620"/>
      <c r="AA169" s="2621"/>
      <c r="AL169" s="2618"/>
    </row>
    <row r="170" spans="19:38">
      <c r="S170" s="2618"/>
      <c r="Y170" s="2620"/>
      <c r="Z170" s="2620"/>
      <c r="AA170" s="2621"/>
      <c r="AL170" s="2618"/>
    </row>
    <row r="171" spans="19:38">
      <c r="S171" s="2618"/>
      <c r="Y171" s="2620"/>
      <c r="Z171" s="2620"/>
      <c r="AA171" s="2621"/>
      <c r="AL171" s="2618"/>
    </row>
    <row r="172" spans="19:38">
      <c r="S172" s="2618"/>
      <c r="Y172" s="2620"/>
      <c r="Z172" s="2620"/>
      <c r="AA172" s="2621"/>
      <c r="AL172" s="2618"/>
    </row>
    <row r="173" spans="19:38">
      <c r="S173" s="2618"/>
      <c r="Y173" s="2620"/>
      <c r="Z173" s="2620"/>
      <c r="AA173" s="2621"/>
      <c r="AL173" s="2618"/>
    </row>
    <row r="174" spans="19:38">
      <c r="S174" s="2618"/>
      <c r="Y174" s="2620"/>
      <c r="Z174" s="2620"/>
      <c r="AA174" s="2621"/>
      <c r="AL174" s="2618"/>
    </row>
    <row r="175" spans="19:38">
      <c r="S175" s="2618"/>
      <c r="Y175" s="2620"/>
      <c r="Z175" s="2620"/>
      <c r="AA175" s="2621"/>
      <c r="AL175" s="2618"/>
    </row>
    <row r="176" spans="19:38">
      <c r="S176" s="2618"/>
      <c r="Y176" s="2620"/>
      <c r="Z176" s="2620"/>
      <c r="AA176" s="2621"/>
      <c r="AL176" s="2618"/>
    </row>
    <row r="177" spans="19:38">
      <c r="S177" s="2618"/>
      <c r="Y177" s="2620"/>
      <c r="Z177" s="2620"/>
      <c r="AA177" s="2621"/>
      <c r="AL177" s="2618"/>
    </row>
    <row r="178" spans="19:38">
      <c r="S178" s="2618"/>
      <c r="Y178" s="2620"/>
      <c r="Z178" s="2620"/>
      <c r="AA178" s="2621"/>
      <c r="AL178" s="2618"/>
    </row>
    <row r="179" spans="19:38">
      <c r="S179" s="2618"/>
      <c r="Y179" s="2620"/>
      <c r="Z179" s="2620"/>
      <c r="AA179" s="2621"/>
      <c r="AL179" s="2618"/>
    </row>
    <row r="180" spans="19:38">
      <c r="S180" s="2618"/>
      <c r="Y180" s="2620"/>
      <c r="Z180" s="2620"/>
      <c r="AA180" s="2621"/>
      <c r="AL180" s="2618"/>
    </row>
    <row r="181" spans="19:38">
      <c r="S181" s="2618"/>
      <c r="Y181" s="2620"/>
      <c r="Z181" s="2620"/>
      <c r="AA181" s="2621"/>
      <c r="AL181" s="2618"/>
    </row>
    <row r="182" spans="19:38">
      <c r="S182" s="2618"/>
      <c r="Y182" s="2620"/>
      <c r="Z182" s="2620"/>
      <c r="AA182" s="2621"/>
      <c r="AL182" s="2618"/>
    </row>
    <row r="183" spans="19:38">
      <c r="S183" s="2618"/>
      <c r="Y183" s="2620"/>
      <c r="Z183" s="2620"/>
      <c r="AA183" s="2621"/>
      <c r="AL183" s="2618"/>
    </row>
    <row r="184" spans="19:38">
      <c r="S184" s="2618"/>
      <c r="Y184" s="2620"/>
      <c r="Z184" s="2620"/>
      <c r="AA184" s="2621"/>
      <c r="AL184" s="2618"/>
    </row>
    <row r="185" spans="19:38">
      <c r="S185" s="2618"/>
      <c r="Y185" s="2620"/>
      <c r="Z185" s="2620"/>
      <c r="AA185" s="2621"/>
      <c r="AL185" s="2618"/>
    </row>
    <row r="186" spans="19:38">
      <c r="S186" s="2618"/>
      <c r="Y186" s="2620"/>
      <c r="Z186" s="2620"/>
      <c r="AA186" s="2621"/>
      <c r="AL186" s="2618"/>
    </row>
    <row r="187" spans="19:38">
      <c r="S187" s="2618"/>
      <c r="Y187" s="2620"/>
      <c r="Z187" s="2620"/>
      <c r="AA187" s="2621"/>
      <c r="AL187" s="2618"/>
    </row>
    <row r="188" spans="19:38">
      <c r="S188" s="2618"/>
      <c r="Y188" s="2620"/>
      <c r="Z188" s="2620"/>
      <c r="AA188" s="2621"/>
      <c r="AL188" s="2618"/>
    </row>
    <row r="189" spans="19:38">
      <c r="S189" s="2618"/>
      <c r="Y189" s="2620"/>
      <c r="Z189" s="2620"/>
      <c r="AA189" s="2621"/>
      <c r="AL189" s="2618"/>
    </row>
    <row r="190" spans="19:38">
      <c r="S190" s="2618"/>
      <c r="Y190" s="2620"/>
      <c r="Z190" s="2620"/>
      <c r="AA190" s="2621"/>
      <c r="AL190" s="2618"/>
    </row>
    <row r="191" spans="19:38">
      <c r="S191" s="2618"/>
      <c r="Y191" s="2620"/>
      <c r="Z191" s="2620"/>
      <c r="AA191" s="2621"/>
      <c r="AL191" s="2618"/>
    </row>
    <row r="192" spans="19:38">
      <c r="S192" s="2618"/>
      <c r="Y192" s="2620"/>
      <c r="Z192" s="2620"/>
      <c r="AA192" s="2621"/>
      <c r="AL192" s="2618"/>
    </row>
    <row r="193" spans="19:38">
      <c r="S193" s="2618"/>
      <c r="Y193" s="2620"/>
      <c r="Z193" s="2620"/>
      <c r="AA193" s="2621"/>
      <c r="AL193" s="2618"/>
    </row>
    <row r="194" spans="19:38">
      <c r="S194" s="2618"/>
      <c r="Y194" s="2620"/>
      <c r="Z194" s="2620"/>
      <c r="AA194" s="2621"/>
      <c r="AL194" s="2618"/>
    </row>
    <row r="195" spans="19:38">
      <c r="S195" s="2618"/>
      <c r="Y195" s="2620"/>
      <c r="Z195" s="2620"/>
      <c r="AA195" s="2621"/>
      <c r="AL195" s="2618"/>
    </row>
    <row r="196" spans="19:38">
      <c r="S196" s="2618"/>
      <c r="Y196" s="2620"/>
      <c r="Z196" s="2620"/>
      <c r="AA196" s="2621"/>
      <c r="AL196" s="2618"/>
    </row>
    <row r="197" spans="19:38">
      <c r="S197" s="2618"/>
      <c r="Y197" s="2620"/>
      <c r="Z197" s="2620"/>
      <c r="AA197" s="2621"/>
      <c r="AL197" s="2618"/>
    </row>
    <row r="198" spans="19:38">
      <c r="S198" s="2618"/>
      <c r="Y198" s="2620"/>
      <c r="Z198" s="2620"/>
      <c r="AA198" s="2621"/>
      <c r="AL198" s="2618"/>
    </row>
    <row r="199" spans="19:38">
      <c r="S199" s="2618"/>
      <c r="Y199" s="2620"/>
      <c r="Z199" s="2620"/>
      <c r="AA199" s="2621"/>
      <c r="AL199" s="2618"/>
    </row>
    <row r="200" spans="19:38">
      <c r="S200" s="2618"/>
      <c r="Y200" s="2620"/>
      <c r="Z200" s="2620"/>
      <c r="AA200" s="2621"/>
      <c r="AL200" s="2618"/>
    </row>
    <row r="201" spans="19:38">
      <c r="S201" s="2618"/>
      <c r="Y201" s="2620"/>
      <c r="Z201" s="2620"/>
      <c r="AA201" s="2621"/>
      <c r="AL201" s="2618"/>
    </row>
    <row r="202" spans="19:38">
      <c r="S202" s="2618"/>
      <c r="Y202" s="2620"/>
      <c r="Z202" s="2620"/>
      <c r="AA202" s="2621"/>
      <c r="AL202" s="2618"/>
    </row>
    <row r="203" spans="19:38">
      <c r="S203" s="2618"/>
      <c r="Y203" s="2620"/>
      <c r="Z203" s="2620"/>
      <c r="AA203" s="2621"/>
      <c r="AL203" s="2618"/>
    </row>
    <row r="204" spans="19:38">
      <c r="S204" s="2618"/>
      <c r="Y204" s="2620"/>
      <c r="Z204" s="2620"/>
      <c r="AA204" s="2621"/>
      <c r="AL204" s="2618"/>
    </row>
    <row r="205" spans="19:38">
      <c r="S205" s="2618"/>
      <c r="Y205" s="2620"/>
      <c r="Z205" s="2620"/>
      <c r="AA205" s="2621"/>
      <c r="AL205" s="2618"/>
    </row>
    <row r="206" spans="19:38">
      <c r="S206" s="2618"/>
      <c r="Y206" s="2620"/>
      <c r="Z206" s="2620"/>
      <c r="AA206" s="2621"/>
      <c r="AL206" s="2618"/>
    </row>
    <row r="207" spans="19:38">
      <c r="S207" s="2618"/>
      <c r="Y207" s="2620"/>
      <c r="Z207" s="2620"/>
      <c r="AA207" s="2621"/>
      <c r="AL207" s="2618"/>
    </row>
    <row r="208" spans="19:38">
      <c r="S208" s="2618"/>
      <c r="Y208" s="2620"/>
      <c r="Z208" s="2620"/>
      <c r="AA208" s="2621"/>
      <c r="AL208" s="2618"/>
    </row>
    <row r="209" spans="19:38">
      <c r="S209" s="2618"/>
      <c r="Y209" s="2620"/>
      <c r="Z209" s="2620"/>
      <c r="AA209" s="2621"/>
      <c r="AL209" s="2618"/>
    </row>
    <row r="210" spans="19:38">
      <c r="S210" s="2618"/>
      <c r="Y210" s="2620"/>
      <c r="Z210" s="2620"/>
      <c r="AA210" s="2621"/>
      <c r="AL210" s="2618"/>
    </row>
    <row r="211" spans="19:38">
      <c r="S211" s="2618"/>
      <c r="Y211" s="2620"/>
      <c r="Z211" s="2620"/>
      <c r="AA211" s="2621"/>
      <c r="AL211" s="2618"/>
    </row>
    <row r="212" spans="19:38">
      <c r="S212" s="2618"/>
      <c r="Y212" s="2620"/>
      <c r="Z212" s="2620"/>
      <c r="AA212" s="2621"/>
      <c r="AL212" s="2618"/>
    </row>
    <row r="213" spans="19:38">
      <c r="S213" s="2618"/>
      <c r="Y213" s="2620"/>
      <c r="Z213" s="2620"/>
      <c r="AA213" s="2621"/>
      <c r="AL213" s="2618"/>
    </row>
    <row r="214" spans="19:38">
      <c r="S214" s="2618"/>
      <c r="Y214" s="2620"/>
      <c r="Z214" s="2620"/>
      <c r="AA214" s="2621"/>
      <c r="AL214" s="2618"/>
    </row>
    <row r="215" spans="19:38">
      <c r="S215" s="2618"/>
      <c r="Y215" s="2620"/>
      <c r="Z215" s="2620"/>
      <c r="AA215" s="2621"/>
      <c r="AL215" s="2618"/>
    </row>
    <row r="216" spans="19:38">
      <c r="S216" s="2618"/>
      <c r="Y216" s="2620"/>
      <c r="Z216" s="2620"/>
      <c r="AA216" s="2621"/>
      <c r="AL216" s="2618"/>
    </row>
    <row r="217" spans="19:38">
      <c r="S217" s="2618"/>
      <c r="Y217" s="2620"/>
      <c r="Z217" s="2620"/>
      <c r="AA217" s="2621"/>
      <c r="AL217" s="2618"/>
    </row>
    <row r="218" spans="19:38">
      <c r="S218" s="2618"/>
      <c r="Y218" s="2620"/>
      <c r="Z218" s="2620"/>
      <c r="AA218" s="2621"/>
      <c r="AL218" s="2618"/>
    </row>
    <row r="219" spans="19:38">
      <c r="S219" s="2618"/>
      <c r="Y219" s="2620"/>
      <c r="Z219" s="2620"/>
      <c r="AA219" s="2621"/>
      <c r="AL219" s="2618"/>
    </row>
    <row r="220" spans="19:38">
      <c r="S220" s="2618"/>
      <c r="Y220" s="2620"/>
      <c r="Z220" s="2620"/>
      <c r="AA220" s="2621"/>
      <c r="AL220" s="2618"/>
    </row>
    <row r="221" spans="19:38">
      <c r="S221" s="2618"/>
      <c r="Y221" s="2620"/>
      <c r="Z221" s="2620"/>
      <c r="AA221" s="2621"/>
      <c r="AL221" s="2618"/>
    </row>
    <row r="222" spans="19:38">
      <c r="S222" s="2618"/>
      <c r="Y222" s="2620"/>
      <c r="Z222" s="2620"/>
      <c r="AA222" s="2621"/>
      <c r="AL222" s="2618"/>
    </row>
    <row r="223" spans="19:38">
      <c r="S223" s="2618"/>
      <c r="Y223" s="2620"/>
      <c r="Z223" s="2620"/>
      <c r="AA223" s="2621"/>
      <c r="AL223" s="2618"/>
    </row>
    <row r="224" spans="19:38">
      <c r="S224" s="2618"/>
      <c r="Y224" s="2620"/>
      <c r="Z224" s="2620"/>
      <c r="AA224" s="2621"/>
      <c r="AL224" s="2618"/>
    </row>
    <row r="225" spans="19:38">
      <c r="S225" s="2618"/>
      <c r="Y225" s="2620"/>
      <c r="Z225" s="2620"/>
      <c r="AA225" s="2621"/>
      <c r="AL225" s="2618"/>
    </row>
    <row r="226" spans="19:38">
      <c r="S226" s="2618"/>
      <c r="Y226" s="2620"/>
      <c r="Z226" s="2620"/>
      <c r="AA226" s="2621"/>
      <c r="AL226" s="2618"/>
    </row>
    <row r="227" spans="19:38">
      <c r="S227" s="2618"/>
      <c r="Y227" s="2620"/>
      <c r="Z227" s="2620"/>
      <c r="AA227" s="2621"/>
      <c r="AL227" s="2618"/>
    </row>
    <row r="228" spans="19:38">
      <c r="S228" s="2618"/>
      <c r="Y228" s="2620"/>
      <c r="Z228" s="2620"/>
      <c r="AA228" s="2621"/>
      <c r="AL228" s="2618"/>
    </row>
    <row r="229" spans="19:38">
      <c r="S229" s="2618"/>
      <c r="Y229" s="2620"/>
      <c r="Z229" s="2620"/>
      <c r="AA229" s="2621"/>
      <c r="AL229" s="2618"/>
    </row>
    <row r="230" spans="19:38">
      <c r="S230" s="2618"/>
      <c r="Y230" s="2620"/>
      <c r="Z230" s="2620"/>
      <c r="AA230" s="2621"/>
      <c r="AL230" s="2618"/>
    </row>
    <row r="231" spans="19:38">
      <c r="S231" s="2618"/>
      <c r="Y231" s="2620"/>
      <c r="Z231" s="2620"/>
      <c r="AA231" s="2621"/>
      <c r="AL231" s="2618"/>
    </row>
    <row r="232" spans="19:38">
      <c r="S232" s="2618"/>
      <c r="Y232" s="2620"/>
      <c r="Z232" s="2620"/>
      <c r="AA232" s="2621"/>
      <c r="AL232" s="2618"/>
    </row>
    <row r="233" spans="19:38">
      <c r="S233" s="2618"/>
      <c r="Y233" s="2620"/>
      <c r="Z233" s="2620"/>
      <c r="AA233" s="2621"/>
      <c r="AL233" s="2618"/>
    </row>
    <row r="234" spans="19:38">
      <c r="S234" s="2618"/>
      <c r="Y234" s="2620"/>
      <c r="Z234" s="2620"/>
      <c r="AA234" s="2621"/>
      <c r="AL234" s="2618"/>
    </row>
    <row r="235" spans="19:38">
      <c r="S235" s="2618"/>
      <c r="Y235" s="2620"/>
      <c r="Z235" s="2620"/>
      <c r="AA235" s="2621"/>
      <c r="AL235" s="2618"/>
    </row>
    <row r="236" spans="19:38">
      <c r="S236" s="2618"/>
      <c r="Y236" s="2620"/>
      <c r="Z236" s="2620"/>
      <c r="AA236" s="2621"/>
      <c r="AL236" s="2618"/>
    </row>
    <row r="237" spans="19:38">
      <c r="S237" s="2618"/>
      <c r="Y237" s="2620"/>
      <c r="Z237" s="2620"/>
      <c r="AA237" s="2621"/>
      <c r="AL237" s="2618"/>
    </row>
    <row r="238" spans="19:38">
      <c r="S238" s="2618"/>
      <c r="Y238" s="2620"/>
      <c r="Z238" s="2620"/>
      <c r="AA238" s="2621"/>
      <c r="AL238" s="2618"/>
    </row>
    <row r="239" spans="19:38">
      <c r="S239" s="2618"/>
      <c r="Y239" s="2620"/>
      <c r="Z239" s="2620"/>
      <c r="AA239" s="2621"/>
      <c r="AL239" s="2618"/>
    </row>
    <row r="240" spans="19:38">
      <c r="S240" s="2618"/>
      <c r="Y240" s="2620"/>
      <c r="Z240" s="2620"/>
      <c r="AA240" s="2621"/>
      <c r="AL240" s="2618"/>
    </row>
    <row r="241" spans="19:38">
      <c r="S241" s="2618"/>
      <c r="Y241" s="2620"/>
      <c r="Z241" s="2620"/>
      <c r="AA241" s="2621"/>
      <c r="AL241" s="2618"/>
    </row>
    <row r="242" spans="19:38">
      <c r="S242" s="2618"/>
      <c r="Y242" s="2620"/>
      <c r="Z242" s="2620"/>
      <c r="AA242" s="2621"/>
      <c r="AL242" s="2618"/>
    </row>
    <row r="243" spans="19:38">
      <c r="S243" s="2618"/>
      <c r="Y243" s="2620"/>
      <c r="Z243" s="2620"/>
      <c r="AA243" s="2621"/>
      <c r="AL243" s="2618"/>
    </row>
    <row r="244" spans="19:38">
      <c r="S244" s="2618"/>
      <c r="Y244" s="2620"/>
      <c r="Z244" s="2620"/>
      <c r="AA244" s="2621"/>
      <c r="AL244" s="2618"/>
    </row>
    <row r="245" spans="19:38">
      <c r="S245" s="2618"/>
      <c r="Y245" s="2620"/>
      <c r="Z245" s="2620"/>
      <c r="AA245" s="2621"/>
      <c r="AL245" s="2618"/>
    </row>
    <row r="246" spans="19:38">
      <c r="S246" s="2618"/>
      <c r="Y246" s="2620"/>
      <c r="Z246" s="2620"/>
      <c r="AA246" s="2621"/>
      <c r="AL246" s="2618"/>
    </row>
    <row r="247" spans="19:38">
      <c r="S247" s="2618"/>
      <c r="Y247" s="2620"/>
      <c r="Z247" s="2620"/>
      <c r="AA247" s="2621"/>
      <c r="AL247" s="2618"/>
    </row>
    <row r="248" spans="19:38">
      <c r="S248" s="2618"/>
      <c r="Y248" s="2620"/>
      <c r="Z248" s="2620"/>
      <c r="AA248" s="2621"/>
      <c r="AL248" s="2618"/>
    </row>
    <row r="249" spans="19:38">
      <c r="S249" s="2618"/>
      <c r="Y249" s="2620"/>
      <c r="Z249" s="2620"/>
      <c r="AA249" s="2621"/>
      <c r="AL249" s="2618"/>
    </row>
    <row r="250" spans="19:38">
      <c r="S250" s="2618"/>
      <c r="Y250" s="2620"/>
      <c r="Z250" s="2620"/>
      <c r="AA250" s="2621"/>
      <c r="AL250" s="2618"/>
    </row>
    <row r="251" spans="19:38">
      <c r="S251" s="2618"/>
      <c r="Y251" s="2620"/>
      <c r="Z251" s="2620"/>
      <c r="AA251" s="2621"/>
      <c r="AL251" s="2618"/>
    </row>
    <row r="252" spans="19:38">
      <c r="S252" s="2618"/>
      <c r="Y252" s="2620"/>
      <c r="Z252" s="2620"/>
      <c r="AA252" s="2621"/>
      <c r="AL252" s="2618"/>
    </row>
    <row r="253" spans="19:38">
      <c r="S253" s="2618"/>
      <c r="Y253" s="2620"/>
      <c r="Z253" s="2620"/>
      <c r="AA253" s="2621"/>
      <c r="AL253" s="2618"/>
    </row>
    <row r="254" spans="19:38">
      <c r="S254" s="2618"/>
      <c r="Y254" s="2620"/>
      <c r="Z254" s="2620"/>
      <c r="AA254" s="2621"/>
      <c r="AL254" s="2618"/>
    </row>
    <row r="255" spans="19:38">
      <c r="S255" s="2618"/>
      <c r="Y255" s="2620"/>
      <c r="Z255" s="2620"/>
      <c r="AA255" s="2621"/>
      <c r="AL255" s="2618"/>
    </row>
    <row r="256" spans="19:38">
      <c r="S256" s="2618"/>
      <c r="Y256" s="2620"/>
      <c r="Z256" s="2620"/>
      <c r="AA256" s="2621"/>
      <c r="AL256" s="2618"/>
    </row>
    <row r="257" spans="19:38">
      <c r="S257" s="2618"/>
      <c r="Y257" s="2620"/>
      <c r="Z257" s="2620"/>
      <c r="AA257" s="2621"/>
      <c r="AL257" s="2618"/>
    </row>
    <row r="258" spans="19:38">
      <c r="S258" s="2618"/>
      <c r="Y258" s="2620"/>
      <c r="Z258" s="2620"/>
      <c r="AA258" s="2621"/>
      <c r="AL258" s="2618"/>
    </row>
    <row r="259" spans="19:38">
      <c r="S259" s="2618"/>
      <c r="Y259" s="2620"/>
      <c r="Z259" s="2620"/>
      <c r="AA259" s="2621"/>
      <c r="AL259" s="2618"/>
    </row>
    <row r="260" spans="19:38">
      <c r="S260" s="2618"/>
      <c r="Y260" s="2620"/>
      <c r="Z260" s="2620"/>
      <c r="AA260" s="2621"/>
      <c r="AL260" s="2618"/>
    </row>
    <row r="261" spans="19:38">
      <c r="S261" s="2618"/>
      <c r="Y261" s="2620"/>
      <c r="Z261" s="2620"/>
      <c r="AA261" s="2621"/>
      <c r="AL261" s="2618"/>
    </row>
    <row r="262" spans="19:38">
      <c r="S262" s="2618"/>
      <c r="Y262" s="2620"/>
      <c r="Z262" s="2620"/>
      <c r="AA262" s="2621"/>
      <c r="AL262" s="2618"/>
    </row>
    <row r="263" spans="19:38">
      <c r="S263" s="2618"/>
      <c r="Y263" s="2620"/>
      <c r="Z263" s="2620"/>
      <c r="AA263" s="2621"/>
      <c r="AL263" s="2618"/>
    </row>
    <row r="264" spans="19:38">
      <c r="S264" s="2618"/>
      <c r="Y264" s="2620"/>
      <c r="Z264" s="2620"/>
      <c r="AA264" s="2621"/>
      <c r="AL264" s="2618"/>
    </row>
    <row r="265" spans="19:38">
      <c r="S265" s="2618"/>
      <c r="Y265" s="2620"/>
      <c r="Z265" s="2620"/>
      <c r="AA265" s="2621"/>
      <c r="AL265" s="2618"/>
    </row>
    <row r="266" spans="19:38">
      <c r="S266" s="2618"/>
      <c r="Y266" s="2620"/>
      <c r="Z266" s="2620"/>
      <c r="AA266" s="2621"/>
      <c r="AL266" s="2618"/>
    </row>
    <row r="267" spans="19:38">
      <c r="S267" s="2618"/>
      <c r="Y267" s="2620"/>
      <c r="Z267" s="2620"/>
      <c r="AA267" s="2621"/>
      <c r="AL267" s="2618"/>
    </row>
    <row r="268" spans="19:38">
      <c r="S268" s="2618"/>
      <c r="Y268" s="2620"/>
      <c r="Z268" s="2620"/>
      <c r="AA268" s="2621"/>
      <c r="AL268" s="2618"/>
    </row>
    <row r="269" spans="19:38">
      <c r="S269" s="2618"/>
      <c r="Y269" s="2620"/>
      <c r="Z269" s="2620"/>
      <c r="AA269" s="2621"/>
      <c r="AL269" s="2618"/>
    </row>
    <row r="270" spans="19:38">
      <c r="S270" s="2618"/>
      <c r="Y270" s="2620"/>
      <c r="Z270" s="2620"/>
      <c r="AA270" s="2621"/>
      <c r="AL270" s="2618"/>
    </row>
    <row r="271" spans="19:38">
      <c r="S271" s="2618"/>
      <c r="Y271" s="2620"/>
      <c r="Z271" s="2620"/>
      <c r="AA271" s="2621"/>
      <c r="AL271" s="2618"/>
    </row>
    <row r="272" spans="19:38">
      <c r="S272" s="2618"/>
      <c r="Y272" s="2620"/>
      <c r="Z272" s="2620"/>
      <c r="AA272" s="2621"/>
      <c r="AL272" s="2618"/>
    </row>
    <row r="273" spans="19:38">
      <c r="S273" s="2618"/>
      <c r="Y273" s="2620"/>
      <c r="Z273" s="2620"/>
      <c r="AA273" s="2621"/>
      <c r="AL273" s="2618"/>
    </row>
    <row r="274" spans="19:38">
      <c r="S274" s="2618"/>
      <c r="Y274" s="2620"/>
      <c r="Z274" s="2620"/>
      <c r="AA274" s="2621"/>
      <c r="AL274" s="2618"/>
    </row>
    <row r="275" spans="19:38">
      <c r="S275" s="2618"/>
      <c r="Y275" s="2620"/>
      <c r="Z275" s="2620"/>
      <c r="AA275" s="2621"/>
      <c r="AL275" s="2618"/>
    </row>
    <row r="276" spans="19:38">
      <c r="S276" s="2618"/>
      <c r="Y276" s="2620"/>
      <c r="Z276" s="2620"/>
      <c r="AA276" s="2621"/>
      <c r="AL276" s="2618"/>
    </row>
    <row r="277" spans="19:38">
      <c r="S277" s="2618"/>
      <c r="Y277" s="2620"/>
      <c r="Z277" s="2620"/>
      <c r="AA277" s="2621"/>
      <c r="AL277" s="2618"/>
    </row>
    <row r="278" spans="19:38">
      <c r="S278" s="2618"/>
      <c r="Y278" s="2620"/>
      <c r="Z278" s="2620"/>
      <c r="AA278" s="2621"/>
      <c r="AL278" s="2618"/>
    </row>
    <row r="279" spans="19:38">
      <c r="S279" s="2618"/>
      <c r="Y279" s="2620"/>
      <c r="Z279" s="2620"/>
      <c r="AA279" s="2621"/>
      <c r="AL279" s="2618"/>
    </row>
    <row r="280" spans="19:38">
      <c r="S280" s="2618"/>
      <c r="Y280" s="2620"/>
      <c r="Z280" s="2620"/>
      <c r="AA280" s="2621"/>
      <c r="AL280" s="2618"/>
    </row>
    <row r="281" spans="19:38">
      <c r="S281" s="2618"/>
      <c r="Y281" s="2620"/>
      <c r="Z281" s="2620"/>
      <c r="AA281" s="2621"/>
      <c r="AL281" s="2618"/>
    </row>
    <row r="282" spans="19:38">
      <c r="S282" s="2618"/>
      <c r="Y282" s="2620"/>
      <c r="Z282" s="2620"/>
      <c r="AA282" s="2621"/>
      <c r="AL282" s="2618"/>
    </row>
    <row r="283" spans="19:38">
      <c r="S283" s="2618"/>
      <c r="Y283" s="2620"/>
      <c r="Z283" s="2620"/>
      <c r="AA283" s="2621"/>
      <c r="AL283" s="2618"/>
    </row>
    <row r="284" spans="19:38">
      <c r="S284" s="2618"/>
      <c r="Y284" s="2620"/>
      <c r="Z284" s="2620"/>
      <c r="AA284" s="2621"/>
      <c r="AL284" s="2618"/>
    </row>
    <row r="285" spans="19:38">
      <c r="S285" s="2618"/>
      <c r="Y285" s="2620"/>
      <c r="Z285" s="2620"/>
      <c r="AA285" s="2621"/>
      <c r="AL285" s="2618"/>
    </row>
    <row r="286" spans="19:38">
      <c r="S286" s="2618"/>
      <c r="Y286" s="2620"/>
      <c r="Z286" s="2620"/>
      <c r="AA286" s="2621"/>
      <c r="AL286" s="2618"/>
    </row>
    <row r="287" spans="19:38">
      <c r="S287" s="2618"/>
      <c r="Y287" s="2620"/>
      <c r="Z287" s="2620"/>
      <c r="AA287" s="2621"/>
      <c r="AL287" s="2618"/>
    </row>
    <row r="288" spans="19:38">
      <c r="S288" s="2618"/>
      <c r="Y288" s="2620"/>
      <c r="Z288" s="2620"/>
      <c r="AA288" s="2621"/>
      <c r="AL288" s="2618"/>
    </row>
    <row r="289" spans="19:38">
      <c r="S289" s="2618"/>
      <c r="Y289" s="2620"/>
      <c r="Z289" s="2620"/>
      <c r="AA289" s="2621"/>
      <c r="AL289" s="2618"/>
    </row>
    <row r="290" spans="19:38">
      <c r="S290" s="2618"/>
      <c r="Y290" s="2620"/>
      <c r="Z290" s="2620"/>
      <c r="AA290" s="2621"/>
      <c r="AL290" s="2618"/>
    </row>
    <row r="291" spans="19:38">
      <c r="S291" s="2618"/>
      <c r="Y291" s="2620"/>
      <c r="Z291" s="2620"/>
      <c r="AA291" s="2621"/>
      <c r="AL291" s="2618"/>
    </row>
    <row r="292" spans="19:38">
      <c r="S292" s="2618"/>
      <c r="Y292" s="2620"/>
      <c r="Z292" s="2620"/>
      <c r="AA292" s="2621"/>
      <c r="AL292" s="2618"/>
    </row>
    <row r="293" spans="19:38">
      <c r="S293" s="2618"/>
      <c r="Y293" s="2620"/>
      <c r="Z293" s="2620"/>
      <c r="AA293" s="2621"/>
      <c r="AL293" s="2618"/>
    </row>
    <row r="294" spans="19:38">
      <c r="S294" s="2618"/>
      <c r="Y294" s="2620"/>
      <c r="Z294" s="2620"/>
      <c r="AA294" s="2621"/>
      <c r="AL294" s="2618"/>
    </row>
    <row r="295" spans="19:38">
      <c r="S295" s="2618"/>
      <c r="Y295" s="2620"/>
      <c r="Z295" s="2620"/>
      <c r="AA295" s="2621"/>
      <c r="AL295" s="2618"/>
    </row>
    <row r="296" spans="19:38">
      <c r="S296" s="2618"/>
      <c r="Y296" s="2620"/>
      <c r="Z296" s="2620"/>
      <c r="AA296" s="2621"/>
      <c r="AL296" s="2618"/>
    </row>
    <row r="297" spans="19:38">
      <c r="S297" s="2618"/>
      <c r="Y297" s="2620"/>
      <c r="Z297" s="2620"/>
      <c r="AA297" s="2621"/>
      <c r="AL297" s="2618"/>
    </row>
    <row r="298" spans="19:38">
      <c r="S298" s="2618"/>
      <c r="Y298" s="2620"/>
      <c r="Z298" s="2620"/>
      <c r="AA298" s="2621"/>
      <c r="AL298" s="2618"/>
    </row>
    <row r="299" spans="19:38">
      <c r="S299" s="2618"/>
      <c r="Y299" s="2620"/>
      <c r="Z299" s="2620"/>
      <c r="AA299" s="2621"/>
      <c r="AL299" s="2618"/>
    </row>
    <row r="300" spans="19:38">
      <c r="S300" s="2618"/>
      <c r="Y300" s="2620"/>
      <c r="Z300" s="2620"/>
      <c r="AA300" s="2621"/>
      <c r="AL300" s="2618"/>
    </row>
    <row r="301" spans="19:38">
      <c r="S301" s="2618"/>
      <c r="Y301" s="2620"/>
      <c r="Z301" s="2620"/>
      <c r="AA301" s="2621"/>
      <c r="AL301" s="2618"/>
    </row>
    <row r="302" spans="19:38">
      <c r="S302" s="2618"/>
      <c r="Y302" s="2620"/>
      <c r="Z302" s="2620"/>
      <c r="AA302" s="2621"/>
      <c r="AL302" s="2618"/>
    </row>
    <row r="303" spans="19:38">
      <c r="S303" s="2618"/>
      <c r="Y303" s="2620"/>
      <c r="Z303" s="2620"/>
      <c r="AA303" s="2621"/>
      <c r="AL303" s="2618"/>
    </row>
    <row r="304" spans="19:38">
      <c r="S304" s="2618"/>
      <c r="Y304" s="2620"/>
      <c r="Z304" s="2620"/>
      <c r="AA304" s="2621"/>
      <c r="AL304" s="2618"/>
    </row>
    <row r="305" spans="19:38">
      <c r="S305" s="2618"/>
      <c r="Y305" s="2620"/>
      <c r="Z305" s="2620"/>
      <c r="AA305" s="2621"/>
      <c r="AL305" s="2618"/>
    </row>
    <row r="306" spans="19:38">
      <c r="S306" s="2618"/>
      <c r="Y306" s="2620"/>
      <c r="Z306" s="2620"/>
      <c r="AA306" s="2621"/>
      <c r="AL306" s="2618"/>
    </row>
    <row r="307" spans="19:38">
      <c r="S307" s="2618"/>
      <c r="Y307" s="2620"/>
      <c r="Z307" s="2620"/>
      <c r="AA307" s="2621"/>
      <c r="AL307" s="2618"/>
    </row>
    <row r="308" spans="19:38">
      <c r="S308" s="2618"/>
      <c r="Y308" s="2620"/>
      <c r="Z308" s="2620"/>
      <c r="AA308" s="2621"/>
      <c r="AL308" s="2618"/>
    </row>
    <row r="309" spans="19:38">
      <c r="S309" s="2618"/>
      <c r="Y309" s="2620"/>
      <c r="Z309" s="2620"/>
      <c r="AA309" s="2621"/>
      <c r="AL309" s="2618"/>
    </row>
    <row r="310" spans="19:38">
      <c r="S310" s="2618"/>
      <c r="Y310" s="2620"/>
      <c r="Z310" s="2620"/>
      <c r="AA310" s="2621"/>
      <c r="AL310" s="2618"/>
    </row>
    <row r="311" spans="19:38">
      <c r="S311" s="2618"/>
      <c r="Y311" s="2620"/>
      <c r="Z311" s="2620"/>
      <c r="AA311" s="2621"/>
      <c r="AL311" s="2618"/>
    </row>
    <row r="312" spans="19:38">
      <c r="S312" s="2618"/>
      <c r="Y312" s="2620"/>
      <c r="Z312" s="2620"/>
      <c r="AA312" s="2621"/>
      <c r="AL312" s="2618"/>
    </row>
    <row r="313" spans="19:38">
      <c r="S313" s="2618"/>
      <c r="Y313" s="2620"/>
      <c r="Z313" s="2620"/>
      <c r="AA313" s="2621"/>
      <c r="AL313" s="2618"/>
    </row>
    <row r="314" spans="19:38">
      <c r="S314" s="2618"/>
      <c r="Y314" s="2620"/>
      <c r="Z314" s="2620"/>
      <c r="AA314" s="2621"/>
      <c r="AL314" s="2618"/>
    </row>
    <row r="315" spans="19:38">
      <c r="S315" s="2618"/>
      <c r="Y315" s="2620"/>
      <c r="Z315" s="2620"/>
      <c r="AA315" s="2621"/>
      <c r="AL315" s="2618"/>
    </row>
    <row r="316" spans="19:38">
      <c r="S316" s="2618"/>
      <c r="Y316" s="2620"/>
      <c r="Z316" s="2620"/>
      <c r="AA316" s="2621"/>
      <c r="AL316" s="2618"/>
    </row>
    <row r="317" spans="19:38">
      <c r="S317" s="2618"/>
      <c r="Y317" s="2620"/>
      <c r="Z317" s="2620"/>
      <c r="AA317" s="2621"/>
      <c r="AL317" s="2618"/>
    </row>
    <row r="318" spans="19:38">
      <c r="S318" s="2618"/>
      <c r="Y318" s="2620"/>
      <c r="Z318" s="2620"/>
      <c r="AA318" s="2621"/>
      <c r="AL318" s="2618"/>
    </row>
    <row r="319" spans="19:38">
      <c r="S319" s="2618"/>
      <c r="Y319" s="2620"/>
      <c r="Z319" s="2620"/>
      <c r="AA319" s="2621"/>
      <c r="AL319" s="2618"/>
    </row>
    <row r="320" spans="19:38">
      <c r="S320" s="2618"/>
      <c r="Y320" s="2620"/>
      <c r="Z320" s="2620"/>
      <c r="AA320" s="2621"/>
      <c r="AL320" s="2618"/>
    </row>
    <row r="321" spans="19:38">
      <c r="S321" s="2618"/>
      <c r="Y321" s="2620"/>
      <c r="Z321" s="2620"/>
      <c r="AA321" s="2621"/>
      <c r="AL321" s="2618"/>
    </row>
    <row r="322" spans="19:38">
      <c r="S322" s="2618"/>
      <c r="Y322" s="2620"/>
      <c r="Z322" s="2620"/>
      <c r="AA322" s="2621"/>
      <c r="AL322" s="2618"/>
    </row>
    <row r="323" spans="19:38">
      <c r="S323" s="2618"/>
      <c r="Y323" s="2620"/>
      <c r="Z323" s="2620"/>
      <c r="AA323" s="2621"/>
      <c r="AL323" s="2618"/>
    </row>
    <row r="324" spans="19:38">
      <c r="S324" s="2618"/>
      <c r="Y324" s="2620"/>
      <c r="Z324" s="2620"/>
      <c r="AA324" s="2621"/>
      <c r="AL324" s="2618"/>
    </row>
    <row r="325" spans="19:38">
      <c r="S325" s="2618"/>
      <c r="Y325" s="2620"/>
      <c r="Z325" s="2620"/>
      <c r="AA325" s="2621"/>
      <c r="AL325" s="2618"/>
    </row>
    <row r="326" spans="19:38">
      <c r="S326" s="2618"/>
      <c r="Y326" s="2620"/>
      <c r="Z326" s="2620"/>
      <c r="AA326" s="2621"/>
      <c r="AL326" s="2618"/>
    </row>
    <row r="327" spans="19:38">
      <c r="S327" s="2618"/>
      <c r="Y327" s="2620"/>
      <c r="Z327" s="2620"/>
      <c r="AA327" s="2621"/>
      <c r="AL327" s="2618"/>
    </row>
    <row r="328" spans="19:38">
      <c r="S328" s="2618"/>
      <c r="Y328" s="2620"/>
      <c r="Z328" s="2620"/>
      <c r="AA328" s="2621"/>
      <c r="AL328" s="2618"/>
    </row>
    <row r="329" spans="19:38">
      <c r="S329" s="2618"/>
      <c r="Y329" s="2620"/>
      <c r="Z329" s="2620"/>
      <c r="AA329" s="2621"/>
      <c r="AL329" s="2618"/>
    </row>
    <row r="330" spans="19:38">
      <c r="S330" s="2618"/>
      <c r="Y330" s="2620"/>
      <c r="Z330" s="2620"/>
      <c r="AA330" s="2621"/>
      <c r="AL330" s="2618"/>
    </row>
    <row r="331" spans="19:38">
      <c r="S331" s="2618"/>
      <c r="Y331" s="2620"/>
      <c r="Z331" s="2620"/>
      <c r="AA331" s="2621"/>
      <c r="AL331" s="2618"/>
    </row>
    <row r="332" spans="19:38">
      <c r="S332" s="2618"/>
      <c r="Y332" s="2620"/>
      <c r="Z332" s="2620"/>
      <c r="AA332" s="2621"/>
      <c r="AL332" s="2618"/>
    </row>
    <row r="333" spans="19:38">
      <c r="S333" s="2618"/>
      <c r="Y333" s="2620"/>
      <c r="Z333" s="2620"/>
      <c r="AA333" s="2621"/>
      <c r="AL333" s="2618"/>
    </row>
    <row r="334" spans="19:38">
      <c r="S334" s="2618"/>
      <c r="Y334" s="2620"/>
      <c r="Z334" s="2620"/>
      <c r="AA334" s="2621"/>
      <c r="AL334" s="2618"/>
    </row>
    <row r="335" spans="19:38">
      <c r="S335" s="2618"/>
      <c r="Y335" s="2620"/>
      <c r="Z335" s="2620"/>
      <c r="AA335" s="2621"/>
      <c r="AL335" s="2618"/>
    </row>
    <row r="336" spans="19:38">
      <c r="S336" s="2618"/>
      <c r="Y336" s="2620"/>
      <c r="Z336" s="2620"/>
      <c r="AA336" s="2621"/>
      <c r="AL336" s="2618"/>
    </row>
    <row r="337" spans="19:38">
      <c r="S337" s="2618"/>
      <c r="Y337" s="2620"/>
      <c r="Z337" s="2620"/>
      <c r="AA337" s="2621"/>
      <c r="AL337" s="2618"/>
    </row>
    <row r="338" spans="19:38">
      <c r="S338" s="2618"/>
      <c r="Y338" s="2620"/>
      <c r="Z338" s="2620"/>
      <c r="AA338" s="2621"/>
      <c r="AL338" s="2618"/>
    </row>
    <row r="339" spans="19:38">
      <c r="S339" s="2618"/>
      <c r="Y339" s="2620"/>
      <c r="Z339" s="2620"/>
      <c r="AA339" s="2621"/>
      <c r="AL339" s="2618"/>
    </row>
    <row r="340" spans="19:38">
      <c r="S340" s="2618"/>
      <c r="Y340" s="2620"/>
      <c r="Z340" s="2620"/>
      <c r="AA340" s="2621"/>
      <c r="AL340" s="2618"/>
    </row>
    <row r="341" spans="19:38">
      <c r="S341" s="2618"/>
      <c r="Y341" s="2620"/>
      <c r="Z341" s="2620"/>
      <c r="AA341" s="2621"/>
      <c r="AL341" s="2618"/>
    </row>
    <row r="342" spans="19:38">
      <c r="S342" s="2618"/>
      <c r="Y342" s="2620"/>
      <c r="Z342" s="2620"/>
      <c r="AA342" s="2621"/>
      <c r="AL342" s="2618"/>
    </row>
    <row r="343" spans="19:38">
      <c r="S343" s="2618"/>
      <c r="Y343" s="2620"/>
      <c r="Z343" s="2620"/>
      <c r="AA343" s="2621"/>
      <c r="AL343" s="2618"/>
    </row>
    <row r="344" spans="19:38">
      <c r="S344" s="2618"/>
      <c r="Y344" s="2620"/>
      <c r="Z344" s="2620"/>
      <c r="AA344" s="2621"/>
      <c r="AL344" s="2618"/>
    </row>
    <row r="345" spans="19:38">
      <c r="S345" s="2618"/>
      <c r="Y345" s="2620"/>
      <c r="Z345" s="2620"/>
      <c r="AA345" s="2621"/>
      <c r="AL345" s="2618"/>
    </row>
    <row r="346" spans="19:38">
      <c r="S346" s="2618"/>
      <c r="Y346" s="2620"/>
      <c r="Z346" s="2620"/>
      <c r="AA346" s="2621"/>
      <c r="AL346" s="2618"/>
    </row>
    <row r="347" spans="19:38">
      <c r="S347" s="2618"/>
      <c r="Y347" s="2620"/>
      <c r="Z347" s="2620"/>
      <c r="AA347" s="2621"/>
      <c r="AL347" s="2618"/>
    </row>
    <row r="348" spans="19:38">
      <c r="S348" s="2618"/>
      <c r="Y348" s="2620"/>
      <c r="Z348" s="2620"/>
      <c r="AA348" s="2621"/>
      <c r="AL348" s="2618"/>
    </row>
    <row r="349" spans="19:38">
      <c r="S349" s="2618"/>
      <c r="Y349" s="2620"/>
      <c r="Z349" s="2620"/>
      <c r="AA349" s="2621"/>
      <c r="AL349" s="2618"/>
    </row>
    <row r="350" spans="19:38">
      <c r="S350" s="2618"/>
      <c r="Y350" s="2620"/>
      <c r="Z350" s="2620"/>
      <c r="AA350" s="2621"/>
      <c r="AL350" s="2618"/>
    </row>
    <row r="351" spans="19:38">
      <c r="S351" s="2618"/>
      <c r="Y351" s="2620"/>
      <c r="Z351" s="2620"/>
      <c r="AA351" s="2621"/>
      <c r="AL351" s="2618"/>
    </row>
    <row r="352" spans="19:38">
      <c r="S352" s="2618"/>
      <c r="Y352" s="2620"/>
      <c r="Z352" s="2620"/>
      <c r="AA352" s="2621"/>
      <c r="AL352" s="2618"/>
    </row>
    <row r="353" spans="19:38">
      <c r="S353" s="2618"/>
      <c r="Y353" s="2620"/>
      <c r="Z353" s="2620"/>
      <c r="AA353" s="2621"/>
      <c r="AL353" s="2618"/>
    </row>
    <row r="354" spans="19:38">
      <c r="S354" s="2618"/>
      <c r="Y354" s="2620"/>
      <c r="Z354" s="2620"/>
      <c r="AA354" s="2621"/>
      <c r="AL354" s="2618"/>
    </row>
    <row r="355" spans="19:38">
      <c r="S355" s="2618"/>
      <c r="Y355" s="2620"/>
      <c r="Z355" s="2620"/>
      <c r="AA355" s="2621"/>
      <c r="AL355" s="2618"/>
    </row>
    <row r="356" spans="19:38">
      <c r="S356" s="2618"/>
      <c r="Y356" s="2620"/>
      <c r="Z356" s="2620"/>
      <c r="AA356" s="2621"/>
      <c r="AL356" s="2618"/>
    </row>
    <row r="357" spans="19:38">
      <c r="S357" s="2618"/>
      <c r="Y357" s="2620"/>
      <c r="Z357" s="2620"/>
      <c r="AA357" s="2621"/>
      <c r="AL357" s="2618"/>
    </row>
    <row r="358" spans="19:38">
      <c r="S358" s="2618"/>
      <c r="Y358" s="2620"/>
      <c r="Z358" s="2620"/>
      <c r="AA358" s="2621"/>
      <c r="AL358" s="2618"/>
    </row>
    <row r="359" spans="19:38">
      <c r="S359" s="2618"/>
      <c r="Y359" s="2620"/>
      <c r="Z359" s="2620"/>
      <c r="AA359" s="2621"/>
      <c r="AL359" s="2618"/>
    </row>
    <row r="360" spans="19:38">
      <c r="S360" s="2618"/>
      <c r="Y360" s="2620"/>
      <c r="Z360" s="2620"/>
      <c r="AA360" s="2621"/>
      <c r="AL360" s="2618"/>
    </row>
    <row r="361" spans="19:38">
      <c r="S361" s="2618"/>
      <c r="Y361" s="2620"/>
      <c r="Z361" s="2620"/>
      <c r="AA361" s="2621"/>
      <c r="AL361" s="2618"/>
    </row>
    <row r="362" spans="19:38">
      <c r="S362" s="2618"/>
      <c r="Y362" s="2620"/>
      <c r="Z362" s="2620"/>
      <c r="AA362" s="2621"/>
      <c r="AL362" s="2618"/>
    </row>
    <row r="363" spans="19:38">
      <c r="S363" s="2618"/>
      <c r="Y363" s="2620"/>
      <c r="Z363" s="2620"/>
      <c r="AA363" s="2621"/>
      <c r="AL363" s="2618"/>
    </row>
    <row r="364" spans="19:38">
      <c r="S364" s="2618"/>
      <c r="Y364" s="2620"/>
      <c r="Z364" s="2620"/>
      <c r="AA364" s="2621"/>
      <c r="AL364" s="2618"/>
    </row>
    <row r="365" spans="19:38">
      <c r="S365" s="2618"/>
      <c r="Y365" s="2620"/>
      <c r="Z365" s="2620"/>
      <c r="AA365" s="2621"/>
      <c r="AL365" s="2618"/>
    </row>
    <row r="366" spans="19:38">
      <c r="S366" s="2618"/>
      <c r="Y366" s="2620"/>
      <c r="Z366" s="2620"/>
      <c r="AA366" s="2621"/>
      <c r="AL366" s="2618"/>
    </row>
    <row r="367" spans="19:38">
      <c r="S367" s="2618"/>
      <c r="Y367" s="2620"/>
      <c r="Z367" s="2620"/>
      <c r="AA367" s="2621"/>
      <c r="AL367" s="2618"/>
    </row>
    <row r="368" spans="19:38">
      <c r="S368" s="2618"/>
      <c r="Y368" s="2620"/>
      <c r="Z368" s="2620"/>
      <c r="AA368" s="2621"/>
      <c r="AL368" s="2618"/>
    </row>
    <row r="369" spans="19:38">
      <c r="S369" s="2618"/>
      <c r="Y369" s="2620"/>
      <c r="Z369" s="2620"/>
      <c r="AA369" s="2621"/>
      <c r="AL369" s="2618"/>
    </row>
    <row r="370" spans="19:38">
      <c r="S370" s="2618"/>
      <c r="Y370" s="2620"/>
      <c r="Z370" s="2620"/>
      <c r="AA370" s="2621"/>
      <c r="AL370" s="2618"/>
    </row>
    <row r="371" spans="19:38">
      <c r="S371" s="2618"/>
      <c r="Y371" s="2620"/>
      <c r="Z371" s="2620"/>
      <c r="AA371" s="2621"/>
      <c r="AL371" s="2618"/>
    </row>
    <row r="372" spans="19:38">
      <c r="S372" s="2618"/>
      <c r="Y372" s="2620"/>
      <c r="Z372" s="2620"/>
      <c r="AA372" s="2621"/>
      <c r="AL372" s="2618"/>
    </row>
    <row r="373" spans="19:38">
      <c r="S373" s="2618"/>
      <c r="Y373" s="2620"/>
      <c r="Z373" s="2620"/>
      <c r="AA373" s="2621"/>
      <c r="AL373" s="2618"/>
    </row>
    <row r="374" spans="19:38">
      <c r="S374" s="2618"/>
      <c r="Y374" s="2620"/>
      <c r="Z374" s="2620"/>
      <c r="AA374" s="2621"/>
      <c r="AL374" s="2618"/>
    </row>
    <row r="375" spans="19:38">
      <c r="S375" s="2618"/>
      <c r="Y375" s="2620"/>
      <c r="Z375" s="2620"/>
      <c r="AA375" s="2621"/>
      <c r="AL375" s="2618"/>
    </row>
    <row r="376" spans="19:38">
      <c r="S376" s="2618"/>
      <c r="Y376" s="2620"/>
      <c r="Z376" s="2620"/>
      <c r="AA376" s="2621"/>
      <c r="AL376" s="2618"/>
    </row>
    <row r="377" spans="19:38">
      <c r="S377" s="2618"/>
      <c r="Y377" s="2620"/>
      <c r="Z377" s="2620"/>
      <c r="AA377" s="2621"/>
      <c r="AL377" s="2618"/>
    </row>
    <row r="378" spans="19:38">
      <c r="S378" s="2618"/>
      <c r="Y378" s="2620"/>
      <c r="Z378" s="2620"/>
      <c r="AA378" s="2621"/>
      <c r="AL378" s="2618"/>
    </row>
    <row r="379" spans="19:38">
      <c r="S379" s="2618"/>
      <c r="Y379" s="2620"/>
      <c r="Z379" s="2620"/>
      <c r="AA379" s="2621"/>
      <c r="AL379" s="2618"/>
    </row>
    <row r="380" spans="19:38">
      <c r="S380" s="2618"/>
      <c r="Y380" s="2620"/>
      <c r="Z380" s="2620"/>
      <c r="AA380" s="2621"/>
      <c r="AL380" s="2618"/>
    </row>
    <row r="381" spans="19:38">
      <c r="S381" s="2618"/>
      <c r="Y381" s="2620"/>
      <c r="Z381" s="2620"/>
      <c r="AA381" s="2621"/>
      <c r="AL381" s="2618"/>
    </row>
    <row r="382" spans="19:38">
      <c r="S382" s="2618"/>
      <c r="Y382" s="2620"/>
      <c r="Z382" s="2620"/>
      <c r="AA382" s="2621"/>
      <c r="AL382" s="2618"/>
    </row>
    <row r="383" spans="19:38">
      <c r="S383" s="2618"/>
      <c r="Y383" s="2620"/>
      <c r="Z383" s="2620"/>
      <c r="AA383" s="2621"/>
      <c r="AL383" s="2618"/>
    </row>
    <row r="384" spans="19:38">
      <c r="S384" s="2618"/>
      <c r="Y384" s="2620"/>
      <c r="Z384" s="2620"/>
      <c r="AA384" s="2621"/>
      <c r="AL384" s="2618"/>
    </row>
    <row r="385" spans="19:38">
      <c r="S385" s="2618"/>
      <c r="Y385" s="2620"/>
      <c r="Z385" s="2620"/>
      <c r="AA385" s="2621"/>
      <c r="AL385" s="2618"/>
    </row>
    <row r="386" spans="19:38">
      <c r="S386" s="2618"/>
      <c r="Y386" s="2620"/>
      <c r="Z386" s="2620"/>
      <c r="AA386" s="2621"/>
      <c r="AL386" s="2618"/>
    </row>
    <row r="387" spans="19:38">
      <c r="S387" s="2618"/>
      <c r="Y387" s="2620"/>
      <c r="Z387" s="2620"/>
      <c r="AA387" s="2621"/>
      <c r="AL387" s="2618"/>
    </row>
    <row r="388" spans="19:38">
      <c r="S388" s="2618"/>
      <c r="Y388" s="2620"/>
      <c r="Z388" s="2620"/>
      <c r="AA388" s="2621"/>
      <c r="AL388" s="2618"/>
    </row>
    <row r="389" spans="19:38">
      <c r="S389" s="2618"/>
      <c r="Y389" s="2620"/>
      <c r="Z389" s="2620"/>
      <c r="AA389" s="2621"/>
      <c r="AL389" s="2618"/>
    </row>
    <row r="390" spans="19:38">
      <c r="S390" s="2618"/>
      <c r="Y390" s="2620"/>
      <c r="Z390" s="2620"/>
      <c r="AA390" s="2621"/>
      <c r="AL390" s="2618"/>
    </row>
    <row r="391" spans="19:38">
      <c r="S391" s="2618"/>
      <c r="Y391" s="2620"/>
      <c r="Z391" s="2620"/>
      <c r="AA391" s="2621"/>
      <c r="AL391" s="2618"/>
    </row>
    <row r="392" spans="19:38">
      <c r="S392" s="2618"/>
      <c r="Y392" s="2620"/>
      <c r="Z392" s="2620"/>
      <c r="AA392" s="2621"/>
      <c r="AL392" s="2618"/>
    </row>
    <row r="393" spans="19:38">
      <c r="S393" s="2618"/>
      <c r="Y393" s="2620"/>
      <c r="Z393" s="2620"/>
      <c r="AA393" s="2621"/>
      <c r="AL393" s="2618"/>
    </row>
    <row r="394" spans="19:38">
      <c r="S394" s="2618"/>
      <c r="Y394" s="2620"/>
      <c r="Z394" s="2620"/>
      <c r="AA394" s="2621"/>
      <c r="AL394" s="2618"/>
    </row>
    <row r="395" spans="19:38">
      <c r="S395" s="2618"/>
      <c r="Y395" s="2620"/>
      <c r="Z395" s="2620"/>
      <c r="AA395" s="2621"/>
      <c r="AL395" s="2618"/>
    </row>
    <row r="396" spans="19:38">
      <c r="S396" s="2618"/>
      <c r="Y396" s="2620"/>
      <c r="Z396" s="2620"/>
      <c r="AA396" s="2621"/>
      <c r="AL396" s="2618"/>
    </row>
    <row r="397" spans="19:38">
      <c r="S397" s="2618"/>
      <c r="Y397" s="2620"/>
      <c r="Z397" s="2620"/>
      <c r="AA397" s="2621"/>
      <c r="AL397" s="2618"/>
    </row>
    <row r="398" spans="19:38">
      <c r="S398" s="2618"/>
      <c r="Y398" s="2620"/>
      <c r="Z398" s="2620"/>
      <c r="AA398" s="2621"/>
      <c r="AL398" s="2618"/>
    </row>
    <row r="399" spans="19:38">
      <c r="S399" s="2618"/>
      <c r="Y399" s="2620"/>
      <c r="Z399" s="2620"/>
      <c r="AA399" s="2621"/>
      <c r="AL399" s="2618"/>
    </row>
    <row r="400" spans="19:38">
      <c r="S400" s="2618"/>
      <c r="Y400" s="2620"/>
      <c r="Z400" s="2620"/>
      <c r="AA400" s="2621"/>
      <c r="AL400" s="2618"/>
    </row>
    <row r="401" spans="19:38">
      <c r="S401" s="2618"/>
      <c r="Y401" s="2620"/>
      <c r="Z401" s="2620"/>
      <c r="AA401" s="2621"/>
      <c r="AL401" s="2618"/>
    </row>
    <row r="402" spans="19:38">
      <c r="S402" s="2618"/>
      <c r="Y402" s="2620"/>
      <c r="Z402" s="2620"/>
      <c r="AA402" s="2621"/>
      <c r="AL402" s="2618"/>
    </row>
    <row r="403" spans="19:38">
      <c r="S403" s="2618"/>
      <c r="Y403" s="2620"/>
      <c r="Z403" s="2620"/>
      <c r="AA403" s="2621"/>
      <c r="AL403" s="2618"/>
    </row>
    <row r="404" spans="19:38">
      <c r="S404" s="2618"/>
      <c r="Y404" s="2620"/>
      <c r="Z404" s="2620"/>
      <c r="AA404" s="2621"/>
      <c r="AL404" s="2618"/>
    </row>
    <row r="405" spans="19:38">
      <c r="S405" s="2618"/>
      <c r="Y405" s="2620"/>
      <c r="Z405" s="2620"/>
      <c r="AA405" s="2621"/>
      <c r="AL405" s="2618"/>
    </row>
    <row r="406" spans="19:38">
      <c r="S406" s="2618"/>
      <c r="Y406" s="2620"/>
      <c r="Z406" s="2620"/>
      <c r="AA406" s="2621"/>
      <c r="AL406" s="2618"/>
    </row>
    <row r="407" spans="19:38">
      <c r="S407" s="2618"/>
      <c r="Y407" s="2620"/>
      <c r="Z407" s="2620"/>
      <c r="AA407" s="2621"/>
      <c r="AL407" s="2618"/>
    </row>
    <row r="408" spans="19:38">
      <c r="S408" s="2618"/>
      <c r="Y408" s="2620"/>
      <c r="Z408" s="2620"/>
      <c r="AA408" s="2621"/>
      <c r="AL408" s="2618"/>
    </row>
    <row r="409" spans="19:38">
      <c r="S409" s="2618"/>
      <c r="Y409" s="2620"/>
      <c r="Z409" s="2620"/>
      <c r="AA409" s="2621"/>
      <c r="AL409" s="2618"/>
    </row>
    <row r="410" spans="19:38">
      <c r="S410" s="2618"/>
      <c r="Y410" s="2620"/>
      <c r="Z410" s="2620"/>
      <c r="AA410" s="2621"/>
      <c r="AL410" s="2618"/>
    </row>
    <row r="411" spans="19:38">
      <c r="S411" s="2618"/>
      <c r="Y411" s="2620"/>
      <c r="Z411" s="2620"/>
      <c r="AA411" s="2621"/>
      <c r="AL411" s="2618"/>
    </row>
    <row r="412" spans="19:38">
      <c r="S412" s="2618"/>
      <c r="Y412" s="2620"/>
      <c r="Z412" s="2620"/>
      <c r="AA412" s="2621"/>
      <c r="AL412" s="2618"/>
    </row>
    <row r="413" spans="19:38">
      <c r="S413" s="2618"/>
      <c r="Y413" s="2620"/>
      <c r="Z413" s="2620"/>
      <c r="AA413" s="2621"/>
      <c r="AL413" s="2618"/>
    </row>
    <row r="414" spans="19:38">
      <c r="S414" s="2618"/>
      <c r="Y414" s="2620"/>
      <c r="Z414" s="2620"/>
      <c r="AA414" s="2621"/>
      <c r="AL414" s="2618"/>
    </row>
    <row r="415" spans="19:38">
      <c r="S415" s="2618"/>
      <c r="Y415" s="2620"/>
      <c r="Z415" s="2620"/>
      <c r="AA415" s="2621"/>
      <c r="AL415" s="2618"/>
    </row>
    <row r="416" spans="19:38">
      <c r="S416" s="2618"/>
      <c r="Y416" s="2620"/>
      <c r="Z416" s="2620"/>
      <c r="AA416" s="2621"/>
      <c r="AL416" s="2618"/>
    </row>
    <row r="417" spans="19:38">
      <c r="S417" s="2618"/>
      <c r="Y417" s="2620"/>
      <c r="Z417" s="2620"/>
      <c r="AA417" s="2621"/>
      <c r="AL417" s="2618"/>
    </row>
    <row r="418" spans="19:38">
      <c r="S418" s="2618"/>
      <c r="Y418" s="2620"/>
      <c r="Z418" s="2620"/>
      <c r="AA418" s="2621"/>
      <c r="AL418" s="2618"/>
    </row>
    <row r="419" spans="19:38">
      <c r="S419" s="2618"/>
      <c r="Y419" s="2620"/>
      <c r="Z419" s="2620"/>
      <c r="AA419" s="2621"/>
      <c r="AL419" s="2618"/>
    </row>
    <row r="420" spans="19:38">
      <c r="S420" s="2618"/>
      <c r="Y420" s="2620"/>
      <c r="Z420" s="2620"/>
      <c r="AA420" s="2621"/>
      <c r="AL420" s="2618"/>
    </row>
    <row r="421" spans="19:38">
      <c r="S421" s="2618"/>
      <c r="Y421" s="2620"/>
      <c r="Z421" s="2620"/>
      <c r="AA421" s="2621"/>
      <c r="AL421" s="2618"/>
    </row>
    <row r="422" spans="19:38">
      <c r="S422" s="2618"/>
      <c r="Y422" s="2620"/>
      <c r="Z422" s="2620"/>
      <c r="AA422" s="2621"/>
      <c r="AL422" s="2618"/>
    </row>
    <row r="423" spans="19:38">
      <c r="S423" s="2618"/>
      <c r="Y423" s="2620"/>
      <c r="Z423" s="2620"/>
      <c r="AA423" s="2621"/>
      <c r="AL423" s="2618"/>
    </row>
    <row r="424" spans="19:38">
      <c r="S424" s="2618"/>
      <c r="Y424" s="2620"/>
      <c r="Z424" s="2620"/>
      <c r="AA424" s="2621"/>
      <c r="AL424" s="2618"/>
    </row>
    <row r="425" spans="19:38">
      <c r="S425" s="2618"/>
      <c r="Y425" s="2620"/>
      <c r="Z425" s="2620"/>
      <c r="AA425" s="2621"/>
      <c r="AL425" s="2618"/>
    </row>
    <row r="426" spans="19:38">
      <c r="S426" s="2618"/>
      <c r="Y426" s="2620"/>
      <c r="Z426" s="2620"/>
      <c r="AA426" s="2621"/>
      <c r="AL426" s="2618"/>
    </row>
    <row r="427" spans="19:38">
      <c r="S427" s="2618"/>
      <c r="Y427" s="2620"/>
      <c r="Z427" s="2620"/>
      <c r="AA427" s="2621"/>
      <c r="AL427" s="2618"/>
    </row>
    <row r="428" spans="19:38">
      <c r="S428" s="2618"/>
      <c r="Y428" s="2620"/>
      <c r="Z428" s="2620"/>
      <c r="AA428" s="2621"/>
      <c r="AL428" s="2618"/>
    </row>
    <row r="429" spans="19:38">
      <c r="S429" s="2618"/>
      <c r="Y429" s="2620"/>
      <c r="Z429" s="2620"/>
      <c r="AA429" s="2621"/>
      <c r="AL429" s="2618"/>
    </row>
    <row r="430" spans="19:38">
      <c r="S430" s="2618"/>
      <c r="Y430" s="2620"/>
      <c r="Z430" s="2620"/>
      <c r="AA430" s="2621"/>
      <c r="AL430" s="2618"/>
    </row>
    <row r="431" spans="19:38">
      <c r="S431" s="2618"/>
      <c r="Y431" s="2620"/>
      <c r="Z431" s="2620"/>
      <c r="AA431" s="2621"/>
      <c r="AL431" s="2618"/>
    </row>
    <row r="432" spans="19:38">
      <c r="S432" s="2618"/>
      <c r="Y432" s="2620"/>
      <c r="Z432" s="2620"/>
      <c r="AA432" s="2621"/>
      <c r="AL432" s="2618"/>
    </row>
    <row r="433" spans="19:38">
      <c r="S433" s="2618"/>
      <c r="Y433" s="2620"/>
      <c r="Z433" s="2620"/>
      <c r="AA433" s="2621"/>
      <c r="AL433" s="2618"/>
    </row>
    <row r="434" spans="19:38">
      <c r="S434" s="2618"/>
      <c r="Y434" s="2620"/>
      <c r="Z434" s="2620"/>
      <c r="AA434" s="2621"/>
      <c r="AL434" s="2618"/>
    </row>
    <row r="435" spans="19:38">
      <c r="S435" s="2618"/>
      <c r="Y435" s="2620"/>
      <c r="Z435" s="2620"/>
      <c r="AA435" s="2621"/>
      <c r="AL435" s="2618"/>
    </row>
    <row r="436" spans="19:38">
      <c r="S436" s="2618"/>
      <c r="Y436" s="2620"/>
      <c r="Z436" s="2620"/>
      <c r="AA436" s="2621"/>
      <c r="AL436" s="2618"/>
    </row>
    <row r="437" spans="19:38">
      <c r="S437" s="2618"/>
      <c r="Y437" s="2620"/>
      <c r="Z437" s="2620"/>
      <c r="AA437" s="2621"/>
      <c r="AL437" s="2618"/>
    </row>
    <row r="438" spans="19:38">
      <c r="S438" s="2618"/>
      <c r="Y438" s="2620"/>
      <c r="Z438" s="2620"/>
      <c r="AA438" s="2621"/>
      <c r="AL438" s="2618"/>
    </row>
    <row r="439" spans="19:38">
      <c r="S439" s="2618"/>
      <c r="Y439" s="2620"/>
      <c r="Z439" s="2620"/>
      <c r="AA439" s="2621"/>
      <c r="AL439" s="2618"/>
    </row>
    <row r="440" spans="19:38">
      <c r="S440" s="2618"/>
      <c r="Y440" s="2620"/>
      <c r="Z440" s="2620"/>
      <c r="AA440" s="2621"/>
      <c r="AL440" s="2618"/>
    </row>
    <row r="441" spans="19:38">
      <c r="S441" s="2618"/>
      <c r="Y441" s="2620"/>
      <c r="Z441" s="2620"/>
      <c r="AA441" s="2621"/>
      <c r="AL441" s="2618"/>
    </row>
    <row r="442" spans="19:38">
      <c r="S442" s="2618"/>
      <c r="Y442" s="2620"/>
      <c r="Z442" s="2620"/>
      <c r="AA442" s="2621"/>
      <c r="AL442" s="2618"/>
    </row>
    <row r="443" spans="19:38">
      <c r="S443" s="2618"/>
      <c r="Y443" s="2620"/>
      <c r="Z443" s="2620"/>
      <c r="AA443" s="2621"/>
      <c r="AL443" s="2618"/>
    </row>
    <row r="444" spans="19:38">
      <c r="S444" s="2618"/>
      <c r="Y444" s="2620"/>
      <c r="Z444" s="2620"/>
      <c r="AA444" s="2621"/>
      <c r="AL444" s="2618"/>
    </row>
    <row r="445" spans="19:38">
      <c r="S445" s="2618"/>
      <c r="Y445" s="2620"/>
      <c r="Z445" s="2620"/>
      <c r="AA445" s="2621"/>
      <c r="AL445" s="2618"/>
    </row>
    <row r="446" spans="19:38">
      <c r="S446" s="2618"/>
      <c r="Y446" s="2620"/>
      <c r="Z446" s="2620"/>
      <c r="AA446" s="2621"/>
      <c r="AL446" s="2618"/>
    </row>
    <row r="447" spans="19:38">
      <c r="S447" s="2618"/>
      <c r="Y447" s="2620"/>
      <c r="Z447" s="2620"/>
      <c r="AA447" s="2621"/>
      <c r="AL447" s="2618"/>
    </row>
    <row r="448" spans="19:38">
      <c r="S448" s="2618"/>
      <c r="Y448" s="2620"/>
      <c r="Z448" s="2620"/>
      <c r="AA448" s="2621"/>
      <c r="AL448" s="2618"/>
    </row>
    <row r="449" spans="19:38">
      <c r="S449" s="2618"/>
      <c r="Y449" s="2620"/>
      <c r="Z449" s="2620"/>
      <c r="AA449" s="2621"/>
      <c r="AL449" s="2618"/>
    </row>
    <row r="450" spans="19:38">
      <c r="S450" s="2618"/>
      <c r="Y450" s="2620"/>
      <c r="Z450" s="2620"/>
      <c r="AA450" s="2621"/>
      <c r="AL450" s="2618"/>
    </row>
    <row r="451" spans="19:38">
      <c r="S451" s="2618"/>
      <c r="Y451" s="2620"/>
      <c r="Z451" s="2620"/>
      <c r="AA451" s="2621"/>
      <c r="AL451" s="2618"/>
    </row>
    <row r="452" spans="19:38">
      <c r="S452" s="2618"/>
      <c r="Y452" s="2620"/>
      <c r="Z452" s="2620"/>
      <c r="AA452" s="2621"/>
      <c r="AL452" s="2618"/>
    </row>
    <row r="453" spans="19:38">
      <c r="S453" s="2618"/>
      <c r="Y453" s="2620"/>
      <c r="Z453" s="2620"/>
      <c r="AA453" s="2621"/>
      <c r="AL453" s="2618"/>
    </row>
    <row r="454" spans="19:38">
      <c r="S454" s="2618"/>
      <c r="Y454" s="2620"/>
      <c r="Z454" s="2620"/>
      <c r="AA454" s="2621"/>
      <c r="AL454" s="2618"/>
    </row>
    <row r="455" spans="19:38">
      <c r="S455" s="2618"/>
      <c r="Y455" s="2620"/>
      <c r="Z455" s="2620"/>
      <c r="AA455" s="2621"/>
      <c r="AL455" s="2618"/>
    </row>
    <row r="456" spans="19:38">
      <c r="S456" s="2618"/>
      <c r="Y456" s="2620"/>
      <c r="Z456" s="2620"/>
      <c r="AA456" s="2621"/>
      <c r="AL456" s="2618"/>
    </row>
    <row r="457" spans="19:38">
      <c r="S457" s="2618"/>
      <c r="Y457" s="2620"/>
      <c r="Z457" s="2620"/>
      <c r="AA457" s="2621"/>
      <c r="AL457" s="2618"/>
    </row>
    <row r="458" spans="19:38">
      <c r="S458" s="2618"/>
      <c r="Y458" s="2620"/>
      <c r="Z458" s="2620"/>
      <c r="AA458" s="2621"/>
      <c r="AL458" s="2618"/>
    </row>
    <row r="459" spans="19:38">
      <c r="S459" s="2618"/>
      <c r="Y459" s="2620"/>
      <c r="Z459" s="2620"/>
      <c r="AA459" s="2621"/>
      <c r="AL459" s="2618"/>
    </row>
    <row r="460" spans="19:38">
      <c r="S460" s="2618"/>
      <c r="Y460" s="2620"/>
      <c r="Z460" s="2620"/>
      <c r="AA460" s="2621"/>
      <c r="AL460" s="2618"/>
    </row>
    <row r="461" spans="19:38">
      <c r="S461" s="2618"/>
      <c r="Y461" s="2620"/>
      <c r="Z461" s="2620"/>
      <c r="AA461" s="2621"/>
      <c r="AL461" s="2618"/>
    </row>
    <row r="462" spans="19:38">
      <c r="S462" s="2618"/>
      <c r="Y462" s="2620"/>
      <c r="Z462" s="2620"/>
      <c r="AA462" s="2621"/>
      <c r="AL462" s="2618"/>
    </row>
    <row r="463" spans="19:38">
      <c r="S463" s="2618"/>
      <c r="Y463" s="2620"/>
      <c r="Z463" s="2620"/>
      <c r="AA463" s="2621"/>
      <c r="AL463" s="2618"/>
    </row>
    <row r="464" spans="19:38">
      <c r="S464" s="2618"/>
      <c r="Y464" s="2620"/>
      <c r="Z464" s="2620"/>
      <c r="AA464" s="2621"/>
      <c r="AL464" s="2618"/>
    </row>
    <row r="465" spans="19:38">
      <c r="S465" s="2618"/>
      <c r="Y465" s="2620"/>
      <c r="Z465" s="2620"/>
      <c r="AA465" s="2621"/>
      <c r="AL465" s="2618"/>
    </row>
    <row r="466" spans="19:38">
      <c r="S466" s="2618"/>
      <c r="Y466" s="2620"/>
      <c r="Z466" s="2620"/>
      <c r="AA466" s="2621"/>
      <c r="AL466" s="2618"/>
    </row>
    <row r="467" spans="19:38">
      <c r="S467" s="2618"/>
      <c r="Y467" s="2620"/>
      <c r="Z467" s="2620"/>
      <c r="AA467" s="2621"/>
      <c r="AL467" s="2618"/>
    </row>
    <row r="468" spans="19:38">
      <c r="S468" s="2618"/>
      <c r="Y468" s="2620"/>
      <c r="Z468" s="2620"/>
      <c r="AA468" s="2621"/>
      <c r="AL468" s="2618"/>
    </row>
    <row r="469" spans="19:38">
      <c r="S469" s="2618"/>
      <c r="Y469" s="2620"/>
      <c r="Z469" s="2620"/>
      <c r="AA469" s="2621"/>
      <c r="AL469" s="2618"/>
    </row>
    <row r="470" spans="19:38">
      <c r="S470" s="2618"/>
      <c r="Y470" s="2620"/>
      <c r="Z470" s="2620"/>
      <c r="AA470" s="2621"/>
      <c r="AL470" s="2618"/>
    </row>
    <row r="471" spans="19:38">
      <c r="S471" s="2618"/>
      <c r="Y471" s="2620"/>
      <c r="Z471" s="2620"/>
      <c r="AA471" s="2621"/>
      <c r="AL471" s="2618"/>
    </row>
    <row r="472" spans="19:38">
      <c r="S472" s="2618"/>
      <c r="Y472" s="2620"/>
      <c r="Z472" s="2620"/>
      <c r="AA472" s="2621"/>
      <c r="AL472" s="2618"/>
    </row>
    <row r="473" spans="19:38">
      <c r="S473" s="2618"/>
      <c r="Y473" s="2620"/>
      <c r="Z473" s="2620"/>
      <c r="AA473" s="2621"/>
      <c r="AL473" s="2618"/>
    </row>
    <row r="474" spans="19:38">
      <c r="S474" s="2618"/>
      <c r="Y474" s="2620"/>
      <c r="Z474" s="2620"/>
      <c r="AA474" s="2621"/>
      <c r="AL474" s="2618"/>
    </row>
    <row r="475" spans="19:38">
      <c r="S475" s="2618"/>
      <c r="Y475" s="2620"/>
      <c r="Z475" s="2620"/>
      <c r="AA475" s="2621"/>
      <c r="AL475" s="2618"/>
    </row>
    <row r="476" spans="19:38">
      <c r="S476" s="2618"/>
      <c r="Y476" s="2620"/>
      <c r="Z476" s="2620"/>
      <c r="AA476" s="2621"/>
      <c r="AL476" s="2618"/>
    </row>
    <row r="477" spans="19:38">
      <c r="S477" s="2618"/>
      <c r="Y477" s="2620"/>
      <c r="Z477" s="2620"/>
      <c r="AA477" s="2621"/>
      <c r="AL477" s="2618"/>
    </row>
    <row r="478" spans="19:38">
      <c r="S478" s="2618"/>
      <c r="Y478" s="2620"/>
      <c r="Z478" s="2620"/>
      <c r="AA478" s="2621"/>
      <c r="AL478" s="2618"/>
    </row>
    <row r="479" spans="19:38">
      <c r="S479" s="2618"/>
      <c r="Y479" s="2620"/>
      <c r="Z479" s="2620"/>
      <c r="AA479" s="2621"/>
      <c r="AL479" s="2618"/>
    </row>
    <row r="480" spans="19:38">
      <c r="S480" s="2618"/>
      <c r="Y480" s="2620"/>
      <c r="Z480" s="2620"/>
      <c r="AA480" s="2621"/>
      <c r="AL480" s="2618"/>
    </row>
    <row r="481" spans="19:38">
      <c r="S481" s="2618"/>
      <c r="Y481" s="2620"/>
      <c r="Z481" s="2620"/>
      <c r="AA481" s="2621"/>
      <c r="AL481" s="2618"/>
    </row>
    <row r="482" spans="19:38">
      <c r="S482" s="2618"/>
      <c r="Y482" s="2620"/>
      <c r="Z482" s="2620"/>
      <c r="AA482" s="2621"/>
      <c r="AL482" s="2618"/>
    </row>
    <row r="483" spans="19:38">
      <c r="S483" s="2618"/>
      <c r="Y483" s="2620"/>
      <c r="Z483" s="2620"/>
      <c r="AA483" s="2621"/>
      <c r="AL483" s="2618"/>
    </row>
    <row r="484" spans="19:38">
      <c r="S484" s="2618"/>
      <c r="Y484" s="2620"/>
      <c r="Z484" s="2620"/>
      <c r="AA484" s="2621"/>
      <c r="AL484" s="2618"/>
    </row>
    <row r="485" spans="19:38">
      <c r="S485" s="2618"/>
      <c r="Y485" s="2620"/>
      <c r="Z485" s="2620"/>
      <c r="AA485" s="2621"/>
      <c r="AL485" s="2618"/>
    </row>
    <row r="486" spans="19:38">
      <c r="S486" s="2618"/>
      <c r="Y486" s="2620"/>
      <c r="Z486" s="2620"/>
      <c r="AA486" s="2621"/>
      <c r="AL486" s="2618"/>
    </row>
    <row r="487" spans="19:38">
      <c r="S487" s="2618"/>
      <c r="Y487" s="2620"/>
      <c r="Z487" s="2620"/>
      <c r="AA487" s="2621"/>
      <c r="AL487" s="2618"/>
    </row>
    <row r="488" spans="19:38">
      <c r="S488" s="2618"/>
      <c r="Y488" s="2620"/>
      <c r="Z488" s="2620"/>
      <c r="AA488" s="2621"/>
      <c r="AL488" s="2618"/>
    </row>
    <row r="489" spans="19:38">
      <c r="S489" s="2618"/>
      <c r="Y489" s="2620"/>
      <c r="Z489" s="2620"/>
      <c r="AA489" s="2621"/>
      <c r="AL489" s="2618"/>
    </row>
    <row r="490" spans="19:38">
      <c r="S490" s="2618"/>
      <c r="Y490" s="2620"/>
      <c r="Z490" s="2620"/>
      <c r="AA490" s="2621"/>
      <c r="AL490" s="2618"/>
    </row>
    <row r="491" spans="19:38">
      <c r="S491" s="2618"/>
      <c r="Y491" s="2620"/>
      <c r="Z491" s="2620"/>
      <c r="AA491" s="2621"/>
      <c r="AL491" s="2618"/>
    </row>
    <row r="492" spans="19:38">
      <c r="S492" s="2618"/>
      <c r="Y492" s="2620"/>
      <c r="Z492" s="2620"/>
      <c r="AA492" s="2621"/>
      <c r="AL492" s="2618"/>
    </row>
    <row r="493" spans="19:38">
      <c r="S493" s="2618"/>
      <c r="Y493" s="2620"/>
      <c r="Z493" s="2620"/>
      <c r="AA493" s="2621"/>
      <c r="AL493" s="2618"/>
    </row>
    <row r="494" spans="19:38">
      <c r="S494" s="2618"/>
      <c r="Y494" s="2620"/>
      <c r="Z494" s="2620"/>
      <c r="AA494" s="2621"/>
      <c r="AL494" s="2618"/>
    </row>
    <row r="495" spans="19:38">
      <c r="S495" s="2618"/>
      <c r="Y495" s="2620"/>
      <c r="Z495" s="2620"/>
      <c r="AA495" s="2621"/>
      <c r="AL495" s="2618"/>
    </row>
    <row r="496" spans="19:38">
      <c r="S496" s="2618"/>
      <c r="Y496" s="2620"/>
      <c r="Z496" s="2620"/>
      <c r="AA496" s="2621"/>
      <c r="AL496" s="2618"/>
    </row>
    <row r="497" spans="19:38">
      <c r="S497" s="2618"/>
      <c r="Y497" s="2620"/>
      <c r="Z497" s="2620"/>
      <c r="AA497" s="2621"/>
      <c r="AL497" s="2618"/>
    </row>
    <row r="498" spans="19:38">
      <c r="S498" s="2618"/>
      <c r="Y498" s="2620"/>
      <c r="Z498" s="2620"/>
      <c r="AA498" s="2621"/>
      <c r="AL498" s="2618"/>
    </row>
    <row r="499" spans="19:38">
      <c r="S499" s="2618"/>
      <c r="Y499" s="2620"/>
      <c r="Z499" s="2620"/>
      <c r="AA499" s="2621"/>
      <c r="AL499" s="2618"/>
    </row>
    <row r="500" spans="19:38">
      <c r="S500" s="2618"/>
      <c r="Y500" s="2620"/>
      <c r="Z500" s="2620"/>
      <c r="AA500" s="2621"/>
      <c r="AL500" s="2618"/>
    </row>
    <row r="501" spans="19:38">
      <c r="S501" s="2618"/>
      <c r="Y501" s="2620"/>
      <c r="Z501" s="2620"/>
      <c r="AA501" s="2621"/>
      <c r="AL501" s="2618"/>
    </row>
    <row r="502" spans="19:38">
      <c r="S502" s="2618"/>
      <c r="Y502" s="2620"/>
      <c r="Z502" s="2620"/>
      <c r="AA502" s="2621"/>
      <c r="AL502" s="2618"/>
    </row>
    <row r="503" spans="19:38">
      <c r="S503" s="2618"/>
      <c r="Y503" s="2620"/>
      <c r="Z503" s="2620"/>
      <c r="AA503" s="2621"/>
      <c r="AL503" s="2618"/>
    </row>
    <row r="504" spans="19:38">
      <c r="S504" s="2618"/>
      <c r="Y504" s="2620"/>
      <c r="Z504" s="2620"/>
      <c r="AA504" s="2621"/>
      <c r="AL504" s="2618"/>
    </row>
    <row r="505" spans="19:38">
      <c r="S505" s="2618"/>
      <c r="Y505" s="2620"/>
      <c r="Z505" s="2620"/>
      <c r="AA505" s="2621"/>
      <c r="AL505" s="2618"/>
    </row>
    <row r="506" spans="19:38">
      <c r="S506" s="2618"/>
      <c r="Y506" s="2620"/>
      <c r="Z506" s="2620"/>
      <c r="AA506" s="2621"/>
      <c r="AL506" s="2618"/>
    </row>
    <row r="507" spans="19:38">
      <c r="S507" s="2618"/>
      <c r="Y507" s="2620"/>
      <c r="Z507" s="2620"/>
      <c r="AA507" s="2621"/>
      <c r="AL507" s="2618"/>
    </row>
    <row r="508" spans="19:38">
      <c r="S508" s="2618"/>
      <c r="Y508" s="2620"/>
      <c r="Z508" s="2620"/>
      <c r="AA508" s="2621"/>
      <c r="AL508" s="2618"/>
    </row>
    <row r="509" spans="19:38">
      <c r="S509" s="2618"/>
      <c r="Y509" s="2620"/>
      <c r="Z509" s="2620"/>
      <c r="AA509" s="2621"/>
      <c r="AL509" s="2618"/>
    </row>
    <row r="510" spans="19:38">
      <c r="S510" s="2618"/>
      <c r="Y510" s="2620"/>
      <c r="Z510" s="2620"/>
      <c r="AA510" s="2621"/>
      <c r="AL510" s="2618"/>
    </row>
    <row r="511" spans="19:38">
      <c r="S511" s="2618"/>
      <c r="Y511" s="2620"/>
      <c r="Z511" s="2620"/>
      <c r="AA511" s="2621"/>
      <c r="AL511" s="2618"/>
    </row>
    <row r="512" spans="19:38">
      <c r="S512" s="2618"/>
      <c r="Y512" s="2620"/>
      <c r="Z512" s="2620"/>
      <c r="AA512" s="2621"/>
      <c r="AL512" s="2618"/>
    </row>
    <row r="513" spans="19:38">
      <c r="S513" s="2618"/>
      <c r="Y513" s="2620"/>
      <c r="Z513" s="2620"/>
      <c r="AA513" s="2621"/>
      <c r="AL513" s="2618"/>
    </row>
    <row r="514" spans="19:38">
      <c r="S514" s="2618"/>
      <c r="Y514" s="2620"/>
      <c r="Z514" s="2620"/>
      <c r="AA514" s="2621"/>
      <c r="AL514" s="2618"/>
    </row>
    <row r="515" spans="19:38">
      <c r="S515" s="2618"/>
      <c r="Y515" s="2620"/>
      <c r="Z515" s="2620"/>
      <c r="AA515" s="2621"/>
      <c r="AL515" s="2618"/>
    </row>
    <row r="516" spans="19:38">
      <c r="S516" s="2618"/>
      <c r="Y516" s="2620"/>
      <c r="Z516" s="2620"/>
      <c r="AA516" s="2621"/>
      <c r="AL516" s="2618"/>
    </row>
    <row r="517" spans="19:38">
      <c r="S517" s="2618"/>
      <c r="Y517" s="2620"/>
      <c r="Z517" s="2620"/>
      <c r="AA517" s="2621"/>
      <c r="AL517" s="2618"/>
    </row>
    <row r="518" spans="19:38">
      <c r="S518" s="2618"/>
      <c r="Y518" s="2620"/>
      <c r="Z518" s="2620"/>
      <c r="AA518" s="2621"/>
      <c r="AL518" s="2618"/>
    </row>
    <row r="519" spans="19:38">
      <c r="S519" s="2618"/>
      <c r="Y519" s="2620"/>
      <c r="Z519" s="2620"/>
      <c r="AA519" s="2621"/>
      <c r="AL519" s="2618"/>
    </row>
    <row r="520" spans="19:38">
      <c r="S520" s="2618"/>
      <c r="Y520" s="2620"/>
      <c r="Z520" s="2620"/>
      <c r="AA520" s="2621"/>
      <c r="AL520" s="2618"/>
    </row>
    <row r="521" spans="19:38">
      <c r="S521" s="2618"/>
      <c r="Y521" s="2620"/>
      <c r="Z521" s="2620"/>
      <c r="AA521" s="2621"/>
      <c r="AL521" s="2618"/>
    </row>
    <row r="522" spans="19:38">
      <c r="S522" s="2618"/>
      <c r="Y522" s="2620"/>
      <c r="Z522" s="2620"/>
      <c r="AA522" s="2621"/>
      <c r="AL522" s="2618"/>
    </row>
    <row r="523" spans="19:38">
      <c r="S523" s="2618"/>
      <c r="Y523" s="2620"/>
      <c r="Z523" s="2620"/>
      <c r="AA523" s="2621"/>
      <c r="AL523" s="2618"/>
    </row>
    <row r="524" spans="19:38">
      <c r="S524" s="2618"/>
      <c r="Y524" s="2620"/>
      <c r="Z524" s="2620"/>
      <c r="AA524" s="2621"/>
      <c r="AL524" s="2618"/>
    </row>
    <row r="525" spans="19:38">
      <c r="S525" s="2618"/>
      <c r="Y525" s="2620"/>
      <c r="Z525" s="2620"/>
      <c r="AA525" s="2621"/>
      <c r="AL525" s="2618"/>
    </row>
    <row r="526" spans="19:38">
      <c r="S526" s="2618"/>
      <c r="Y526" s="2620"/>
      <c r="Z526" s="2620"/>
      <c r="AA526" s="2621"/>
      <c r="AL526" s="2618"/>
    </row>
    <row r="527" spans="19:38">
      <c r="S527" s="2618"/>
      <c r="Y527" s="2620"/>
      <c r="Z527" s="2620"/>
      <c r="AA527" s="2621"/>
      <c r="AL527" s="2618"/>
    </row>
    <row r="528" spans="19:38">
      <c r="S528" s="2618"/>
      <c r="Y528" s="2620"/>
      <c r="Z528" s="2620"/>
      <c r="AA528" s="2621"/>
      <c r="AL528" s="2618"/>
    </row>
    <row r="529" spans="19:38">
      <c r="S529" s="2618"/>
      <c r="Y529" s="2620"/>
      <c r="Z529" s="2620"/>
      <c r="AA529" s="2621"/>
      <c r="AL529" s="2618"/>
    </row>
    <row r="530" spans="19:38">
      <c r="S530" s="2618"/>
      <c r="Y530" s="2620"/>
      <c r="Z530" s="2620"/>
      <c r="AA530" s="2621"/>
      <c r="AL530" s="2618"/>
    </row>
    <row r="531" spans="19:38">
      <c r="S531" s="2618"/>
      <c r="Y531" s="2620"/>
      <c r="Z531" s="2620"/>
      <c r="AA531" s="2621"/>
      <c r="AL531" s="2618"/>
    </row>
    <row r="532" spans="19:38">
      <c r="S532" s="2618"/>
      <c r="Y532" s="2620"/>
      <c r="Z532" s="2620"/>
      <c r="AA532" s="2621"/>
      <c r="AL532" s="2618"/>
    </row>
    <row r="533" spans="19:38">
      <c r="S533" s="2618"/>
      <c r="Y533" s="2620"/>
      <c r="Z533" s="2620"/>
      <c r="AA533" s="2621"/>
      <c r="AL533" s="2618"/>
    </row>
    <row r="534" spans="19:38">
      <c r="S534" s="2618"/>
      <c r="Y534" s="2620"/>
      <c r="Z534" s="2620"/>
      <c r="AA534" s="2621"/>
      <c r="AL534" s="2618"/>
    </row>
    <row r="535" spans="19:38">
      <c r="S535" s="2618"/>
      <c r="Y535" s="2620"/>
      <c r="Z535" s="2620"/>
      <c r="AA535" s="2621"/>
      <c r="AL535" s="2618"/>
    </row>
    <row r="536" spans="19:38">
      <c r="S536" s="2618"/>
      <c r="Y536" s="2620"/>
      <c r="Z536" s="2620"/>
      <c r="AA536" s="2621"/>
      <c r="AL536" s="2618"/>
    </row>
    <row r="537" spans="19:38">
      <c r="S537" s="2618"/>
      <c r="Y537" s="2620"/>
      <c r="Z537" s="2620"/>
      <c r="AA537" s="2621"/>
      <c r="AL537" s="2618"/>
    </row>
    <row r="538" spans="19:38">
      <c r="S538" s="2618"/>
      <c r="Y538" s="2620"/>
      <c r="Z538" s="2620"/>
      <c r="AA538" s="2621"/>
      <c r="AL538" s="2618"/>
    </row>
    <row r="539" spans="19:38">
      <c r="S539" s="2618"/>
      <c r="Y539" s="2620"/>
      <c r="Z539" s="2620"/>
      <c r="AA539" s="2621"/>
      <c r="AL539" s="2618"/>
    </row>
    <row r="540" spans="19:38">
      <c r="S540" s="2618"/>
      <c r="Y540" s="2620"/>
      <c r="Z540" s="2620"/>
      <c r="AA540" s="2621"/>
      <c r="AL540" s="2618"/>
    </row>
    <row r="541" spans="19:38">
      <c r="S541" s="2618"/>
      <c r="Y541" s="2620"/>
      <c r="Z541" s="2620"/>
      <c r="AA541" s="2621"/>
      <c r="AL541" s="2618"/>
    </row>
    <row r="542" spans="19:38">
      <c r="S542" s="2618"/>
      <c r="Y542" s="2620"/>
      <c r="Z542" s="2620"/>
      <c r="AA542" s="2621"/>
      <c r="AL542" s="2618"/>
    </row>
    <row r="543" spans="19:38">
      <c r="S543" s="2618"/>
      <c r="Y543" s="2620"/>
      <c r="Z543" s="2620"/>
      <c r="AA543" s="2621"/>
      <c r="AL543" s="2618"/>
    </row>
    <row r="544" spans="19:38">
      <c r="S544" s="2618"/>
      <c r="Y544" s="2620"/>
      <c r="Z544" s="2620"/>
      <c r="AA544" s="2621"/>
      <c r="AL544" s="2618"/>
    </row>
    <row r="545" spans="19:38">
      <c r="S545" s="2618"/>
      <c r="Y545" s="2620"/>
      <c r="Z545" s="2620"/>
      <c r="AA545" s="2621"/>
      <c r="AL545" s="2618"/>
    </row>
    <row r="546" spans="19:38">
      <c r="S546" s="2618"/>
      <c r="Y546" s="2620"/>
      <c r="Z546" s="2620"/>
      <c r="AA546" s="2621"/>
      <c r="AL546" s="2618"/>
    </row>
    <row r="547" spans="19:38">
      <c r="S547" s="2618"/>
      <c r="Y547" s="2620"/>
      <c r="Z547" s="2620"/>
      <c r="AA547" s="2621"/>
      <c r="AL547" s="2618"/>
    </row>
    <row r="548" spans="19:38">
      <c r="S548" s="2618"/>
      <c r="Y548" s="2620"/>
      <c r="Z548" s="2620"/>
      <c r="AA548" s="2621"/>
      <c r="AL548" s="2618"/>
    </row>
    <row r="549" spans="19:38">
      <c r="S549" s="2618"/>
      <c r="Y549" s="2620"/>
      <c r="Z549" s="2620"/>
      <c r="AA549" s="2621"/>
      <c r="AL549" s="2618"/>
    </row>
    <row r="550" spans="19:38">
      <c r="S550" s="2618"/>
      <c r="Y550" s="2620"/>
      <c r="Z550" s="2620"/>
      <c r="AA550" s="2621"/>
      <c r="AL550" s="2618"/>
    </row>
    <row r="551" spans="19:38">
      <c r="S551" s="2618"/>
      <c r="Y551" s="2620"/>
      <c r="Z551" s="2620"/>
      <c r="AA551" s="2621"/>
      <c r="AL551" s="2618"/>
    </row>
    <row r="552" spans="19:38">
      <c r="S552" s="2618"/>
      <c r="Y552" s="2620"/>
      <c r="Z552" s="2620"/>
      <c r="AA552" s="2621"/>
      <c r="AL552" s="2618"/>
    </row>
    <row r="553" spans="19:38">
      <c r="S553" s="2618"/>
      <c r="Y553" s="2620"/>
      <c r="Z553" s="2620"/>
      <c r="AA553" s="2621"/>
      <c r="AL553" s="2618"/>
    </row>
    <row r="554" spans="19:38">
      <c r="S554" s="2618"/>
      <c r="Y554" s="2620"/>
      <c r="Z554" s="2620"/>
      <c r="AA554" s="2621"/>
      <c r="AL554" s="2618"/>
    </row>
    <row r="555" spans="19:38">
      <c r="S555" s="2618"/>
      <c r="Y555" s="2620"/>
      <c r="Z555" s="2620"/>
      <c r="AA555" s="2621"/>
      <c r="AL555" s="2618"/>
    </row>
    <row r="556" spans="19:38">
      <c r="S556" s="2618"/>
      <c r="Y556" s="2620"/>
      <c r="Z556" s="2620"/>
      <c r="AA556" s="2621"/>
      <c r="AL556" s="2618"/>
    </row>
    <row r="557" spans="19:38">
      <c r="S557" s="2618"/>
      <c r="Y557" s="2620"/>
      <c r="Z557" s="2620"/>
      <c r="AA557" s="2621"/>
      <c r="AL557" s="2618"/>
    </row>
    <row r="558" spans="19:38">
      <c r="S558" s="2618"/>
      <c r="Y558" s="2620"/>
      <c r="Z558" s="2620"/>
      <c r="AA558" s="2621"/>
      <c r="AL558" s="2618"/>
    </row>
    <row r="559" spans="19:38">
      <c r="S559" s="2618"/>
      <c r="Y559" s="2620"/>
      <c r="Z559" s="2620"/>
      <c r="AA559" s="2621"/>
      <c r="AL559" s="2618"/>
    </row>
    <row r="560" spans="19:38">
      <c r="S560" s="2618"/>
      <c r="Y560" s="2620"/>
      <c r="Z560" s="2620"/>
      <c r="AA560" s="2621"/>
      <c r="AL560" s="2618"/>
    </row>
    <row r="561" spans="19:38">
      <c r="S561" s="2618"/>
      <c r="Y561" s="2620"/>
      <c r="Z561" s="2620"/>
      <c r="AA561" s="2621"/>
      <c r="AL561" s="2618"/>
    </row>
    <row r="562" spans="19:38">
      <c r="S562" s="2618"/>
      <c r="Y562" s="2620"/>
      <c r="Z562" s="2620"/>
      <c r="AA562" s="2621"/>
      <c r="AL562" s="2618"/>
    </row>
    <row r="563" spans="19:38">
      <c r="S563" s="2618"/>
      <c r="Y563" s="2620"/>
      <c r="Z563" s="2620"/>
      <c r="AA563" s="2621"/>
      <c r="AL563" s="2618"/>
    </row>
    <row r="564" spans="19:38">
      <c r="S564" s="2618"/>
      <c r="Y564" s="2620"/>
      <c r="Z564" s="2620"/>
      <c r="AA564" s="2621"/>
      <c r="AL564" s="2618"/>
    </row>
    <row r="565" spans="19:38">
      <c r="S565" s="2618"/>
      <c r="Y565" s="2620"/>
      <c r="Z565" s="2620"/>
      <c r="AA565" s="2621"/>
      <c r="AL565" s="2618"/>
    </row>
    <row r="566" spans="19:38">
      <c r="S566" s="2618"/>
      <c r="Y566" s="2620"/>
      <c r="Z566" s="2620"/>
      <c r="AA566" s="2621"/>
      <c r="AL566" s="2618"/>
    </row>
    <row r="567" spans="19:38">
      <c r="S567" s="2618"/>
      <c r="Y567" s="2620"/>
      <c r="Z567" s="2620"/>
      <c r="AA567" s="2621"/>
      <c r="AL567" s="2618"/>
    </row>
    <row r="568" spans="19:38">
      <c r="S568" s="2618"/>
      <c r="Y568" s="2620"/>
      <c r="Z568" s="2620"/>
      <c r="AA568" s="2621"/>
      <c r="AL568" s="2618"/>
    </row>
    <row r="569" spans="19:38">
      <c r="S569" s="2618"/>
      <c r="Y569" s="2620"/>
      <c r="Z569" s="2620"/>
      <c r="AA569" s="2621"/>
      <c r="AL569" s="2618"/>
    </row>
    <row r="570" spans="19:38">
      <c r="S570" s="2618"/>
      <c r="Y570" s="2620"/>
      <c r="Z570" s="2620"/>
      <c r="AA570" s="2621"/>
      <c r="AL570" s="2618"/>
    </row>
    <row r="571" spans="19:38">
      <c r="S571" s="2618"/>
      <c r="Y571" s="2620"/>
      <c r="Z571" s="2620"/>
      <c r="AA571" s="2621"/>
      <c r="AL571" s="2618"/>
    </row>
    <row r="572" spans="19:38">
      <c r="S572" s="2618"/>
      <c r="Y572" s="2620"/>
      <c r="Z572" s="2620"/>
      <c r="AA572" s="2621"/>
      <c r="AL572" s="2618"/>
    </row>
    <row r="573" spans="19:38">
      <c r="S573" s="2618"/>
      <c r="Y573" s="2620"/>
      <c r="Z573" s="2620"/>
      <c r="AA573" s="2621"/>
      <c r="AL573" s="2618"/>
    </row>
    <row r="574" spans="19:38">
      <c r="S574" s="2618"/>
      <c r="Y574" s="2620"/>
      <c r="Z574" s="2620"/>
      <c r="AA574" s="2621"/>
      <c r="AL574" s="2618"/>
    </row>
    <row r="575" spans="19:38">
      <c r="S575" s="2618"/>
      <c r="Y575" s="2620"/>
      <c r="Z575" s="2620"/>
      <c r="AA575" s="2621"/>
      <c r="AL575" s="2618"/>
    </row>
    <row r="576" spans="19:38">
      <c r="S576" s="2618"/>
      <c r="Y576" s="2620"/>
      <c r="Z576" s="2620"/>
      <c r="AA576" s="2621"/>
      <c r="AL576" s="2618"/>
    </row>
    <row r="577" spans="19:38">
      <c r="S577" s="2618"/>
      <c r="Y577" s="2620"/>
      <c r="Z577" s="2620"/>
      <c r="AA577" s="2621"/>
      <c r="AL577" s="2618"/>
    </row>
    <row r="578" spans="19:38">
      <c r="S578" s="2618"/>
      <c r="Y578" s="2620"/>
      <c r="Z578" s="2620"/>
      <c r="AA578" s="2621"/>
      <c r="AL578" s="2618"/>
    </row>
    <row r="579" spans="19:38">
      <c r="S579" s="2618"/>
      <c r="Y579" s="2620"/>
      <c r="Z579" s="2620"/>
      <c r="AA579" s="2621"/>
      <c r="AL579" s="2618"/>
    </row>
    <row r="580" spans="19:38">
      <c r="S580" s="2618"/>
      <c r="Y580" s="2620"/>
      <c r="Z580" s="2620"/>
      <c r="AA580" s="2621"/>
      <c r="AL580" s="2618"/>
    </row>
    <row r="581" spans="19:38">
      <c r="S581" s="2618"/>
      <c r="Y581" s="2620"/>
      <c r="Z581" s="2620"/>
      <c r="AA581" s="2621"/>
      <c r="AL581" s="2618"/>
    </row>
    <row r="582" spans="19:38">
      <c r="S582" s="2618"/>
      <c r="Y582" s="2620"/>
      <c r="Z582" s="2620"/>
      <c r="AA582" s="2621"/>
      <c r="AL582" s="2618"/>
    </row>
    <row r="583" spans="19:38">
      <c r="S583" s="2618"/>
      <c r="Y583" s="2620"/>
      <c r="Z583" s="2620"/>
      <c r="AA583" s="2621"/>
      <c r="AL583" s="2618"/>
    </row>
    <row r="584" spans="19:38">
      <c r="S584" s="2618"/>
      <c r="Y584" s="2620"/>
      <c r="Z584" s="2620"/>
      <c r="AA584" s="2621"/>
      <c r="AL584" s="2618"/>
    </row>
    <row r="585" spans="19:38">
      <c r="S585" s="2618"/>
      <c r="Y585" s="2620"/>
      <c r="Z585" s="2620"/>
      <c r="AA585" s="2621"/>
      <c r="AL585" s="2618"/>
    </row>
    <row r="586" spans="19:38">
      <c r="S586" s="2618"/>
      <c r="Y586" s="2620"/>
      <c r="Z586" s="2620"/>
      <c r="AA586" s="2621"/>
      <c r="AL586" s="2618"/>
    </row>
    <row r="587" spans="19:38">
      <c r="S587" s="2618"/>
      <c r="Y587" s="2620"/>
      <c r="Z587" s="2620"/>
      <c r="AA587" s="2621"/>
      <c r="AL587" s="2618"/>
    </row>
    <row r="588" spans="19:38">
      <c r="S588" s="2618"/>
      <c r="Y588" s="2620"/>
      <c r="Z588" s="2620"/>
      <c r="AA588" s="2621"/>
      <c r="AL588" s="2618"/>
    </row>
    <row r="589" spans="19:38">
      <c r="S589" s="2618"/>
      <c r="Y589" s="2620"/>
      <c r="Z589" s="2620"/>
      <c r="AA589" s="2621"/>
      <c r="AL589" s="2618"/>
    </row>
    <row r="590" spans="19:38">
      <c r="S590" s="2618"/>
      <c r="Y590" s="2620"/>
      <c r="Z590" s="2620"/>
      <c r="AA590" s="2621"/>
      <c r="AL590" s="2618"/>
    </row>
    <row r="591" spans="19:38">
      <c r="S591" s="2618"/>
      <c r="Y591" s="2620"/>
      <c r="Z591" s="2620"/>
      <c r="AA591" s="2621"/>
      <c r="AL591" s="2618"/>
    </row>
    <row r="592" spans="19:38">
      <c r="S592" s="2618"/>
      <c r="Y592" s="2620"/>
      <c r="Z592" s="2620"/>
      <c r="AA592" s="2621"/>
      <c r="AL592" s="2618"/>
    </row>
    <row r="593" spans="19:38">
      <c r="S593" s="2618"/>
      <c r="Y593" s="2620"/>
      <c r="Z593" s="2620"/>
      <c r="AA593" s="2621"/>
      <c r="AL593" s="2618"/>
    </row>
    <row r="594" spans="19:38">
      <c r="S594" s="2618"/>
      <c r="Y594" s="2620"/>
      <c r="Z594" s="2620"/>
      <c r="AA594" s="2621"/>
      <c r="AL594" s="2618"/>
    </row>
    <row r="595" spans="19:38">
      <c r="S595" s="2618"/>
      <c r="Y595" s="2620"/>
      <c r="Z595" s="2620"/>
      <c r="AA595" s="2621"/>
      <c r="AL595" s="2618"/>
    </row>
    <row r="596" spans="19:38">
      <c r="S596" s="2618"/>
      <c r="Y596" s="2620"/>
      <c r="Z596" s="2620"/>
      <c r="AA596" s="2621"/>
      <c r="AL596" s="2618"/>
    </row>
    <row r="597" spans="19:38">
      <c r="S597" s="2618"/>
      <c r="Y597" s="2620"/>
      <c r="Z597" s="2620"/>
      <c r="AA597" s="2621"/>
      <c r="AL597" s="2618"/>
    </row>
    <row r="598" spans="19:38">
      <c r="S598" s="2618"/>
      <c r="Y598" s="2620"/>
      <c r="Z598" s="2620"/>
      <c r="AA598" s="2621"/>
      <c r="AL598" s="2618"/>
    </row>
    <row r="599" spans="19:38">
      <c r="S599" s="2618"/>
      <c r="Y599" s="2620"/>
      <c r="Z599" s="2620"/>
      <c r="AA599" s="2621"/>
      <c r="AL599" s="2618"/>
    </row>
    <row r="600" spans="19:38">
      <c r="S600" s="2618"/>
      <c r="Y600" s="2620"/>
      <c r="Z600" s="2620"/>
      <c r="AA600" s="2621"/>
      <c r="AL600" s="2618"/>
    </row>
    <row r="601" spans="19:38">
      <c r="S601" s="2618"/>
      <c r="Y601" s="2620"/>
      <c r="Z601" s="2620"/>
      <c r="AA601" s="2621"/>
      <c r="AL601" s="2618"/>
    </row>
    <row r="602" spans="19:38">
      <c r="S602" s="2618"/>
      <c r="Y602" s="2620"/>
      <c r="Z602" s="2620"/>
      <c r="AA602" s="2621"/>
      <c r="AL602" s="2618"/>
    </row>
    <row r="603" spans="19:38">
      <c r="S603" s="2618"/>
      <c r="Y603" s="2620"/>
      <c r="Z603" s="2620"/>
      <c r="AA603" s="2621"/>
      <c r="AL603" s="2618"/>
    </row>
    <row r="604" spans="19:38">
      <c r="S604" s="2618"/>
      <c r="Y604" s="2620"/>
      <c r="Z604" s="2620"/>
      <c r="AA604" s="2621"/>
      <c r="AL604" s="2618"/>
    </row>
    <row r="605" spans="19:38">
      <c r="S605" s="2618"/>
      <c r="Y605" s="2620"/>
      <c r="Z605" s="2620"/>
      <c r="AA605" s="2621"/>
      <c r="AL605" s="2618"/>
    </row>
    <row r="606" spans="19:38">
      <c r="S606" s="2618"/>
      <c r="Y606" s="2620"/>
      <c r="Z606" s="2620"/>
      <c r="AA606" s="2621"/>
      <c r="AL606" s="2618"/>
    </row>
    <row r="607" spans="19:38">
      <c r="S607" s="2618"/>
      <c r="Y607" s="2620"/>
      <c r="Z607" s="2620"/>
      <c r="AA607" s="2621"/>
      <c r="AL607" s="2618"/>
    </row>
    <row r="608" spans="19:38">
      <c r="S608" s="2618"/>
      <c r="Y608" s="2620"/>
      <c r="Z608" s="2620"/>
      <c r="AA608" s="2621"/>
      <c r="AL608" s="2618"/>
    </row>
    <row r="609" spans="19:38">
      <c r="S609" s="2618"/>
      <c r="Y609" s="2620"/>
      <c r="Z609" s="2620"/>
      <c r="AA609" s="2621"/>
      <c r="AL609" s="2618"/>
    </row>
    <row r="610" spans="19:38">
      <c r="S610" s="2618"/>
      <c r="Y610" s="2620"/>
      <c r="Z610" s="2620"/>
      <c r="AA610" s="2621"/>
      <c r="AL610" s="2618"/>
    </row>
    <row r="611" spans="19:38">
      <c r="S611" s="2618"/>
      <c r="Y611" s="2620"/>
      <c r="Z611" s="2620"/>
      <c r="AA611" s="2621"/>
      <c r="AL611" s="2618"/>
    </row>
    <row r="612" spans="19:38">
      <c r="S612" s="2618"/>
      <c r="Y612" s="2620"/>
      <c r="Z612" s="2620"/>
      <c r="AA612" s="2621"/>
      <c r="AL612" s="2618"/>
    </row>
    <row r="613" spans="19:38">
      <c r="S613" s="2618"/>
      <c r="Y613" s="2620"/>
      <c r="Z613" s="2620"/>
      <c r="AA613" s="2621"/>
      <c r="AL613" s="2618"/>
    </row>
    <row r="614" spans="19:38">
      <c r="S614" s="2618"/>
      <c r="Y614" s="2620"/>
      <c r="Z614" s="2620"/>
      <c r="AA614" s="2621"/>
      <c r="AL614" s="2618"/>
    </row>
    <row r="615" spans="19:38">
      <c r="S615" s="2618"/>
      <c r="Y615" s="2620"/>
      <c r="Z615" s="2620"/>
      <c r="AA615" s="2621"/>
      <c r="AL615" s="2618"/>
    </row>
    <row r="616" spans="19:38">
      <c r="S616" s="2618"/>
      <c r="Y616" s="2620"/>
      <c r="Z616" s="2620"/>
      <c r="AA616" s="2621"/>
      <c r="AL616" s="2618"/>
    </row>
    <row r="617" spans="19:38">
      <c r="S617" s="2618"/>
      <c r="Y617" s="2620"/>
      <c r="Z617" s="2620"/>
      <c r="AA617" s="2621"/>
      <c r="AL617" s="2618"/>
    </row>
    <row r="618" spans="19:38">
      <c r="S618" s="2618"/>
      <c r="Y618" s="2620"/>
      <c r="Z618" s="2620"/>
      <c r="AA618" s="2621"/>
      <c r="AL618" s="2618"/>
    </row>
    <row r="619" spans="19:38">
      <c r="S619" s="2618"/>
      <c r="Y619" s="2620"/>
      <c r="Z619" s="2620"/>
      <c r="AA619" s="2621"/>
      <c r="AL619" s="2618"/>
    </row>
    <row r="620" spans="19:38">
      <c r="S620" s="2618"/>
      <c r="Y620" s="2620"/>
      <c r="Z620" s="2620"/>
      <c r="AA620" s="2621"/>
      <c r="AL620" s="2618"/>
    </row>
    <row r="621" spans="19:38">
      <c r="S621" s="2618"/>
      <c r="Y621" s="2620"/>
      <c r="Z621" s="2620"/>
      <c r="AA621" s="2621"/>
      <c r="AL621" s="2618"/>
    </row>
    <row r="622" spans="19:38">
      <c r="S622" s="2618"/>
      <c r="Y622" s="2620"/>
      <c r="Z622" s="2620"/>
      <c r="AA622" s="2621"/>
      <c r="AL622" s="2618"/>
    </row>
    <row r="623" spans="19:38">
      <c r="S623" s="2618"/>
      <c r="Y623" s="2620"/>
      <c r="Z623" s="2620"/>
      <c r="AA623" s="2621"/>
      <c r="AL623" s="2618"/>
    </row>
    <row r="624" spans="19:38">
      <c r="S624" s="2618"/>
      <c r="Y624" s="2620"/>
      <c r="Z624" s="2620"/>
      <c r="AA624" s="2621"/>
      <c r="AL624" s="2618"/>
    </row>
    <row r="625" spans="19:38">
      <c r="S625" s="2618"/>
      <c r="Y625" s="2620"/>
      <c r="Z625" s="2620"/>
      <c r="AA625" s="2621"/>
      <c r="AL625" s="2618"/>
    </row>
    <row r="626" spans="19:38">
      <c r="S626" s="2618"/>
      <c r="Y626" s="2620"/>
      <c r="Z626" s="2620"/>
      <c r="AA626" s="2621"/>
      <c r="AL626" s="2618"/>
    </row>
    <row r="627" spans="19:38">
      <c r="S627" s="2618"/>
      <c r="Y627" s="2620"/>
      <c r="Z627" s="2620"/>
      <c r="AA627" s="2621"/>
      <c r="AL627" s="2618"/>
    </row>
    <row r="628" spans="19:38">
      <c r="S628" s="2618"/>
      <c r="Y628" s="2620"/>
      <c r="Z628" s="2620"/>
      <c r="AA628" s="2621"/>
      <c r="AL628" s="2618"/>
    </row>
    <row r="629" spans="19:38">
      <c r="S629" s="2618"/>
      <c r="Y629" s="2620"/>
      <c r="Z629" s="2620"/>
      <c r="AA629" s="2621"/>
      <c r="AL629" s="2618"/>
    </row>
    <row r="630" spans="19:38">
      <c r="S630" s="2618"/>
      <c r="Y630" s="2620"/>
      <c r="Z630" s="2620"/>
      <c r="AA630" s="2621"/>
      <c r="AL630" s="2618"/>
    </row>
    <row r="631" spans="19:38">
      <c r="S631" s="2618"/>
      <c r="Y631" s="2620"/>
      <c r="Z631" s="2620"/>
      <c r="AA631" s="2621"/>
      <c r="AL631" s="2618"/>
    </row>
    <row r="632" spans="19:38">
      <c r="S632" s="2618"/>
      <c r="Y632" s="2620"/>
      <c r="Z632" s="2620"/>
      <c r="AA632" s="2621"/>
      <c r="AL632" s="2618"/>
    </row>
    <row r="633" spans="19:38">
      <c r="S633" s="2618"/>
      <c r="Y633" s="2620"/>
      <c r="Z633" s="2620"/>
      <c r="AA633" s="2621"/>
      <c r="AL633" s="2618"/>
    </row>
    <row r="634" spans="19:38">
      <c r="S634" s="2618"/>
      <c r="Y634" s="2620"/>
      <c r="Z634" s="2620"/>
      <c r="AA634" s="2621"/>
      <c r="AL634" s="2618"/>
    </row>
    <row r="635" spans="19:38">
      <c r="S635" s="2618"/>
      <c r="Y635" s="2620"/>
      <c r="Z635" s="2620"/>
      <c r="AA635" s="2621"/>
      <c r="AL635" s="2618"/>
    </row>
    <row r="636" spans="19:38">
      <c r="S636" s="2618"/>
      <c r="Y636" s="2620"/>
      <c r="Z636" s="2620"/>
      <c r="AA636" s="2621"/>
      <c r="AL636" s="2618"/>
    </row>
    <row r="637" spans="19:38">
      <c r="S637" s="2618"/>
      <c r="Y637" s="2620"/>
      <c r="Z637" s="2620"/>
      <c r="AA637" s="2621"/>
      <c r="AL637" s="2618"/>
    </row>
    <row r="638" spans="19:38">
      <c r="S638" s="2618"/>
      <c r="Y638" s="2620"/>
      <c r="Z638" s="2620"/>
      <c r="AA638" s="2621"/>
      <c r="AL638" s="2618"/>
    </row>
    <row r="639" spans="19:38">
      <c r="S639" s="2618"/>
      <c r="Y639" s="2620"/>
      <c r="Z639" s="2620"/>
      <c r="AA639" s="2621"/>
      <c r="AL639" s="2618"/>
    </row>
    <row r="640" spans="19:38">
      <c r="S640" s="2618"/>
      <c r="Y640" s="2620"/>
      <c r="Z640" s="2620"/>
      <c r="AA640" s="2621"/>
      <c r="AL640" s="2618"/>
    </row>
    <row r="641" spans="19:38">
      <c r="S641" s="2618"/>
      <c r="Y641" s="2620"/>
      <c r="Z641" s="2620"/>
      <c r="AA641" s="2621"/>
      <c r="AL641" s="2618"/>
    </row>
    <row r="642" spans="19:38">
      <c r="S642" s="2618"/>
      <c r="Y642" s="2620"/>
      <c r="Z642" s="2620"/>
      <c r="AA642" s="2621"/>
      <c r="AL642" s="2618"/>
    </row>
    <row r="643" spans="19:38">
      <c r="S643" s="2618"/>
      <c r="Y643" s="2620"/>
      <c r="Z643" s="2620"/>
      <c r="AA643" s="2621"/>
      <c r="AL643" s="2618"/>
    </row>
    <row r="644" spans="19:38">
      <c r="S644" s="2618"/>
      <c r="Y644" s="2620"/>
      <c r="Z644" s="2620"/>
      <c r="AA644" s="2621"/>
      <c r="AL644" s="2618"/>
    </row>
    <row r="645" spans="19:38">
      <c r="S645" s="2618"/>
      <c r="Y645" s="2620"/>
      <c r="Z645" s="2620"/>
      <c r="AA645" s="2621"/>
      <c r="AL645" s="2618"/>
    </row>
    <row r="646" spans="19:38">
      <c r="S646" s="2618"/>
      <c r="Y646" s="2620"/>
      <c r="Z646" s="2620"/>
      <c r="AA646" s="2621"/>
      <c r="AL646" s="2618"/>
    </row>
    <row r="647" spans="19:38">
      <c r="S647" s="2618"/>
      <c r="Y647" s="2620"/>
      <c r="Z647" s="2620"/>
      <c r="AA647" s="2621"/>
      <c r="AL647" s="2618"/>
    </row>
    <row r="648" spans="19:38">
      <c r="S648" s="2618"/>
      <c r="Y648" s="2620"/>
      <c r="Z648" s="2620"/>
      <c r="AA648" s="2621"/>
      <c r="AL648" s="2618"/>
    </row>
    <row r="649" spans="19:38">
      <c r="S649" s="2618"/>
      <c r="Y649" s="2620"/>
      <c r="Z649" s="2620"/>
      <c r="AA649" s="2621"/>
      <c r="AL649" s="2618"/>
    </row>
    <row r="650" spans="19:38">
      <c r="S650" s="2618"/>
      <c r="Y650" s="2620"/>
      <c r="Z650" s="2620"/>
      <c r="AA650" s="2621"/>
      <c r="AL650" s="2618"/>
    </row>
    <row r="651" spans="19:38">
      <c r="S651" s="2618"/>
      <c r="Y651" s="2620"/>
      <c r="Z651" s="2620"/>
      <c r="AA651" s="2621"/>
      <c r="AL651" s="2618"/>
    </row>
    <row r="652" spans="19:38">
      <c r="S652" s="2618"/>
      <c r="Y652" s="2620"/>
      <c r="Z652" s="2620"/>
      <c r="AA652" s="2621"/>
      <c r="AL652" s="2618"/>
    </row>
    <row r="653" spans="19:38">
      <c r="S653" s="2618"/>
      <c r="Y653" s="2620"/>
      <c r="Z653" s="2620"/>
      <c r="AA653" s="2621"/>
      <c r="AL653" s="2618"/>
    </row>
    <row r="654" spans="19:38">
      <c r="S654" s="2618"/>
      <c r="Y654" s="2620"/>
      <c r="Z654" s="2620"/>
      <c r="AA654" s="2621"/>
      <c r="AL654" s="2618"/>
    </row>
    <row r="655" spans="19:38">
      <c r="S655" s="2618"/>
      <c r="Y655" s="2620"/>
      <c r="Z655" s="2620"/>
      <c r="AA655" s="2621"/>
      <c r="AL655" s="2618"/>
    </row>
    <row r="656" spans="19:38">
      <c r="S656" s="2618"/>
      <c r="Y656" s="2620"/>
      <c r="Z656" s="2620"/>
      <c r="AA656" s="2621"/>
      <c r="AL656" s="2618"/>
    </row>
    <row r="657" spans="19:38">
      <c r="S657" s="2618"/>
      <c r="Y657" s="2620"/>
      <c r="Z657" s="2620"/>
      <c r="AA657" s="2621"/>
      <c r="AL657" s="2618"/>
    </row>
    <row r="658" spans="19:38">
      <c r="S658" s="2618"/>
      <c r="Y658" s="2620"/>
      <c r="Z658" s="2620"/>
      <c r="AA658" s="2621"/>
      <c r="AL658" s="2618"/>
    </row>
    <row r="659" spans="19:38">
      <c r="S659" s="2618"/>
      <c r="Y659" s="2620"/>
      <c r="Z659" s="2620"/>
      <c r="AA659" s="2621"/>
      <c r="AL659" s="2618"/>
    </row>
    <row r="660" spans="19:38">
      <c r="S660" s="2618"/>
      <c r="Y660" s="2620"/>
      <c r="Z660" s="2620"/>
      <c r="AA660" s="2621"/>
      <c r="AL660" s="2618"/>
    </row>
    <row r="661" spans="19:38">
      <c r="S661" s="2618"/>
      <c r="Y661" s="2620"/>
      <c r="Z661" s="2620"/>
      <c r="AA661" s="2621"/>
      <c r="AL661" s="2618"/>
    </row>
    <row r="662" spans="19:38">
      <c r="S662" s="2618"/>
      <c r="Y662" s="2620"/>
      <c r="Z662" s="2620"/>
      <c r="AA662" s="2621"/>
      <c r="AL662" s="2618"/>
    </row>
    <row r="663" spans="19:38">
      <c r="S663" s="2618"/>
      <c r="Y663" s="2620"/>
      <c r="Z663" s="2620"/>
      <c r="AA663" s="2621"/>
      <c r="AL663" s="2618"/>
    </row>
    <row r="664" spans="19:38">
      <c r="S664" s="2618"/>
      <c r="Y664" s="2620"/>
      <c r="Z664" s="2620"/>
      <c r="AA664" s="2621"/>
      <c r="AL664" s="2618"/>
    </row>
    <row r="665" spans="19:38">
      <c r="S665" s="2618"/>
      <c r="Y665" s="2620"/>
      <c r="Z665" s="2620"/>
      <c r="AA665" s="2621"/>
      <c r="AL665" s="2618"/>
    </row>
    <row r="666" spans="19:38">
      <c r="S666" s="2618"/>
      <c r="Y666" s="2620"/>
      <c r="Z666" s="2620"/>
      <c r="AA666" s="2621"/>
      <c r="AL666" s="2618"/>
    </row>
    <row r="667" spans="19:38">
      <c r="S667" s="2618"/>
      <c r="Y667" s="2620"/>
      <c r="Z667" s="2620"/>
      <c r="AA667" s="2621"/>
      <c r="AL667" s="2618"/>
    </row>
    <row r="668" spans="19:38">
      <c r="S668" s="2618"/>
      <c r="Y668" s="2620"/>
      <c r="Z668" s="2620"/>
      <c r="AA668" s="2621"/>
      <c r="AL668" s="2618"/>
    </row>
    <row r="669" spans="19:38">
      <c r="S669" s="2618"/>
      <c r="Y669" s="2620"/>
      <c r="Z669" s="2620"/>
      <c r="AA669" s="2621"/>
      <c r="AL669" s="2618"/>
    </row>
    <row r="670" spans="19:38">
      <c r="S670" s="2618"/>
      <c r="Y670" s="2620"/>
      <c r="Z670" s="2620"/>
      <c r="AA670" s="2621"/>
      <c r="AL670" s="2618"/>
    </row>
    <row r="671" spans="19:38">
      <c r="S671" s="2618"/>
      <c r="Y671" s="2620"/>
      <c r="Z671" s="2620"/>
      <c r="AA671" s="2621"/>
      <c r="AL671" s="2618"/>
    </row>
    <row r="672" spans="19:38">
      <c r="S672" s="2618"/>
      <c r="Y672" s="2620"/>
      <c r="Z672" s="2620"/>
      <c r="AA672" s="2621"/>
      <c r="AL672" s="2618"/>
    </row>
    <row r="673" spans="19:38">
      <c r="S673" s="2618"/>
      <c r="Y673" s="2620"/>
      <c r="Z673" s="2620"/>
      <c r="AA673" s="2621"/>
      <c r="AL673" s="2618"/>
    </row>
    <row r="674" spans="19:38">
      <c r="S674" s="2618"/>
      <c r="Y674" s="2620"/>
      <c r="Z674" s="2620"/>
      <c r="AA674" s="2621"/>
      <c r="AL674" s="2618"/>
    </row>
    <row r="675" spans="19:38">
      <c r="S675" s="2618"/>
      <c r="Y675" s="2620"/>
      <c r="Z675" s="2620"/>
      <c r="AA675" s="2621"/>
      <c r="AL675" s="2618"/>
    </row>
    <row r="676" spans="19:38">
      <c r="S676" s="2618"/>
      <c r="Y676" s="2620"/>
      <c r="Z676" s="2620"/>
      <c r="AA676" s="2621"/>
      <c r="AL676" s="2618"/>
    </row>
    <row r="677" spans="19:38">
      <c r="S677" s="2618"/>
      <c r="Y677" s="2620"/>
      <c r="Z677" s="2620"/>
      <c r="AA677" s="2621"/>
      <c r="AL677" s="2618"/>
    </row>
    <row r="678" spans="19:38">
      <c r="S678" s="2618"/>
      <c r="Y678" s="2620"/>
      <c r="Z678" s="2620"/>
      <c r="AA678" s="2621"/>
      <c r="AL678" s="2618"/>
    </row>
    <row r="679" spans="19:38">
      <c r="S679" s="2618"/>
      <c r="Y679" s="2620"/>
      <c r="Z679" s="2620"/>
      <c r="AA679" s="2621"/>
      <c r="AL679" s="2618"/>
    </row>
    <row r="680" spans="19:38">
      <c r="S680" s="2618"/>
      <c r="Y680" s="2620"/>
      <c r="Z680" s="2620"/>
      <c r="AA680" s="2621"/>
      <c r="AL680" s="2618"/>
    </row>
    <row r="681" spans="19:38">
      <c r="S681" s="2618"/>
      <c r="Y681" s="2620"/>
      <c r="Z681" s="2620"/>
      <c r="AA681" s="2621"/>
      <c r="AL681" s="2618"/>
    </row>
    <row r="682" spans="19:38">
      <c r="S682" s="2618"/>
      <c r="Y682" s="2620"/>
      <c r="Z682" s="2620"/>
      <c r="AA682" s="2621"/>
      <c r="AL682" s="2618"/>
    </row>
    <row r="683" spans="19:38">
      <c r="S683" s="2618"/>
      <c r="Y683" s="2620"/>
      <c r="Z683" s="2620"/>
      <c r="AA683" s="2621"/>
      <c r="AL683" s="2618"/>
    </row>
    <row r="684" spans="19:38">
      <c r="S684" s="2618"/>
      <c r="Y684" s="2620"/>
      <c r="Z684" s="2620"/>
      <c r="AA684" s="2621"/>
      <c r="AL684" s="2618"/>
    </row>
    <row r="685" spans="19:38">
      <c r="S685" s="2618"/>
      <c r="Y685" s="2620"/>
      <c r="Z685" s="2620"/>
      <c r="AA685" s="2621"/>
      <c r="AL685" s="2618"/>
    </row>
    <row r="686" spans="19:38">
      <c r="S686" s="2618"/>
      <c r="Y686" s="2620"/>
      <c r="Z686" s="2620"/>
      <c r="AA686" s="2621"/>
      <c r="AL686" s="2618"/>
    </row>
    <row r="687" spans="19:38">
      <c r="S687" s="2618"/>
      <c r="Y687" s="2620"/>
      <c r="Z687" s="2620"/>
      <c r="AA687" s="2621"/>
      <c r="AL687" s="2618"/>
    </row>
    <row r="688" spans="19:38">
      <c r="S688" s="2618"/>
      <c r="Y688" s="2620"/>
      <c r="Z688" s="2620"/>
      <c r="AA688" s="2621"/>
      <c r="AL688" s="2618"/>
    </row>
    <row r="689" spans="19:38">
      <c r="S689" s="2618"/>
      <c r="Y689" s="2620"/>
      <c r="Z689" s="2620"/>
      <c r="AA689" s="2621"/>
      <c r="AL689" s="2618"/>
    </row>
    <row r="690" spans="19:38">
      <c r="S690" s="2618"/>
      <c r="Y690" s="2620"/>
      <c r="Z690" s="2620"/>
      <c r="AA690" s="2621"/>
      <c r="AL690" s="2618"/>
    </row>
    <row r="691" spans="19:38">
      <c r="S691" s="2618"/>
      <c r="Y691" s="2620"/>
      <c r="Z691" s="2620"/>
      <c r="AA691" s="2621"/>
      <c r="AL691" s="2618"/>
    </row>
    <row r="692" spans="19:38">
      <c r="S692" s="2618"/>
      <c r="Y692" s="2620"/>
      <c r="Z692" s="2620"/>
      <c r="AA692" s="2621"/>
      <c r="AL692" s="2618"/>
    </row>
    <row r="693" spans="19:38">
      <c r="S693" s="2618"/>
      <c r="Y693" s="2620"/>
      <c r="Z693" s="2620"/>
      <c r="AA693" s="2621"/>
      <c r="AL693" s="2618"/>
    </row>
    <row r="694" spans="19:38">
      <c r="S694" s="2618"/>
      <c r="Y694" s="2620"/>
      <c r="Z694" s="2620"/>
      <c r="AA694" s="2621"/>
      <c r="AL694" s="2618"/>
    </row>
    <row r="695" spans="19:38">
      <c r="S695" s="2618"/>
      <c r="Y695" s="2620"/>
      <c r="Z695" s="2620"/>
      <c r="AA695" s="2621"/>
      <c r="AL695" s="2618"/>
    </row>
    <row r="696" spans="19:38">
      <c r="S696" s="2618"/>
      <c r="Y696" s="2620"/>
      <c r="Z696" s="2620"/>
      <c r="AA696" s="2621"/>
      <c r="AL696" s="2618"/>
    </row>
    <row r="697" spans="19:38">
      <c r="S697" s="2618"/>
      <c r="Y697" s="2620"/>
      <c r="Z697" s="2620"/>
      <c r="AA697" s="2621"/>
      <c r="AL697" s="2618"/>
    </row>
    <row r="698" spans="19:38">
      <c r="S698" s="2618"/>
      <c r="Y698" s="2620"/>
      <c r="Z698" s="2620"/>
      <c r="AA698" s="2621"/>
      <c r="AL698" s="2618"/>
    </row>
    <row r="699" spans="19:38">
      <c r="S699" s="2618"/>
      <c r="Y699" s="2620"/>
      <c r="Z699" s="2620"/>
      <c r="AA699" s="2621"/>
      <c r="AL699" s="2618"/>
    </row>
    <row r="700" spans="19:38">
      <c r="S700" s="2618"/>
      <c r="Y700" s="2620"/>
      <c r="Z700" s="2620"/>
      <c r="AA700" s="2621"/>
      <c r="AL700" s="2618"/>
    </row>
    <row r="701" spans="19:38">
      <c r="S701" s="2618"/>
      <c r="Y701" s="2620"/>
      <c r="Z701" s="2620"/>
      <c r="AA701" s="2621"/>
      <c r="AL701" s="2618"/>
    </row>
    <row r="702" spans="19:38">
      <c r="S702" s="2618"/>
      <c r="Y702" s="2620"/>
      <c r="Z702" s="2620"/>
      <c r="AA702" s="2621"/>
      <c r="AL702" s="2618"/>
    </row>
    <row r="703" spans="19:38">
      <c r="S703" s="2618"/>
      <c r="Y703" s="2620"/>
      <c r="Z703" s="2620"/>
      <c r="AA703" s="2621"/>
      <c r="AL703" s="2618"/>
    </row>
    <row r="704" spans="19:38">
      <c r="S704" s="2618"/>
      <c r="Y704" s="2620"/>
      <c r="Z704" s="2620"/>
      <c r="AA704" s="2621"/>
      <c r="AL704" s="2618"/>
    </row>
    <row r="705" spans="19:38">
      <c r="S705" s="2618"/>
      <c r="Y705" s="2620"/>
      <c r="Z705" s="2620"/>
      <c r="AA705" s="2621"/>
      <c r="AL705" s="2618"/>
    </row>
    <row r="706" spans="19:38">
      <c r="S706" s="2618"/>
      <c r="Y706" s="2620"/>
      <c r="Z706" s="2620"/>
      <c r="AA706" s="2621"/>
      <c r="AL706" s="2618"/>
    </row>
    <row r="707" spans="19:38">
      <c r="S707" s="2618"/>
      <c r="Y707" s="2620"/>
      <c r="Z707" s="2620"/>
      <c r="AA707" s="2621"/>
      <c r="AL707" s="2618"/>
    </row>
    <row r="708" spans="19:38">
      <c r="S708" s="2618"/>
      <c r="Y708" s="2620"/>
      <c r="Z708" s="2620"/>
      <c r="AA708" s="2621"/>
      <c r="AL708" s="2618"/>
    </row>
    <row r="709" spans="19:38">
      <c r="S709" s="2618"/>
      <c r="Y709" s="2620"/>
      <c r="Z709" s="2620"/>
      <c r="AA709" s="2621"/>
      <c r="AL709" s="2618"/>
    </row>
    <row r="710" spans="19:38">
      <c r="S710" s="2618"/>
      <c r="Y710" s="2620"/>
      <c r="Z710" s="2620"/>
      <c r="AA710" s="2621"/>
      <c r="AL710" s="2618"/>
    </row>
    <row r="711" spans="19:38">
      <c r="S711" s="2618"/>
      <c r="Y711" s="2620"/>
      <c r="Z711" s="2620"/>
      <c r="AA711" s="2621"/>
      <c r="AL711" s="2618"/>
    </row>
    <row r="712" spans="19:38">
      <c r="S712" s="2618"/>
      <c r="Y712" s="2620"/>
      <c r="Z712" s="2620"/>
      <c r="AA712" s="2621"/>
      <c r="AL712" s="2618"/>
    </row>
    <row r="713" spans="19:38">
      <c r="S713" s="2618"/>
      <c r="Y713" s="2620"/>
      <c r="Z713" s="2620"/>
      <c r="AA713" s="2621"/>
      <c r="AL713" s="2618"/>
    </row>
    <row r="714" spans="19:38">
      <c r="S714" s="2618"/>
      <c r="Y714" s="2620"/>
      <c r="Z714" s="2620"/>
      <c r="AA714" s="2621"/>
      <c r="AL714" s="2618"/>
    </row>
    <row r="715" spans="19:38">
      <c r="S715" s="2618"/>
      <c r="Y715" s="2620"/>
      <c r="Z715" s="2620"/>
      <c r="AA715" s="2621"/>
      <c r="AL715" s="2618"/>
    </row>
    <row r="716" spans="19:38">
      <c r="S716" s="2618"/>
      <c r="Y716" s="2620"/>
      <c r="Z716" s="2620"/>
      <c r="AA716" s="2621"/>
      <c r="AL716" s="2618"/>
    </row>
    <row r="717" spans="19:38">
      <c r="S717" s="2618"/>
      <c r="Y717" s="2620"/>
      <c r="Z717" s="2620"/>
      <c r="AA717" s="2621"/>
      <c r="AL717" s="2618"/>
    </row>
    <row r="718" spans="19:38">
      <c r="S718" s="2618"/>
      <c r="Y718" s="2620"/>
      <c r="Z718" s="2620"/>
      <c r="AA718" s="2621"/>
      <c r="AL718" s="2618"/>
    </row>
    <row r="719" spans="19:38">
      <c r="S719" s="2618"/>
      <c r="Y719" s="2620"/>
      <c r="Z719" s="2620"/>
      <c r="AA719" s="2621"/>
      <c r="AL719" s="2618"/>
    </row>
    <row r="720" spans="19:38">
      <c r="S720" s="2618"/>
      <c r="Y720" s="2620"/>
      <c r="Z720" s="2620"/>
      <c r="AA720" s="2621"/>
      <c r="AL720" s="2618"/>
    </row>
    <row r="721" spans="19:38">
      <c r="S721" s="2618"/>
      <c r="Y721" s="2620"/>
      <c r="Z721" s="2620"/>
      <c r="AA721" s="2621"/>
      <c r="AL721" s="2618"/>
    </row>
    <row r="722" spans="19:38">
      <c r="S722" s="2618"/>
      <c r="Y722" s="2620"/>
      <c r="Z722" s="2620"/>
      <c r="AA722" s="2621"/>
      <c r="AL722" s="2618"/>
    </row>
    <row r="723" spans="19:38">
      <c r="S723" s="2618"/>
      <c r="Y723" s="2620"/>
      <c r="Z723" s="2620"/>
      <c r="AA723" s="2621"/>
      <c r="AL723" s="2618"/>
    </row>
    <row r="724" spans="19:38">
      <c r="S724" s="2618"/>
      <c r="Y724" s="2620"/>
      <c r="Z724" s="2620"/>
      <c r="AA724" s="2621"/>
      <c r="AL724" s="2618"/>
    </row>
    <row r="725" spans="19:38">
      <c r="S725" s="2618"/>
      <c r="Y725" s="2620"/>
      <c r="Z725" s="2620"/>
      <c r="AA725" s="2621"/>
      <c r="AL725" s="2618"/>
    </row>
    <row r="726" spans="19:38">
      <c r="S726" s="2618"/>
      <c r="Y726" s="2620"/>
      <c r="Z726" s="2620"/>
      <c r="AA726" s="2621"/>
      <c r="AL726" s="2618"/>
    </row>
    <row r="727" spans="19:38">
      <c r="S727" s="2618"/>
      <c r="Y727" s="2620"/>
      <c r="Z727" s="2620"/>
      <c r="AA727" s="2621"/>
      <c r="AL727" s="2618"/>
    </row>
    <row r="728" spans="19:38">
      <c r="S728" s="2618"/>
      <c r="Y728" s="2620"/>
      <c r="Z728" s="2620"/>
      <c r="AA728" s="2621"/>
      <c r="AL728" s="2618"/>
    </row>
    <row r="729" spans="19:38">
      <c r="S729" s="2618"/>
      <c r="Y729" s="2620"/>
      <c r="Z729" s="2620"/>
      <c r="AA729" s="2621"/>
      <c r="AL729" s="2618"/>
    </row>
    <row r="730" spans="19:38">
      <c r="S730" s="2618"/>
      <c r="Y730" s="2620"/>
      <c r="Z730" s="2620"/>
      <c r="AA730" s="2621"/>
      <c r="AL730" s="2618"/>
    </row>
    <row r="731" spans="19:38">
      <c r="S731" s="2618"/>
      <c r="Y731" s="2620"/>
      <c r="Z731" s="2620"/>
      <c r="AA731" s="2621"/>
      <c r="AL731" s="2618"/>
    </row>
    <row r="732" spans="19:38">
      <c r="S732" s="2618"/>
      <c r="Y732" s="2620"/>
      <c r="Z732" s="2620"/>
      <c r="AA732" s="2621"/>
      <c r="AL732" s="2618"/>
    </row>
    <row r="733" spans="19:38">
      <c r="S733" s="2618"/>
      <c r="Y733" s="2620"/>
      <c r="Z733" s="2620"/>
      <c r="AA733" s="2621"/>
      <c r="AL733" s="2618"/>
    </row>
    <row r="734" spans="19:38">
      <c r="S734" s="2618"/>
      <c r="Y734" s="2620"/>
      <c r="Z734" s="2620"/>
      <c r="AA734" s="2621"/>
      <c r="AL734" s="2618"/>
    </row>
    <row r="735" spans="19:38">
      <c r="S735" s="2618"/>
      <c r="Y735" s="2620"/>
      <c r="Z735" s="2620"/>
      <c r="AA735" s="2621"/>
      <c r="AL735" s="2618"/>
    </row>
    <row r="736" spans="19:38">
      <c r="S736" s="2618"/>
      <c r="Y736" s="2620"/>
      <c r="Z736" s="2620"/>
      <c r="AA736" s="2621"/>
      <c r="AL736" s="2618"/>
    </row>
    <row r="737" spans="19:38">
      <c r="S737" s="2618"/>
      <c r="Y737" s="2620"/>
      <c r="Z737" s="2620"/>
      <c r="AA737" s="2621"/>
      <c r="AL737" s="2618"/>
    </row>
    <row r="738" spans="19:38">
      <c r="S738" s="2618"/>
      <c r="Y738" s="2620"/>
      <c r="Z738" s="2620"/>
      <c r="AA738" s="2621"/>
      <c r="AL738" s="2618"/>
    </row>
    <row r="739" spans="19:38">
      <c r="S739" s="2618"/>
      <c r="Y739" s="2620"/>
      <c r="Z739" s="2620"/>
      <c r="AA739" s="2621"/>
      <c r="AL739" s="2618"/>
    </row>
    <row r="740" spans="19:38">
      <c r="S740" s="2618"/>
      <c r="Y740" s="2620"/>
      <c r="Z740" s="2620"/>
      <c r="AA740" s="2621"/>
      <c r="AL740" s="2618"/>
    </row>
    <row r="741" spans="19:38">
      <c r="S741" s="2618"/>
      <c r="Y741" s="2620"/>
      <c r="Z741" s="2620"/>
      <c r="AA741" s="2621"/>
      <c r="AL741" s="2618"/>
    </row>
    <row r="742" spans="19:38">
      <c r="S742" s="2618"/>
      <c r="Y742" s="2620"/>
      <c r="Z742" s="2620"/>
      <c r="AA742" s="2621"/>
      <c r="AL742" s="2618"/>
    </row>
    <row r="743" spans="19:38">
      <c r="S743" s="2618"/>
      <c r="Y743" s="2620"/>
      <c r="Z743" s="2620"/>
      <c r="AA743" s="2621"/>
      <c r="AL743" s="2618"/>
    </row>
    <row r="744" spans="19:38">
      <c r="S744" s="2618"/>
      <c r="Y744" s="2620"/>
      <c r="Z744" s="2620"/>
      <c r="AA744" s="2621"/>
      <c r="AL744" s="2618"/>
    </row>
    <row r="745" spans="19:38">
      <c r="S745" s="2618"/>
      <c r="Y745" s="2620"/>
      <c r="Z745" s="2620"/>
      <c r="AA745" s="2621"/>
      <c r="AL745" s="2618"/>
    </row>
    <row r="746" spans="19:38">
      <c r="S746" s="2618"/>
      <c r="Y746" s="2620"/>
      <c r="Z746" s="2620"/>
      <c r="AA746" s="2621"/>
      <c r="AL746" s="2618"/>
    </row>
    <row r="747" spans="19:38">
      <c r="S747" s="2618"/>
      <c r="Y747" s="2620"/>
      <c r="Z747" s="2620"/>
      <c r="AA747" s="2621"/>
      <c r="AL747" s="2618"/>
    </row>
    <row r="748" spans="19:38">
      <c r="S748" s="2618"/>
      <c r="Y748" s="2620"/>
      <c r="Z748" s="2620"/>
      <c r="AA748" s="2621"/>
      <c r="AL748" s="2618"/>
    </row>
    <row r="749" spans="19:38">
      <c r="S749" s="2618"/>
      <c r="Y749" s="2620"/>
      <c r="Z749" s="2620"/>
      <c r="AA749" s="2621"/>
      <c r="AL749" s="2618"/>
    </row>
    <row r="750" spans="19:38">
      <c r="S750" s="2618"/>
      <c r="Y750" s="2620"/>
      <c r="Z750" s="2620"/>
      <c r="AA750" s="2621"/>
      <c r="AL750" s="2618"/>
    </row>
    <row r="751" spans="19:38">
      <c r="S751" s="2618"/>
      <c r="Y751" s="2620"/>
      <c r="Z751" s="2620"/>
      <c r="AA751" s="2621"/>
      <c r="AL751" s="2618"/>
    </row>
    <row r="752" spans="19:38">
      <c r="S752" s="2618"/>
      <c r="Y752" s="2620"/>
      <c r="Z752" s="2620"/>
      <c r="AA752" s="2621"/>
      <c r="AL752" s="2618"/>
    </row>
    <row r="753" spans="19:38">
      <c r="S753" s="2618"/>
      <c r="Y753" s="2620"/>
      <c r="Z753" s="2620"/>
      <c r="AA753" s="2621"/>
      <c r="AL753" s="2618"/>
    </row>
    <row r="754" spans="19:38">
      <c r="S754" s="2618"/>
      <c r="Y754" s="2620"/>
      <c r="Z754" s="2620"/>
      <c r="AA754" s="2621"/>
      <c r="AL754" s="2618"/>
    </row>
    <row r="755" spans="19:38">
      <c r="S755" s="2618"/>
      <c r="Y755" s="2620"/>
      <c r="Z755" s="2620"/>
      <c r="AA755" s="2621"/>
      <c r="AL755" s="2618"/>
    </row>
    <row r="756" spans="19:38">
      <c r="S756" s="2618"/>
      <c r="Y756" s="2620"/>
      <c r="Z756" s="2620"/>
      <c r="AA756" s="2621"/>
      <c r="AL756" s="2618"/>
    </row>
    <row r="757" spans="19:38">
      <c r="S757" s="2618"/>
      <c r="Y757" s="2620"/>
      <c r="Z757" s="2620"/>
      <c r="AA757" s="2621"/>
      <c r="AL757" s="2618"/>
    </row>
    <row r="758" spans="19:38">
      <c r="S758" s="2618"/>
      <c r="Y758" s="2620"/>
      <c r="Z758" s="2620"/>
      <c r="AA758" s="2621"/>
      <c r="AL758" s="2618"/>
    </row>
    <row r="759" spans="19:38">
      <c r="S759" s="2618"/>
      <c r="Y759" s="2620"/>
      <c r="Z759" s="2620"/>
      <c r="AA759" s="2621"/>
      <c r="AL759" s="2618"/>
    </row>
    <row r="760" spans="19:38">
      <c r="S760" s="2618"/>
      <c r="Y760" s="2620"/>
      <c r="Z760" s="2620"/>
      <c r="AA760" s="2621"/>
      <c r="AL760" s="2618"/>
    </row>
    <row r="761" spans="19:38">
      <c r="S761" s="2618"/>
      <c r="Y761" s="2620"/>
      <c r="Z761" s="2620"/>
      <c r="AA761" s="2621"/>
      <c r="AL761" s="2618"/>
    </row>
    <row r="762" spans="19:38">
      <c r="S762" s="2618"/>
      <c r="Y762" s="2620"/>
      <c r="Z762" s="2620"/>
      <c r="AA762" s="2621"/>
      <c r="AL762" s="2618"/>
    </row>
    <row r="763" spans="19:38">
      <c r="S763" s="2618"/>
      <c r="Y763" s="2620"/>
      <c r="Z763" s="2620"/>
      <c r="AA763" s="2621"/>
      <c r="AL763" s="2618"/>
    </row>
    <row r="764" spans="19:38">
      <c r="S764" s="2618"/>
      <c r="Y764" s="2620"/>
      <c r="Z764" s="2620"/>
      <c r="AA764" s="2621"/>
      <c r="AL764" s="2618"/>
    </row>
    <row r="765" spans="19:38">
      <c r="S765" s="2618"/>
      <c r="Y765" s="2620"/>
      <c r="Z765" s="2620"/>
      <c r="AA765" s="2621"/>
      <c r="AL765" s="2618"/>
    </row>
    <row r="766" spans="19:38">
      <c r="S766" s="2618"/>
      <c r="Y766" s="2620"/>
      <c r="Z766" s="2620"/>
      <c r="AA766" s="2621"/>
      <c r="AL766" s="2618"/>
    </row>
    <row r="767" spans="19:38">
      <c r="S767" s="2618"/>
      <c r="Y767" s="2620"/>
      <c r="Z767" s="2620"/>
      <c r="AA767" s="2621"/>
      <c r="AL767" s="2618"/>
    </row>
    <row r="768" spans="19:38">
      <c r="S768" s="2618"/>
      <c r="Y768" s="2620"/>
      <c r="Z768" s="2620"/>
      <c r="AA768" s="2621"/>
      <c r="AL768" s="2618"/>
    </row>
    <row r="769" spans="19:38">
      <c r="S769" s="2618"/>
      <c r="Y769" s="2620"/>
      <c r="Z769" s="2620"/>
      <c r="AA769" s="2621"/>
      <c r="AL769" s="2618"/>
    </row>
    <row r="770" spans="19:38">
      <c r="S770" s="2618"/>
      <c r="Y770" s="2620"/>
      <c r="Z770" s="2620"/>
      <c r="AA770" s="2621"/>
      <c r="AL770" s="2618"/>
    </row>
    <row r="771" spans="19:38">
      <c r="S771" s="2618"/>
      <c r="Y771" s="2620"/>
      <c r="Z771" s="2620"/>
      <c r="AA771" s="2621"/>
      <c r="AL771" s="2618"/>
    </row>
    <row r="772" spans="19:38">
      <c r="S772" s="2618"/>
      <c r="Y772" s="2620"/>
      <c r="Z772" s="2620"/>
      <c r="AA772" s="2621"/>
      <c r="AL772" s="2618"/>
    </row>
    <row r="773" spans="19:38">
      <c r="S773" s="2618"/>
      <c r="Y773" s="2620"/>
      <c r="Z773" s="2620"/>
      <c r="AA773" s="2621"/>
      <c r="AL773" s="2618"/>
    </row>
    <row r="774" spans="19:38">
      <c r="S774" s="2618"/>
      <c r="Y774" s="2620"/>
      <c r="Z774" s="2620"/>
      <c r="AA774" s="2621"/>
      <c r="AL774" s="2618"/>
    </row>
    <row r="775" spans="19:38">
      <c r="S775" s="2618"/>
      <c r="Y775" s="2620"/>
      <c r="Z775" s="2620"/>
      <c r="AA775" s="2621"/>
      <c r="AL775" s="2618"/>
    </row>
    <row r="776" spans="19:38">
      <c r="S776" s="2618"/>
      <c r="Y776" s="2620"/>
      <c r="Z776" s="2620"/>
      <c r="AA776" s="2621"/>
      <c r="AL776" s="2618"/>
    </row>
    <row r="777" spans="19:38">
      <c r="S777" s="2618"/>
      <c r="Y777" s="2620"/>
      <c r="Z777" s="2620"/>
      <c r="AA777" s="2621"/>
      <c r="AL777" s="2618"/>
    </row>
    <row r="778" spans="19:38">
      <c r="S778" s="2618"/>
      <c r="Y778" s="2620"/>
      <c r="Z778" s="2620"/>
      <c r="AA778" s="2621"/>
      <c r="AL778" s="2618"/>
    </row>
    <row r="779" spans="19:38">
      <c r="S779" s="2618"/>
      <c r="Y779" s="2620"/>
      <c r="Z779" s="2620"/>
      <c r="AA779" s="2621"/>
      <c r="AL779" s="2618"/>
    </row>
    <row r="780" spans="19:38">
      <c r="S780" s="2618"/>
      <c r="Y780" s="2620"/>
      <c r="Z780" s="2620"/>
      <c r="AA780" s="2621"/>
      <c r="AL780" s="2618"/>
    </row>
    <row r="781" spans="19:38">
      <c r="S781" s="2618"/>
      <c r="Y781" s="2620"/>
      <c r="Z781" s="2620"/>
      <c r="AA781" s="2621"/>
      <c r="AL781" s="2618"/>
    </row>
    <row r="782" spans="19:38">
      <c r="S782" s="2618"/>
      <c r="Y782" s="2620"/>
      <c r="Z782" s="2620"/>
      <c r="AA782" s="2621"/>
      <c r="AL782" s="2618"/>
    </row>
    <row r="783" spans="19:38">
      <c r="S783" s="2618"/>
      <c r="Y783" s="2620"/>
      <c r="Z783" s="2620"/>
      <c r="AA783" s="2621"/>
      <c r="AL783" s="2618"/>
    </row>
    <row r="784" spans="19:38">
      <c r="S784" s="2618"/>
      <c r="Y784" s="2620"/>
      <c r="Z784" s="2620"/>
      <c r="AA784" s="2621"/>
      <c r="AL784" s="2618"/>
    </row>
    <row r="785" spans="19:38">
      <c r="S785" s="2618"/>
      <c r="Y785" s="2620"/>
      <c r="Z785" s="2620"/>
      <c r="AA785" s="2621"/>
      <c r="AL785" s="2618"/>
    </row>
    <row r="786" spans="19:38">
      <c r="S786" s="2618"/>
      <c r="Y786" s="2620"/>
      <c r="Z786" s="2620"/>
      <c r="AA786" s="2621"/>
      <c r="AL786" s="2618"/>
    </row>
    <row r="787" spans="19:38">
      <c r="S787" s="2618"/>
      <c r="Y787" s="2620"/>
      <c r="Z787" s="2620"/>
      <c r="AA787" s="2621"/>
      <c r="AL787" s="2618"/>
    </row>
    <row r="788" spans="19:38">
      <c r="S788" s="2618"/>
      <c r="Y788" s="2620"/>
      <c r="Z788" s="2620"/>
      <c r="AA788" s="2621"/>
      <c r="AL788" s="2618"/>
    </row>
    <row r="789" spans="19:38">
      <c r="S789" s="2618"/>
      <c r="Y789" s="2620"/>
      <c r="Z789" s="2620"/>
      <c r="AA789" s="2621"/>
      <c r="AL789" s="2618"/>
    </row>
    <row r="790" spans="19:38">
      <c r="S790" s="2618"/>
      <c r="Y790" s="2620"/>
      <c r="Z790" s="2620"/>
      <c r="AA790" s="2621"/>
      <c r="AL790" s="2618"/>
    </row>
    <row r="791" spans="19:38">
      <c r="S791" s="2618"/>
      <c r="Y791" s="2620"/>
      <c r="Z791" s="2620"/>
      <c r="AA791" s="2621"/>
      <c r="AL791" s="2618"/>
    </row>
    <row r="792" spans="19:38">
      <c r="S792" s="2618"/>
      <c r="Y792" s="2620"/>
      <c r="Z792" s="2620"/>
      <c r="AA792" s="2621"/>
      <c r="AL792" s="2618"/>
    </row>
    <row r="793" spans="19:38">
      <c r="S793" s="2618"/>
      <c r="Y793" s="2620"/>
      <c r="Z793" s="2620"/>
      <c r="AA793" s="2621"/>
      <c r="AL793" s="2618"/>
    </row>
    <row r="794" spans="19:38">
      <c r="S794" s="2618"/>
      <c r="Y794" s="2620"/>
      <c r="Z794" s="2620"/>
      <c r="AA794" s="2621"/>
      <c r="AL794" s="2618"/>
    </row>
    <row r="795" spans="19:38">
      <c r="S795" s="2618"/>
      <c r="Y795" s="2620"/>
      <c r="Z795" s="2620"/>
      <c r="AA795" s="2621"/>
      <c r="AL795" s="2618"/>
    </row>
    <row r="796" spans="19:38">
      <c r="S796" s="2618"/>
      <c r="Y796" s="2620"/>
      <c r="Z796" s="2620"/>
      <c r="AA796" s="2621"/>
      <c r="AL796" s="2618"/>
    </row>
    <row r="797" spans="19:38">
      <c r="S797" s="2618"/>
      <c r="Y797" s="2620"/>
      <c r="Z797" s="2620"/>
      <c r="AA797" s="2621"/>
      <c r="AL797" s="2618"/>
    </row>
    <row r="798" spans="19:38">
      <c r="S798" s="2618"/>
      <c r="Y798" s="2620"/>
      <c r="Z798" s="2620"/>
      <c r="AA798" s="2621"/>
      <c r="AL798" s="2618"/>
    </row>
    <row r="799" spans="19:38">
      <c r="S799" s="2618"/>
      <c r="Y799" s="2620"/>
      <c r="Z799" s="2620"/>
      <c r="AA799" s="2621"/>
      <c r="AL799" s="2618"/>
    </row>
    <row r="800" spans="19:38">
      <c r="S800" s="2618"/>
      <c r="Y800" s="2620"/>
      <c r="Z800" s="2620"/>
      <c r="AA800" s="2621"/>
      <c r="AL800" s="2618"/>
    </row>
    <row r="801" spans="19:38">
      <c r="S801" s="2618"/>
      <c r="Y801" s="2620"/>
      <c r="Z801" s="2620"/>
      <c r="AA801" s="2621"/>
      <c r="AL801" s="2618"/>
    </row>
    <row r="802" spans="19:38">
      <c r="S802" s="2618"/>
      <c r="Y802" s="2620"/>
      <c r="Z802" s="2620"/>
      <c r="AA802" s="2621"/>
      <c r="AL802" s="2618"/>
    </row>
    <row r="803" spans="19:38">
      <c r="S803" s="2618"/>
      <c r="Y803" s="2620"/>
      <c r="Z803" s="2620"/>
      <c r="AA803" s="2621"/>
      <c r="AL803" s="2618"/>
    </row>
    <row r="804" spans="19:38">
      <c r="S804" s="2618"/>
      <c r="Y804" s="2620"/>
      <c r="Z804" s="2620"/>
      <c r="AA804" s="2621"/>
      <c r="AL804" s="2618"/>
    </row>
    <row r="805" spans="19:38">
      <c r="S805" s="2618"/>
      <c r="Y805" s="2620"/>
      <c r="Z805" s="2620"/>
      <c r="AA805" s="2621"/>
      <c r="AL805" s="2618"/>
    </row>
    <row r="806" spans="19:38">
      <c r="S806" s="2618"/>
      <c r="Y806" s="2620"/>
      <c r="Z806" s="2620"/>
      <c r="AA806" s="2621"/>
      <c r="AL806" s="2618"/>
    </row>
    <row r="807" spans="19:38">
      <c r="S807" s="2618"/>
      <c r="Y807" s="2620"/>
      <c r="Z807" s="2620"/>
      <c r="AA807" s="2621"/>
      <c r="AL807" s="2618"/>
    </row>
    <row r="808" spans="19:38">
      <c r="S808" s="2618"/>
      <c r="Y808" s="2620"/>
      <c r="Z808" s="2620"/>
      <c r="AA808" s="2621"/>
      <c r="AL808" s="2618"/>
    </row>
    <row r="809" spans="19:38">
      <c r="S809" s="2618"/>
      <c r="Y809" s="2620"/>
      <c r="Z809" s="2620"/>
      <c r="AA809" s="2621"/>
      <c r="AL809" s="2618"/>
    </row>
    <row r="810" spans="19:38">
      <c r="S810" s="2618"/>
      <c r="Y810" s="2620"/>
      <c r="Z810" s="2620"/>
      <c r="AA810" s="2621"/>
      <c r="AL810" s="2618"/>
    </row>
    <row r="811" spans="19:38">
      <c r="S811" s="2618"/>
      <c r="Y811" s="2620"/>
      <c r="Z811" s="2620"/>
      <c r="AA811" s="2621"/>
      <c r="AL811" s="2618"/>
    </row>
    <row r="812" spans="19:38">
      <c r="S812" s="2618"/>
      <c r="Y812" s="2620"/>
      <c r="Z812" s="2620"/>
      <c r="AA812" s="2621"/>
      <c r="AL812" s="2618"/>
    </row>
    <row r="813" spans="19:38">
      <c r="S813" s="2618"/>
      <c r="Y813" s="2620"/>
      <c r="Z813" s="2620"/>
      <c r="AA813" s="2621"/>
      <c r="AL813" s="2618"/>
    </row>
    <row r="814" spans="19:38">
      <c r="S814" s="2618"/>
      <c r="Y814" s="2620"/>
      <c r="Z814" s="2620"/>
      <c r="AA814" s="2621"/>
      <c r="AL814" s="2618"/>
    </row>
    <row r="815" spans="19:38">
      <c r="S815" s="2618"/>
      <c r="Y815" s="2620"/>
      <c r="Z815" s="2620"/>
      <c r="AA815" s="2621"/>
      <c r="AL815" s="2618"/>
    </row>
    <row r="816" spans="19:38">
      <c r="S816" s="2618"/>
      <c r="Y816" s="2620"/>
      <c r="Z816" s="2620"/>
      <c r="AA816" s="2621"/>
      <c r="AL816" s="2618"/>
    </row>
    <row r="817" spans="19:38">
      <c r="S817" s="2618"/>
      <c r="Y817" s="2620"/>
      <c r="Z817" s="2620"/>
      <c r="AA817" s="2621"/>
      <c r="AL817" s="2618"/>
    </row>
    <row r="818" spans="19:38">
      <c r="S818" s="2618"/>
      <c r="Y818" s="2620"/>
      <c r="Z818" s="2620"/>
      <c r="AA818" s="2621"/>
      <c r="AL818" s="2618"/>
    </row>
    <row r="819" spans="19:38">
      <c r="S819" s="2618"/>
      <c r="Y819" s="2620"/>
      <c r="Z819" s="2620"/>
      <c r="AA819" s="2621"/>
      <c r="AL819" s="2618"/>
    </row>
    <row r="820" spans="19:38">
      <c r="S820" s="2618"/>
      <c r="Y820" s="2620"/>
      <c r="Z820" s="2620"/>
      <c r="AA820" s="2621"/>
      <c r="AL820" s="2618"/>
    </row>
    <row r="821" spans="19:38">
      <c r="S821" s="2618"/>
      <c r="Y821" s="2620"/>
      <c r="Z821" s="2620"/>
      <c r="AA821" s="2621"/>
      <c r="AL821" s="2618"/>
    </row>
    <row r="822" spans="19:38">
      <c r="S822" s="2618"/>
      <c r="Y822" s="2620"/>
      <c r="Z822" s="2620"/>
      <c r="AA822" s="2621"/>
      <c r="AL822" s="2618"/>
    </row>
    <row r="823" spans="19:38">
      <c r="S823" s="2618"/>
      <c r="Y823" s="2620"/>
      <c r="Z823" s="2620"/>
      <c r="AA823" s="2621"/>
      <c r="AL823" s="2618"/>
    </row>
    <row r="824" spans="19:38">
      <c r="S824" s="2618"/>
      <c r="Y824" s="2620"/>
      <c r="Z824" s="2620"/>
      <c r="AA824" s="2621"/>
      <c r="AL824" s="2618"/>
    </row>
    <row r="825" spans="19:38">
      <c r="S825" s="2618"/>
      <c r="Y825" s="2620"/>
      <c r="Z825" s="2620"/>
      <c r="AA825" s="2621"/>
      <c r="AL825" s="2618"/>
    </row>
    <row r="826" spans="19:38">
      <c r="S826" s="2618"/>
      <c r="Y826" s="2620"/>
      <c r="Z826" s="2620"/>
      <c r="AA826" s="2621"/>
      <c r="AL826" s="2618"/>
    </row>
    <row r="827" spans="19:38">
      <c r="S827" s="2618"/>
      <c r="Y827" s="2620"/>
      <c r="Z827" s="2620"/>
      <c r="AA827" s="2621"/>
      <c r="AL827" s="2618"/>
    </row>
    <row r="828" spans="19:38">
      <c r="S828" s="2618"/>
      <c r="Y828" s="2620"/>
      <c r="Z828" s="2620"/>
      <c r="AA828" s="2621"/>
      <c r="AL828" s="2618"/>
    </row>
    <row r="829" spans="19:38">
      <c r="S829" s="2618"/>
      <c r="Y829" s="2620"/>
      <c r="Z829" s="2620"/>
      <c r="AA829" s="2621"/>
      <c r="AL829" s="2618"/>
    </row>
    <row r="830" spans="19:38">
      <c r="S830" s="2618"/>
      <c r="Y830" s="2620"/>
      <c r="Z830" s="2620"/>
      <c r="AA830" s="2621"/>
      <c r="AL830" s="2618"/>
    </row>
    <row r="831" spans="19:38">
      <c r="S831" s="2618"/>
      <c r="Y831" s="2620"/>
      <c r="Z831" s="2620"/>
      <c r="AA831" s="2621"/>
      <c r="AL831" s="2618"/>
    </row>
    <row r="832" spans="19:38">
      <c r="S832" s="2618"/>
      <c r="Y832" s="2620"/>
      <c r="Z832" s="2620"/>
      <c r="AA832" s="2621"/>
      <c r="AL832" s="2618"/>
    </row>
    <row r="833" spans="19:38">
      <c r="S833" s="2618"/>
      <c r="Y833" s="2620"/>
      <c r="Z833" s="2620"/>
      <c r="AA833" s="2621"/>
      <c r="AL833" s="2618"/>
    </row>
    <row r="834" spans="19:38">
      <c r="S834" s="2618"/>
      <c r="Y834" s="2620"/>
      <c r="Z834" s="2620"/>
      <c r="AA834" s="2621"/>
      <c r="AL834" s="2618"/>
    </row>
    <row r="835" spans="19:38">
      <c r="S835" s="2618"/>
      <c r="Y835" s="2620"/>
      <c r="Z835" s="2620"/>
      <c r="AA835" s="2621"/>
      <c r="AL835" s="2618"/>
    </row>
    <row r="836" spans="19:38">
      <c r="S836" s="2618"/>
      <c r="Y836" s="2620"/>
      <c r="Z836" s="2620"/>
      <c r="AA836" s="2621"/>
      <c r="AL836" s="2618"/>
    </row>
    <row r="837" spans="19:38">
      <c r="S837" s="2618"/>
      <c r="Y837" s="2620"/>
      <c r="Z837" s="2620"/>
      <c r="AA837" s="2621"/>
      <c r="AL837" s="2618"/>
    </row>
    <row r="838" spans="19:38">
      <c r="S838" s="2618"/>
      <c r="Y838" s="2620"/>
      <c r="Z838" s="2620"/>
      <c r="AA838" s="2621"/>
      <c r="AL838" s="2618"/>
    </row>
    <row r="839" spans="19:38">
      <c r="S839" s="2618"/>
      <c r="Y839" s="2620"/>
      <c r="Z839" s="2620"/>
      <c r="AA839" s="2621"/>
      <c r="AL839" s="2618"/>
    </row>
    <row r="840" spans="19:38">
      <c r="S840" s="2618"/>
      <c r="Y840" s="2620"/>
      <c r="Z840" s="2620"/>
      <c r="AA840" s="2621"/>
      <c r="AL840" s="2618"/>
    </row>
    <row r="841" spans="19:38">
      <c r="S841" s="2618"/>
      <c r="Y841" s="2620"/>
      <c r="Z841" s="2620"/>
      <c r="AA841" s="2621"/>
      <c r="AL841" s="2618"/>
    </row>
    <row r="842" spans="19:38">
      <c r="S842" s="2618"/>
      <c r="Y842" s="2620"/>
      <c r="Z842" s="2620"/>
      <c r="AA842" s="2621"/>
      <c r="AL842" s="2618"/>
    </row>
    <row r="843" spans="19:38">
      <c r="S843" s="2618"/>
      <c r="Y843" s="2620"/>
      <c r="Z843" s="2620"/>
      <c r="AA843" s="2621"/>
      <c r="AL843" s="2618"/>
    </row>
    <row r="844" spans="19:38">
      <c r="S844" s="2618"/>
      <c r="Y844" s="2620"/>
      <c r="Z844" s="2620"/>
      <c r="AA844" s="2621"/>
      <c r="AL844" s="2618"/>
    </row>
    <row r="845" spans="19:38">
      <c r="S845" s="2618"/>
      <c r="Y845" s="2620"/>
      <c r="Z845" s="2620"/>
      <c r="AA845" s="2621"/>
      <c r="AL845" s="2618"/>
    </row>
    <row r="846" spans="19:38">
      <c r="S846" s="2618"/>
      <c r="Y846" s="2620"/>
      <c r="Z846" s="2620"/>
      <c r="AA846" s="2621"/>
      <c r="AL846" s="2618"/>
    </row>
    <row r="847" spans="19:38">
      <c r="S847" s="2618"/>
      <c r="Y847" s="2620"/>
      <c r="Z847" s="2620"/>
      <c r="AA847" s="2621"/>
      <c r="AL847" s="2618"/>
    </row>
    <row r="848" spans="19:38">
      <c r="S848" s="2618"/>
      <c r="Y848" s="2620"/>
      <c r="Z848" s="2620"/>
      <c r="AA848" s="2621"/>
      <c r="AL848" s="2618"/>
    </row>
    <row r="849" spans="19:38">
      <c r="S849" s="2618"/>
      <c r="Y849" s="2620"/>
      <c r="Z849" s="2620"/>
      <c r="AA849" s="2621"/>
      <c r="AL849" s="2618"/>
    </row>
    <row r="850" spans="19:38">
      <c r="S850" s="2618"/>
      <c r="Y850" s="2620"/>
      <c r="Z850" s="2620"/>
      <c r="AA850" s="2621"/>
      <c r="AL850" s="2618"/>
    </row>
    <row r="851" spans="19:38">
      <c r="S851" s="2618"/>
      <c r="Y851" s="2620"/>
      <c r="Z851" s="2620"/>
      <c r="AA851" s="2621"/>
      <c r="AL851" s="2618"/>
    </row>
    <row r="852" spans="19:38">
      <c r="S852" s="2618"/>
      <c r="Y852" s="2620"/>
      <c r="Z852" s="2620"/>
      <c r="AA852" s="2621"/>
      <c r="AL852" s="2618"/>
    </row>
    <row r="853" spans="19:38">
      <c r="S853" s="2618"/>
      <c r="Y853" s="2620"/>
      <c r="Z853" s="2620"/>
      <c r="AA853" s="2621"/>
      <c r="AL853" s="2618"/>
    </row>
    <row r="854" spans="19:38">
      <c r="S854" s="2618"/>
      <c r="Y854" s="2620"/>
      <c r="Z854" s="2620"/>
      <c r="AA854" s="2621"/>
      <c r="AL854" s="2618"/>
    </row>
    <row r="855" spans="19:38">
      <c r="S855" s="2618"/>
      <c r="Y855" s="2620"/>
      <c r="Z855" s="2620"/>
      <c r="AA855" s="2621"/>
      <c r="AL855" s="2618"/>
    </row>
    <row r="856" spans="19:38">
      <c r="S856" s="2618"/>
      <c r="Y856" s="2620"/>
      <c r="Z856" s="2620"/>
      <c r="AA856" s="2621"/>
      <c r="AL856" s="2618"/>
    </row>
    <row r="857" spans="19:38">
      <c r="S857" s="2618"/>
      <c r="Y857" s="2620"/>
      <c r="Z857" s="2620"/>
      <c r="AA857" s="2621"/>
      <c r="AL857" s="2618"/>
    </row>
    <row r="858" spans="19:38">
      <c r="S858" s="2618"/>
      <c r="Y858" s="2620"/>
      <c r="Z858" s="2620"/>
      <c r="AA858" s="2621"/>
      <c r="AL858" s="2618"/>
    </row>
    <row r="859" spans="19:38">
      <c r="S859" s="2618"/>
      <c r="Y859" s="2620"/>
      <c r="Z859" s="2620"/>
      <c r="AA859" s="2621"/>
      <c r="AL859" s="2618"/>
    </row>
    <row r="860" spans="19:38">
      <c r="S860" s="2618"/>
      <c r="Y860" s="2620"/>
      <c r="Z860" s="2620"/>
      <c r="AA860" s="2621"/>
      <c r="AL860" s="2618"/>
    </row>
    <row r="861" spans="19:38">
      <c r="S861" s="2618"/>
      <c r="Y861" s="2620"/>
      <c r="Z861" s="2620"/>
      <c r="AA861" s="2621"/>
      <c r="AL861" s="2618"/>
    </row>
    <row r="862" spans="19:38">
      <c r="S862" s="2618"/>
      <c r="Y862" s="2620"/>
      <c r="Z862" s="2620"/>
      <c r="AA862" s="2621"/>
      <c r="AL862" s="2618"/>
    </row>
    <row r="863" spans="19:38">
      <c r="S863" s="2618"/>
      <c r="Y863" s="2620"/>
      <c r="Z863" s="2620"/>
      <c r="AA863" s="2621"/>
      <c r="AL863" s="2618"/>
    </row>
    <row r="864" spans="19:38">
      <c r="S864" s="2618"/>
      <c r="Y864" s="2620"/>
      <c r="Z864" s="2620"/>
      <c r="AA864" s="2621"/>
      <c r="AL864" s="2618"/>
    </row>
    <row r="865" spans="19:38">
      <c r="S865" s="2618"/>
      <c r="Y865" s="2620"/>
      <c r="Z865" s="2620"/>
      <c r="AA865" s="2621"/>
      <c r="AL865" s="2618"/>
    </row>
    <row r="866" spans="19:38">
      <c r="S866" s="2618"/>
      <c r="Y866" s="2620"/>
      <c r="Z866" s="2620"/>
      <c r="AA866" s="2621"/>
      <c r="AL866" s="2618"/>
    </row>
    <row r="867" spans="19:38">
      <c r="S867" s="2618"/>
      <c r="Y867" s="2620"/>
      <c r="Z867" s="2620"/>
      <c r="AA867" s="2621"/>
      <c r="AL867" s="2618"/>
    </row>
    <row r="868" spans="19:38">
      <c r="S868" s="2618"/>
      <c r="Y868" s="2620"/>
      <c r="Z868" s="2620"/>
      <c r="AA868" s="2621"/>
      <c r="AL868" s="2618"/>
    </row>
    <row r="869" spans="19:38">
      <c r="S869" s="2618"/>
      <c r="Y869" s="2620"/>
      <c r="Z869" s="2620"/>
      <c r="AA869" s="2621"/>
      <c r="AL869" s="2618"/>
    </row>
    <row r="870" spans="19:38">
      <c r="S870" s="2618"/>
      <c r="Y870" s="2620"/>
      <c r="Z870" s="2620"/>
      <c r="AA870" s="2621"/>
      <c r="AL870" s="2618"/>
    </row>
    <row r="871" spans="19:38">
      <c r="S871" s="2618"/>
      <c r="Y871" s="2620"/>
      <c r="Z871" s="2620"/>
      <c r="AA871" s="2621"/>
      <c r="AL871" s="2618"/>
    </row>
    <row r="872" spans="19:38">
      <c r="S872" s="2618"/>
      <c r="Y872" s="2620"/>
      <c r="Z872" s="2620"/>
      <c r="AA872" s="2621"/>
      <c r="AL872" s="2618"/>
    </row>
    <row r="873" spans="19:38">
      <c r="S873" s="2618"/>
      <c r="Y873" s="2620"/>
      <c r="Z873" s="2620"/>
      <c r="AA873" s="2621"/>
      <c r="AL873" s="2618"/>
    </row>
    <row r="874" spans="19:38">
      <c r="S874" s="2618"/>
      <c r="Y874" s="2620"/>
      <c r="Z874" s="2620"/>
      <c r="AA874" s="2621"/>
      <c r="AL874" s="2618"/>
    </row>
    <row r="875" spans="19:38">
      <c r="S875" s="2618"/>
      <c r="Y875" s="2620"/>
      <c r="Z875" s="2620"/>
      <c r="AA875" s="2621"/>
      <c r="AL875" s="2618"/>
    </row>
    <row r="876" spans="19:38">
      <c r="S876" s="2618"/>
      <c r="Y876" s="2620"/>
      <c r="Z876" s="2620"/>
      <c r="AA876" s="2621"/>
      <c r="AL876" s="2618"/>
    </row>
    <row r="877" spans="19:38">
      <c r="S877" s="2618"/>
      <c r="Y877" s="2620"/>
      <c r="Z877" s="2620"/>
      <c r="AA877" s="2621"/>
      <c r="AL877" s="2618"/>
    </row>
    <row r="878" spans="19:38">
      <c r="S878" s="2618"/>
      <c r="Y878" s="2620"/>
      <c r="Z878" s="2620"/>
      <c r="AA878" s="2621"/>
      <c r="AL878" s="2618"/>
    </row>
    <row r="879" spans="19:38">
      <c r="S879" s="2618"/>
      <c r="Y879" s="2620"/>
      <c r="Z879" s="2620"/>
      <c r="AA879" s="2621"/>
      <c r="AL879" s="2618"/>
    </row>
    <row r="880" spans="19:38">
      <c r="S880" s="2618"/>
      <c r="Y880" s="2620"/>
      <c r="Z880" s="2620"/>
      <c r="AA880" s="2621"/>
      <c r="AL880" s="2618"/>
    </row>
    <row r="881" spans="19:38">
      <c r="S881" s="2618"/>
      <c r="Y881" s="2620"/>
      <c r="Z881" s="2620"/>
      <c r="AA881" s="2621"/>
      <c r="AL881" s="2618"/>
    </row>
    <row r="882" spans="19:38">
      <c r="S882" s="2618"/>
      <c r="Y882" s="2620"/>
      <c r="Z882" s="2620"/>
      <c r="AA882" s="2621"/>
      <c r="AL882" s="2618"/>
    </row>
    <row r="883" spans="19:38">
      <c r="S883" s="2618"/>
      <c r="Y883" s="2620"/>
      <c r="Z883" s="2620"/>
      <c r="AA883" s="2621"/>
      <c r="AL883" s="2618"/>
    </row>
    <row r="884" spans="19:38">
      <c r="S884" s="2618"/>
      <c r="Y884" s="2620"/>
      <c r="Z884" s="2620"/>
      <c r="AA884" s="2621"/>
      <c r="AL884" s="2618"/>
    </row>
    <row r="885" spans="19:38">
      <c r="S885" s="2618"/>
      <c r="Y885" s="2620"/>
      <c r="Z885" s="2620"/>
      <c r="AA885" s="2621"/>
      <c r="AL885" s="2618"/>
    </row>
    <row r="886" spans="19:38">
      <c r="S886" s="2618"/>
      <c r="Y886" s="2620"/>
      <c r="Z886" s="2620"/>
      <c r="AA886" s="2621"/>
      <c r="AL886" s="2618"/>
    </row>
    <row r="887" spans="19:38">
      <c r="S887" s="2618"/>
      <c r="Y887" s="2620"/>
      <c r="Z887" s="2620"/>
      <c r="AA887" s="2621"/>
      <c r="AL887" s="2618"/>
    </row>
    <row r="888" spans="19:38">
      <c r="S888" s="2618"/>
      <c r="Y888" s="2620"/>
      <c r="Z888" s="2620"/>
      <c r="AA888" s="2621"/>
      <c r="AL888" s="2618"/>
    </row>
    <row r="889" spans="19:38">
      <c r="S889" s="2618"/>
      <c r="Y889" s="2620"/>
      <c r="Z889" s="2620"/>
      <c r="AA889" s="2621"/>
      <c r="AL889" s="2618"/>
    </row>
    <row r="890" spans="19:38">
      <c r="S890" s="2618"/>
      <c r="Y890" s="2620"/>
      <c r="Z890" s="2620"/>
      <c r="AA890" s="2621"/>
      <c r="AL890" s="2618"/>
    </row>
    <row r="891" spans="19:38">
      <c r="S891" s="2618"/>
      <c r="Y891" s="2620"/>
      <c r="Z891" s="2620"/>
      <c r="AA891" s="2621"/>
      <c r="AL891" s="2618"/>
    </row>
    <row r="892" spans="19:38">
      <c r="S892" s="2618"/>
      <c r="Y892" s="2620"/>
      <c r="Z892" s="2620"/>
      <c r="AA892" s="2621"/>
      <c r="AL892" s="2618"/>
    </row>
    <row r="893" spans="19:38">
      <c r="S893" s="2618"/>
      <c r="Y893" s="2620"/>
      <c r="Z893" s="2620"/>
      <c r="AA893" s="2621"/>
      <c r="AL893" s="2618"/>
    </row>
    <row r="894" spans="19:38">
      <c r="S894" s="2618"/>
      <c r="Y894" s="2620"/>
      <c r="Z894" s="2620"/>
      <c r="AA894" s="2621"/>
      <c r="AL894" s="2618"/>
    </row>
    <row r="895" spans="19:38">
      <c r="S895" s="2618"/>
      <c r="Y895" s="2620"/>
      <c r="Z895" s="2620"/>
      <c r="AA895" s="2621"/>
      <c r="AL895" s="2618"/>
    </row>
    <row r="896" spans="19:38">
      <c r="S896" s="2618"/>
      <c r="Y896" s="2620"/>
      <c r="Z896" s="2620"/>
      <c r="AA896" s="2621"/>
      <c r="AL896" s="2618"/>
    </row>
    <row r="897" spans="19:38">
      <c r="S897" s="2618"/>
      <c r="Y897" s="2620"/>
      <c r="Z897" s="2620"/>
      <c r="AA897" s="2621"/>
      <c r="AL897" s="2618"/>
    </row>
    <row r="898" spans="19:38">
      <c r="S898" s="2618"/>
      <c r="Y898" s="2620"/>
      <c r="Z898" s="2620"/>
      <c r="AA898" s="2621"/>
      <c r="AL898" s="2618"/>
    </row>
    <row r="899" spans="19:38">
      <c r="S899" s="2618"/>
      <c r="Y899" s="2620"/>
      <c r="Z899" s="2620"/>
      <c r="AA899" s="2621"/>
      <c r="AL899" s="2618"/>
    </row>
    <row r="900" spans="19:38">
      <c r="S900" s="2618"/>
      <c r="Y900" s="2620"/>
      <c r="Z900" s="2620"/>
      <c r="AA900" s="2621"/>
      <c r="AL900" s="2618"/>
    </row>
    <row r="901" spans="19:38">
      <c r="S901" s="2618"/>
      <c r="Y901" s="2620"/>
      <c r="Z901" s="2620"/>
      <c r="AA901" s="2621"/>
      <c r="AL901" s="2618"/>
    </row>
    <row r="902" spans="19:38">
      <c r="S902" s="2618"/>
      <c r="Y902" s="2620"/>
      <c r="Z902" s="2620"/>
      <c r="AA902" s="2621"/>
      <c r="AL902" s="2618"/>
    </row>
    <row r="903" spans="19:38">
      <c r="S903" s="2618"/>
      <c r="Y903" s="2620"/>
      <c r="Z903" s="2620"/>
      <c r="AA903" s="2621"/>
      <c r="AL903" s="2618"/>
    </row>
    <row r="904" spans="19:38">
      <c r="S904" s="2618"/>
      <c r="Y904" s="2620"/>
      <c r="Z904" s="2620"/>
      <c r="AA904" s="2621"/>
      <c r="AL904" s="2618"/>
    </row>
    <row r="905" spans="19:38">
      <c r="S905" s="2618"/>
      <c r="Y905" s="2620"/>
      <c r="Z905" s="2620"/>
      <c r="AA905" s="2621"/>
      <c r="AL905" s="2618"/>
    </row>
    <row r="906" spans="19:38">
      <c r="S906" s="2618"/>
      <c r="Y906" s="2620"/>
      <c r="Z906" s="2620"/>
      <c r="AA906" s="2621"/>
      <c r="AL906" s="2618"/>
    </row>
    <row r="907" spans="19:38">
      <c r="S907" s="2618"/>
      <c r="Y907" s="2620"/>
      <c r="Z907" s="2620"/>
      <c r="AA907" s="2621"/>
      <c r="AL907" s="2618"/>
    </row>
    <row r="908" spans="19:38">
      <c r="S908" s="2618"/>
      <c r="Y908" s="2620"/>
      <c r="Z908" s="2620"/>
      <c r="AA908" s="2621"/>
      <c r="AL908" s="2618"/>
    </row>
    <row r="909" spans="19:38">
      <c r="S909" s="2618"/>
      <c r="Y909" s="2620"/>
      <c r="Z909" s="2620"/>
      <c r="AA909" s="2621"/>
      <c r="AL909" s="2618"/>
    </row>
    <row r="910" spans="19:38">
      <c r="S910" s="2618"/>
      <c r="Y910" s="2620"/>
      <c r="Z910" s="2620"/>
      <c r="AA910" s="2621"/>
      <c r="AL910" s="2618"/>
    </row>
    <row r="911" spans="19:38">
      <c r="S911" s="2618"/>
      <c r="Y911" s="2620"/>
      <c r="Z911" s="2620"/>
      <c r="AA911" s="2621"/>
      <c r="AL911" s="2618"/>
    </row>
    <row r="912" spans="19:38">
      <c r="S912" s="2618"/>
      <c r="Y912" s="2620"/>
      <c r="Z912" s="2620"/>
      <c r="AA912" s="2621"/>
      <c r="AL912" s="2618"/>
    </row>
    <row r="913" spans="19:38">
      <c r="S913" s="2618"/>
      <c r="Y913" s="2620"/>
      <c r="Z913" s="2620"/>
      <c r="AA913" s="2621"/>
      <c r="AL913" s="2618"/>
    </row>
    <row r="914" spans="19:38">
      <c r="S914" s="2618"/>
      <c r="Y914" s="2620"/>
      <c r="Z914" s="2620"/>
      <c r="AA914" s="2621"/>
      <c r="AL914" s="2618"/>
    </row>
    <row r="915" spans="19:38">
      <c r="S915" s="2618"/>
      <c r="Y915" s="2620"/>
      <c r="Z915" s="2620"/>
      <c r="AA915" s="2621"/>
      <c r="AL915" s="2618"/>
    </row>
    <row r="916" spans="19:38">
      <c r="S916" s="2618"/>
      <c r="Y916" s="2620"/>
      <c r="Z916" s="2620"/>
      <c r="AA916" s="2621"/>
      <c r="AL916" s="2618"/>
    </row>
    <row r="917" spans="19:38">
      <c r="S917" s="2618"/>
      <c r="Y917" s="2620"/>
      <c r="Z917" s="2620"/>
      <c r="AA917" s="2621"/>
      <c r="AL917" s="2618"/>
    </row>
    <row r="918" spans="19:38">
      <c r="S918" s="2618"/>
      <c r="Y918" s="2620"/>
      <c r="Z918" s="2620"/>
      <c r="AA918" s="2621"/>
      <c r="AL918" s="2618"/>
    </row>
    <row r="919" spans="19:38">
      <c r="S919" s="2618"/>
      <c r="Y919" s="2620"/>
      <c r="Z919" s="2620"/>
      <c r="AA919" s="2621"/>
      <c r="AL919" s="2618"/>
    </row>
    <row r="920" spans="19:38">
      <c r="S920" s="2618"/>
      <c r="Y920" s="2620"/>
      <c r="Z920" s="2620"/>
      <c r="AA920" s="2621"/>
      <c r="AL920" s="2618"/>
    </row>
    <row r="921" spans="19:38">
      <c r="S921" s="2618"/>
      <c r="Y921" s="2620"/>
      <c r="Z921" s="2620"/>
      <c r="AA921" s="2621"/>
      <c r="AL921" s="2618"/>
    </row>
    <row r="922" spans="19:38">
      <c r="S922" s="2618"/>
      <c r="Y922" s="2620"/>
      <c r="Z922" s="2620"/>
      <c r="AA922" s="2621"/>
      <c r="AL922" s="2618"/>
    </row>
    <row r="923" spans="19:38">
      <c r="S923" s="2618"/>
      <c r="Y923" s="2620"/>
      <c r="Z923" s="2620"/>
      <c r="AA923" s="2621"/>
      <c r="AL923" s="2618"/>
    </row>
    <row r="924" spans="19:38">
      <c r="S924" s="2618"/>
      <c r="Y924" s="2620"/>
      <c r="Z924" s="2620"/>
      <c r="AA924" s="2621"/>
      <c r="AL924" s="2618"/>
    </row>
    <row r="925" spans="19:38">
      <c r="S925" s="2618"/>
      <c r="Y925" s="2620"/>
      <c r="Z925" s="2620"/>
      <c r="AA925" s="2621"/>
      <c r="AL925" s="2618"/>
    </row>
    <row r="926" spans="19:38">
      <c r="S926" s="2618"/>
      <c r="Y926" s="2620"/>
      <c r="Z926" s="2620"/>
      <c r="AA926" s="2621"/>
      <c r="AL926" s="2618"/>
    </row>
    <row r="927" spans="19:38">
      <c r="S927" s="2618"/>
      <c r="Y927" s="2620"/>
      <c r="Z927" s="2620"/>
      <c r="AA927" s="2621"/>
      <c r="AL927" s="2618"/>
    </row>
    <row r="928" spans="19:38">
      <c r="S928" s="2618"/>
      <c r="Y928" s="2620"/>
      <c r="Z928" s="2620"/>
      <c r="AA928" s="2621"/>
      <c r="AL928" s="2618"/>
    </row>
    <row r="929" spans="19:38">
      <c r="S929" s="2618"/>
      <c r="Y929" s="2620"/>
      <c r="Z929" s="2620"/>
      <c r="AA929" s="2621"/>
      <c r="AL929" s="2618"/>
    </row>
    <row r="930" spans="19:38">
      <c r="S930" s="2618"/>
      <c r="Y930" s="2620"/>
      <c r="Z930" s="2620"/>
      <c r="AA930" s="2621"/>
      <c r="AL930" s="2618"/>
    </row>
    <row r="931" spans="19:38">
      <c r="S931" s="2618"/>
      <c r="Y931" s="2620"/>
      <c r="Z931" s="2620"/>
      <c r="AA931" s="2621"/>
      <c r="AL931" s="2618"/>
    </row>
    <row r="932" spans="19:38">
      <c r="S932" s="2618"/>
      <c r="Y932" s="2620"/>
      <c r="Z932" s="2620"/>
      <c r="AA932" s="2621"/>
      <c r="AL932" s="2618"/>
    </row>
    <row r="933" spans="19:38">
      <c r="S933" s="2618"/>
      <c r="Y933" s="2620"/>
      <c r="Z933" s="2620"/>
      <c r="AA933" s="2621"/>
      <c r="AL933" s="2618"/>
    </row>
    <row r="934" spans="19:38">
      <c r="S934" s="2618"/>
      <c r="Y934" s="2620"/>
      <c r="Z934" s="2620"/>
      <c r="AA934" s="2621"/>
      <c r="AL934" s="2618"/>
    </row>
    <row r="935" spans="19:38">
      <c r="S935" s="2618"/>
      <c r="Y935" s="2620"/>
      <c r="Z935" s="2620"/>
      <c r="AA935" s="2621"/>
      <c r="AL935" s="2618"/>
    </row>
    <row r="936" spans="19:38">
      <c r="S936" s="2618"/>
      <c r="Y936" s="2620"/>
      <c r="Z936" s="2620"/>
      <c r="AA936" s="2621"/>
      <c r="AL936" s="2618"/>
    </row>
    <row r="937" spans="19:38">
      <c r="S937" s="2618"/>
      <c r="Y937" s="2620"/>
      <c r="Z937" s="2620"/>
      <c r="AA937" s="2621"/>
      <c r="AL937" s="2618"/>
    </row>
    <row r="938" spans="19:38">
      <c r="S938" s="2618"/>
      <c r="Y938" s="2620"/>
      <c r="Z938" s="2620"/>
      <c r="AA938" s="2621"/>
      <c r="AL938" s="2618"/>
    </row>
    <row r="939" spans="19:38">
      <c r="S939" s="2618"/>
      <c r="Y939" s="2620"/>
      <c r="Z939" s="2620"/>
      <c r="AA939" s="2621"/>
      <c r="AL939" s="2618"/>
    </row>
    <row r="940" spans="19:38">
      <c r="S940" s="2618"/>
      <c r="Y940" s="2620"/>
      <c r="Z940" s="2620"/>
      <c r="AA940" s="2621"/>
      <c r="AL940" s="2618"/>
    </row>
    <row r="941" spans="19:38">
      <c r="S941" s="2618"/>
      <c r="Y941" s="2620"/>
      <c r="Z941" s="2620"/>
      <c r="AA941" s="2621"/>
      <c r="AL941" s="2618"/>
    </row>
    <row r="942" spans="19:38">
      <c r="S942" s="2618"/>
      <c r="Y942" s="2620"/>
      <c r="Z942" s="2620"/>
      <c r="AA942" s="2621"/>
      <c r="AL942" s="2618"/>
    </row>
    <row r="943" spans="19:38">
      <c r="S943" s="2618"/>
      <c r="Y943" s="2620"/>
      <c r="Z943" s="2620"/>
      <c r="AA943" s="2621"/>
      <c r="AL943" s="2618"/>
    </row>
    <row r="944" spans="19:38">
      <c r="S944" s="2618"/>
      <c r="Y944" s="2620"/>
      <c r="Z944" s="2620"/>
      <c r="AA944" s="2621"/>
      <c r="AL944" s="2618"/>
    </row>
    <row r="945" spans="19:38">
      <c r="S945" s="2618"/>
      <c r="Y945" s="2620"/>
      <c r="Z945" s="2620"/>
      <c r="AA945" s="2621"/>
      <c r="AL945" s="2618"/>
    </row>
    <row r="946" spans="19:38">
      <c r="S946" s="2618"/>
      <c r="Y946" s="2620"/>
      <c r="Z946" s="2620"/>
      <c r="AA946" s="2621"/>
      <c r="AL946" s="2618"/>
    </row>
    <row r="947" spans="19:38">
      <c r="S947" s="2618"/>
      <c r="Y947" s="2620"/>
      <c r="Z947" s="2620"/>
      <c r="AA947" s="2621"/>
      <c r="AL947" s="2618"/>
    </row>
    <row r="948" spans="19:38">
      <c r="S948" s="2618"/>
      <c r="Y948" s="2620"/>
      <c r="Z948" s="2620"/>
      <c r="AA948" s="2621"/>
      <c r="AL948" s="2618"/>
    </row>
    <row r="949" spans="19:38">
      <c r="S949" s="2618"/>
      <c r="Y949" s="2620"/>
      <c r="Z949" s="2620"/>
      <c r="AA949" s="2621"/>
      <c r="AL949" s="2618"/>
    </row>
    <row r="950" spans="19:38">
      <c r="S950" s="2618"/>
      <c r="Y950" s="2620"/>
      <c r="Z950" s="2620"/>
      <c r="AA950" s="2621"/>
      <c r="AL950" s="2618"/>
    </row>
    <row r="951" spans="19:38">
      <c r="S951" s="2618"/>
      <c r="Y951" s="2620"/>
      <c r="Z951" s="2620"/>
      <c r="AA951" s="2621"/>
      <c r="AL951" s="2618"/>
    </row>
    <row r="952" spans="19:38">
      <c r="S952" s="2618"/>
      <c r="Y952" s="2620"/>
      <c r="Z952" s="2620"/>
      <c r="AA952" s="2621"/>
      <c r="AL952" s="2618"/>
    </row>
    <row r="953" spans="19:38">
      <c r="S953" s="2618"/>
      <c r="Y953" s="2620"/>
      <c r="Z953" s="2620"/>
      <c r="AA953" s="2621"/>
      <c r="AL953" s="2618"/>
    </row>
    <row r="954" spans="19:38">
      <c r="S954" s="2618"/>
      <c r="Y954" s="2620"/>
      <c r="Z954" s="2620"/>
      <c r="AA954" s="2621"/>
      <c r="AL954" s="2618"/>
    </row>
    <row r="955" spans="19:38">
      <c r="S955" s="2618"/>
      <c r="Y955" s="2620"/>
      <c r="Z955" s="2620"/>
      <c r="AA955" s="2621"/>
      <c r="AL955" s="2618"/>
    </row>
    <row r="956" spans="19:38">
      <c r="S956" s="2618"/>
      <c r="Y956" s="2620"/>
      <c r="Z956" s="2620"/>
      <c r="AA956" s="2621"/>
      <c r="AL956" s="2618"/>
    </row>
    <row r="957" spans="19:38">
      <c r="S957" s="2618"/>
      <c r="Y957" s="2620"/>
      <c r="Z957" s="2620"/>
      <c r="AA957" s="2621"/>
      <c r="AL957" s="2618"/>
    </row>
    <row r="958" spans="19:38">
      <c r="S958" s="2618"/>
      <c r="Y958" s="2620"/>
      <c r="Z958" s="2620"/>
      <c r="AA958" s="2621"/>
      <c r="AL958" s="2618"/>
    </row>
    <row r="959" spans="19:38">
      <c r="S959" s="2618"/>
      <c r="Y959" s="2620"/>
      <c r="Z959" s="2620"/>
      <c r="AA959" s="2621"/>
      <c r="AL959" s="2618"/>
    </row>
    <row r="960" spans="19:38">
      <c r="S960" s="2618"/>
      <c r="Y960" s="2620"/>
      <c r="Z960" s="2620"/>
      <c r="AA960" s="2621"/>
      <c r="AL960" s="2618"/>
    </row>
    <row r="961" spans="19:38">
      <c r="S961" s="2618"/>
      <c r="Y961" s="2620"/>
      <c r="Z961" s="2620"/>
      <c r="AA961" s="2621"/>
      <c r="AL961" s="2618"/>
    </row>
    <row r="962" spans="19:38">
      <c r="S962" s="2618"/>
      <c r="Y962" s="2620"/>
      <c r="Z962" s="2620"/>
      <c r="AA962" s="2621"/>
      <c r="AL962" s="2618"/>
    </row>
    <row r="963" spans="19:38">
      <c r="S963" s="2618"/>
      <c r="Y963" s="2620"/>
      <c r="Z963" s="2620"/>
      <c r="AA963" s="2621"/>
      <c r="AL963" s="2618"/>
    </row>
    <row r="964" spans="19:38">
      <c r="S964" s="2618"/>
      <c r="Y964" s="2620"/>
      <c r="Z964" s="2620"/>
      <c r="AA964" s="2621"/>
      <c r="AL964" s="2618"/>
    </row>
    <row r="965" spans="19:38">
      <c r="S965" s="2618"/>
      <c r="Y965" s="2620"/>
      <c r="Z965" s="2620"/>
      <c r="AA965" s="2621"/>
      <c r="AL965" s="2618"/>
    </row>
    <row r="966" spans="19:38">
      <c r="S966" s="2618"/>
      <c r="Y966" s="2620"/>
      <c r="Z966" s="2620"/>
      <c r="AA966" s="2621"/>
      <c r="AL966" s="2618"/>
    </row>
    <row r="967" spans="19:38">
      <c r="S967" s="2618"/>
      <c r="Y967" s="2620"/>
      <c r="Z967" s="2620"/>
      <c r="AA967" s="2621"/>
      <c r="AL967" s="2618"/>
    </row>
    <row r="968" spans="19:38">
      <c r="S968" s="2618"/>
      <c r="Y968" s="2620"/>
      <c r="Z968" s="2620"/>
      <c r="AA968" s="2621"/>
      <c r="AL968" s="2618"/>
    </row>
    <row r="969" spans="19:38">
      <c r="S969" s="2618"/>
      <c r="Y969" s="2620"/>
      <c r="Z969" s="2620"/>
      <c r="AA969" s="2621"/>
      <c r="AL969" s="2618"/>
    </row>
    <row r="970" spans="19:38">
      <c r="S970" s="2618"/>
      <c r="Y970" s="2620"/>
      <c r="Z970" s="2620"/>
      <c r="AA970" s="2621"/>
      <c r="AL970" s="2618"/>
    </row>
    <row r="971" spans="19:38">
      <c r="S971" s="2618"/>
      <c r="Y971" s="2620"/>
      <c r="Z971" s="2620"/>
      <c r="AA971" s="2621"/>
      <c r="AL971" s="2618"/>
    </row>
    <row r="972" spans="19:38">
      <c r="S972" s="2618"/>
      <c r="Y972" s="2620"/>
      <c r="Z972" s="2620"/>
      <c r="AA972" s="2621"/>
      <c r="AL972" s="2618"/>
    </row>
    <row r="973" spans="19:38">
      <c r="S973" s="2618"/>
      <c r="Y973" s="2620"/>
      <c r="Z973" s="2620"/>
      <c r="AA973" s="2621"/>
      <c r="AL973" s="2618"/>
    </row>
    <row r="974" spans="19:38">
      <c r="S974" s="2618"/>
      <c r="Y974" s="2620"/>
      <c r="Z974" s="2620"/>
      <c r="AA974" s="2621"/>
      <c r="AL974" s="2618"/>
    </row>
    <row r="975" spans="19:38">
      <c r="S975" s="2618"/>
      <c r="Y975" s="2620"/>
      <c r="Z975" s="2620"/>
      <c r="AA975" s="2621"/>
      <c r="AL975" s="2618"/>
    </row>
    <row r="976" spans="19:38">
      <c r="S976" s="2618"/>
      <c r="Y976" s="2620"/>
      <c r="Z976" s="2620"/>
      <c r="AA976" s="2621"/>
      <c r="AL976" s="2618"/>
    </row>
    <row r="977" spans="19:38">
      <c r="S977" s="2618"/>
      <c r="Y977" s="2620"/>
      <c r="Z977" s="2620"/>
      <c r="AA977" s="2621"/>
      <c r="AL977" s="2618"/>
    </row>
    <row r="978" spans="19:38">
      <c r="S978" s="2618"/>
      <c r="Y978" s="2620"/>
      <c r="Z978" s="2620"/>
      <c r="AA978" s="2621"/>
      <c r="AL978" s="2618"/>
    </row>
    <row r="979" spans="19:38">
      <c r="S979" s="2618"/>
      <c r="Y979" s="2620"/>
      <c r="Z979" s="2620"/>
      <c r="AA979" s="2621"/>
      <c r="AL979" s="2618"/>
    </row>
    <row r="980" spans="19:38">
      <c r="S980" s="2618"/>
      <c r="Y980" s="2620"/>
      <c r="Z980" s="2620"/>
      <c r="AA980" s="2621"/>
      <c r="AL980" s="2618"/>
    </row>
    <row r="981" spans="19:38">
      <c r="S981" s="2618"/>
      <c r="Y981" s="2620"/>
      <c r="Z981" s="2620"/>
      <c r="AA981" s="2621"/>
      <c r="AL981" s="2618"/>
    </row>
    <row r="982" spans="19:38">
      <c r="S982" s="2618"/>
      <c r="Y982" s="2620"/>
      <c r="Z982" s="2620"/>
      <c r="AA982" s="2621"/>
      <c r="AL982" s="2618"/>
    </row>
    <row r="983" spans="19:38">
      <c r="S983" s="2618"/>
      <c r="Y983" s="2620"/>
      <c r="Z983" s="2620"/>
      <c r="AA983" s="2621"/>
      <c r="AL983" s="2618"/>
    </row>
    <row r="984" spans="19:38">
      <c r="S984" s="2618"/>
      <c r="Y984" s="2620"/>
      <c r="Z984" s="2620"/>
      <c r="AA984" s="2621"/>
      <c r="AL984" s="2618"/>
    </row>
    <row r="985" spans="19:38">
      <c r="S985" s="2618"/>
      <c r="Y985" s="2620"/>
      <c r="Z985" s="2620"/>
      <c r="AA985" s="2621"/>
      <c r="AL985" s="2618"/>
    </row>
    <row r="986" spans="19:38">
      <c r="S986" s="2618"/>
      <c r="Y986" s="2620"/>
      <c r="Z986" s="2620"/>
      <c r="AA986" s="2621"/>
      <c r="AL986" s="2618"/>
    </row>
    <row r="987" spans="19:38">
      <c r="S987" s="2618"/>
      <c r="Y987" s="2620"/>
      <c r="Z987" s="2620"/>
      <c r="AA987" s="2621"/>
      <c r="AL987" s="2618"/>
    </row>
    <row r="988" spans="19:38">
      <c r="S988" s="2618"/>
      <c r="Y988" s="2620"/>
      <c r="Z988" s="2620"/>
      <c r="AA988" s="2621"/>
      <c r="AL988" s="2618"/>
    </row>
    <row r="989" spans="19:38">
      <c r="S989" s="2618"/>
      <c r="Y989" s="2620"/>
      <c r="Z989" s="2620"/>
      <c r="AA989" s="2621"/>
      <c r="AL989" s="2618"/>
    </row>
    <row r="990" spans="19:38">
      <c r="S990" s="2618"/>
      <c r="Y990" s="2620"/>
      <c r="Z990" s="2620"/>
      <c r="AA990" s="2621"/>
      <c r="AL990" s="2618"/>
    </row>
    <row r="991" spans="19:38">
      <c r="S991" s="2618"/>
      <c r="Y991" s="2620"/>
      <c r="Z991" s="2620"/>
      <c r="AA991" s="2621"/>
      <c r="AL991" s="2618"/>
    </row>
    <row r="992" spans="19:38">
      <c r="S992" s="2618"/>
      <c r="Y992" s="2620"/>
      <c r="Z992" s="2620"/>
      <c r="AA992" s="2621"/>
      <c r="AL992" s="2618"/>
    </row>
    <row r="993" spans="19:38">
      <c r="S993" s="2618"/>
      <c r="Y993" s="2620"/>
      <c r="Z993" s="2620"/>
      <c r="AA993" s="2621"/>
      <c r="AL993" s="2618"/>
    </row>
    <row r="994" spans="19:38">
      <c r="S994" s="2618"/>
      <c r="Y994" s="2620"/>
      <c r="Z994" s="2620"/>
      <c r="AA994" s="2621"/>
      <c r="AL994" s="2618"/>
    </row>
    <row r="995" spans="19:38">
      <c r="S995" s="2618"/>
      <c r="Y995" s="2620"/>
      <c r="Z995" s="2620"/>
      <c r="AA995" s="2621"/>
      <c r="AL995" s="2618"/>
    </row>
    <row r="996" spans="19:38">
      <c r="S996" s="2618"/>
      <c r="Y996" s="2620"/>
      <c r="Z996" s="2620"/>
      <c r="AA996" s="2621"/>
      <c r="AL996" s="2618"/>
    </row>
    <row r="997" spans="19:38">
      <c r="S997" s="2618"/>
      <c r="Y997" s="2620"/>
      <c r="Z997" s="2620"/>
      <c r="AA997" s="2621"/>
      <c r="AL997" s="2618"/>
    </row>
    <row r="998" spans="19:38">
      <c r="S998" s="2618"/>
      <c r="Y998" s="2620"/>
      <c r="Z998" s="2620"/>
      <c r="AA998" s="2621"/>
      <c r="AL998" s="2618"/>
    </row>
    <row r="999" spans="19:38">
      <c r="S999" s="2618"/>
      <c r="Y999" s="2620"/>
      <c r="Z999" s="2620"/>
      <c r="AA999" s="2621"/>
      <c r="AL999" s="2618"/>
    </row>
    <row r="1000" spans="19:38">
      <c r="S1000" s="2618"/>
      <c r="Y1000" s="2620"/>
      <c r="Z1000" s="2620"/>
      <c r="AA1000" s="2621"/>
      <c r="AL1000" s="2618"/>
    </row>
    <row r="1001" spans="19:38">
      <c r="S1001" s="2618"/>
      <c r="Y1001" s="2620"/>
      <c r="Z1001" s="2620"/>
      <c r="AA1001" s="2621"/>
      <c r="AL1001" s="2618"/>
    </row>
    <row r="1002" spans="19:38">
      <c r="S1002" s="2618"/>
      <c r="Y1002" s="2620"/>
      <c r="Z1002" s="2620"/>
      <c r="AA1002" s="2621"/>
      <c r="AL1002" s="2618"/>
    </row>
    <row r="1003" spans="19:38">
      <c r="S1003" s="2618"/>
      <c r="Y1003" s="2620"/>
      <c r="Z1003" s="2620"/>
      <c r="AA1003" s="2621"/>
      <c r="AL1003" s="2618"/>
    </row>
    <row r="1004" spans="19:38">
      <c r="S1004" s="2618"/>
      <c r="Y1004" s="2620"/>
      <c r="Z1004" s="2620"/>
      <c r="AA1004" s="2621"/>
      <c r="AL1004" s="2618"/>
    </row>
    <row r="1005" spans="19:38">
      <c r="S1005" s="2618"/>
      <c r="Y1005" s="2620"/>
      <c r="Z1005" s="2620"/>
      <c r="AA1005" s="2621"/>
      <c r="AL1005" s="2618"/>
    </row>
    <row r="1006" spans="19:38">
      <c r="S1006" s="2618"/>
      <c r="Y1006" s="2620"/>
      <c r="Z1006" s="2620"/>
      <c r="AA1006" s="2621"/>
      <c r="AL1006" s="2618"/>
    </row>
    <row r="1007" spans="19:38">
      <c r="S1007" s="2618"/>
      <c r="Y1007" s="2620"/>
      <c r="Z1007" s="2620"/>
      <c r="AA1007" s="2621"/>
      <c r="AL1007" s="2618"/>
    </row>
    <row r="1008" spans="19:38">
      <c r="S1008" s="2618"/>
      <c r="Y1008" s="2620"/>
      <c r="Z1008" s="2620"/>
      <c r="AA1008" s="2621"/>
      <c r="AL1008" s="2618"/>
    </row>
    <row r="1009" spans="19:38">
      <c r="S1009" s="2618"/>
      <c r="Y1009" s="2620"/>
      <c r="Z1009" s="2620"/>
      <c r="AA1009" s="2621"/>
      <c r="AL1009" s="2618"/>
    </row>
    <row r="1010" spans="19:38">
      <c r="S1010" s="2618"/>
      <c r="Y1010" s="2620"/>
      <c r="Z1010" s="2620"/>
      <c r="AA1010" s="2621"/>
      <c r="AL1010" s="2618"/>
    </row>
    <row r="1011" spans="19:38">
      <c r="S1011" s="2618"/>
      <c r="Y1011" s="2620"/>
      <c r="Z1011" s="2620"/>
      <c r="AA1011" s="2621"/>
      <c r="AL1011" s="2618"/>
    </row>
    <row r="1012" spans="19:38">
      <c r="S1012" s="2618"/>
      <c r="Y1012" s="2620"/>
      <c r="Z1012" s="2620"/>
      <c r="AA1012" s="2621"/>
      <c r="AL1012" s="2618"/>
    </row>
    <row r="1013" spans="19:38">
      <c r="S1013" s="2618"/>
      <c r="Y1013" s="2620"/>
      <c r="Z1013" s="2620"/>
      <c r="AA1013" s="2621"/>
      <c r="AL1013" s="2618"/>
    </row>
    <row r="1014" spans="19:38">
      <c r="S1014" s="2618"/>
      <c r="Y1014" s="2620"/>
      <c r="Z1014" s="2620"/>
      <c r="AA1014" s="2621"/>
      <c r="AL1014" s="2618"/>
    </row>
    <row r="1015" spans="19:38">
      <c r="S1015" s="2618"/>
      <c r="Y1015" s="2620"/>
      <c r="Z1015" s="2620"/>
      <c r="AA1015" s="2621"/>
      <c r="AL1015" s="2618"/>
    </row>
    <row r="1016" spans="19:38">
      <c r="S1016" s="2618"/>
      <c r="Y1016" s="2620"/>
      <c r="Z1016" s="2620"/>
      <c r="AA1016" s="2621"/>
      <c r="AL1016" s="2618"/>
    </row>
    <row r="1017" spans="19:38">
      <c r="S1017" s="2618"/>
      <c r="Y1017" s="2620"/>
      <c r="Z1017" s="2620"/>
      <c r="AA1017" s="2621"/>
      <c r="AL1017" s="2618"/>
    </row>
    <row r="1018" spans="19:38">
      <c r="S1018" s="2618"/>
      <c r="Y1018" s="2620"/>
      <c r="Z1018" s="2620"/>
      <c r="AA1018" s="2621"/>
      <c r="AL1018" s="2618"/>
    </row>
    <row r="1019" spans="19:38">
      <c r="S1019" s="2618"/>
      <c r="Y1019" s="2620"/>
      <c r="Z1019" s="2620"/>
      <c r="AA1019" s="2621"/>
      <c r="AL1019" s="2618"/>
    </row>
    <row r="1020" spans="19:38">
      <c r="S1020" s="2618"/>
      <c r="Y1020" s="2620"/>
      <c r="Z1020" s="2620"/>
      <c r="AA1020" s="2621"/>
      <c r="AL1020" s="2618"/>
    </row>
    <row r="1021" spans="19:38">
      <c r="S1021" s="2618"/>
      <c r="Y1021" s="2620"/>
      <c r="Z1021" s="2620"/>
      <c r="AA1021" s="2621"/>
      <c r="AL1021" s="2618"/>
    </row>
    <row r="1022" spans="19:38">
      <c r="S1022" s="2618"/>
      <c r="Y1022" s="2620"/>
      <c r="Z1022" s="2620"/>
      <c r="AA1022" s="2621"/>
      <c r="AL1022" s="2618"/>
    </row>
    <row r="1023" spans="19:38">
      <c r="S1023" s="2618"/>
      <c r="Y1023" s="2620"/>
      <c r="Z1023" s="2620"/>
      <c r="AA1023" s="2621"/>
      <c r="AL1023" s="2618"/>
    </row>
    <row r="1024" spans="19:38">
      <c r="S1024" s="2618"/>
      <c r="Y1024" s="2620"/>
      <c r="Z1024" s="2620"/>
      <c r="AA1024" s="2621"/>
      <c r="AL1024" s="2618"/>
    </row>
    <row r="1025" spans="19:38">
      <c r="S1025" s="2618"/>
      <c r="Y1025" s="2620"/>
      <c r="Z1025" s="2620"/>
      <c r="AA1025" s="2621"/>
      <c r="AL1025" s="2618"/>
    </row>
    <row r="1026" spans="19:38">
      <c r="S1026" s="2618"/>
      <c r="Y1026" s="2620"/>
      <c r="Z1026" s="2620"/>
      <c r="AA1026" s="2621"/>
      <c r="AL1026" s="2618"/>
    </row>
    <row r="1027" spans="19:38">
      <c r="S1027" s="2618"/>
      <c r="Y1027" s="2620"/>
      <c r="Z1027" s="2620"/>
      <c r="AA1027" s="2621"/>
      <c r="AL1027" s="2618"/>
    </row>
    <row r="1028" spans="19:38">
      <c r="S1028" s="2618"/>
      <c r="Y1028" s="2620"/>
      <c r="Z1028" s="2620"/>
      <c r="AA1028" s="2621"/>
      <c r="AL1028" s="2618"/>
    </row>
    <row r="1029" spans="19:38">
      <c r="S1029" s="2618"/>
      <c r="Y1029" s="2620"/>
      <c r="Z1029" s="2620"/>
      <c r="AA1029" s="2621"/>
      <c r="AL1029" s="2618"/>
    </row>
    <row r="1030" spans="19:38">
      <c r="S1030" s="2618"/>
      <c r="Y1030" s="2620"/>
      <c r="Z1030" s="2620"/>
      <c r="AA1030" s="2621"/>
      <c r="AL1030" s="2618"/>
    </row>
    <row r="1031" spans="19:38">
      <c r="S1031" s="2618"/>
      <c r="Y1031" s="2620"/>
      <c r="Z1031" s="2620"/>
      <c r="AA1031" s="2621"/>
      <c r="AL1031" s="2618"/>
    </row>
    <row r="1032" spans="19:38">
      <c r="S1032" s="2618"/>
      <c r="Y1032" s="2620"/>
      <c r="Z1032" s="2620"/>
      <c r="AA1032" s="2621"/>
      <c r="AL1032" s="2618"/>
    </row>
    <row r="1033" spans="19:38">
      <c r="S1033" s="2618"/>
      <c r="Y1033" s="2620"/>
      <c r="Z1033" s="2620"/>
      <c r="AA1033" s="2621"/>
      <c r="AL1033" s="2618"/>
    </row>
    <row r="1034" spans="19:38">
      <c r="S1034" s="2618"/>
      <c r="Y1034" s="2620"/>
      <c r="Z1034" s="2620"/>
      <c r="AA1034" s="2621"/>
      <c r="AL1034" s="2618"/>
    </row>
    <row r="1035" spans="19:38">
      <c r="S1035" s="2618"/>
      <c r="Y1035" s="2620"/>
      <c r="Z1035" s="2620"/>
      <c r="AA1035" s="2621"/>
      <c r="AL1035" s="2618"/>
    </row>
    <row r="1036" spans="19:38">
      <c r="S1036" s="2618"/>
      <c r="Y1036" s="2620"/>
      <c r="Z1036" s="2620"/>
      <c r="AA1036" s="2621"/>
      <c r="AL1036" s="2618"/>
    </row>
    <row r="1037" spans="19:38">
      <c r="S1037" s="2618"/>
      <c r="Y1037" s="2620"/>
      <c r="Z1037" s="2620"/>
      <c r="AA1037" s="2621"/>
      <c r="AL1037" s="2618"/>
    </row>
    <row r="1038" spans="19:38">
      <c r="S1038" s="2618"/>
      <c r="Y1038" s="2620"/>
      <c r="Z1038" s="2620"/>
      <c r="AA1038" s="2621"/>
      <c r="AL1038" s="2618"/>
    </row>
    <row r="1039" spans="19:38">
      <c r="S1039" s="2618"/>
      <c r="Y1039" s="2620"/>
      <c r="Z1039" s="2620"/>
      <c r="AA1039" s="2621"/>
      <c r="AL1039" s="2618"/>
    </row>
    <row r="1040" spans="19:38">
      <c r="S1040" s="2618"/>
      <c r="Y1040" s="2620"/>
      <c r="Z1040" s="2620"/>
      <c r="AA1040" s="2621"/>
      <c r="AL1040" s="2618"/>
    </row>
    <row r="1041" spans="19:38">
      <c r="S1041" s="2618"/>
      <c r="Y1041" s="2620"/>
      <c r="Z1041" s="2620"/>
      <c r="AA1041" s="2621"/>
      <c r="AL1041" s="2618"/>
    </row>
    <row r="1042" spans="19:38">
      <c r="S1042" s="2618"/>
      <c r="Y1042" s="2620"/>
      <c r="Z1042" s="2620"/>
      <c r="AA1042" s="2621"/>
      <c r="AL1042" s="2618"/>
    </row>
    <row r="1043" spans="19:38">
      <c r="S1043" s="2618"/>
      <c r="Y1043" s="2620"/>
      <c r="Z1043" s="2620"/>
      <c r="AA1043" s="2621"/>
      <c r="AL1043" s="2618"/>
    </row>
    <row r="1044" spans="19:38">
      <c r="S1044" s="2618"/>
      <c r="Y1044" s="2620"/>
      <c r="Z1044" s="2620"/>
      <c r="AA1044" s="2621"/>
      <c r="AL1044" s="2618"/>
    </row>
    <row r="1045" spans="19:38">
      <c r="S1045" s="2618"/>
      <c r="Y1045" s="2620"/>
      <c r="Z1045" s="2620"/>
      <c r="AA1045" s="2621"/>
      <c r="AL1045" s="2618"/>
    </row>
    <row r="1046" spans="19:38">
      <c r="S1046" s="2618"/>
      <c r="Y1046" s="2620"/>
      <c r="Z1046" s="2620"/>
      <c r="AA1046" s="2621"/>
      <c r="AL1046" s="2618"/>
    </row>
    <row r="1047" spans="19:38">
      <c r="S1047" s="2618"/>
      <c r="Y1047" s="2620"/>
      <c r="Z1047" s="2620"/>
      <c r="AA1047" s="2621"/>
      <c r="AL1047" s="2618"/>
    </row>
    <row r="1048" spans="19:38">
      <c r="S1048" s="2618"/>
      <c r="Y1048" s="2620"/>
      <c r="Z1048" s="2620"/>
      <c r="AA1048" s="2621"/>
      <c r="AL1048" s="2618"/>
    </row>
    <row r="1049" spans="19:38">
      <c r="S1049" s="2618"/>
      <c r="Y1049" s="2620"/>
      <c r="Z1049" s="2620"/>
      <c r="AA1049" s="2621"/>
      <c r="AL1049" s="2618"/>
    </row>
    <row r="1050" spans="19:38">
      <c r="S1050" s="2618"/>
      <c r="Y1050" s="2620"/>
      <c r="Z1050" s="2620"/>
      <c r="AA1050" s="2621"/>
      <c r="AL1050" s="2618"/>
    </row>
    <row r="1051" spans="19:38">
      <c r="S1051" s="2618"/>
      <c r="Y1051" s="2620"/>
      <c r="Z1051" s="2620"/>
      <c r="AA1051" s="2621"/>
      <c r="AL1051" s="2618"/>
    </row>
    <row r="1052" spans="19:38">
      <c r="S1052" s="2618"/>
      <c r="Y1052" s="2620"/>
      <c r="Z1052" s="2620"/>
      <c r="AA1052" s="2621"/>
      <c r="AL1052" s="2618"/>
    </row>
    <row r="1053" spans="19:38">
      <c r="S1053" s="2618"/>
      <c r="Y1053" s="2620"/>
      <c r="Z1053" s="2620"/>
      <c r="AA1053" s="2621"/>
      <c r="AL1053" s="2618"/>
    </row>
    <row r="1054" spans="19:38">
      <c r="S1054" s="2618"/>
      <c r="Y1054" s="2620"/>
      <c r="Z1054" s="2620"/>
      <c r="AA1054" s="2621"/>
      <c r="AL1054" s="2618"/>
    </row>
    <row r="1055" spans="19:38">
      <c r="S1055" s="2618"/>
      <c r="Y1055" s="2620"/>
      <c r="Z1055" s="2620"/>
      <c r="AA1055" s="2621"/>
      <c r="AL1055" s="2618"/>
    </row>
    <row r="1056" spans="19:38">
      <c r="S1056" s="2618"/>
      <c r="Y1056" s="2620"/>
      <c r="Z1056" s="2620"/>
      <c r="AA1056" s="2621"/>
      <c r="AL1056" s="2618"/>
    </row>
    <row r="1057" spans="19:38">
      <c r="S1057" s="2618"/>
      <c r="Y1057" s="2620"/>
      <c r="Z1057" s="2620"/>
      <c r="AA1057" s="2621"/>
      <c r="AL1057" s="2618"/>
    </row>
    <row r="1058" spans="19:38">
      <c r="S1058" s="2618"/>
      <c r="Y1058" s="2620"/>
      <c r="Z1058" s="2620"/>
      <c r="AA1058" s="2621"/>
      <c r="AL1058" s="2618"/>
    </row>
    <row r="1059" spans="19:38">
      <c r="S1059" s="2618"/>
      <c r="Y1059" s="2620"/>
      <c r="Z1059" s="2620"/>
      <c r="AA1059" s="2621"/>
      <c r="AL1059" s="2618"/>
    </row>
    <row r="1060" spans="19:38">
      <c r="S1060" s="2618"/>
      <c r="Y1060" s="2620"/>
      <c r="Z1060" s="2620"/>
      <c r="AA1060" s="2621"/>
      <c r="AL1060" s="2618"/>
    </row>
    <row r="1061" spans="19:38">
      <c r="S1061" s="2618"/>
      <c r="Y1061" s="2620"/>
      <c r="Z1061" s="2620"/>
      <c r="AA1061" s="2621"/>
      <c r="AL1061" s="2618"/>
    </row>
    <row r="1062" spans="19:38">
      <c r="S1062" s="2618"/>
      <c r="Y1062" s="2620"/>
      <c r="Z1062" s="2620"/>
      <c r="AA1062" s="2621"/>
      <c r="AL1062" s="2618"/>
    </row>
    <row r="1063" spans="19:38">
      <c r="S1063" s="2618"/>
      <c r="Y1063" s="2620"/>
      <c r="Z1063" s="2620"/>
      <c r="AA1063" s="2621"/>
      <c r="AL1063" s="2618"/>
    </row>
    <row r="1064" spans="19:38">
      <c r="S1064" s="2618"/>
      <c r="Y1064" s="2620"/>
      <c r="Z1064" s="2620"/>
      <c r="AA1064" s="2621"/>
      <c r="AL1064" s="2618"/>
    </row>
    <row r="1065" spans="19:38">
      <c r="S1065" s="2618"/>
      <c r="Y1065" s="2620"/>
      <c r="Z1065" s="2620"/>
      <c r="AA1065" s="2621"/>
      <c r="AL1065" s="2618"/>
    </row>
    <row r="1066" spans="19:38">
      <c r="S1066" s="2618"/>
      <c r="Y1066" s="2620"/>
      <c r="Z1066" s="2620"/>
      <c r="AA1066" s="2621"/>
      <c r="AL1066" s="2618"/>
    </row>
    <row r="1067" spans="19:38">
      <c r="S1067" s="2618"/>
      <c r="Y1067" s="2620"/>
      <c r="Z1067" s="2620"/>
      <c r="AA1067" s="2621"/>
      <c r="AL1067" s="2618"/>
    </row>
    <row r="1068" spans="19:38">
      <c r="S1068" s="2618"/>
      <c r="Y1068" s="2620"/>
      <c r="Z1068" s="2620"/>
      <c r="AA1068" s="2621"/>
      <c r="AL1068" s="2618"/>
    </row>
    <row r="1069" spans="19:38">
      <c r="S1069" s="2618"/>
      <c r="Y1069" s="2620"/>
      <c r="Z1069" s="2620"/>
      <c r="AA1069" s="2621"/>
      <c r="AL1069" s="2618"/>
    </row>
    <row r="1070" spans="19:38">
      <c r="S1070" s="2618"/>
      <c r="Y1070" s="2620"/>
      <c r="Z1070" s="2620"/>
      <c r="AA1070" s="2621"/>
      <c r="AL1070" s="2618"/>
    </row>
    <row r="1071" spans="19:38">
      <c r="S1071" s="2618"/>
      <c r="Y1071" s="2620"/>
      <c r="Z1071" s="2620"/>
      <c r="AA1071" s="2621"/>
      <c r="AL1071" s="2618"/>
    </row>
    <row r="1072" spans="19:38">
      <c r="S1072" s="2618"/>
      <c r="Y1072" s="2620"/>
      <c r="Z1072" s="2620"/>
      <c r="AA1072" s="2621"/>
      <c r="AL1072" s="2618"/>
    </row>
    <row r="1073" spans="19:38">
      <c r="S1073" s="2618"/>
      <c r="Y1073" s="2620"/>
      <c r="Z1073" s="2620"/>
      <c r="AA1073" s="2621"/>
      <c r="AL1073" s="2618"/>
    </row>
    <row r="1074" spans="19:38">
      <c r="S1074" s="2618"/>
      <c r="Y1074" s="2620"/>
      <c r="Z1074" s="2620"/>
      <c r="AA1074" s="2621"/>
      <c r="AL1074" s="2618"/>
    </row>
    <row r="1075" spans="19:38">
      <c r="S1075" s="2618"/>
      <c r="Y1075" s="2620"/>
      <c r="Z1075" s="2620"/>
      <c r="AA1075" s="2621"/>
      <c r="AL1075" s="2618"/>
    </row>
    <row r="1076" spans="19:38">
      <c r="S1076" s="2618"/>
      <c r="Y1076" s="2620"/>
      <c r="Z1076" s="2620"/>
      <c r="AA1076" s="2621"/>
      <c r="AL1076" s="2618"/>
    </row>
    <row r="1077" spans="19:38">
      <c r="S1077" s="2618"/>
      <c r="Y1077" s="2620"/>
      <c r="Z1077" s="2620"/>
      <c r="AA1077" s="2621"/>
      <c r="AL1077" s="2618"/>
    </row>
    <row r="1078" spans="19:38">
      <c r="S1078" s="2618"/>
      <c r="Y1078" s="2620"/>
      <c r="Z1078" s="2620"/>
      <c r="AA1078" s="2621"/>
      <c r="AL1078" s="2618"/>
    </row>
    <row r="1079" spans="19:38">
      <c r="S1079" s="2618"/>
      <c r="Y1079" s="2620"/>
      <c r="Z1079" s="2620"/>
      <c r="AA1079" s="2621"/>
      <c r="AL1079" s="2618"/>
    </row>
    <row r="1080" spans="19:38">
      <c r="S1080" s="2618"/>
      <c r="Y1080" s="2620"/>
      <c r="Z1080" s="2620"/>
      <c r="AA1080" s="2621"/>
      <c r="AL1080" s="2618"/>
    </row>
    <row r="1081" spans="19:38">
      <c r="S1081" s="2618"/>
      <c r="Y1081" s="2620"/>
      <c r="Z1081" s="2620"/>
      <c r="AA1081" s="2621"/>
      <c r="AL1081" s="2618"/>
    </row>
    <row r="1082" spans="19:38">
      <c r="S1082" s="2618"/>
      <c r="Y1082" s="2620"/>
      <c r="Z1082" s="2620"/>
      <c r="AA1082" s="2621"/>
      <c r="AL1082" s="2618"/>
    </row>
    <row r="1083" spans="19:38">
      <c r="S1083" s="2618"/>
      <c r="Y1083" s="2620"/>
      <c r="Z1083" s="2620"/>
      <c r="AA1083" s="2621"/>
      <c r="AL1083" s="2618"/>
    </row>
    <row r="1084" spans="19:38">
      <c r="S1084" s="2618"/>
      <c r="Y1084" s="2620"/>
      <c r="Z1084" s="2620"/>
      <c r="AA1084" s="2621"/>
      <c r="AL1084" s="2618"/>
    </row>
    <row r="1085" spans="19:38">
      <c r="S1085" s="2618"/>
      <c r="Y1085" s="2620"/>
      <c r="Z1085" s="2620"/>
      <c r="AA1085" s="2621"/>
      <c r="AL1085" s="2618"/>
    </row>
    <row r="1086" spans="19:38">
      <c r="S1086" s="2618"/>
      <c r="Y1086" s="2620"/>
      <c r="Z1086" s="2620"/>
      <c r="AA1086" s="2621"/>
      <c r="AL1086" s="2618"/>
    </row>
    <row r="1087" spans="19:38">
      <c r="S1087" s="2618"/>
      <c r="Y1087" s="2620"/>
      <c r="Z1087" s="2620"/>
      <c r="AA1087" s="2621"/>
      <c r="AL1087" s="2618"/>
    </row>
    <row r="1088" spans="19:38">
      <c r="S1088" s="2618"/>
      <c r="Y1088" s="2620"/>
      <c r="Z1088" s="2620"/>
      <c r="AA1088" s="2621"/>
      <c r="AL1088" s="2618"/>
    </row>
    <row r="1089" spans="19:38">
      <c r="S1089" s="2618"/>
      <c r="Y1089" s="2620"/>
      <c r="Z1089" s="2620"/>
      <c r="AA1089" s="2621"/>
      <c r="AL1089" s="2618"/>
    </row>
    <row r="1090" spans="19:38">
      <c r="S1090" s="2618"/>
      <c r="Y1090" s="2620"/>
      <c r="Z1090" s="2620"/>
      <c r="AA1090" s="2621"/>
      <c r="AL1090" s="2618"/>
    </row>
    <row r="1091" spans="19:38">
      <c r="S1091" s="2618"/>
      <c r="Y1091" s="2620"/>
      <c r="Z1091" s="2620"/>
      <c r="AA1091" s="2621"/>
      <c r="AL1091" s="2618"/>
    </row>
    <row r="1092" spans="19:38">
      <c r="S1092" s="2618"/>
      <c r="Y1092" s="2620"/>
      <c r="Z1092" s="2620"/>
      <c r="AA1092" s="2621"/>
      <c r="AL1092" s="2618"/>
    </row>
    <row r="1093" spans="19:38">
      <c r="S1093" s="2618"/>
      <c r="Y1093" s="2620"/>
      <c r="Z1093" s="2620"/>
      <c r="AA1093" s="2621"/>
      <c r="AL1093" s="2618"/>
    </row>
    <row r="1094" spans="19:38">
      <c r="S1094" s="2618"/>
      <c r="Y1094" s="2620"/>
      <c r="Z1094" s="2620"/>
      <c r="AA1094" s="2621"/>
      <c r="AL1094" s="2618"/>
    </row>
    <row r="1095" spans="19:38">
      <c r="S1095" s="2618"/>
      <c r="Y1095" s="2620"/>
      <c r="Z1095" s="2620"/>
      <c r="AA1095" s="2621"/>
      <c r="AL1095" s="2618"/>
    </row>
    <row r="1096" spans="19:38">
      <c r="S1096" s="2618"/>
      <c r="Y1096" s="2620"/>
      <c r="Z1096" s="2620"/>
      <c r="AA1096" s="2621"/>
      <c r="AL1096" s="2618"/>
    </row>
    <row r="1097" spans="19:38">
      <c r="S1097" s="2618"/>
      <c r="Y1097" s="2620"/>
      <c r="Z1097" s="2620"/>
      <c r="AA1097" s="2621"/>
      <c r="AL1097" s="2618"/>
    </row>
    <row r="1098" spans="19:38">
      <c r="S1098" s="2618"/>
      <c r="Y1098" s="2620"/>
      <c r="Z1098" s="2620"/>
      <c r="AA1098" s="2621"/>
      <c r="AL1098" s="2618"/>
    </row>
    <row r="1099" spans="19:38">
      <c r="S1099" s="2618"/>
      <c r="Y1099" s="2620"/>
      <c r="Z1099" s="2620"/>
      <c r="AA1099" s="2621"/>
      <c r="AL1099" s="2618"/>
    </row>
    <row r="1100" spans="19:38">
      <c r="S1100" s="2618"/>
      <c r="Y1100" s="2620"/>
      <c r="Z1100" s="2620"/>
      <c r="AA1100" s="2621"/>
      <c r="AL1100" s="2618"/>
    </row>
    <row r="1101" spans="19:38">
      <c r="S1101" s="2618"/>
      <c r="Y1101" s="2620"/>
      <c r="Z1101" s="2620"/>
      <c r="AA1101" s="2621"/>
      <c r="AL1101" s="2618"/>
    </row>
    <row r="1102" spans="19:38">
      <c r="S1102" s="2618"/>
      <c r="Y1102" s="2620"/>
      <c r="Z1102" s="2620"/>
      <c r="AA1102" s="2621"/>
      <c r="AL1102" s="2618"/>
    </row>
    <row r="1103" spans="19:38">
      <c r="S1103" s="2618"/>
      <c r="Y1103" s="2620"/>
      <c r="Z1103" s="2620"/>
      <c r="AA1103" s="2621"/>
      <c r="AL1103" s="2618"/>
    </row>
    <row r="1104" spans="19:38">
      <c r="S1104" s="2618"/>
      <c r="Y1104" s="2620"/>
      <c r="Z1104" s="2620"/>
      <c r="AA1104" s="2621"/>
      <c r="AL1104" s="2618"/>
    </row>
    <row r="1105" spans="19:38">
      <c r="S1105" s="2618"/>
      <c r="Y1105" s="2620"/>
      <c r="Z1105" s="2620"/>
      <c r="AA1105" s="2621"/>
      <c r="AL1105" s="2618"/>
    </row>
    <row r="1106" spans="19:38">
      <c r="S1106" s="2618"/>
      <c r="Y1106" s="2620"/>
      <c r="Z1106" s="2620"/>
      <c r="AA1106" s="2621"/>
      <c r="AL1106" s="2618"/>
    </row>
    <row r="1107" spans="19:38">
      <c r="S1107" s="2618"/>
      <c r="Y1107" s="2620"/>
      <c r="Z1107" s="2620"/>
      <c r="AA1107" s="2621"/>
      <c r="AL1107" s="2618"/>
    </row>
    <row r="1108" spans="19:38">
      <c r="S1108" s="2618"/>
      <c r="Y1108" s="2620"/>
      <c r="Z1108" s="2620"/>
      <c r="AA1108" s="2621"/>
      <c r="AL1108" s="2618"/>
    </row>
    <row r="1109" spans="19:38">
      <c r="S1109" s="2618"/>
      <c r="Y1109" s="2620"/>
      <c r="Z1109" s="2620"/>
      <c r="AA1109" s="2621"/>
      <c r="AL1109" s="2618"/>
    </row>
    <row r="1110" spans="19:38">
      <c r="S1110" s="2618"/>
      <c r="Y1110" s="2620"/>
      <c r="Z1110" s="2620"/>
      <c r="AA1110" s="2621"/>
      <c r="AL1110" s="2618"/>
    </row>
    <row r="1111" spans="19:38">
      <c r="S1111" s="2618"/>
      <c r="Y1111" s="2620"/>
      <c r="Z1111" s="2620"/>
      <c r="AA1111" s="2621"/>
      <c r="AL1111" s="2618"/>
    </row>
    <row r="1112" spans="19:38">
      <c r="S1112" s="2618"/>
      <c r="Y1112" s="2620"/>
      <c r="Z1112" s="2620"/>
      <c r="AA1112" s="2621"/>
      <c r="AL1112" s="2618"/>
    </row>
    <row r="1113" spans="19:38">
      <c r="S1113" s="2618"/>
      <c r="Y1113" s="2620"/>
      <c r="Z1113" s="2620"/>
      <c r="AA1113" s="2621"/>
      <c r="AL1113" s="2618"/>
    </row>
    <row r="1114" spans="19:38">
      <c r="S1114" s="2618"/>
      <c r="Y1114" s="2620"/>
      <c r="Z1114" s="2620"/>
      <c r="AA1114" s="2621"/>
      <c r="AL1114" s="2618"/>
    </row>
    <row r="1115" spans="19:38">
      <c r="S1115" s="2618"/>
      <c r="Y1115" s="2620"/>
      <c r="Z1115" s="2620"/>
      <c r="AA1115" s="2621"/>
      <c r="AL1115" s="2618"/>
    </row>
    <row r="1116" spans="19:38">
      <c r="S1116" s="2618"/>
      <c r="Y1116" s="2620"/>
      <c r="Z1116" s="2620"/>
      <c r="AA1116" s="2621"/>
      <c r="AL1116" s="2618"/>
    </row>
    <row r="1117" spans="19:38">
      <c r="S1117" s="2618"/>
      <c r="Y1117" s="2620"/>
      <c r="Z1117" s="2620"/>
      <c r="AA1117" s="2621"/>
      <c r="AL1117" s="2618"/>
    </row>
    <row r="1118" spans="19:38">
      <c r="S1118" s="2618"/>
      <c r="Y1118" s="2620"/>
      <c r="Z1118" s="2620"/>
      <c r="AA1118" s="2621"/>
      <c r="AL1118" s="2618"/>
    </row>
    <row r="1119" spans="19:38">
      <c r="S1119" s="2618"/>
      <c r="Y1119" s="2620"/>
      <c r="Z1119" s="2620"/>
      <c r="AA1119" s="2621"/>
      <c r="AL1119" s="2618"/>
    </row>
    <row r="1120" spans="19:38">
      <c r="S1120" s="2618"/>
      <c r="Y1120" s="2620"/>
      <c r="Z1120" s="2620"/>
      <c r="AA1120" s="2621"/>
      <c r="AL1120" s="2618"/>
    </row>
    <row r="1121" spans="19:38">
      <c r="S1121" s="2618"/>
      <c r="Y1121" s="2620"/>
      <c r="Z1121" s="2620"/>
      <c r="AA1121" s="2621"/>
      <c r="AL1121" s="2618"/>
    </row>
    <row r="1122" spans="19:38">
      <c r="S1122" s="2618"/>
      <c r="Y1122" s="2620"/>
      <c r="Z1122" s="2620"/>
      <c r="AA1122" s="2621"/>
      <c r="AL1122" s="2618"/>
    </row>
    <row r="1123" spans="19:38">
      <c r="S1123" s="2618"/>
      <c r="Y1123" s="2620"/>
      <c r="Z1123" s="2620"/>
      <c r="AA1123" s="2621"/>
      <c r="AL1123" s="2618"/>
    </row>
    <row r="1124" spans="19:38">
      <c r="S1124" s="2618"/>
      <c r="Y1124" s="2620"/>
      <c r="Z1124" s="2620"/>
      <c r="AA1124" s="2621"/>
      <c r="AL1124" s="2618"/>
    </row>
    <row r="1125" spans="19:38">
      <c r="S1125" s="2618"/>
      <c r="Y1125" s="2620"/>
      <c r="Z1125" s="2620"/>
      <c r="AA1125" s="2621"/>
      <c r="AL1125" s="2618"/>
    </row>
    <row r="1126" spans="19:38">
      <c r="S1126" s="2618"/>
      <c r="Y1126" s="2620"/>
      <c r="Z1126" s="2620"/>
      <c r="AA1126" s="2621"/>
      <c r="AL1126" s="2618"/>
    </row>
    <row r="1127" spans="19:38">
      <c r="S1127" s="2618"/>
      <c r="Y1127" s="2620"/>
      <c r="Z1127" s="2620"/>
      <c r="AA1127" s="2621"/>
      <c r="AL1127" s="2618"/>
    </row>
    <row r="1128" spans="19:38">
      <c r="S1128" s="2618"/>
      <c r="Y1128" s="2620"/>
      <c r="Z1128" s="2620"/>
      <c r="AA1128" s="2621"/>
      <c r="AL1128" s="2618"/>
    </row>
    <row r="1129" spans="19:38">
      <c r="S1129" s="2618"/>
      <c r="Y1129" s="2620"/>
      <c r="Z1129" s="2620"/>
      <c r="AA1129" s="2621"/>
      <c r="AL1129" s="2618"/>
    </row>
    <row r="1130" spans="19:38">
      <c r="S1130" s="2618"/>
      <c r="Y1130" s="2620"/>
      <c r="Z1130" s="2620"/>
      <c r="AA1130" s="2621"/>
      <c r="AL1130" s="2618"/>
    </row>
    <row r="1131" spans="19:38">
      <c r="S1131" s="2618"/>
      <c r="Y1131" s="2620"/>
      <c r="Z1131" s="2620"/>
      <c r="AA1131" s="2621"/>
      <c r="AL1131" s="2618"/>
    </row>
    <row r="1132" spans="19:38">
      <c r="S1132" s="2618"/>
      <c r="Y1132" s="2620"/>
      <c r="Z1132" s="2620"/>
      <c r="AA1132" s="2621"/>
      <c r="AL1132" s="2618"/>
    </row>
    <row r="1133" spans="19:38">
      <c r="S1133" s="2618"/>
      <c r="Y1133" s="2620"/>
      <c r="Z1133" s="2620"/>
      <c r="AA1133" s="2621"/>
      <c r="AL1133" s="2618"/>
    </row>
    <row r="1134" spans="19:38">
      <c r="S1134" s="2618"/>
      <c r="Y1134" s="2620"/>
      <c r="Z1134" s="2620"/>
      <c r="AA1134" s="2621"/>
      <c r="AL1134" s="2618"/>
    </row>
    <row r="1135" spans="19:38">
      <c r="S1135" s="2618"/>
      <c r="Y1135" s="2620"/>
      <c r="Z1135" s="2620"/>
      <c r="AA1135" s="2621"/>
      <c r="AL1135" s="2618"/>
    </row>
    <row r="1136" spans="19:38">
      <c r="S1136" s="2618"/>
      <c r="Y1136" s="2620"/>
      <c r="Z1136" s="2620"/>
      <c r="AA1136" s="2621"/>
      <c r="AL1136" s="2618"/>
    </row>
    <row r="1137" spans="19:38">
      <c r="S1137" s="2618"/>
      <c r="Y1137" s="2620"/>
      <c r="Z1137" s="2620"/>
      <c r="AA1137" s="2621"/>
      <c r="AL1137" s="2618"/>
    </row>
    <row r="1138" spans="19:38">
      <c r="S1138" s="2618"/>
      <c r="Y1138" s="2620"/>
      <c r="Z1138" s="2620"/>
      <c r="AA1138" s="2621"/>
      <c r="AL1138" s="2618"/>
    </row>
    <row r="1139" spans="19:38">
      <c r="S1139" s="2618"/>
      <c r="Y1139" s="2620"/>
      <c r="Z1139" s="2620"/>
      <c r="AA1139" s="2621"/>
      <c r="AL1139" s="2618"/>
    </row>
    <row r="1140" spans="19:38">
      <c r="S1140" s="2618"/>
      <c r="Y1140" s="2620"/>
      <c r="Z1140" s="2620"/>
      <c r="AA1140" s="2621"/>
      <c r="AL1140" s="2618"/>
    </row>
  </sheetData>
  <mergeCells count="2">
    <mergeCell ref="F2:G2"/>
    <mergeCell ref="AI2:AJ2"/>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C76"/>
  <sheetViews>
    <sheetView showGridLines="0" zoomScale="80" zoomScaleNormal="80" workbookViewId="0">
      <pane xSplit="2" ySplit="3" topLeftCell="C4" activePane="bottomRight" state="frozen"/>
      <selection pane="topRight" activeCell="C1" sqref="C1"/>
      <selection pane="bottomLeft" activeCell="A4" sqref="A4"/>
      <selection pane="bottomRight" activeCell="FY3" sqref="FY3"/>
    </sheetView>
  </sheetViews>
  <sheetFormatPr defaultColWidth="11.42578125" defaultRowHeight="12.75"/>
  <cols>
    <col min="1" max="1" width="11.28515625" style="2287" customWidth="1"/>
    <col min="2" max="2" width="20.5703125" style="2287" customWidth="1"/>
    <col min="3" max="3" width="6.85546875" style="2287" customWidth="1"/>
    <col min="4" max="18" width="11.42578125" style="2287"/>
    <col min="19" max="19" width="11.28515625" style="2287" customWidth="1"/>
    <col min="20" max="236" width="11.42578125" style="2287"/>
    <col min="237" max="237" width="11.42578125" style="2285"/>
    <col min="238" max="16384" width="11.42578125" style="2287"/>
  </cols>
  <sheetData>
    <row r="1" spans="1:237">
      <c r="A1" s="109" t="s">
        <v>450</v>
      </c>
      <c r="B1" s="109"/>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row>
    <row r="2" spans="1:237">
      <c r="A2" s="11"/>
      <c r="B2" s="11"/>
      <c r="C2" s="11"/>
      <c r="D2" s="24">
        <v>40178</v>
      </c>
      <c r="E2" s="24">
        <v>40268</v>
      </c>
      <c r="F2" s="24">
        <v>40359</v>
      </c>
      <c r="G2" s="24">
        <v>40451</v>
      </c>
      <c r="H2" s="24">
        <v>40543</v>
      </c>
      <c r="I2" s="24">
        <v>40633</v>
      </c>
      <c r="J2" s="24">
        <v>40724</v>
      </c>
      <c r="K2" s="24">
        <v>40816</v>
      </c>
      <c r="L2" s="24">
        <v>40908</v>
      </c>
      <c r="M2" s="24">
        <v>40999</v>
      </c>
      <c r="N2" s="24">
        <v>41090</v>
      </c>
      <c r="O2" s="24">
        <v>41182</v>
      </c>
      <c r="P2" s="24">
        <v>41274</v>
      </c>
      <c r="Q2" s="24">
        <v>41364</v>
      </c>
      <c r="R2" s="24">
        <v>41455</v>
      </c>
      <c r="S2" s="11"/>
      <c r="T2" s="24">
        <v>40178</v>
      </c>
      <c r="U2" s="24">
        <v>40268</v>
      </c>
      <c r="V2" s="24">
        <v>40359</v>
      </c>
      <c r="W2" s="24">
        <v>40451</v>
      </c>
      <c r="X2" s="24">
        <v>40543</v>
      </c>
      <c r="Y2" s="24">
        <v>40633</v>
      </c>
      <c r="Z2" s="24">
        <v>40724</v>
      </c>
      <c r="AA2" s="24">
        <v>40816</v>
      </c>
      <c r="AB2" s="24">
        <v>40908</v>
      </c>
      <c r="AC2" s="24">
        <v>40999</v>
      </c>
      <c r="AD2" s="24">
        <v>41090</v>
      </c>
      <c r="AE2" s="24">
        <v>41182</v>
      </c>
      <c r="AF2" s="24">
        <v>41274</v>
      </c>
      <c r="AG2" s="24">
        <v>41364</v>
      </c>
      <c r="AH2" s="24">
        <v>41455</v>
      </c>
      <c r="AI2" s="24"/>
      <c r="AJ2" s="5">
        <v>40178</v>
      </c>
      <c r="AK2" s="5">
        <v>40543</v>
      </c>
      <c r="AL2" s="5">
        <v>40908</v>
      </c>
      <c r="AM2" s="5">
        <v>41274</v>
      </c>
      <c r="AN2" s="24"/>
      <c r="AO2" s="5">
        <v>40178</v>
      </c>
      <c r="AP2" s="5">
        <v>40268</v>
      </c>
      <c r="AQ2" s="5">
        <v>40359</v>
      </c>
      <c r="AR2" s="5">
        <v>40451</v>
      </c>
      <c r="AS2" s="5">
        <v>40543</v>
      </c>
      <c r="AT2" s="5">
        <v>40633</v>
      </c>
      <c r="AU2" s="5">
        <v>40724</v>
      </c>
      <c r="AV2" s="5">
        <v>40816</v>
      </c>
      <c r="AW2" s="5">
        <v>40908</v>
      </c>
      <c r="AX2" s="5">
        <v>40999</v>
      </c>
      <c r="AY2" s="5">
        <v>41090</v>
      </c>
      <c r="AZ2" s="5">
        <v>41182</v>
      </c>
      <c r="BA2" s="5">
        <v>41274</v>
      </c>
      <c r="BB2" s="5">
        <v>41364</v>
      </c>
      <c r="BC2" s="5">
        <v>41455</v>
      </c>
      <c r="BD2" s="24"/>
      <c r="BE2" s="5">
        <v>40178</v>
      </c>
      <c r="BF2" s="5">
        <v>40268</v>
      </c>
      <c r="BG2" s="5">
        <v>40359</v>
      </c>
      <c r="BH2" s="5">
        <v>40451</v>
      </c>
      <c r="BI2" s="5">
        <v>40543</v>
      </c>
      <c r="BJ2" s="5">
        <v>40633</v>
      </c>
      <c r="BK2" s="5">
        <v>40724</v>
      </c>
      <c r="BL2" s="5">
        <v>40816</v>
      </c>
      <c r="BM2" s="5">
        <v>40908</v>
      </c>
      <c r="BN2" s="5">
        <v>40999</v>
      </c>
      <c r="BO2" s="5">
        <v>41090</v>
      </c>
      <c r="BP2" s="5">
        <v>41182</v>
      </c>
      <c r="BQ2" s="5">
        <v>41274</v>
      </c>
      <c r="BR2" s="5">
        <v>41364</v>
      </c>
      <c r="BS2" s="5">
        <v>41455</v>
      </c>
      <c r="BT2" s="24"/>
      <c r="BU2" s="24">
        <v>40178</v>
      </c>
      <c r="BV2" s="24">
        <v>40268</v>
      </c>
      <c r="BW2" s="24">
        <v>40359</v>
      </c>
      <c r="BX2" s="24">
        <v>40451</v>
      </c>
      <c r="BY2" s="24">
        <v>40543</v>
      </c>
      <c r="BZ2" s="24">
        <v>40633</v>
      </c>
      <c r="CA2" s="24">
        <v>40724</v>
      </c>
      <c r="CB2" s="24">
        <v>40816</v>
      </c>
      <c r="CC2" s="24">
        <v>40908</v>
      </c>
      <c r="CD2" s="24">
        <v>40999</v>
      </c>
      <c r="CE2" s="24">
        <v>41090</v>
      </c>
      <c r="CF2" s="24">
        <v>41182</v>
      </c>
      <c r="CG2" s="24">
        <v>41274</v>
      </c>
      <c r="CH2" s="24">
        <v>41364</v>
      </c>
      <c r="CI2" s="24">
        <v>41455</v>
      </c>
      <c r="CJ2" s="11"/>
      <c r="CK2" s="5">
        <v>40178</v>
      </c>
      <c r="CL2" s="5">
        <v>40268</v>
      </c>
      <c r="CM2" s="5">
        <v>40359</v>
      </c>
      <c r="CN2" s="5">
        <v>40451</v>
      </c>
      <c r="CO2" s="5">
        <v>40543</v>
      </c>
      <c r="CP2" s="5">
        <v>40633</v>
      </c>
      <c r="CQ2" s="5">
        <v>40724</v>
      </c>
      <c r="CR2" s="5">
        <v>40816</v>
      </c>
      <c r="CS2" s="5">
        <v>40908</v>
      </c>
      <c r="CT2" s="5">
        <v>40999</v>
      </c>
      <c r="CU2" s="5">
        <v>41090</v>
      </c>
      <c r="CV2" s="5">
        <v>41182</v>
      </c>
      <c r="CW2" s="5">
        <v>41274</v>
      </c>
      <c r="CX2" s="5">
        <v>41364</v>
      </c>
      <c r="CY2" s="24">
        <v>41455</v>
      </c>
      <c r="CZ2" s="11"/>
      <c r="DA2" s="24">
        <v>40178</v>
      </c>
      <c r="DB2" s="24">
        <v>40268</v>
      </c>
      <c r="DC2" s="24">
        <v>40359</v>
      </c>
      <c r="DD2" s="24">
        <v>40451</v>
      </c>
      <c r="DE2" s="24">
        <v>40543</v>
      </c>
      <c r="DF2" s="24">
        <v>40633</v>
      </c>
      <c r="DG2" s="24">
        <v>40724</v>
      </c>
      <c r="DH2" s="24">
        <v>40816</v>
      </c>
      <c r="DI2" s="24">
        <v>40908</v>
      </c>
      <c r="DJ2" s="24">
        <v>40999</v>
      </c>
      <c r="DK2" s="24">
        <v>41090</v>
      </c>
      <c r="DL2" s="24">
        <v>41182</v>
      </c>
      <c r="DM2" s="24">
        <v>41274</v>
      </c>
      <c r="DN2" s="24">
        <v>41364</v>
      </c>
      <c r="DO2" s="24">
        <v>41455</v>
      </c>
      <c r="DP2" s="11"/>
      <c r="DQ2" s="11"/>
      <c r="DR2" s="5">
        <v>40178</v>
      </c>
      <c r="DS2" s="5">
        <v>40268</v>
      </c>
      <c r="DT2" s="5">
        <v>40359</v>
      </c>
      <c r="DU2" s="5">
        <v>40451</v>
      </c>
      <c r="DV2" s="5">
        <v>40543</v>
      </c>
      <c r="DW2" s="5">
        <v>40633</v>
      </c>
      <c r="DX2" s="5">
        <v>40724</v>
      </c>
      <c r="DY2" s="5">
        <v>40816</v>
      </c>
      <c r="DZ2" s="5">
        <v>40908</v>
      </c>
      <c r="EA2" s="5">
        <v>40999</v>
      </c>
      <c r="EB2" s="5">
        <v>41090</v>
      </c>
      <c r="EC2" s="5">
        <v>41182</v>
      </c>
      <c r="ED2" s="5">
        <v>41274</v>
      </c>
      <c r="EE2" s="5">
        <v>41364</v>
      </c>
      <c r="EF2" s="5">
        <v>41455</v>
      </c>
      <c r="EG2" s="5"/>
      <c r="EH2" s="5">
        <v>40178</v>
      </c>
      <c r="EI2" s="5">
        <v>40268</v>
      </c>
      <c r="EJ2" s="5">
        <v>40359</v>
      </c>
      <c r="EK2" s="5">
        <v>40451</v>
      </c>
      <c r="EL2" s="5">
        <v>40543</v>
      </c>
      <c r="EM2" s="5">
        <v>40633</v>
      </c>
      <c r="EN2" s="5">
        <v>40724</v>
      </c>
      <c r="EO2" s="5">
        <v>40816</v>
      </c>
      <c r="EP2" s="5">
        <v>40908</v>
      </c>
      <c r="EQ2" s="5">
        <v>40999</v>
      </c>
      <c r="ER2" s="5">
        <v>41090</v>
      </c>
      <c r="ES2" s="5">
        <v>41182</v>
      </c>
      <c r="ET2" s="5">
        <v>41274</v>
      </c>
      <c r="EU2" s="5">
        <v>41364</v>
      </c>
      <c r="EV2" s="5">
        <v>41455</v>
      </c>
      <c r="EW2" s="5"/>
      <c r="EX2" s="5"/>
      <c r="EY2" s="5">
        <v>40178</v>
      </c>
      <c r="EZ2" s="5">
        <v>40268</v>
      </c>
      <c r="FA2" s="5">
        <v>40359</v>
      </c>
      <c r="FB2" s="5">
        <v>40451</v>
      </c>
      <c r="FC2" s="5">
        <v>40543</v>
      </c>
      <c r="FD2" s="5">
        <v>40633</v>
      </c>
      <c r="FE2" s="5">
        <v>40724</v>
      </c>
      <c r="FF2" s="5">
        <v>40816</v>
      </c>
      <c r="FG2" s="5">
        <v>40908</v>
      </c>
      <c r="FH2" s="5">
        <v>40999</v>
      </c>
      <c r="FI2" s="5">
        <v>41090</v>
      </c>
      <c r="FJ2" s="5">
        <v>41182</v>
      </c>
      <c r="FK2" s="5">
        <v>41274</v>
      </c>
      <c r="FL2" s="5">
        <v>41364</v>
      </c>
      <c r="FM2" s="5">
        <v>41455</v>
      </c>
      <c r="FN2" s="5"/>
      <c r="FO2" s="5">
        <v>40178</v>
      </c>
      <c r="FP2" s="5">
        <v>40268</v>
      </c>
      <c r="FQ2" s="5">
        <v>40359</v>
      </c>
      <c r="FR2" s="5">
        <v>40451</v>
      </c>
      <c r="FS2" s="5">
        <v>40543</v>
      </c>
      <c r="FT2" s="5">
        <v>40633</v>
      </c>
      <c r="FU2" s="5">
        <v>40724</v>
      </c>
      <c r="FV2" s="5">
        <v>40816</v>
      </c>
      <c r="FW2" s="5">
        <v>40908</v>
      </c>
      <c r="FX2" s="5">
        <v>40999</v>
      </c>
      <c r="FY2" s="5">
        <v>41090</v>
      </c>
      <c r="FZ2" s="5">
        <v>41182</v>
      </c>
      <c r="GA2" s="5">
        <v>41274</v>
      </c>
      <c r="GB2" s="5">
        <v>41364</v>
      </c>
      <c r="GC2" s="5">
        <v>41455</v>
      </c>
      <c r="GD2" s="11"/>
      <c r="GE2" s="11"/>
      <c r="GF2" s="5">
        <v>40178</v>
      </c>
      <c r="GG2" s="5">
        <v>40268</v>
      </c>
      <c r="GH2" s="5">
        <v>40359</v>
      </c>
      <c r="GI2" s="5">
        <v>40451</v>
      </c>
      <c r="GJ2" s="5">
        <v>40543</v>
      </c>
      <c r="GK2" s="5">
        <v>40633</v>
      </c>
      <c r="GL2" s="5">
        <v>40724</v>
      </c>
      <c r="GM2" s="5">
        <v>40816</v>
      </c>
      <c r="GN2" s="5">
        <v>40908</v>
      </c>
      <c r="GO2" s="5">
        <v>40999</v>
      </c>
      <c r="GP2" s="5">
        <v>41090</v>
      </c>
      <c r="GQ2" s="5">
        <v>41182</v>
      </c>
      <c r="GR2" s="5">
        <v>41274</v>
      </c>
      <c r="GS2" s="5">
        <v>41364</v>
      </c>
      <c r="GT2" s="5">
        <v>41455</v>
      </c>
      <c r="GU2" s="11"/>
      <c r="GV2" s="5">
        <v>40178</v>
      </c>
      <c r="GW2" s="5">
        <v>40268</v>
      </c>
      <c r="GX2" s="5">
        <v>40359</v>
      </c>
      <c r="GY2" s="5">
        <v>40451</v>
      </c>
      <c r="GZ2" s="5">
        <v>40543</v>
      </c>
      <c r="HA2" s="5">
        <v>40633</v>
      </c>
      <c r="HB2" s="5">
        <v>40724</v>
      </c>
      <c r="HC2" s="5">
        <v>40816</v>
      </c>
      <c r="HD2" s="5">
        <v>40908</v>
      </c>
      <c r="HE2" s="5">
        <v>40999</v>
      </c>
      <c r="HF2" s="5">
        <v>41090</v>
      </c>
      <c r="HG2" s="5">
        <v>41182</v>
      </c>
      <c r="HH2" s="5">
        <v>41274</v>
      </c>
      <c r="HI2" s="5">
        <v>41364</v>
      </c>
      <c r="HJ2" s="5">
        <v>41455</v>
      </c>
      <c r="HK2" s="11"/>
      <c r="HL2" s="11"/>
      <c r="HM2" s="466">
        <v>40178</v>
      </c>
      <c r="HN2" s="466">
        <v>40268</v>
      </c>
      <c r="HO2" s="466">
        <v>40359</v>
      </c>
      <c r="HP2" s="466">
        <v>40451</v>
      </c>
      <c r="HQ2" s="466">
        <v>40543</v>
      </c>
      <c r="HR2" s="466">
        <v>40633</v>
      </c>
      <c r="HS2" s="466">
        <v>40724</v>
      </c>
      <c r="HT2" s="466">
        <v>40816</v>
      </c>
      <c r="HU2" s="466">
        <v>40908</v>
      </c>
      <c r="HV2" s="466">
        <v>40999</v>
      </c>
      <c r="HW2" s="466">
        <v>41090</v>
      </c>
      <c r="HX2" s="466">
        <v>41182</v>
      </c>
      <c r="HY2" s="466">
        <v>41274</v>
      </c>
      <c r="HZ2" s="466">
        <v>41364</v>
      </c>
      <c r="IA2" s="466">
        <v>41455</v>
      </c>
      <c r="IB2" s="11"/>
    </row>
    <row r="3" spans="1:237">
      <c r="A3" s="25" t="s">
        <v>362</v>
      </c>
      <c r="B3" s="11"/>
      <c r="C3" s="11"/>
      <c r="D3" s="11" t="s">
        <v>356</v>
      </c>
      <c r="E3" s="11" t="s">
        <v>356</v>
      </c>
      <c r="F3" s="11" t="s">
        <v>356</v>
      </c>
      <c r="G3" s="11" t="s">
        <v>356</v>
      </c>
      <c r="H3" s="11" t="s">
        <v>356</v>
      </c>
      <c r="I3" s="11" t="s">
        <v>356</v>
      </c>
      <c r="J3" s="11" t="s">
        <v>356</v>
      </c>
      <c r="K3" s="11" t="s">
        <v>356</v>
      </c>
      <c r="L3" s="11" t="s">
        <v>356</v>
      </c>
      <c r="M3" s="11" t="s">
        <v>356</v>
      </c>
      <c r="N3" s="11" t="s">
        <v>356</v>
      </c>
      <c r="O3" s="11" t="s">
        <v>356</v>
      </c>
      <c r="P3" s="11" t="s">
        <v>356</v>
      </c>
      <c r="Q3" s="11" t="s">
        <v>356</v>
      </c>
      <c r="R3" s="11" t="s">
        <v>356</v>
      </c>
      <c r="S3" s="11"/>
      <c r="T3" s="11" t="s">
        <v>355</v>
      </c>
      <c r="U3" s="11" t="s">
        <v>355</v>
      </c>
      <c r="V3" s="11" t="s">
        <v>355</v>
      </c>
      <c r="W3" s="11" t="s">
        <v>355</v>
      </c>
      <c r="X3" s="11" t="s">
        <v>355</v>
      </c>
      <c r="Y3" s="11" t="s">
        <v>355</v>
      </c>
      <c r="Z3" s="11" t="s">
        <v>355</v>
      </c>
      <c r="AA3" s="11" t="s">
        <v>355</v>
      </c>
      <c r="AB3" s="11" t="s">
        <v>355</v>
      </c>
      <c r="AC3" s="11" t="s">
        <v>355</v>
      </c>
      <c r="AD3" s="11" t="s">
        <v>355</v>
      </c>
      <c r="AE3" s="11" t="s">
        <v>355</v>
      </c>
      <c r="AF3" s="11" t="s">
        <v>355</v>
      </c>
      <c r="AG3" s="11" t="s">
        <v>355</v>
      </c>
      <c r="AH3" s="11" t="s">
        <v>355</v>
      </c>
      <c r="AI3" s="11"/>
      <c r="AJ3" s="11" t="s">
        <v>402</v>
      </c>
      <c r="AK3" s="11" t="s">
        <v>402</v>
      </c>
      <c r="AL3" s="11" t="s">
        <v>402</v>
      </c>
      <c r="AM3" s="11" t="s">
        <v>402</v>
      </c>
      <c r="AN3" s="11"/>
      <c r="AO3" s="11" t="s">
        <v>696</v>
      </c>
      <c r="AP3" s="11" t="s">
        <v>696</v>
      </c>
      <c r="AQ3" s="11" t="s">
        <v>696</v>
      </c>
      <c r="AR3" s="11" t="s">
        <v>696</v>
      </c>
      <c r="AS3" s="11" t="s">
        <v>696</v>
      </c>
      <c r="AT3" s="11" t="s">
        <v>696</v>
      </c>
      <c r="AU3" s="11" t="s">
        <v>696</v>
      </c>
      <c r="AV3" s="11" t="s">
        <v>696</v>
      </c>
      <c r="AW3" s="11" t="s">
        <v>696</v>
      </c>
      <c r="AX3" s="11" t="s">
        <v>696</v>
      </c>
      <c r="AY3" s="11" t="s">
        <v>696</v>
      </c>
      <c r="AZ3" s="11" t="s">
        <v>696</v>
      </c>
      <c r="BA3" s="11" t="s">
        <v>696</v>
      </c>
      <c r="BB3" s="11" t="s">
        <v>696</v>
      </c>
      <c r="BC3" s="11" t="s">
        <v>696</v>
      </c>
      <c r="BD3" s="11"/>
      <c r="BE3" s="11" t="s">
        <v>697</v>
      </c>
      <c r="BF3" s="11" t="s">
        <v>697</v>
      </c>
      <c r="BG3" s="11" t="s">
        <v>697</v>
      </c>
      <c r="BH3" s="11" t="s">
        <v>697</v>
      </c>
      <c r="BI3" s="11" t="s">
        <v>697</v>
      </c>
      <c r="BJ3" s="11" t="s">
        <v>697</v>
      </c>
      <c r="BK3" s="11" t="s">
        <v>697</v>
      </c>
      <c r="BL3" s="11" t="s">
        <v>697</v>
      </c>
      <c r="BM3" s="11" t="s">
        <v>697</v>
      </c>
      <c r="BN3" s="11" t="s">
        <v>697</v>
      </c>
      <c r="BO3" s="11" t="s">
        <v>697</v>
      </c>
      <c r="BP3" s="11" t="s">
        <v>697</v>
      </c>
      <c r="BQ3" s="11" t="s">
        <v>697</v>
      </c>
      <c r="BR3" s="11" t="s">
        <v>697</v>
      </c>
      <c r="BS3" s="11" t="s">
        <v>697</v>
      </c>
      <c r="BT3" s="11"/>
      <c r="BU3" s="11" t="s">
        <v>357</v>
      </c>
      <c r="BV3" s="11" t="s">
        <v>357</v>
      </c>
      <c r="BW3" s="11" t="s">
        <v>357</v>
      </c>
      <c r="BX3" s="11" t="s">
        <v>357</v>
      </c>
      <c r="BY3" s="11" t="s">
        <v>357</v>
      </c>
      <c r="BZ3" s="11" t="s">
        <v>357</v>
      </c>
      <c r="CA3" s="11" t="s">
        <v>357</v>
      </c>
      <c r="CB3" s="11" t="s">
        <v>357</v>
      </c>
      <c r="CC3" s="11" t="s">
        <v>357</v>
      </c>
      <c r="CD3" s="11" t="s">
        <v>357</v>
      </c>
      <c r="CE3" s="11" t="s">
        <v>357</v>
      </c>
      <c r="CF3" s="11" t="s">
        <v>357</v>
      </c>
      <c r="CG3" s="11" t="s">
        <v>357</v>
      </c>
      <c r="CH3" s="11" t="s">
        <v>357</v>
      </c>
      <c r="CI3" s="11" t="s">
        <v>357</v>
      </c>
      <c r="CJ3" s="11"/>
      <c r="CK3" s="11" t="s">
        <v>1116</v>
      </c>
      <c r="CL3" s="11" t="s">
        <v>1116</v>
      </c>
      <c r="CM3" s="11" t="s">
        <v>1116</v>
      </c>
      <c r="CN3" s="11" t="s">
        <v>1116</v>
      </c>
      <c r="CO3" s="11" t="s">
        <v>1116</v>
      </c>
      <c r="CP3" s="11" t="s">
        <v>1116</v>
      </c>
      <c r="CQ3" s="11" t="s">
        <v>1116</v>
      </c>
      <c r="CR3" s="11" t="s">
        <v>1116</v>
      </c>
      <c r="CS3" s="11" t="s">
        <v>1116</v>
      </c>
      <c r="CT3" s="11" t="s">
        <v>1116</v>
      </c>
      <c r="CU3" s="11" t="s">
        <v>1116</v>
      </c>
      <c r="CV3" s="11" t="s">
        <v>1116</v>
      </c>
      <c r="CW3" s="11" t="s">
        <v>1116</v>
      </c>
      <c r="CX3" s="11" t="s">
        <v>1116</v>
      </c>
      <c r="CY3" s="11" t="s">
        <v>1116</v>
      </c>
      <c r="CZ3" s="11"/>
      <c r="DA3" s="11" t="s">
        <v>358</v>
      </c>
      <c r="DB3" s="11" t="s">
        <v>358</v>
      </c>
      <c r="DC3" s="11" t="s">
        <v>358</v>
      </c>
      <c r="DD3" s="11" t="s">
        <v>358</v>
      </c>
      <c r="DE3" s="11" t="s">
        <v>358</v>
      </c>
      <c r="DF3" s="11" t="s">
        <v>358</v>
      </c>
      <c r="DG3" s="11" t="s">
        <v>358</v>
      </c>
      <c r="DH3" s="11" t="s">
        <v>358</v>
      </c>
      <c r="DI3" s="11" t="s">
        <v>358</v>
      </c>
      <c r="DJ3" s="11" t="s">
        <v>358</v>
      </c>
      <c r="DK3" s="11" t="s">
        <v>358</v>
      </c>
      <c r="DL3" s="11" t="s">
        <v>358</v>
      </c>
      <c r="DM3" s="11" t="s">
        <v>358</v>
      </c>
      <c r="DN3" s="11" t="s">
        <v>358</v>
      </c>
      <c r="DO3" s="11" t="s">
        <v>358</v>
      </c>
      <c r="DP3" s="11"/>
      <c r="DQ3" s="11"/>
      <c r="DR3" s="11" t="s">
        <v>359</v>
      </c>
      <c r="DS3" s="11" t="s">
        <v>359</v>
      </c>
      <c r="DT3" s="11" t="s">
        <v>359</v>
      </c>
      <c r="DU3" s="11" t="s">
        <v>359</v>
      </c>
      <c r="DV3" s="11" t="s">
        <v>359</v>
      </c>
      <c r="DW3" s="11" t="s">
        <v>359</v>
      </c>
      <c r="DX3" s="11" t="s">
        <v>359</v>
      </c>
      <c r="DY3" s="11" t="s">
        <v>359</v>
      </c>
      <c r="DZ3" s="11" t="s">
        <v>359</v>
      </c>
      <c r="EA3" s="11" t="s">
        <v>359</v>
      </c>
      <c r="EB3" s="11" t="s">
        <v>359</v>
      </c>
      <c r="EC3" s="11" t="s">
        <v>359</v>
      </c>
      <c r="ED3" s="11" t="s">
        <v>359</v>
      </c>
      <c r="EE3" s="11" t="s">
        <v>359</v>
      </c>
      <c r="EF3" s="11" t="s">
        <v>359</v>
      </c>
      <c r="EG3" s="7"/>
      <c r="EH3" s="11" t="s">
        <v>361</v>
      </c>
      <c r="EI3" s="11" t="s">
        <v>361</v>
      </c>
      <c r="EJ3" s="11" t="s">
        <v>361</v>
      </c>
      <c r="EK3" s="11" t="s">
        <v>361</v>
      </c>
      <c r="EL3" s="11" t="s">
        <v>361</v>
      </c>
      <c r="EM3" s="11" t="s">
        <v>361</v>
      </c>
      <c r="EN3" s="11" t="s">
        <v>361</v>
      </c>
      <c r="EO3" s="11" t="s">
        <v>361</v>
      </c>
      <c r="EP3" s="11" t="s">
        <v>361</v>
      </c>
      <c r="EQ3" s="11" t="s">
        <v>361</v>
      </c>
      <c r="ER3" s="11" t="s">
        <v>361</v>
      </c>
      <c r="ES3" s="11" t="s">
        <v>361</v>
      </c>
      <c r="ET3" s="11" t="s">
        <v>361</v>
      </c>
      <c r="EU3" s="11" t="s">
        <v>361</v>
      </c>
      <c r="EV3" s="11" t="s">
        <v>361</v>
      </c>
      <c r="EW3" s="7"/>
      <c r="EX3" s="7"/>
      <c r="EY3" s="11" t="s">
        <v>1266</v>
      </c>
      <c r="EZ3" s="11" t="s">
        <v>1266</v>
      </c>
      <c r="FA3" s="11" t="s">
        <v>1266</v>
      </c>
      <c r="FB3" s="11" t="s">
        <v>1266</v>
      </c>
      <c r="FC3" s="11" t="s">
        <v>1266</v>
      </c>
      <c r="FD3" s="11" t="s">
        <v>1266</v>
      </c>
      <c r="FE3" s="11" t="s">
        <v>1266</v>
      </c>
      <c r="FF3" s="11" t="s">
        <v>1266</v>
      </c>
      <c r="FG3" s="11" t="s">
        <v>1266</v>
      </c>
      <c r="FH3" s="11" t="s">
        <v>1266</v>
      </c>
      <c r="FI3" s="11" t="s">
        <v>1266</v>
      </c>
      <c r="FJ3" s="11" t="s">
        <v>1266</v>
      </c>
      <c r="FK3" s="11" t="s">
        <v>1266</v>
      </c>
      <c r="FL3" s="11" t="s">
        <v>1266</v>
      </c>
      <c r="FM3" s="11" t="s">
        <v>1266</v>
      </c>
      <c r="FN3" s="7"/>
      <c r="FO3" s="11" t="s">
        <v>711</v>
      </c>
      <c r="FP3" s="11" t="s">
        <v>711</v>
      </c>
      <c r="FQ3" s="11" t="s">
        <v>711</v>
      </c>
      <c r="FR3" s="11" t="s">
        <v>711</v>
      </c>
      <c r="FS3" s="11" t="s">
        <v>711</v>
      </c>
      <c r="FT3" s="11" t="s">
        <v>711</v>
      </c>
      <c r="FU3" s="11" t="s">
        <v>711</v>
      </c>
      <c r="FV3" s="11" t="s">
        <v>711</v>
      </c>
      <c r="FW3" s="11" t="s">
        <v>711</v>
      </c>
      <c r="FX3" s="11" t="s">
        <v>711</v>
      </c>
      <c r="FY3" s="11" t="s">
        <v>711</v>
      </c>
      <c r="FZ3" s="11" t="s">
        <v>711</v>
      </c>
      <c r="GA3" s="11" t="s">
        <v>711</v>
      </c>
      <c r="GB3" s="11" t="s">
        <v>711</v>
      </c>
      <c r="GC3" s="11" t="s">
        <v>711</v>
      </c>
      <c r="GD3" s="11"/>
      <c r="GE3" s="11"/>
      <c r="GF3" s="11" t="s">
        <v>996</v>
      </c>
      <c r="GG3" s="11" t="s">
        <v>996</v>
      </c>
      <c r="GH3" s="11" t="s">
        <v>996</v>
      </c>
      <c r="GI3" s="11" t="s">
        <v>996</v>
      </c>
      <c r="GJ3" s="11" t="s">
        <v>996</v>
      </c>
      <c r="GK3" s="11" t="s">
        <v>996</v>
      </c>
      <c r="GL3" s="11" t="s">
        <v>996</v>
      </c>
      <c r="GM3" s="11" t="s">
        <v>996</v>
      </c>
      <c r="GN3" s="11" t="s">
        <v>996</v>
      </c>
      <c r="GO3" s="11" t="s">
        <v>996</v>
      </c>
      <c r="GP3" s="11" t="s">
        <v>996</v>
      </c>
      <c r="GQ3" s="11" t="s">
        <v>996</v>
      </c>
      <c r="GR3" s="11" t="s">
        <v>996</v>
      </c>
      <c r="GS3" s="11" t="s">
        <v>996</v>
      </c>
      <c r="GT3" s="11" t="s">
        <v>996</v>
      </c>
      <c r="GU3" s="11"/>
      <c r="GV3" s="11" t="s">
        <v>756</v>
      </c>
      <c r="GW3" s="11" t="s">
        <v>756</v>
      </c>
      <c r="GX3" s="11" t="s">
        <v>756</v>
      </c>
      <c r="GY3" s="11" t="s">
        <v>756</v>
      </c>
      <c r="GZ3" s="11" t="s">
        <v>756</v>
      </c>
      <c r="HA3" s="11" t="s">
        <v>756</v>
      </c>
      <c r="HB3" s="11" t="s">
        <v>756</v>
      </c>
      <c r="HC3" s="11" t="s">
        <v>756</v>
      </c>
      <c r="HD3" s="11" t="s">
        <v>756</v>
      </c>
      <c r="HE3" s="11" t="s">
        <v>756</v>
      </c>
      <c r="HF3" s="11" t="s">
        <v>756</v>
      </c>
      <c r="HG3" s="11" t="s">
        <v>756</v>
      </c>
      <c r="HH3" s="11" t="s">
        <v>756</v>
      </c>
      <c r="HI3" s="11" t="s">
        <v>756</v>
      </c>
      <c r="HJ3" s="11" t="s">
        <v>756</v>
      </c>
      <c r="HK3" s="11"/>
      <c r="HL3" s="11"/>
      <c r="HM3" s="216" t="s">
        <v>472</v>
      </c>
      <c r="HN3" s="216" t="s">
        <v>472</v>
      </c>
      <c r="HO3" s="216" t="s">
        <v>472</v>
      </c>
      <c r="HP3" s="216" t="s">
        <v>472</v>
      </c>
      <c r="HQ3" s="216" t="s">
        <v>472</v>
      </c>
      <c r="HR3" s="216" t="s">
        <v>472</v>
      </c>
      <c r="HS3" s="216" t="s">
        <v>472</v>
      </c>
      <c r="HT3" s="216" t="s">
        <v>472</v>
      </c>
      <c r="HU3" s="216" t="s">
        <v>472</v>
      </c>
      <c r="HV3" s="216" t="s">
        <v>472</v>
      </c>
      <c r="HW3" s="216" t="s">
        <v>472</v>
      </c>
      <c r="HX3" s="216" t="s">
        <v>472</v>
      </c>
      <c r="HY3" s="216" t="s">
        <v>472</v>
      </c>
      <c r="HZ3" s="216" t="s">
        <v>472</v>
      </c>
      <c r="IA3" s="216" t="s">
        <v>472</v>
      </c>
      <c r="IB3" s="11"/>
    </row>
    <row r="4" spans="1:237">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row>
    <row r="5" spans="1:237">
      <c r="A5" s="11" t="s">
        <v>498</v>
      </c>
      <c r="B5" s="11" t="s">
        <v>4</v>
      </c>
      <c r="C5" s="11"/>
      <c r="D5" s="165">
        <f>'(Bloom Raw Data)'!D5</f>
        <v>44877.982799999998</v>
      </c>
      <c r="E5" s="165">
        <f>'(Bloom Raw Data)'!E5</f>
        <v>43915.27</v>
      </c>
      <c r="F5" s="165">
        <f>'(Bloom Raw Data)'!F5</f>
        <v>42397.642</v>
      </c>
      <c r="G5" s="165">
        <f>'(Bloom Raw Data)'!G5</f>
        <v>43871.66</v>
      </c>
      <c r="H5" s="165">
        <f>'(Bloom Raw Data)'!H5</f>
        <v>41722.336900000002</v>
      </c>
      <c r="I5" s="165">
        <f>'(Bloom Raw Data)'!I5</f>
        <v>46969.27</v>
      </c>
      <c r="J5" s="165">
        <f>'(Bloom Raw Data)'!J5</f>
        <v>46601.985000000001</v>
      </c>
      <c r="K5" s="165">
        <f>'(Bloom Raw Data)'!K5</f>
        <v>38135.026599999997</v>
      </c>
      <c r="L5" s="165">
        <f>'(Bloom Raw Data)'!L5</f>
        <v>38308.4948</v>
      </c>
      <c r="M5" s="165">
        <f>'(Bloom Raw Data)'!M5</f>
        <v>39165.544000000002</v>
      </c>
      <c r="N5" s="165">
        <f>'(Bloom Raw Data)'!N5</f>
        <v>37307.514000000003</v>
      </c>
      <c r="O5" s="165">
        <f>'(Bloom Raw Data)'!O5</f>
        <v>41364.932999999997</v>
      </c>
      <c r="P5" s="165">
        <f>'(Bloom Raw Data)'!P5</f>
        <v>37124.548600000002</v>
      </c>
      <c r="Q5" s="165">
        <f>'(Bloom Raw Data)'!Q5</f>
        <v>35859.978999999999</v>
      </c>
      <c r="R5" s="165">
        <f>'(Bloom Raw Data)'!R5</f>
        <v>39791.94</v>
      </c>
      <c r="S5" s="11"/>
      <c r="T5" s="165">
        <f>'(Bloom Raw Data)'!U5</f>
        <v>44168</v>
      </c>
      <c r="U5" s="165">
        <f>'(Bloom Raw Data)'!V5</f>
        <v>43629</v>
      </c>
      <c r="V5" s="165">
        <f>'(Bloom Raw Data)'!W5</f>
        <v>48327</v>
      </c>
      <c r="W5" s="165">
        <f>'(Bloom Raw Data)'!X5</f>
        <v>46574</v>
      </c>
      <c r="X5" s="165">
        <f>'(Bloom Raw Data)'!Y5</f>
        <v>45366</v>
      </c>
      <c r="Y5" s="165">
        <f>'(Bloom Raw Data)'!Z5</f>
        <v>43929</v>
      </c>
      <c r="Z5" s="165">
        <f>'(Bloom Raw Data)'!AA5</f>
        <v>45762</v>
      </c>
      <c r="AA5" s="165">
        <f>'(Bloom Raw Data)'!AB5</f>
        <v>45369</v>
      </c>
      <c r="AB5" s="165">
        <f>'(Bloom Raw Data)'!AC5</f>
        <v>42196</v>
      </c>
      <c r="AC5" s="165">
        <f>'(Bloom Raw Data)'!AD5</f>
        <v>40216</v>
      </c>
      <c r="AD5" s="165">
        <f>'(Bloom Raw Data)'!AE5</f>
        <v>42732</v>
      </c>
      <c r="AE5" s="165">
        <f>'(Bloom Raw Data)'!AF5</f>
        <v>40827</v>
      </c>
      <c r="AF5" s="165">
        <f>'(Bloom Raw Data)'!AG5</f>
        <v>38568</v>
      </c>
      <c r="AG5" s="165">
        <f>'(Bloom Raw Data)'!AH5</f>
        <v>38518</v>
      </c>
      <c r="AH5" s="165">
        <f>'(Bloom Raw Data)'!AI5</f>
        <v>43004</v>
      </c>
      <c r="AI5" s="11"/>
      <c r="AJ5" s="165">
        <f>'(Bloom Raw Data)'!AL5</f>
        <v>24548</v>
      </c>
      <c r="AK5" s="165">
        <f>'(Bloom Raw Data)'!AP5</f>
        <v>17663</v>
      </c>
      <c r="AL5" s="165">
        <f>'(Bloom Raw Data)'!AT5</f>
        <v>17470</v>
      </c>
      <c r="AM5" s="165">
        <f>'(Bloom Raw Data)'!AX5</f>
        <v>17502</v>
      </c>
      <c r="AN5" s="11"/>
      <c r="AO5" s="166">
        <f>'(Bloom Raw Data)'!BC5</f>
        <v>2.7835000000000001</v>
      </c>
      <c r="AP5" s="166">
        <f>'(Bloom Raw Data)'!BD5</f>
        <v>2.7530999999999999</v>
      </c>
      <c r="AQ5" s="166">
        <f>'(Bloom Raw Data)'!BE5</f>
        <v>2.3698000000000001</v>
      </c>
      <c r="AR5" s="166">
        <f>'(Bloom Raw Data)'!BF5</f>
        <v>2.6158999999999999</v>
      </c>
      <c r="AS5" s="166">
        <f>'(Bloom Raw Data)'!BG5</f>
        <v>0.48609999999999998</v>
      </c>
      <c r="AT5" s="166">
        <f>'(Bloom Raw Data)'!BH5</f>
        <v>2.5137999999999998</v>
      </c>
      <c r="AU5" s="166">
        <f>'(Bloom Raw Data)'!BI5</f>
        <v>2.4312</v>
      </c>
      <c r="AV5" s="166">
        <f>'(Bloom Raw Data)'!BJ5</f>
        <v>3.7846000000000002</v>
      </c>
      <c r="AW5" s="16">
        <f>AVERAGE(AV5,AX5)</f>
        <v>3.2831000000000001</v>
      </c>
      <c r="AX5" s="166">
        <f>'(Bloom Raw Data)'!BL5</f>
        <v>2.7816000000000001</v>
      </c>
      <c r="AY5" s="166">
        <f>'(Bloom Raw Data)'!BM5</f>
        <v>2.4426000000000001</v>
      </c>
      <c r="AZ5" s="166">
        <f>'(Bloom Raw Data)'!BN5</f>
        <v>3.2513000000000001</v>
      </c>
      <c r="BA5" s="166">
        <f>'(Bloom Raw Data)'!BO5</f>
        <v>4.1078000000000001</v>
      </c>
      <c r="BB5" s="166">
        <f>'(Bloom Raw Data)'!BP5</f>
        <v>3.0017</v>
      </c>
      <c r="BC5" s="166">
        <f>'(Bloom Raw Data)'!BQ5</f>
        <v>2.6034000000000002</v>
      </c>
      <c r="BD5" s="11"/>
      <c r="BE5" s="166" t="e">
        <f>'(Bloom Raw Data)'!BT5</f>
        <v>#NAME?</v>
      </c>
      <c r="BF5" s="166">
        <f>'(Bloom Raw Data)'!BU5</f>
        <v>1.9694</v>
      </c>
      <c r="BG5" s="166">
        <f>'(Bloom Raw Data)'!BV5</f>
        <v>2.2368000000000001</v>
      </c>
      <c r="BH5" s="166">
        <f>'(Bloom Raw Data)'!BW5</f>
        <v>2.2208000000000001</v>
      </c>
      <c r="BI5" s="166">
        <f>'(Bloom Raw Data)'!BX5</f>
        <v>2.5480999999999998</v>
      </c>
      <c r="BJ5" s="166">
        <f>'(Bloom Raw Data)'!BY5</f>
        <v>2.5228999999999999</v>
      </c>
      <c r="BK5" s="166">
        <f>'(Bloom Raw Data)'!BZ5</f>
        <v>2.7326999999999999</v>
      </c>
      <c r="BL5" s="166">
        <f>'(Bloom Raw Data)'!CA5</f>
        <v>2.7244000000000002</v>
      </c>
      <c r="BM5" s="166">
        <f>'(Bloom Raw Data)'!CB5</f>
        <v>2.2204000000000002</v>
      </c>
      <c r="BN5" s="166">
        <f>'(Bloom Raw Data)'!CC5</f>
        <v>2.0991</v>
      </c>
      <c r="BO5" s="166">
        <f>'(Bloom Raw Data)'!CD5</f>
        <v>2.1810999999999998</v>
      </c>
      <c r="BP5" s="166">
        <f>'(Bloom Raw Data)'!CE5</f>
        <v>2.0819000000000001</v>
      </c>
      <c r="BQ5" s="166">
        <f>'(Bloom Raw Data)'!CF5</f>
        <v>2.1436000000000002</v>
      </c>
      <c r="BR5" s="166">
        <f>'(Bloom Raw Data)'!CG5</f>
        <v>2.1776</v>
      </c>
      <c r="BS5" s="166">
        <f>'(Bloom Raw Data)'!CH5</f>
        <v>2.4577</v>
      </c>
      <c r="BT5" s="11"/>
      <c r="BU5" s="165">
        <f>'(Bloom Raw Data)'!CK5</f>
        <v>94628.982799999998</v>
      </c>
      <c r="BV5" s="165">
        <f>'(Bloom Raw Data)'!CL5</f>
        <v>93284.27</v>
      </c>
      <c r="BW5" s="165">
        <f>'(Bloom Raw Data)'!CM5</f>
        <v>95766.642000000007</v>
      </c>
      <c r="BX5" s="165">
        <f>'(Bloom Raw Data)'!CN5</f>
        <v>95647.66</v>
      </c>
      <c r="BY5" s="165">
        <f>'(Bloom Raw Data)'!CO5</f>
        <v>92100.336899999995</v>
      </c>
      <c r="BZ5" s="165">
        <f>'(Bloom Raw Data)'!CP5</f>
        <v>95951.27</v>
      </c>
      <c r="CA5" s="165">
        <f>'(Bloom Raw Data)'!CQ5</f>
        <v>97085.985000000001</v>
      </c>
      <c r="CB5" s="165">
        <f>'(Bloom Raw Data)'!CR5</f>
        <v>88351.026599999997</v>
      </c>
      <c r="CC5" s="165">
        <f>'(Bloom Raw Data)'!CS5</f>
        <v>85151.4948</v>
      </c>
      <c r="CD5" s="165">
        <f>'(Bloom Raw Data)'!CT5</f>
        <v>84090.543999999994</v>
      </c>
      <c r="CE5" s="165">
        <f>'(Bloom Raw Data)'!CU5</f>
        <v>84504.513999999996</v>
      </c>
      <c r="CF5" s="165">
        <f>'(Bloom Raw Data)'!CV5</f>
        <v>86802.933000000005</v>
      </c>
      <c r="CG5" s="165">
        <f>'(Bloom Raw Data)'!CW5</f>
        <v>80315.548599999995</v>
      </c>
      <c r="CH5" s="165">
        <f>'(Bloom Raw Data)'!CX5</f>
        <v>78970.979000000007</v>
      </c>
      <c r="CI5" s="165">
        <f>'(Bloom Raw Data)'!CY5</f>
        <v>89828.94</v>
      </c>
      <c r="CJ5" s="11"/>
      <c r="CK5" s="165">
        <f>BU5-D5-T5</f>
        <v>5583</v>
      </c>
      <c r="CL5" s="165">
        <f t="shared" ref="CL5:CY5" si="0">BV5-E5-U5</f>
        <v>5740.0000000000073</v>
      </c>
      <c r="CM5" s="165">
        <f t="shared" si="0"/>
        <v>5042.0000000000073</v>
      </c>
      <c r="CN5" s="165">
        <f t="shared" si="0"/>
        <v>5202</v>
      </c>
      <c r="CO5" s="165">
        <f t="shared" si="0"/>
        <v>5011.9999999999927</v>
      </c>
      <c r="CP5" s="165">
        <f t="shared" si="0"/>
        <v>5053.0000000000073</v>
      </c>
      <c r="CQ5" s="165">
        <f t="shared" si="0"/>
        <v>4722</v>
      </c>
      <c r="CR5" s="165">
        <f t="shared" si="0"/>
        <v>4847</v>
      </c>
      <c r="CS5" s="165">
        <f t="shared" si="0"/>
        <v>4647</v>
      </c>
      <c r="CT5" s="165">
        <f t="shared" si="0"/>
        <v>4708.9999999999927</v>
      </c>
      <c r="CU5" s="165">
        <f t="shared" si="0"/>
        <v>4464.9999999999927</v>
      </c>
      <c r="CV5" s="165">
        <f t="shared" si="0"/>
        <v>4611.0000000000073</v>
      </c>
      <c r="CW5" s="165">
        <f t="shared" si="0"/>
        <v>4622.9999999999927</v>
      </c>
      <c r="CX5" s="165">
        <f t="shared" si="0"/>
        <v>4593.0000000000073</v>
      </c>
      <c r="CY5" s="165">
        <f t="shared" si="0"/>
        <v>7033</v>
      </c>
      <c r="CZ5" s="11"/>
      <c r="DA5" s="166">
        <f>'(Bloom Raw Data)'!DB5</f>
        <v>4.2236000000000002</v>
      </c>
      <c r="DB5" s="166">
        <f>'(Bloom Raw Data)'!DC5</f>
        <v>4.2108999999999996</v>
      </c>
      <c r="DC5" s="166">
        <f>'(Bloom Raw Data)'!DD5</f>
        <v>4.4325999999999999</v>
      </c>
      <c r="DD5" s="166">
        <f>'(Bloom Raw Data)'!DE5</f>
        <v>4.5606999999999998</v>
      </c>
      <c r="DE5" s="166">
        <f>'(Bloom Raw Data)'!DF5</f>
        <v>5.173</v>
      </c>
      <c r="DF5" s="166">
        <f>'(Bloom Raw Data)'!DG5</f>
        <v>5.5106000000000002</v>
      </c>
      <c r="DG5" s="166">
        <f>'(Bloom Raw Data)'!DH5</f>
        <v>5.7976000000000001</v>
      </c>
      <c r="DH5" s="166">
        <f>'(Bloom Raw Data)'!DI5</f>
        <v>5.3053999999999997</v>
      </c>
      <c r="DI5" s="166">
        <f>'(Bloom Raw Data)'!DJ5</f>
        <v>4.4806999999999997</v>
      </c>
      <c r="DJ5" s="166">
        <f>'(Bloom Raw Data)'!DK5</f>
        <v>4.3891</v>
      </c>
      <c r="DK5" s="166">
        <f>'(Bloom Raw Data)'!DL5</f>
        <v>4.3132000000000001</v>
      </c>
      <c r="DL5" s="166">
        <f>'(Bloom Raw Data)'!DM5</f>
        <v>4.4264999999999999</v>
      </c>
      <c r="DM5" s="166">
        <f>'(Bloom Raw Data)'!DN5</f>
        <v>4.4640000000000004</v>
      </c>
      <c r="DN5" s="166">
        <f>'(Bloom Raw Data)'!DO5</f>
        <v>4.4646999999999997</v>
      </c>
      <c r="DO5" s="166">
        <f>'(Bloom Raw Data)'!DP5</f>
        <v>5.1337000000000002</v>
      </c>
      <c r="DP5" s="11"/>
      <c r="DQ5" s="11"/>
      <c r="DR5" s="166">
        <f>'(Bloom Raw Data)'!DS5</f>
        <v>1.4647999999999999</v>
      </c>
      <c r="DS5" s="166">
        <f>'(Bloom Raw Data)'!DT5</f>
        <v>1.446</v>
      </c>
      <c r="DT5" s="166">
        <f>'(Bloom Raw Data)'!DU5</f>
        <v>1.5009000000000001</v>
      </c>
      <c r="DU5" s="166">
        <f>'(Bloom Raw Data)'!DV5</f>
        <v>1.5148000000000001</v>
      </c>
      <c r="DV5" s="166">
        <f>'(Bloom Raw Data)'!DW5</f>
        <v>1.4755</v>
      </c>
      <c r="DW5" s="166">
        <f>'(Bloom Raw Data)'!DX5</f>
        <v>1.5676999999999999</v>
      </c>
      <c r="DX5" s="166">
        <f>'(Bloom Raw Data)'!DY5</f>
        <v>1.6141000000000001</v>
      </c>
      <c r="DY5" s="166">
        <f>'(Bloom Raw Data)'!DZ5</f>
        <v>1.4919</v>
      </c>
      <c r="DZ5" s="166">
        <f>'(Bloom Raw Data)'!EA5</f>
        <v>1.4518</v>
      </c>
      <c r="EA5" s="166">
        <f>'(Bloom Raw Data)'!EB5</f>
        <v>1.4377</v>
      </c>
      <c r="EB5" s="166">
        <f>'(Bloom Raw Data)'!EC5</f>
        <v>1.4472</v>
      </c>
      <c r="EC5" s="166">
        <f>'(Bloom Raw Data)'!ED5</f>
        <v>1.4870000000000001</v>
      </c>
      <c r="ED5" s="166">
        <f>'(Bloom Raw Data)'!EE5</f>
        <v>1.3807</v>
      </c>
      <c r="EE5" s="166">
        <f>'(Bloom Raw Data)'!EF5</f>
        <v>1.3729</v>
      </c>
      <c r="EF5" s="166">
        <f>'(Bloom Raw Data)'!EG5</f>
        <v>1.5407999999999999</v>
      </c>
      <c r="EG5" s="11"/>
      <c r="EH5" s="165" t="str">
        <f>'(Bloom Raw Data)'!EJ5</f>
        <v>#N/A N/A</v>
      </c>
      <c r="EI5" s="165">
        <f>'(Bloom Raw Data)'!EK5</f>
        <v>19.3691</v>
      </c>
      <c r="EJ5" s="165">
        <f>'(Bloom Raw Data)'!EL5</f>
        <v>19.066500000000001</v>
      </c>
      <c r="EK5" s="165">
        <f>'(Bloom Raw Data)'!EM5</f>
        <v>19.349900000000002</v>
      </c>
      <c r="EL5" s="165" t="str">
        <f>'(Bloom Raw Data)'!EN5</f>
        <v>#N/A N/A</v>
      </c>
      <c r="EM5" s="165">
        <f>'(Bloom Raw Data)'!EO5</f>
        <v>33.968699999999998</v>
      </c>
      <c r="EN5" s="165">
        <f>'(Bloom Raw Data)'!EP5</f>
        <v>37.189700000000002</v>
      </c>
      <c r="EO5" s="165">
        <f>'(Bloom Raw Data)'!EQ5</f>
        <v>28.483899999999998</v>
      </c>
      <c r="EP5" s="165" t="str">
        <f>'(Bloom Raw Data)'!ER5</f>
        <v>#N/A N/A</v>
      </c>
      <c r="EQ5" s="165" t="str">
        <f>'(Bloom Raw Data)'!ES5</f>
        <v>#N/A N/A</v>
      </c>
      <c r="ER5" s="165" t="str">
        <f>'(Bloom Raw Data)'!ET5</f>
        <v>#N/A N/A</v>
      </c>
      <c r="ES5" s="165" t="str">
        <f>'(Bloom Raw Data)'!EU5</f>
        <v>#N/A N/A</v>
      </c>
      <c r="ET5" s="165" t="str">
        <f>'(Bloom Raw Data)'!EV5</f>
        <v>#N/A N/A</v>
      </c>
      <c r="EU5" s="165" t="str">
        <f>'(Bloom Raw Data)'!EW5</f>
        <v>#N/A N/A</v>
      </c>
      <c r="EV5" s="165" t="str">
        <f>'(Bloom Raw Data)'!EX5</f>
        <v>#N/A N/A</v>
      </c>
      <c r="EW5" s="11"/>
      <c r="EX5" s="11"/>
      <c r="EY5" s="442">
        <f>EZ5</f>
        <v>5553</v>
      </c>
      <c r="EZ5" s="165">
        <f>'(Bloom Raw Data)'!FS5</f>
        <v>5553</v>
      </c>
      <c r="FA5" s="165">
        <f>'(Bloom Raw Data)'!FT5</f>
        <v>1839</v>
      </c>
      <c r="FB5" s="165">
        <f>'(Bloom Raw Data)'!FU5</f>
        <v>2074</v>
      </c>
      <c r="FC5" s="165">
        <f>'(Bloom Raw Data)'!FV5</f>
        <v>2808</v>
      </c>
      <c r="FD5" s="165">
        <f>'(Bloom Raw Data)'!FW5</f>
        <v>1676</v>
      </c>
      <c r="FE5" s="165">
        <f>'(Bloom Raw Data)'!FX5</f>
        <v>2744</v>
      </c>
      <c r="FF5" s="165">
        <f>'(Bloom Raw Data)'!FY5</f>
        <v>2130</v>
      </c>
      <c r="FG5" s="165">
        <f>'(Bloom Raw Data)'!FZ5</f>
        <v>3749</v>
      </c>
      <c r="FH5" s="165">
        <f>'(Bloom Raw Data)'!GA5</f>
        <v>3294</v>
      </c>
      <c r="FI5" s="165">
        <f>'(Bloom Raw Data)'!GB5</f>
        <v>2950</v>
      </c>
      <c r="FJ5" s="165">
        <f>'(Bloom Raw Data)'!GC5</f>
        <v>2529</v>
      </c>
      <c r="FK5" s="165">
        <f>'(Bloom Raw Data)'!GD5</f>
        <v>4026</v>
      </c>
      <c r="FL5" s="165">
        <f>'(Bloom Raw Data)'!GE5</f>
        <v>4540</v>
      </c>
      <c r="FM5" s="165">
        <f>'(Bloom Raw Data)'!GF5</f>
        <v>5243</v>
      </c>
      <c r="FN5" s="11"/>
      <c r="FO5" s="166" t="str">
        <f>'(Bloom Raw Data)'!FA5</f>
        <v>#N/A N/A</v>
      </c>
      <c r="FP5" s="166">
        <f>'(Bloom Raw Data)'!FB5</f>
        <v>1.1395</v>
      </c>
      <c r="FQ5" s="166">
        <f>'(Bloom Raw Data)'!FC5</f>
        <v>1.0667</v>
      </c>
      <c r="FR5" s="166">
        <f>'(Bloom Raw Data)'!FD5</f>
        <v>1.1496999999999999</v>
      </c>
      <c r="FS5" s="166" t="str">
        <f>'(Bloom Raw Data)'!FE5</f>
        <v>#N/A N/A</v>
      </c>
      <c r="FT5" s="166">
        <f>'(Bloom Raw Data)'!FF5</f>
        <v>1.2490999999999999</v>
      </c>
      <c r="FU5" s="166">
        <f>'(Bloom Raw Data)'!FG5</f>
        <v>1.3485</v>
      </c>
      <c r="FV5" s="166">
        <f>'(Bloom Raw Data)'!FH5</f>
        <v>1.0639000000000001</v>
      </c>
      <c r="FW5" s="166" t="str">
        <f>'(Bloom Raw Data)'!FI5</f>
        <v>#N/A N/A</v>
      </c>
      <c r="FX5" s="166" t="str">
        <f>'(Bloom Raw Data)'!FJ5</f>
        <v>#N/A N/A</v>
      </c>
      <c r="FY5" s="166" t="str">
        <f>'(Bloom Raw Data)'!FK5</f>
        <v>#N/A N/A</v>
      </c>
      <c r="FZ5" s="166" t="str">
        <f>'(Bloom Raw Data)'!FL5</f>
        <v>#N/A N/A</v>
      </c>
      <c r="GA5" s="166" t="str">
        <f>'(Bloom Raw Data)'!FM5</f>
        <v>#N/A N/A</v>
      </c>
      <c r="GB5" s="166" t="str">
        <f>'(Bloom Raw Data)'!FN5</f>
        <v>#N/A N/A</v>
      </c>
      <c r="GC5" s="166" t="str">
        <f>'(Bloom Raw Data)'!FO5</f>
        <v>#N/A N/A</v>
      </c>
      <c r="GD5" s="11"/>
      <c r="GE5" s="11"/>
      <c r="GF5" s="165">
        <f>'(Bloom Raw Data)'!GI5</f>
        <v>41937</v>
      </c>
      <c r="GG5" s="165">
        <f>'(Bloom Raw Data)'!GJ5</f>
        <v>44279</v>
      </c>
      <c r="GH5" s="165">
        <f>'(Bloom Raw Data)'!GK5</f>
        <v>44787</v>
      </c>
      <c r="GI5" s="165">
        <f>'(Bloom Raw Data)'!GL5</f>
        <v>43360</v>
      </c>
      <c r="GJ5" s="165">
        <f>'(Bloom Raw Data)'!GM5</f>
        <v>43028</v>
      </c>
      <c r="GK5" s="165">
        <f>'(Bloom Raw Data)'!GN5</f>
        <v>42656</v>
      </c>
      <c r="GL5" s="165">
        <f>'(Bloom Raw Data)'!GO5</f>
        <v>39280</v>
      </c>
      <c r="GM5" s="165">
        <f>'(Bloom Raw Data)'!GP5</f>
        <v>40690</v>
      </c>
      <c r="GN5" s="165">
        <f>'(Bloom Raw Data)'!GQ5</f>
        <v>39941</v>
      </c>
      <c r="GO5" s="165">
        <f>'(Bloom Raw Data)'!GR5</f>
        <v>39818</v>
      </c>
      <c r="GP5" s="165">
        <f>'(Bloom Raw Data)'!GS5</f>
        <v>37874</v>
      </c>
      <c r="GQ5" s="165">
        <f>'(Bloom Raw Data)'!GT5</f>
        <v>30259</v>
      </c>
      <c r="GR5" s="165">
        <f>'(Bloom Raw Data)'!GU5</f>
        <v>30543</v>
      </c>
      <c r="GS5" s="165">
        <f>'(Bloom Raw Data)'!GV5</f>
        <v>31013</v>
      </c>
      <c r="GT5" s="165">
        <f>'(Bloom Raw Data)'!GW5</f>
        <v>31250</v>
      </c>
      <c r="GU5" s="11"/>
      <c r="GV5" s="165">
        <f t="shared" ref="GV5:HJ12" si="1">BU5/DA5</f>
        <v>22404.816459892034</v>
      </c>
      <c r="GW5" s="165">
        <f t="shared" si="1"/>
        <v>22153.048041986276</v>
      </c>
      <c r="GX5" s="165">
        <f t="shared" si="1"/>
        <v>21605.0719667915</v>
      </c>
      <c r="GY5" s="165">
        <f t="shared" si="1"/>
        <v>20972.144626921308</v>
      </c>
      <c r="GZ5" s="165">
        <f t="shared" si="1"/>
        <v>17804.047341967907</v>
      </c>
      <c r="HA5" s="165">
        <f t="shared" si="1"/>
        <v>17412.127536021486</v>
      </c>
      <c r="HB5" s="165">
        <f t="shared" si="1"/>
        <v>16745.892265765146</v>
      </c>
      <c r="HC5" s="165">
        <f t="shared" si="1"/>
        <v>16653.037772835225</v>
      </c>
      <c r="HD5" s="165">
        <f t="shared" si="1"/>
        <v>19004.060704800591</v>
      </c>
      <c r="HE5" s="165">
        <f t="shared" si="1"/>
        <v>19158.949215101045</v>
      </c>
      <c r="HF5" s="165">
        <f t="shared" si="1"/>
        <v>19592.069461188908</v>
      </c>
      <c r="HG5" s="165">
        <f t="shared" si="1"/>
        <v>19609.834632328028</v>
      </c>
      <c r="HH5" s="165">
        <f t="shared" si="1"/>
        <v>17991.83436379928</v>
      </c>
      <c r="HI5" s="165">
        <f t="shared" si="1"/>
        <v>17687.857862790337</v>
      </c>
      <c r="HJ5" s="165">
        <f t="shared" si="1"/>
        <v>17497.894306250852</v>
      </c>
      <c r="HK5" s="11"/>
      <c r="HL5" s="2658"/>
      <c r="HM5" s="166">
        <f>'(Bloom Raw Data)'!HQ5</f>
        <v>4.6195000000000004</v>
      </c>
      <c r="HN5" s="166">
        <f>'(Bloom Raw Data)'!HR5</f>
        <v>5.6878000000000002</v>
      </c>
      <c r="HO5" s="166">
        <f>'(Bloom Raw Data)'!HS5</f>
        <v>6.3822999999999999</v>
      </c>
      <c r="HP5" s="166">
        <f>'(Bloom Raw Data)'!HT5</f>
        <v>7.4030000000000005</v>
      </c>
      <c r="HQ5" s="166">
        <f>'(Bloom Raw Data)'!HU5</f>
        <v>6.6543000000000001</v>
      </c>
      <c r="HR5" s="166">
        <f>'(Bloom Raw Data)'!HV5</f>
        <v>7.2379999999999995</v>
      </c>
      <c r="HS5" s="166">
        <f>'(Bloom Raw Data)'!HW5</f>
        <v>7.0167000000000002</v>
      </c>
      <c r="HT5" s="166">
        <f>'(Bloom Raw Data)'!HX5</f>
        <v>6.5442</v>
      </c>
      <c r="HU5" s="166">
        <f>'(Bloom Raw Data)'!HY5</f>
        <v>5.3388999999999998</v>
      </c>
      <c r="HV5" s="166">
        <f>'(Bloom Raw Data)'!HZ5</f>
        <v>5.2583000000000002</v>
      </c>
      <c r="HW5" s="166">
        <f>'(Bloom Raw Data)'!IA5</f>
        <v>5.5208000000000004</v>
      </c>
      <c r="HX5" s="166">
        <f>'(Bloom Raw Data)'!IB5</f>
        <v>5.7710999999999997</v>
      </c>
      <c r="HY5" s="166">
        <f>'(Bloom Raw Data)'!IC5</f>
        <v>4.9032999999999998</v>
      </c>
      <c r="HZ5" s="166">
        <f>'(Bloom Raw Data)'!ID5</f>
        <v>4.5873999999999997</v>
      </c>
      <c r="IA5" s="166">
        <f>'(Bloom Raw Data)'!IE5</f>
        <v>5.2995000000000001</v>
      </c>
      <c r="IB5" s="72"/>
    </row>
    <row r="6" spans="1:237">
      <c r="A6" s="11" t="s">
        <v>385</v>
      </c>
      <c r="B6" s="11" t="s">
        <v>3</v>
      </c>
      <c r="C6" s="11"/>
      <c r="D6" s="165">
        <f>'(Bloom Raw Data)'!D6</f>
        <v>4403.5114999999996</v>
      </c>
      <c r="E6" s="165">
        <f>'(Bloom Raw Data)'!E6</f>
        <v>4580.5370999999996</v>
      </c>
      <c r="F6" s="165">
        <f>'(Bloom Raw Data)'!F6</f>
        <v>4042.8218999999999</v>
      </c>
      <c r="G6" s="165">
        <f>'(Bloom Raw Data)'!G6</f>
        <v>4885.9062000000004</v>
      </c>
      <c r="H6" s="165">
        <f>'(Bloom Raw Data)'!H6</f>
        <v>4655.7730000000001</v>
      </c>
      <c r="I6" s="165">
        <f>'(Bloom Raw Data)'!I6</f>
        <v>4567.2601999999997</v>
      </c>
      <c r="J6" s="165">
        <f>'(Bloom Raw Data)'!J6</f>
        <v>3894.5628999999999</v>
      </c>
      <c r="K6" s="165">
        <f>'(Bloom Raw Data)'!K6</f>
        <v>3354.1923000000002</v>
      </c>
      <c r="L6" s="165">
        <f>'(Bloom Raw Data)'!L6</f>
        <v>4088.4059000000002</v>
      </c>
      <c r="M6" s="165">
        <f>'(Bloom Raw Data)'!M6</f>
        <v>3864.4686000000002</v>
      </c>
      <c r="N6" s="165">
        <f>'(Bloom Raw Data)'!N6</f>
        <v>3433.8537999999999</v>
      </c>
      <c r="O6" s="165">
        <f>'(Bloom Raw Data)'!O6</f>
        <v>2434.1017999999999</v>
      </c>
      <c r="P6" s="165">
        <f>'(Bloom Raw Data)'!P6</f>
        <v>2540.3172</v>
      </c>
      <c r="Q6" s="165">
        <f>'(Bloom Raw Data)'!Q6</f>
        <v>2265.4850000000001</v>
      </c>
      <c r="R6" s="165">
        <f>'(Bloom Raw Data)'!R6</f>
        <v>2152.6311000000001</v>
      </c>
      <c r="S6" s="11"/>
      <c r="T6" s="165">
        <f>'(Bloom Raw Data)'!U6</f>
        <v>3145.31</v>
      </c>
      <c r="U6" s="165">
        <f>'(Bloom Raw Data)'!V6</f>
        <v>2965.2</v>
      </c>
      <c r="V6" s="165">
        <f>'(Bloom Raw Data)'!W6</f>
        <v>3106.4</v>
      </c>
      <c r="W6" s="165">
        <f>'(Bloom Raw Data)'!X6</f>
        <v>2823.3</v>
      </c>
      <c r="X6" s="165">
        <f>'(Bloom Raw Data)'!Y6</f>
        <v>3350.0210000000002</v>
      </c>
      <c r="Y6" s="165">
        <f>'(Bloom Raw Data)'!Z6</f>
        <v>3327</v>
      </c>
      <c r="Z6" s="165">
        <f>'(Bloom Raw Data)'!AA6</f>
        <v>3536.5</v>
      </c>
      <c r="AA6" s="165">
        <f>'(Bloom Raw Data)'!AB6</f>
        <v>3438</v>
      </c>
      <c r="AB6" s="165">
        <f>'(Bloom Raw Data)'!AC6</f>
        <v>3323.3139999999999</v>
      </c>
      <c r="AC6" s="165">
        <f>'(Bloom Raw Data)'!AD6</f>
        <v>3279.5</v>
      </c>
      <c r="AD6" s="165">
        <f>'(Bloom Raw Data)'!AE6</f>
        <v>3371</v>
      </c>
      <c r="AE6" s="165">
        <f>'(Bloom Raw Data)'!AF6</f>
        <v>3210.2</v>
      </c>
      <c r="AF6" s="165">
        <f>'(Bloom Raw Data)'!AG6</f>
        <v>3195.5210000000002</v>
      </c>
      <c r="AG6" s="165">
        <f>'(Bloom Raw Data)'!AH6</f>
        <v>3509</v>
      </c>
      <c r="AH6" s="165">
        <f>'(Bloom Raw Data)'!AI6</f>
        <v>3474.4</v>
      </c>
      <c r="AI6" s="11"/>
      <c r="AJ6" s="165">
        <f>'(Bloom Raw Data)'!AL6</f>
        <v>122.795</v>
      </c>
      <c r="AK6" s="165">
        <f>'(Bloom Raw Data)'!AP6</f>
        <v>109.989</v>
      </c>
      <c r="AL6" s="165">
        <f>'(Bloom Raw Data)'!AT6</f>
        <v>109.435</v>
      </c>
      <c r="AM6" s="165">
        <f>'(Bloom Raw Data)'!AX6</f>
        <v>105.739</v>
      </c>
      <c r="AN6" s="11"/>
      <c r="AO6" s="166">
        <f>'(Bloom Raw Data)'!BC6</f>
        <v>2.0987</v>
      </c>
      <c r="AP6" s="166">
        <f>'(Bloom Raw Data)'!BD6</f>
        <v>3.1259000000000001</v>
      </c>
      <c r="AQ6" s="166">
        <f>'(Bloom Raw Data)'!BE6</f>
        <v>2.5788000000000002</v>
      </c>
      <c r="AR6" s="166">
        <f>'(Bloom Raw Data)'!BF6</f>
        <v>3.5594999999999999</v>
      </c>
      <c r="AS6" s="166">
        <f>'(Bloom Raw Data)'!BG6</f>
        <v>1.8706</v>
      </c>
      <c r="AT6" s="166">
        <f>'(Bloom Raw Data)'!BH6</f>
        <v>2.7198000000000002</v>
      </c>
      <c r="AU6" s="166">
        <f>'(Bloom Raw Data)'!BI6</f>
        <v>2.2719</v>
      </c>
      <c r="AV6" s="166">
        <f>'(Bloom Raw Data)'!BJ6</f>
        <v>3.0768</v>
      </c>
      <c r="AW6" s="166">
        <f>'(Bloom Raw Data)'!BK6</f>
        <v>-3.6991000000000001</v>
      </c>
      <c r="AX6" s="166">
        <f>'(Bloom Raw Data)'!BL6</f>
        <v>2.0314000000000001</v>
      </c>
      <c r="AY6" s="166">
        <f>'(Bloom Raw Data)'!BM6</f>
        <v>1.6831</v>
      </c>
      <c r="AZ6" s="166">
        <f>'(Bloom Raw Data)'!BN6</f>
        <v>3.2178</v>
      </c>
      <c r="BA6" s="166">
        <f>'(Bloom Raw Data)'!BO6</f>
        <v>1.5064</v>
      </c>
      <c r="BB6" s="166">
        <f>'(Bloom Raw Data)'!BP6</f>
        <v>2.3489</v>
      </c>
      <c r="BC6" s="166">
        <f>'(Bloom Raw Data)'!BQ6</f>
        <v>2.1646999999999998</v>
      </c>
      <c r="BD6" s="11"/>
      <c r="BE6" s="166">
        <f>'(Bloom Raw Data)'!BT6</f>
        <v>1.7532000000000001</v>
      </c>
      <c r="BF6" s="166">
        <f>'(Bloom Raw Data)'!BU6</f>
        <v>1.6798999999999999</v>
      </c>
      <c r="BG6" s="166">
        <f>'(Bloom Raw Data)'!BV6</f>
        <v>1.8073000000000001</v>
      </c>
      <c r="BH6" s="166">
        <f>'(Bloom Raw Data)'!BW6</f>
        <v>1.6823999999999999</v>
      </c>
      <c r="BI6" s="166">
        <f>'(Bloom Raw Data)'!BX6</f>
        <v>2.0352999999999999</v>
      </c>
      <c r="BJ6" s="166">
        <f>'(Bloom Raw Data)'!BY6</f>
        <v>2.0579000000000001</v>
      </c>
      <c r="BK6" s="166">
        <f>'(Bloom Raw Data)'!BZ6</f>
        <v>2.2189000000000001</v>
      </c>
      <c r="BL6" s="166">
        <f>'(Bloom Raw Data)'!CA6</f>
        <v>2.2071000000000001</v>
      </c>
      <c r="BM6" s="166">
        <f>'(Bloom Raw Data)'!CB6</f>
        <v>2.1758999999999999</v>
      </c>
      <c r="BN6" s="166">
        <f>'(Bloom Raw Data)'!CC6</f>
        <v>2.198</v>
      </c>
      <c r="BO6" s="166">
        <f>'(Bloom Raw Data)'!CD6</f>
        <v>2.2839</v>
      </c>
      <c r="BP6" s="166">
        <f>'(Bloom Raw Data)'!CE6</f>
        <v>2.1787000000000001</v>
      </c>
      <c r="BQ6" s="166">
        <f>'(Bloom Raw Data)'!CF6</f>
        <v>2.1955</v>
      </c>
      <c r="BR6" s="166">
        <f>'(Bloom Raw Data)'!CG6</f>
        <v>2.4521999999999999</v>
      </c>
      <c r="BS6" s="166">
        <f>'(Bloom Raw Data)'!CH6</f>
        <v>2.4878</v>
      </c>
      <c r="BT6" s="11"/>
      <c r="BU6" s="165">
        <f>'(Bloom Raw Data)'!CK6</f>
        <v>7551.5445</v>
      </c>
      <c r="BV6" s="165">
        <f>'(Bloom Raw Data)'!CL6</f>
        <v>7548.5370999999996</v>
      </c>
      <c r="BW6" s="165">
        <f>'(Bloom Raw Data)'!CM6</f>
        <v>7151.8218999999999</v>
      </c>
      <c r="BX6" s="165">
        <f>'(Bloom Raw Data)'!CN6</f>
        <v>7711.9062000000004</v>
      </c>
      <c r="BY6" s="165">
        <f>'(Bloom Raw Data)'!CO6</f>
        <v>8008.34</v>
      </c>
      <c r="BZ6" s="165">
        <f>'(Bloom Raw Data)'!CP6</f>
        <v>7896.4602000000004</v>
      </c>
      <c r="CA6" s="165">
        <f>'(Bloom Raw Data)'!CQ6</f>
        <v>7433.3629000000001</v>
      </c>
      <c r="CB6" s="165">
        <f>'(Bloom Raw Data)'!CR6</f>
        <v>6794.2923000000001</v>
      </c>
      <c r="CC6" s="165">
        <f>'(Bloom Raw Data)'!CS6</f>
        <v>7412.6539000000002</v>
      </c>
      <c r="CD6" s="165">
        <f>'(Bloom Raw Data)'!CT6</f>
        <v>7144.8685999999998</v>
      </c>
      <c r="CE6" s="165">
        <f>'(Bloom Raw Data)'!CU6</f>
        <v>6805.8537999999999</v>
      </c>
      <c r="CF6" s="165">
        <f>'(Bloom Raw Data)'!CV6</f>
        <v>5645.3018000000002</v>
      </c>
      <c r="CG6" s="165">
        <f>'(Bloom Raw Data)'!CW6</f>
        <v>5736.8901999999998</v>
      </c>
      <c r="CH6" s="165">
        <f>'(Bloom Raw Data)'!CX6</f>
        <v>5775.585</v>
      </c>
      <c r="CI6" s="165">
        <f>'(Bloom Raw Data)'!CY6</f>
        <v>5628.2311</v>
      </c>
      <c r="CJ6" s="11"/>
      <c r="CK6" s="165">
        <f t="shared" ref="CK6:CK27" si="2">BU6-D6-T6</f>
        <v>2.7230000000004111</v>
      </c>
      <c r="CL6" s="165">
        <f t="shared" ref="CL6:CL27" si="3">BV6-E6-U6</f>
        <v>2.8000000000001819</v>
      </c>
      <c r="CM6" s="165">
        <f t="shared" ref="CM6:CM27" si="4">BW6-F6-V6</f>
        <v>2.5999999999999091</v>
      </c>
      <c r="CN6" s="165">
        <f t="shared" ref="CN6:CN27" si="5">BX6-G6-W6</f>
        <v>2.6999999999998181</v>
      </c>
      <c r="CO6" s="165">
        <f t="shared" ref="CO6:CO27" si="6">BY6-H6-X6</f>
        <v>2.5459999999998217</v>
      </c>
      <c r="CP6" s="165">
        <f t="shared" ref="CP6:CP27" si="7">BZ6-I6-Y6</f>
        <v>2.2000000000007276</v>
      </c>
      <c r="CQ6" s="165">
        <f t="shared" ref="CQ6:CQ27" si="8">CA6-J6-Z6</f>
        <v>2.3000000000001819</v>
      </c>
      <c r="CR6" s="165">
        <f t="shared" ref="CR6:CR27" si="9">CB6-K6-AA6</f>
        <v>2.0999999999999091</v>
      </c>
      <c r="CS6" s="165">
        <f t="shared" ref="CS6:CS27" si="10">CC6-L6-AB6</f>
        <v>0.93400000000019645</v>
      </c>
      <c r="CT6" s="165">
        <f t="shared" ref="CT6:CT27" si="11">CD6-M6-AC6</f>
        <v>0.8999999999996362</v>
      </c>
      <c r="CU6" s="165">
        <f t="shared" ref="CU6:CU27" si="12">CE6-N6-AD6</f>
        <v>1</v>
      </c>
      <c r="CV6" s="165">
        <f t="shared" ref="CV6:CV27" si="13">CF6-O6-AE6</f>
        <v>1.0000000000004547</v>
      </c>
      <c r="CW6" s="165">
        <f t="shared" ref="CW6:CW27" si="14">CG6-P6-AF6</f>
        <v>1.0519999999996799</v>
      </c>
      <c r="CX6" s="165">
        <f t="shared" ref="CX6:CX27" si="15">CH6-Q6-AG6</f>
        <v>1.0999999999999091</v>
      </c>
      <c r="CY6" s="165">
        <f t="shared" ref="CY6:CY27" si="16">CI6-R6-AH6</f>
        <v>1.1999999999998181</v>
      </c>
      <c r="CZ6" s="11"/>
      <c r="DA6" s="166">
        <f>'(Bloom Raw Data)'!DB6</f>
        <v>4.2092000000000001</v>
      </c>
      <c r="DB6" s="166">
        <f>'(Bloom Raw Data)'!DC6</f>
        <v>4.2765000000000004</v>
      </c>
      <c r="DC6" s="166">
        <f>'(Bloom Raw Data)'!DD6</f>
        <v>4.1608000000000001</v>
      </c>
      <c r="DD6" s="166">
        <f>'(Bloom Raw Data)'!DE6</f>
        <v>4.5955000000000004</v>
      </c>
      <c r="DE6" s="166">
        <f>'(Bloom Raw Data)'!DF6</f>
        <v>4.8654999999999999</v>
      </c>
      <c r="DF6" s="166">
        <f>'(Bloom Raw Data)'!DG6</f>
        <v>4.8841999999999999</v>
      </c>
      <c r="DG6" s="166">
        <f>'(Bloom Raw Data)'!DH6</f>
        <v>4.6638000000000002</v>
      </c>
      <c r="DH6" s="166">
        <f>'(Bloom Raw Data)'!DI6</f>
        <v>4.3616999999999999</v>
      </c>
      <c r="DI6" s="166">
        <f>'(Bloom Raw Data)'!DJ6</f>
        <v>4.8532000000000002</v>
      </c>
      <c r="DJ6" s="166">
        <f>'(Bloom Raw Data)'!DK6</f>
        <v>4.7885999999999997</v>
      </c>
      <c r="DK6" s="166">
        <f>'(Bloom Raw Data)'!DL6</f>
        <v>4.6111000000000004</v>
      </c>
      <c r="DL6" s="166">
        <f>'(Bloom Raw Data)'!DM6</f>
        <v>3.8313000000000001</v>
      </c>
      <c r="DM6" s="166">
        <f>'(Bloom Raw Data)'!DN6</f>
        <v>3.9416000000000002</v>
      </c>
      <c r="DN6" s="166">
        <f>'(Bloom Raw Data)'!DO6</f>
        <v>4.0361000000000002</v>
      </c>
      <c r="DO6" s="166">
        <f>'(Bloom Raw Data)'!DP6</f>
        <v>4.03</v>
      </c>
      <c r="DP6" s="11"/>
      <c r="DQ6" s="11"/>
      <c r="DR6" s="166">
        <f>'(Bloom Raw Data)'!DS6</f>
        <v>1.5726</v>
      </c>
      <c r="DS6" s="166">
        <f>'(Bloom Raw Data)'!DT6</f>
        <v>1.5956000000000001</v>
      </c>
      <c r="DT6" s="166">
        <f>'(Bloom Raw Data)'!DU6</f>
        <v>1.5190999999999999</v>
      </c>
      <c r="DU6" s="166">
        <f>'(Bloom Raw Data)'!DV6</f>
        <v>1.6543999999999999</v>
      </c>
      <c r="DV6" s="166">
        <f>'(Bloom Raw Data)'!DW6</f>
        <v>1.7219</v>
      </c>
      <c r="DW6" s="166">
        <f>'(Bloom Raw Data)'!DX6</f>
        <v>1.7008000000000001</v>
      </c>
      <c r="DX6" s="166">
        <f>'(Bloom Raw Data)'!DY6</f>
        <v>1.6217999999999999</v>
      </c>
      <c r="DY6" s="166">
        <f>'(Bloom Raw Data)'!DZ6</f>
        <v>1.5066999999999999</v>
      </c>
      <c r="DZ6" s="166">
        <f>'(Bloom Raw Data)'!EA6</f>
        <v>1.6640000000000001</v>
      </c>
      <c r="EA6" s="166">
        <f>'(Bloom Raw Data)'!EB6</f>
        <v>1.6269</v>
      </c>
      <c r="EB6" s="166">
        <f>'(Bloom Raw Data)'!EC6</f>
        <v>1.5662</v>
      </c>
      <c r="EC6" s="166">
        <f>'(Bloom Raw Data)'!ED6</f>
        <v>1.3044</v>
      </c>
      <c r="ED6" s="166">
        <f>'(Bloom Raw Data)'!EE6</f>
        <v>1.325</v>
      </c>
      <c r="EE6" s="166">
        <f>'(Bloom Raw Data)'!EF6</f>
        <v>1.3357999999999999</v>
      </c>
      <c r="EF6" s="166">
        <f>'(Bloom Raw Data)'!EG6</f>
        <v>1.3078000000000001</v>
      </c>
      <c r="EG6" s="11"/>
      <c r="EH6" s="165" t="str">
        <f>'(Bloom Raw Data)'!EJ6</f>
        <v>#N/A N/A</v>
      </c>
      <c r="EI6" s="165">
        <f>'(Bloom Raw Data)'!EK6</f>
        <v>43.125</v>
      </c>
      <c r="EJ6" s="165">
        <f>'(Bloom Raw Data)'!EL6</f>
        <v>43.5</v>
      </c>
      <c r="EK6" s="165">
        <f>'(Bloom Raw Data)'!EM6</f>
        <v>14.918900000000001</v>
      </c>
      <c r="EL6" s="165" t="str">
        <f>'(Bloom Raw Data)'!EN6</f>
        <v>#N/A N/A</v>
      </c>
      <c r="EM6" s="165">
        <f>'(Bloom Raw Data)'!EO6</f>
        <v>172</v>
      </c>
      <c r="EN6" s="165" t="str">
        <f>'(Bloom Raw Data)'!EP6</f>
        <v>#N/A N/A</v>
      </c>
      <c r="EO6" s="165">
        <f>'(Bloom Raw Data)'!EQ6</f>
        <v>378.95</v>
      </c>
      <c r="EP6" s="165" t="str">
        <f>'(Bloom Raw Data)'!ER6</f>
        <v>#N/A N/A</v>
      </c>
      <c r="EQ6" s="165" t="str">
        <f>'(Bloom Raw Data)'!ES6</f>
        <v>#N/A N/A</v>
      </c>
      <c r="ER6" s="165" t="str">
        <f>'(Bloom Raw Data)'!ET6</f>
        <v>#N/A N/A</v>
      </c>
      <c r="ES6" s="165" t="str">
        <f>'(Bloom Raw Data)'!EU6</f>
        <v>#N/A N/A</v>
      </c>
      <c r="ET6" s="165" t="str">
        <f>'(Bloom Raw Data)'!EV6</f>
        <v>#N/A N/A</v>
      </c>
      <c r="EU6" s="165" t="str">
        <f>'(Bloom Raw Data)'!EW6</f>
        <v>#N/A N/A</v>
      </c>
      <c r="EV6" s="165" t="str">
        <f>'(Bloom Raw Data)'!EX6</f>
        <v>#N/A N/A</v>
      </c>
      <c r="EW6" s="11"/>
      <c r="EX6" s="11"/>
      <c r="EY6" s="165">
        <f>'(Bloom Raw Data)'!FR6</f>
        <v>730.05399999999997</v>
      </c>
      <c r="EZ6" s="165">
        <f>'(Bloom Raw Data)'!FS6</f>
        <v>231.7</v>
      </c>
      <c r="FA6" s="165">
        <f>'(Bloom Raw Data)'!FT6</f>
        <v>173.3</v>
      </c>
      <c r="FB6" s="165">
        <f>'(Bloom Raw Data)'!FU6</f>
        <v>826.4</v>
      </c>
      <c r="FC6" s="165">
        <f>'(Bloom Raw Data)'!FV6</f>
        <v>120.196</v>
      </c>
      <c r="FD6" s="165">
        <f>'(Bloom Raw Data)'!FW6</f>
        <v>353.4</v>
      </c>
      <c r="FE6" s="165">
        <f>'(Bloom Raw Data)'!FX6</f>
        <v>168.4</v>
      </c>
      <c r="FF6" s="165">
        <f>'(Bloom Raw Data)'!FY6</f>
        <v>318.7</v>
      </c>
      <c r="FG6" s="165">
        <f>'(Bloom Raw Data)'!FZ6</f>
        <v>459.952</v>
      </c>
      <c r="FH6" s="165">
        <f>'(Bloom Raw Data)'!GA6</f>
        <v>625</v>
      </c>
      <c r="FI6" s="165">
        <f>'(Bloom Raw Data)'!GB6</f>
        <v>306.60000000000002</v>
      </c>
      <c r="FJ6" s="165">
        <f>'(Bloom Raw Data)'!GC6</f>
        <v>506.3</v>
      </c>
      <c r="FK6" s="165">
        <f>'(Bloom Raw Data)'!GD6</f>
        <v>600.76300000000003</v>
      </c>
      <c r="FL6" s="165">
        <f>'(Bloom Raw Data)'!GE6</f>
        <v>420.5</v>
      </c>
      <c r="FM6" s="165">
        <f>'(Bloom Raw Data)'!GF6</f>
        <v>530.79999999999995</v>
      </c>
      <c r="FN6" s="11"/>
      <c r="FO6" s="166" t="str">
        <f>'(Bloom Raw Data)'!FA6</f>
        <v>#N/A N/A</v>
      </c>
      <c r="FP6" s="166">
        <f>'(Bloom Raw Data)'!FB6</f>
        <v>2.6831</v>
      </c>
      <c r="FQ6" s="166">
        <f>'(Bloom Raw Data)'!FC6</f>
        <v>2.6951999999999998</v>
      </c>
      <c r="FR6" s="166">
        <f>'(Bloom Raw Data)'!FD6</f>
        <v>3.2273999999999998</v>
      </c>
      <c r="FS6" s="166" t="str">
        <f>'(Bloom Raw Data)'!FE6</f>
        <v>#N/A N/A</v>
      </c>
      <c r="FT6" s="166">
        <f>'(Bloom Raw Data)'!FF6</f>
        <v>3.3698999999999999</v>
      </c>
      <c r="FU6" s="166">
        <f>'(Bloom Raw Data)'!FG6</f>
        <v>5.1754999999999995</v>
      </c>
      <c r="FV6" s="166">
        <f>'(Bloom Raw Data)'!FH6</f>
        <v>4.3822999999999999</v>
      </c>
      <c r="FW6" s="166" t="str">
        <f>'(Bloom Raw Data)'!FI6</f>
        <v>#N/A N/A</v>
      </c>
      <c r="FX6" s="166" t="str">
        <f>'(Bloom Raw Data)'!FJ6</f>
        <v>#N/A N/A</v>
      </c>
      <c r="FY6" s="166" t="str">
        <f>'(Bloom Raw Data)'!FK6</f>
        <v>#N/A N/A</v>
      </c>
      <c r="FZ6" s="166" t="str">
        <f>'(Bloom Raw Data)'!FL6</f>
        <v>#N/A N/A</v>
      </c>
      <c r="GA6" s="166" t="str">
        <f>'(Bloom Raw Data)'!FM6</f>
        <v>#N/A N/A</v>
      </c>
      <c r="GB6" s="166" t="str">
        <f>'(Bloom Raw Data)'!FN6</f>
        <v>#N/A N/A</v>
      </c>
      <c r="GC6" s="166" t="str">
        <f>'(Bloom Raw Data)'!FO6</f>
        <v>#N/A N/A</v>
      </c>
      <c r="GD6" s="11"/>
      <c r="GE6" s="11"/>
      <c r="GF6" s="165">
        <f>'(Bloom Raw Data)'!GI6</f>
        <v>1614.146</v>
      </c>
      <c r="GG6" s="165">
        <f>'(Bloom Raw Data)'!GJ6</f>
        <v>1710</v>
      </c>
      <c r="GH6" s="165">
        <f>'(Bloom Raw Data)'!GK6</f>
        <v>1502.6</v>
      </c>
      <c r="GI6" s="165">
        <f>'(Bloom Raw Data)'!GL6</f>
        <v>1516.6</v>
      </c>
      <c r="GJ6" s="165">
        <f>'(Bloom Raw Data)'!GM6</f>
        <v>1476.925</v>
      </c>
      <c r="GK6" s="165">
        <f>'(Bloom Raw Data)'!GN6</f>
        <v>1357.5</v>
      </c>
      <c r="GL6" s="165">
        <f>'(Bloom Raw Data)'!GO6</f>
        <v>754.8</v>
      </c>
      <c r="GM6" s="165">
        <f>'(Bloom Raw Data)'!GP6</f>
        <v>767.5</v>
      </c>
      <c r="GN6" s="165">
        <f>'(Bloom Raw Data)'!GQ6</f>
        <v>883.11</v>
      </c>
      <c r="GO6" s="165">
        <f>'(Bloom Raw Data)'!GR6</f>
        <v>930.6</v>
      </c>
      <c r="GP6" s="165">
        <f>'(Bloom Raw Data)'!GS6</f>
        <v>815.1</v>
      </c>
      <c r="GQ6" s="165">
        <f>'(Bloom Raw Data)'!GT6</f>
        <v>914.8</v>
      </c>
      <c r="GR6" s="165">
        <f>'(Bloom Raw Data)'!GU6</f>
        <v>836.14700000000005</v>
      </c>
      <c r="GS6" s="165">
        <f>'(Bloom Raw Data)'!GV6</f>
        <v>915.3</v>
      </c>
      <c r="GT6" s="165">
        <f>'(Bloom Raw Data)'!GW6</f>
        <v>937.5</v>
      </c>
      <c r="GU6" s="11"/>
      <c r="GV6" s="165">
        <f t="shared" si="1"/>
        <v>1794.0569466882068</v>
      </c>
      <c r="GW6" s="165">
        <f t="shared" si="1"/>
        <v>1765.1203320472346</v>
      </c>
      <c r="GX6" s="165">
        <f t="shared" si="1"/>
        <v>1718.8574072293789</v>
      </c>
      <c r="GY6" s="165">
        <f t="shared" si="1"/>
        <v>1678.1430094657817</v>
      </c>
      <c r="GZ6" s="165">
        <f t="shared" si="1"/>
        <v>1645.9438906587195</v>
      </c>
      <c r="HA6" s="165">
        <f t="shared" si="1"/>
        <v>1616.7356373612874</v>
      </c>
      <c r="HB6" s="165">
        <f t="shared" si="1"/>
        <v>1593.8425532827307</v>
      </c>
      <c r="HC6" s="165">
        <f t="shared" si="1"/>
        <v>1557.7165554714904</v>
      </c>
      <c r="HD6" s="165">
        <f t="shared" si="1"/>
        <v>1527.374495178439</v>
      </c>
      <c r="HE6" s="165">
        <f t="shared" si="1"/>
        <v>1492.0579292486323</v>
      </c>
      <c r="HF6" s="165">
        <f t="shared" si="1"/>
        <v>1475.9718505345795</v>
      </c>
      <c r="HG6" s="165">
        <f t="shared" si="1"/>
        <v>1473.4690052984627</v>
      </c>
      <c r="HH6" s="165">
        <f t="shared" si="1"/>
        <v>1455.4724477369596</v>
      </c>
      <c r="HI6" s="165">
        <f t="shared" si="1"/>
        <v>1430.9816406927478</v>
      </c>
      <c r="HJ6" s="165">
        <f t="shared" si="1"/>
        <v>1396.5833995037219</v>
      </c>
      <c r="HK6" s="11"/>
      <c r="HL6" s="2658">
        <v>1</v>
      </c>
      <c r="HM6" s="166">
        <f>'(Bloom Raw Data)'!HQ6</f>
        <v>7.4924999999999997</v>
      </c>
      <c r="HN6" s="166">
        <f>'(Bloom Raw Data)'!HR6</f>
        <v>7.0602</v>
      </c>
      <c r="HO6" s="166">
        <f>'(Bloom Raw Data)'!HS6</f>
        <v>8.5809999999999995</v>
      </c>
      <c r="HP6" s="166">
        <f>'(Bloom Raw Data)'!HT6</f>
        <v>7.4513999999999996</v>
      </c>
      <c r="HQ6" s="166">
        <f>'(Bloom Raw Data)'!HU6</f>
        <v>8.8432999999999993</v>
      </c>
      <c r="HR6" s="166">
        <f>'(Bloom Raw Data)'!HV6</f>
        <v>10.1328</v>
      </c>
      <c r="HS6" s="166">
        <f>'(Bloom Raw Data)'!HW6</f>
        <v>8.0869</v>
      </c>
      <c r="HT6" s="166">
        <f>'(Bloom Raw Data)'!HX6</f>
        <v>8.3938000000000006</v>
      </c>
      <c r="HU6" s="166">
        <f>'(Bloom Raw Data)'!HY6</f>
        <v>7.3704000000000001</v>
      </c>
      <c r="HV6" s="166">
        <f>'(Bloom Raw Data)'!HZ6</f>
        <v>7.0548999999999999</v>
      </c>
      <c r="HW6" s="166">
        <f>'(Bloom Raw Data)'!IA6</f>
        <v>6.7568999999999999</v>
      </c>
      <c r="HX6" s="166">
        <f>'(Bloom Raw Data)'!IB6</f>
        <v>5.4363000000000001</v>
      </c>
      <c r="HY6" s="166">
        <f>'(Bloom Raw Data)'!IC6</f>
        <v>5.5948000000000002</v>
      </c>
      <c r="HZ6" s="166">
        <f>'(Bloom Raw Data)'!ID6</f>
        <v>4.8295000000000003</v>
      </c>
      <c r="IA6" s="166">
        <f>'(Bloom Raw Data)'!IE6</f>
        <v>4.8882000000000003</v>
      </c>
      <c r="IB6" s="72"/>
    </row>
    <row r="7" spans="1:237">
      <c r="A7" s="690" t="s">
        <v>319</v>
      </c>
      <c r="B7" s="690" t="s">
        <v>16</v>
      </c>
      <c r="C7" s="690"/>
      <c r="D7" s="704">
        <f>'(Bloom Raw Data)'!D7</f>
        <v>8197.4082999999991</v>
      </c>
      <c r="E7" s="704">
        <f>'(Bloom Raw Data)'!E7</f>
        <v>9264.1470000000008</v>
      </c>
      <c r="F7" s="704">
        <f>'(Bloom Raw Data)'!F7</f>
        <v>8743.0166000000008</v>
      </c>
      <c r="G7" s="704">
        <f>'(Bloom Raw Data)'!G7</f>
        <v>9669.2050999999992</v>
      </c>
      <c r="H7" s="704">
        <f>'(Bloom Raw Data)'!H7</f>
        <v>8077.2514000000001</v>
      </c>
      <c r="I7" s="704">
        <f>'(Bloom Raw Data)'!I7</f>
        <v>8787.9030000000002</v>
      </c>
      <c r="J7" s="704">
        <f>'(Bloom Raw Data)'!J7</f>
        <v>8313.7248999999993</v>
      </c>
      <c r="K7" s="704">
        <f>'(Bloom Raw Data)'!K7</f>
        <v>7659.6464999999998</v>
      </c>
      <c r="L7" s="704">
        <f>'(Bloom Raw Data)'!L7</f>
        <v>7699.8073999999997</v>
      </c>
      <c r="M7" s="704">
        <f>'(Bloom Raw Data)'!M7</f>
        <v>8147.49</v>
      </c>
      <c r="N7" s="704">
        <f>'(Bloom Raw Data)'!N7</f>
        <v>7590.3544000000002</v>
      </c>
      <c r="O7" s="704">
        <f>'(Bloom Raw Data)'!O7</f>
        <v>8027.5</v>
      </c>
      <c r="P7" s="704">
        <f>'(Bloom Raw Data)'!P7</f>
        <v>7068.3325999999997</v>
      </c>
      <c r="Q7" s="704">
        <f>'(Bloom Raw Data)'!Q7</f>
        <v>6555.51</v>
      </c>
      <c r="R7" s="704">
        <f>'(Bloom Raw Data)'!R7</f>
        <v>5825.8631999999998</v>
      </c>
      <c r="S7" s="690"/>
      <c r="T7" s="704">
        <f>'(Bloom Raw Data)'!U7</f>
        <v>1779</v>
      </c>
      <c r="U7" s="704">
        <f>'(Bloom Raw Data)'!V7</f>
        <v>1444</v>
      </c>
      <c r="V7" s="704">
        <f>'(Bloom Raw Data)'!W7</f>
        <v>1799</v>
      </c>
      <c r="W7" s="704">
        <f>'(Bloom Raw Data)'!X7</f>
        <v>1527</v>
      </c>
      <c r="X7" s="704">
        <f>'(Bloom Raw Data)'!Y7</f>
        <v>1562</v>
      </c>
      <c r="Y7" s="704">
        <f>'(Bloom Raw Data)'!Z7</f>
        <v>1288</v>
      </c>
      <c r="Z7" s="704">
        <f>'(Bloom Raw Data)'!AA7</f>
        <v>1715</v>
      </c>
      <c r="AA7" s="704">
        <f>'(Bloom Raw Data)'!AB7</f>
        <v>1448</v>
      </c>
      <c r="AB7" s="704">
        <f>'(Bloom Raw Data)'!AC7</f>
        <v>1616</v>
      </c>
      <c r="AC7" s="704">
        <f>'(Bloom Raw Data)'!AD7</f>
        <v>1398</v>
      </c>
      <c r="AD7" s="704">
        <f>'(Bloom Raw Data)'!AE7</f>
        <v>1846</v>
      </c>
      <c r="AE7" s="704">
        <f>'(Bloom Raw Data)'!AF7</f>
        <v>1598</v>
      </c>
      <c r="AF7" s="704">
        <f>'(Bloom Raw Data)'!AG7</f>
        <v>1691</v>
      </c>
      <c r="AG7" s="704">
        <f>'(Bloom Raw Data)'!AH7</f>
        <v>1586</v>
      </c>
      <c r="AH7" s="704">
        <f>'(Bloom Raw Data)'!AI7</f>
        <v>2085</v>
      </c>
      <c r="AI7" s="690"/>
      <c r="AJ7" s="704">
        <f>'(Bloom Raw Data)'!AL7</f>
        <v>325</v>
      </c>
      <c r="AK7" s="704">
        <f>'(Bloom Raw Data)'!AP7</f>
        <v>329</v>
      </c>
      <c r="AL7" s="704">
        <f>'(Bloom Raw Data)'!AT7</f>
        <v>330</v>
      </c>
      <c r="AM7" s="704">
        <f>'(Bloom Raw Data)'!AX7</f>
        <v>318</v>
      </c>
      <c r="AN7" s="690"/>
      <c r="AO7" s="705">
        <f>'(Bloom Raw Data)'!BC7</f>
        <v>3.0602999999999998</v>
      </c>
      <c r="AP7" s="705" t="str">
        <f>'(Bloom Raw Data)'!BD7</f>
        <v>#N/A N/A</v>
      </c>
      <c r="AQ7" s="705" t="str">
        <f>'(Bloom Raw Data)'!BE7</f>
        <v>#N/A N/A</v>
      </c>
      <c r="AR7" s="705" t="str">
        <f>'(Bloom Raw Data)'!BF7</f>
        <v>#N/A N/A</v>
      </c>
      <c r="AS7" s="705" t="str">
        <f>'(Bloom Raw Data)'!BG7</f>
        <v>#N/A N/A</v>
      </c>
      <c r="AT7" s="705" t="str">
        <f>'(Bloom Raw Data)'!BH7</f>
        <v>#N/A N/A</v>
      </c>
      <c r="AU7" s="705" t="str">
        <f>'(Bloom Raw Data)'!BI7</f>
        <v>#N/A N/A</v>
      </c>
      <c r="AV7" s="705" t="str">
        <f>'(Bloom Raw Data)'!BJ7</f>
        <v>#N/A N/A</v>
      </c>
      <c r="AW7" s="705" t="str">
        <f>'(Bloom Raw Data)'!BK7</f>
        <v>#N/A N/A</v>
      </c>
      <c r="AX7" s="705" t="str">
        <f>'(Bloom Raw Data)'!BL7</f>
        <v>#N/A N/A</v>
      </c>
      <c r="AY7" s="705" t="str">
        <f>'(Bloom Raw Data)'!BM7</f>
        <v>#N/A N/A</v>
      </c>
      <c r="AZ7" s="705" t="str">
        <f>'(Bloom Raw Data)'!BN7</f>
        <v>#N/A N/A</v>
      </c>
      <c r="BA7" s="705" t="str">
        <f>'(Bloom Raw Data)'!BO7</f>
        <v>#N/A N/A</v>
      </c>
      <c r="BB7" s="705" t="str">
        <f>'(Bloom Raw Data)'!BP7</f>
        <v>#N/A N/A</v>
      </c>
      <c r="BC7" s="705" t="str">
        <f>'(Bloom Raw Data)'!BQ7</f>
        <v>#N/A N/A</v>
      </c>
      <c r="BD7" s="690"/>
      <c r="BE7" s="705">
        <f>'(Bloom Raw Data)'!BT7</f>
        <v>0.75860000000000005</v>
      </c>
      <c r="BF7" s="705">
        <f>'(Bloom Raw Data)'!BU7</f>
        <v>0.51870000000000005</v>
      </c>
      <c r="BG7" s="705">
        <f>'(Bloom Raw Data)'!BV7</f>
        <v>0.64570000000000005</v>
      </c>
      <c r="BH7" s="705">
        <f>'(Bloom Raw Data)'!BW7</f>
        <v>0.54869999999999997</v>
      </c>
      <c r="BI7" s="705">
        <f>'(Bloom Raw Data)'!BX7</f>
        <v>0.64549999999999996</v>
      </c>
      <c r="BJ7" s="705">
        <f>'(Bloom Raw Data)'!BY7</f>
        <v>0.65410000000000001</v>
      </c>
      <c r="BK7" s="705">
        <f>'(Bloom Raw Data)'!BZ7</f>
        <v>0.86699999999999999</v>
      </c>
      <c r="BL7" s="705">
        <f>'(Bloom Raw Data)'!CA7</f>
        <v>0.73950000000000005</v>
      </c>
      <c r="BM7" s="705">
        <f>'(Bloom Raw Data)'!CB7</f>
        <v>0.84560000000000002</v>
      </c>
      <c r="BN7" s="705">
        <f>'(Bloom Raw Data)'!CC7</f>
        <v>0.73540000000000005</v>
      </c>
      <c r="BO7" s="705">
        <f>'(Bloom Raw Data)'!CD7</f>
        <v>1.0109999999999999</v>
      </c>
      <c r="BP7" s="705">
        <f>'(Bloom Raw Data)'!CE7</f>
        <v>0.88090000000000002</v>
      </c>
      <c r="BQ7" s="705">
        <f>'(Bloom Raw Data)'!CF7</f>
        <v>0.94310000000000005</v>
      </c>
      <c r="BR7" s="705">
        <f>'(Bloom Raw Data)'!CG7</f>
        <v>0.89959999999999996</v>
      </c>
      <c r="BS7" s="705">
        <f>'(Bloom Raw Data)'!CH7</f>
        <v>1.1887000000000001</v>
      </c>
      <c r="BT7" s="690"/>
      <c r="BU7" s="704">
        <f>'(Bloom Raw Data)'!CK7</f>
        <v>9983.4082999999991</v>
      </c>
      <c r="BV7" s="704">
        <f>'(Bloom Raw Data)'!CL7</f>
        <v>10935.147000000001</v>
      </c>
      <c r="BW7" s="704">
        <f>'(Bloom Raw Data)'!CM7</f>
        <v>10764.016600000001</v>
      </c>
      <c r="BX7" s="704">
        <f>'(Bloom Raw Data)'!CN7</f>
        <v>11425.205099999999</v>
      </c>
      <c r="BY7" s="704">
        <f>'(Bloom Raw Data)'!CO7</f>
        <v>9874.2513999999992</v>
      </c>
      <c r="BZ7" s="704">
        <f>'(Bloom Raw Data)'!CP7</f>
        <v>10311.903</v>
      </c>
      <c r="CA7" s="704">
        <f>'(Bloom Raw Data)'!CQ7</f>
        <v>10268.724899999999</v>
      </c>
      <c r="CB7" s="704">
        <f>'(Bloom Raw Data)'!CR7</f>
        <v>9355.6465000000007</v>
      </c>
      <c r="CC7" s="704">
        <f>'(Bloom Raw Data)'!CS7</f>
        <v>9540.8073999999997</v>
      </c>
      <c r="CD7" s="704">
        <f>'(Bloom Raw Data)'!CT7</f>
        <v>9773.49</v>
      </c>
      <c r="CE7" s="704">
        <f>'(Bloom Raw Data)'!CU7</f>
        <v>9669.3544000000002</v>
      </c>
      <c r="CF7" s="704">
        <f>'(Bloom Raw Data)'!CV7</f>
        <v>9864.5</v>
      </c>
      <c r="CG7" s="704">
        <f>'(Bloom Raw Data)'!CW7</f>
        <v>8971.3325999999997</v>
      </c>
      <c r="CH7" s="704">
        <f>'(Bloom Raw Data)'!CX7</f>
        <v>8358.51</v>
      </c>
      <c r="CI7" s="704">
        <f>'(Bloom Raw Data)'!CY7</f>
        <v>8095.8631999999998</v>
      </c>
      <c r="CJ7" s="690"/>
      <c r="CK7" s="704">
        <f t="shared" si="2"/>
        <v>7</v>
      </c>
      <c r="CL7" s="704">
        <f t="shared" si="3"/>
        <v>227</v>
      </c>
      <c r="CM7" s="704">
        <f t="shared" si="4"/>
        <v>222</v>
      </c>
      <c r="CN7" s="704">
        <f t="shared" si="5"/>
        <v>229</v>
      </c>
      <c r="CO7" s="704">
        <f t="shared" si="6"/>
        <v>234.99999999999909</v>
      </c>
      <c r="CP7" s="704">
        <f t="shared" si="7"/>
        <v>236</v>
      </c>
      <c r="CQ7" s="704">
        <f t="shared" si="8"/>
        <v>240</v>
      </c>
      <c r="CR7" s="704">
        <f t="shared" si="9"/>
        <v>248.00000000000091</v>
      </c>
      <c r="CS7" s="704">
        <f t="shared" si="10"/>
        <v>225</v>
      </c>
      <c r="CT7" s="704">
        <f t="shared" si="11"/>
        <v>228</v>
      </c>
      <c r="CU7" s="704">
        <f t="shared" si="12"/>
        <v>233</v>
      </c>
      <c r="CV7" s="704">
        <f t="shared" si="13"/>
        <v>239</v>
      </c>
      <c r="CW7" s="704">
        <f t="shared" si="14"/>
        <v>212</v>
      </c>
      <c r="CX7" s="704">
        <f t="shared" si="15"/>
        <v>217</v>
      </c>
      <c r="CY7" s="704">
        <f t="shared" si="16"/>
        <v>185</v>
      </c>
      <c r="CZ7" s="690"/>
      <c r="DA7" s="705">
        <f>'(Bloom Raw Data)'!DB7</f>
        <v>4.2572999999999999</v>
      </c>
      <c r="DB7" s="705">
        <f>'(Bloom Raw Data)'!DC7</f>
        <v>3.9279000000000002</v>
      </c>
      <c r="DC7" s="705">
        <f>'(Bloom Raw Data)'!DD7</f>
        <v>3.8635999999999999</v>
      </c>
      <c r="DD7" s="705">
        <f>'(Bloom Raw Data)'!DE7</f>
        <v>4.1054000000000004</v>
      </c>
      <c r="DE7" s="705">
        <f>'(Bloom Raw Data)'!DF7</f>
        <v>4.0803000000000003</v>
      </c>
      <c r="DF7" s="705">
        <f>'(Bloom Raw Data)'!DG7</f>
        <v>5.2370999999999999</v>
      </c>
      <c r="DG7" s="705">
        <f>'(Bloom Raw Data)'!DH7</f>
        <v>5.1914999999999996</v>
      </c>
      <c r="DH7" s="705">
        <f>'(Bloom Raw Data)'!DI7</f>
        <v>4.7782</v>
      </c>
      <c r="DI7" s="705">
        <f>'(Bloom Raw Data)'!DJ7</f>
        <v>4.9926000000000004</v>
      </c>
      <c r="DJ7" s="705">
        <f>'(Bloom Raw Data)'!DK7</f>
        <v>5.1411999999999995</v>
      </c>
      <c r="DK7" s="705">
        <f>'(Bloom Raw Data)'!DL7</f>
        <v>5.2953999999999999</v>
      </c>
      <c r="DL7" s="705">
        <f>'(Bloom Raw Data)'!DM7</f>
        <v>5.4379999999999997</v>
      </c>
      <c r="DM7" s="705">
        <f>'(Bloom Raw Data)'!DN7</f>
        <v>5.0034999999999998</v>
      </c>
      <c r="DN7" s="705">
        <f>'(Bloom Raw Data)'!DO7</f>
        <v>4.7411000000000003</v>
      </c>
      <c r="DO7" s="705">
        <f>'(Bloom Raw Data)'!DP7</f>
        <v>4.6157000000000004</v>
      </c>
      <c r="DP7" s="690"/>
      <c r="DQ7" s="690"/>
      <c r="DR7" s="705">
        <f>'(Bloom Raw Data)'!DS7</f>
        <v>1.6858</v>
      </c>
      <c r="DS7" s="705">
        <f>'(Bloom Raw Data)'!DT7</f>
        <v>1.8006</v>
      </c>
      <c r="DT7" s="705">
        <f>'(Bloom Raw Data)'!DU7</f>
        <v>1.7244000000000002</v>
      </c>
      <c r="DU7" s="705">
        <f>'(Bloom Raw Data)'!DV7</f>
        <v>1.7829999999999999</v>
      </c>
      <c r="DV7" s="705">
        <f>'(Bloom Raw Data)'!DW7</f>
        <v>1.5070999999999999</v>
      </c>
      <c r="DW7" s="705">
        <f>'(Bloom Raw Data)'!DX7</f>
        <v>1.5867</v>
      </c>
      <c r="DX7" s="705">
        <f>'(Bloom Raw Data)'!DY7</f>
        <v>1.5928</v>
      </c>
      <c r="DY7" s="705">
        <f>'(Bloom Raw Data)'!DZ7</f>
        <v>1.4611000000000001</v>
      </c>
      <c r="DZ7" s="705">
        <f>'(Bloom Raw Data)'!EA7</f>
        <v>1.4997</v>
      </c>
      <c r="EA7" s="705">
        <f>'(Bloom Raw Data)'!EB7</f>
        <v>1.5354999999999999</v>
      </c>
      <c r="EB7" s="705">
        <f>'(Bloom Raw Data)'!EC7</f>
        <v>1.5194000000000001</v>
      </c>
      <c r="EC7" s="705">
        <f>'(Bloom Raw Data)'!ED7</f>
        <v>1.5432999999999999</v>
      </c>
      <c r="ED7" s="705">
        <f>'(Bloom Raw Data)'!EE7</f>
        <v>1.3985000000000001</v>
      </c>
      <c r="EE7" s="705">
        <f>'(Bloom Raw Data)'!EF7</f>
        <v>1.3054000000000001</v>
      </c>
      <c r="EF7" s="705">
        <f>'(Bloom Raw Data)'!EG7</f>
        <v>1.2703</v>
      </c>
      <c r="EG7" s="690"/>
      <c r="EH7" s="704">
        <f>'(Bloom Raw Data)'!EJ7</f>
        <v>8.8588000000000005</v>
      </c>
      <c r="EI7" s="704">
        <f>'(Bloom Raw Data)'!EK7</f>
        <v>6.8734999999999999</v>
      </c>
      <c r="EJ7" s="704">
        <f>'(Bloom Raw Data)'!EL7</f>
        <v>6.0885999999999996</v>
      </c>
      <c r="EK7" s="704">
        <f>'(Bloom Raw Data)'!EM7</f>
        <v>6.8436000000000003</v>
      </c>
      <c r="EL7" s="704">
        <f>'(Bloom Raw Data)'!EN7</f>
        <v>6.2857000000000003</v>
      </c>
      <c r="EM7" s="704">
        <f>'(Bloom Raw Data)'!EO7</f>
        <v>10.5663</v>
      </c>
      <c r="EN7" s="704">
        <f>'(Bloom Raw Data)'!EP7</f>
        <v>9.5445999999999991</v>
      </c>
      <c r="EO7" s="704">
        <f>'(Bloom Raw Data)'!EQ7</f>
        <v>8.7935999999999996</v>
      </c>
      <c r="EP7" s="704" t="str">
        <f>'(Bloom Raw Data)'!ER7</f>
        <v>#N/A N/A</v>
      </c>
      <c r="EQ7" s="704" t="str">
        <f>'(Bloom Raw Data)'!ES7</f>
        <v>#N/A N/A</v>
      </c>
      <c r="ER7" s="704" t="str">
        <f>'(Bloom Raw Data)'!ET7</f>
        <v>#N/A N/A</v>
      </c>
      <c r="ES7" s="704" t="str">
        <f>'(Bloom Raw Data)'!EU7</f>
        <v>#N/A N/A</v>
      </c>
      <c r="ET7" s="704">
        <f>'(Bloom Raw Data)'!EV7</f>
        <v>9.8689</v>
      </c>
      <c r="EU7" s="704" t="str">
        <f>'(Bloom Raw Data)'!EW7</f>
        <v>#N/A N/A</v>
      </c>
      <c r="EV7" s="704" t="str">
        <f>'(Bloom Raw Data)'!EX7</f>
        <v>#N/A N/A</v>
      </c>
      <c r="EW7" s="690"/>
      <c r="EX7" s="690"/>
      <c r="EY7" s="704">
        <f>'(Bloom Raw Data)'!FR7</f>
        <v>332</v>
      </c>
      <c r="EZ7" s="704">
        <f>'(Bloom Raw Data)'!FS7</f>
        <v>639</v>
      </c>
      <c r="FA7" s="704">
        <f>'(Bloom Raw Data)'!FT7</f>
        <v>357</v>
      </c>
      <c r="FB7" s="704">
        <f>'(Bloom Raw Data)'!FU7</f>
        <v>615</v>
      </c>
      <c r="FC7" s="704">
        <f>'(Bloom Raw Data)'!FV7</f>
        <v>584</v>
      </c>
      <c r="FD7" s="704">
        <f>'(Bloom Raw Data)'!FW7</f>
        <v>921</v>
      </c>
      <c r="FE7" s="704">
        <f>'(Bloom Raw Data)'!FX7</f>
        <v>495</v>
      </c>
      <c r="FF7" s="704">
        <f>'(Bloom Raw Data)'!FY7</f>
        <v>815</v>
      </c>
      <c r="FG7" s="704">
        <f>'(Bloom Raw Data)'!FZ7</f>
        <v>320</v>
      </c>
      <c r="FH7" s="704">
        <f>'(Bloom Raw Data)'!GA7</f>
        <v>515</v>
      </c>
      <c r="FI7" s="704">
        <f>'(Bloom Raw Data)'!GB7</f>
        <v>261</v>
      </c>
      <c r="FJ7" s="704">
        <f>'(Bloom Raw Data)'!GC7</f>
        <v>365</v>
      </c>
      <c r="FK7" s="704">
        <f>'(Bloom Raw Data)'!GD7</f>
        <v>202</v>
      </c>
      <c r="FL7" s="704">
        <f>'(Bloom Raw Data)'!GE7</f>
        <v>365</v>
      </c>
      <c r="FM7" s="704">
        <f>'(Bloom Raw Data)'!GF7</f>
        <v>219</v>
      </c>
      <c r="FN7" s="690"/>
      <c r="FO7" s="705">
        <f>'(Bloom Raw Data)'!FA7</f>
        <v>3.2101999999999999</v>
      </c>
      <c r="FP7" s="705">
        <f>'(Bloom Raw Data)'!FB7</f>
        <v>2.8860999999999999</v>
      </c>
      <c r="FQ7" s="705">
        <f>'(Bloom Raw Data)'!FC7</f>
        <v>3.0366</v>
      </c>
      <c r="FR7" s="705">
        <f>'(Bloom Raw Data)'!FD7</f>
        <v>3.1372</v>
      </c>
      <c r="FS7" s="705">
        <f>'(Bloom Raw Data)'!FE7</f>
        <v>2.5625</v>
      </c>
      <c r="FT7" s="705">
        <f>'(Bloom Raw Data)'!FF7</f>
        <v>2.6233</v>
      </c>
      <c r="FU7" s="705">
        <f>'(Bloom Raw Data)'!FG7</f>
        <v>2.7930000000000001</v>
      </c>
      <c r="FV7" s="705">
        <f>'(Bloom Raw Data)'!FH7</f>
        <v>2.4649000000000001</v>
      </c>
      <c r="FW7" s="705" t="str">
        <f>'(Bloom Raw Data)'!FI7</f>
        <v>#N/A N/A</v>
      </c>
      <c r="FX7" s="705" t="str">
        <f>'(Bloom Raw Data)'!FJ7</f>
        <v>#N/A N/A</v>
      </c>
      <c r="FY7" s="705" t="str">
        <f>'(Bloom Raw Data)'!FK7</f>
        <v>#N/A N/A</v>
      </c>
      <c r="FZ7" s="705" t="str">
        <f>'(Bloom Raw Data)'!FL7</f>
        <v>#N/A N/A</v>
      </c>
      <c r="GA7" s="705">
        <f>'(Bloom Raw Data)'!FM7</f>
        <v>2.3443999999999998</v>
      </c>
      <c r="GB7" s="705" t="str">
        <f>'(Bloom Raw Data)'!FN7</f>
        <v>#N/A N/A</v>
      </c>
      <c r="GC7" s="705" t="str">
        <f>'(Bloom Raw Data)'!FO7</f>
        <v>#N/A N/A</v>
      </c>
      <c r="GD7" s="690"/>
      <c r="GE7" s="690"/>
      <c r="GF7" s="704">
        <f>'(Bloom Raw Data)'!GI7</f>
        <v>2524</v>
      </c>
      <c r="GG7" s="704">
        <f>'(Bloom Raw Data)'!GJ7</f>
        <v>3391</v>
      </c>
      <c r="GH7" s="704">
        <f>'(Bloom Raw Data)'!GK7</f>
        <v>3060</v>
      </c>
      <c r="GI7" s="704">
        <f>'(Bloom Raw Data)'!GL7</f>
        <v>3267</v>
      </c>
      <c r="GJ7" s="704">
        <f>'(Bloom Raw Data)'!GM7</f>
        <v>3342</v>
      </c>
      <c r="GK7" s="704">
        <f>'(Bloom Raw Data)'!GN7</f>
        <v>3538</v>
      </c>
      <c r="GL7" s="704">
        <f>'(Bloom Raw Data)'!GO7</f>
        <v>3174</v>
      </c>
      <c r="GM7" s="704">
        <f>'(Bloom Raw Data)'!GP7</f>
        <v>3311</v>
      </c>
      <c r="GN7" s="704">
        <f>'(Bloom Raw Data)'!GQ7</f>
        <v>3302</v>
      </c>
      <c r="GO7" s="704">
        <f>'(Bloom Raw Data)'!GR7</f>
        <v>3510</v>
      </c>
      <c r="GP7" s="704">
        <f>'(Bloom Raw Data)'!GS7</f>
        <v>3148</v>
      </c>
      <c r="GQ7" s="704">
        <f>'(Bloom Raw Data)'!GT7</f>
        <v>3344</v>
      </c>
      <c r="GR7" s="704">
        <f>'(Bloom Raw Data)'!GU7</f>
        <v>3227</v>
      </c>
      <c r="GS7" s="704">
        <f>'(Bloom Raw Data)'!GV7</f>
        <v>3275</v>
      </c>
      <c r="GT7" s="704">
        <f>'(Bloom Raw Data)'!GW7</f>
        <v>2866</v>
      </c>
      <c r="GU7" s="690"/>
      <c r="GV7" s="704">
        <f t="shared" si="1"/>
        <v>2345.0093486482042</v>
      </c>
      <c r="GW7" s="704">
        <f t="shared" si="1"/>
        <v>2783.9677690368899</v>
      </c>
      <c r="GX7" s="704">
        <f t="shared" si="1"/>
        <v>2786.0069883010665</v>
      </c>
      <c r="GY7" s="704">
        <f t="shared" si="1"/>
        <v>2782.9700151020602</v>
      </c>
      <c r="GZ7" s="704">
        <f t="shared" si="1"/>
        <v>2419.9817170306101</v>
      </c>
      <c r="HA7" s="704">
        <f t="shared" si="1"/>
        <v>1969.0101391991752</v>
      </c>
      <c r="HB7" s="704">
        <f t="shared" si="1"/>
        <v>1977.9880381392661</v>
      </c>
      <c r="HC7" s="704">
        <f t="shared" si="1"/>
        <v>1957.9855384872967</v>
      </c>
      <c r="HD7" s="704">
        <f t="shared" si="1"/>
        <v>1910.9897448223369</v>
      </c>
      <c r="HE7" s="704">
        <f t="shared" si="1"/>
        <v>1901.0133820897845</v>
      </c>
      <c r="HF7" s="704">
        <f t="shared" si="1"/>
        <v>1825.9913132152435</v>
      </c>
      <c r="HG7" s="704">
        <f t="shared" si="1"/>
        <v>1813.9941154836338</v>
      </c>
      <c r="HH7" s="704">
        <f t="shared" si="1"/>
        <v>1793.0114120115918</v>
      </c>
      <c r="HI7" s="704">
        <f t="shared" si="1"/>
        <v>1762.9896015692559</v>
      </c>
      <c r="HJ7" s="704">
        <f t="shared" si="1"/>
        <v>1753.9838377710855</v>
      </c>
      <c r="HK7" s="690"/>
      <c r="HL7" s="2487"/>
      <c r="HM7" s="705">
        <f>'(Bloom Raw Data)'!HQ7</f>
        <v>6.6604999999999999</v>
      </c>
      <c r="HN7" s="705">
        <f>'(Bloom Raw Data)'!HR7</f>
        <v>6.1635</v>
      </c>
      <c r="HO7" s="705">
        <f>'(Bloom Raw Data)'!HS7</f>
        <v>7.3255999999999997</v>
      </c>
      <c r="HP7" s="705">
        <f>'(Bloom Raw Data)'!HT7</f>
        <v>6.8700999999999999</v>
      </c>
      <c r="HQ7" s="705">
        <f>'(Bloom Raw Data)'!HU7</f>
        <v>7.0331000000000001</v>
      </c>
      <c r="HR7" s="705">
        <f>'(Bloom Raw Data)'!HV7</f>
        <v>7.5785</v>
      </c>
      <c r="HS7" s="705">
        <f>'(Bloom Raw Data)'!HW7</f>
        <v>8.8399000000000001</v>
      </c>
      <c r="HT7" s="705">
        <f>'(Bloom Raw Data)'!HX7</f>
        <v>9.2369000000000003</v>
      </c>
      <c r="HU7" s="705">
        <f>'(Bloom Raw Data)'!HY7</f>
        <v>8.2431999999999999</v>
      </c>
      <c r="HV7" s="705">
        <f>'(Bloom Raw Data)'!HZ7</f>
        <v>8.3777000000000008</v>
      </c>
      <c r="HW7" s="705">
        <f>'(Bloom Raw Data)'!IA7</f>
        <v>7.2497999999999996</v>
      </c>
      <c r="HX7" s="705">
        <f>'(Bloom Raw Data)'!IB7</f>
        <v>7.9025999999999996</v>
      </c>
      <c r="HY7" s="705">
        <f>'(Bloom Raw Data)'!IC7</f>
        <v>7.1531000000000002</v>
      </c>
      <c r="HZ7" s="705">
        <f>'(Bloom Raw Data)'!ID7</f>
        <v>6.5510000000000002</v>
      </c>
      <c r="IA7" s="705">
        <f>'(Bloom Raw Data)'!IE7</f>
        <v>6.0462999999999996</v>
      </c>
      <c r="IB7" s="2673"/>
    </row>
    <row r="8" spans="1:237" s="2294" customFormat="1">
      <c r="A8" s="706" t="s">
        <v>319</v>
      </c>
      <c r="B8" s="706" t="s">
        <v>2</v>
      </c>
      <c r="C8" s="706"/>
      <c r="D8" s="707">
        <f>'(Bloom Raw Data)'!D8</f>
        <v>2874.3904000000002</v>
      </c>
      <c r="E8" s="708">
        <f>AVERAGE(D8,F8)</f>
        <v>2746.5309500000003</v>
      </c>
      <c r="F8" s="707">
        <f>'(Bloom Raw Data)'!F8</f>
        <v>2618.6714999999999</v>
      </c>
      <c r="G8" s="708">
        <f>AVERAGE(F8,H8)</f>
        <v>2764.9853499999999</v>
      </c>
      <c r="H8" s="707">
        <f>'(Bloom Raw Data)'!H8</f>
        <v>2911.2991999999999</v>
      </c>
      <c r="I8" s="708">
        <f>AVERAGE(H8,J8)</f>
        <v>3027.4270999999999</v>
      </c>
      <c r="J8" s="707">
        <f>'(Bloom Raw Data)'!J8</f>
        <v>3143.5549999999998</v>
      </c>
      <c r="K8" s="708">
        <f>AVERAGE(J8,L8)</f>
        <v>2786.7692999999999</v>
      </c>
      <c r="L8" s="707">
        <f>'(Bloom Raw Data)'!L8</f>
        <v>2429.9836</v>
      </c>
      <c r="M8" s="708">
        <f>AVERAGE(L8,N8)</f>
        <v>2026.3867</v>
      </c>
      <c r="N8" s="707">
        <f>'(Bloom Raw Data)'!N8</f>
        <v>1622.7898</v>
      </c>
      <c r="O8" s="708">
        <f>AVERAGE(N8,P8)</f>
        <v>1393.2346499999999</v>
      </c>
      <c r="P8" s="707">
        <f>'(Bloom Raw Data)'!P8</f>
        <v>1163.6795</v>
      </c>
      <c r="Q8" s="708">
        <f>AVERAGE(P8,R8)</f>
        <v>1061.95505</v>
      </c>
      <c r="R8" s="707">
        <f>'(Bloom Raw Data)'!R8</f>
        <v>960.23059999999998</v>
      </c>
      <c r="S8" s="706"/>
      <c r="T8" s="707">
        <f>'(Bloom Raw Data)'!U8</f>
        <v>287.92700000000002</v>
      </c>
      <c r="U8" s="708">
        <f>AVERAGE(T8,V8)</f>
        <v>305.46350000000001</v>
      </c>
      <c r="V8" s="707">
        <f>'(Bloom Raw Data)'!W8</f>
        <v>323</v>
      </c>
      <c r="W8" s="708">
        <f>AVERAGE(V8,X8)</f>
        <v>305.42250000000001</v>
      </c>
      <c r="X8" s="707">
        <f>'(Bloom Raw Data)'!Y8</f>
        <v>287.84500000000003</v>
      </c>
      <c r="Y8" s="708">
        <f>AVERAGE(X8,Z8)</f>
        <v>305.1225</v>
      </c>
      <c r="Z8" s="707">
        <f>'(Bloom Raw Data)'!AA8</f>
        <v>322.39999999999998</v>
      </c>
      <c r="AA8" s="708">
        <f>AVERAGE(Z8,AB8)</f>
        <v>313.46249999999998</v>
      </c>
      <c r="AB8" s="707">
        <f>'(Bloom Raw Data)'!AC8</f>
        <v>304.52499999999998</v>
      </c>
      <c r="AC8" s="708">
        <f>AVERAGE(AB8,AD8)</f>
        <v>356.8125</v>
      </c>
      <c r="AD8" s="707">
        <f>'(Bloom Raw Data)'!AE8</f>
        <v>409.1</v>
      </c>
      <c r="AE8" s="708">
        <f>AVERAGE(AD8,AF8)</f>
        <v>401.53200000000004</v>
      </c>
      <c r="AF8" s="707">
        <f>'(Bloom Raw Data)'!AG8</f>
        <v>393.964</v>
      </c>
      <c r="AG8" s="708">
        <f>AVERAGE(AF8,AH8)</f>
        <v>433.33199999999999</v>
      </c>
      <c r="AH8" s="707">
        <f>'(Bloom Raw Data)'!AI8</f>
        <v>472.7</v>
      </c>
      <c r="AI8" s="706"/>
      <c r="AJ8" s="707">
        <f>'(Bloom Raw Data)'!AL8</f>
        <v>420.51799999999997</v>
      </c>
      <c r="AK8" s="707">
        <f>'(Bloom Raw Data)'!AP8</f>
        <v>474.03199999999998</v>
      </c>
      <c r="AL8" s="707">
        <f>'(Bloom Raw Data)'!AT8</f>
        <v>446.65600000000001</v>
      </c>
      <c r="AM8" s="707">
        <f>'(Bloom Raw Data)'!AX8</f>
        <v>441.06900000000002</v>
      </c>
      <c r="AN8" s="706"/>
      <c r="AO8" s="709" t="str">
        <f>'(Bloom Raw Data)'!BC8</f>
        <v>#N/A N/A</v>
      </c>
      <c r="AP8" s="709" t="str">
        <f>'(Bloom Raw Data)'!BD8</f>
        <v>#N/A N/A</v>
      </c>
      <c r="AQ8" s="709" t="str">
        <f>'(Bloom Raw Data)'!BE8</f>
        <v>#N/A N/A</v>
      </c>
      <c r="AR8" s="709" t="str">
        <f>'(Bloom Raw Data)'!BF8</f>
        <v>#N/A N/A</v>
      </c>
      <c r="AS8" s="709">
        <f>'(Bloom Raw Data)'!BG8</f>
        <v>63.034700000000001</v>
      </c>
      <c r="AT8" s="709" t="str">
        <f>'(Bloom Raw Data)'!BH8</f>
        <v>#N/A N/A</v>
      </c>
      <c r="AU8" s="709" t="str">
        <f>'(Bloom Raw Data)'!BI8</f>
        <v>#N/A N/A</v>
      </c>
      <c r="AV8" s="709" t="str">
        <f>'(Bloom Raw Data)'!BJ8</f>
        <v>#N/A N/A</v>
      </c>
      <c r="AW8" s="709" t="str">
        <f>'(Bloom Raw Data)'!BK8</f>
        <v>#N/A N/A</v>
      </c>
      <c r="AX8" s="709" t="str">
        <f>'(Bloom Raw Data)'!BL8</f>
        <v>#N/A N/A</v>
      </c>
      <c r="AY8" s="709" t="str">
        <f>'(Bloom Raw Data)'!BM8</f>
        <v>#N/A N/A</v>
      </c>
      <c r="AZ8" s="709" t="str">
        <f>'(Bloom Raw Data)'!BN8</f>
        <v>#N/A N/A</v>
      </c>
      <c r="BA8" s="709" t="str">
        <f>'(Bloom Raw Data)'!BO8</f>
        <v>#N/A N/A</v>
      </c>
      <c r="BB8" s="709" t="str">
        <f>'(Bloom Raw Data)'!BP8</f>
        <v>#N/A N/A</v>
      </c>
      <c r="BC8" s="709" t="str">
        <f>'(Bloom Raw Data)'!BQ8</f>
        <v>#N/A N/A</v>
      </c>
      <c r="BD8" s="706"/>
      <c r="BE8" s="709">
        <f>'(Bloom Raw Data)'!BT8</f>
        <v>0.50780000000000003</v>
      </c>
      <c r="BF8" s="710">
        <f>AVERAGE(BE8,BG8)</f>
        <v>0.53715000000000002</v>
      </c>
      <c r="BG8" s="709">
        <f>'(Bloom Raw Data)'!BV8</f>
        <v>0.5665</v>
      </c>
      <c r="BH8" s="710">
        <f>AVERAGE(BG8,BI8)</f>
        <v>0.54554999999999998</v>
      </c>
      <c r="BI8" s="709">
        <f>'(Bloom Raw Data)'!BX8</f>
        <v>0.52459999999999996</v>
      </c>
      <c r="BJ8" s="710">
        <f>AVERAGE(BI8,BK8)</f>
        <v>0.56204999999999994</v>
      </c>
      <c r="BK8" s="709">
        <f>'(Bloom Raw Data)'!BZ8</f>
        <v>0.59950000000000003</v>
      </c>
      <c r="BL8" s="710">
        <f>AVERAGE(BK8,BM8)</f>
        <v>0.58699999999999997</v>
      </c>
      <c r="BM8" s="709">
        <f>'(Bloom Raw Data)'!CB8</f>
        <v>0.57450000000000001</v>
      </c>
      <c r="BN8" s="710">
        <f>AVERAGE(BM8,BO8)</f>
        <v>0.68894999999999995</v>
      </c>
      <c r="BO8" s="709">
        <f>'(Bloom Raw Data)'!CD8</f>
        <v>0.8034</v>
      </c>
      <c r="BP8" s="710">
        <f>AVERAGE(BO8,BQ8)</f>
        <v>0.8004</v>
      </c>
      <c r="BQ8" s="709">
        <f>'(Bloom Raw Data)'!CF8</f>
        <v>0.7974</v>
      </c>
      <c r="BR8" s="710">
        <f>AVERAGE(BQ8,BS8)</f>
        <v>0.95459999999999989</v>
      </c>
      <c r="BS8" s="709">
        <f>'(Bloom Raw Data)'!CH8</f>
        <v>1.1117999999999999</v>
      </c>
      <c r="BT8" s="706"/>
      <c r="BU8" s="707">
        <f>'(Bloom Raw Data)'!CK8</f>
        <v>3162.3173999999999</v>
      </c>
      <c r="BV8" s="708">
        <f>AVERAGE(BU8,BW8)</f>
        <v>3051.9944500000001</v>
      </c>
      <c r="BW8" s="707">
        <f>'(Bloom Raw Data)'!CM8</f>
        <v>2941.6714999999999</v>
      </c>
      <c r="BX8" s="708">
        <f>AVERAGE(BW8,BY8)</f>
        <v>3070.4078500000001</v>
      </c>
      <c r="BY8" s="707">
        <f>'(Bloom Raw Data)'!CO8</f>
        <v>3199.1442000000002</v>
      </c>
      <c r="BZ8" s="708">
        <f>AVERAGE(BY8,CA8)</f>
        <v>3332.5496000000003</v>
      </c>
      <c r="CA8" s="707">
        <f>'(Bloom Raw Data)'!CQ8</f>
        <v>3465.9549999999999</v>
      </c>
      <c r="CB8" s="708">
        <f>AVERAGE(CA8,CC8)</f>
        <v>3100.2318</v>
      </c>
      <c r="CC8" s="707">
        <f>'(Bloom Raw Data)'!CS8</f>
        <v>2734.5086000000001</v>
      </c>
      <c r="CD8" s="708">
        <f>AVERAGE(CC8,CE8)</f>
        <v>2383.1992</v>
      </c>
      <c r="CE8" s="707">
        <f>'(Bloom Raw Data)'!CU8</f>
        <v>2031.8897999999999</v>
      </c>
      <c r="CF8" s="708">
        <f>AVERAGE(CE8,CG8)</f>
        <v>1794.76665</v>
      </c>
      <c r="CG8" s="707">
        <f>'(Bloom Raw Data)'!CW8</f>
        <v>1557.6434999999999</v>
      </c>
      <c r="CH8" s="708">
        <f>AVERAGE(CG8,CI8)</f>
        <v>1495.2870499999999</v>
      </c>
      <c r="CI8" s="707">
        <f>'(Bloom Raw Data)'!CY8</f>
        <v>1432.9305999999999</v>
      </c>
      <c r="CJ8" s="706"/>
      <c r="CK8" s="707">
        <f t="shared" si="2"/>
        <v>0</v>
      </c>
      <c r="CL8" s="707">
        <f t="shared" si="3"/>
        <v>0</v>
      </c>
      <c r="CM8" s="707">
        <f t="shared" si="4"/>
        <v>0</v>
      </c>
      <c r="CN8" s="707">
        <f t="shared" si="5"/>
        <v>0</v>
      </c>
      <c r="CO8" s="707">
        <f t="shared" si="6"/>
        <v>0</v>
      </c>
      <c r="CP8" s="707">
        <f t="shared" si="7"/>
        <v>0</v>
      </c>
      <c r="CQ8" s="707">
        <f t="shared" si="8"/>
        <v>0</v>
      </c>
      <c r="CR8" s="707">
        <f t="shared" si="9"/>
        <v>0</v>
      </c>
      <c r="CS8" s="707">
        <f t="shared" si="10"/>
        <v>0</v>
      </c>
      <c r="CT8" s="707">
        <f t="shared" si="11"/>
        <v>0</v>
      </c>
      <c r="CU8" s="707">
        <f t="shared" si="12"/>
        <v>0</v>
      </c>
      <c r="CV8" s="707">
        <f t="shared" si="13"/>
        <v>0</v>
      </c>
      <c r="CW8" s="707">
        <f t="shared" si="14"/>
        <v>0</v>
      </c>
      <c r="CX8" s="707">
        <f t="shared" si="15"/>
        <v>0</v>
      </c>
      <c r="CY8" s="707">
        <f t="shared" si="16"/>
        <v>0</v>
      </c>
      <c r="CZ8" s="706"/>
      <c r="DA8" s="709">
        <f>'(Bloom Raw Data)'!DB8</f>
        <v>5.5773000000000001</v>
      </c>
      <c r="DB8" s="710">
        <f>AVERAGE(DA8,DC8)</f>
        <v>5.36815</v>
      </c>
      <c r="DC8" s="709">
        <f>'(Bloom Raw Data)'!DD8</f>
        <v>5.1589999999999998</v>
      </c>
      <c r="DD8" s="710">
        <f>AVERAGE(DC8,DE8)</f>
        <v>5.4947499999999998</v>
      </c>
      <c r="DE8" s="709">
        <f>'(Bloom Raw Data)'!DF8</f>
        <v>5.8304999999999998</v>
      </c>
      <c r="DF8" s="710">
        <f>AVERAGE(DE8,DG8)</f>
        <v>6.1376499999999998</v>
      </c>
      <c r="DG8" s="709">
        <f>'(Bloom Raw Data)'!DH8</f>
        <v>6.4447999999999999</v>
      </c>
      <c r="DH8" s="710">
        <f>AVERAGE(DG8,DI8)</f>
        <v>5.8017000000000003</v>
      </c>
      <c r="DI8" s="709">
        <f>'(Bloom Raw Data)'!DJ8</f>
        <v>5.1585999999999999</v>
      </c>
      <c r="DJ8" s="710">
        <f>AVERAGE(DI8,DK8)</f>
        <v>4.5745500000000003</v>
      </c>
      <c r="DK8" s="709">
        <f>'(Bloom Raw Data)'!DL8</f>
        <v>3.9904999999999999</v>
      </c>
      <c r="DL8" s="710">
        <f>AVERAGE(DK8,DM8)</f>
        <v>3.57165</v>
      </c>
      <c r="DM8" s="709">
        <f>'(Bloom Raw Data)'!DN8</f>
        <v>3.1528</v>
      </c>
      <c r="DN8" s="710">
        <f>AVERAGE(DM8,DO8)</f>
        <v>3.2616000000000001</v>
      </c>
      <c r="DO8" s="709">
        <f>'(Bloom Raw Data)'!DP8</f>
        <v>3.3704000000000001</v>
      </c>
      <c r="DP8" s="706"/>
      <c r="DQ8" s="706"/>
      <c r="DR8" s="709">
        <f>'(Bloom Raw Data)'!DS8</f>
        <v>2.0177999999999998</v>
      </c>
      <c r="DS8" s="710">
        <f>AVERAGE(DR8,DT8)</f>
        <v>1.9143999999999999</v>
      </c>
      <c r="DT8" s="709">
        <f>'(Bloom Raw Data)'!DU8</f>
        <v>1.8109999999999999</v>
      </c>
      <c r="DU8" s="710">
        <f>AVERAGE(DT8,DV8)</f>
        <v>1.8664000000000001</v>
      </c>
      <c r="DV8" s="709">
        <f>'(Bloom Raw Data)'!DW8</f>
        <v>1.9218</v>
      </c>
      <c r="DW8" s="710">
        <f>AVERAGE(DV8,DX8)</f>
        <v>2.0013000000000001</v>
      </c>
      <c r="DX8" s="709">
        <f>'(Bloom Raw Data)'!DY8</f>
        <v>2.0808</v>
      </c>
      <c r="DY8" s="710">
        <f>AVERAGE(DX8,DZ8)</f>
        <v>1.8652500000000001</v>
      </c>
      <c r="DZ8" s="709">
        <f>'(Bloom Raw Data)'!EA8</f>
        <v>1.6497000000000002</v>
      </c>
      <c r="EA8" s="710">
        <f>AVERAGE(DZ8,EB8)</f>
        <v>1.44425</v>
      </c>
      <c r="EB8" s="709">
        <f>'(Bloom Raw Data)'!EC8</f>
        <v>1.2387999999999999</v>
      </c>
      <c r="EC8" s="710">
        <f>AVERAGE(EB8,ED8)</f>
        <v>1.0912999999999999</v>
      </c>
      <c r="ED8" s="709">
        <f>'(Bloom Raw Data)'!EE8</f>
        <v>0.94379999999999997</v>
      </c>
      <c r="EE8" s="710">
        <f>AVERAGE(ED8,EF8)</f>
        <v>0.91830000000000001</v>
      </c>
      <c r="EF8" s="709">
        <f>'(Bloom Raw Data)'!EG8</f>
        <v>0.89280000000000004</v>
      </c>
      <c r="EG8" s="706"/>
      <c r="EH8" s="707">
        <f>'(Bloom Raw Data)'!EJ8</f>
        <v>9.9933999999999994</v>
      </c>
      <c r="EI8" s="707">
        <f>'(Bloom Raw Data)'!EK8</f>
        <v>9.5071999999999992</v>
      </c>
      <c r="EJ8" s="707">
        <f>'(Bloom Raw Data)'!EL8</f>
        <v>8.9600000000000009</v>
      </c>
      <c r="EK8" s="707">
        <f>'(Bloom Raw Data)'!EM8</f>
        <v>9.5785999999999998</v>
      </c>
      <c r="EL8" s="707">
        <f>'(Bloom Raw Data)'!EN8</f>
        <v>10.3786</v>
      </c>
      <c r="EM8" s="707">
        <f>'(Bloom Raw Data)'!EO8</f>
        <v>10.4664</v>
      </c>
      <c r="EN8" s="707">
        <f>'(Bloom Raw Data)'!EP8</f>
        <v>11.940099999999999</v>
      </c>
      <c r="EO8" s="707">
        <f>'(Bloom Raw Data)'!EQ8</f>
        <v>10.089</v>
      </c>
      <c r="EP8" s="707" t="str">
        <f>'(Bloom Raw Data)'!ER8</f>
        <v>#N/A N/A</v>
      </c>
      <c r="EQ8" s="707" t="str">
        <f>'(Bloom Raw Data)'!ES8</f>
        <v>#N/A N/A</v>
      </c>
      <c r="ER8" s="707" t="str">
        <f>'(Bloom Raw Data)'!ET8</f>
        <v>#N/A N/A</v>
      </c>
      <c r="ES8" s="707" t="str">
        <f>'(Bloom Raw Data)'!EU8</f>
        <v>#N/A N/A</v>
      </c>
      <c r="ET8" s="707">
        <f>'(Bloom Raw Data)'!EV8</f>
        <v>6.2751000000000001</v>
      </c>
      <c r="EU8" s="707" t="str">
        <f>'(Bloom Raw Data)'!EW8</f>
        <v>#N/A N/A</v>
      </c>
      <c r="EV8" s="707" t="str">
        <f>'(Bloom Raw Data)'!EX8</f>
        <v>#N/A N/A</v>
      </c>
      <c r="EW8" s="706"/>
      <c r="EX8" s="706"/>
      <c r="EY8" s="707">
        <f>'(Bloom Raw Data)'!FR8</f>
        <v>10.009</v>
      </c>
      <c r="EZ8" s="708">
        <f>AVERAGE(EY8,FA8)</f>
        <v>7.8045</v>
      </c>
      <c r="FA8" s="707">
        <f>'(Bloom Raw Data)'!FT8</f>
        <v>5.6</v>
      </c>
      <c r="FB8" s="708">
        <f>AVERAGE(FA8,FC8)</f>
        <v>9.2794999999999987</v>
      </c>
      <c r="FC8" s="707">
        <f>'(Bloom Raw Data)'!FV8</f>
        <v>12.959</v>
      </c>
      <c r="FD8" s="708">
        <f>AVERAGE(FC8,FE8)</f>
        <v>10.529499999999999</v>
      </c>
      <c r="FE8" s="707">
        <f>'(Bloom Raw Data)'!FX8</f>
        <v>8.1</v>
      </c>
      <c r="FF8" s="708">
        <f>AVERAGE(FE8,FG8)</f>
        <v>7.6094999999999997</v>
      </c>
      <c r="FG8" s="707">
        <f>'(Bloom Raw Data)'!FZ8</f>
        <v>7.1189999999999998</v>
      </c>
      <c r="FH8" s="708">
        <f>AVERAGE(FG8,FI8)</f>
        <v>6.9094999999999995</v>
      </c>
      <c r="FI8" s="707">
        <f>'(Bloom Raw Data)'!GB8</f>
        <v>6.7</v>
      </c>
      <c r="FJ8" s="708">
        <f>AVERAGE(FI8,FK8)</f>
        <v>9.4830000000000005</v>
      </c>
      <c r="FK8" s="707">
        <f>'(Bloom Raw Data)'!GD8</f>
        <v>12.266</v>
      </c>
      <c r="FL8" s="708">
        <f>AVERAGE(FK8,FM8)</f>
        <v>11.983000000000001</v>
      </c>
      <c r="FM8" s="707">
        <f>'(Bloom Raw Data)'!GF8</f>
        <v>11.7</v>
      </c>
      <c r="FN8" s="706"/>
      <c r="FO8" s="709">
        <f>'(Bloom Raw Data)'!FA8</f>
        <v>5.9046000000000003</v>
      </c>
      <c r="FP8" s="709">
        <f>'(Bloom Raw Data)'!FB8</f>
        <v>5.6173000000000002</v>
      </c>
      <c r="FQ8" s="709">
        <f>'(Bloom Raw Data)'!FC8</f>
        <v>7.9043999999999999</v>
      </c>
      <c r="FR8" s="709">
        <f>'(Bloom Raw Data)'!FD8</f>
        <v>8.4502000000000006</v>
      </c>
      <c r="FS8" s="709">
        <f>'(Bloom Raw Data)'!FE8</f>
        <v>6.3494999999999999</v>
      </c>
      <c r="FT8" s="709">
        <f>'(Bloom Raw Data)'!FF8</f>
        <v>6.4032</v>
      </c>
      <c r="FU8" s="709">
        <f>'(Bloom Raw Data)'!FG8</f>
        <v>10.2217</v>
      </c>
      <c r="FV8" s="709">
        <f>'(Bloom Raw Data)'!FH8</f>
        <v>8.6370000000000005</v>
      </c>
      <c r="FW8" s="709" t="str">
        <f>'(Bloom Raw Data)'!FI8</f>
        <v>#N/A N/A</v>
      </c>
      <c r="FX8" s="709" t="str">
        <f>'(Bloom Raw Data)'!FJ8</f>
        <v>#N/A N/A</v>
      </c>
      <c r="FY8" s="709" t="str">
        <f>'(Bloom Raw Data)'!FK8</f>
        <v>#N/A N/A</v>
      </c>
      <c r="FZ8" s="709" t="str">
        <f>'(Bloom Raw Data)'!FL8</f>
        <v>#N/A N/A</v>
      </c>
      <c r="GA8" s="709">
        <f>'(Bloom Raw Data)'!FM8</f>
        <v>3.2523</v>
      </c>
      <c r="GB8" s="709" t="str">
        <f>'(Bloom Raw Data)'!FN8</f>
        <v>#N/A N/A</v>
      </c>
      <c r="GC8" s="709" t="str">
        <f>'(Bloom Raw Data)'!FO8</f>
        <v>#N/A N/A</v>
      </c>
      <c r="GD8" s="706"/>
      <c r="GE8" s="706"/>
      <c r="GF8" s="707">
        <f>'(Bloom Raw Data)'!GI8</f>
        <v>440.827</v>
      </c>
      <c r="GG8" s="708">
        <f>AVERAGE(GF8,GH8)</f>
        <v>370.4135</v>
      </c>
      <c r="GH8" s="707">
        <f>'(Bloom Raw Data)'!GK8</f>
        <v>300</v>
      </c>
      <c r="GI8" s="708">
        <f>AVERAGE(GH8,GJ8)</f>
        <v>365.58500000000004</v>
      </c>
      <c r="GJ8" s="707">
        <f>'(Bloom Raw Data)'!GM8</f>
        <v>431.17</v>
      </c>
      <c r="GK8" s="708">
        <f>AVERAGE(GJ8,GL8)</f>
        <v>360.185</v>
      </c>
      <c r="GL8" s="707">
        <f>'(Bloom Raw Data)'!GO8</f>
        <v>289.2</v>
      </c>
      <c r="GM8" s="708">
        <f>AVERAGE(GL8,GN8)</f>
        <v>341.58600000000001</v>
      </c>
      <c r="GN8" s="707">
        <f>'(Bloom Raw Data)'!GQ8</f>
        <v>393.97199999999998</v>
      </c>
      <c r="GO8" s="708">
        <f>AVERAGE(GN8,GP8)</f>
        <v>329.48599999999999</v>
      </c>
      <c r="GP8" s="707">
        <f>'(Bloom Raw Data)'!GS8</f>
        <v>265</v>
      </c>
      <c r="GQ8" s="708">
        <f>AVERAGE(GP8,GR8)</f>
        <v>311.39949999999999</v>
      </c>
      <c r="GR8" s="707">
        <f>'(Bloom Raw Data)'!GU8</f>
        <v>357.79899999999998</v>
      </c>
      <c r="GS8" s="708">
        <f>AVERAGE(GR8,GT8)</f>
        <v>332.4495</v>
      </c>
      <c r="GT8" s="707">
        <f>'(Bloom Raw Data)'!GW8</f>
        <v>307.10000000000002</v>
      </c>
      <c r="GU8" s="706"/>
      <c r="GV8" s="707">
        <f t="shared" si="1"/>
        <v>566.99790221074716</v>
      </c>
      <c r="GW8" s="707">
        <f t="shared" si="1"/>
        <v>568.53747566666357</v>
      </c>
      <c r="GX8" s="707">
        <f t="shared" si="1"/>
        <v>570.2018802093429</v>
      </c>
      <c r="GY8" s="707">
        <f t="shared" si="1"/>
        <v>558.78936257336557</v>
      </c>
      <c r="GZ8" s="707">
        <f t="shared" si="1"/>
        <v>548.69122716748143</v>
      </c>
      <c r="HA8" s="707">
        <f t="shared" si="1"/>
        <v>542.96833478611529</v>
      </c>
      <c r="HB8" s="707">
        <f t="shared" si="1"/>
        <v>537.79093222442896</v>
      </c>
      <c r="HC8" s="707">
        <f t="shared" si="1"/>
        <v>534.36609959149905</v>
      </c>
      <c r="HD8" s="707">
        <f t="shared" si="1"/>
        <v>530.08734928081265</v>
      </c>
      <c r="HE8" s="707">
        <f t="shared" si="1"/>
        <v>520.96910078586961</v>
      </c>
      <c r="HF8" s="707">
        <f t="shared" si="1"/>
        <v>509.18175667209624</v>
      </c>
      <c r="HG8" s="707">
        <f t="shared" si="1"/>
        <v>502.50350678257951</v>
      </c>
      <c r="HH8" s="707">
        <f t="shared" si="1"/>
        <v>494.05084369449372</v>
      </c>
      <c r="HI8" s="707">
        <f t="shared" si="1"/>
        <v>458.45200208486631</v>
      </c>
      <c r="HJ8" s="707">
        <f t="shared" si="1"/>
        <v>425.15149537146925</v>
      </c>
      <c r="HK8" s="706"/>
      <c r="HL8" s="2487"/>
      <c r="HM8" s="709">
        <f>'(Bloom Raw Data)'!HQ8</f>
        <v>6.6317000000000004</v>
      </c>
      <c r="HN8" s="710">
        <f>AVERAGE(HM8,HO8)</f>
        <v>6.9982500000000005</v>
      </c>
      <c r="HO8" s="709">
        <f>'(Bloom Raw Data)'!HS8</f>
        <v>7.3647999999999998</v>
      </c>
      <c r="HP8" s="710">
        <f>AVERAGE(HO8,HQ8)</f>
        <v>7.55905</v>
      </c>
      <c r="HQ8" s="709">
        <f>'(Bloom Raw Data)'!HU8</f>
        <v>7.7533000000000003</v>
      </c>
      <c r="HR8" s="710">
        <f>AVERAGE(HQ8,HS8)</f>
        <v>8.3099500000000006</v>
      </c>
      <c r="HS8" s="709">
        <f>'(Bloom Raw Data)'!HW8</f>
        <v>8.8666</v>
      </c>
      <c r="HT8" s="710">
        <f>AVERAGE(HS8,HU8)</f>
        <v>8.669550000000001</v>
      </c>
      <c r="HU8" s="709">
        <f>'(Bloom Raw Data)'!HY8</f>
        <v>8.4725000000000001</v>
      </c>
      <c r="HV8" s="710">
        <f>AVERAGE(HU8,HW8)</f>
        <v>7.9193999999999996</v>
      </c>
      <c r="HW8" s="709">
        <f>'(Bloom Raw Data)'!IA8</f>
        <v>7.3662999999999998</v>
      </c>
      <c r="HX8" s="710">
        <f>AVERAGE(HW8,HY8)</f>
        <v>7.12575</v>
      </c>
      <c r="HY8" s="709">
        <f>'(Bloom Raw Data)'!IC8</f>
        <v>6.8852000000000002</v>
      </c>
      <c r="HZ8" s="710">
        <f>AVERAGE(HY8,IA8)</f>
        <v>6.569</v>
      </c>
      <c r="IA8" s="709">
        <f>'(Bloom Raw Data)'!IE8</f>
        <v>6.2527999999999997</v>
      </c>
      <c r="IB8" s="2673"/>
      <c r="IC8" s="2293"/>
    </row>
    <row r="9" spans="1:237">
      <c r="A9" s="690" t="s">
        <v>319</v>
      </c>
      <c r="B9" s="690" t="s">
        <v>18</v>
      </c>
      <c r="C9" s="690"/>
      <c r="D9" s="704">
        <f>'(Bloom Raw Data)'!D9</f>
        <v>2227.41</v>
      </c>
      <c r="E9" s="704">
        <f>'(Bloom Raw Data)'!E9</f>
        <v>2498.4149000000002</v>
      </c>
      <c r="F9" s="704">
        <f>'(Bloom Raw Data)'!F9</f>
        <v>2419.8022999999998</v>
      </c>
      <c r="G9" s="704">
        <f>'(Bloom Raw Data)'!G9</f>
        <v>2755.9508000000001</v>
      </c>
      <c r="H9" s="704">
        <f>'(Bloom Raw Data)'!H9</f>
        <v>3314.3786</v>
      </c>
      <c r="I9" s="704">
        <f>'(Bloom Raw Data)'!I9</f>
        <v>3738.9902000000002</v>
      </c>
      <c r="J9" s="704">
        <f>'(Bloom Raw Data)'!J9</f>
        <v>3698.5880000000002</v>
      </c>
      <c r="K9" s="704">
        <f>'(Bloom Raw Data)'!K9</f>
        <v>3123.0653000000002</v>
      </c>
      <c r="L9" s="704">
        <f>'(Bloom Raw Data)'!L9</f>
        <v>3347.6120999999998</v>
      </c>
      <c r="M9" s="704">
        <f>'(Bloom Raw Data)'!M9</f>
        <v>3527.7561999999998</v>
      </c>
      <c r="N9" s="704">
        <f>'(Bloom Raw Data)'!N9</f>
        <v>3918.9821999999999</v>
      </c>
      <c r="O9" s="704">
        <f>'(Bloom Raw Data)'!O9</f>
        <v>3947.5209</v>
      </c>
      <c r="P9" s="704">
        <f>'(Bloom Raw Data)'!P9</f>
        <v>4043.0142999999998</v>
      </c>
      <c r="Q9" s="704">
        <f>'(Bloom Raw Data)'!Q9</f>
        <v>4387.1509999999998</v>
      </c>
      <c r="R9" s="704">
        <f>'(Bloom Raw Data)'!R9</f>
        <v>4048.9897999999998</v>
      </c>
      <c r="S9" s="690"/>
      <c r="T9" s="704">
        <f>'(Bloom Raw Data)'!U9</f>
        <v>2223.8649999999998</v>
      </c>
      <c r="U9" s="704">
        <f>'(Bloom Raw Data)'!V9</f>
        <v>2123.8000000000002</v>
      </c>
      <c r="V9" s="704">
        <f>'(Bloom Raw Data)'!W9</f>
        <v>2064.527</v>
      </c>
      <c r="W9" s="704">
        <f>'(Bloom Raw Data)'!X9</f>
        <v>2242.5</v>
      </c>
      <c r="X9" s="704">
        <f>'(Bloom Raw Data)'!Y9</f>
        <v>2238.1149999999998</v>
      </c>
      <c r="Y9" s="704">
        <f>'(Bloom Raw Data)'!Z9</f>
        <v>2178.8000000000002</v>
      </c>
      <c r="Z9" s="704">
        <f>'(Bloom Raw Data)'!AA9</f>
        <v>2119.502</v>
      </c>
      <c r="AA9" s="704">
        <f>'(Bloom Raw Data)'!AB9</f>
        <v>2686.6</v>
      </c>
      <c r="AB9" s="704">
        <f>'(Bloom Raw Data)'!AC9</f>
        <v>2612.9360000000001</v>
      </c>
      <c r="AC9" s="704">
        <f>'(Bloom Raw Data)'!AD9</f>
        <v>2585.4</v>
      </c>
      <c r="AD9" s="704">
        <f>'(Bloom Raw Data)'!AE9</f>
        <v>2666</v>
      </c>
      <c r="AE9" s="704">
        <f>'(Bloom Raw Data)'!AF9</f>
        <v>3027.5</v>
      </c>
      <c r="AF9" s="704">
        <f>'(Bloom Raw Data)'!AG9</f>
        <v>2936.732</v>
      </c>
      <c r="AG9" s="704">
        <f>'(Bloom Raw Data)'!AH9</f>
        <v>2955.2</v>
      </c>
      <c r="AH9" s="704">
        <f>'(Bloom Raw Data)'!AI9</f>
        <v>3759.248</v>
      </c>
      <c r="AI9" s="690"/>
      <c r="AJ9" s="704">
        <f>'(Bloom Raw Data)'!AL9</f>
        <v>39.396000000000001</v>
      </c>
      <c r="AK9" s="704">
        <f>'(Bloom Raw Data)'!AP9</f>
        <v>50.572000000000003</v>
      </c>
      <c r="AL9" s="704">
        <f>'(Bloom Raw Data)'!AT9</f>
        <v>46.893999999999998</v>
      </c>
      <c r="AM9" s="704">
        <f>'(Bloom Raw Data)'!AX9</f>
        <v>42.057000000000002</v>
      </c>
      <c r="AN9" s="690"/>
      <c r="AO9" s="705" t="str">
        <f>'(Bloom Raw Data)'!BC9</f>
        <v>#N/A N/A</v>
      </c>
      <c r="AP9" s="705" t="str">
        <f>'(Bloom Raw Data)'!BD9</f>
        <v>#N/A N/A</v>
      </c>
      <c r="AQ9" s="705" t="str">
        <f>'(Bloom Raw Data)'!BE9</f>
        <v>#N/A N/A</v>
      </c>
      <c r="AR9" s="705" t="str">
        <f>'(Bloom Raw Data)'!BF9</f>
        <v>#N/A N/A</v>
      </c>
      <c r="AS9" s="705" t="str">
        <f>'(Bloom Raw Data)'!BG9</f>
        <v>#N/A N/A</v>
      </c>
      <c r="AT9" s="705" t="str">
        <f>'(Bloom Raw Data)'!BH9</f>
        <v>#N/A N/A</v>
      </c>
      <c r="AU9" s="705" t="str">
        <f>'(Bloom Raw Data)'!BI9</f>
        <v>#N/A N/A</v>
      </c>
      <c r="AV9" s="705" t="str">
        <f>'(Bloom Raw Data)'!BJ9</f>
        <v>#N/A N/A</v>
      </c>
      <c r="AW9" s="705" t="str">
        <f>'(Bloom Raw Data)'!BK9</f>
        <v>#N/A N/A</v>
      </c>
      <c r="AX9" s="705" t="str">
        <f>'(Bloom Raw Data)'!BL9</f>
        <v>#N/A N/A</v>
      </c>
      <c r="AY9" s="705" t="str">
        <f>'(Bloom Raw Data)'!BM9</f>
        <v>#N/A N/A</v>
      </c>
      <c r="AZ9" s="705" t="str">
        <f>'(Bloom Raw Data)'!BN9</f>
        <v>#N/A N/A</v>
      </c>
      <c r="BA9" s="705" t="str">
        <f>'(Bloom Raw Data)'!BO9</f>
        <v>#N/A N/A</v>
      </c>
      <c r="BB9" s="705" t="str">
        <f>'(Bloom Raw Data)'!BP9</f>
        <v>#N/A N/A</v>
      </c>
      <c r="BC9" s="705">
        <f>'(Bloom Raw Data)'!BQ9</f>
        <v>2.1177999999999999</v>
      </c>
      <c r="BD9" s="690"/>
      <c r="BE9" s="705">
        <f>'(Bloom Raw Data)'!BT9</f>
        <v>3.7033</v>
      </c>
      <c r="BF9" s="705">
        <f>'(Bloom Raw Data)'!BU9</f>
        <v>3.4622999999999999</v>
      </c>
      <c r="BG9" s="705">
        <f>'(Bloom Raw Data)'!BV9</f>
        <v>3.3102</v>
      </c>
      <c r="BH9" s="705">
        <f>'(Bloom Raw Data)'!BW9</f>
        <v>3.4672000000000001</v>
      </c>
      <c r="BI9" s="705">
        <f>'(Bloom Raw Data)'!BX9</f>
        <v>3.3997000000000002</v>
      </c>
      <c r="BJ9" s="705">
        <f>'(Bloom Raw Data)'!BY9</f>
        <v>3.2797000000000001</v>
      </c>
      <c r="BK9" s="705">
        <f>'(Bloom Raw Data)'!BZ9</f>
        <v>3.1349</v>
      </c>
      <c r="BL9" s="705">
        <f>'(Bloom Raw Data)'!CA9</f>
        <v>4.1029999999999998</v>
      </c>
      <c r="BM9" s="705">
        <f>'(Bloom Raw Data)'!CB9</f>
        <v>3.8485</v>
      </c>
      <c r="BN9" s="705">
        <f>'(Bloom Raw Data)'!CC9</f>
        <v>3.6936999999999998</v>
      </c>
      <c r="BO9" s="705">
        <f>'(Bloom Raw Data)'!CD9</f>
        <v>3.7281</v>
      </c>
      <c r="BP9" s="705">
        <f>'(Bloom Raw Data)'!CE9</f>
        <v>3.9750999999999999</v>
      </c>
      <c r="BQ9" s="705">
        <f>'(Bloom Raw Data)'!CF9</f>
        <v>3.8224</v>
      </c>
      <c r="BR9" s="705">
        <f>'(Bloom Raw Data)'!CG9</f>
        <v>3.8087</v>
      </c>
      <c r="BS9" s="705">
        <f>'(Bloom Raw Data)'!CH9</f>
        <v>4.3651999999999997</v>
      </c>
      <c r="BT9" s="690"/>
      <c r="BU9" s="704">
        <f>'(Bloom Raw Data)'!CK9</f>
        <v>4451.2749999999996</v>
      </c>
      <c r="BV9" s="704">
        <f>'(Bloom Raw Data)'!CL9</f>
        <v>4622.2148999999999</v>
      </c>
      <c r="BW9" s="704">
        <f>'(Bloom Raw Data)'!CM9</f>
        <v>4484.3293000000003</v>
      </c>
      <c r="BX9" s="704">
        <f>'(Bloom Raw Data)'!CN9</f>
        <v>4998.4508999999998</v>
      </c>
      <c r="BY9" s="704">
        <f>'(Bloom Raw Data)'!CO9</f>
        <v>5552.4935999999998</v>
      </c>
      <c r="BZ9" s="704">
        <f>'(Bloom Raw Data)'!CP9</f>
        <v>5917.7902000000004</v>
      </c>
      <c r="CA9" s="704">
        <f>'(Bloom Raw Data)'!CQ9</f>
        <v>5818.09</v>
      </c>
      <c r="CB9" s="704">
        <f>'(Bloom Raw Data)'!CR9</f>
        <v>5809.6652999999997</v>
      </c>
      <c r="CC9" s="704">
        <f>'(Bloom Raw Data)'!CS9</f>
        <v>5960.5571</v>
      </c>
      <c r="CD9" s="704">
        <f>'(Bloom Raw Data)'!CT9</f>
        <v>6116.8562000000002</v>
      </c>
      <c r="CE9" s="704">
        <f>'(Bloom Raw Data)'!CU9</f>
        <v>6588.7061999999996</v>
      </c>
      <c r="CF9" s="704">
        <f>'(Bloom Raw Data)'!CV9</f>
        <v>6978.7209000000003</v>
      </c>
      <c r="CG9" s="704">
        <f>'(Bloom Raw Data)'!CW9</f>
        <v>6985.9123</v>
      </c>
      <c r="CH9" s="704">
        <f>'(Bloom Raw Data)'!CX9</f>
        <v>7348.451</v>
      </c>
      <c r="CI9" s="704">
        <f>'(Bloom Raw Data)'!CY9</f>
        <v>7814.3378000000002</v>
      </c>
      <c r="CJ9" s="690"/>
      <c r="CK9" s="704">
        <f t="shared" si="2"/>
        <v>0</v>
      </c>
      <c r="CL9" s="704">
        <f t="shared" si="3"/>
        <v>0</v>
      </c>
      <c r="CM9" s="704">
        <f t="shared" si="4"/>
        <v>0</v>
      </c>
      <c r="CN9" s="704">
        <f t="shared" si="5"/>
        <v>9.9999999747524271E-5</v>
      </c>
      <c r="CO9" s="704">
        <f t="shared" si="6"/>
        <v>0</v>
      </c>
      <c r="CP9" s="704">
        <f t="shared" si="7"/>
        <v>0</v>
      </c>
      <c r="CQ9" s="704">
        <f t="shared" si="8"/>
        <v>0</v>
      </c>
      <c r="CR9" s="704">
        <f t="shared" si="9"/>
        <v>0</v>
      </c>
      <c r="CS9" s="704">
        <f t="shared" si="10"/>
        <v>9.0000000000145519E-3</v>
      </c>
      <c r="CT9" s="704">
        <f t="shared" si="11"/>
        <v>3.7000000000002728</v>
      </c>
      <c r="CU9" s="704">
        <f t="shared" si="12"/>
        <v>3.7239999999997053</v>
      </c>
      <c r="CV9" s="704">
        <f t="shared" si="13"/>
        <v>3.7000000000002728</v>
      </c>
      <c r="CW9" s="704">
        <f t="shared" si="14"/>
        <v>6.1660000000001673</v>
      </c>
      <c r="CX9" s="704">
        <f t="shared" si="15"/>
        <v>6.1000000000003638</v>
      </c>
      <c r="CY9" s="704">
        <f t="shared" si="16"/>
        <v>6.1000000000003638</v>
      </c>
      <c r="CZ9" s="690"/>
      <c r="DA9" s="705">
        <f>'(Bloom Raw Data)'!DB9</f>
        <v>7.4126000000000003</v>
      </c>
      <c r="DB9" s="705">
        <f>'(Bloom Raw Data)'!DC9</f>
        <v>7.5354000000000001</v>
      </c>
      <c r="DC9" s="705">
        <f>'(Bloom Raw Data)'!DD9</f>
        <v>7.1901000000000002</v>
      </c>
      <c r="DD9" s="705">
        <f>'(Bloom Raw Data)'!DE9</f>
        <v>7.7282000000000002</v>
      </c>
      <c r="DE9" s="705">
        <f>'(Bloom Raw Data)'!DF9</f>
        <v>8.4344000000000001</v>
      </c>
      <c r="DF9" s="705">
        <f>'(Bloom Raw Data)'!DG9</f>
        <v>8.9080999999999992</v>
      </c>
      <c r="DG9" s="705">
        <f>'(Bloom Raw Data)'!DH9</f>
        <v>8.6053999999999995</v>
      </c>
      <c r="DH9" s="705">
        <f>'(Bloom Raw Data)'!DI9</f>
        <v>8.8725000000000005</v>
      </c>
      <c r="DI9" s="705">
        <f>'(Bloom Raw Data)'!DJ9</f>
        <v>8.7789999999999999</v>
      </c>
      <c r="DJ9" s="705">
        <f>'(Bloom Raw Data)'!DK9</f>
        <v>8.7388999999999992</v>
      </c>
      <c r="DK9" s="705">
        <f>'(Bloom Raw Data)'!DL9</f>
        <v>9.2135999999999996</v>
      </c>
      <c r="DL9" s="705">
        <f>'(Bloom Raw Data)'!DM9</f>
        <v>9.1631999999999998</v>
      </c>
      <c r="DM9" s="705">
        <f>'(Bloom Raw Data)'!DN9</f>
        <v>9.0927000000000007</v>
      </c>
      <c r="DN9" s="705">
        <f>'(Bloom Raw Data)'!DO9</f>
        <v>9.4709000000000003</v>
      </c>
      <c r="DO9" s="705">
        <f>'(Bloom Raw Data)'!DP9</f>
        <v>9.0739999999999998</v>
      </c>
      <c r="DP9" s="690"/>
      <c r="DQ9" s="690"/>
      <c r="DR9" s="705">
        <f>'(Bloom Raw Data)'!DS9</f>
        <v>3.7174</v>
      </c>
      <c r="DS9" s="705">
        <f>'(Bloom Raw Data)'!DT9</f>
        <v>3.7635999999999998</v>
      </c>
      <c r="DT9" s="705">
        <f>'(Bloom Raw Data)'!DU9</f>
        <v>3.5629</v>
      </c>
      <c r="DU9" s="705">
        <f>'(Bloom Raw Data)'!DV9</f>
        <v>3.8973</v>
      </c>
      <c r="DV9" s="705">
        <f>'(Bloom Raw Data)'!DW9</f>
        <v>4.2744999999999997</v>
      </c>
      <c r="DW9" s="705">
        <f>'(Bloom Raw Data)'!DX9</f>
        <v>4.5049999999999999</v>
      </c>
      <c r="DX9" s="705">
        <f>'(Bloom Raw Data)'!DY9</f>
        <v>4.3735999999999997</v>
      </c>
      <c r="DY9" s="705">
        <f>'(Bloom Raw Data)'!DZ9</f>
        <v>4.3137999999999996</v>
      </c>
      <c r="DZ9" s="705">
        <f>'(Bloom Raw Data)'!EA9</f>
        <v>4.3310000000000004</v>
      </c>
      <c r="EA9" s="705">
        <f>'(Bloom Raw Data)'!EB9</f>
        <v>4.3422999999999998</v>
      </c>
      <c r="EB9" s="705">
        <f>'(Bloom Raw Data)'!EC9</f>
        <v>4.5966000000000005</v>
      </c>
      <c r="EC9" s="705">
        <f>'(Bloom Raw Data)'!ED9</f>
        <v>4.7938000000000001</v>
      </c>
      <c r="ED9" s="705">
        <f>'(Bloom Raw Data)'!EE9</f>
        <v>4.6923000000000004</v>
      </c>
      <c r="EE9" s="705">
        <f>'(Bloom Raw Data)'!EF9</f>
        <v>4.8017000000000003</v>
      </c>
      <c r="EF9" s="705">
        <f>'(Bloom Raw Data)'!EG9</f>
        <v>4.9602000000000004</v>
      </c>
      <c r="EG9" s="690"/>
      <c r="EH9" s="704">
        <f>'(Bloom Raw Data)'!EJ9</f>
        <v>5.4764999999999997</v>
      </c>
      <c r="EI9" s="704">
        <f>'(Bloom Raw Data)'!EK9</f>
        <v>6.0327999999999999</v>
      </c>
      <c r="EJ9" s="704">
        <f>'(Bloom Raw Data)'!EL9</f>
        <v>6.7022000000000004</v>
      </c>
      <c r="EK9" s="704">
        <f>'(Bloom Raw Data)'!EM9</f>
        <v>8.3765000000000001</v>
      </c>
      <c r="EL9" s="704">
        <f>'(Bloom Raw Data)'!EN9</f>
        <v>23.3293</v>
      </c>
      <c r="EM9" s="704">
        <f>'(Bloom Raw Data)'!EO9</f>
        <v>19.748200000000001</v>
      </c>
      <c r="EN9" s="704">
        <f>'(Bloom Raw Data)'!EP9</f>
        <v>18.382000000000001</v>
      </c>
      <c r="EO9" s="704">
        <f>'(Bloom Raw Data)'!EQ9</f>
        <v>42.266300000000001</v>
      </c>
      <c r="EP9" s="704" t="str">
        <f>'(Bloom Raw Data)'!ER9</f>
        <v>#N/A N/A</v>
      </c>
      <c r="EQ9" s="704" t="str">
        <f>'(Bloom Raw Data)'!ES9</f>
        <v>#N/A N/A</v>
      </c>
      <c r="ER9" s="704" t="str">
        <f>'(Bloom Raw Data)'!ET9</f>
        <v>#N/A N/A</v>
      </c>
      <c r="ES9" s="704" t="str">
        <f>'(Bloom Raw Data)'!EU9</f>
        <v>#N/A N/A</v>
      </c>
      <c r="ET9" s="704">
        <f>'(Bloom Raw Data)'!EV9</f>
        <v>96.481399999999994</v>
      </c>
      <c r="EU9" s="704" t="str">
        <f>'(Bloom Raw Data)'!EW9</f>
        <v>#N/A N/A</v>
      </c>
      <c r="EV9" s="704" t="str">
        <f>'(Bloom Raw Data)'!EX9</f>
        <v>#N/A N/A</v>
      </c>
      <c r="EW9" s="690"/>
      <c r="EX9" s="690"/>
      <c r="EY9" s="704">
        <f>'(Bloom Raw Data)'!FR9</f>
        <v>40.203000000000003</v>
      </c>
      <c r="EZ9" s="704">
        <f>'(Bloom Raw Data)'!FS9</f>
        <v>199.9</v>
      </c>
      <c r="FA9" s="704">
        <f>'(Bloom Raw Data)'!FT9</f>
        <v>74.486000000000004</v>
      </c>
      <c r="FB9" s="704">
        <f>'(Bloom Raw Data)'!FU9</f>
        <v>217.2</v>
      </c>
      <c r="FC9" s="704">
        <f>'(Bloom Raw Data)'!FV9</f>
        <v>97.641000000000005</v>
      </c>
      <c r="FD9" s="704">
        <f>'(Bloom Raw Data)'!FW9</f>
        <v>725.5</v>
      </c>
      <c r="FE9" s="704">
        <f>'(Bloom Raw Data)'!FX9</f>
        <v>125.925</v>
      </c>
      <c r="FF9" s="704">
        <f>'(Bloom Raw Data)'!FY9</f>
        <v>283.10000000000002</v>
      </c>
      <c r="FG9" s="704">
        <f>'(Bloom Raw Data)'!FZ9</f>
        <v>65.355000000000004</v>
      </c>
      <c r="FH9" s="704">
        <f>'(Bloom Raw Data)'!GA9</f>
        <v>432.2</v>
      </c>
      <c r="FI9" s="704">
        <f>'(Bloom Raw Data)'!GB9</f>
        <v>204.721</v>
      </c>
      <c r="FJ9" s="704">
        <f>'(Bloom Raw Data)'!GC9</f>
        <v>813.2</v>
      </c>
      <c r="FK9" s="704">
        <f>'(Bloom Raw Data)'!GD9</f>
        <v>906.3</v>
      </c>
      <c r="FL9" s="704">
        <f>'(Bloom Raw Data)'!GE9</f>
        <v>898.8</v>
      </c>
      <c r="FM9" s="704">
        <f>'(Bloom Raw Data)'!GF9</f>
        <v>114.05200000000001</v>
      </c>
      <c r="FN9" s="690"/>
      <c r="FO9" s="705">
        <f>'(Bloom Raw Data)'!FA9</f>
        <v>3.5528</v>
      </c>
      <c r="FP9" s="705">
        <f>'(Bloom Raw Data)'!FB9</f>
        <v>3.8120000000000003</v>
      </c>
      <c r="FQ9" s="705">
        <f>'(Bloom Raw Data)'!FC9</f>
        <v>10.048500000000001</v>
      </c>
      <c r="FR9" s="705">
        <f>'(Bloom Raw Data)'!FD9</f>
        <v>10.6</v>
      </c>
      <c r="FS9" s="705">
        <f>'(Bloom Raw Data)'!FE9</f>
        <v>9.6486000000000001</v>
      </c>
      <c r="FT9" s="705">
        <f>'(Bloom Raw Data)'!FF9</f>
        <v>8.5795999999999992</v>
      </c>
      <c r="FU9" s="705" t="str">
        <f>'(Bloom Raw Data)'!FG9</f>
        <v>#N/A N/A</v>
      </c>
      <c r="FV9" s="705" t="str">
        <f>'(Bloom Raw Data)'!FH9</f>
        <v>#N/A N/A</v>
      </c>
      <c r="FW9" s="705" t="str">
        <f>'(Bloom Raw Data)'!FI9</f>
        <v>#N/A N/A</v>
      </c>
      <c r="FX9" s="705" t="str">
        <f>'(Bloom Raw Data)'!FJ9</f>
        <v>#N/A N/A</v>
      </c>
      <c r="FY9" s="705" t="str">
        <f>'(Bloom Raw Data)'!FK9</f>
        <v>#N/A N/A</v>
      </c>
      <c r="FZ9" s="705" t="str">
        <f>'(Bloom Raw Data)'!FL9</f>
        <v>#N/A N/A</v>
      </c>
      <c r="GA9" s="705" t="str">
        <f>'(Bloom Raw Data)'!FM9</f>
        <v>#N/A N/A</v>
      </c>
      <c r="GB9" s="705" t="str">
        <f>'(Bloom Raw Data)'!FN9</f>
        <v>#N/A N/A</v>
      </c>
      <c r="GC9" s="705" t="str">
        <f>'(Bloom Raw Data)'!FO9</f>
        <v>#N/A N/A</v>
      </c>
      <c r="GD9" s="690"/>
      <c r="GE9" s="690"/>
      <c r="GF9" s="704">
        <f>'(Bloom Raw Data)'!GI9</f>
        <v>360.05599999999998</v>
      </c>
      <c r="GG9" s="704">
        <f>'(Bloom Raw Data)'!GJ9</f>
        <v>376.4</v>
      </c>
      <c r="GH9" s="704">
        <f>'(Bloom Raw Data)'!GK9</f>
        <v>138.29900000000001</v>
      </c>
      <c r="GI9" s="704">
        <f>'(Bloom Raw Data)'!GL9</f>
        <v>164.6</v>
      </c>
      <c r="GJ9" s="704">
        <f>'(Bloom Raw Data)'!GM9</f>
        <v>217.47200000000001</v>
      </c>
      <c r="GK9" s="704">
        <f>'(Bloom Raw Data)'!GN9</f>
        <v>275.89999999999998</v>
      </c>
      <c r="GL9" s="704">
        <f>'(Bloom Raw Data)'!GO9</f>
        <v>-210</v>
      </c>
      <c r="GM9" s="704">
        <f>'(Bloom Raw Data)'!GP9</f>
        <v>-258</v>
      </c>
      <c r="GN9" s="704">
        <f>'(Bloom Raw Data)'!GQ9</f>
        <v>-248.233</v>
      </c>
      <c r="GO9" s="704">
        <f>'(Bloom Raw Data)'!GR9</f>
        <v>-280</v>
      </c>
      <c r="GP9" s="704">
        <f>'(Bloom Raw Data)'!GS9</f>
        <v>-740.82799999999997</v>
      </c>
      <c r="GQ9" s="704">
        <f>'(Bloom Raw Data)'!GT9</f>
        <v>-721.3</v>
      </c>
      <c r="GR9" s="704">
        <f>'(Bloom Raw Data)'!GU9</f>
        <v>-714.21600000000001</v>
      </c>
      <c r="GS9" s="704">
        <f>'(Bloom Raw Data)'!GV9</f>
        <v>-671.4</v>
      </c>
      <c r="GT9" s="704">
        <f>'(Bloom Raw Data)'!GW9</f>
        <v>-1491.5</v>
      </c>
      <c r="GU9" s="690"/>
      <c r="GV9" s="704">
        <f t="shared" si="1"/>
        <v>600.50117367725215</v>
      </c>
      <c r="GW9" s="704">
        <f t="shared" si="1"/>
        <v>613.40007166175644</v>
      </c>
      <c r="GX9" s="704">
        <f t="shared" si="1"/>
        <v>623.68107536751927</v>
      </c>
      <c r="GY9" s="704">
        <f t="shared" si="1"/>
        <v>646.78073807613669</v>
      </c>
      <c r="GZ9" s="704">
        <f t="shared" si="1"/>
        <v>658.31518543109166</v>
      </c>
      <c r="HA9" s="704">
        <f t="shared" si="1"/>
        <v>664.31564531157051</v>
      </c>
      <c r="HB9" s="704">
        <f t="shared" si="1"/>
        <v>676.09756664420024</v>
      </c>
      <c r="HC9" s="704">
        <f t="shared" si="1"/>
        <v>654.79462383770067</v>
      </c>
      <c r="HD9" s="704">
        <f t="shared" si="1"/>
        <v>678.95627064585949</v>
      </c>
      <c r="HE9" s="704">
        <f t="shared" si="1"/>
        <v>699.95722573779312</v>
      </c>
      <c r="HF9" s="704">
        <f t="shared" si="1"/>
        <v>715.10660328210474</v>
      </c>
      <c r="HG9" s="704">
        <f t="shared" si="1"/>
        <v>761.60303169198539</v>
      </c>
      <c r="HH9" s="704">
        <f t="shared" si="1"/>
        <v>768.29899809737481</v>
      </c>
      <c r="HI9" s="704">
        <f t="shared" si="1"/>
        <v>775.89785553643264</v>
      </c>
      <c r="HJ9" s="704">
        <f t="shared" si="1"/>
        <v>861.17895084857844</v>
      </c>
      <c r="HK9" s="690"/>
      <c r="HL9" s="2487"/>
      <c r="HM9" s="705">
        <f>'(Bloom Raw Data)'!HQ9</f>
        <v>6.7294</v>
      </c>
      <c r="HN9" s="705">
        <f>'(Bloom Raw Data)'!HR9</f>
        <v>5.7431000000000001</v>
      </c>
      <c r="HO9" s="705">
        <f>'(Bloom Raw Data)'!HS9</f>
        <v>5.7416999999999998</v>
      </c>
      <c r="HP9" s="705">
        <f>'(Bloom Raw Data)'!HT9</f>
        <v>5.7271000000000001</v>
      </c>
      <c r="HQ9" s="705">
        <f>'(Bloom Raw Data)'!HU9</f>
        <v>5.5990000000000002</v>
      </c>
      <c r="HR9" s="705">
        <f>'(Bloom Raw Data)'!HV9</f>
        <v>6.3922999999999996</v>
      </c>
      <c r="HS9" s="705">
        <f>'(Bloom Raw Data)'!HW9</f>
        <v>6.8342999999999998</v>
      </c>
      <c r="HT9" s="705">
        <f>'(Bloom Raw Data)'!HX9</f>
        <v>7.4036999999999997</v>
      </c>
      <c r="HU9" s="705">
        <f>'(Bloom Raw Data)'!HY9</f>
        <v>6.3003</v>
      </c>
      <c r="HV9" s="705">
        <f>'(Bloom Raw Data)'!HZ9</f>
        <v>6.3733000000000004</v>
      </c>
      <c r="HW9" s="705">
        <f>'(Bloom Raw Data)'!IA9</f>
        <v>5.8521999999999998</v>
      </c>
      <c r="HX9" s="705">
        <f>'(Bloom Raw Data)'!IB9</f>
        <v>5.6871999999999998</v>
      </c>
      <c r="HY9" s="705">
        <f>'(Bloom Raw Data)'!IC9</f>
        <v>5.2569999999999997</v>
      </c>
      <c r="HZ9" s="705">
        <f>'(Bloom Raw Data)'!ID9</f>
        <v>5.3704999999999998</v>
      </c>
      <c r="IA9" s="705">
        <f>'(Bloom Raw Data)'!IE9</f>
        <v>5.3070000000000004</v>
      </c>
      <c r="IB9" s="2673"/>
    </row>
    <row r="10" spans="1:237">
      <c r="A10" s="11" t="s">
        <v>539</v>
      </c>
      <c r="B10" s="11" t="s">
        <v>13</v>
      </c>
      <c r="C10" s="11"/>
      <c r="D10" s="165">
        <f>'(Bloom Raw Data)'!D10</f>
        <v>48433.336499999998</v>
      </c>
      <c r="E10" s="165">
        <f>'(Bloom Raw Data)'!E10</f>
        <v>48336.4</v>
      </c>
      <c r="F10" s="165">
        <f>'(Bloom Raw Data)'!F10</f>
        <v>43503.676299999999</v>
      </c>
      <c r="G10" s="165">
        <f>'(Bloom Raw Data)'!G10</f>
        <v>45364.9</v>
      </c>
      <c r="H10" s="165">
        <f>'(Bloom Raw Data)'!H10</f>
        <v>39571.942900000002</v>
      </c>
      <c r="I10" s="165">
        <f>'(Bloom Raw Data)'!I10</f>
        <v>35194.5</v>
      </c>
      <c r="J10" s="165">
        <f>'(Bloom Raw Data)'!J10</f>
        <v>38725.5</v>
      </c>
      <c r="K10" s="165">
        <f>'(Bloom Raw Data)'!K10</f>
        <v>37562.25</v>
      </c>
      <c r="L10" s="165">
        <f>'(Bloom Raw Data)'!L10</f>
        <v>37614.110399999998</v>
      </c>
      <c r="M10" s="165">
        <f>'(Bloom Raw Data)'!M10</f>
        <v>33478.5</v>
      </c>
      <c r="N10" s="165">
        <f>'(Bloom Raw Data)'!N10</f>
        <v>33660</v>
      </c>
      <c r="O10" s="165">
        <f>'(Bloom Raw Data)'!O10</f>
        <v>34864.5</v>
      </c>
      <c r="P10" s="165">
        <f>'(Bloom Raw Data)'!P10</f>
        <v>33033</v>
      </c>
      <c r="Q10" s="165">
        <f>'(Bloom Raw Data)'!Q10</f>
        <v>36869.25</v>
      </c>
      <c r="R10" s="165">
        <f>'(Bloom Raw Data)'!R10</f>
        <v>37709.279999999999</v>
      </c>
      <c r="S10" s="11"/>
      <c r="T10" s="165">
        <f>'(Bloom Raw Data)'!U10</f>
        <v>33635</v>
      </c>
      <c r="U10" s="165">
        <f>'(Bloom Raw Data)'!V10</f>
        <v>33669</v>
      </c>
      <c r="V10" s="165">
        <f>'(Bloom Raw Data)'!W10</f>
        <v>32963</v>
      </c>
      <c r="W10" s="165">
        <f>'(Bloom Raw Data)'!X10</f>
        <v>31227</v>
      </c>
      <c r="X10" s="165">
        <f>'(Bloom Raw Data)'!Y10</f>
        <v>22813</v>
      </c>
      <c r="Y10" s="165">
        <f>'(Bloom Raw Data)'!Z10</f>
        <v>21766</v>
      </c>
      <c r="Z10" s="165">
        <f>'(Bloom Raw Data)'!AA10</f>
        <v>21303</v>
      </c>
      <c r="AA10" s="165">
        <f>'(Bloom Raw Data)'!AB10</f>
        <v>21761</v>
      </c>
      <c r="AB10" s="165">
        <f>'(Bloom Raw Data)'!AC10</f>
        <v>21731</v>
      </c>
      <c r="AC10" s="165">
        <f>'(Bloom Raw Data)'!AD10</f>
        <v>22553</v>
      </c>
      <c r="AD10" s="165">
        <f>'(Bloom Raw Data)'!AE10</f>
        <v>23061</v>
      </c>
      <c r="AE10" s="165">
        <f>'(Bloom Raw Data)'!AF10</f>
        <v>23764</v>
      </c>
      <c r="AF10" s="165">
        <f>'(Bloom Raw Data)'!AG10</f>
        <v>22971</v>
      </c>
      <c r="AG10" s="165">
        <f>'(Bloom Raw Data)'!AH10</f>
        <v>23624</v>
      </c>
      <c r="AH10" s="165">
        <f>'(Bloom Raw Data)'!AI10</f>
        <v>23058</v>
      </c>
      <c r="AI10" s="11"/>
      <c r="AJ10" s="165">
        <f>'(Bloom Raw Data)'!AL10</f>
        <v>8817</v>
      </c>
      <c r="AK10" s="165">
        <f>'(Bloom Raw Data)'!AP10</f>
        <v>8613</v>
      </c>
      <c r="AL10" s="165">
        <f>'(Bloom Raw Data)'!AT10</f>
        <v>8438</v>
      </c>
      <c r="AM10" s="165">
        <f>'(Bloom Raw Data)'!AX10</f>
        <v>7978</v>
      </c>
      <c r="AN10" s="11"/>
      <c r="AO10" s="166" t="str">
        <f>'(Bloom Raw Data)'!BC10</f>
        <v>#N/A N/A</v>
      </c>
      <c r="AP10" s="166" t="str">
        <f>'(Bloom Raw Data)'!BD10</f>
        <v>#N/A N/A</v>
      </c>
      <c r="AQ10" s="166" t="str">
        <f>'(Bloom Raw Data)'!BE10</f>
        <v>#N/A N/A</v>
      </c>
      <c r="AR10" s="166" t="str">
        <f>'(Bloom Raw Data)'!BF10</f>
        <v>#N/A N/A</v>
      </c>
      <c r="AS10" s="166" t="str">
        <f>'(Bloom Raw Data)'!BG10</f>
        <v>#N/A N/A</v>
      </c>
      <c r="AT10" s="166" t="str">
        <f>'(Bloom Raw Data)'!BH10</f>
        <v>#N/A N/A</v>
      </c>
      <c r="AU10" s="166" t="str">
        <f>'(Bloom Raw Data)'!BI10</f>
        <v>#N/A N/A</v>
      </c>
      <c r="AV10" s="166" t="str">
        <f>'(Bloom Raw Data)'!BJ10</f>
        <v>#N/A N/A</v>
      </c>
      <c r="AW10" s="166" t="str">
        <f>'(Bloom Raw Data)'!BK10</f>
        <v>#N/A N/A</v>
      </c>
      <c r="AX10" s="166" t="str">
        <f>'(Bloom Raw Data)'!BL10</f>
        <v>#N/A N/A</v>
      </c>
      <c r="AY10" s="166" t="str">
        <f>'(Bloom Raw Data)'!BM10</f>
        <v>#N/A N/A</v>
      </c>
      <c r="AZ10" s="166" t="str">
        <f>'(Bloom Raw Data)'!BN10</f>
        <v>#N/A N/A</v>
      </c>
      <c r="BA10" s="166" t="str">
        <f>'(Bloom Raw Data)'!BO10</f>
        <v>#N/A N/A</v>
      </c>
      <c r="BB10" s="166" t="str">
        <f>'(Bloom Raw Data)'!BP10</f>
        <v>#N/A N/A</v>
      </c>
      <c r="BC10" s="166" t="str">
        <f>'(Bloom Raw Data)'!BQ10</f>
        <v>#N/A N/A</v>
      </c>
      <c r="BD10" s="11"/>
      <c r="BE10" s="166">
        <f>'(Bloom Raw Data)'!BT10</f>
        <v>3.1884999999999999</v>
      </c>
      <c r="BF10" s="166">
        <f>'(Bloom Raw Data)'!BU10</f>
        <v>3.3224</v>
      </c>
      <c r="BG10" s="166">
        <f>'(Bloom Raw Data)'!BV10</f>
        <v>3.2050000000000001</v>
      </c>
      <c r="BH10" s="166">
        <f>'(Bloom Raw Data)'!BW10</f>
        <v>3.0272999999999999</v>
      </c>
      <c r="BI10" s="166">
        <f>'(Bloom Raw Data)'!BX10</f>
        <v>2.117</v>
      </c>
      <c r="BJ10" s="166">
        <f>'(Bloom Raw Data)'!BY10</f>
        <v>2.0137</v>
      </c>
      <c r="BK10" s="166">
        <f>'(Bloom Raw Data)'!BZ10</f>
        <v>2.1109</v>
      </c>
      <c r="BL10" s="166">
        <f>'(Bloom Raw Data)'!CA10</f>
        <v>2.1484000000000001</v>
      </c>
      <c r="BM10" s="166">
        <f>'(Bloom Raw Data)'!CB10</f>
        <v>1.9864000000000002</v>
      </c>
      <c r="BN10" s="166">
        <f>'(Bloom Raw Data)'!CC10</f>
        <v>2.0720999999999998</v>
      </c>
      <c r="BO10" s="166">
        <f>'(Bloom Raw Data)'!CD10</f>
        <v>2.1252</v>
      </c>
      <c r="BP10" s="166">
        <f>'(Bloom Raw Data)'!CE10</f>
        <v>2.2174</v>
      </c>
      <c r="BQ10" s="166">
        <f>'(Bloom Raw Data)'!CF10</f>
        <v>2.1798000000000002</v>
      </c>
      <c r="BR10" s="166">
        <f>'(Bloom Raw Data)'!CG10</f>
        <v>2.2622</v>
      </c>
      <c r="BS10" s="166">
        <f>'(Bloom Raw Data)'!CH10</f>
        <v>2.2195</v>
      </c>
      <c r="BT10" s="11"/>
      <c r="BU10" s="165">
        <f>'(Bloom Raw Data)'!CK10</f>
        <v>82068.336500000005</v>
      </c>
      <c r="BV10" s="165">
        <f>'(Bloom Raw Data)'!CL10</f>
        <v>82005.399999999994</v>
      </c>
      <c r="BW10" s="165">
        <f>'(Bloom Raw Data)'!CM10</f>
        <v>76466.676300000006</v>
      </c>
      <c r="BX10" s="165">
        <f>'(Bloom Raw Data)'!CN10</f>
        <v>76591.899999999994</v>
      </c>
      <c r="BY10" s="165">
        <f>'(Bloom Raw Data)'!CO10</f>
        <v>62384.942900000002</v>
      </c>
      <c r="BZ10" s="165">
        <f>'(Bloom Raw Data)'!CP10</f>
        <v>56960.5</v>
      </c>
      <c r="CA10" s="165">
        <f>'(Bloom Raw Data)'!CQ10</f>
        <v>60028.5</v>
      </c>
      <c r="CB10" s="165">
        <f>'(Bloom Raw Data)'!CR10</f>
        <v>59323.25</v>
      </c>
      <c r="CC10" s="165">
        <f>'(Bloom Raw Data)'!CS10</f>
        <v>59345.110399999998</v>
      </c>
      <c r="CD10" s="165">
        <f>'(Bloom Raw Data)'!CT10</f>
        <v>56031.5</v>
      </c>
      <c r="CE10" s="165">
        <f>'(Bloom Raw Data)'!CU10</f>
        <v>56721</v>
      </c>
      <c r="CF10" s="165">
        <f>'(Bloom Raw Data)'!CV10</f>
        <v>58628.5</v>
      </c>
      <c r="CG10" s="165">
        <f>'(Bloom Raw Data)'!CW10</f>
        <v>56004</v>
      </c>
      <c r="CH10" s="165">
        <f>'(Bloom Raw Data)'!CX10</f>
        <v>60493.25</v>
      </c>
      <c r="CI10" s="165">
        <f>'(Bloom Raw Data)'!CY10</f>
        <v>60767.28</v>
      </c>
      <c r="CJ10" s="11"/>
      <c r="CK10" s="165">
        <f t="shared" si="2"/>
        <v>0</v>
      </c>
      <c r="CL10" s="165">
        <f t="shared" si="3"/>
        <v>0</v>
      </c>
      <c r="CM10" s="165">
        <f t="shared" si="4"/>
        <v>0</v>
      </c>
      <c r="CN10" s="165">
        <f t="shared" si="5"/>
        <v>0</v>
      </c>
      <c r="CO10" s="165">
        <f t="shared" si="6"/>
        <v>0</v>
      </c>
      <c r="CP10" s="165">
        <f t="shared" si="7"/>
        <v>0</v>
      </c>
      <c r="CQ10" s="165">
        <f t="shared" si="8"/>
        <v>0</v>
      </c>
      <c r="CR10" s="165">
        <f t="shared" si="9"/>
        <v>0</v>
      </c>
      <c r="CS10" s="165">
        <f t="shared" si="10"/>
        <v>0</v>
      </c>
      <c r="CT10" s="165">
        <f t="shared" si="11"/>
        <v>0</v>
      </c>
      <c r="CU10" s="165">
        <f t="shared" si="12"/>
        <v>0</v>
      </c>
      <c r="CV10" s="165">
        <f t="shared" si="13"/>
        <v>0</v>
      </c>
      <c r="CW10" s="165">
        <f t="shared" si="14"/>
        <v>0</v>
      </c>
      <c r="CX10" s="165">
        <f t="shared" si="15"/>
        <v>0</v>
      </c>
      <c r="CY10" s="165">
        <f t="shared" si="16"/>
        <v>0</v>
      </c>
      <c r="CZ10" s="11"/>
      <c r="DA10" s="166">
        <f>'(Bloom Raw Data)'!DB10</f>
        <v>7.7797000000000001</v>
      </c>
      <c r="DB10" s="166">
        <f>'(Bloom Raw Data)'!DC10</f>
        <v>8.0921000000000003</v>
      </c>
      <c r="DC10" s="166">
        <f>'(Bloom Raw Data)'!DD10</f>
        <v>7.4348000000000001</v>
      </c>
      <c r="DD10" s="166">
        <f>'(Bloom Raw Data)'!DE10</f>
        <v>7.4253</v>
      </c>
      <c r="DE10" s="166">
        <f>'(Bloom Raw Data)'!DF10</f>
        <v>5.7892000000000001</v>
      </c>
      <c r="DF10" s="166">
        <f>'(Bloom Raw Data)'!DG10</f>
        <v>5.2697000000000003</v>
      </c>
      <c r="DG10" s="166">
        <f>'(Bloom Raw Data)'!DH10</f>
        <v>5.9481000000000002</v>
      </c>
      <c r="DH10" s="166">
        <f>'(Bloom Raw Data)'!DI10</f>
        <v>5.8567999999999998</v>
      </c>
      <c r="DI10" s="166">
        <f>'(Bloom Raw Data)'!DJ10</f>
        <v>5.4245999999999999</v>
      </c>
      <c r="DJ10" s="166">
        <f>'(Bloom Raw Data)'!DK10</f>
        <v>5.1481000000000003</v>
      </c>
      <c r="DK10" s="166">
        <f>'(Bloom Raw Data)'!DL10</f>
        <v>5.2272999999999996</v>
      </c>
      <c r="DL10" s="166">
        <f>'(Bloom Raw Data)'!DM10</f>
        <v>5.4706000000000001</v>
      </c>
      <c r="DM10" s="166">
        <f>'(Bloom Raw Data)'!DN10</f>
        <v>5.3144999999999998</v>
      </c>
      <c r="DN10" s="166">
        <f>'(Bloom Raw Data)'!DO10</f>
        <v>5.7927</v>
      </c>
      <c r="DO10" s="166">
        <f>'(Bloom Raw Data)'!DP10</f>
        <v>5.8491999999999997</v>
      </c>
      <c r="DP10" s="11"/>
      <c r="DQ10" s="11"/>
      <c r="DR10" s="166">
        <f>'(Bloom Raw Data)'!DS10</f>
        <v>3.1469</v>
      </c>
      <c r="DS10" s="166">
        <f>'(Bloom Raw Data)'!DT10</f>
        <v>3.4558</v>
      </c>
      <c r="DT10" s="166">
        <f>'(Bloom Raw Data)'!DU10</f>
        <v>3.1909000000000001</v>
      </c>
      <c r="DU10" s="166">
        <f>'(Bloom Raw Data)'!DV10</f>
        <v>3.2008999999999999</v>
      </c>
      <c r="DV10" s="166">
        <f>'(Bloom Raw Data)'!DW10</f>
        <v>2.1667000000000001</v>
      </c>
      <c r="DW10" s="166">
        <f>'(Bloom Raw Data)'!DX10</f>
        <v>1.9742</v>
      </c>
      <c r="DX10" s="166">
        <f>'(Bloom Raw Data)'!DY10</f>
        <v>2.2894000000000001</v>
      </c>
      <c r="DY10" s="166">
        <f>'(Bloom Raw Data)'!DZ10</f>
        <v>2.2618</v>
      </c>
      <c r="DZ10" s="166">
        <f>'(Bloom Raw Data)'!EA10</f>
        <v>2.2561</v>
      </c>
      <c r="EA10" s="166">
        <f>'(Bloom Raw Data)'!EB10</f>
        <v>2.0871</v>
      </c>
      <c r="EB10" s="166">
        <f>'(Bloom Raw Data)'!EC10</f>
        <v>2.1507000000000001</v>
      </c>
      <c r="EC10" s="166">
        <f>'(Bloom Raw Data)'!ED10</f>
        <v>2.2332000000000001</v>
      </c>
      <c r="ED10" s="166">
        <f>'(Bloom Raw Data)'!EE10</f>
        <v>2.1444000000000001</v>
      </c>
      <c r="EE10" s="166">
        <f>'(Bloom Raw Data)'!EF10</f>
        <v>2.3525999999999998</v>
      </c>
      <c r="EF10" s="166">
        <f>'(Bloom Raw Data)'!EG10</f>
        <v>2.4035000000000002</v>
      </c>
      <c r="EG10" s="11"/>
      <c r="EH10" s="165" t="str">
        <f>'(Bloom Raw Data)'!EJ10</f>
        <v>#N/A N/A</v>
      </c>
      <c r="EI10" s="165" t="str">
        <f>'(Bloom Raw Data)'!EK10</f>
        <v>#N/A N/A</v>
      </c>
      <c r="EJ10" s="165" t="str">
        <f>'(Bloom Raw Data)'!EL10</f>
        <v>#N/A N/A</v>
      </c>
      <c r="EK10" s="165" t="str">
        <f>'(Bloom Raw Data)'!EM10</f>
        <v>#N/A N/A</v>
      </c>
      <c r="EL10" s="165" t="str">
        <f>'(Bloom Raw Data)'!EN10</f>
        <v>#N/A N/A</v>
      </c>
      <c r="EM10" s="165">
        <f>'(Bloom Raw Data)'!EO10</f>
        <v>19.610199999999999</v>
      </c>
      <c r="EN10" s="165">
        <f>'(Bloom Raw Data)'!EP10</f>
        <v>21.346900000000002</v>
      </c>
      <c r="EO10" s="165">
        <f>'(Bloom Raw Data)'!EQ10</f>
        <v>15.940099999999999</v>
      </c>
      <c r="EP10" s="165" t="str">
        <f>'(Bloom Raw Data)'!ER10</f>
        <v>#N/A N/A</v>
      </c>
      <c r="EQ10" s="165" t="str">
        <f>'(Bloom Raw Data)'!ES10</f>
        <v>#N/A N/A</v>
      </c>
      <c r="ER10" s="165" t="str">
        <f>'(Bloom Raw Data)'!ET10</f>
        <v>#N/A N/A</v>
      </c>
      <c r="ES10" s="165" t="str">
        <f>'(Bloom Raw Data)'!EU10</f>
        <v>#N/A N/A</v>
      </c>
      <c r="ET10" s="165" t="str">
        <f>'(Bloom Raw Data)'!EV10</f>
        <v>#N/A N/A</v>
      </c>
      <c r="EU10" s="165" t="str">
        <f>'(Bloom Raw Data)'!EW10</f>
        <v>#N/A N/A</v>
      </c>
      <c r="EV10" s="165" t="str">
        <f>'(Bloom Raw Data)'!EX10</f>
        <v>#N/A N/A</v>
      </c>
      <c r="EW10" s="11"/>
      <c r="EX10" s="11"/>
      <c r="EY10" s="165">
        <f>'(Bloom Raw Data)'!FR10</f>
        <v>763</v>
      </c>
      <c r="EZ10" s="165">
        <f>'(Bloom Raw Data)'!FS10</f>
        <v>545</v>
      </c>
      <c r="FA10" s="165">
        <f>'(Bloom Raw Data)'!FT10</f>
        <v>411</v>
      </c>
      <c r="FB10" s="165">
        <f>'(Bloom Raw Data)'!FU10</f>
        <v>594</v>
      </c>
      <c r="FC10" s="165">
        <f>'(Bloom Raw Data)'!FV10</f>
        <v>831</v>
      </c>
      <c r="FD10" s="165">
        <f>'(Bloom Raw Data)'!FW10</f>
        <v>507</v>
      </c>
      <c r="FE10" s="165">
        <f>'(Bloom Raw Data)'!FX10</f>
        <v>1067</v>
      </c>
      <c r="FF10" s="165">
        <f>'(Bloom Raw Data)'!FY10</f>
        <v>910</v>
      </c>
      <c r="FG10" s="165">
        <f>'(Bloom Raw Data)'!FZ10</f>
        <v>1489</v>
      </c>
      <c r="FH10" s="165">
        <f>'(Bloom Raw Data)'!GA10</f>
        <v>4051</v>
      </c>
      <c r="FI10" s="165">
        <f>'(Bloom Raw Data)'!GB10</f>
        <v>911</v>
      </c>
      <c r="FJ10" s="165">
        <f>'(Bloom Raw Data)'!GC10</f>
        <v>262</v>
      </c>
      <c r="FK10" s="165">
        <f>'(Bloom Raw Data)'!GD10</f>
        <v>973</v>
      </c>
      <c r="FL10" s="165">
        <f>'(Bloom Raw Data)'!GE10</f>
        <v>221</v>
      </c>
      <c r="FM10" s="165">
        <f>'(Bloom Raw Data)'!GF10</f>
        <v>431</v>
      </c>
      <c r="FN10" s="11"/>
      <c r="FO10" s="166" t="str">
        <f>'(Bloom Raw Data)'!FA10</f>
        <v>#N/A N/A</v>
      </c>
      <c r="FP10" s="166">
        <f>'(Bloom Raw Data)'!FB10</f>
        <v>1.7650999999999999</v>
      </c>
      <c r="FQ10" s="166">
        <f>'(Bloom Raw Data)'!FC10</f>
        <v>1.4973000000000001</v>
      </c>
      <c r="FR10" s="166">
        <f>'(Bloom Raw Data)'!FD10</f>
        <v>1.5802</v>
      </c>
      <c r="FS10" s="166" t="str">
        <f>'(Bloom Raw Data)'!FE10</f>
        <v>#N/A N/A</v>
      </c>
      <c r="FT10" s="166">
        <f>'(Bloom Raw Data)'!FF10</f>
        <v>1.5804</v>
      </c>
      <c r="FU10" s="166">
        <f>'(Bloom Raw Data)'!FG10</f>
        <v>1.8797000000000001</v>
      </c>
      <c r="FV10" s="166">
        <f>'(Bloom Raw Data)'!FH10</f>
        <v>1.8462000000000001</v>
      </c>
      <c r="FW10" s="166" t="str">
        <f>'(Bloom Raw Data)'!FI10</f>
        <v>#N/A N/A</v>
      </c>
      <c r="FX10" s="166" t="str">
        <f>'(Bloom Raw Data)'!FJ10</f>
        <v>#N/A N/A</v>
      </c>
      <c r="FY10" s="166" t="str">
        <f>'(Bloom Raw Data)'!FK10</f>
        <v>#N/A N/A</v>
      </c>
      <c r="FZ10" s="166" t="str">
        <f>'(Bloom Raw Data)'!FL10</f>
        <v>#N/A N/A</v>
      </c>
      <c r="GA10" s="166" t="str">
        <f>'(Bloom Raw Data)'!FM10</f>
        <v>#N/A N/A</v>
      </c>
      <c r="GB10" s="166" t="str">
        <f>'(Bloom Raw Data)'!FN10</f>
        <v>#N/A N/A</v>
      </c>
      <c r="GC10" s="166" t="str">
        <f>'(Bloom Raw Data)'!FO10</f>
        <v>#N/A N/A</v>
      </c>
      <c r="GD10" s="11"/>
      <c r="GE10" s="11"/>
      <c r="GF10" s="165">
        <f>'(Bloom Raw Data)'!GI10</f>
        <v>27078</v>
      </c>
      <c r="GG10" s="165">
        <f>'(Bloom Raw Data)'!GJ10</f>
        <v>27384</v>
      </c>
      <c r="GH10" s="165">
        <f>'(Bloom Raw Data)'!GK10</f>
        <v>29055</v>
      </c>
      <c r="GI10" s="165">
        <f>'(Bloom Raw Data)'!GL10</f>
        <v>28708</v>
      </c>
      <c r="GJ10" s="165">
        <f>'(Bloom Raw Data)'!GM10</f>
        <v>20855</v>
      </c>
      <c r="GK10" s="165">
        <f>'(Bloom Raw Data)'!GN10</f>
        <v>22269</v>
      </c>
      <c r="GL10" s="165">
        <f>'(Bloom Raw Data)'!GO10</f>
        <v>20602</v>
      </c>
      <c r="GM10" s="165">
        <f>'(Bloom Raw Data)'!GP10</f>
        <v>20346</v>
      </c>
      <c r="GN10" s="165">
        <f>'(Bloom Raw Data)'!GQ10</f>
        <v>22244</v>
      </c>
      <c r="GO10" s="165">
        <f>'(Bloom Raw Data)'!GR10</f>
        <v>20625</v>
      </c>
      <c r="GP10" s="165">
        <f>'(Bloom Raw Data)'!GS10</f>
        <v>21268</v>
      </c>
      <c r="GQ10" s="165">
        <f>'(Bloom Raw Data)'!GT10</f>
        <v>21346</v>
      </c>
      <c r="GR10" s="165">
        <f>'(Bloom Raw Data)'!GU10</f>
        <v>21513</v>
      </c>
      <c r="GS10" s="165">
        <f>'(Bloom Raw Data)'!GV10</f>
        <v>20494</v>
      </c>
      <c r="GT10" s="165">
        <f>'(Bloom Raw Data)'!GW10</f>
        <v>21301</v>
      </c>
      <c r="GU10" s="11"/>
      <c r="GV10" s="165">
        <f t="shared" si="1"/>
        <v>10549.036145352649</v>
      </c>
      <c r="GW10" s="165">
        <f t="shared" si="1"/>
        <v>10134.007241630725</v>
      </c>
      <c r="GX10" s="165">
        <f t="shared" si="1"/>
        <v>10284.96749071932</v>
      </c>
      <c r="GY10" s="165">
        <f t="shared" si="1"/>
        <v>10314.990640108816</v>
      </c>
      <c r="GZ10" s="165">
        <f t="shared" si="1"/>
        <v>10776.090461549091</v>
      </c>
      <c r="HA10" s="165">
        <f t="shared" si="1"/>
        <v>10809.059339241323</v>
      </c>
      <c r="HB10" s="165">
        <f t="shared" si="1"/>
        <v>10092.046199626771</v>
      </c>
      <c r="HC10" s="165">
        <f t="shared" si="1"/>
        <v>10128.952670400218</v>
      </c>
      <c r="HD10" s="165">
        <f t="shared" si="1"/>
        <v>10939.997492902703</v>
      </c>
      <c r="HE10" s="165">
        <f t="shared" si="1"/>
        <v>10883.918338804608</v>
      </c>
      <c r="HF10" s="165">
        <f t="shared" si="1"/>
        <v>10850.917299561916</v>
      </c>
      <c r="HG10" s="165">
        <f t="shared" si="1"/>
        <v>10717.014587065403</v>
      </c>
      <c r="HH10" s="165">
        <f t="shared" si="1"/>
        <v>10537.962178944397</v>
      </c>
      <c r="HI10" s="165">
        <f t="shared" si="1"/>
        <v>10443.014483746785</v>
      </c>
      <c r="HJ10" s="165">
        <f t="shared" si="1"/>
        <v>10388.989947343227</v>
      </c>
      <c r="HK10" s="11"/>
      <c r="HL10" s="2658">
        <v>1</v>
      </c>
      <c r="HM10" s="166">
        <f>'(Bloom Raw Data)'!HQ10</f>
        <v>5.8493000000000004</v>
      </c>
      <c r="HN10" s="166">
        <f>'(Bloom Raw Data)'!HR10</f>
        <v>6.3597999999999999</v>
      </c>
      <c r="HO10" s="166">
        <f>'(Bloom Raw Data)'!HS10</f>
        <v>6.1060999999999996</v>
      </c>
      <c r="HP10" s="166">
        <f>'(Bloom Raw Data)'!HT10</f>
        <v>6.2808999999999999</v>
      </c>
      <c r="HQ10" s="166">
        <f>'(Bloom Raw Data)'!HU10</f>
        <v>6.1692</v>
      </c>
      <c r="HR10" s="166">
        <f>'(Bloom Raw Data)'!HV10</f>
        <v>6.2121000000000004</v>
      </c>
      <c r="HS10" s="166">
        <f>'(Bloom Raw Data)'!HW10</f>
        <v>6.5754000000000001</v>
      </c>
      <c r="HT10" s="166">
        <f>'(Bloom Raw Data)'!HX10</f>
        <v>6.4329999999999998</v>
      </c>
      <c r="HU10" s="166">
        <f>'(Bloom Raw Data)'!HY10</f>
        <v>5.2751000000000001</v>
      </c>
      <c r="HV10" s="166">
        <f>'(Bloom Raw Data)'!HZ10</f>
        <v>6.8921000000000001</v>
      </c>
      <c r="HW10" s="166">
        <f>'(Bloom Raw Data)'!IA10</f>
        <v>6.2957999999999998</v>
      </c>
      <c r="HX10" s="166">
        <f>'(Bloom Raw Data)'!IB10</f>
        <v>6.5667999999999997</v>
      </c>
      <c r="HY10" s="166">
        <f>'(Bloom Raw Data)'!IC10</f>
        <v>5.7587000000000002</v>
      </c>
      <c r="HZ10" s="166">
        <f>'(Bloom Raw Data)'!ID10</f>
        <v>5.9950999999999999</v>
      </c>
      <c r="IA10" s="166">
        <f>'(Bloom Raw Data)'!IE10</f>
        <v>6.0989000000000004</v>
      </c>
      <c r="IB10" s="72"/>
    </row>
    <row r="11" spans="1:237">
      <c r="A11" s="12" t="s">
        <v>217</v>
      </c>
      <c r="B11" s="11" t="s">
        <v>9</v>
      </c>
      <c r="C11" s="11"/>
      <c r="D11" s="165">
        <f>'(Bloom Raw Data)'!D11</f>
        <v>88965.659</v>
      </c>
      <c r="E11" s="165">
        <f>'(Bloom Raw Data)'!E11</f>
        <v>80052.489799999996</v>
      </c>
      <c r="F11" s="165">
        <f>'(Bloom Raw Data)'!F11</f>
        <v>69623.667400000006</v>
      </c>
      <c r="G11" s="165">
        <f>'(Bloom Raw Data)'!G11</f>
        <v>82904.987299999993</v>
      </c>
      <c r="H11" s="165">
        <f>'(Bloom Raw Data)'!H11</f>
        <v>76491.648499999996</v>
      </c>
      <c r="I11" s="165">
        <f>'(Bloom Raw Data)'!I11</f>
        <v>80622.989300000001</v>
      </c>
      <c r="J11" s="165">
        <f>'(Bloom Raw Data)'!J11</f>
        <v>76948.972599999994</v>
      </c>
      <c r="K11" s="165">
        <f>'(Bloom Raw Data)'!K11</f>
        <v>65835.642300000007</v>
      </c>
      <c r="L11" s="165">
        <f>'(Bloom Raw Data)'!L11</f>
        <v>59961.950599999996</v>
      </c>
      <c r="M11" s="165">
        <f>'(Bloom Raw Data)'!M11</f>
        <v>54950.805</v>
      </c>
      <c r="N11" s="165">
        <f>'(Bloom Raw Data)'!N11</f>
        <v>46913.88</v>
      </c>
      <c r="O11" s="165">
        <f>'(Bloom Raw Data)'!O11</f>
        <v>47216.625</v>
      </c>
      <c r="P11" s="165">
        <f>'(Bloom Raw Data)'!P11</f>
        <v>45887.371299999999</v>
      </c>
      <c r="Q11" s="165">
        <f>'(Bloom Raw Data)'!Q11</f>
        <v>47740.247900000002</v>
      </c>
      <c r="R11" s="165">
        <f>'(Bloom Raw Data)'!R11</f>
        <v>44430.485000000001</v>
      </c>
      <c r="S11" s="11"/>
      <c r="T11" s="165">
        <f>'(Bloom Raw Data)'!U11</f>
        <v>45772</v>
      </c>
      <c r="U11" s="165">
        <f>'(Bloom Raw Data)'!V11</f>
        <v>48411</v>
      </c>
      <c r="V11" s="165">
        <f>'(Bloom Raw Data)'!W11</f>
        <v>52897</v>
      </c>
      <c r="W11" s="165">
        <f>'(Bloom Raw Data)'!X11</f>
        <v>54502</v>
      </c>
      <c r="X11" s="165">
        <f>'(Bloom Raw Data)'!Y11</f>
        <v>55306</v>
      </c>
      <c r="Y11" s="165">
        <f>'(Bloom Raw Data)'!Z11</f>
        <v>53185</v>
      </c>
      <c r="Z11" s="165">
        <f>'(Bloom Raw Data)'!AA11</f>
        <v>54652.654999999999</v>
      </c>
      <c r="AA11" s="165">
        <f>'(Bloom Raw Data)'!AB11</f>
        <v>55568</v>
      </c>
      <c r="AB11" s="165">
        <f>'(Bloom Raw Data)'!AC11</f>
        <v>59551</v>
      </c>
      <c r="AC11" s="165">
        <f>'(Bloom Raw Data)'!AD11</f>
        <v>59505</v>
      </c>
      <c r="AD11" s="165">
        <f>'(Bloom Raw Data)'!AE11</f>
        <v>62058</v>
      </c>
      <c r="AE11" s="165">
        <f>'(Bloom Raw Data)'!AF11</f>
        <v>59435</v>
      </c>
      <c r="AF11" s="165">
        <f>'(Bloom Raw Data)'!AG11</f>
        <v>55134</v>
      </c>
      <c r="AG11" s="165">
        <f>'(Bloom Raw Data)'!AH11</f>
        <v>55359</v>
      </c>
      <c r="AH11" s="165">
        <f>'(Bloom Raw Data)'!AI11</f>
        <v>52965</v>
      </c>
      <c r="AI11" s="11"/>
      <c r="AJ11" s="165">
        <f>'(Bloom Raw Data)'!AL11</f>
        <v>6547</v>
      </c>
      <c r="AK11" s="165">
        <f>'(Bloom Raw Data)'!AP11</f>
        <v>8842</v>
      </c>
      <c r="AL11" s="165">
        <f>'(Bloom Raw Data)'!AT11</f>
        <v>9613</v>
      </c>
      <c r="AM11" s="165">
        <f>'(Bloom Raw Data)'!AX11</f>
        <v>10128</v>
      </c>
      <c r="AN11" s="11"/>
      <c r="AO11" s="166" t="str">
        <f>'(Bloom Raw Data)'!BC11</f>
        <v>#N/A N/A</v>
      </c>
      <c r="AP11" s="166" t="str">
        <f>'(Bloom Raw Data)'!BD11</f>
        <v>#N/A N/A</v>
      </c>
      <c r="AQ11" s="166">
        <f>'(Bloom Raw Data)'!BE11</f>
        <v>5.0190999999999999</v>
      </c>
      <c r="AR11" s="166" t="str">
        <f>'(Bloom Raw Data)'!BF11</f>
        <v>#N/A N/A</v>
      </c>
      <c r="AS11" s="166" t="str">
        <f>'(Bloom Raw Data)'!BG11</f>
        <v>#N/A N/A</v>
      </c>
      <c r="AT11" s="166" t="str">
        <f>'(Bloom Raw Data)'!BH11</f>
        <v>#N/A N/A</v>
      </c>
      <c r="AU11" s="166" t="str">
        <f>'(Bloom Raw Data)'!BI11</f>
        <v>#N/A N/A</v>
      </c>
      <c r="AV11" s="166" t="str">
        <f>'(Bloom Raw Data)'!BJ11</f>
        <v>#N/A N/A</v>
      </c>
      <c r="AW11" s="166" t="str">
        <f>'(Bloom Raw Data)'!BK11</f>
        <v>#N/A N/A</v>
      </c>
      <c r="AX11" s="166" t="str">
        <f>'(Bloom Raw Data)'!BL11</f>
        <v>#N/A N/A</v>
      </c>
      <c r="AY11" s="166" t="str">
        <f>'(Bloom Raw Data)'!BM11</f>
        <v>#N/A N/A</v>
      </c>
      <c r="AZ11" s="166" t="str">
        <f>'(Bloom Raw Data)'!BN11</f>
        <v>#N/A N/A</v>
      </c>
      <c r="BA11" s="166" t="str">
        <f>'(Bloom Raw Data)'!BO11</f>
        <v>#N/A N/A</v>
      </c>
      <c r="BB11" s="166" t="str">
        <f>'(Bloom Raw Data)'!BP11</f>
        <v>#N/A N/A</v>
      </c>
      <c r="BC11" s="166" t="str">
        <f>'(Bloom Raw Data)'!BQ11</f>
        <v>#N/A N/A</v>
      </c>
      <c r="BD11" s="11"/>
      <c r="BE11" s="166">
        <f>'(Bloom Raw Data)'!BT11</f>
        <v>2.0251000000000001</v>
      </c>
      <c r="BF11" s="166">
        <f>'(Bloom Raw Data)'!BU11</f>
        <v>2.1671999999999998</v>
      </c>
      <c r="BG11" s="166">
        <f>'(Bloom Raw Data)'!BV11</f>
        <v>2.3589000000000002</v>
      </c>
      <c r="BH11" s="166">
        <f>'(Bloom Raw Data)'!BW11</f>
        <v>2.4390000000000001</v>
      </c>
      <c r="BI11" s="166">
        <f>'(Bloom Raw Data)'!BX11</f>
        <v>2.1456</v>
      </c>
      <c r="BJ11" s="166">
        <f>'(Bloom Raw Data)'!BY11</f>
        <v>2.0360999999999998</v>
      </c>
      <c r="BK11" s="166">
        <f>'(Bloom Raw Data)'!BZ11</f>
        <v>2.0962999999999998</v>
      </c>
      <c r="BL11" s="166">
        <f>'(Bloom Raw Data)'!CA11</f>
        <v>2.379</v>
      </c>
      <c r="BM11" s="166">
        <f>'(Bloom Raw Data)'!CB11</f>
        <v>3.0708000000000002</v>
      </c>
      <c r="BN11" s="166">
        <f>'(Bloom Raw Data)'!CC11</f>
        <v>3.1507000000000001</v>
      </c>
      <c r="BO11" s="166">
        <f>'(Bloom Raw Data)'!CD11</f>
        <v>3.3624999999999998</v>
      </c>
      <c r="BP11" s="166">
        <f>'(Bloom Raw Data)'!CE11</f>
        <v>2.8433999999999999</v>
      </c>
      <c r="BQ11" s="166">
        <f>'(Bloom Raw Data)'!CF11</f>
        <v>2.5998000000000001</v>
      </c>
      <c r="BR11" s="166">
        <f>'(Bloom Raw Data)'!CG11</f>
        <v>2.6635999999999997</v>
      </c>
      <c r="BS11" s="166">
        <f>'(Bloom Raw Data)'!CH11</f>
        <v>2.6076000000000001</v>
      </c>
      <c r="BT11" s="11"/>
      <c r="BU11" s="165">
        <f>'(Bloom Raw Data)'!CK11</f>
        <v>137277.65900000001</v>
      </c>
      <c r="BV11" s="165">
        <f>'(Bloom Raw Data)'!CL11</f>
        <v>131144.48980000001</v>
      </c>
      <c r="BW11" s="165">
        <f>'(Bloom Raw Data)'!CM11</f>
        <v>125135.6675</v>
      </c>
      <c r="BX11" s="165">
        <f>'(Bloom Raw Data)'!CN11</f>
        <v>146819.98730000001</v>
      </c>
      <c r="BY11" s="165">
        <f>'(Bloom Raw Data)'!CO11</f>
        <v>139029.64850000001</v>
      </c>
      <c r="BZ11" s="165">
        <f>'(Bloom Raw Data)'!CP11</f>
        <v>140089.98929999999</v>
      </c>
      <c r="CA11" s="165">
        <f>'(Bloom Raw Data)'!CQ11</f>
        <v>137325.4656</v>
      </c>
      <c r="CB11" s="165">
        <f>'(Bloom Raw Data)'!CR11</f>
        <v>126630.64230000001</v>
      </c>
      <c r="CC11" s="165">
        <f>'(Bloom Raw Data)'!CS11</f>
        <v>125259.9506</v>
      </c>
      <c r="CD11" s="165">
        <f>'(Bloom Raw Data)'!CT11</f>
        <v>120343.80499999999</v>
      </c>
      <c r="CE11" s="165">
        <f>'(Bloom Raw Data)'!CU11</f>
        <v>114297.88</v>
      </c>
      <c r="CF11" s="165">
        <f>'(Bloom Raw Data)'!CV11</f>
        <v>111955.625</v>
      </c>
      <c r="CG11" s="165">
        <f>'(Bloom Raw Data)'!CW11</f>
        <v>108221.3713</v>
      </c>
      <c r="CH11" s="165">
        <f>'(Bloom Raw Data)'!CX11</f>
        <v>110361.2479</v>
      </c>
      <c r="CI11" s="165">
        <f>'(Bloom Raw Data)'!CY11</f>
        <v>103853.485</v>
      </c>
      <c r="CJ11" s="11"/>
      <c r="CK11" s="165">
        <f t="shared" si="2"/>
        <v>2540.0000000000146</v>
      </c>
      <c r="CL11" s="165">
        <f t="shared" si="3"/>
        <v>2681.0000000000146</v>
      </c>
      <c r="CM11" s="165">
        <f t="shared" si="4"/>
        <v>2615.0000999999902</v>
      </c>
      <c r="CN11" s="165">
        <f t="shared" si="5"/>
        <v>9413.0000000000146</v>
      </c>
      <c r="CO11" s="165">
        <f t="shared" si="6"/>
        <v>7232.0000000000146</v>
      </c>
      <c r="CP11" s="165">
        <f t="shared" si="7"/>
        <v>6281.9999999999854</v>
      </c>
      <c r="CQ11" s="165">
        <f t="shared" si="8"/>
        <v>5723.8380000000034</v>
      </c>
      <c r="CR11" s="165">
        <f t="shared" si="9"/>
        <v>5227</v>
      </c>
      <c r="CS11" s="165">
        <f t="shared" si="10"/>
        <v>5747</v>
      </c>
      <c r="CT11" s="165">
        <f t="shared" si="11"/>
        <v>5887.9999999999927</v>
      </c>
      <c r="CU11" s="165">
        <f t="shared" si="12"/>
        <v>5326</v>
      </c>
      <c r="CV11" s="165">
        <f t="shared" si="13"/>
        <v>5304</v>
      </c>
      <c r="CW11" s="165">
        <f t="shared" si="14"/>
        <v>7200</v>
      </c>
      <c r="CX11" s="165">
        <f t="shared" si="15"/>
        <v>7262</v>
      </c>
      <c r="CY11" s="165">
        <f t="shared" si="16"/>
        <v>6458</v>
      </c>
      <c r="CZ11" s="11"/>
      <c r="DA11" s="166">
        <f>'(Bloom Raw Data)'!DB11</f>
        <v>6.0735000000000001</v>
      </c>
      <c r="DB11" s="166">
        <f>'(Bloom Raw Data)'!DC11</f>
        <v>5.8710000000000004</v>
      </c>
      <c r="DC11" s="166">
        <f>'(Bloom Raw Data)'!DD11</f>
        <v>5.5803000000000003</v>
      </c>
      <c r="DD11" s="166">
        <f>'(Bloom Raw Data)'!DE11</f>
        <v>6.5702999999999996</v>
      </c>
      <c r="DE11" s="166">
        <f>'(Bloom Raw Data)'!DF11</f>
        <v>5.3936000000000002</v>
      </c>
      <c r="DF11" s="166">
        <f>'(Bloom Raw Data)'!DG11</f>
        <v>5.3631000000000002</v>
      </c>
      <c r="DG11" s="166">
        <f>'(Bloom Raw Data)'!DH11</f>
        <v>5.2674000000000003</v>
      </c>
      <c r="DH11" s="166">
        <f>'(Bloom Raw Data)'!DI11</f>
        <v>5.4214000000000002</v>
      </c>
      <c r="DI11" s="166">
        <f>'(Bloom Raw Data)'!DJ11</f>
        <v>6.4592000000000001</v>
      </c>
      <c r="DJ11" s="166">
        <f>'(Bloom Raw Data)'!DK11</f>
        <v>6.3719000000000001</v>
      </c>
      <c r="DK11" s="166">
        <f>'(Bloom Raw Data)'!DL11</f>
        <v>6.1929999999999996</v>
      </c>
      <c r="DL11" s="166">
        <f>'(Bloom Raw Data)'!DM11</f>
        <v>5.3559999999999999</v>
      </c>
      <c r="DM11" s="166">
        <f>'(Bloom Raw Data)'!DN11</f>
        <v>5.1032000000000002</v>
      </c>
      <c r="DN11" s="166">
        <f>'(Bloom Raw Data)'!DO11</f>
        <v>5.31</v>
      </c>
      <c r="DO11" s="166">
        <f>'(Bloom Raw Data)'!DP11</f>
        <v>5.1130000000000004</v>
      </c>
      <c r="DP11" s="11"/>
      <c r="DQ11" s="11"/>
      <c r="DR11" s="166">
        <f>'(Bloom Raw Data)'!DS11</f>
        <v>2.4198</v>
      </c>
      <c r="DS11" s="166">
        <f>'(Bloom Raw Data)'!DT11</f>
        <v>2.3024</v>
      </c>
      <c r="DT11" s="166">
        <f>'(Bloom Raw Data)'!DU11</f>
        <v>2.1501999999999999</v>
      </c>
      <c r="DU11" s="166">
        <f>'(Bloom Raw Data)'!DV11</f>
        <v>2.4763000000000002</v>
      </c>
      <c r="DV11" s="166">
        <f>'(Bloom Raw Data)'!DW11</f>
        <v>2.2890000000000001</v>
      </c>
      <c r="DW11" s="166">
        <f>'(Bloom Raw Data)'!DX11</f>
        <v>2.2507999999999999</v>
      </c>
      <c r="DX11" s="166">
        <f>'(Bloom Raw Data)'!DY11</f>
        <v>2.1947000000000001</v>
      </c>
      <c r="DY11" s="166">
        <f>'(Bloom Raw Data)'!DZ11</f>
        <v>2.0059</v>
      </c>
      <c r="DZ11" s="166">
        <f>'(Bloom Raw Data)'!EA11</f>
        <v>1.9933999999999998</v>
      </c>
      <c r="EA11" s="166">
        <f>'(Bloom Raw Data)'!EB11</f>
        <v>1.9129</v>
      </c>
      <c r="EB11" s="166">
        <f>'(Bloom Raw Data)'!EC11</f>
        <v>1.8162</v>
      </c>
      <c r="EC11" s="166">
        <f>'(Bloom Raw Data)'!ED11</f>
        <v>1.786</v>
      </c>
      <c r="ED11" s="166">
        <f>'(Bloom Raw Data)'!EE11</f>
        <v>1.7355</v>
      </c>
      <c r="EE11" s="166">
        <f>'(Bloom Raw Data)'!EF11</f>
        <v>1.8096000000000001</v>
      </c>
      <c r="EF11" s="166">
        <f>'(Bloom Raw Data)'!EG11</f>
        <v>1.7326999999999999</v>
      </c>
      <c r="EG11" s="11"/>
      <c r="EH11" s="165" t="str">
        <f>'(Bloom Raw Data)'!EJ11</f>
        <v>#N/A N/A</v>
      </c>
      <c r="EI11" s="165">
        <f>'(Bloom Raw Data)'!EK11</f>
        <v>10.051</v>
      </c>
      <c r="EJ11" s="165">
        <f>'(Bloom Raw Data)'!EL11</f>
        <v>8.5030999999999999</v>
      </c>
      <c r="EK11" s="165">
        <f>'(Bloom Raw Data)'!EM11</f>
        <v>7.2839</v>
      </c>
      <c r="EL11" s="165" t="str">
        <f>'(Bloom Raw Data)'!EN11</f>
        <v>#N/A N/A</v>
      </c>
      <c r="EM11" s="165">
        <f>'(Bloom Raw Data)'!EO11</f>
        <v>7.6563999999999997</v>
      </c>
      <c r="EN11" s="165">
        <f>'(Bloom Raw Data)'!EP11</f>
        <v>7.7541000000000002</v>
      </c>
      <c r="EO11" s="165">
        <f>'(Bloom Raw Data)'!EQ11</f>
        <v>15.699199999999999</v>
      </c>
      <c r="EP11" s="165" t="str">
        <f>'(Bloom Raw Data)'!ER11</f>
        <v>#N/A N/A</v>
      </c>
      <c r="EQ11" s="165" t="str">
        <f>'(Bloom Raw Data)'!ES11</f>
        <v>#N/A N/A</v>
      </c>
      <c r="ER11" s="165" t="str">
        <f>'(Bloom Raw Data)'!ET11</f>
        <v>#N/A N/A</v>
      </c>
      <c r="ES11" s="165" t="str">
        <f>'(Bloom Raw Data)'!EU11</f>
        <v>#N/A N/A</v>
      </c>
      <c r="ET11" s="165">
        <f>'(Bloom Raw Data)'!EV11</f>
        <v>11.6455</v>
      </c>
      <c r="EU11" s="165" t="str">
        <f>'(Bloom Raw Data)'!EW11</f>
        <v>#N/A N/A</v>
      </c>
      <c r="EV11" s="165" t="str">
        <f>'(Bloom Raw Data)'!EX11</f>
        <v>#N/A N/A</v>
      </c>
      <c r="EW11" s="11"/>
      <c r="EX11" s="11"/>
      <c r="EY11" s="165">
        <f>'(Bloom Raw Data)'!FR11</f>
        <v>9113</v>
      </c>
      <c r="EZ11" s="165">
        <f>'(Bloom Raw Data)'!FS11</f>
        <v>7882</v>
      </c>
      <c r="FA11" s="165">
        <f>'(Bloom Raw Data)'!FT11</f>
        <v>6654</v>
      </c>
      <c r="FB11" s="165">
        <f>'(Bloom Raw Data)'!FU11</f>
        <v>4359</v>
      </c>
      <c r="FC11" s="165">
        <f>'(Bloom Raw Data)'!FV11</f>
        <v>4220</v>
      </c>
      <c r="FD11" s="165">
        <f>'(Bloom Raw Data)'!FW11</f>
        <v>5507</v>
      </c>
      <c r="FE11" s="165">
        <f>'(Bloom Raw Data)'!FX11</f>
        <v>3193.5169999999998</v>
      </c>
      <c r="FF11" s="165">
        <f>'(Bloom Raw Data)'!FY11</f>
        <v>3354</v>
      </c>
      <c r="FG11" s="165">
        <f>'(Bloom Raw Data)'!FZ11</f>
        <v>4135</v>
      </c>
      <c r="FH11" s="165">
        <f>'(Bloom Raw Data)'!GA11</f>
        <v>5729</v>
      </c>
      <c r="FI11" s="165">
        <f>'(Bloom Raw Data)'!GB11</f>
        <v>4003</v>
      </c>
      <c r="FJ11" s="165">
        <f>'(Bloom Raw Data)'!GC11</f>
        <v>7123</v>
      </c>
      <c r="FK11" s="165">
        <f>'(Bloom Raw Data)'!GD11</f>
        <v>9847</v>
      </c>
      <c r="FL11" s="165">
        <f>'(Bloom Raw Data)'!GE11</f>
        <v>6167</v>
      </c>
      <c r="FM11" s="165">
        <f>'(Bloom Raw Data)'!GF11</f>
        <v>7740</v>
      </c>
      <c r="FN11" s="11"/>
      <c r="FO11" s="166" t="str">
        <f>'(Bloom Raw Data)'!FA11</f>
        <v>#N/A N/A</v>
      </c>
      <c r="FP11" s="166">
        <f>'(Bloom Raw Data)'!FB11</f>
        <v>3.6615000000000002</v>
      </c>
      <c r="FQ11" s="166">
        <f>'(Bloom Raw Data)'!FC11</f>
        <v>3.4919000000000002</v>
      </c>
      <c r="FR11" s="166">
        <f>'(Bloom Raw Data)'!FD11</f>
        <v>3.6089000000000002</v>
      </c>
      <c r="FS11" s="166" t="str">
        <f>'(Bloom Raw Data)'!FE11</f>
        <v>#N/A N/A</v>
      </c>
      <c r="FT11" s="166">
        <f>'(Bloom Raw Data)'!FF11</f>
        <v>3.1139000000000001</v>
      </c>
      <c r="FU11" s="166">
        <f>'(Bloom Raw Data)'!FG11</f>
        <v>3.6791</v>
      </c>
      <c r="FV11" s="166">
        <f>'(Bloom Raw Data)'!FH11</f>
        <v>3.5662000000000003</v>
      </c>
      <c r="FW11" s="166" t="str">
        <f>'(Bloom Raw Data)'!FI11</f>
        <v>#N/A N/A</v>
      </c>
      <c r="FX11" s="166" t="str">
        <f>'(Bloom Raw Data)'!FJ11</f>
        <v>#N/A N/A</v>
      </c>
      <c r="FY11" s="166" t="str">
        <f>'(Bloom Raw Data)'!FK11</f>
        <v>#N/A N/A</v>
      </c>
      <c r="FZ11" s="166" t="str">
        <f>'(Bloom Raw Data)'!FL11</f>
        <v>#N/A N/A</v>
      </c>
      <c r="GA11" s="166">
        <f>'(Bloom Raw Data)'!FM11</f>
        <v>2.2427000000000001</v>
      </c>
      <c r="GB11" s="166" t="str">
        <f>'(Bloom Raw Data)'!FN11</f>
        <v>#N/A N/A</v>
      </c>
      <c r="GC11" s="166" t="str">
        <f>'(Bloom Raw Data)'!FO11</f>
        <v>#N/A N/A</v>
      </c>
      <c r="GD11" s="174"/>
      <c r="GE11" s="174"/>
      <c r="GF11" s="165">
        <f>'(Bloom Raw Data)'!GI11</f>
        <v>24274</v>
      </c>
      <c r="GG11" s="165">
        <f>'(Bloom Raw Data)'!GJ11</f>
        <v>23926</v>
      </c>
      <c r="GH11" s="165">
        <f>'(Bloom Raw Data)'!GK11</f>
        <v>21990</v>
      </c>
      <c r="GI11" s="165">
        <f>'(Bloom Raw Data)'!GL11</f>
        <v>31736</v>
      </c>
      <c r="GJ11" s="165">
        <f>'(Bloom Raw Data)'!GM11</f>
        <v>31684</v>
      </c>
      <c r="GK11" s="165">
        <f>'(Bloom Raw Data)'!GN11</f>
        <v>31441</v>
      </c>
      <c r="GL11" s="165">
        <f>'(Bloom Raw Data)'!GO11</f>
        <v>26047.917000000001</v>
      </c>
      <c r="GM11" s="165">
        <f>'(Bloom Raw Data)'!GP11</f>
        <v>23166</v>
      </c>
      <c r="GN11" s="165">
        <f>'(Bloom Raw Data)'!GQ11</f>
        <v>27383</v>
      </c>
      <c r="GO11" s="165">
        <f>'(Bloom Raw Data)'!GR11</f>
        <v>27551</v>
      </c>
      <c r="GP11" s="165">
        <f>'(Bloom Raw Data)'!GS11</f>
        <v>26026</v>
      </c>
      <c r="GQ11" s="165">
        <f>'(Bloom Raw Data)'!GT11</f>
        <v>26194</v>
      </c>
      <c r="GR11" s="165">
        <f>'(Bloom Raw Data)'!GU11</f>
        <v>27661</v>
      </c>
      <c r="GS11" s="165">
        <f>'(Bloom Raw Data)'!GV11</f>
        <v>28667</v>
      </c>
      <c r="GT11" s="165">
        <f>'(Bloom Raw Data)'!GW11</f>
        <v>25079</v>
      </c>
      <c r="GU11" s="11"/>
      <c r="GV11" s="165">
        <f t="shared" si="1"/>
        <v>22602.72643451058</v>
      </c>
      <c r="GW11" s="165">
        <f t="shared" si="1"/>
        <v>22337.674978708907</v>
      </c>
      <c r="GX11" s="165">
        <f t="shared" si="1"/>
        <v>22424.54124330233</v>
      </c>
      <c r="GY11" s="165">
        <f t="shared" si="1"/>
        <v>22346.009664703288</v>
      </c>
      <c r="GZ11" s="165">
        <f t="shared" si="1"/>
        <v>25776.781463215662</v>
      </c>
      <c r="HA11" s="165">
        <f t="shared" si="1"/>
        <v>26121.084689824911</v>
      </c>
      <c r="HB11" s="165">
        <f t="shared" si="1"/>
        <v>26070.825378744728</v>
      </c>
      <c r="HC11" s="165">
        <f t="shared" si="1"/>
        <v>23357.553823735569</v>
      </c>
      <c r="HD11" s="165">
        <f t="shared" si="1"/>
        <v>19392.486778548428</v>
      </c>
      <c r="HE11" s="165">
        <f t="shared" si="1"/>
        <v>18886.643701250803</v>
      </c>
      <c r="HF11" s="165">
        <f t="shared" si="1"/>
        <v>18455.979331503313</v>
      </c>
      <c r="HG11" s="165">
        <f t="shared" si="1"/>
        <v>20902.842606422702</v>
      </c>
      <c r="HH11" s="165">
        <f t="shared" si="1"/>
        <v>21206.570641950148</v>
      </c>
      <c r="HI11" s="165">
        <f t="shared" si="1"/>
        <v>20783.6625047081</v>
      </c>
      <c r="HJ11" s="165">
        <f t="shared" si="1"/>
        <v>20311.65362800704</v>
      </c>
      <c r="HK11" s="11"/>
      <c r="HL11" s="2658"/>
      <c r="HM11" s="166">
        <f>'(Bloom Raw Data)'!HQ11</f>
        <v>6.9020000000000001</v>
      </c>
      <c r="HN11" s="166">
        <f>'(Bloom Raw Data)'!HR11</f>
        <v>6.9068000000000005</v>
      </c>
      <c r="HO11" s="166">
        <f>'(Bloom Raw Data)'!HS11</f>
        <v>7.7519</v>
      </c>
      <c r="HP11" s="166">
        <f>'(Bloom Raw Data)'!HT11</f>
        <v>7.3968999999999996</v>
      </c>
      <c r="HQ11" s="166">
        <f>'(Bloom Raw Data)'!HU11</f>
        <v>7.2126999999999999</v>
      </c>
      <c r="HR11" s="166">
        <f>'(Bloom Raw Data)'!HV11</f>
        <v>7.7008000000000001</v>
      </c>
      <c r="HS11" s="166">
        <f>'(Bloom Raw Data)'!HW11</f>
        <v>7.7841000000000005</v>
      </c>
      <c r="HT11" s="166">
        <f>'(Bloom Raw Data)'!HX11</f>
        <v>7.9416000000000002</v>
      </c>
      <c r="HU11" s="166">
        <f>'(Bloom Raw Data)'!HY11</f>
        <v>7.7706999999999997</v>
      </c>
      <c r="HV11" s="166">
        <f>'(Bloom Raw Data)'!HZ11</f>
        <v>7.2561</v>
      </c>
      <c r="HW11" s="166">
        <f>'(Bloom Raw Data)'!IA11</f>
        <v>7.1321000000000003</v>
      </c>
      <c r="HX11" s="166">
        <f>'(Bloom Raw Data)'!IB11</f>
        <v>6.9469000000000003</v>
      </c>
      <c r="HY11" s="166">
        <f>'(Bloom Raw Data)'!IC11</f>
        <v>6.4795999999999996</v>
      </c>
      <c r="HZ11" s="166">
        <f>'(Bloom Raw Data)'!ID11</f>
        <v>8.1409000000000002</v>
      </c>
      <c r="IA11" s="166">
        <f>'(Bloom Raw Data)'!IE11</f>
        <v>7.5750999999999999</v>
      </c>
      <c r="IB11" s="72"/>
    </row>
    <row r="12" spans="1:237">
      <c r="A12" s="11" t="s">
        <v>73</v>
      </c>
      <c r="B12" s="11" t="s">
        <v>84</v>
      </c>
      <c r="C12" s="11"/>
      <c r="D12" s="165">
        <f>'(Bloom Raw Data)'!D12</f>
        <v>2483.6786000000002</v>
      </c>
      <c r="E12" s="165">
        <f>'(Bloom Raw Data)'!E12</f>
        <v>2378.6932999999999</v>
      </c>
      <c r="F12" s="165">
        <f>'(Bloom Raw Data)'!F12</f>
        <v>2215.0933</v>
      </c>
      <c r="G12" s="165">
        <f>'(Bloom Raw Data)'!G12</f>
        <v>2624.7764000000002</v>
      </c>
      <c r="H12" s="165">
        <f>'(Bloom Raw Data)'!H12</f>
        <v>2705.8244</v>
      </c>
      <c r="I12" s="165">
        <f>'(Bloom Raw Data)'!I12</f>
        <v>2420.9623999999999</v>
      </c>
      <c r="J12" s="165">
        <f>'(Bloom Raw Data)'!J12</f>
        <v>2313.2302</v>
      </c>
      <c r="K12" s="165">
        <f>'(Bloom Raw Data)'!K12</f>
        <v>2556.6212</v>
      </c>
      <c r="L12" s="165">
        <f>'(Bloom Raw Data)'!L12</f>
        <v>2519.9494</v>
      </c>
      <c r="M12" s="165">
        <f>'(Bloom Raw Data)'!M12</f>
        <v>2810.1484</v>
      </c>
      <c r="N12" s="165">
        <f>'(Bloom Raw Data)'!N12</f>
        <v>2487.5765000000001</v>
      </c>
      <c r="O12" s="165">
        <f>'(Bloom Raw Data)'!O12</f>
        <v>2755.4386</v>
      </c>
      <c r="P12" s="165">
        <f>'(Bloom Raw Data)'!P12</f>
        <v>2624.5967999999998</v>
      </c>
      <c r="Q12" s="165">
        <f>'(Bloom Raw Data)'!Q12</f>
        <v>2273.2725999999998</v>
      </c>
      <c r="R12" s="165">
        <f>'(Bloom Raw Data)'!R12</f>
        <v>2364.3629999999998</v>
      </c>
      <c r="S12" s="11"/>
      <c r="T12" s="165">
        <f>'(Bloom Raw Data)'!U12</f>
        <v>718.5</v>
      </c>
      <c r="U12" s="165">
        <f>'(Bloom Raw Data)'!V12</f>
        <v>817.3</v>
      </c>
      <c r="V12" s="165">
        <f>'(Bloom Raw Data)'!W12</f>
        <v>752.5</v>
      </c>
      <c r="W12" s="165">
        <f>'(Bloom Raw Data)'!X12</f>
        <v>724.8</v>
      </c>
      <c r="X12" s="165">
        <f>'(Bloom Raw Data)'!Y12</f>
        <v>776.3</v>
      </c>
      <c r="Y12" s="165">
        <f>'(Bloom Raw Data)'!Z12</f>
        <v>751.6</v>
      </c>
      <c r="Z12" s="165">
        <f>'(Bloom Raw Data)'!AA12</f>
        <v>845.4</v>
      </c>
      <c r="AA12" s="165">
        <f>'(Bloom Raw Data)'!AB12</f>
        <v>556.70000000000005</v>
      </c>
      <c r="AB12" s="165">
        <f>'(Bloom Raw Data)'!AC12</f>
        <v>788.1</v>
      </c>
      <c r="AC12" s="165">
        <f>'(Bloom Raw Data)'!AD12</f>
        <v>753.8</v>
      </c>
      <c r="AD12" s="165">
        <f>'(Bloom Raw Data)'!AE12</f>
        <v>909.1</v>
      </c>
      <c r="AE12" s="165">
        <f>'(Bloom Raw Data)'!AF12</f>
        <v>874.2</v>
      </c>
      <c r="AF12" s="165">
        <f>'(Bloom Raw Data)'!AG12</f>
        <v>838.6</v>
      </c>
      <c r="AG12" s="165">
        <f>'(Bloom Raw Data)'!AH12</f>
        <v>807.4</v>
      </c>
      <c r="AH12" s="165">
        <f>'(Bloom Raw Data)'!AI12</f>
        <v>1042.4000000000001</v>
      </c>
      <c r="AI12" s="11"/>
      <c r="AJ12" s="165">
        <f>'(Bloom Raw Data)'!AL12</f>
        <v>67.5</v>
      </c>
      <c r="AK12" s="165">
        <f>'(Bloom Raw Data)'!AP12</f>
        <v>61.7</v>
      </c>
      <c r="AL12" s="165">
        <f>'(Bloom Raw Data)'!AT12</f>
        <v>182.6</v>
      </c>
      <c r="AM12" s="165">
        <f>'(Bloom Raw Data)'!AX12</f>
        <v>90.5</v>
      </c>
      <c r="AN12" s="11"/>
      <c r="AO12" s="166" t="str">
        <f>'(Bloom Raw Data)'!BC12</f>
        <v>#N/A N/A</v>
      </c>
      <c r="AP12" s="166" t="str">
        <f>'(Bloom Raw Data)'!BD12</f>
        <v>#N/A N/A</v>
      </c>
      <c r="AQ12" s="166" t="str">
        <f>'(Bloom Raw Data)'!BE12</f>
        <v>#N/A N/A</v>
      </c>
      <c r="AR12" s="166" t="str">
        <f>'(Bloom Raw Data)'!BF12</f>
        <v>#N/A N/A</v>
      </c>
      <c r="AS12" s="166" t="str">
        <f>'(Bloom Raw Data)'!BG12</f>
        <v>#N/A N/A</v>
      </c>
      <c r="AT12" s="166" t="str">
        <f>'(Bloom Raw Data)'!BH12</f>
        <v>#N/A N/A</v>
      </c>
      <c r="AU12" s="166" t="str">
        <f>'(Bloom Raw Data)'!BI12</f>
        <v>#N/A N/A</v>
      </c>
      <c r="AV12" s="166" t="str">
        <f>'(Bloom Raw Data)'!BJ12</f>
        <v>#N/A N/A</v>
      </c>
      <c r="AW12" s="166" t="str">
        <f>'(Bloom Raw Data)'!BK12</f>
        <v>#N/A N/A</v>
      </c>
      <c r="AX12" s="166" t="str">
        <f>'(Bloom Raw Data)'!BL12</f>
        <v>#N/A N/A</v>
      </c>
      <c r="AY12" s="166" t="str">
        <f>'(Bloom Raw Data)'!BM12</f>
        <v>#N/A N/A</v>
      </c>
      <c r="AZ12" s="166" t="str">
        <f>'(Bloom Raw Data)'!BN12</f>
        <v>#N/A N/A</v>
      </c>
      <c r="BA12" s="166" t="str">
        <f>'(Bloom Raw Data)'!BO12</f>
        <v>#N/A N/A</v>
      </c>
      <c r="BB12" s="166" t="str">
        <f>'(Bloom Raw Data)'!BP12</f>
        <v>#N/A N/A</v>
      </c>
      <c r="BC12" s="166" t="str">
        <f>'(Bloom Raw Data)'!BQ12</f>
        <v>#N/A N/A</v>
      </c>
      <c r="BD12" s="11"/>
      <c r="BE12" s="166">
        <f>'(Bloom Raw Data)'!BT12</f>
        <v>1.4876</v>
      </c>
      <c r="BF12" s="166">
        <f>'(Bloom Raw Data)'!BU12</f>
        <v>1.6893</v>
      </c>
      <c r="BG12" s="166">
        <f>'(Bloom Raw Data)'!BV12</f>
        <v>1.5487</v>
      </c>
      <c r="BH12" s="166">
        <f>'(Bloom Raw Data)'!BW12</f>
        <v>1.504</v>
      </c>
      <c r="BI12" s="166">
        <f>'(Bloom Raw Data)'!BX12</f>
        <v>1.6015999999999999</v>
      </c>
      <c r="BJ12" s="166">
        <f>'(Bloom Raw Data)'!BY12</f>
        <v>1.5446</v>
      </c>
      <c r="BK12" s="166">
        <f>'(Bloom Raw Data)'!BZ12</f>
        <v>1.7278</v>
      </c>
      <c r="BL12" s="166">
        <f>'(Bloom Raw Data)'!CA12</f>
        <v>1.1203000000000001</v>
      </c>
      <c r="BM12" s="166">
        <f>'(Bloom Raw Data)'!CB12</f>
        <v>1.5655999999999999</v>
      </c>
      <c r="BN12" s="166">
        <f>'(Bloom Raw Data)'!CC12</f>
        <v>1.4870999999999999</v>
      </c>
      <c r="BO12" s="166">
        <f>'(Bloom Raw Data)'!CD12</f>
        <v>1.7909999999999999</v>
      </c>
      <c r="BP12" s="166">
        <f>'(Bloom Raw Data)'!CE12</f>
        <v>1.7246000000000001</v>
      </c>
      <c r="BQ12" s="166">
        <f>'(Bloom Raw Data)'!CF12</f>
        <v>1.6739000000000002</v>
      </c>
      <c r="BR12" s="166">
        <f>'(Bloom Raw Data)'!CG12</f>
        <v>1.6518000000000002</v>
      </c>
      <c r="BS12" s="166">
        <f>'(Bloom Raw Data)'!CH12</f>
        <v>2.1326000000000001</v>
      </c>
      <c r="BT12" s="11"/>
      <c r="BU12" s="165">
        <f>'(Bloom Raw Data)'!CK12</f>
        <v>3202.9785999999999</v>
      </c>
      <c r="BV12" s="165">
        <f>'(Bloom Raw Data)'!CL12</f>
        <v>3196.9933000000001</v>
      </c>
      <c r="BW12" s="165">
        <f>'(Bloom Raw Data)'!CM12</f>
        <v>2970.8933000000002</v>
      </c>
      <c r="BX12" s="165">
        <f>'(Bloom Raw Data)'!CN12</f>
        <v>3352.2764000000002</v>
      </c>
      <c r="BY12" s="165">
        <f>'(Bloom Raw Data)'!CO12</f>
        <v>3485.2244000000001</v>
      </c>
      <c r="BZ12" s="165">
        <f>'(Bloom Raw Data)'!CP12</f>
        <v>3175.6624000000002</v>
      </c>
      <c r="CA12" s="165">
        <f>'(Bloom Raw Data)'!CQ12</f>
        <v>3162.5302000000001</v>
      </c>
      <c r="CB12" s="165">
        <f>'(Bloom Raw Data)'!CR12</f>
        <v>3116.7212</v>
      </c>
      <c r="CC12" s="165">
        <f>'(Bloom Raw Data)'!CS12</f>
        <v>3311.5493999999999</v>
      </c>
      <c r="CD12" s="165">
        <f>'(Bloom Raw Data)'!CT12</f>
        <v>3567.2483999999999</v>
      </c>
      <c r="CE12" s="165">
        <f>'(Bloom Raw Data)'!CU12</f>
        <v>3399.2764999999999</v>
      </c>
      <c r="CF12" s="165">
        <f>'(Bloom Raw Data)'!CV12</f>
        <v>3632.1386000000002</v>
      </c>
      <c r="CG12" s="165">
        <f>'(Bloom Raw Data)'!CW12</f>
        <v>3465.9967999999999</v>
      </c>
      <c r="CH12" s="165">
        <f>'(Bloom Raw Data)'!CX12</f>
        <v>3083.4726000000001</v>
      </c>
      <c r="CI12" s="165">
        <f>'(Bloom Raw Data)'!CY12</f>
        <v>3433.7629999999999</v>
      </c>
      <c r="CJ12" s="11"/>
      <c r="CK12" s="165">
        <f t="shared" si="2"/>
        <v>0.79999999999972715</v>
      </c>
      <c r="CL12" s="165">
        <f t="shared" si="3"/>
        <v>1.0000000000002274</v>
      </c>
      <c r="CM12" s="165">
        <f t="shared" si="4"/>
        <v>3.3000000000001819</v>
      </c>
      <c r="CN12" s="165">
        <f t="shared" si="5"/>
        <v>2.7000000000000455</v>
      </c>
      <c r="CO12" s="165">
        <f t="shared" si="6"/>
        <v>3.1000000000001364</v>
      </c>
      <c r="CP12" s="165">
        <f t="shared" si="7"/>
        <v>3.1000000000002501</v>
      </c>
      <c r="CQ12" s="165">
        <f t="shared" si="8"/>
        <v>3.9000000000002046</v>
      </c>
      <c r="CR12" s="165">
        <f t="shared" si="9"/>
        <v>3.3999999999998636</v>
      </c>
      <c r="CS12" s="165">
        <f t="shared" si="10"/>
        <v>3.4999999999998863</v>
      </c>
      <c r="CT12" s="165">
        <f t="shared" si="11"/>
        <v>3.2999999999999545</v>
      </c>
      <c r="CU12" s="165">
        <f t="shared" si="12"/>
        <v>2.5999999999997954</v>
      </c>
      <c r="CV12" s="165">
        <f t="shared" si="13"/>
        <v>2.5000000000002274</v>
      </c>
      <c r="CW12" s="165">
        <f t="shared" si="14"/>
        <v>2.8000000000000682</v>
      </c>
      <c r="CX12" s="165">
        <f t="shared" si="15"/>
        <v>2.8000000000002956</v>
      </c>
      <c r="CY12" s="165">
        <f t="shared" si="16"/>
        <v>27</v>
      </c>
      <c r="CZ12" s="11"/>
      <c r="DA12" s="166">
        <f>'(Bloom Raw Data)'!DB12</f>
        <v>6.6314000000000002</v>
      </c>
      <c r="DB12" s="166">
        <f>'(Bloom Raw Data)'!DC12</f>
        <v>6.6081000000000003</v>
      </c>
      <c r="DC12" s="166">
        <f>'(Bloom Raw Data)'!DD12</f>
        <v>6.1142000000000003</v>
      </c>
      <c r="DD12" s="166">
        <f>'(Bloom Raw Data)'!DE12</f>
        <v>6.9564000000000004</v>
      </c>
      <c r="DE12" s="166">
        <f>'(Bloom Raw Data)'!DF12</f>
        <v>7.1905000000000001</v>
      </c>
      <c r="DF12" s="166">
        <f>'(Bloom Raw Data)'!DG12</f>
        <v>6.5262000000000002</v>
      </c>
      <c r="DG12" s="166">
        <f>'(Bloom Raw Data)'!DH12</f>
        <v>6.4634</v>
      </c>
      <c r="DH12" s="166">
        <f>'(Bloom Raw Data)'!DI12</f>
        <v>6.2722999999999995</v>
      </c>
      <c r="DI12" s="166">
        <f>'(Bloom Raw Data)'!DJ12</f>
        <v>6.5784000000000002</v>
      </c>
      <c r="DJ12" s="166">
        <f>'(Bloom Raw Data)'!DK12</f>
        <v>7.0373999999999999</v>
      </c>
      <c r="DK12" s="166">
        <f>'(Bloom Raw Data)'!DL12</f>
        <v>6.6967999999999996</v>
      </c>
      <c r="DL12" s="166">
        <f>'(Bloom Raw Data)'!DM12</f>
        <v>7.1654</v>
      </c>
      <c r="DM12" s="166">
        <f>'(Bloom Raw Data)'!DN12</f>
        <v>6.9181999999999997</v>
      </c>
      <c r="DN12" s="166">
        <f>'(Bloom Raw Data)'!DO12</f>
        <v>6.3083</v>
      </c>
      <c r="DO12" s="166">
        <f>'(Bloom Raw Data)'!DP12</f>
        <v>7.0248999999999997</v>
      </c>
      <c r="DP12" s="11"/>
      <c r="DQ12" s="11"/>
      <c r="DR12" s="166">
        <f>'(Bloom Raw Data)'!DS12</f>
        <v>2.2391999999999999</v>
      </c>
      <c r="DS12" s="166">
        <f>'(Bloom Raw Data)'!DT12</f>
        <v>2.2319</v>
      </c>
      <c r="DT12" s="166">
        <f>'(Bloom Raw Data)'!DU12</f>
        <v>2.0605000000000002</v>
      </c>
      <c r="DU12" s="166">
        <f>'(Bloom Raw Data)'!DV12</f>
        <v>2.3191000000000002</v>
      </c>
      <c r="DV12" s="166">
        <f>'(Bloom Raw Data)'!DW12</f>
        <v>2.3818999999999999</v>
      </c>
      <c r="DW12" s="166">
        <f>'(Bloom Raw Data)'!DX12</f>
        <v>2.1398999999999999</v>
      </c>
      <c r="DX12" s="166">
        <f>'(Bloom Raw Data)'!DY12</f>
        <v>2.1118999999999999</v>
      </c>
      <c r="DY12" s="166">
        <f>'(Bloom Raw Data)'!DZ12</f>
        <v>2.0615000000000001</v>
      </c>
      <c r="DZ12" s="166">
        <f>'(Bloom Raw Data)'!EA12</f>
        <v>2.1644000000000001</v>
      </c>
      <c r="EA12" s="166">
        <f>'(Bloom Raw Data)'!EB12</f>
        <v>2.3199000000000001</v>
      </c>
      <c r="EB12" s="166">
        <f>'(Bloom Raw Data)'!EC12</f>
        <v>2.1941000000000002</v>
      </c>
      <c r="EC12" s="166">
        <f>'(Bloom Raw Data)'!ED12</f>
        <v>2.3308</v>
      </c>
      <c r="ED12" s="166">
        <f>'(Bloom Raw Data)'!EE12</f>
        <v>2.2311999999999999</v>
      </c>
      <c r="EE12" s="166">
        <f>'(Bloom Raw Data)'!EF12</f>
        <v>2.0110999999999999</v>
      </c>
      <c r="EF12" s="166">
        <f>'(Bloom Raw Data)'!EG12</f>
        <v>2.2385999999999999</v>
      </c>
      <c r="EG12" s="11"/>
      <c r="EH12" s="165" t="str">
        <f>'(Bloom Raw Data)'!EJ12</f>
        <v>#N/A N/A</v>
      </c>
      <c r="EI12" s="165">
        <f>'(Bloom Raw Data)'!EK12</f>
        <v>15.650600000000001</v>
      </c>
      <c r="EJ12" s="165">
        <f>'(Bloom Raw Data)'!EL12</f>
        <v>14.8477</v>
      </c>
      <c r="EK12" s="165">
        <f>'(Bloom Raw Data)'!EM12</f>
        <v>17.815300000000001</v>
      </c>
      <c r="EL12" s="165" t="str">
        <f>'(Bloom Raw Data)'!EN12</f>
        <v>#N/A N/A</v>
      </c>
      <c r="EM12" s="165">
        <f>'(Bloom Raw Data)'!EO12</f>
        <v>12.794599999999999</v>
      </c>
      <c r="EN12" s="165">
        <f>'(Bloom Raw Data)'!EP12</f>
        <v>11.863</v>
      </c>
      <c r="EO12" s="165">
        <f>'(Bloom Raw Data)'!EQ12</f>
        <v>11.8933</v>
      </c>
      <c r="EP12" s="165" t="str">
        <f>'(Bloom Raw Data)'!ER12</f>
        <v>#N/A N/A</v>
      </c>
      <c r="EQ12" s="165" t="str">
        <f>'(Bloom Raw Data)'!ES12</f>
        <v>#N/A N/A</v>
      </c>
      <c r="ER12" s="165" t="str">
        <f>'(Bloom Raw Data)'!ET12</f>
        <v>#N/A N/A</v>
      </c>
      <c r="ES12" s="165" t="str">
        <f>'(Bloom Raw Data)'!EU12</f>
        <v>#N/A N/A</v>
      </c>
      <c r="ET12" s="165" t="str">
        <f>'(Bloom Raw Data)'!EV12</f>
        <v>#N/A N/A</v>
      </c>
      <c r="EU12" s="165" t="str">
        <f>'(Bloom Raw Data)'!EW12</f>
        <v>#N/A N/A</v>
      </c>
      <c r="EV12" s="165" t="str">
        <f>'(Bloom Raw Data)'!EX12</f>
        <v>#N/A N/A</v>
      </c>
      <c r="EW12" s="11"/>
      <c r="EX12" s="11"/>
      <c r="EY12" s="165">
        <f>'(Bloom Raw Data)'!FR12</f>
        <v>31</v>
      </c>
      <c r="EZ12" s="165">
        <f>'(Bloom Raw Data)'!FS12</f>
        <v>26.2</v>
      </c>
      <c r="FA12" s="165">
        <f>'(Bloom Raw Data)'!FT12</f>
        <v>31.6</v>
      </c>
      <c r="FB12" s="165">
        <f>'(Bloom Raw Data)'!FU12</f>
        <v>17.100000000000001</v>
      </c>
      <c r="FC12" s="165">
        <f>'(Bloom Raw Data)'!FV12</f>
        <v>31.8</v>
      </c>
      <c r="FD12" s="165">
        <f>'(Bloom Raw Data)'!FW12</f>
        <v>43.8</v>
      </c>
      <c r="FE12" s="165">
        <f>'(Bloom Raw Data)'!FX12</f>
        <v>41.5</v>
      </c>
      <c r="FF12" s="165">
        <f>'(Bloom Raw Data)'!FY12</f>
        <v>19.399999999999999</v>
      </c>
      <c r="FG12" s="165">
        <f>'(Bloom Raw Data)'!FZ12</f>
        <v>59</v>
      </c>
      <c r="FH12" s="165">
        <f>'(Bloom Raw Data)'!GA12</f>
        <v>64</v>
      </c>
      <c r="FI12" s="165">
        <f>'(Bloom Raw Data)'!GB12</f>
        <v>37.1</v>
      </c>
      <c r="FJ12" s="165">
        <f>'(Bloom Raw Data)'!GC12</f>
        <v>17.7</v>
      </c>
      <c r="FK12" s="165">
        <f>'(Bloom Raw Data)'!GD12</f>
        <v>39.799999999999997</v>
      </c>
      <c r="FL12" s="165">
        <f>'(Bloom Raw Data)'!GE12</f>
        <v>83.3</v>
      </c>
      <c r="FM12" s="165">
        <f>'(Bloom Raw Data)'!GF12</f>
        <v>48.1</v>
      </c>
      <c r="FN12" s="11"/>
      <c r="FO12" s="166" t="str">
        <f>'(Bloom Raw Data)'!FA12</f>
        <v>#N/A N/A</v>
      </c>
      <c r="FP12" s="166">
        <f>'(Bloom Raw Data)'!FB12</f>
        <v>2.9316</v>
      </c>
      <c r="FQ12" s="166">
        <f>'(Bloom Raw Data)'!FC12</f>
        <v>2.6013000000000002</v>
      </c>
      <c r="FR12" s="166">
        <f>'(Bloom Raw Data)'!FD12</f>
        <v>2.8885000000000001</v>
      </c>
      <c r="FS12" s="166" t="str">
        <f>'(Bloom Raw Data)'!FE12</f>
        <v>#N/A N/A</v>
      </c>
      <c r="FT12" s="166">
        <f>'(Bloom Raw Data)'!FF12</f>
        <v>3.2160000000000002</v>
      </c>
      <c r="FU12" s="166">
        <f>'(Bloom Raw Data)'!FG12</f>
        <v>2.8923000000000001</v>
      </c>
      <c r="FV12" s="166">
        <f>'(Bloom Raw Data)'!FH12</f>
        <v>2.9748000000000001</v>
      </c>
      <c r="FW12" s="166" t="str">
        <f>'(Bloom Raw Data)'!FI12</f>
        <v>#N/A N/A</v>
      </c>
      <c r="FX12" s="166" t="str">
        <f>'(Bloom Raw Data)'!FJ12</f>
        <v>#N/A N/A</v>
      </c>
      <c r="FY12" s="166" t="str">
        <f>'(Bloom Raw Data)'!FK12</f>
        <v>#N/A N/A</v>
      </c>
      <c r="FZ12" s="166" t="str">
        <f>'(Bloom Raw Data)'!FL12</f>
        <v>#N/A N/A</v>
      </c>
      <c r="GA12" s="166" t="str">
        <f>'(Bloom Raw Data)'!FM12</f>
        <v>#N/A N/A</v>
      </c>
      <c r="GB12" s="166" t="str">
        <f>'(Bloom Raw Data)'!FN12</f>
        <v>#N/A N/A</v>
      </c>
      <c r="GC12" s="166" t="str">
        <f>'(Bloom Raw Data)'!FO12</f>
        <v>#N/A N/A</v>
      </c>
      <c r="GD12" s="174"/>
      <c r="GE12" s="174"/>
      <c r="GF12" s="165">
        <f>'(Bloom Raw Data)'!GI12</f>
        <v>900</v>
      </c>
      <c r="GG12" s="165">
        <f>'(Bloom Raw Data)'!GJ12</f>
        <v>767.3</v>
      </c>
      <c r="GH12" s="165">
        <f>'(Bloom Raw Data)'!GK12</f>
        <v>807.5</v>
      </c>
      <c r="GI12" s="165">
        <f>'(Bloom Raw Data)'!GL12</f>
        <v>860.9</v>
      </c>
      <c r="GJ12" s="165">
        <f>'(Bloom Raw Data)'!GM12</f>
        <v>832.9</v>
      </c>
      <c r="GK12" s="165">
        <f>'(Bloom Raw Data)'!GN12</f>
        <v>736.5</v>
      </c>
      <c r="GL12" s="165">
        <f>'(Bloom Raw Data)'!GO12</f>
        <v>783.1</v>
      </c>
      <c r="GM12" s="165">
        <f>'(Bloom Raw Data)'!GP12</f>
        <v>840.7</v>
      </c>
      <c r="GN12" s="165">
        <f>'(Bloom Raw Data)'!GQ12</f>
        <v>840.3</v>
      </c>
      <c r="GO12" s="165">
        <f>'(Bloom Raw Data)'!GR12</f>
        <v>891.1</v>
      </c>
      <c r="GP12" s="165">
        <f>'(Bloom Raw Data)'!GS12</f>
        <v>737.4</v>
      </c>
      <c r="GQ12" s="165">
        <f>'(Bloom Raw Data)'!GT12</f>
        <v>798.2</v>
      </c>
      <c r="GR12" s="165">
        <f>'(Bloom Raw Data)'!GU12</f>
        <v>851.4</v>
      </c>
      <c r="GS12" s="165">
        <f>'(Bloom Raw Data)'!GV12</f>
        <v>681.9</v>
      </c>
      <c r="GT12" s="165">
        <f>'(Bloom Raw Data)'!GW12</f>
        <v>762.8</v>
      </c>
      <c r="GU12" s="11"/>
      <c r="GV12" s="165">
        <f t="shared" si="1"/>
        <v>483.00186989172721</v>
      </c>
      <c r="GW12" s="165">
        <f t="shared" si="1"/>
        <v>483.79917071472886</v>
      </c>
      <c r="GX12" s="165">
        <f t="shared" si="1"/>
        <v>485.9005757090053</v>
      </c>
      <c r="GY12" s="165">
        <f t="shared" si="1"/>
        <v>481.89816571790004</v>
      </c>
      <c r="GZ12" s="165">
        <f t="shared" si="1"/>
        <v>484.6984771573604</v>
      </c>
      <c r="HA12" s="165">
        <f t="shared" si="1"/>
        <v>486.60206552051733</v>
      </c>
      <c r="HB12" s="165">
        <f t="shared" si="1"/>
        <v>489.29823312807503</v>
      </c>
      <c r="HC12" s="165">
        <f t="shared" si="1"/>
        <v>496.90244407952429</v>
      </c>
      <c r="HD12" s="165">
        <f t="shared" si="1"/>
        <v>503.39739146296967</v>
      </c>
      <c r="HE12" s="165">
        <f t="shared" si="1"/>
        <v>506.89862733395859</v>
      </c>
      <c r="HF12" s="165">
        <f t="shared" si="1"/>
        <v>507.59713594552625</v>
      </c>
      <c r="HG12" s="165">
        <f t="shared" si="1"/>
        <v>506.89962877159689</v>
      </c>
      <c r="HH12" s="165">
        <f t="shared" si="1"/>
        <v>500.99690670983784</v>
      </c>
      <c r="HI12" s="165">
        <f t="shared" si="1"/>
        <v>488.79612573910561</v>
      </c>
      <c r="HJ12" s="165">
        <f t="shared" si="1"/>
        <v>488.79884411165995</v>
      </c>
      <c r="HK12" s="11"/>
      <c r="HL12" s="2658"/>
      <c r="HM12" s="166">
        <f>'(Bloom Raw Data)'!HQ12</f>
        <v>8.0693000000000001</v>
      </c>
      <c r="HN12" s="166">
        <f>'(Bloom Raw Data)'!HR12</f>
        <v>6.9188000000000001</v>
      </c>
      <c r="HO12" s="166">
        <f>'(Bloom Raw Data)'!HS12</f>
        <v>8.6876999999999995</v>
      </c>
      <c r="HP12" s="166">
        <f>'(Bloom Raw Data)'!HT12</f>
        <v>8.0861999999999998</v>
      </c>
      <c r="HQ12" s="166">
        <f>'(Bloom Raw Data)'!HU12</f>
        <v>8.1341999999999999</v>
      </c>
      <c r="HR12" s="166">
        <f>'(Bloom Raw Data)'!HV12</f>
        <v>7.7977999999999996</v>
      </c>
      <c r="HS12" s="166">
        <f>'(Bloom Raw Data)'!HW12</f>
        <v>8.2479999999999993</v>
      </c>
      <c r="HT12" s="166">
        <f>'(Bloom Raw Data)'!HX12</f>
        <v>8.8902999999999999</v>
      </c>
      <c r="HU12" s="166">
        <f>'(Bloom Raw Data)'!HY12</f>
        <v>8.1969999999999992</v>
      </c>
      <c r="HV12" s="166">
        <f>'(Bloom Raw Data)'!HZ12</f>
        <v>7.0986000000000002</v>
      </c>
      <c r="HW12" s="166">
        <f>'(Bloom Raw Data)'!IA12</f>
        <v>6.5967000000000002</v>
      </c>
      <c r="HX12" s="166">
        <f>'(Bloom Raw Data)'!IB12</f>
        <v>6.2721999999999998</v>
      </c>
      <c r="HY12" s="166">
        <f>'(Bloom Raw Data)'!IC12</f>
        <v>7.3335999999999997</v>
      </c>
      <c r="HZ12" s="166">
        <f>'(Bloom Raw Data)'!ID12</f>
        <v>6.2622999999999998</v>
      </c>
      <c r="IA12" s="166">
        <f>'(Bloom Raw Data)'!IE12</f>
        <v>5.6490999999999998</v>
      </c>
      <c r="IB12" s="72"/>
    </row>
    <row r="13" spans="1:237" s="2294" customFormat="1">
      <c r="A13" s="25" t="s">
        <v>19</v>
      </c>
      <c r="B13" s="25" t="s">
        <v>33</v>
      </c>
      <c r="C13" s="25"/>
      <c r="D13" s="26">
        <f>'(Bloom Raw Data)'!D13</f>
        <v>4553.7582000000002</v>
      </c>
      <c r="E13" s="27">
        <f>AVERAGE(D13,F13)</f>
        <v>4019.1419500000002</v>
      </c>
      <c r="F13" s="26">
        <f>'(Bloom Raw Data)'!F13</f>
        <v>3484.5257000000001</v>
      </c>
      <c r="G13" s="27">
        <f>AVERAGE(F13,H13)</f>
        <v>3966.1084000000001</v>
      </c>
      <c r="H13" s="26">
        <f>'(Bloom Raw Data)'!H13</f>
        <v>4447.6911</v>
      </c>
      <c r="I13" s="27">
        <f>AVERAGE(H13,J13)</f>
        <v>4755.5126</v>
      </c>
      <c r="J13" s="26">
        <f>'(Bloom Raw Data)'!J13</f>
        <v>5063.3341</v>
      </c>
      <c r="K13" s="27">
        <f>AVERAGE(J13,L13)</f>
        <v>5250.0250500000002</v>
      </c>
      <c r="L13" s="26">
        <f>'(Bloom Raw Data)'!L13</f>
        <v>5436.7160000000003</v>
      </c>
      <c r="M13" s="27">
        <f>AVERAGE(L13,N13)</f>
        <v>5980.1954999999998</v>
      </c>
      <c r="N13" s="26">
        <f>'(Bloom Raw Data)'!N13</f>
        <v>6523.6750000000002</v>
      </c>
      <c r="O13" s="27">
        <f>AVERAGE(N13,P13)</f>
        <v>7007.7803999999996</v>
      </c>
      <c r="P13" s="26">
        <f>'(Bloom Raw Data)'!P13</f>
        <v>7491.8858</v>
      </c>
      <c r="Q13" s="27">
        <f>AVERAGE(P13,R13)</f>
        <v>8531.7053977700889</v>
      </c>
      <c r="R13" s="30">
        <f>P13*166.15/130.05</f>
        <v>9571.524995540176</v>
      </c>
      <c r="S13" s="25"/>
      <c r="T13" s="26">
        <f>'(Bloom Raw Data)'!U13</f>
        <v>664.87699999999995</v>
      </c>
      <c r="U13" s="27">
        <f>AVERAGE(T13,V13)</f>
        <v>691.05199999999991</v>
      </c>
      <c r="V13" s="26">
        <f>'(Bloom Raw Data)'!W13</f>
        <v>717.22699999999998</v>
      </c>
      <c r="W13" s="27">
        <f>AVERAGE(V13,X13)</f>
        <v>704.26900000000001</v>
      </c>
      <c r="X13" s="26">
        <f>'(Bloom Raw Data)'!Y13</f>
        <v>691.31100000000004</v>
      </c>
      <c r="Y13" s="27">
        <f>AVERAGE(X13,Z13)</f>
        <v>687.36950000000002</v>
      </c>
      <c r="Z13" s="26">
        <f>'(Bloom Raw Data)'!AA13</f>
        <v>683.428</v>
      </c>
      <c r="AA13" s="27">
        <f>AVERAGE(Z13,AB13)</f>
        <v>826.42399999999998</v>
      </c>
      <c r="AB13" s="26">
        <f>'(Bloom Raw Data)'!AC13</f>
        <v>969.42</v>
      </c>
      <c r="AC13" s="27">
        <f>AVERAGE(AB13,AD13)</f>
        <v>1047.8895</v>
      </c>
      <c r="AD13" s="26">
        <f>'(Bloom Raw Data)'!AE13</f>
        <v>1126.3589999999999</v>
      </c>
      <c r="AE13" s="27">
        <f>AVERAGE(AD13,AF13)</f>
        <v>1095.3049999999998</v>
      </c>
      <c r="AF13" s="26">
        <f>'(Bloom Raw Data)'!AG13</f>
        <v>1064.251</v>
      </c>
      <c r="AG13" s="27">
        <f>AVERAGE(AF13,AH13)</f>
        <v>1051.5304999999998</v>
      </c>
      <c r="AH13" s="26">
        <v>1038.81</v>
      </c>
      <c r="AI13" s="25"/>
      <c r="AJ13" s="26">
        <f>'(Bloom Raw Data)'!AL13</f>
        <v>14.516999999999999</v>
      </c>
      <c r="AK13" s="26">
        <f>'(Bloom Raw Data)'!AP13</f>
        <v>0.311</v>
      </c>
      <c r="AL13" s="26">
        <f>'(Bloom Raw Data)'!AT13</f>
        <v>402</v>
      </c>
      <c r="AM13" s="26">
        <f>'(Bloom Raw Data)'!AX13</f>
        <v>448</v>
      </c>
      <c r="AN13" s="25"/>
      <c r="AO13" s="28">
        <f>'(Bloom Raw Data)'!BC13</f>
        <v>7.8322000000000003</v>
      </c>
      <c r="AP13" s="29">
        <f>AVERAGE(AO13,AQ13)</f>
        <v>9.6950500000000002</v>
      </c>
      <c r="AQ13" s="28">
        <f>'(Bloom Raw Data)'!BE13</f>
        <v>11.5579</v>
      </c>
      <c r="AR13" s="29">
        <f>AVERAGE(AQ13,AS13)</f>
        <v>10.90835</v>
      </c>
      <c r="AS13" s="28">
        <f>'(Bloom Raw Data)'!BG13</f>
        <v>10.258800000000001</v>
      </c>
      <c r="AT13" s="29">
        <f>AVERAGE(AS13,AU13)</f>
        <v>10.320250000000001</v>
      </c>
      <c r="AU13" s="28">
        <f>'(Bloom Raw Data)'!BI13</f>
        <v>10.3817</v>
      </c>
      <c r="AV13" s="29">
        <f>AVERAGE(AU13,AW13)</f>
        <v>9.4272999999999989</v>
      </c>
      <c r="AW13" s="28">
        <f>'(Bloom Raw Data)'!BK13</f>
        <v>8.4728999999999992</v>
      </c>
      <c r="AX13" s="29">
        <f>AVERAGE(AW13,AY13)</f>
        <v>7.3998999999999997</v>
      </c>
      <c r="AY13" s="28">
        <f>'(Bloom Raw Data)'!BM13</f>
        <v>6.3269000000000002</v>
      </c>
      <c r="AZ13" s="29">
        <f>AVERAGE(AY13,BA13)</f>
        <v>6.9750499999999995</v>
      </c>
      <c r="BA13" s="28">
        <f>'(Bloom Raw Data)'!BO13</f>
        <v>7.6231999999999998</v>
      </c>
      <c r="BB13" s="29">
        <f>AVERAGE(BA13,BC13)</f>
        <v>8.4421999999999997</v>
      </c>
      <c r="BC13" s="28">
        <f>'(Bloom Raw Data)'!BQ13</f>
        <v>9.2612000000000005</v>
      </c>
      <c r="BD13" s="25"/>
      <c r="BE13" s="28">
        <f>'(Bloom Raw Data)'!BT13</f>
        <v>1.0165</v>
      </c>
      <c r="BF13" s="29">
        <f>AVERAGE(BE13,BG13)</f>
        <v>0.95514999999999994</v>
      </c>
      <c r="BG13" s="28">
        <f>'(Bloom Raw Data)'!BV13</f>
        <v>0.89380000000000004</v>
      </c>
      <c r="BH13" s="29">
        <f>AVERAGE(BG13,BI13)</f>
        <v>0.88444999999999996</v>
      </c>
      <c r="BI13" s="28">
        <f>'(Bloom Raw Data)'!BX13</f>
        <v>0.87509999999999999</v>
      </c>
      <c r="BJ13" s="29">
        <f>AVERAGE(BI13,BK13)</f>
        <v>0.89165000000000005</v>
      </c>
      <c r="BK13" s="28">
        <f>'(Bloom Raw Data)'!BZ13</f>
        <v>0.90820000000000001</v>
      </c>
      <c r="BL13" s="29">
        <f>AVERAGE(BK13,BM13)</f>
        <v>1.0427999999999999</v>
      </c>
      <c r="BM13" s="28">
        <f>'(Bloom Raw Data)'!CB13</f>
        <v>1.1774</v>
      </c>
      <c r="BN13" s="29">
        <f>AVERAGE(BM13,BO13)</f>
        <v>1.2726999999999999</v>
      </c>
      <c r="BO13" s="28">
        <f>'(Bloom Raw Data)'!CD13</f>
        <v>1.3679999999999999</v>
      </c>
      <c r="BP13" s="29">
        <f>AVERAGE(BO13,BQ13)</f>
        <v>1.2681</v>
      </c>
      <c r="BQ13" s="28">
        <f>'(Bloom Raw Data)'!CF13</f>
        <v>1.1681999999999999</v>
      </c>
      <c r="BR13" s="29">
        <f>AVERAGE(BQ13,BS13)</f>
        <v>1.0645</v>
      </c>
      <c r="BS13" s="28">
        <f>'(Bloom Raw Data)'!CH13</f>
        <v>0.96079999999999999</v>
      </c>
      <c r="BT13" s="25"/>
      <c r="BU13" s="26">
        <f>'(Bloom Raw Data)'!CK13</f>
        <v>5219.1722</v>
      </c>
      <c r="BV13" s="27">
        <f>AVERAGE(BU13,BW13)</f>
        <v>4710.8074500000002</v>
      </c>
      <c r="BW13" s="26">
        <f>'(Bloom Raw Data)'!CM13</f>
        <v>4202.4426999999996</v>
      </c>
      <c r="BX13" s="27">
        <f>AVERAGE(BW13,BY13)</f>
        <v>4670.9583999999995</v>
      </c>
      <c r="BY13" s="26">
        <f>'(Bloom Raw Data)'!CO13</f>
        <v>5139.4741000000004</v>
      </c>
      <c r="BZ13" s="27">
        <f>AVERAGE(BY13,CA13)</f>
        <v>5443.2681000000002</v>
      </c>
      <c r="CA13" s="26">
        <f>'(Bloom Raw Data)'!CQ13</f>
        <v>5747.0621000000001</v>
      </c>
      <c r="CB13" s="27">
        <f>AVERAGE(CA13,CC13)</f>
        <v>6076.9990500000004</v>
      </c>
      <c r="CC13" s="26">
        <f>'(Bloom Raw Data)'!CS13</f>
        <v>6406.9359999999997</v>
      </c>
      <c r="CD13" s="27">
        <f>AVERAGE(CC13,CE13)</f>
        <v>7028.4849999999997</v>
      </c>
      <c r="CE13" s="26">
        <f>'(Bloom Raw Data)'!CU13</f>
        <v>7650.0339999999997</v>
      </c>
      <c r="CF13" s="27">
        <f>AVERAGE(CE13,CG13)</f>
        <v>8103.0853999999999</v>
      </c>
      <c r="CG13" s="26">
        <f>'(Bloom Raw Data)'!CW13</f>
        <v>8556.1368000000002</v>
      </c>
      <c r="CH13" s="27">
        <f>AVERAGE(CG13,CI13)</f>
        <v>9583.2358977700878</v>
      </c>
      <c r="CI13" s="126">
        <f>R13+AH13+(CG13-P13-AF13)</f>
        <v>10610.334995540175</v>
      </c>
      <c r="CJ13" s="25"/>
      <c r="CK13" s="26">
        <f t="shared" si="2"/>
        <v>0.53699999999980719</v>
      </c>
      <c r="CL13" s="26">
        <f t="shared" si="3"/>
        <v>0.61350000000015825</v>
      </c>
      <c r="CM13" s="26">
        <f t="shared" si="4"/>
        <v>0.68999999999948614</v>
      </c>
      <c r="CN13" s="26">
        <f t="shared" si="5"/>
        <v>0.58099999999944885</v>
      </c>
      <c r="CO13" s="26">
        <f t="shared" si="6"/>
        <v>0.47200000000032105</v>
      </c>
      <c r="CP13" s="26">
        <f t="shared" si="7"/>
        <v>0.38600000000019463</v>
      </c>
      <c r="CQ13" s="26">
        <f t="shared" si="8"/>
        <v>0.30000000000006821</v>
      </c>
      <c r="CR13" s="26">
        <f t="shared" si="9"/>
        <v>0.5500000000001819</v>
      </c>
      <c r="CS13" s="26">
        <f t="shared" si="10"/>
        <v>0.79999999999938609</v>
      </c>
      <c r="CT13" s="26">
        <f t="shared" si="11"/>
        <v>0.39999999999986358</v>
      </c>
      <c r="CU13" s="26">
        <f t="shared" si="12"/>
        <v>0</v>
      </c>
      <c r="CV13" s="26">
        <f t="shared" si="13"/>
        <v>0</v>
      </c>
      <c r="CW13" s="26">
        <f t="shared" si="14"/>
        <v>0</v>
      </c>
      <c r="CX13" s="26">
        <f t="shared" si="15"/>
        <v>0</v>
      </c>
      <c r="CY13" s="26">
        <f t="shared" si="16"/>
        <v>0</v>
      </c>
      <c r="CZ13" s="25"/>
      <c r="DA13" s="28">
        <f>'(Bloom Raw Data)'!DB13</f>
        <v>7.9791999999999996</v>
      </c>
      <c r="DB13" s="29">
        <f>AVERAGE(DA13,DC13)</f>
        <v>6.60825</v>
      </c>
      <c r="DC13" s="28">
        <f>'(Bloom Raw Data)'!DD13</f>
        <v>5.2373000000000003</v>
      </c>
      <c r="DD13" s="29">
        <f>AVERAGE(DC13,DE13)</f>
        <v>5.8715000000000002</v>
      </c>
      <c r="DE13" s="28">
        <f>'(Bloom Raw Data)'!DF13</f>
        <v>6.5057</v>
      </c>
      <c r="DF13" s="29">
        <f>AVERAGE(DE13,DG13)</f>
        <v>7.0716000000000001</v>
      </c>
      <c r="DG13" s="28">
        <f>'(Bloom Raw Data)'!DH13</f>
        <v>7.6375000000000002</v>
      </c>
      <c r="DH13" s="29">
        <f>AVERAGE(DG13,DI13)</f>
        <v>7.7094500000000004</v>
      </c>
      <c r="DI13" s="28">
        <f>'(Bloom Raw Data)'!DJ13</f>
        <v>7.7813999999999997</v>
      </c>
      <c r="DJ13" s="29">
        <f>AVERAGE(DI13,DK13)</f>
        <v>8.5364499999999985</v>
      </c>
      <c r="DK13" s="28">
        <f>'(Bloom Raw Data)'!DL13</f>
        <v>9.2914999999999992</v>
      </c>
      <c r="DL13" s="29">
        <f>AVERAGE(DK13,DM13)</f>
        <v>9.3415999999999997</v>
      </c>
      <c r="DM13" s="28">
        <f>'(Bloom Raw Data)'!DN13</f>
        <v>9.3917000000000002</v>
      </c>
      <c r="DN13" s="29">
        <f>DM13</f>
        <v>9.3917000000000002</v>
      </c>
      <c r="DO13" s="128">
        <f>CI13/HJ13</f>
        <v>9.8286456938745843</v>
      </c>
      <c r="DP13" s="25"/>
      <c r="DQ13" s="25"/>
      <c r="DR13" s="28">
        <f>'(Bloom Raw Data)'!DS13</f>
        <v>2.6703000000000001</v>
      </c>
      <c r="DS13" s="173">
        <f>AVERAGE(DR13,DT13)</f>
        <v>2.3859500000000002</v>
      </c>
      <c r="DT13" s="28">
        <f>'(Bloom Raw Data)'!DU13</f>
        <v>2.1015999999999999</v>
      </c>
      <c r="DU13" s="173">
        <f>AVERAGE(DT13,DV13)</f>
        <v>2.31155</v>
      </c>
      <c r="DV13" s="28">
        <f>'(Bloom Raw Data)'!DW13</f>
        <v>2.5215000000000001</v>
      </c>
      <c r="DW13" s="173">
        <f>AVERAGE(DV13,DX13)</f>
        <v>2.6524000000000001</v>
      </c>
      <c r="DX13" s="28">
        <f>'(Bloom Raw Data)'!DY13</f>
        <v>2.7833000000000001</v>
      </c>
      <c r="DY13" s="173">
        <f>AVERAGE(DX13,DZ13)</f>
        <v>2.9012500000000001</v>
      </c>
      <c r="DZ13" s="28">
        <f>'(Bloom Raw Data)'!EA13</f>
        <v>3.0192000000000001</v>
      </c>
      <c r="EA13" s="173">
        <f>AVERAGE(DZ13,EB13)</f>
        <v>3.0245500000000001</v>
      </c>
      <c r="EB13" s="28">
        <f>'(Bloom Raw Data)'!EC13</f>
        <v>3.0299</v>
      </c>
      <c r="EC13" s="173">
        <f>AVERAGE(EB13,ED13)</f>
        <v>2.8716499999999998</v>
      </c>
      <c r="ED13" s="28">
        <f>'(Bloom Raw Data)'!EE13</f>
        <v>2.7134</v>
      </c>
      <c r="EE13" s="173">
        <f>AVERAGE(ED13,EF13)</f>
        <v>2.86165</v>
      </c>
      <c r="EF13" s="28">
        <f>'(Bloom Raw Data)'!EG13</f>
        <v>3.0099</v>
      </c>
      <c r="EG13" s="25"/>
      <c r="EH13" s="26">
        <f>'(Bloom Raw Data)'!EJ13</f>
        <v>18.4313</v>
      </c>
      <c r="EI13" s="26">
        <f>'(Bloom Raw Data)'!EK13</f>
        <v>16.849</v>
      </c>
      <c r="EJ13" s="26">
        <f>'(Bloom Raw Data)'!EL13</f>
        <v>10.015700000000001</v>
      </c>
      <c r="EK13" s="26">
        <f>'(Bloom Raw Data)'!EM13</f>
        <v>11.9984</v>
      </c>
      <c r="EL13" s="26">
        <f>'(Bloom Raw Data)'!EN13</f>
        <v>14.1812</v>
      </c>
      <c r="EM13" s="26">
        <f>'(Bloom Raw Data)'!EO13</f>
        <v>14.7387</v>
      </c>
      <c r="EN13" s="26">
        <f>'(Bloom Raw Data)'!EP13</f>
        <v>17.592400000000001</v>
      </c>
      <c r="EO13" s="26">
        <f>'(Bloom Raw Data)'!EQ13</f>
        <v>15.970599999999999</v>
      </c>
      <c r="EP13" s="26" t="str">
        <f>'(Bloom Raw Data)'!ER13</f>
        <v>#N/A N/A</v>
      </c>
      <c r="EQ13" s="26" t="str">
        <f>'(Bloom Raw Data)'!ES13</f>
        <v>#N/A N/A</v>
      </c>
      <c r="ER13" s="26" t="str">
        <f>'(Bloom Raw Data)'!ET13</f>
        <v>#N/A N/A</v>
      </c>
      <c r="ES13" s="26" t="str">
        <f>'(Bloom Raw Data)'!EU13</f>
        <v>#N/A N/A</v>
      </c>
      <c r="ET13" s="26">
        <f>'(Bloom Raw Data)'!EV13</f>
        <v>39.737299999999998</v>
      </c>
      <c r="EU13" s="26" t="str">
        <f>'(Bloom Raw Data)'!EW13</f>
        <v>#N/A N/A</v>
      </c>
      <c r="EV13" s="26" t="str">
        <f>'(Bloom Raw Data)'!EX13</f>
        <v>#N/A N/A</v>
      </c>
      <c r="EW13" s="25"/>
      <c r="EX13" s="25"/>
      <c r="EY13" s="26">
        <f>'(Bloom Raw Data)'!FR13</f>
        <v>9.5359999999999996</v>
      </c>
      <c r="EZ13" s="175">
        <f>AVERAGE(EY13,FA13)</f>
        <v>207.21</v>
      </c>
      <c r="FA13" s="26">
        <f>'(Bloom Raw Data)'!FT13</f>
        <v>404.88400000000001</v>
      </c>
      <c r="FB13" s="175">
        <f>AVERAGE(FA13,FC13)</f>
        <v>241.15700000000001</v>
      </c>
      <c r="FC13" s="26">
        <f>'(Bloom Raw Data)'!FV13</f>
        <v>77.430000000000007</v>
      </c>
      <c r="FD13" s="175">
        <f>AVERAGE(FC13,FE13)</f>
        <v>41.968000000000004</v>
      </c>
      <c r="FE13" s="26">
        <f>'(Bloom Raw Data)'!FX13</f>
        <v>6.5060000000000002</v>
      </c>
      <c r="FF13" s="175">
        <f>AVERAGE(FE13,FG13)</f>
        <v>43.677500000000002</v>
      </c>
      <c r="FG13" s="26">
        <f>'(Bloom Raw Data)'!FZ13</f>
        <v>80.849000000000004</v>
      </c>
      <c r="FH13" s="175">
        <f>AVERAGE(FG13,FI13)</f>
        <v>44.756</v>
      </c>
      <c r="FI13" s="26">
        <f>'(Bloom Raw Data)'!GB13</f>
        <v>8.6630000000000003</v>
      </c>
      <c r="FJ13" s="175">
        <f>AVERAGE(FI13,FK13)</f>
        <v>196.40950000000001</v>
      </c>
      <c r="FK13" s="26">
        <f>'(Bloom Raw Data)'!GD13</f>
        <v>384.15600000000001</v>
      </c>
      <c r="FL13" s="175">
        <f>AVERAGE(FK13,FM13)</f>
        <v>218.404</v>
      </c>
      <c r="FM13" s="26">
        <f>'(Bloom Raw Data)'!GF13</f>
        <v>52.652000000000001</v>
      </c>
      <c r="FN13" s="25"/>
      <c r="FO13" s="28">
        <f>'(Bloom Raw Data)'!FA13</f>
        <v>5.9614000000000003</v>
      </c>
      <c r="FP13" s="28">
        <f>'(Bloom Raw Data)'!FB13</f>
        <v>5.4496000000000002</v>
      </c>
      <c r="FQ13" s="28">
        <f>'(Bloom Raw Data)'!FC13</f>
        <v>3.7848000000000002</v>
      </c>
      <c r="FR13" s="28">
        <f>'(Bloom Raw Data)'!FD13</f>
        <v>4.5341000000000005</v>
      </c>
      <c r="FS13" s="28">
        <f>'(Bloom Raw Data)'!FE13</f>
        <v>4.1264000000000003</v>
      </c>
      <c r="FT13" s="28">
        <f>'(Bloom Raw Data)'!FF13</f>
        <v>4.2885999999999997</v>
      </c>
      <c r="FU13" s="28">
        <f>'(Bloom Raw Data)'!FG13</f>
        <v>4.1718000000000002</v>
      </c>
      <c r="FV13" s="28">
        <f>'(Bloom Raw Data)'!FH13</f>
        <v>3.7871999999999999</v>
      </c>
      <c r="FW13" s="28" t="str">
        <f>'(Bloom Raw Data)'!FI13</f>
        <v>#N/A N/A</v>
      </c>
      <c r="FX13" s="28" t="str">
        <f>'(Bloom Raw Data)'!FJ13</f>
        <v>#N/A N/A</v>
      </c>
      <c r="FY13" s="28" t="str">
        <f>'(Bloom Raw Data)'!FK13</f>
        <v>#N/A N/A</v>
      </c>
      <c r="FZ13" s="28" t="str">
        <f>'(Bloom Raw Data)'!FL13</f>
        <v>#N/A N/A</v>
      </c>
      <c r="GA13" s="28">
        <f>'(Bloom Raw Data)'!FM13</f>
        <v>4.3388999999999998</v>
      </c>
      <c r="GB13" s="28" t="str">
        <f>'(Bloom Raw Data)'!FN13</f>
        <v>#N/A N/A</v>
      </c>
      <c r="GC13" s="28" t="str">
        <f>'(Bloom Raw Data)'!FO13</f>
        <v>#N/A N/A</v>
      </c>
      <c r="GD13" s="176"/>
      <c r="GE13" s="176"/>
      <c r="GF13" s="26">
        <f>'(Bloom Raw Data)'!GI13</f>
        <v>764.41</v>
      </c>
      <c r="GG13" s="175">
        <f>AVERAGE(GF13,GH13)</f>
        <v>842.87950000000001</v>
      </c>
      <c r="GH13" s="26">
        <f>'(Bloom Raw Data)'!GK13</f>
        <v>921.34900000000005</v>
      </c>
      <c r="GI13" s="175">
        <f>AVERAGE(GH13,GJ13)</f>
        <v>999.84400000000005</v>
      </c>
      <c r="GJ13" s="26">
        <f>'(Bloom Raw Data)'!GM13</f>
        <v>1078.3389999999999</v>
      </c>
      <c r="GK13" s="175">
        <f>AVERAGE(GJ13,GL13)</f>
        <v>1146.1689999999999</v>
      </c>
      <c r="GL13" s="26">
        <f>'(Bloom Raw Data)'!GO13</f>
        <v>1213.999</v>
      </c>
      <c r="GM13" s="175">
        <f>AVERAGE(GL13,GN13)</f>
        <v>1369.3600000000001</v>
      </c>
      <c r="GN13" s="26">
        <f>'(Bloom Raw Data)'!GQ13</f>
        <v>1524.721</v>
      </c>
      <c r="GO13" s="175">
        <f>AVERAGE(GN13,GP13)</f>
        <v>1557.3110000000001</v>
      </c>
      <c r="GP13" s="26">
        <f>'(Bloom Raw Data)'!GS13</f>
        <v>1589.9010000000001</v>
      </c>
      <c r="GQ13" s="175">
        <f>AVERAGE(GP13,GR13)</f>
        <v>1658.297</v>
      </c>
      <c r="GR13" s="26">
        <f>'(Bloom Raw Data)'!GU13</f>
        <v>1726.693</v>
      </c>
      <c r="GS13" s="175">
        <f>AVERAGE(GR13,GT13)</f>
        <v>1800.3525</v>
      </c>
      <c r="GT13" s="26">
        <f>'(Bloom Raw Data)'!GW13</f>
        <v>1874.0119999999999</v>
      </c>
      <c r="GU13" s="25"/>
      <c r="GV13" s="26">
        <f t="shared" ref="GV13:GV27" si="17">BU13/DA13</f>
        <v>654.09717766192102</v>
      </c>
      <c r="GW13" s="26">
        <f t="shared" ref="GW13:GW27" si="18">BV13/DB13</f>
        <v>712.86762002042906</v>
      </c>
      <c r="GX13" s="26">
        <f t="shared" ref="GX13:GX27" si="19">BW13/DC13</f>
        <v>802.40633532545382</v>
      </c>
      <c r="GY13" s="26">
        <f t="shared" ref="GY13:GY27" si="20">BX13/DD13</f>
        <v>795.53068210849005</v>
      </c>
      <c r="GZ13" s="26">
        <f t="shared" ref="GZ13:GZ27" si="21">BY13/DE13</f>
        <v>789.99555774167277</v>
      </c>
      <c r="HA13" s="26">
        <f t="shared" ref="HA13:HA27" si="22">BZ13/DF13</f>
        <v>769.7364245715255</v>
      </c>
      <c r="HB13" s="26">
        <f t="shared" ref="HB13:HB27" si="23">CA13/DG13</f>
        <v>752.47948936170212</v>
      </c>
      <c r="HC13" s="26">
        <f t="shared" ref="HC13:HC27" si="24">CB13/DH13</f>
        <v>788.25325412318648</v>
      </c>
      <c r="HD13" s="26">
        <f t="shared" ref="HD13:HD27" si="25">CC13/DI13</f>
        <v>823.36546122805669</v>
      </c>
      <c r="HE13" s="26">
        <f t="shared" ref="HE13:HE27" si="26">CD13/DJ13</f>
        <v>823.34987026222859</v>
      </c>
      <c r="HF13" s="26">
        <f t="shared" ref="HF13:HF27" si="27">CE13/DK13</f>
        <v>823.33681321638062</v>
      </c>
      <c r="HG13" s="26">
        <f t="shared" ref="HG13:HG27" si="28">CF13/DL13</f>
        <v>867.41943564271651</v>
      </c>
      <c r="HH13" s="26">
        <f t="shared" ref="HH13:HH27" si="29">CG13/DM13</f>
        <v>911.03174079240182</v>
      </c>
      <c r="HI13" s="26">
        <f t="shared" ref="HI13:HI27" si="30">CH13/DN13</f>
        <v>1020.3941669527442</v>
      </c>
      <c r="HJ13" s="30">
        <f>585.8+HH13-417.3</f>
        <v>1079.5317407924019</v>
      </c>
      <c r="HK13" s="25"/>
      <c r="HL13" s="2658"/>
      <c r="HM13" s="28">
        <f>'(Bloom Raw Data)'!HQ13</f>
        <v>8.2020999999999997</v>
      </c>
      <c r="HN13" s="173">
        <f>AVERAGE(HM13,HO13)</f>
        <v>9.5455499999999986</v>
      </c>
      <c r="HO13" s="28">
        <f>'(Bloom Raw Data)'!HS13</f>
        <v>10.888999999999999</v>
      </c>
      <c r="HP13" s="173">
        <f>AVERAGE(HO13,HQ13)</f>
        <v>10.1669</v>
      </c>
      <c r="HQ13" s="28">
        <f>'(Bloom Raw Data)'!HU13</f>
        <v>9.4448000000000008</v>
      </c>
      <c r="HR13" s="173">
        <f>AVERAGE(HQ13,HS13)</f>
        <v>8.9955500000000015</v>
      </c>
      <c r="HS13" s="28">
        <f>'(Bloom Raw Data)'!HW13</f>
        <v>8.5463000000000005</v>
      </c>
      <c r="HT13" s="173">
        <f>AVERAGE(HS13,HU13)</f>
        <v>7.9739500000000003</v>
      </c>
      <c r="HU13" s="28">
        <f>'(Bloom Raw Data)'!HY13</f>
        <v>7.4016000000000002</v>
      </c>
      <c r="HV13" s="173">
        <f>AVERAGE(HU13,HW13)</f>
        <v>7.2644500000000001</v>
      </c>
      <c r="HW13" s="28">
        <f>'(Bloom Raw Data)'!IA13</f>
        <v>7.1273</v>
      </c>
      <c r="HX13" s="173">
        <f>AVERAGE(HW13,HY13)</f>
        <v>6.4127999999999998</v>
      </c>
      <c r="HY13" s="28">
        <f>'(Bloom Raw Data)'!IC13</f>
        <v>5.6982999999999997</v>
      </c>
      <c r="HZ13" s="173">
        <f>AVERAGE(HY13,IA13)</f>
        <v>6.4618500000000001</v>
      </c>
      <c r="IA13" s="28">
        <f>'(Bloom Raw Data)'!IE13</f>
        <v>7.2253999999999996</v>
      </c>
      <c r="IB13" s="72"/>
      <c r="IC13" s="2293"/>
    </row>
    <row r="14" spans="1:237" s="2294" customFormat="1">
      <c r="A14" s="25" t="s">
        <v>19</v>
      </c>
      <c r="B14" s="25" t="s">
        <v>74</v>
      </c>
      <c r="C14" s="25"/>
      <c r="D14" s="26">
        <f>'(Bloom Raw Data)'!D14</f>
        <v>46131.404699999999</v>
      </c>
      <c r="E14" s="27">
        <f>AVERAGE(D14,F14)</f>
        <v>41969.843999999997</v>
      </c>
      <c r="F14" s="26">
        <f>'(Bloom Raw Data)'!F14</f>
        <v>37808.283300000003</v>
      </c>
      <c r="G14" s="27">
        <f>AVERAGE(F14,H14)</f>
        <v>39558.580700000006</v>
      </c>
      <c r="H14" s="26">
        <f>'(Bloom Raw Data)'!H14</f>
        <v>41308.878100000002</v>
      </c>
      <c r="I14" s="27">
        <f>AVERAGE(H14,J14)</f>
        <v>40066.725200000001</v>
      </c>
      <c r="J14" s="26">
        <f>'(Bloom Raw Data)'!J14</f>
        <v>38824.5723</v>
      </c>
      <c r="K14" s="27">
        <f>AVERAGE(J14,L14)</f>
        <v>35390.618650000004</v>
      </c>
      <c r="L14" s="26">
        <f>'(Bloom Raw Data)'!L14</f>
        <v>31956.665000000001</v>
      </c>
      <c r="M14" s="27">
        <f>AVERAGE(L14,N14)</f>
        <v>29623.968249999998</v>
      </c>
      <c r="N14" s="26">
        <f>'(Bloom Raw Data)'!N14</f>
        <v>27291.271499999999</v>
      </c>
      <c r="O14" s="27">
        <f>AVERAGE(N14,P14)</f>
        <v>24600.597300000001</v>
      </c>
      <c r="P14" s="26">
        <f>'(Bloom Raw Data)'!P14</f>
        <v>21909.9231</v>
      </c>
      <c r="Q14" s="27">
        <f>AVERAGE(P14,R14)</f>
        <v>20517.258099999999</v>
      </c>
      <c r="R14" s="26">
        <f>'(Bloom Raw Data)'!R14</f>
        <v>19124.593099999998</v>
      </c>
      <c r="S14" s="25"/>
      <c r="T14" s="26">
        <f>'(Bloom Raw Data)'!U14</f>
        <v>32909</v>
      </c>
      <c r="U14" s="27">
        <f>AVERAGE(T14,V14)</f>
        <v>33908.5</v>
      </c>
      <c r="V14" s="26">
        <f>'(Bloom Raw Data)'!W14</f>
        <v>34908</v>
      </c>
      <c r="W14" s="27">
        <f>AVERAGE(V14,X14)</f>
        <v>32932</v>
      </c>
      <c r="X14" s="26">
        <f>'(Bloom Raw Data)'!Y14</f>
        <v>30956</v>
      </c>
      <c r="Y14" s="27">
        <f>AVERAGE(X14,Z14)</f>
        <v>31335.5</v>
      </c>
      <c r="Z14" s="26">
        <f>'(Bloom Raw Data)'!AA14</f>
        <v>31715</v>
      </c>
      <c r="AA14" s="27">
        <f>AVERAGE(Z14,AB14)</f>
        <v>31048</v>
      </c>
      <c r="AB14" s="26">
        <f>'(Bloom Raw Data)'!AC14</f>
        <v>30381</v>
      </c>
      <c r="AC14" s="27">
        <f>AVERAGE(AB14,AD14)</f>
        <v>31067</v>
      </c>
      <c r="AD14" s="26">
        <f>'(Bloom Raw Data)'!AE14</f>
        <v>31753</v>
      </c>
      <c r="AE14" s="27">
        <f>AVERAGE(AD14,AF14)</f>
        <v>31252.5</v>
      </c>
      <c r="AF14" s="26">
        <f>'(Bloom Raw Data)'!AG14</f>
        <v>30752</v>
      </c>
      <c r="AG14" s="27">
        <f>AVERAGE(AF14,AH14)</f>
        <v>30456.5</v>
      </c>
      <c r="AH14" s="26">
        <f>'(Bloom Raw Data)'!AI14</f>
        <v>30161</v>
      </c>
      <c r="AI14" s="25"/>
      <c r="AJ14" s="126">
        <f>AK14</f>
        <v>6685</v>
      </c>
      <c r="AK14" s="26">
        <f>'(Bloom Raw Data)'!AP14</f>
        <v>6685</v>
      </c>
      <c r="AL14" s="26">
        <f>'(Bloom Raw Data)'!AT14</f>
        <v>6255</v>
      </c>
      <c r="AM14" s="26">
        <f>'(Bloom Raw Data)'!AX14</f>
        <v>7453</v>
      </c>
      <c r="AN14" s="25"/>
      <c r="AO14" s="28">
        <f>'(Bloom Raw Data)'!BC14</f>
        <v>2.4908999999999999</v>
      </c>
      <c r="AP14" s="29">
        <f>AVERAGE(AO14,AQ14)</f>
        <v>3.6191999999999998</v>
      </c>
      <c r="AQ14" s="28">
        <f>'(Bloom Raw Data)'!BE14</f>
        <v>4.7474999999999996</v>
      </c>
      <c r="AR14" s="29">
        <f>AVERAGE(AQ14,AS14)</f>
        <v>3.9719499999999996</v>
      </c>
      <c r="AS14" s="28">
        <f>'(Bloom Raw Data)'!BG14</f>
        <v>3.1964000000000001</v>
      </c>
      <c r="AT14" s="29">
        <f>AVERAGE(AS14,AU14)</f>
        <v>3.7259000000000002</v>
      </c>
      <c r="AU14" s="28">
        <f>'(Bloom Raw Data)'!BI14</f>
        <v>4.2553999999999998</v>
      </c>
      <c r="AV14" s="29">
        <f>AVERAGE(AU14,AW14)</f>
        <v>4.0244</v>
      </c>
      <c r="AW14" s="28">
        <f>'(Bloom Raw Data)'!BK14</f>
        <v>3.7934000000000001</v>
      </c>
      <c r="AX14" s="29">
        <f>AVERAGE(AW14,AY14)</f>
        <v>4.2875499999999995</v>
      </c>
      <c r="AY14" s="28">
        <f>'(Bloom Raw Data)'!BM14</f>
        <v>4.7816999999999998</v>
      </c>
      <c r="AZ14" s="29">
        <f>AVERAGE(AY14,BA14)</f>
        <v>3.5902500000000002</v>
      </c>
      <c r="BA14" s="28">
        <f>'(Bloom Raw Data)'!BO14</f>
        <v>2.3988</v>
      </c>
      <c r="BB14" s="29">
        <f>AVERAGE(BA14,BC14)</f>
        <v>3.1452999999999998</v>
      </c>
      <c r="BC14" s="28">
        <f>'(Bloom Raw Data)'!BQ14</f>
        <v>3.8917999999999999</v>
      </c>
      <c r="BD14" s="25"/>
      <c r="BE14" s="28">
        <f>'(Bloom Raw Data)'!BT14</f>
        <v>2.3454000000000002</v>
      </c>
      <c r="BF14" s="29">
        <f>AVERAGE(BE14,BG14)</f>
        <v>2.44895</v>
      </c>
      <c r="BG14" s="28">
        <f>'(Bloom Raw Data)'!BV14</f>
        <v>2.5525000000000002</v>
      </c>
      <c r="BH14" s="29">
        <f>AVERAGE(BG14,BI14)</f>
        <v>2.32335</v>
      </c>
      <c r="BI14" s="28">
        <f>'(Bloom Raw Data)'!BX14</f>
        <v>2.0941999999999998</v>
      </c>
      <c r="BJ14" s="29">
        <f>AVERAGE(BI14,BK14)</f>
        <v>2.1409500000000001</v>
      </c>
      <c r="BK14" s="28">
        <f>'(Bloom Raw Data)'!BZ14</f>
        <v>2.1877</v>
      </c>
      <c r="BL14" s="29">
        <f>AVERAGE(BK14,BM14)</f>
        <v>2.1052499999999998</v>
      </c>
      <c r="BM14" s="28">
        <f>'(Bloom Raw Data)'!CB14</f>
        <v>2.0228000000000002</v>
      </c>
      <c r="BN14" s="29">
        <f>AVERAGE(BM14,BO14)</f>
        <v>2.1268000000000002</v>
      </c>
      <c r="BO14" s="28">
        <f>'(Bloom Raw Data)'!CD14</f>
        <v>2.2307999999999999</v>
      </c>
      <c r="BP14" s="29">
        <f>AVERAGE(BO14,BQ14)</f>
        <v>2.3579999999999997</v>
      </c>
      <c r="BQ14" s="28">
        <f>'(Bloom Raw Data)'!CF14</f>
        <v>2.4851999999999999</v>
      </c>
      <c r="BR14" s="29">
        <f>AVERAGE(BQ14,BS14)</f>
        <v>2.5004499999999998</v>
      </c>
      <c r="BS14" s="28">
        <f>'(Bloom Raw Data)'!CH14</f>
        <v>2.5156999999999998</v>
      </c>
      <c r="BT14" s="25"/>
      <c r="BU14" s="26">
        <f>'(Bloom Raw Data)'!CK14</f>
        <v>81753.404699999999</v>
      </c>
      <c r="BV14" s="27">
        <f>AVERAGE(BU14,BW14)</f>
        <v>78425.843999999997</v>
      </c>
      <c r="BW14" s="26">
        <f>'(Bloom Raw Data)'!CM14</f>
        <v>75098.283299999996</v>
      </c>
      <c r="BX14" s="27">
        <f>AVERAGE(BW14,BY14)</f>
        <v>74905.580699999991</v>
      </c>
      <c r="BY14" s="26">
        <f>'(Bloom Raw Data)'!CO14</f>
        <v>74712.878100000002</v>
      </c>
      <c r="BZ14" s="27">
        <f>AVERAGE(BY14,CA14)</f>
        <v>73641.225200000001</v>
      </c>
      <c r="CA14" s="26">
        <f>'(Bloom Raw Data)'!CQ14</f>
        <v>72569.5723</v>
      </c>
      <c r="CB14" s="27">
        <f>AVERAGE(CA14,CC14)</f>
        <v>68463.118650000004</v>
      </c>
      <c r="CC14" s="26">
        <f>'(Bloom Raw Data)'!CS14</f>
        <v>64356.665000000001</v>
      </c>
      <c r="CD14" s="27">
        <f>AVERAGE(CC14,CE14)</f>
        <v>62526.468250000005</v>
      </c>
      <c r="CE14" s="26">
        <f>'(Bloom Raw Data)'!CU14</f>
        <v>60696.271500000003</v>
      </c>
      <c r="CF14" s="27">
        <f>AVERAGE(CE14,CG14)</f>
        <v>57718.097300000001</v>
      </c>
      <c r="CG14" s="26">
        <f>'(Bloom Raw Data)'!CW14</f>
        <v>54739.9231</v>
      </c>
      <c r="CH14" s="27">
        <f>AVERAGE(CG14,CI14)</f>
        <v>52946.258099999999</v>
      </c>
      <c r="CI14" s="26">
        <f>'(Bloom Raw Data)'!CY14</f>
        <v>51152.593099999998</v>
      </c>
      <c r="CJ14" s="25"/>
      <c r="CK14" s="26">
        <f t="shared" si="2"/>
        <v>2713</v>
      </c>
      <c r="CL14" s="26">
        <f t="shared" si="3"/>
        <v>2547.5</v>
      </c>
      <c r="CM14" s="26">
        <f t="shared" si="4"/>
        <v>2381.9999999999927</v>
      </c>
      <c r="CN14" s="26">
        <f t="shared" si="5"/>
        <v>2414.9999999999854</v>
      </c>
      <c r="CO14" s="26">
        <f t="shared" si="6"/>
        <v>2448</v>
      </c>
      <c r="CP14" s="26">
        <f t="shared" si="7"/>
        <v>2239</v>
      </c>
      <c r="CQ14" s="26">
        <f t="shared" si="8"/>
        <v>2030</v>
      </c>
      <c r="CR14" s="26">
        <f t="shared" si="9"/>
        <v>2024.5</v>
      </c>
      <c r="CS14" s="26">
        <f t="shared" si="10"/>
        <v>2019</v>
      </c>
      <c r="CT14" s="26">
        <f t="shared" si="11"/>
        <v>1835.5000000000073</v>
      </c>
      <c r="CU14" s="26">
        <f t="shared" si="12"/>
        <v>1652</v>
      </c>
      <c r="CV14" s="26">
        <f t="shared" si="13"/>
        <v>1865</v>
      </c>
      <c r="CW14" s="26">
        <f t="shared" si="14"/>
        <v>2078</v>
      </c>
      <c r="CX14" s="26">
        <f t="shared" si="15"/>
        <v>1972.5</v>
      </c>
      <c r="CY14" s="26">
        <f t="shared" si="16"/>
        <v>1867</v>
      </c>
      <c r="CZ14" s="25"/>
      <c r="DA14" s="28">
        <f>'(Bloom Raw Data)'!DB14</f>
        <v>5.8266</v>
      </c>
      <c r="DB14" s="29">
        <f>AVERAGE(DA14,DC14)</f>
        <v>5.6589</v>
      </c>
      <c r="DC14" s="28">
        <f>'(Bloom Raw Data)'!DD14</f>
        <v>5.4912000000000001</v>
      </c>
      <c r="DD14" s="29">
        <f>AVERAGE(DC14,DE14)</f>
        <v>5.2727500000000003</v>
      </c>
      <c r="DE14" s="28">
        <f>'(Bloom Raw Data)'!DF14</f>
        <v>5.0542999999999996</v>
      </c>
      <c r="DF14" s="29">
        <f>AVERAGE(DE14,DG14)</f>
        <v>5.0300499999999992</v>
      </c>
      <c r="DG14" s="28">
        <f>'(Bloom Raw Data)'!DH14</f>
        <v>5.0057999999999998</v>
      </c>
      <c r="DH14" s="29">
        <f>AVERAGE(DG14,DI14)</f>
        <v>4.6454000000000004</v>
      </c>
      <c r="DI14" s="28">
        <f>'(Bloom Raw Data)'!DJ14</f>
        <v>4.2850000000000001</v>
      </c>
      <c r="DJ14" s="29">
        <f>AVERAGE(DI14,DK14)</f>
        <v>4.2745999999999995</v>
      </c>
      <c r="DK14" s="28">
        <f>'(Bloom Raw Data)'!DL14</f>
        <v>4.2641999999999998</v>
      </c>
      <c r="DL14" s="29">
        <f>AVERAGE(DK14,DM14)</f>
        <v>4.3439999999999994</v>
      </c>
      <c r="DM14" s="28">
        <f>'(Bloom Raw Data)'!DN14</f>
        <v>4.4238</v>
      </c>
      <c r="DN14" s="29">
        <f>AVERAGE(DM14,DO14)</f>
        <v>4.3452000000000002</v>
      </c>
      <c r="DO14" s="28">
        <f>'(Bloom Raw Data)'!DP14</f>
        <v>4.2666000000000004</v>
      </c>
      <c r="DP14" s="25"/>
      <c r="DQ14" s="25"/>
      <c r="DR14" s="28">
        <f>'(Bloom Raw Data)'!DS14</f>
        <v>1.823</v>
      </c>
      <c r="DS14" s="173">
        <f>AVERAGE(DR14,DT14)</f>
        <v>1.7539499999999999</v>
      </c>
      <c r="DT14" s="28">
        <f>'(Bloom Raw Data)'!DU14</f>
        <v>1.6848999999999998</v>
      </c>
      <c r="DU14" s="173">
        <f>AVERAGE(DT14,DV14)</f>
        <v>1.6634</v>
      </c>
      <c r="DV14" s="28">
        <f>'(Bloom Raw Data)'!DW14</f>
        <v>1.6419000000000001</v>
      </c>
      <c r="DW14" s="173">
        <f>AVERAGE(DV14,DX14)</f>
        <v>1.611</v>
      </c>
      <c r="DX14" s="28">
        <f>'(Bloom Raw Data)'!DY14</f>
        <v>1.5800999999999998</v>
      </c>
      <c r="DY14" s="173">
        <f>AVERAGE(DX14,DZ14)</f>
        <v>1.50075</v>
      </c>
      <c r="DZ14" s="28">
        <f>'(Bloom Raw Data)'!EA14</f>
        <v>1.4214</v>
      </c>
      <c r="EA14" s="173">
        <f>AVERAGE(DZ14,EB14)</f>
        <v>1.3919000000000001</v>
      </c>
      <c r="EB14" s="28">
        <f>'(Bloom Raw Data)'!EC14</f>
        <v>1.3624000000000001</v>
      </c>
      <c r="EC14" s="173">
        <f>AVERAGE(EB14,ED14)</f>
        <v>1.3102</v>
      </c>
      <c r="ED14" s="28">
        <f>'(Bloom Raw Data)'!EE14</f>
        <v>1.258</v>
      </c>
      <c r="EE14" s="173">
        <f>AVERAGE(ED14,EF14)</f>
        <v>1.234</v>
      </c>
      <c r="EF14" s="28">
        <f>'(Bloom Raw Data)'!EG14</f>
        <v>1.21</v>
      </c>
      <c r="EG14" s="25"/>
      <c r="EH14" s="26">
        <f>'(Bloom Raw Data)'!EJ14</f>
        <v>16.374300000000002</v>
      </c>
      <c r="EI14" s="26">
        <f>'(Bloom Raw Data)'!EK14</f>
        <v>16.642099999999999</v>
      </c>
      <c r="EJ14" s="26">
        <f>'(Bloom Raw Data)'!EL14</f>
        <v>12.815200000000001</v>
      </c>
      <c r="EK14" s="26">
        <f>'(Bloom Raw Data)'!EM14</f>
        <v>14.219099999999999</v>
      </c>
      <c r="EL14" s="26">
        <f>'(Bloom Raw Data)'!EN14</f>
        <v>10.861800000000001</v>
      </c>
      <c r="EM14" s="26">
        <f>'(Bloom Raw Data)'!EO14</f>
        <v>11.0115</v>
      </c>
      <c r="EN14" s="26">
        <f>'(Bloom Raw Data)'!EP14</f>
        <v>12.4</v>
      </c>
      <c r="EO14" s="26">
        <f>'(Bloom Raw Data)'!EQ14</f>
        <v>10.4003</v>
      </c>
      <c r="EP14" s="26" t="str">
        <f>'(Bloom Raw Data)'!ER14</f>
        <v>#N/A N/A</v>
      </c>
      <c r="EQ14" s="26" t="str">
        <f>'(Bloom Raw Data)'!ES14</f>
        <v>#N/A N/A</v>
      </c>
      <c r="ER14" s="26" t="str">
        <f>'(Bloom Raw Data)'!ET14</f>
        <v>#N/A N/A</v>
      </c>
      <c r="ES14" s="26" t="str">
        <f>'(Bloom Raw Data)'!EU14</f>
        <v>#N/A N/A</v>
      </c>
      <c r="ET14" s="26">
        <f>'(Bloom Raw Data)'!EV14</f>
        <v>26.9</v>
      </c>
      <c r="EU14" s="26" t="str">
        <f>'(Bloom Raw Data)'!EW14</f>
        <v>#N/A N/A</v>
      </c>
      <c r="EV14" s="26" t="str">
        <f>'(Bloom Raw Data)'!EX14</f>
        <v>#N/A N/A</v>
      </c>
      <c r="EW14" s="25"/>
      <c r="EX14" s="25"/>
      <c r="EY14" s="26">
        <f>'(Bloom Raw Data)'!FR14</f>
        <v>894</v>
      </c>
      <c r="EZ14" s="175">
        <f>AVERAGE(EY14,FA14)</f>
        <v>4194.5</v>
      </c>
      <c r="FA14" s="26">
        <f>'(Bloom Raw Data)'!FT14</f>
        <v>7495</v>
      </c>
      <c r="FB14" s="175">
        <f>AVERAGE(FA14,FC14)</f>
        <v>4361</v>
      </c>
      <c r="FC14" s="26">
        <f>'(Bloom Raw Data)'!FV14</f>
        <v>1227</v>
      </c>
      <c r="FD14" s="175">
        <f>AVERAGE(FC14,FE14)</f>
        <v>1137.5</v>
      </c>
      <c r="FE14" s="26">
        <f>'(Bloom Raw Data)'!FX14</f>
        <v>1048</v>
      </c>
      <c r="FF14" s="175">
        <f>AVERAGE(FE14,FG14)</f>
        <v>1179.5</v>
      </c>
      <c r="FG14" s="26">
        <f>'(Bloom Raw Data)'!FZ14</f>
        <v>1311</v>
      </c>
      <c r="FH14" s="175">
        <f>AVERAGE(FG14,FI14)</f>
        <v>4236.5</v>
      </c>
      <c r="FI14" s="26">
        <f>'(Bloom Raw Data)'!GB14</f>
        <v>7162</v>
      </c>
      <c r="FJ14" s="175">
        <f>AVERAGE(FI14,FK14)</f>
        <v>7741.5</v>
      </c>
      <c r="FK14" s="26">
        <f>'(Bloom Raw Data)'!GD14</f>
        <v>8321</v>
      </c>
      <c r="FL14" s="175">
        <f>AVERAGE(FK14,FM14)</f>
        <v>7058</v>
      </c>
      <c r="FM14" s="26">
        <f>'(Bloom Raw Data)'!GF14</f>
        <v>5795</v>
      </c>
      <c r="FN14" s="25"/>
      <c r="FO14" s="28">
        <f>'(Bloom Raw Data)'!FA14</f>
        <v>1.7172000000000001</v>
      </c>
      <c r="FP14" s="28">
        <f>'(Bloom Raw Data)'!FB14</f>
        <v>1.7452999999999999</v>
      </c>
      <c r="FQ14" s="28">
        <f>'(Bloom Raw Data)'!FC14</f>
        <v>1.2374000000000001</v>
      </c>
      <c r="FR14" s="28">
        <f>'(Bloom Raw Data)'!FD14</f>
        <v>1.3729</v>
      </c>
      <c r="FS14" s="28">
        <f>'(Bloom Raw Data)'!FE14</f>
        <v>1.4195</v>
      </c>
      <c r="FT14" s="28">
        <f>'(Bloom Raw Data)'!FF14</f>
        <v>1.4391</v>
      </c>
      <c r="FU14" s="28">
        <f>'(Bloom Raw Data)'!FG14</f>
        <v>1.3783000000000001</v>
      </c>
      <c r="FV14" s="28">
        <f>'(Bloom Raw Data)'!FH14</f>
        <v>1.1559999999999999</v>
      </c>
      <c r="FW14" s="28" t="str">
        <f>'(Bloom Raw Data)'!FI14</f>
        <v>#N/A N/A</v>
      </c>
      <c r="FX14" s="28" t="str">
        <f>'(Bloom Raw Data)'!FJ14</f>
        <v>#N/A N/A</v>
      </c>
      <c r="FY14" s="28" t="str">
        <f>'(Bloom Raw Data)'!FK14</f>
        <v>#N/A N/A</v>
      </c>
      <c r="FZ14" s="28" t="str">
        <f>'(Bloom Raw Data)'!FL14</f>
        <v>#N/A N/A</v>
      </c>
      <c r="GA14" s="28">
        <f>'(Bloom Raw Data)'!FM14</f>
        <v>0.90139999999999998</v>
      </c>
      <c r="GB14" s="28" t="str">
        <f>'(Bloom Raw Data)'!FN14</f>
        <v>#N/A N/A</v>
      </c>
      <c r="GC14" s="28" t="str">
        <f>'(Bloom Raw Data)'!FO14</f>
        <v>#N/A N/A</v>
      </c>
      <c r="GD14" s="176"/>
      <c r="GE14" s="176"/>
      <c r="GF14" s="26">
        <f>'(Bloom Raw Data)'!GI14</f>
        <v>29577</v>
      </c>
      <c r="GG14" s="175">
        <f>AVERAGE(GF14,GH14)</f>
        <v>31257</v>
      </c>
      <c r="GH14" s="26">
        <f>'(Bloom Raw Data)'!GK14</f>
        <v>32937</v>
      </c>
      <c r="GI14" s="175">
        <f>AVERAGE(GH14,GJ14)</f>
        <v>32243</v>
      </c>
      <c r="GJ14" s="26">
        <f>'(Bloom Raw Data)'!GM14</f>
        <v>31549</v>
      </c>
      <c r="GK14" s="175">
        <f>AVERAGE(GJ14,GL14)</f>
        <v>30874</v>
      </c>
      <c r="GL14" s="26">
        <f>'(Bloom Raw Data)'!GO14</f>
        <v>30199</v>
      </c>
      <c r="GM14" s="175">
        <f>AVERAGE(GL14,GN14)</f>
        <v>29895.5</v>
      </c>
      <c r="GN14" s="26">
        <f>'(Bloom Raw Data)'!GQ14</f>
        <v>29592</v>
      </c>
      <c r="GO14" s="175">
        <f>AVERAGE(GN14,GP14)</f>
        <v>29312.5</v>
      </c>
      <c r="GP14" s="26">
        <f>'(Bloom Raw Data)'!GS14</f>
        <v>29033</v>
      </c>
      <c r="GQ14" s="175">
        <f>AVERAGE(GP14,GR14)</f>
        <v>27708.5</v>
      </c>
      <c r="GR14" s="26">
        <f>'(Bloom Raw Data)'!GU14</f>
        <v>26384</v>
      </c>
      <c r="GS14" s="175">
        <f>AVERAGE(GR14,GT14)</f>
        <v>26293</v>
      </c>
      <c r="GT14" s="26">
        <f>'(Bloom Raw Data)'!GW14</f>
        <v>26202</v>
      </c>
      <c r="GU14" s="25"/>
      <c r="GV14" s="26">
        <f t="shared" si="17"/>
        <v>14031.065235300175</v>
      </c>
      <c r="GW14" s="26">
        <f t="shared" si="18"/>
        <v>13858.849599745534</v>
      </c>
      <c r="GX14" s="26">
        <f t="shared" si="19"/>
        <v>13676.115111451049</v>
      </c>
      <c r="GY14" s="26">
        <f t="shared" si="20"/>
        <v>14206.169588924184</v>
      </c>
      <c r="GZ14" s="26">
        <f t="shared" si="21"/>
        <v>14782.042636962587</v>
      </c>
      <c r="HA14" s="26">
        <f t="shared" si="22"/>
        <v>14640.257094859895</v>
      </c>
      <c r="HB14" s="26">
        <f t="shared" si="23"/>
        <v>14497.097826521236</v>
      </c>
      <c r="HC14" s="26">
        <f t="shared" si="24"/>
        <v>14737.830681964953</v>
      </c>
      <c r="HD14" s="26">
        <f t="shared" si="25"/>
        <v>15019.058343057175</v>
      </c>
      <c r="HE14" s="26">
        <f t="shared" si="26"/>
        <v>14627.443094090679</v>
      </c>
      <c r="HF14" s="26">
        <f t="shared" si="27"/>
        <v>14233.917616434503</v>
      </c>
      <c r="HG14" s="26">
        <f t="shared" si="28"/>
        <v>13286.854811233889</v>
      </c>
      <c r="HH14" s="26">
        <f t="shared" si="29"/>
        <v>12373.959740494598</v>
      </c>
      <c r="HI14" s="26">
        <f t="shared" si="30"/>
        <v>12184.999102457883</v>
      </c>
      <c r="HJ14" s="26">
        <f t="shared" ref="HJ14:HJ27" si="31">CI14/DO14</f>
        <v>11989.076337130266</v>
      </c>
      <c r="HK14" s="25"/>
      <c r="HL14" s="2658"/>
      <c r="HM14" s="28">
        <f>'(Bloom Raw Data)'!HQ14</f>
        <v>5.7671000000000001</v>
      </c>
      <c r="HN14" s="173">
        <f>AVERAGE(HM14,HO14)</f>
        <v>6.2724000000000002</v>
      </c>
      <c r="HO14" s="28">
        <f>'(Bloom Raw Data)'!HS14</f>
        <v>6.7777000000000003</v>
      </c>
      <c r="HP14" s="173">
        <f>AVERAGE(HO14,HQ14)</f>
        <v>6.5382999999999996</v>
      </c>
      <c r="HQ14" s="28">
        <f>'(Bloom Raw Data)'!HU14</f>
        <v>6.2988999999999997</v>
      </c>
      <c r="HR14" s="173">
        <f>AVERAGE(HQ14,HS14)</f>
        <v>6.5455500000000004</v>
      </c>
      <c r="HS14" s="28">
        <f>'(Bloom Raw Data)'!HW14</f>
        <v>6.7922000000000002</v>
      </c>
      <c r="HT14" s="173">
        <f>AVERAGE(HS14,HU14)</f>
        <v>6.2340499999999999</v>
      </c>
      <c r="HU14" s="28">
        <f>'(Bloom Raw Data)'!HY14</f>
        <v>5.6759000000000004</v>
      </c>
      <c r="HV14" s="173">
        <f>AVERAGE(HU14,HW14)</f>
        <v>5.6132500000000007</v>
      </c>
      <c r="HW14" s="28">
        <f>'(Bloom Raw Data)'!IA14</f>
        <v>5.5506000000000002</v>
      </c>
      <c r="HX14" s="173">
        <f>AVERAGE(HW14,HY14)</f>
        <v>4.7308000000000003</v>
      </c>
      <c r="HY14" s="28">
        <f>'(Bloom Raw Data)'!IC14</f>
        <v>3.911</v>
      </c>
      <c r="HZ14" s="173">
        <f>AVERAGE(HY14,IA14)</f>
        <v>4.1823499999999996</v>
      </c>
      <c r="IA14" s="28">
        <f>'(Bloom Raw Data)'!IE14</f>
        <v>4.4536999999999995</v>
      </c>
      <c r="IB14" s="72"/>
      <c r="IC14" s="2293"/>
    </row>
    <row r="15" spans="1:237">
      <c r="A15" s="11" t="s">
        <v>374</v>
      </c>
      <c r="B15" s="11" t="s">
        <v>5</v>
      </c>
      <c r="C15" s="11"/>
      <c r="D15" s="165">
        <f>'(Bloom Raw Data)'!D15</f>
        <v>5043.6475</v>
      </c>
      <c r="E15" s="165">
        <f>'(Bloom Raw Data)'!E15</f>
        <v>4504.4821000000002</v>
      </c>
      <c r="F15" s="165">
        <f>'(Bloom Raw Data)'!F15</f>
        <v>3038.9324000000001</v>
      </c>
      <c r="G15" s="165">
        <f>'(Bloom Raw Data)'!G15</f>
        <v>2587.9940999999999</v>
      </c>
      <c r="H15" s="165">
        <f>'(Bloom Raw Data)'!H15</f>
        <v>3004.6219000000001</v>
      </c>
      <c r="I15" s="165">
        <f>'(Bloom Raw Data)'!I15</f>
        <v>3862.3851</v>
      </c>
      <c r="J15" s="165">
        <f>'(Bloom Raw Data)'!J15</f>
        <v>3151.6669999999999</v>
      </c>
      <c r="K15" s="165">
        <f>'(Bloom Raw Data)'!K15</f>
        <v>1568.4811999999999</v>
      </c>
      <c r="L15" s="165">
        <f>'(Bloom Raw Data)'!L15</f>
        <v>1411.6331</v>
      </c>
      <c r="M15" s="165">
        <f>'(Bloom Raw Data)'!M15</f>
        <v>1563.5797</v>
      </c>
      <c r="N15" s="165">
        <f>'(Bloom Raw Data)'!N15</f>
        <v>980.30079999999998</v>
      </c>
      <c r="O15" s="165">
        <f>'(Bloom Raw Data)'!O15</f>
        <v>1426.3376000000001</v>
      </c>
      <c r="P15" s="165">
        <f>'(Bloom Raw Data)'!P15</f>
        <v>2499.7669999999998</v>
      </c>
      <c r="Q15" s="165">
        <f>'(Bloom Raw Data)'!Q15</f>
        <v>2313.5097999999998</v>
      </c>
      <c r="R15" s="165">
        <f>'(Bloom Raw Data)'!R15</f>
        <v>2940.9023000000002</v>
      </c>
      <c r="S15" s="11"/>
      <c r="T15" s="165">
        <f>'(Bloom Raw Data)'!U15</f>
        <v>4517.7</v>
      </c>
      <c r="U15" s="165">
        <f>'(Bloom Raw Data)'!V15</f>
        <v>4506.4998999999998</v>
      </c>
      <c r="V15" s="165">
        <f>'(Bloom Raw Data)'!W15</f>
        <v>4571.1000999999997</v>
      </c>
      <c r="W15" s="165">
        <f>'(Bloom Raw Data)'!X15</f>
        <v>4526.5</v>
      </c>
      <c r="X15" s="165">
        <f>'(Bloom Raw Data)'!Y15</f>
        <v>4283</v>
      </c>
      <c r="Y15" s="165">
        <f>'(Bloom Raw Data)'!Z15</f>
        <v>4303.3</v>
      </c>
      <c r="Z15" s="165">
        <f>'(Bloom Raw Data)'!AA15</f>
        <v>4120.8</v>
      </c>
      <c r="AA15" s="165">
        <f>'(Bloom Raw Data)'!AB15</f>
        <v>4016.7</v>
      </c>
      <c r="AB15" s="165">
        <f>'(Bloom Raw Data)'!AC15</f>
        <v>3485.1</v>
      </c>
      <c r="AC15" s="165">
        <f>'(Bloom Raw Data)'!AD15</f>
        <v>3350.6</v>
      </c>
      <c r="AD15" s="165">
        <f>'(Bloom Raw Data)'!AE15</f>
        <v>3199.8</v>
      </c>
      <c r="AE15" s="165">
        <f>'(Bloom Raw Data)'!AF15</f>
        <v>2951.1</v>
      </c>
      <c r="AF15" s="165">
        <f>'(Bloom Raw Data)'!AG15</f>
        <v>2817.4</v>
      </c>
      <c r="AG15" s="165">
        <f>'(Bloom Raw Data)'!AH15</f>
        <v>2697.2</v>
      </c>
      <c r="AH15" s="165">
        <f>'(Bloom Raw Data)'!AI15</f>
        <v>1776.6</v>
      </c>
      <c r="AI15" s="11"/>
      <c r="AJ15" s="165">
        <f>'(Bloom Raw Data)'!AL15</f>
        <v>0</v>
      </c>
      <c r="AK15" s="165">
        <f>'(Bloom Raw Data)'!AP15</f>
        <v>0</v>
      </c>
      <c r="AL15" s="165">
        <f>'(Bloom Raw Data)'!AT15</f>
        <v>826.7</v>
      </c>
      <c r="AM15" s="165">
        <f>'(Bloom Raw Data)'!AX15</f>
        <v>953.7</v>
      </c>
      <c r="AN15" s="11"/>
      <c r="AO15" s="166">
        <f>'(Bloom Raw Data)'!BC15</f>
        <v>4.2929000000000004</v>
      </c>
      <c r="AP15" s="166">
        <f>'(Bloom Raw Data)'!BD15</f>
        <v>2.7644000000000002</v>
      </c>
      <c r="AQ15" s="166">
        <f>'(Bloom Raw Data)'!BE15</f>
        <v>1.8372999999999999</v>
      </c>
      <c r="AR15" s="166">
        <f>'(Bloom Raw Data)'!BF15</f>
        <v>3.5535000000000001</v>
      </c>
      <c r="AS15" s="166">
        <f>'(Bloom Raw Data)'!BG15</f>
        <v>-2.6909000000000001</v>
      </c>
      <c r="AT15" s="166">
        <f>'(Bloom Raw Data)'!BH15</f>
        <v>2.0889000000000002</v>
      </c>
      <c r="AU15" s="166">
        <f>'(Bloom Raw Data)'!BI15</f>
        <v>2.0714999999999999</v>
      </c>
      <c r="AV15" s="166">
        <f>'(Bloom Raw Data)'!BJ15</f>
        <v>2.9079000000000002</v>
      </c>
      <c r="AW15" s="166">
        <f>'(Bloom Raw Data)'!BK15</f>
        <v>-1.2839</v>
      </c>
      <c r="AX15" s="166">
        <f>'(Bloom Raw Data)'!BL15</f>
        <v>2.8128000000000002</v>
      </c>
      <c r="AY15" s="166">
        <f>'(Bloom Raw Data)'!BM15</f>
        <v>3.5548999999999999</v>
      </c>
      <c r="AZ15" s="166">
        <f>'(Bloom Raw Data)'!BN15</f>
        <v>3.2147999999999999</v>
      </c>
      <c r="BA15" s="166">
        <f>'(Bloom Raw Data)'!BO15</f>
        <v>0.38800000000000001</v>
      </c>
      <c r="BB15" s="166">
        <f>'(Bloom Raw Data)'!BP15</f>
        <v>2.2157999999999998</v>
      </c>
      <c r="BC15" s="166">
        <f>'(Bloom Raw Data)'!BQ15</f>
        <v>2.2277</v>
      </c>
      <c r="BD15" s="11"/>
      <c r="BE15" s="166">
        <f>'(Bloom Raw Data)'!BT15</f>
        <v>1.9875</v>
      </c>
      <c r="BF15" s="166">
        <f>'(Bloom Raw Data)'!BU15</f>
        <v>2.0310999999999999</v>
      </c>
      <c r="BG15" s="166">
        <f>'(Bloom Raw Data)'!BV15</f>
        <v>1.9903</v>
      </c>
      <c r="BH15" s="166">
        <f>'(Bloom Raw Data)'!BW15</f>
        <v>2.0438999999999998</v>
      </c>
      <c r="BI15" s="166">
        <f>'(Bloom Raw Data)'!BX15</f>
        <v>2.3746</v>
      </c>
      <c r="BJ15" s="166">
        <f>'(Bloom Raw Data)'!BY15</f>
        <v>2.4922</v>
      </c>
      <c r="BK15" s="166">
        <f>'(Bloom Raw Data)'!BZ15</f>
        <v>2.4661</v>
      </c>
      <c r="BL15" s="166">
        <f>'(Bloom Raw Data)'!CA15</f>
        <v>2.4581</v>
      </c>
      <c r="BM15" s="166">
        <f>'(Bloom Raw Data)'!CB15</f>
        <v>2.0434000000000001</v>
      </c>
      <c r="BN15" s="166">
        <f>'(Bloom Raw Data)'!CC15</f>
        <v>1.9392</v>
      </c>
      <c r="BO15" s="166">
        <f>'(Bloom Raw Data)'!CD15</f>
        <v>1.9060999999999999</v>
      </c>
      <c r="BP15" s="166">
        <f>'(Bloom Raw Data)'!CE15</f>
        <v>1.7988</v>
      </c>
      <c r="BQ15" s="166">
        <f>'(Bloom Raw Data)'!CF15</f>
        <v>1.8974</v>
      </c>
      <c r="BR15" s="166">
        <f>'(Bloom Raw Data)'!CG15</f>
        <v>1.8827</v>
      </c>
      <c r="BS15" s="166">
        <f>'(Bloom Raw Data)'!CH15</f>
        <v>1.2671000000000001</v>
      </c>
      <c r="BT15" s="11"/>
      <c r="BU15" s="165">
        <f>'(Bloom Raw Data)'!CK15</f>
        <v>10319.047500000001</v>
      </c>
      <c r="BV15" s="165">
        <f>'(Bloom Raw Data)'!CL15</f>
        <v>9792.482</v>
      </c>
      <c r="BW15" s="165">
        <f>'(Bloom Raw Data)'!CM15</f>
        <v>8313.5324999999993</v>
      </c>
      <c r="BX15" s="165">
        <f>'(Bloom Raw Data)'!CN15</f>
        <v>7832.9940999999999</v>
      </c>
      <c r="BY15" s="165">
        <f>'(Bloom Raw Data)'!CO15</f>
        <v>7840.6219000000001</v>
      </c>
      <c r="BZ15" s="165">
        <f>'(Bloom Raw Data)'!CP15</f>
        <v>8689.7850999999991</v>
      </c>
      <c r="CA15" s="165">
        <f>'(Bloom Raw Data)'!CQ15</f>
        <v>7775.8670000000002</v>
      </c>
      <c r="CB15" s="165">
        <f>'(Bloom Raw Data)'!CR15</f>
        <v>6075.2812000000004</v>
      </c>
      <c r="CC15" s="165">
        <f>'(Bloom Raw Data)'!CS15</f>
        <v>5270.5330999999996</v>
      </c>
      <c r="CD15" s="165">
        <f>'(Bloom Raw Data)'!CT15</f>
        <v>5289.9796999999999</v>
      </c>
      <c r="CE15" s="165">
        <f>'(Bloom Raw Data)'!CU15</f>
        <v>4556.3008</v>
      </c>
      <c r="CF15" s="165">
        <f>'(Bloom Raw Data)'!CV15</f>
        <v>4756.2376000000004</v>
      </c>
      <c r="CG15" s="165">
        <f>'(Bloom Raw Data)'!CW15</f>
        <v>5707.1670000000004</v>
      </c>
      <c r="CH15" s="165">
        <f>'(Bloom Raw Data)'!CX15</f>
        <v>5405.4098000000004</v>
      </c>
      <c r="CI15" s="165">
        <f>'(Bloom Raw Data)'!CY15</f>
        <v>5111.6022999999996</v>
      </c>
      <c r="CJ15" s="11"/>
      <c r="CK15" s="165">
        <f t="shared" si="2"/>
        <v>757.70000000000073</v>
      </c>
      <c r="CL15" s="165">
        <f t="shared" si="3"/>
        <v>781.5</v>
      </c>
      <c r="CM15" s="165">
        <f t="shared" si="4"/>
        <v>703.5</v>
      </c>
      <c r="CN15" s="165">
        <f t="shared" si="5"/>
        <v>718.5</v>
      </c>
      <c r="CO15" s="165">
        <f t="shared" si="6"/>
        <v>553</v>
      </c>
      <c r="CP15" s="165">
        <f t="shared" si="7"/>
        <v>524.09999999999945</v>
      </c>
      <c r="CQ15" s="165">
        <f t="shared" si="8"/>
        <v>503.40000000000055</v>
      </c>
      <c r="CR15" s="165">
        <f t="shared" si="9"/>
        <v>490.10000000000036</v>
      </c>
      <c r="CS15" s="165">
        <f t="shared" si="10"/>
        <v>373.79999999999973</v>
      </c>
      <c r="CT15" s="165">
        <f t="shared" si="11"/>
        <v>375.79999999999973</v>
      </c>
      <c r="CU15" s="165">
        <f t="shared" si="12"/>
        <v>376.19999999999982</v>
      </c>
      <c r="CV15" s="165">
        <f t="shared" si="13"/>
        <v>378.80000000000064</v>
      </c>
      <c r="CW15" s="165">
        <f t="shared" si="14"/>
        <v>390.00000000000045</v>
      </c>
      <c r="CX15" s="165">
        <f t="shared" si="15"/>
        <v>394.70000000000073</v>
      </c>
      <c r="CY15" s="165">
        <f t="shared" si="16"/>
        <v>394.09999999999945</v>
      </c>
      <c r="CZ15" s="11"/>
      <c r="DA15" s="166">
        <f>'(Bloom Raw Data)'!DB15</f>
        <v>4.5397999999999996</v>
      </c>
      <c r="DB15" s="166">
        <f>'(Bloom Raw Data)'!DC15</f>
        <v>4.4135999999999997</v>
      </c>
      <c r="DC15" s="166">
        <f>'(Bloom Raw Data)'!DD15</f>
        <v>3.6198000000000001</v>
      </c>
      <c r="DD15" s="166">
        <f>'(Bloom Raw Data)'!DE15</f>
        <v>3.5369999999999999</v>
      </c>
      <c r="DE15" s="166">
        <f>'(Bloom Raw Data)'!DF15</f>
        <v>4.3469999999999995</v>
      </c>
      <c r="DF15" s="166">
        <f>'(Bloom Raw Data)'!DG15</f>
        <v>5.0326000000000004</v>
      </c>
      <c r="DG15" s="166">
        <f>'(Bloom Raw Data)'!DH15</f>
        <v>4.6533999999999995</v>
      </c>
      <c r="DH15" s="166">
        <f>'(Bloom Raw Data)'!DI15</f>
        <v>3.7178</v>
      </c>
      <c r="DI15" s="166">
        <f>'(Bloom Raw Data)'!DJ15</f>
        <v>3.0903</v>
      </c>
      <c r="DJ15" s="166">
        <f>'(Bloom Raw Data)'!DK15</f>
        <v>3.0617000000000001</v>
      </c>
      <c r="DK15" s="166">
        <f>'(Bloom Raw Data)'!DL15</f>
        <v>2.7141999999999999</v>
      </c>
      <c r="DL15" s="166">
        <f>'(Bloom Raw Data)'!DM15</f>
        <v>2.8990999999999998</v>
      </c>
      <c r="DM15" s="166">
        <f>'(Bloom Raw Data)'!DN15</f>
        <v>3.8435000000000001</v>
      </c>
      <c r="DN15" s="166">
        <f>'(Bloom Raw Data)'!DO15</f>
        <v>3.7730999999999999</v>
      </c>
      <c r="DO15" s="166">
        <f>'(Bloom Raw Data)'!DP15</f>
        <v>3.6457000000000002</v>
      </c>
      <c r="DP15" s="11"/>
      <c r="DQ15" s="11"/>
      <c r="DR15" s="166">
        <f>'(Bloom Raw Data)'!DS15</f>
        <v>1.7317</v>
      </c>
      <c r="DS15" s="166">
        <f>'(Bloom Raw Data)'!DT15</f>
        <v>1.7845</v>
      </c>
      <c r="DT15" s="166">
        <f>'(Bloom Raw Data)'!DU15</f>
        <v>1.5479000000000001</v>
      </c>
      <c r="DU15" s="166">
        <f>'(Bloom Raw Data)'!DV15</f>
        <v>1.4929999999999999</v>
      </c>
      <c r="DV15" s="166">
        <f>'(Bloom Raw Data)'!DW15</f>
        <v>1.43</v>
      </c>
      <c r="DW15" s="166">
        <f>'(Bloom Raw Data)'!DX15</f>
        <v>1.518</v>
      </c>
      <c r="DX15" s="166">
        <f>'(Bloom Raw Data)'!DY15</f>
        <v>1.2915000000000001</v>
      </c>
      <c r="DY15" s="166">
        <f>'(Bloom Raw Data)'!DZ15</f>
        <v>1.0226999999999999</v>
      </c>
      <c r="DZ15" s="166">
        <f>'(Bloom Raw Data)'!EA15</f>
        <v>0.96930000000000005</v>
      </c>
      <c r="EA15" s="166">
        <f>'(Bloom Raw Data)'!EB15</f>
        <v>0.98089999999999999</v>
      </c>
      <c r="EB15" s="166">
        <f>'(Bloom Raw Data)'!EC15</f>
        <v>0.87039999999999995</v>
      </c>
      <c r="EC15" s="166">
        <f>'(Bloom Raw Data)'!ED15</f>
        <v>0.93240000000000001</v>
      </c>
      <c r="ED15" s="166">
        <f>'(Bloom Raw Data)'!EE15</f>
        <v>1.2439</v>
      </c>
      <c r="EE15" s="166">
        <f>'(Bloom Raw Data)'!EF15</f>
        <v>1.2138</v>
      </c>
      <c r="EF15" s="166">
        <f>'(Bloom Raw Data)'!EG15</f>
        <v>1.1727000000000001</v>
      </c>
      <c r="EG15" s="11"/>
      <c r="EH15" s="165">
        <f>'(Bloom Raw Data)'!EJ15</f>
        <v>12.274000000000001</v>
      </c>
      <c r="EI15" s="165">
        <f>'(Bloom Raw Data)'!EK15</f>
        <v>21.447700000000001</v>
      </c>
      <c r="EJ15" s="165">
        <f>'(Bloom Raw Data)'!EL15</f>
        <v>21.0275</v>
      </c>
      <c r="EK15" s="165">
        <f>'(Bloom Raw Data)'!EM15</f>
        <v>24.029699999999998</v>
      </c>
      <c r="EL15" s="165">
        <f>'(Bloom Raw Data)'!EN15</f>
        <v>75.873900000000006</v>
      </c>
      <c r="EM15" s="165">
        <f>'(Bloom Raw Data)'!EO15</f>
        <v>967.22730000000001</v>
      </c>
      <c r="EN15" s="165">
        <f>'(Bloom Raw Data)'!EP15</f>
        <v>24.817499999999999</v>
      </c>
      <c r="EO15" s="165">
        <f>'(Bloom Raw Data)'!EQ15</f>
        <v>14.924300000000001</v>
      </c>
      <c r="EP15" s="165" t="str">
        <f>'(Bloom Raw Data)'!ER15</f>
        <v>#N/A N/A</v>
      </c>
      <c r="EQ15" s="165" t="str">
        <f>'(Bloom Raw Data)'!ES15</f>
        <v>#N/A N/A</v>
      </c>
      <c r="ER15" s="165" t="str">
        <f>'(Bloom Raw Data)'!ET15</f>
        <v>#N/A N/A</v>
      </c>
      <c r="ES15" s="165" t="str">
        <f>'(Bloom Raw Data)'!EU15</f>
        <v>#N/A N/A</v>
      </c>
      <c r="ET15" s="165">
        <f>'(Bloom Raw Data)'!EV15</f>
        <v>5.3414000000000001</v>
      </c>
      <c r="EU15" s="165" t="str">
        <f>'(Bloom Raw Data)'!EW15</f>
        <v>#N/A N/A</v>
      </c>
      <c r="EV15" s="165" t="str">
        <f>'(Bloom Raw Data)'!EX15</f>
        <v>#N/A N/A</v>
      </c>
      <c r="EW15" s="11"/>
      <c r="EX15" s="11"/>
      <c r="EY15" s="165">
        <f>'(Bloom Raw Data)'!FR15</f>
        <v>868.8</v>
      </c>
      <c r="EZ15" s="165">
        <f>'(Bloom Raw Data)'!FS15</f>
        <v>878.5</v>
      </c>
      <c r="FA15" s="165">
        <f>'(Bloom Raw Data)'!FT15</f>
        <v>761.1</v>
      </c>
      <c r="FB15" s="165">
        <f>'(Bloom Raw Data)'!FU15</f>
        <v>794.9</v>
      </c>
      <c r="FC15" s="165">
        <f>'(Bloom Raw Data)'!FV15</f>
        <v>1004.3</v>
      </c>
      <c r="FD15" s="165">
        <f>'(Bloom Raw Data)'!FW15</f>
        <v>469.1</v>
      </c>
      <c r="FE15" s="165">
        <f>'(Bloom Raw Data)'!FX15</f>
        <v>867.4</v>
      </c>
      <c r="FF15" s="165">
        <f>'(Bloom Raw Data)'!FY15</f>
        <v>1072</v>
      </c>
      <c r="FG15" s="165">
        <f>'(Bloom Raw Data)'!FZ15</f>
        <v>683.4</v>
      </c>
      <c r="FH15" s="165">
        <f>'(Bloom Raw Data)'!GA15</f>
        <v>849</v>
      </c>
      <c r="FI15" s="165">
        <f>'(Bloom Raw Data)'!GB15</f>
        <v>1310.2</v>
      </c>
      <c r="FJ15" s="165">
        <f>'(Bloom Raw Data)'!GC15</f>
        <v>1040.8</v>
      </c>
      <c r="FK15" s="165">
        <f>'(Bloom Raw Data)'!GD15</f>
        <v>1226.7</v>
      </c>
      <c r="FL15" s="165">
        <f>'(Bloom Raw Data)'!GE15</f>
        <v>1430.9</v>
      </c>
      <c r="FM15" s="165">
        <f>'(Bloom Raw Data)'!GF15</f>
        <v>1235</v>
      </c>
      <c r="FN15" s="11"/>
      <c r="FO15" s="166">
        <f>'(Bloom Raw Data)'!FA15</f>
        <v>4.4777000000000005</v>
      </c>
      <c r="FP15" s="166">
        <f>'(Bloom Raw Data)'!FB15</f>
        <v>3.6223999999999998</v>
      </c>
      <c r="FQ15" s="166">
        <f>'(Bloom Raw Data)'!FC15</f>
        <v>3.0564</v>
      </c>
      <c r="FR15" s="166">
        <f>'(Bloom Raw Data)'!FD15</f>
        <v>2.2770000000000001</v>
      </c>
      <c r="FS15" s="166">
        <f>'(Bloom Raw Data)'!FE15</f>
        <v>2.7324999999999999</v>
      </c>
      <c r="FT15" s="166">
        <f>'(Bloom Raw Data)'!FF15</f>
        <v>3.2467999999999999</v>
      </c>
      <c r="FU15" s="166">
        <f>'(Bloom Raw Data)'!FG15</f>
        <v>2.7231000000000001</v>
      </c>
      <c r="FV15" s="166">
        <f>'(Bloom Raw Data)'!FH15</f>
        <v>1.1045</v>
      </c>
      <c r="FW15" s="166" t="str">
        <f>'(Bloom Raw Data)'!FI15</f>
        <v>#N/A N/A</v>
      </c>
      <c r="FX15" s="166" t="str">
        <f>'(Bloom Raw Data)'!FJ15</f>
        <v>#N/A N/A</v>
      </c>
      <c r="FY15" s="166" t="str">
        <f>'(Bloom Raw Data)'!FK15</f>
        <v>#N/A N/A</v>
      </c>
      <c r="FZ15" s="166" t="str">
        <f>'(Bloom Raw Data)'!FL15</f>
        <v>#N/A N/A</v>
      </c>
      <c r="GA15" s="166">
        <f>'(Bloom Raw Data)'!FM15</f>
        <v>1.5394999999999999</v>
      </c>
      <c r="GB15" s="166" t="str">
        <f>'(Bloom Raw Data)'!FN15</f>
        <v>#N/A N/A</v>
      </c>
      <c r="GC15" s="166" t="str">
        <f>'(Bloom Raw Data)'!FO15</f>
        <v>#N/A N/A</v>
      </c>
      <c r="GD15" s="174"/>
      <c r="GE15" s="174"/>
      <c r="GF15" s="165">
        <f>'(Bloom Raw Data)'!GI15</f>
        <v>1884.1</v>
      </c>
      <c r="GG15" s="165">
        <f>'(Bloom Raw Data)'!GJ15</f>
        <v>2025</v>
      </c>
      <c r="GH15" s="165">
        <f>'(Bloom Raw Data)'!GK15</f>
        <v>1697.8</v>
      </c>
      <c r="GI15" s="165">
        <f>'(Bloom Raw Data)'!GL15</f>
        <v>1855.1</v>
      </c>
      <c r="GJ15" s="165">
        <f>'(Bloom Raw Data)'!GM15</f>
        <v>1652.6</v>
      </c>
      <c r="GK15" s="165">
        <f>'(Bloom Raw Data)'!GN15</f>
        <v>1713.7</v>
      </c>
      <c r="GL15" s="165">
        <f>'(Bloom Raw Data)'!GO15</f>
        <v>1660.8</v>
      </c>
      <c r="GM15" s="165">
        <f>'(Bloom Raw Data)'!GP15</f>
        <v>1910.2</v>
      </c>
      <c r="GN15" s="165">
        <f>'(Bloom Raw Data)'!GQ15</f>
        <v>1757.3</v>
      </c>
      <c r="GO15" s="165">
        <f>'(Bloom Raw Data)'!GR15</f>
        <v>1823.1</v>
      </c>
      <c r="GP15" s="165">
        <f>'(Bloom Raw Data)'!GS15</f>
        <v>1897.2</v>
      </c>
      <c r="GQ15" s="165">
        <f>'(Bloom Raw Data)'!GT15</f>
        <v>1968.9</v>
      </c>
      <c r="GR15" s="165">
        <f>'(Bloom Raw Data)'!GU15</f>
        <v>2013.8</v>
      </c>
      <c r="GS15" s="165">
        <f>'(Bloom Raw Data)'!GV15</f>
        <v>2172.1999999999998</v>
      </c>
      <c r="GT15" s="165">
        <f>'(Bloom Raw Data)'!GW15</f>
        <v>2241</v>
      </c>
      <c r="GU15" s="11"/>
      <c r="GV15" s="165">
        <f t="shared" si="17"/>
        <v>2273.0180844971146</v>
      </c>
      <c r="GW15" s="165">
        <f t="shared" si="18"/>
        <v>2218.7062715243792</v>
      </c>
      <c r="GX15" s="165">
        <f t="shared" si="19"/>
        <v>2296.6828277805403</v>
      </c>
      <c r="GY15" s="165">
        <f t="shared" si="20"/>
        <v>2214.5869663556687</v>
      </c>
      <c r="GZ15" s="165">
        <f t="shared" si="21"/>
        <v>1803.6857372900854</v>
      </c>
      <c r="HA15" s="165">
        <f t="shared" si="22"/>
        <v>1726.6989428923416</v>
      </c>
      <c r="HB15" s="165">
        <f t="shared" si="23"/>
        <v>1671.0076503201963</v>
      </c>
      <c r="HC15" s="165">
        <f t="shared" si="24"/>
        <v>1634.1065146054118</v>
      </c>
      <c r="HD15" s="165">
        <f t="shared" si="25"/>
        <v>1705.5085590395754</v>
      </c>
      <c r="HE15" s="165">
        <f t="shared" si="26"/>
        <v>1727.7916516967696</v>
      </c>
      <c r="HF15" s="165">
        <f t="shared" si="27"/>
        <v>1678.6901481099403</v>
      </c>
      <c r="HG15" s="165">
        <f t="shared" si="28"/>
        <v>1640.591079990342</v>
      </c>
      <c r="HH15" s="165">
        <f t="shared" si="29"/>
        <v>1484.8879927149733</v>
      </c>
      <c r="HI15" s="165">
        <f t="shared" si="30"/>
        <v>1432.6176883729561</v>
      </c>
      <c r="HJ15" s="165">
        <f t="shared" si="31"/>
        <v>1402.090764462243</v>
      </c>
      <c r="HK15" s="11"/>
      <c r="HL15" s="2658"/>
      <c r="HM15" s="166">
        <f>'(Bloom Raw Data)'!HQ15</f>
        <v>5.6951000000000001</v>
      </c>
      <c r="HN15" s="166">
        <f>'(Bloom Raw Data)'!HR15</f>
        <v>5.4276999999999997</v>
      </c>
      <c r="HO15" s="166">
        <f>'(Bloom Raw Data)'!HS15</f>
        <v>5.7199</v>
      </c>
      <c r="HP15" s="166">
        <f>'(Bloom Raw Data)'!HT15</f>
        <v>4.8768000000000002</v>
      </c>
      <c r="HQ15" s="166">
        <f>'(Bloom Raw Data)'!HU15</f>
        <v>4.8898999999999999</v>
      </c>
      <c r="HR15" s="166">
        <f>'(Bloom Raw Data)'!HV15</f>
        <v>6.6874000000000002</v>
      </c>
      <c r="HS15" s="166">
        <f>'(Bloom Raw Data)'!HW15</f>
        <v>6</v>
      </c>
      <c r="HT15" s="166">
        <f>'(Bloom Raw Data)'!HX15</f>
        <v>5.2976999999999999</v>
      </c>
      <c r="HU15" s="166">
        <f>'(Bloom Raw Data)'!HY15</f>
        <v>3.6024000000000003</v>
      </c>
      <c r="HV15" s="166">
        <f>'(Bloom Raw Data)'!HZ15</f>
        <v>4.4120999999999997</v>
      </c>
      <c r="HW15" s="166">
        <f>'(Bloom Raw Data)'!IA15</f>
        <v>3.7010000000000001</v>
      </c>
      <c r="HX15" s="166">
        <f>'(Bloom Raw Data)'!IB15</f>
        <v>4.4615999999999998</v>
      </c>
      <c r="HY15" s="166">
        <f>'(Bloom Raw Data)'!IC15</f>
        <v>6.1590999999999996</v>
      </c>
      <c r="HZ15" s="166">
        <f>'(Bloom Raw Data)'!ID15</f>
        <v>6.2649999999999997</v>
      </c>
      <c r="IA15" s="166">
        <f>'(Bloom Raw Data)'!IE15</f>
        <v>7.5407999999999999</v>
      </c>
      <c r="IB15" s="72"/>
    </row>
    <row r="16" spans="1:237">
      <c r="A16" s="11" t="s">
        <v>499</v>
      </c>
      <c r="B16" s="11" t="s">
        <v>6</v>
      </c>
      <c r="C16" s="11"/>
      <c r="D16" s="165">
        <f>'(Bloom Raw Data)'!D16</f>
        <v>20938.354599999999</v>
      </c>
      <c r="E16" s="165">
        <f>'(Bloom Raw Data)'!E16</f>
        <v>20514.968799999999</v>
      </c>
      <c r="F16" s="165">
        <f>'(Bloom Raw Data)'!F16</f>
        <v>17512.778200000001</v>
      </c>
      <c r="G16" s="165">
        <f>'(Bloom Raw Data)'!G16</f>
        <v>19753.664000000001</v>
      </c>
      <c r="H16" s="165">
        <f>'(Bloom Raw Data)'!H16</f>
        <v>18635.895700000001</v>
      </c>
      <c r="I16" s="165">
        <f>'(Bloom Raw Data)'!I16</f>
        <v>20909.9761</v>
      </c>
      <c r="J16" s="165">
        <f>'(Bloom Raw Data)'!J16</f>
        <v>18491.3567</v>
      </c>
      <c r="K16" s="165">
        <f>'(Bloom Raw Data)'!K16</f>
        <v>15800.5694</v>
      </c>
      <c r="L16" s="165">
        <f>'(Bloom Raw Data)'!L16</f>
        <v>16022.298000000001</v>
      </c>
      <c r="M16" s="165">
        <f>'(Bloom Raw Data)'!M16</f>
        <v>17188.782999999999</v>
      </c>
      <c r="N16" s="165">
        <f>'(Bloom Raw Data)'!N16</f>
        <v>15048.6204</v>
      </c>
      <c r="O16" s="165">
        <f>'(Bloom Raw Data)'!O16</f>
        <v>15038.98</v>
      </c>
      <c r="P16" s="165">
        <f>'(Bloom Raw Data)'!P16</f>
        <v>13168.7479</v>
      </c>
      <c r="Q16" s="165">
        <f>'(Bloom Raw Data)'!Q16</f>
        <v>10623.6898</v>
      </c>
      <c r="R16" s="165">
        <f>'(Bloom Raw Data)'!R16</f>
        <v>10295.917100000001</v>
      </c>
      <c r="S16" s="11"/>
      <c r="T16" s="165">
        <f>'(Bloom Raw Data)'!U16</f>
        <v>36391</v>
      </c>
      <c r="U16" s="165">
        <f>'(Bloom Raw Data)'!V16</f>
        <v>36002</v>
      </c>
      <c r="V16" s="165">
        <f>'(Bloom Raw Data)'!W16</f>
        <v>37251</v>
      </c>
      <c r="W16" s="165">
        <f>'(Bloom Raw Data)'!X16</f>
        <v>36679</v>
      </c>
      <c r="X16" s="165">
        <f>'(Bloom Raw Data)'!Y16</f>
        <v>34388</v>
      </c>
      <c r="Y16" s="165">
        <f>'(Bloom Raw Data)'!Z16</f>
        <v>32791</v>
      </c>
      <c r="Z16" s="165">
        <f>'(Bloom Raw Data)'!AA16</f>
        <v>33433</v>
      </c>
      <c r="AA16" s="165">
        <f>'(Bloom Raw Data)'!AB16</f>
        <v>33558</v>
      </c>
      <c r="AB16" s="165">
        <f>'(Bloom Raw Data)'!AC16</f>
        <v>33768</v>
      </c>
      <c r="AC16" s="165">
        <f>'(Bloom Raw Data)'!AD16</f>
        <v>33395</v>
      </c>
      <c r="AD16" s="165">
        <f>'(Bloom Raw Data)'!AE16</f>
        <v>34003</v>
      </c>
      <c r="AE16" s="165">
        <f>'(Bloom Raw Data)'!AF16</f>
        <v>32976</v>
      </c>
      <c r="AF16" s="165">
        <f>'(Bloom Raw Data)'!AG16</f>
        <v>31549</v>
      </c>
      <c r="AG16" s="165">
        <f>'(Bloom Raw Data)'!AH16</f>
        <v>31870</v>
      </c>
      <c r="AH16" s="165">
        <f>'(Bloom Raw Data)'!AI16</f>
        <v>31339</v>
      </c>
      <c r="AI16" s="11"/>
      <c r="AJ16" s="165">
        <f>'(Bloom Raw Data)'!AL16</f>
        <v>1082</v>
      </c>
      <c r="AK16" s="165">
        <f>'(Bloom Raw Data)'!AP16</f>
        <v>872</v>
      </c>
      <c r="AL16" s="165">
        <f>'(Bloom Raw Data)'!AT16</f>
        <v>975</v>
      </c>
      <c r="AM16" s="165">
        <f>'(Bloom Raw Data)'!AX16</f>
        <v>865</v>
      </c>
      <c r="AN16" s="11"/>
      <c r="AO16" s="166" t="str">
        <f>'(Bloom Raw Data)'!BC16</f>
        <v>#N/A N/A</v>
      </c>
      <c r="AP16" s="166" t="str">
        <f>'(Bloom Raw Data)'!BD16</f>
        <v>#N/A N/A</v>
      </c>
      <c r="AQ16" s="166" t="str">
        <f>'(Bloom Raw Data)'!BE16</f>
        <v>#N/A N/A</v>
      </c>
      <c r="AR16" s="166" t="str">
        <f>'(Bloom Raw Data)'!BF16</f>
        <v>#N/A N/A</v>
      </c>
      <c r="AS16" s="166" t="str">
        <f>'(Bloom Raw Data)'!BG16</f>
        <v>#N/A N/A</v>
      </c>
      <c r="AT16" s="166" t="str">
        <f>'(Bloom Raw Data)'!BH16</f>
        <v>#N/A N/A</v>
      </c>
      <c r="AU16" s="166" t="str">
        <f>'(Bloom Raw Data)'!BI16</f>
        <v>#N/A N/A</v>
      </c>
      <c r="AV16" s="166" t="str">
        <f>'(Bloom Raw Data)'!BJ16</f>
        <v>#N/A N/A</v>
      </c>
      <c r="AW16" s="166">
        <f>'(Bloom Raw Data)'!BK16</f>
        <v>1.6449</v>
      </c>
      <c r="AX16" s="166" t="str">
        <f>'(Bloom Raw Data)'!BL16</f>
        <v>#N/A N/A</v>
      </c>
      <c r="AY16" s="166" t="str">
        <f>'(Bloom Raw Data)'!BM16</f>
        <v>#N/A N/A</v>
      </c>
      <c r="AZ16" s="166" t="str">
        <f>'(Bloom Raw Data)'!BN16</f>
        <v>#N/A N/A</v>
      </c>
      <c r="BA16" s="166">
        <f>'(Bloom Raw Data)'!BO16</f>
        <v>1.3711</v>
      </c>
      <c r="BB16" s="166" t="str">
        <f>'(Bloom Raw Data)'!BP16</f>
        <v>#N/A N/A</v>
      </c>
      <c r="BC16" s="166" t="str">
        <f>'(Bloom Raw Data)'!BQ16</f>
        <v>#N/A N/A</v>
      </c>
      <c r="BD16" s="11"/>
      <c r="BE16" s="166">
        <f>'(Bloom Raw Data)'!BT16</f>
        <v>3.2726000000000002</v>
      </c>
      <c r="BF16" s="166">
        <f>'(Bloom Raw Data)'!BU16</f>
        <v>3.2124999999999999</v>
      </c>
      <c r="BG16" s="166">
        <f>'(Bloom Raw Data)'!BV16</f>
        <v>3.2948</v>
      </c>
      <c r="BH16" s="166">
        <f>'(Bloom Raw Data)'!BW16</f>
        <v>3.3136999999999999</v>
      </c>
      <c r="BI16" s="166">
        <f>'(Bloom Raw Data)'!BX16</f>
        <v>3.0133000000000001</v>
      </c>
      <c r="BJ16" s="166">
        <f>'(Bloom Raw Data)'!BY16</f>
        <v>2.8477000000000001</v>
      </c>
      <c r="BK16" s="166">
        <f>'(Bloom Raw Data)'!BZ16</f>
        <v>2.8734999999999999</v>
      </c>
      <c r="BL16" s="166">
        <f>'(Bloom Raw Data)'!CA16</f>
        <v>2.7778</v>
      </c>
      <c r="BM16" s="166">
        <f>'(Bloom Raw Data)'!CB16</f>
        <v>2.7744999999999997</v>
      </c>
      <c r="BN16" s="166">
        <f>'(Bloom Raw Data)'!CC16</f>
        <v>2.7362000000000002</v>
      </c>
      <c r="BO16" s="166">
        <f>'(Bloom Raw Data)'!CD16</f>
        <v>2.8162000000000003</v>
      </c>
      <c r="BP16" s="166">
        <f>'(Bloom Raw Data)'!CE16</f>
        <v>2.7747999999999999</v>
      </c>
      <c r="BQ16" s="166">
        <f>'(Bloom Raw Data)'!CF16</f>
        <v>2.673</v>
      </c>
      <c r="BR16" s="166">
        <f>'(Bloom Raw Data)'!CG16</f>
        <v>2.7683999999999997</v>
      </c>
      <c r="BS16" s="166">
        <f>'(Bloom Raw Data)'!CH16</f>
        <v>2.8031000000000001</v>
      </c>
      <c r="BT16" s="11"/>
      <c r="BU16" s="165">
        <f>'(Bloom Raw Data)'!CK16</f>
        <v>58497.354599999999</v>
      </c>
      <c r="BV16" s="165">
        <f>'(Bloom Raw Data)'!CL16</f>
        <v>57738.968800000002</v>
      </c>
      <c r="BW16" s="165">
        <f>'(Bloom Raw Data)'!CM16</f>
        <v>56127.778200000001</v>
      </c>
      <c r="BX16" s="165">
        <f>'(Bloom Raw Data)'!CN16</f>
        <v>57779.663999999997</v>
      </c>
      <c r="BY16" s="165">
        <f>'(Bloom Raw Data)'!CO16</f>
        <v>56814.895700000001</v>
      </c>
      <c r="BZ16" s="165">
        <f>'(Bloom Raw Data)'!CP16</f>
        <v>57262.9761</v>
      </c>
      <c r="CA16" s="165">
        <f>'(Bloom Raw Data)'!CQ16</f>
        <v>55517.356699999997</v>
      </c>
      <c r="CB16" s="165">
        <f>'(Bloom Raw Data)'!CR16</f>
        <v>52908.5694</v>
      </c>
      <c r="CC16" s="165">
        <f>'(Bloom Raw Data)'!CS16</f>
        <v>53694.298000000003</v>
      </c>
      <c r="CD16" s="165">
        <f>'(Bloom Raw Data)'!CT16</f>
        <v>54501.783000000003</v>
      </c>
      <c r="CE16" s="165">
        <f>'(Bloom Raw Data)'!CU16</f>
        <v>52961.6204</v>
      </c>
      <c r="CF16" s="165">
        <f>'(Bloom Raw Data)'!CV16</f>
        <v>51828.98</v>
      </c>
      <c r="CG16" s="165">
        <f>'(Bloom Raw Data)'!CW16</f>
        <v>48351.747900000002</v>
      </c>
      <c r="CH16" s="165">
        <f>'(Bloom Raw Data)'!CX16</f>
        <v>46308.6898</v>
      </c>
      <c r="CI16" s="165">
        <f>'(Bloom Raw Data)'!CY16</f>
        <v>45150.917099999999</v>
      </c>
      <c r="CJ16" s="11"/>
      <c r="CK16" s="165">
        <f t="shared" si="2"/>
        <v>1168</v>
      </c>
      <c r="CL16" s="165">
        <f t="shared" si="3"/>
        <v>1222</v>
      </c>
      <c r="CM16" s="165">
        <f t="shared" si="4"/>
        <v>1364</v>
      </c>
      <c r="CN16" s="165">
        <f t="shared" si="5"/>
        <v>1347</v>
      </c>
      <c r="CO16" s="165">
        <f t="shared" si="6"/>
        <v>3791</v>
      </c>
      <c r="CP16" s="165">
        <f t="shared" si="7"/>
        <v>3562</v>
      </c>
      <c r="CQ16" s="165">
        <f t="shared" si="8"/>
        <v>3593</v>
      </c>
      <c r="CR16" s="165">
        <f t="shared" si="9"/>
        <v>3550</v>
      </c>
      <c r="CS16" s="165">
        <f t="shared" si="10"/>
        <v>3904</v>
      </c>
      <c r="CT16" s="165">
        <f t="shared" si="11"/>
        <v>3918</v>
      </c>
      <c r="CU16" s="165">
        <f t="shared" si="12"/>
        <v>3910</v>
      </c>
      <c r="CV16" s="165">
        <f t="shared" si="13"/>
        <v>3814</v>
      </c>
      <c r="CW16" s="165">
        <f t="shared" si="14"/>
        <v>3634</v>
      </c>
      <c r="CX16" s="165">
        <f t="shared" si="15"/>
        <v>3815</v>
      </c>
      <c r="CY16" s="165">
        <f t="shared" si="16"/>
        <v>3516</v>
      </c>
      <c r="CZ16" s="11"/>
      <c r="DA16" s="166">
        <f>'(Bloom Raw Data)'!DB16</f>
        <v>5.2606000000000002</v>
      </c>
      <c r="DB16" s="166">
        <f>'(Bloom Raw Data)'!DC16</f>
        <v>5.1520000000000001</v>
      </c>
      <c r="DC16" s="166">
        <f>'(Bloom Raw Data)'!DD16</f>
        <v>4.9644000000000004</v>
      </c>
      <c r="DD16" s="166">
        <f>'(Bloom Raw Data)'!DE16</f>
        <v>5.22</v>
      </c>
      <c r="DE16" s="166">
        <f>'(Bloom Raw Data)'!DF16</f>
        <v>4.9785000000000004</v>
      </c>
      <c r="DF16" s="166">
        <f>'(Bloom Raw Data)'!DG16</f>
        <v>4.9729000000000001</v>
      </c>
      <c r="DG16" s="166">
        <f>'(Bloom Raw Data)'!DH16</f>
        <v>4.7716000000000003</v>
      </c>
      <c r="DH16" s="166">
        <f>'(Bloom Raw Data)'!DI16</f>
        <v>4.3795000000000002</v>
      </c>
      <c r="DI16" s="166">
        <f>'(Bloom Raw Data)'!DJ16</f>
        <v>4.4116999999999997</v>
      </c>
      <c r="DJ16" s="166">
        <f>'(Bloom Raw Data)'!DK16</f>
        <v>4.4655000000000005</v>
      </c>
      <c r="DK16" s="166">
        <f>'(Bloom Raw Data)'!DL16</f>
        <v>4.3864000000000001</v>
      </c>
      <c r="DL16" s="166">
        <f>'(Bloom Raw Data)'!DM16</f>
        <v>4.3612000000000002</v>
      </c>
      <c r="DM16" s="166">
        <f>'(Bloom Raw Data)'!DN16</f>
        <v>4.0965999999999996</v>
      </c>
      <c r="DN16" s="166">
        <f>'(Bloom Raw Data)'!DO16</f>
        <v>4.0225999999999997</v>
      </c>
      <c r="DO16" s="166">
        <f>'(Bloom Raw Data)'!DP16</f>
        <v>4.0385</v>
      </c>
      <c r="DP16" s="11"/>
      <c r="DQ16" s="11"/>
      <c r="DR16" s="166">
        <f>'(Bloom Raw Data)'!DS16</f>
        <v>2.2124000000000001</v>
      </c>
      <c r="DS16" s="166">
        <f>'(Bloom Raw Data)'!DT16</f>
        <v>2.1873</v>
      </c>
      <c r="DT16" s="166">
        <f>'(Bloom Raw Data)'!DU16</f>
        <v>2.1307</v>
      </c>
      <c r="DU16" s="166">
        <f>'(Bloom Raw Data)'!DV16</f>
        <v>2.1932</v>
      </c>
      <c r="DV16" s="166">
        <f>'(Bloom Raw Data)'!DW16</f>
        <v>2.0607000000000002</v>
      </c>
      <c r="DW16" s="166">
        <f>'(Bloom Raw Data)'!DX16</f>
        <v>2.0333999999999999</v>
      </c>
      <c r="DX16" s="166">
        <f>'(Bloom Raw Data)'!DY16</f>
        <v>1.9216</v>
      </c>
      <c r="DY16" s="166">
        <f>'(Bloom Raw Data)'!DZ16</f>
        <v>1.7795999999999998</v>
      </c>
      <c r="DZ16" s="166">
        <f>'(Bloom Raw Data)'!EA16</f>
        <v>1.7924</v>
      </c>
      <c r="EA16" s="166">
        <f>'(Bloom Raw Data)'!EB16</f>
        <v>1.8002</v>
      </c>
      <c r="EB16" s="166">
        <f>'(Bloom Raw Data)'!EC16</f>
        <v>1.7532999999999999</v>
      </c>
      <c r="EC16" s="166">
        <f>'(Bloom Raw Data)'!ED16</f>
        <v>1.73</v>
      </c>
      <c r="ED16" s="166">
        <f>'(Bloom Raw Data)'!EE16</f>
        <v>1.6389</v>
      </c>
      <c r="EE16" s="166">
        <f>'(Bloom Raw Data)'!EF16</f>
        <v>1.6019999999999999</v>
      </c>
      <c r="EF16" s="166">
        <f>'(Bloom Raw Data)'!EG16</f>
        <v>1.5859000000000001</v>
      </c>
      <c r="EG16" s="11"/>
      <c r="EH16" s="165" t="str">
        <f>'(Bloom Raw Data)'!EJ16</f>
        <v>#N/A N/A</v>
      </c>
      <c r="EI16" s="165">
        <f>'(Bloom Raw Data)'!EK16</f>
        <v>8.9060000000000006</v>
      </c>
      <c r="EJ16" s="165">
        <f>'(Bloom Raw Data)'!EL16</f>
        <v>7.2773000000000003</v>
      </c>
      <c r="EK16" s="165">
        <f>'(Bloom Raw Data)'!EM16</f>
        <v>8.6682000000000006</v>
      </c>
      <c r="EL16" s="165" t="str">
        <f>'(Bloom Raw Data)'!EN16</f>
        <v>#N/A N/A</v>
      </c>
      <c r="EM16" s="165">
        <f>'(Bloom Raw Data)'!EO16</f>
        <v>6.8076999999999996</v>
      </c>
      <c r="EN16" s="165" t="str">
        <f>'(Bloom Raw Data)'!EP16</f>
        <v>#N/A N/A</v>
      </c>
      <c r="EO16" s="165">
        <f>'(Bloom Raw Data)'!EQ16</f>
        <v>206.11170000000001</v>
      </c>
      <c r="EP16" s="165" t="str">
        <f>'(Bloom Raw Data)'!ER16</f>
        <v>#N/A N/A</v>
      </c>
      <c r="EQ16" s="165" t="str">
        <f>'(Bloom Raw Data)'!ES16</f>
        <v>#N/A N/A</v>
      </c>
      <c r="ER16" s="165" t="str">
        <f>'(Bloom Raw Data)'!ET16</f>
        <v>#N/A N/A</v>
      </c>
      <c r="ES16" s="165" t="str">
        <f>'(Bloom Raw Data)'!EU16</f>
        <v>#N/A N/A</v>
      </c>
      <c r="ET16" s="165" t="str">
        <f>'(Bloom Raw Data)'!EV16</f>
        <v>#N/A N/A</v>
      </c>
      <c r="EU16" s="165" t="str">
        <f>'(Bloom Raw Data)'!EW16</f>
        <v>#N/A N/A</v>
      </c>
      <c r="EV16" s="165" t="str">
        <f>'(Bloom Raw Data)'!EX16</f>
        <v>#N/A N/A</v>
      </c>
      <c r="EW16" s="11"/>
      <c r="EX16" s="11"/>
      <c r="EY16" s="165">
        <f>'(Bloom Raw Data)'!FR16</f>
        <v>5504</v>
      </c>
      <c r="EZ16" s="165">
        <f>'(Bloom Raw Data)'!FS16</f>
        <v>4560</v>
      </c>
      <c r="FA16" s="165">
        <f>'(Bloom Raw Data)'!FT16</f>
        <v>3507</v>
      </c>
      <c r="FB16" s="165">
        <f>'(Bloom Raw Data)'!FU16</f>
        <v>3818</v>
      </c>
      <c r="FC16" s="165">
        <f>'(Bloom Raw Data)'!FV16</f>
        <v>5526</v>
      </c>
      <c r="FD16" s="165">
        <f>'(Bloom Raw Data)'!FW16</f>
        <v>5487</v>
      </c>
      <c r="FE16" s="165">
        <f>'(Bloom Raw Data)'!FX16</f>
        <v>3760</v>
      </c>
      <c r="FF16" s="165">
        <f>'(Bloom Raw Data)'!FY16</f>
        <v>4142</v>
      </c>
      <c r="FG16" s="165">
        <f>'(Bloom Raw Data)'!FZ16</f>
        <v>6714</v>
      </c>
      <c r="FH16" s="165">
        <f>'(Bloom Raw Data)'!GA16</f>
        <v>5492</v>
      </c>
      <c r="FI16" s="165">
        <f>'(Bloom Raw Data)'!GB16</f>
        <v>6029</v>
      </c>
      <c r="FJ16" s="165">
        <f>'(Bloom Raw Data)'!GC16</f>
        <v>6754</v>
      </c>
      <c r="FK16" s="165">
        <f>'(Bloom Raw Data)'!GD16</f>
        <v>7436</v>
      </c>
      <c r="FL16" s="165">
        <f>'(Bloom Raw Data)'!GE16</f>
        <v>6476</v>
      </c>
      <c r="FM16" s="165">
        <f>'(Bloom Raw Data)'!GF16</f>
        <v>4793</v>
      </c>
      <c r="FN16" s="11"/>
      <c r="FO16" s="166" t="str">
        <f>'(Bloom Raw Data)'!FA16</f>
        <v>#N/A N/A</v>
      </c>
      <c r="FP16" s="166">
        <f>'(Bloom Raw Data)'!FB16</f>
        <v>0.76880000000000004</v>
      </c>
      <c r="FQ16" s="166">
        <f>'(Bloom Raw Data)'!FC16</f>
        <v>0.65180000000000005</v>
      </c>
      <c r="FR16" s="166">
        <f>'(Bloom Raw Data)'!FD16</f>
        <v>0.72699999999999998</v>
      </c>
      <c r="FS16" s="166" t="str">
        <f>'(Bloom Raw Data)'!FE16</f>
        <v>#N/A N/A</v>
      </c>
      <c r="FT16" s="166">
        <f>'(Bloom Raw Data)'!FF16</f>
        <v>0.71089999999999998</v>
      </c>
      <c r="FU16" s="166">
        <f>'(Bloom Raw Data)'!FG16</f>
        <v>0.71779999999999999</v>
      </c>
      <c r="FV16" s="166">
        <f>'(Bloom Raw Data)'!FH16</f>
        <v>0.60150000000000003</v>
      </c>
      <c r="FW16" s="166" t="str">
        <f>'(Bloom Raw Data)'!FI16</f>
        <v>#N/A N/A</v>
      </c>
      <c r="FX16" s="166" t="str">
        <f>'(Bloom Raw Data)'!FJ16</f>
        <v>#N/A N/A</v>
      </c>
      <c r="FY16" s="166" t="str">
        <f>'(Bloom Raw Data)'!FK16</f>
        <v>#N/A N/A</v>
      </c>
      <c r="FZ16" s="166" t="str">
        <f>'(Bloom Raw Data)'!FL16</f>
        <v>#N/A N/A</v>
      </c>
      <c r="GA16" s="166" t="str">
        <f>'(Bloom Raw Data)'!FM16</f>
        <v>#N/A N/A</v>
      </c>
      <c r="GB16" s="166" t="str">
        <f>'(Bloom Raw Data)'!FN16</f>
        <v>#N/A N/A</v>
      </c>
      <c r="GC16" s="166" t="str">
        <f>'(Bloom Raw Data)'!FO16</f>
        <v>#N/A N/A</v>
      </c>
      <c r="GD16" s="174"/>
      <c r="GE16" s="174"/>
      <c r="GF16" s="165">
        <f>'(Bloom Raw Data)'!GI16</f>
        <v>27120</v>
      </c>
      <c r="GG16" s="165">
        <f>'(Bloom Raw Data)'!GJ16</f>
        <v>27907</v>
      </c>
      <c r="GH16" s="165">
        <f>'(Bloom Raw Data)'!GK16</f>
        <v>28234</v>
      </c>
      <c r="GI16" s="165">
        <f>'(Bloom Raw Data)'!GL16</f>
        <v>28518</v>
      </c>
      <c r="GJ16" s="165">
        <f>'(Bloom Raw Data)'!GM16</f>
        <v>32610</v>
      </c>
      <c r="GK16" s="165">
        <f>'(Bloom Raw Data)'!GN16</f>
        <v>32975</v>
      </c>
      <c r="GL16" s="165">
        <f>'(Bloom Raw Data)'!GO16</f>
        <v>29354</v>
      </c>
      <c r="GM16" s="165">
        <f>'(Bloom Raw Data)'!GP16</f>
        <v>29818</v>
      </c>
      <c r="GN16" s="165">
        <f>'(Bloom Raw Data)'!GQ16</f>
        <v>26694</v>
      </c>
      <c r="GO16" s="165">
        <f>'(Bloom Raw Data)'!GR16</f>
        <v>27074</v>
      </c>
      <c r="GP16" s="165">
        <f>'(Bloom Raw Data)'!GS16</f>
        <v>26828</v>
      </c>
      <c r="GQ16" s="165">
        <f>'(Bloom Raw Data)'!GT16</f>
        <v>27150</v>
      </c>
      <c r="GR16" s="165">
        <f>'(Bloom Raw Data)'!GU16</f>
        <v>23012</v>
      </c>
      <c r="GS16" s="165">
        <f>'(Bloom Raw Data)'!GV16</f>
        <v>23758</v>
      </c>
      <c r="GT16" s="165">
        <f>'(Bloom Raw Data)'!GW16</f>
        <v>20478</v>
      </c>
      <c r="GU16" s="11"/>
      <c r="GV16" s="165">
        <f t="shared" si="17"/>
        <v>11119.901646200053</v>
      </c>
      <c r="GW16" s="165">
        <f t="shared" si="18"/>
        <v>11207.09798136646</v>
      </c>
      <c r="GX16" s="165">
        <f t="shared" si="19"/>
        <v>11306.054749818708</v>
      </c>
      <c r="GY16" s="165">
        <f t="shared" si="20"/>
        <v>11068.901149425288</v>
      </c>
      <c r="GZ16" s="165">
        <f t="shared" si="21"/>
        <v>11412.050959124233</v>
      </c>
      <c r="HA16" s="165">
        <f t="shared" si="22"/>
        <v>11515.006555530977</v>
      </c>
      <c r="HB16" s="165">
        <f t="shared" si="23"/>
        <v>11634.956136306479</v>
      </c>
      <c r="HC16" s="165">
        <f t="shared" si="24"/>
        <v>12080.961159949766</v>
      </c>
      <c r="HD16" s="165">
        <f t="shared" si="25"/>
        <v>12170.886052995445</v>
      </c>
      <c r="HE16" s="165">
        <f t="shared" si="26"/>
        <v>12205.079610345985</v>
      </c>
      <c r="HF16" s="165">
        <f t="shared" si="27"/>
        <v>12074.051705270836</v>
      </c>
      <c r="HG16" s="165">
        <f t="shared" si="28"/>
        <v>11884.109878015226</v>
      </c>
      <c r="HH16" s="165">
        <f t="shared" si="29"/>
        <v>11802.897012156423</v>
      </c>
      <c r="HI16" s="165">
        <f t="shared" si="30"/>
        <v>11512.128921593001</v>
      </c>
      <c r="HJ16" s="165">
        <f t="shared" si="31"/>
        <v>11180.12061408939</v>
      </c>
      <c r="HK16" s="11"/>
      <c r="HL16" s="2658">
        <v>1</v>
      </c>
      <c r="HM16" s="166">
        <f>'(Bloom Raw Data)'!HQ16</f>
        <v>5.7655000000000003</v>
      </c>
      <c r="HN16" s="166">
        <f>'(Bloom Raw Data)'!HR16</f>
        <v>5.6718999999999999</v>
      </c>
      <c r="HO16" s="166">
        <f>'(Bloom Raw Data)'!HS16</f>
        <v>6.5477999999999996</v>
      </c>
      <c r="HP16" s="166">
        <f>'(Bloom Raw Data)'!HT16</f>
        <v>6.1421000000000001</v>
      </c>
      <c r="HQ16" s="166">
        <f>'(Bloom Raw Data)'!HU16</f>
        <v>6.2971000000000004</v>
      </c>
      <c r="HR16" s="166">
        <f>'(Bloom Raw Data)'!HV16</f>
        <v>6.2187999999999999</v>
      </c>
      <c r="HS16" s="166">
        <f>'(Bloom Raw Data)'!HW16</f>
        <v>5.3169000000000004</v>
      </c>
      <c r="HT16" s="166">
        <f>'(Bloom Raw Data)'!HX16</f>
        <v>5.34</v>
      </c>
      <c r="HU16" s="166">
        <f>'(Bloom Raw Data)'!HY16</f>
        <v>6.4840999999999998</v>
      </c>
      <c r="HV16" s="166">
        <f>'(Bloom Raw Data)'!HZ16</f>
        <v>5.0316999999999998</v>
      </c>
      <c r="HW16" s="166">
        <f>'(Bloom Raw Data)'!IA16</f>
        <v>4.4500999999999999</v>
      </c>
      <c r="HX16" s="166">
        <f>'(Bloom Raw Data)'!IB16</f>
        <v>4.1136999999999997</v>
      </c>
      <c r="HY16" s="166">
        <f>'(Bloom Raw Data)'!IC16</f>
        <v>4.9843000000000002</v>
      </c>
      <c r="HZ16" s="166">
        <f>'(Bloom Raw Data)'!ID16</f>
        <v>3.7029999999999998</v>
      </c>
      <c r="IA16" s="166">
        <f>'(Bloom Raw Data)'!IE16</f>
        <v>5.3293999999999997</v>
      </c>
      <c r="IB16" s="72"/>
    </row>
    <row r="17" spans="1:237">
      <c r="A17" s="11" t="s">
        <v>500</v>
      </c>
      <c r="B17" s="11" t="s">
        <v>14</v>
      </c>
      <c r="C17" s="11"/>
      <c r="D17" s="165">
        <f>'(Bloom Raw Data)'!D17</f>
        <v>134221.14689999999</v>
      </c>
      <c r="E17" s="165">
        <f>'(Bloom Raw Data)'!E17</f>
        <v>133625.93400000001</v>
      </c>
      <c r="F17" s="165">
        <f>'(Bloom Raw Data)'!F17</f>
        <v>137024.6085</v>
      </c>
      <c r="G17" s="165">
        <f>'(Bloom Raw Data)'!G17</f>
        <v>152691.57689999999</v>
      </c>
      <c r="H17" s="165">
        <f>'(Bloom Raw Data)'!H17</f>
        <v>154691.94409999999</v>
      </c>
      <c r="I17" s="165">
        <f>'(Bloom Raw Data)'!I17</f>
        <v>150867.99</v>
      </c>
      <c r="J17" s="165">
        <f>'(Bloom Raw Data)'!J17</f>
        <v>146474.49309999999</v>
      </c>
      <c r="K17" s="165">
        <f>'(Bloom Raw Data)'!K17</f>
        <v>146828.1122</v>
      </c>
      <c r="L17" s="165">
        <f>'(Bloom Raw Data)'!L17</f>
        <v>155413.82939999999</v>
      </c>
      <c r="M17" s="165">
        <f>'(Bloom Raw Data)'!M17</f>
        <v>164730.50880000001</v>
      </c>
      <c r="N17" s="165">
        <f>'(Bloom Raw Data)'!N17</f>
        <v>159050.3866</v>
      </c>
      <c r="O17" s="165">
        <f>'(Bloom Raw Data)'!O17</f>
        <v>174246.19159999999</v>
      </c>
      <c r="P17" s="165">
        <f>'(Bloom Raw Data)'!P17</f>
        <v>173259.02970000001</v>
      </c>
      <c r="Q17" s="165">
        <f>'(Bloom Raw Data)'!Q17</f>
        <v>199205.3596</v>
      </c>
      <c r="R17" s="165">
        <f>'(Bloom Raw Data)'!R17</f>
        <v>187817.73920000001</v>
      </c>
      <c r="S17" s="11"/>
      <c r="T17" s="165">
        <f>'(Bloom Raw Data)'!U17</f>
        <v>27863</v>
      </c>
      <c r="U17" s="165">
        <f>'(Bloom Raw Data)'!V17</f>
        <v>22692</v>
      </c>
      <c r="V17" s="165">
        <f>'(Bloom Raw Data)'!W17</f>
        <v>26981</v>
      </c>
      <c r="W17" s="165">
        <f>'(Bloom Raw Data)'!X17</f>
        <v>21442</v>
      </c>
      <c r="X17" s="165">
        <f>'(Bloom Raw Data)'!Y17</f>
        <v>20846</v>
      </c>
      <c r="Y17" s="165">
        <f>'(Bloom Raw Data)'!Z17</f>
        <v>20069</v>
      </c>
      <c r="Z17" s="165">
        <f>'(Bloom Raw Data)'!AA17</f>
        <v>25984</v>
      </c>
      <c r="AA17" s="165">
        <f>'(Bloom Raw Data)'!AB17</f>
        <v>21577</v>
      </c>
      <c r="AB17" s="165">
        <f>'(Bloom Raw Data)'!AC17</f>
        <v>21025</v>
      </c>
      <c r="AC17" s="165">
        <f>'(Bloom Raw Data)'!AD17</f>
        <v>25289</v>
      </c>
      <c r="AD17" s="165">
        <f>'(Bloom Raw Data)'!AE17</f>
        <v>33768</v>
      </c>
      <c r="AE17" s="165">
        <f>'(Bloom Raw Data)'!AF17</f>
        <v>33193</v>
      </c>
      <c r="AF17" s="165">
        <f>'(Bloom Raw Data)'!AG17</f>
        <v>41296</v>
      </c>
      <c r="AG17" s="165">
        <f>'(Bloom Raw Data)'!AH17</f>
        <v>37747</v>
      </c>
      <c r="AH17" s="165">
        <f>'(Bloom Raw Data)'!AI17</f>
        <v>39215</v>
      </c>
      <c r="AI17" s="11"/>
      <c r="AJ17" s="165">
        <f>'(Bloom Raw Data)'!AL17</f>
        <v>10953</v>
      </c>
      <c r="AK17" s="165">
        <f>'(Bloom Raw Data)'!AP17</f>
        <v>11843</v>
      </c>
      <c r="AL17" s="165">
        <f>'(Bloom Raw Data)'!AT17</f>
        <v>10054</v>
      </c>
      <c r="AM17" s="165">
        <f>'(Bloom Raw Data)'!AX17</f>
        <v>8646</v>
      </c>
      <c r="AN17" s="11"/>
      <c r="AO17" s="166" t="str">
        <f>'(Bloom Raw Data)'!BC17</f>
        <v>#N/A N/A</v>
      </c>
      <c r="AP17" s="166" t="str">
        <f>'(Bloom Raw Data)'!BD17</f>
        <v>#N/A N/A</v>
      </c>
      <c r="AQ17" s="166">
        <f>'(Bloom Raw Data)'!BE17</f>
        <v>7.7995000000000001</v>
      </c>
      <c r="AR17" s="166" t="str">
        <f>'(Bloom Raw Data)'!BF17</f>
        <v>#N/A N/A</v>
      </c>
      <c r="AS17" s="166" t="str">
        <f>'(Bloom Raw Data)'!BG17</f>
        <v>#N/A N/A</v>
      </c>
      <c r="AT17" s="166" t="str">
        <f>'(Bloom Raw Data)'!BH17</f>
        <v>#N/A N/A</v>
      </c>
      <c r="AU17" s="166">
        <f>'(Bloom Raw Data)'!BI17</f>
        <v>5.9074999999999998</v>
      </c>
      <c r="AV17" s="166">
        <f>'(Bloom Raw Data)'!BJ17</f>
        <v>7.9965000000000002</v>
      </c>
      <c r="AW17" s="166">
        <f>'(Bloom Raw Data)'!BK17</f>
        <v>5.4036999999999997</v>
      </c>
      <c r="AX17" s="166">
        <f>'(Bloom Raw Data)'!BL17</f>
        <v>5.8254000000000001</v>
      </c>
      <c r="AY17" s="166">
        <f>'(Bloom Raw Data)'!BM17</f>
        <v>5.4282000000000004</v>
      </c>
      <c r="AZ17" s="166">
        <f>'(Bloom Raw Data)'!BN17</f>
        <v>6.8220000000000001</v>
      </c>
      <c r="BA17" s="166">
        <f>'(Bloom Raw Data)'!BO17</f>
        <v>6.5747999999999998</v>
      </c>
      <c r="BB17" s="166">
        <f>'(Bloom Raw Data)'!BP17</f>
        <v>8.3156999999999996</v>
      </c>
      <c r="BC17" s="166">
        <f>'(Bloom Raw Data)'!BQ17</f>
        <v>8.8516999999999992</v>
      </c>
      <c r="BD17" s="11"/>
      <c r="BE17" s="166">
        <f>'(Bloom Raw Data)'!BT17</f>
        <v>0.84250000000000003</v>
      </c>
      <c r="BF17" s="166">
        <f>'(Bloom Raw Data)'!BU17</f>
        <v>0.7016</v>
      </c>
      <c r="BG17" s="166">
        <f>'(Bloom Raw Data)'!BV17</f>
        <v>0.91379999999999995</v>
      </c>
      <c r="BH17" s="166">
        <f>'(Bloom Raw Data)'!BW17</f>
        <v>0.73880000000000001</v>
      </c>
      <c r="BI17" s="166">
        <f>'(Bloom Raw Data)'!BX17</f>
        <v>0.70840000000000003</v>
      </c>
      <c r="BJ17" s="166">
        <f>'(Bloom Raw Data)'!BY17</f>
        <v>0.67659999999999998</v>
      </c>
      <c r="BK17" s="166">
        <f>'(Bloom Raw Data)'!BZ17</f>
        <v>0.86660000000000004</v>
      </c>
      <c r="BL17" s="166">
        <f>'(Bloom Raw Data)'!CA17</f>
        <v>0.71230000000000004</v>
      </c>
      <c r="BM17" s="166">
        <f>'(Bloom Raw Data)'!CB17</f>
        <v>0.61150000000000004</v>
      </c>
      <c r="BN17" s="166">
        <f>'(Bloom Raw Data)'!CC17</f>
        <v>0.65720000000000001</v>
      </c>
      <c r="BO17" s="166">
        <f>'(Bloom Raw Data)'!CD17</f>
        <v>0.86480000000000001</v>
      </c>
      <c r="BP17" s="166">
        <f>'(Bloom Raw Data)'!CE17</f>
        <v>0.84570000000000001</v>
      </c>
      <c r="BQ17" s="166">
        <f>'(Bloom Raw Data)'!CF17</f>
        <v>1.0387999999999999</v>
      </c>
      <c r="BR17" s="166">
        <f>'(Bloom Raw Data)'!CG17</f>
        <v>1.0367</v>
      </c>
      <c r="BS17" s="166">
        <f>'(Bloom Raw Data)'!CH17</f>
        <v>1.0510999999999999</v>
      </c>
      <c r="BT17" s="11"/>
      <c r="BU17" s="165">
        <f>'(Bloom Raw Data)'!CK17</f>
        <v>171173.14689999999</v>
      </c>
      <c r="BV17" s="165">
        <f>'(Bloom Raw Data)'!CL17</f>
        <v>166746.93400000001</v>
      </c>
      <c r="BW17" s="165">
        <f>'(Bloom Raw Data)'!CM17</f>
        <v>174427.6085</v>
      </c>
      <c r="BX17" s="165">
        <f>'(Bloom Raw Data)'!CN17</f>
        <v>182859.57689999999</v>
      </c>
      <c r="BY17" s="165">
        <f>'(Bloom Raw Data)'!CO17</f>
        <v>183888.94409999999</v>
      </c>
      <c r="BZ17" s="165">
        <f>'(Bloom Raw Data)'!CP17</f>
        <v>178639.99</v>
      </c>
      <c r="CA17" s="165">
        <f>'(Bloom Raw Data)'!CQ17</f>
        <v>178863.49309999999</v>
      </c>
      <c r="CB17" s="165">
        <f>'(Bloom Raw Data)'!CR17</f>
        <v>174551.1122</v>
      </c>
      <c r="CC17" s="165">
        <f>'(Bloom Raw Data)'!CS17</f>
        <v>179348.82939999999</v>
      </c>
      <c r="CD17" s="165">
        <f>'(Bloom Raw Data)'!CT17</f>
        <v>191187.50880000001</v>
      </c>
      <c r="CE17" s="165">
        <f>'(Bloom Raw Data)'!CU17</f>
        <v>197002.3866</v>
      </c>
      <c r="CF17" s="165">
        <f>'(Bloom Raw Data)'!CV17</f>
        <v>211076.19159999999</v>
      </c>
      <c r="CG17" s="165">
        <f>'(Bloom Raw Data)'!CW17</f>
        <v>217612.02970000001</v>
      </c>
      <c r="CH17" s="165">
        <f>'(Bloom Raw Data)'!CX17</f>
        <v>240506.3596</v>
      </c>
      <c r="CI17" s="165">
        <f>'(Bloom Raw Data)'!CY17</f>
        <v>230589.73920000001</v>
      </c>
      <c r="CJ17" s="11"/>
      <c r="CK17" s="165">
        <f t="shared" si="2"/>
        <v>9089</v>
      </c>
      <c r="CL17" s="165">
        <f t="shared" si="3"/>
        <v>10429</v>
      </c>
      <c r="CM17" s="165">
        <f t="shared" si="4"/>
        <v>10422</v>
      </c>
      <c r="CN17" s="165">
        <f t="shared" si="5"/>
        <v>8726</v>
      </c>
      <c r="CO17" s="165">
        <f t="shared" si="6"/>
        <v>8351</v>
      </c>
      <c r="CP17" s="165">
        <f t="shared" si="7"/>
        <v>7703</v>
      </c>
      <c r="CQ17" s="165">
        <f t="shared" si="8"/>
        <v>6405</v>
      </c>
      <c r="CR17" s="165">
        <f t="shared" si="9"/>
        <v>6146</v>
      </c>
      <c r="CS17" s="165">
        <f t="shared" si="10"/>
        <v>2910</v>
      </c>
      <c r="CT17" s="165">
        <f t="shared" si="11"/>
        <v>1168</v>
      </c>
      <c r="CU17" s="165">
        <f t="shared" si="12"/>
        <v>4184</v>
      </c>
      <c r="CV17" s="165">
        <f t="shared" si="13"/>
        <v>3637</v>
      </c>
      <c r="CW17" s="165">
        <f t="shared" si="14"/>
        <v>3057</v>
      </c>
      <c r="CX17" s="165">
        <f t="shared" si="15"/>
        <v>3554</v>
      </c>
      <c r="CY17" s="165">
        <f t="shared" si="16"/>
        <v>3557</v>
      </c>
      <c r="CZ17" s="11"/>
      <c r="DA17" s="166">
        <f>'(Bloom Raw Data)'!DB17</f>
        <v>5.1759000000000004</v>
      </c>
      <c r="DB17" s="166">
        <f>'(Bloom Raw Data)'!DC17</f>
        <v>5.1558999999999999</v>
      </c>
      <c r="DC17" s="166">
        <f>'(Bloom Raw Data)'!DD17</f>
        <v>5.9076000000000004</v>
      </c>
      <c r="DD17" s="166">
        <f>'(Bloom Raw Data)'!DE17</f>
        <v>6.3009000000000004</v>
      </c>
      <c r="DE17" s="166">
        <f>'(Bloom Raw Data)'!DF17</f>
        <v>6.2493999999999996</v>
      </c>
      <c r="DF17" s="166">
        <f>'(Bloom Raw Data)'!DG17</f>
        <v>6.0228999999999999</v>
      </c>
      <c r="DG17" s="166">
        <f>'(Bloom Raw Data)'!DH17</f>
        <v>5.9653</v>
      </c>
      <c r="DH17" s="166">
        <f>'(Bloom Raw Data)'!DI17</f>
        <v>5.7625000000000002</v>
      </c>
      <c r="DI17" s="166">
        <f>'(Bloom Raw Data)'!DJ17</f>
        <v>5.2164000000000001</v>
      </c>
      <c r="DJ17" s="166">
        <f>'(Bloom Raw Data)'!DK17</f>
        <v>4.9681999999999995</v>
      </c>
      <c r="DK17" s="166">
        <f>'(Bloom Raw Data)'!DL17</f>
        <v>5.0453000000000001</v>
      </c>
      <c r="DL17" s="166">
        <f>'(Bloom Raw Data)'!DM17</f>
        <v>5.3780999999999999</v>
      </c>
      <c r="DM17" s="166">
        <f>'(Bloom Raw Data)'!DN17</f>
        <v>5.4737999999999998</v>
      </c>
      <c r="DN17" s="166">
        <f>'(Bloom Raw Data)'!DO17</f>
        <v>6.6056999999999997</v>
      </c>
      <c r="DO17" s="166">
        <f>'(Bloom Raw Data)'!DP17</f>
        <v>6.1806999999999999</v>
      </c>
      <c r="DP17" s="11"/>
      <c r="DQ17" s="11"/>
      <c r="DR17" s="166">
        <f>'(Bloom Raw Data)'!DS17</f>
        <v>1.8862000000000001</v>
      </c>
      <c r="DS17" s="166">
        <f>'(Bloom Raw Data)'!DT17</f>
        <v>1.8847</v>
      </c>
      <c r="DT17" s="166">
        <f>'(Bloom Raw Data)'!DU17</f>
        <v>1.9931000000000001</v>
      </c>
      <c r="DU17" s="166">
        <f>'(Bloom Raw Data)'!DV17</f>
        <v>2.0581999999999998</v>
      </c>
      <c r="DV17" s="166">
        <f>'(Bloom Raw Data)'!DW17</f>
        <v>2.0074999999999998</v>
      </c>
      <c r="DW17" s="166">
        <f>'(Bloom Raw Data)'!DX17</f>
        <v>1.9135</v>
      </c>
      <c r="DX17" s="166">
        <f>'(Bloom Raw Data)'!DY17</f>
        <v>1.8995</v>
      </c>
      <c r="DY17" s="166">
        <f>'(Bloom Raw Data)'!DZ17</f>
        <v>1.8431999999999999</v>
      </c>
      <c r="DZ17" s="166">
        <f>'(Bloom Raw Data)'!EA17</f>
        <v>1.8205</v>
      </c>
      <c r="EA17" s="166">
        <f>'(Bloom Raw Data)'!EB17</f>
        <v>1.9207000000000001</v>
      </c>
      <c r="EB17" s="166">
        <f>'(Bloom Raw Data)'!EC17</f>
        <v>1.9594</v>
      </c>
      <c r="EC17" s="166">
        <f>'(Bloom Raw Data)'!ED17</f>
        <v>2.0865</v>
      </c>
      <c r="ED17" s="166">
        <f>'(Bloom Raw Data)'!EE17</f>
        <v>2.1393</v>
      </c>
      <c r="EE17" s="166">
        <f>'(Bloom Raw Data)'!EF17</f>
        <v>2.3738000000000001</v>
      </c>
      <c r="EF17" s="166">
        <f>'(Bloom Raw Data)'!EG17</f>
        <v>2.2671999999999999</v>
      </c>
      <c r="EG17" s="11"/>
      <c r="EH17" s="165" t="str">
        <f>'(Bloom Raw Data)'!EJ17</f>
        <v>#N/A N/A</v>
      </c>
      <c r="EI17" s="165">
        <f>'(Bloom Raw Data)'!EK17</f>
        <v>15.087999999999999</v>
      </c>
      <c r="EJ17" s="165">
        <f>'(Bloom Raw Data)'!EL17</f>
        <v>8.0397999999999996</v>
      </c>
      <c r="EK17" s="165">
        <f>'(Bloom Raw Data)'!EM17</f>
        <v>10.1319</v>
      </c>
      <c r="EL17" s="165" t="str">
        <f>'(Bloom Raw Data)'!EN17</f>
        <v>#N/A N/A</v>
      </c>
      <c r="EM17" s="165">
        <f>'(Bloom Raw Data)'!EO17</f>
        <v>9.0411999999999999</v>
      </c>
      <c r="EN17" s="165">
        <f>'(Bloom Raw Data)'!EP17</f>
        <v>12.5586</v>
      </c>
      <c r="EO17" s="165">
        <f>'(Bloom Raw Data)'!EQ17</f>
        <v>12.2468</v>
      </c>
      <c r="EP17" s="165" t="str">
        <f>'(Bloom Raw Data)'!ER17</f>
        <v>#N/A N/A</v>
      </c>
      <c r="EQ17" s="165" t="str">
        <f>'(Bloom Raw Data)'!ES17</f>
        <v>#N/A N/A</v>
      </c>
      <c r="ER17" s="165" t="str">
        <f>'(Bloom Raw Data)'!ET17</f>
        <v>#N/A N/A</v>
      </c>
      <c r="ES17" s="165" t="str">
        <f>'(Bloom Raw Data)'!EU17</f>
        <v>#N/A N/A</v>
      </c>
      <c r="ET17" s="165" t="str">
        <f>'(Bloom Raw Data)'!EV17</f>
        <v>#N/A N/A</v>
      </c>
      <c r="EU17" s="165" t="str">
        <f>'(Bloom Raw Data)'!EW17</f>
        <v>#N/A N/A</v>
      </c>
      <c r="EV17" s="165" t="str">
        <f>'(Bloom Raw Data)'!EX17</f>
        <v>#N/A N/A</v>
      </c>
      <c r="EW17" s="11"/>
      <c r="EX17" s="11"/>
      <c r="EY17" s="165">
        <f>'(Bloom Raw Data)'!FR17</f>
        <v>11479</v>
      </c>
      <c r="EZ17" s="165">
        <f>'(Bloom Raw Data)'!FS17</f>
        <v>16439</v>
      </c>
      <c r="FA17" s="165">
        <f>'(Bloom Raw Data)'!FT17</f>
        <v>14628</v>
      </c>
      <c r="FB17" s="165">
        <f>'(Bloom Raw Data)'!FU17</f>
        <v>13361</v>
      </c>
      <c r="FC17" s="165">
        <f>'(Bloom Raw Data)'!FV17</f>
        <v>13606</v>
      </c>
      <c r="FD17" s="165">
        <f>'(Bloom Raw Data)'!FW17</f>
        <v>15207</v>
      </c>
      <c r="FE17" s="165">
        <f>'(Bloom Raw Data)'!FX17</f>
        <v>11082</v>
      </c>
      <c r="FF17" s="165">
        <f>'(Bloom Raw Data)'!FY17</f>
        <v>11728</v>
      </c>
      <c r="FG17" s="165">
        <f>'(Bloom Raw Data)'!FZ17</f>
        <v>12899</v>
      </c>
      <c r="FH17" s="165">
        <f>'(Bloom Raw Data)'!GA17</f>
        <v>12687</v>
      </c>
      <c r="FI17" s="165">
        <f>'(Bloom Raw Data)'!GB17</f>
        <v>13945</v>
      </c>
      <c r="FJ17" s="165">
        <f>'(Bloom Raw Data)'!GC17</f>
        <v>8908</v>
      </c>
      <c r="FK17" s="165">
        <f>'(Bloom Raw Data)'!GD17</f>
        <v>8805</v>
      </c>
      <c r="FL17" s="165">
        <f>'(Bloom Raw Data)'!GE17</f>
        <v>9838</v>
      </c>
      <c r="FM17" s="165">
        <f>'(Bloom Raw Data)'!GF17</f>
        <v>16944</v>
      </c>
      <c r="FN17" s="11"/>
      <c r="FO17" s="166" t="str">
        <f>'(Bloom Raw Data)'!FA17</f>
        <v>#N/A N/A</v>
      </c>
      <c r="FP17" s="166">
        <f>'(Bloom Raw Data)'!FB17</f>
        <v>1.7093</v>
      </c>
      <c r="FQ17" s="166">
        <f>'(Bloom Raw Data)'!FC17</f>
        <v>1.5470000000000002</v>
      </c>
      <c r="FR17" s="166">
        <f>'(Bloom Raw Data)'!FD17</f>
        <v>1.7583</v>
      </c>
      <c r="FS17" s="166" t="str">
        <f>'(Bloom Raw Data)'!FE17</f>
        <v>#N/A N/A</v>
      </c>
      <c r="FT17" s="166">
        <f>'(Bloom Raw Data)'!FF17</f>
        <v>1.6901000000000002</v>
      </c>
      <c r="FU17" s="166">
        <f>'(Bloom Raw Data)'!FG17</f>
        <v>1.7549999999999999</v>
      </c>
      <c r="FV17" s="166">
        <f>'(Bloom Raw Data)'!FH17</f>
        <v>1.6785999999999999</v>
      </c>
      <c r="FW17" s="166" t="str">
        <f>'(Bloom Raw Data)'!FI17</f>
        <v>#N/A N/A</v>
      </c>
      <c r="FX17" s="166" t="str">
        <f>'(Bloom Raw Data)'!FJ17</f>
        <v>#N/A N/A</v>
      </c>
      <c r="FY17" s="166" t="str">
        <f>'(Bloom Raw Data)'!FK17</f>
        <v>#N/A N/A</v>
      </c>
      <c r="FZ17" s="166" t="str">
        <f>'(Bloom Raw Data)'!FL17</f>
        <v>#N/A N/A</v>
      </c>
      <c r="GA17" s="166" t="str">
        <f>'(Bloom Raw Data)'!FM17</f>
        <v>#N/A N/A</v>
      </c>
      <c r="GB17" s="166" t="str">
        <f>'(Bloom Raw Data)'!FN17</f>
        <v>#N/A N/A</v>
      </c>
      <c r="GC17" s="166" t="str">
        <f>'(Bloom Raw Data)'!FO17</f>
        <v>#N/A N/A</v>
      </c>
      <c r="GD17" s="174"/>
      <c r="GE17" s="174"/>
      <c r="GF17" s="165">
        <f>'(Bloom Raw Data)'!GI17</f>
        <v>85065</v>
      </c>
      <c r="GG17" s="165">
        <f>'(Bloom Raw Data)'!GJ17</f>
        <v>88603</v>
      </c>
      <c r="GH17" s="165">
        <f>'(Bloom Raw Data)'!GK17</f>
        <v>98999</v>
      </c>
      <c r="GI17" s="165">
        <f>'(Bloom Raw Data)'!GL17</f>
        <v>95565</v>
      </c>
      <c r="GJ17" s="165">
        <f>'(Bloom Raw Data)'!GM17</f>
        <v>96218</v>
      </c>
      <c r="GK17" s="165">
        <f>'(Bloom Raw Data)'!GN17</f>
        <v>96969</v>
      </c>
      <c r="GL17" s="165">
        <f>'(Bloom Raw Data)'!GO17</f>
        <v>89868</v>
      </c>
      <c r="GM17" s="165">
        <f>'(Bloom Raw Data)'!GP17</f>
        <v>93616</v>
      </c>
      <c r="GN17" s="165">
        <f>'(Bloom Raw Data)'!GQ17</f>
        <v>86902</v>
      </c>
      <c r="GO17" s="165">
        <f>'(Bloom Raw Data)'!GR17</f>
        <v>82771</v>
      </c>
      <c r="GP17" s="165">
        <f>'(Bloom Raw Data)'!GS17</f>
        <v>75487</v>
      </c>
      <c r="GQ17" s="165">
        <f>'(Bloom Raw Data)'!GT17</f>
        <v>76652</v>
      </c>
      <c r="GR17" s="165">
        <f>'(Bloom Raw Data)'!GU17</f>
        <v>77237</v>
      </c>
      <c r="GS17" s="165">
        <f>'(Bloom Raw Data)'!GV17</f>
        <v>81899</v>
      </c>
      <c r="GT17" s="165">
        <f>'(Bloom Raw Data)'!GW17</f>
        <v>74853</v>
      </c>
      <c r="GU17" s="11"/>
      <c r="GV17" s="165">
        <f t="shared" si="17"/>
        <v>33071.185088583625</v>
      </c>
      <c r="GW17" s="165">
        <f t="shared" si="18"/>
        <v>32340.994588723599</v>
      </c>
      <c r="GX17" s="165">
        <f t="shared" si="19"/>
        <v>29525.967990385263</v>
      </c>
      <c r="GY17" s="165">
        <f t="shared" si="20"/>
        <v>29021.183783269054</v>
      </c>
      <c r="GZ17" s="165">
        <f t="shared" si="21"/>
        <v>29425.055861362693</v>
      </c>
      <c r="HA17" s="165">
        <f t="shared" si="22"/>
        <v>29660.128841587939</v>
      </c>
      <c r="HB17" s="165">
        <f t="shared" si="23"/>
        <v>29983.98958979431</v>
      </c>
      <c r="HC17" s="165">
        <f t="shared" si="24"/>
        <v>30290.865457700649</v>
      </c>
      <c r="HD17" s="165">
        <f t="shared" si="25"/>
        <v>34381.724829384249</v>
      </c>
      <c r="HE17" s="165">
        <f t="shared" si="26"/>
        <v>38482.248862767206</v>
      </c>
      <c r="HF17" s="165">
        <f t="shared" si="27"/>
        <v>39046.714090341506</v>
      </c>
      <c r="HG17" s="165">
        <f t="shared" si="28"/>
        <v>39247.35345196259</v>
      </c>
      <c r="HH17" s="165">
        <f t="shared" si="29"/>
        <v>39755.202912053785</v>
      </c>
      <c r="HI17" s="165">
        <f t="shared" si="30"/>
        <v>36408.913453532557</v>
      </c>
      <c r="HJ17" s="165">
        <f t="shared" si="31"/>
        <v>37308.029705373177</v>
      </c>
      <c r="HK17" s="11"/>
      <c r="HL17" s="2658"/>
      <c r="HM17" s="166">
        <f>'(Bloom Raw Data)'!HQ17</f>
        <v>9.3628</v>
      </c>
      <c r="HN17" s="166">
        <f>'(Bloom Raw Data)'!HR17</f>
        <v>8.4243000000000006</v>
      </c>
      <c r="HO17" s="166">
        <f>'(Bloom Raw Data)'!HS17</f>
        <v>10.4986</v>
      </c>
      <c r="HP17" s="166">
        <f>'(Bloom Raw Data)'!HT17</f>
        <v>9.3257999999999992</v>
      </c>
      <c r="HQ17" s="166">
        <f>'(Bloom Raw Data)'!HU17</f>
        <v>11.4527</v>
      </c>
      <c r="HR17" s="166">
        <f>'(Bloom Raw Data)'!HV17</f>
        <v>12.677300000000001</v>
      </c>
      <c r="HS17" s="166">
        <f>'(Bloom Raw Data)'!HW17</f>
        <v>12.357900000000001</v>
      </c>
      <c r="HT17" s="166">
        <f>'(Bloom Raw Data)'!HX17</f>
        <v>9.7513000000000005</v>
      </c>
      <c r="HU17" s="166">
        <f>'(Bloom Raw Data)'!HY17</f>
        <v>9.9550999999999998</v>
      </c>
      <c r="HV17" s="166">
        <f>'(Bloom Raw Data)'!HZ17</f>
        <v>9.8854000000000006</v>
      </c>
      <c r="HW17" s="166">
        <f>'(Bloom Raw Data)'!IA17</f>
        <v>10.507</v>
      </c>
      <c r="HX17" s="166">
        <f>'(Bloom Raw Data)'!IB17</f>
        <v>9.8899000000000008</v>
      </c>
      <c r="HY17" s="166">
        <f>'(Bloom Raw Data)'!IC17</f>
        <v>9.41</v>
      </c>
      <c r="HZ17" s="166">
        <f>'(Bloom Raw Data)'!ID17</f>
        <v>8.8734000000000002</v>
      </c>
      <c r="IA17" s="166">
        <f>'(Bloom Raw Data)'!IE17</f>
        <v>9.6113</v>
      </c>
      <c r="IB17" s="72"/>
    </row>
    <row r="18" spans="1:237">
      <c r="A18" s="11" t="s">
        <v>501</v>
      </c>
      <c r="B18" s="11" t="s">
        <v>7</v>
      </c>
      <c r="C18" s="11"/>
      <c r="D18" s="165">
        <f>'(Bloom Raw Data)'!D18</f>
        <v>19285.647000000001</v>
      </c>
      <c r="E18" s="165">
        <f>'(Bloom Raw Data)'!E18</f>
        <v>18980.8253</v>
      </c>
      <c r="F18" s="165">
        <f>'(Bloom Raw Data)'!F18</f>
        <v>16950.055</v>
      </c>
      <c r="G18" s="165">
        <f>'(Bloom Raw Data)'!G18</f>
        <v>17841.259099999999</v>
      </c>
      <c r="H18" s="165">
        <f>'(Bloom Raw Data)'!H18</f>
        <v>17172.8999</v>
      </c>
      <c r="I18" s="165">
        <f>'(Bloom Raw Data)'!I18</f>
        <v>18369.581900000001</v>
      </c>
      <c r="J18" s="165">
        <f>'(Bloom Raw Data)'!J18</f>
        <v>15328.3616</v>
      </c>
      <c r="K18" s="165">
        <f>'(Bloom Raw Data)'!K18</f>
        <v>14628.9877</v>
      </c>
      <c r="L18" s="165">
        <f>'(Bloom Raw Data)'!L18</f>
        <v>13234.425300000001</v>
      </c>
      <c r="M18" s="165">
        <f>'(Bloom Raw Data)'!M18</f>
        <v>11807.197399999999</v>
      </c>
      <c r="N18" s="165">
        <f>'(Bloom Raw Data)'!N18</f>
        <v>10816.5839</v>
      </c>
      <c r="O18" s="165">
        <f>'(Bloom Raw Data)'!O18</f>
        <v>8511.8327000000008</v>
      </c>
      <c r="P18" s="165">
        <f>'(Bloom Raw Data)'!P18</f>
        <v>5319.5375000000004</v>
      </c>
      <c r="Q18" s="165">
        <f>'(Bloom Raw Data)'!Q18</f>
        <v>3756.3150000000001</v>
      </c>
      <c r="R18" s="165">
        <f>'(Bloom Raw Data)'!R18</f>
        <v>6819.5967000000001</v>
      </c>
      <c r="S18" s="11"/>
      <c r="T18" s="165">
        <f>'(Bloom Raw Data)'!U18</f>
        <v>10679</v>
      </c>
      <c r="U18" s="165">
        <f>'(Bloom Raw Data)'!V18</f>
        <v>11148</v>
      </c>
      <c r="V18" s="165">
        <f>'(Bloom Raw Data)'!W18</f>
        <v>12336</v>
      </c>
      <c r="W18" s="165">
        <f>'(Bloom Raw Data)'!X18</f>
        <v>12182</v>
      </c>
      <c r="X18" s="165">
        <f>'(Bloom Raw Data)'!Y18</f>
        <v>11714</v>
      </c>
      <c r="Y18" s="165">
        <f>'(Bloom Raw Data)'!Z18</f>
        <v>11651</v>
      </c>
      <c r="Z18" s="125">
        <f>AVERAGE(Y18,AA18)</f>
        <v>12273</v>
      </c>
      <c r="AA18" s="165">
        <f>'(Bloom Raw Data)'!AB18</f>
        <v>12895</v>
      </c>
      <c r="AB18" s="165">
        <f>'(Bloom Raw Data)'!AC18</f>
        <v>12109</v>
      </c>
      <c r="AC18" s="165">
        <f>'(Bloom Raw Data)'!AD18</f>
        <v>12222</v>
      </c>
      <c r="AD18" s="165">
        <f>'(Bloom Raw Data)'!AE18</f>
        <v>12961</v>
      </c>
      <c r="AE18" s="165">
        <f>'(Bloom Raw Data)'!AF18</f>
        <v>13016</v>
      </c>
      <c r="AF18" s="165">
        <f>'(Bloom Raw Data)'!AG18</f>
        <v>12610</v>
      </c>
      <c r="AG18" s="165">
        <f>'(Bloom Raw Data)'!AH18</f>
        <v>12899</v>
      </c>
      <c r="AH18" s="165">
        <f>'(Bloom Raw Data)'!AI18</f>
        <v>9803</v>
      </c>
      <c r="AI18" s="11"/>
      <c r="AJ18" s="165">
        <f>'(Bloom Raw Data)'!AL18</f>
        <v>2078</v>
      </c>
      <c r="AK18" s="165">
        <f>'(Bloom Raw Data)'!AP18</f>
        <v>1820</v>
      </c>
      <c r="AL18" s="165">
        <f>'(Bloom Raw Data)'!AT18</f>
        <v>2222</v>
      </c>
      <c r="AM18" s="165">
        <f>'(Bloom Raw Data)'!AX18</f>
        <v>2484</v>
      </c>
      <c r="AN18" s="11"/>
      <c r="AO18" s="166">
        <f>'(Bloom Raw Data)'!BC18</f>
        <v>2.8845000000000001</v>
      </c>
      <c r="AP18" s="166">
        <f>'(Bloom Raw Data)'!BD18</f>
        <v>4.0667</v>
      </c>
      <c r="AQ18" s="166">
        <f>'(Bloom Raw Data)'!BE18</f>
        <v>4.1741000000000001</v>
      </c>
      <c r="AR18" s="166">
        <f>'(Bloom Raw Data)'!BF18</f>
        <v>2.8614999999999999</v>
      </c>
      <c r="AS18" s="166">
        <f>'(Bloom Raw Data)'!BG18</f>
        <v>5.2808000000000002</v>
      </c>
      <c r="AT18" s="166">
        <f>'(Bloom Raw Data)'!BH18</f>
        <v>4.2130000000000001</v>
      </c>
      <c r="AU18" s="166">
        <f>'(Bloom Raw Data)'!BI18</f>
        <v>3.7959000000000001</v>
      </c>
      <c r="AV18" s="166">
        <f>'(Bloom Raw Data)'!BJ18</f>
        <v>3.8197999999999999</v>
      </c>
      <c r="AW18" s="166">
        <f>'(Bloom Raw Data)'!BK18</f>
        <v>1.7509999999999999</v>
      </c>
      <c r="AX18" s="166">
        <f>'(Bloom Raw Data)'!BL18</f>
        <v>3.1827999999999999</v>
      </c>
      <c r="AY18" s="166">
        <f>'(Bloom Raw Data)'!BM18</f>
        <v>3.2355999999999998</v>
      </c>
      <c r="AZ18" s="166">
        <f>'(Bloom Raw Data)'!BN18</f>
        <v>2.8210999999999999</v>
      </c>
      <c r="BA18" s="166">
        <f>'(Bloom Raw Data)'!BO18</f>
        <v>0.70489999999999997</v>
      </c>
      <c r="BB18" s="166">
        <f>'(Bloom Raw Data)'!BP18</f>
        <v>1.9211</v>
      </c>
      <c r="BC18" s="166">
        <f>'(Bloom Raw Data)'!BQ18</f>
        <v>1.2907999999999999</v>
      </c>
      <c r="BD18" s="11"/>
      <c r="BE18" s="166">
        <f>'(Bloom Raw Data)'!BT18</f>
        <v>2.0568</v>
      </c>
      <c r="BF18" s="166">
        <f>'(Bloom Raw Data)'!BU18</f>
        <v>2.1110000000000002</v>
      </c>
      <c r="BG18" s="166">
        <f>'(Bloom Raw Data)'!BV18</f>
        <v>2.3079999999999998</v>
      </c>
      <c r="BH18" s="166">
        <f>'(Bloom Raw Data)'!BW18</f>
        <v>2.2458999999999998</v>
      </c>
      <c r="BI18" s="166">
        <f>'(Bloom Raw Data)'!BX18</f>
        <v>2.1391999999999998</v>
      </c>
      <c r="BJ18" s="166">
        <f>'(Bloom Raw Data)'!BY18</f>
        <v>2.1488</v>
      </c>
      <c r="BK18" s="166">
        <f>'(Bloom Raw Data)'!BZ18</f>
        <v>2.2951000000000001</v>
      </c>
      <c r="BL18" s="166">
        <f>'(Bloom Raw Data)'!CA18</f>
        <v>2.4889000000000001</v>
      </c>
      <c r="BM18" s="166">
        <f>'(Bloom Raw Data)'!CB18</f>
        <v>2.3567999999999998</v>
      </c>
      <c r="BN18" s="166">
        <f>'(Bloom Raw Data)'!CC18</f>
        <v>2.4443999999999999</v>
      </c>
      <c r="BO18" s="166">
        <f>'(Bloom Raw Data)'!CD18</f>
        <v>2.6673999999999998</v>
      </c>
      <c r="BP18" s="166">
        <f>'(Bloom Raw Data)'!CE18</f>
        <v>2.7241999999999997</v>
      </c>
      <c r="BQ18" s="166">
        <f>'(Bloom Raw Data)'!CF18</f>
        <v>2.7515000000000001</v>
      </c>
      <c r="BR18" s="166">
        <f>'(Bloom Raw Data)'!CG18</f>
        <v>2.9013</v>
      </c>
      <c r="BS18" s="166">
        <f>'(Bloom Raw Data)'!CH18</f>
        <v>2.2728999999999999</v>
      </c>
      <c r="BT18" s="11"/>
      <c r="BU18" s="165">
        <f>'(Bloom Raw Data)'!CK18</f>
        <v>29967.647000000001</v>
      </c>
      <c r="BV18" s="165">
        <f>'(Bloom Raw Data)'!CL18</f>
        <v>30132.8253</v>
      </c>
      <c r="BW18" s="165">
        <f>'(Bloom Raw Data)'!CM18</f>
        <v>29292.055</v>
      </c>
      <c r="BX18" s="165">
        <f>'(Bloom Raw Data)'!CN18</f>
        <v>30023.259099999999</v>
      </c>
      <c r="BY18" s="165">
        <f>'(Bloom Raw Data)'!CO18</f>
        <v>28886.8999</v>
      </c>
      <c r="BZ18" s="165">
        <f>'(Bloom Raw Data)'!CP18</f>
        <v>30020.581900000001</v>
      </c>
      <c r="CA18" s="165">
        <f>'(Bloom Raw Data)'!CQ18</f>
        <v>27593.3616</v>
      </c>
      <c r="CB18" s="165">
        <f>'(Bloom Raw Data)'!CR18</f>
        <v>27523.987700000001</v>
      </c>
      <c r="CC18" s="165">
        <f>'(Bloom Raw Data)'!CS18</f>
        <v>25343.425299999999</v>
      </c>
      <c r="CD18" s="165">
        <f>'(Bloom Raw Data)'!CT18</f>
        <v>24029.197400000001</v>
      </c>
      <c r="CE18" s="165">
        <f>'(Bloom Raw Data)'!CU18</f>
        <v>23777.583900000001</v>
      </c>
      <c r="CF18" s="165">
        <f>'(Bloom Raw Data)'!CV18</f>
        <v>21527.832699999999</v>
      </c>
      <c r="CG18" s="165">
        <f>'(Bloom Raw Data)'!CW18</f>
        <v>17980.537499999999</v>
      </c>
      <c r="CH18" s="165">
        <f>'(Bloom Raw Data)'!CX18</f>
        <v>16704.314999999999</v>
      </c>
      <c r="CI18" s="165">
        <f>'(Bloom Raw Data)'!CY18</f>
        <v>16672.596699999998</v>
      </c>
      <c r="CJ18" s="11"/>
      <c r="CK18" s="165">
        <f t="shared" si="2"/>
        <v>3</v>
      </c>
      <c r="CL18" s="165">
        <f t="shared" si="3"/>
        <v>4</v>
      </c>
      <c r="CM18" s="165">
        <f t="shared" si="4"/>
        <v>6</v>
      </c>
      <c r="CN18" s="165">
        <f t="shared" si="5"/>
        <v>0</v>
      </c>
      <c r="CO18" s="165">
        <f t="shared" si="6"/>
        <v>0</v>
      </c>
      <c r="CP18" s="165">
        <f t="shared" si="7"/>
        <v>0</v>
      </c>
      <c r="CQ18" s="165">
        <f t="shared" si="8"/>
        <v>-8</v>
      </c>
      <c r="CR18" s="165">
        <f t="shared" si="9"/>
        <v>0</v>
      </c>
      <c r="CS18" s="165">
        <f t="shared" si="10"/>
        <v>0</v>
      </c>
      <c r="CT18" s="165">
        <f t="shared" si="11"/>
        <v>0</v>
      </c>
      <c r="CU18" s="165">
        <f t="shared" si="12"/>
        <v>0</v>
      </c>
      <c r="CV18" s="165">
        <f t="shared" si="13"/>
        <v>0</v>
      </c>
      <c r="CW18" s="165">
        <f t="shared" si="14"/>
        <v>50.999999999998181</v>
      </c>
      <c r="CX18" s="165">
        <f t="shared" si="15"/>
        <v>48.999999999998181</v>
      </c>
      <c r="CY18" s="165">
        <f t="shared" si="16"/>
        <v>49.999999999998181</v>
      </c>
      <c r="CZ18" s="11"/>
      <c r="DA18" s="166">
        <f>'(Bloom Raw Data)'!DB18</f>
        <v>5.7719000000000005</v>
      </c>
      <c r="DB18" s="166">
        <f>'(Bloom Raw Data)'!DC18</f>
        <v>5.7058999999999997</v>
      </c>
      <c r="DC18" s="166">
        <f>'(Bloom Raw Data)'!DD18</f>
        <v>5.4802999999999997</v>
      </c>
      <c r="DD18" s="166">
        <f>'(Bloom Raw Data)'!DE18</f>
        <v>5.5353000000000003</v>
      </c>
      <c r="DE18" s="166">
        <f>'(Bloom Raw Data)'!DF18</f>
        <v>5.2751999999999999</v>
      </c>
      <c r="DF18" s="166">
        <f>'(Bloom Raw Data)'!DG18</f>
        <v>5.5368000000000004</v>
      </c>
      <c r="DG18" s="166">
        <f>'(Bloom Raw Data)'!DH18</f>
        <v>5.1634000000000002</v>
      </c>
      <c r="DH18" s="166">
        <f>'(Bloom Raw Data)'!DI18</f>
        <v>5.3125</v>
      </c>
      <c r="DI18" s="166">
        <f>'(Bloom Raw Data)'!DJ18</f>
        <v>4.9325000000000001</v>
      </c>
      <c r="DJ18" s="166">
        <f>'(Bloom Raw Data)'!DK18</f>
        <v>4.8057999999999996</v>
      </c>
      <c r="DK18" s="166">
        <f>'(Bloom Raw Data)'!DL18</f>
        <v>4.8934999999999995</v>
      </c>
      <c r="DL18" s="166">
        <f>'(Bloom Raw Data)'!DM18</f>
        <v>4.5056000000000003</v>
      </c>
      <c r="DM18" s="166">
        <f>'(Bloom Raw Data)'!DN18</f>
        <v>3.9233000000000002</v>
      </c>
      <c r="DN18" s="166">
        <f>'(Bloom Raw Data)'!DO18</f>
        <v>3.7572000000000001</v>
      </c>
      <c r="DO18" s="166">
        <f>'(Bloom Raw Data)'!DP18</f>
        <v>3.8656999999999999</v>
      </c>
      <c r="DP18" s="11"/>
      <c r="DQ18" s="11"/>
      <c r="DR18" s="166">
        <f>'(Bloom Raw Data)'!DS18</f>
        <v>2.2279</v>
      </c>
      <c r="DS18" s="166">
        <f>'(Bloom Raw Data)'!DT18</f>
        <v>2.2597999999999998</v>
      </c>
      <c r="DT18" s="166">
        <f>'(Bloom Raw Data)'!DU18</f>
        <v>2.2067000000000001</v>
      </c>
      <c r="DU18" s="166">
        <f>'(Bloom Raw Data)'!DV18</f>
        <v>2.2570000000000001</v>
      </c>
      <c r="DV18" s="166">
        <f>'(Bloom Raw Data)'!DW18</f>
        <v>2.1680000000000001</v>
      </c>
      <c r="DW18" s="166">
        <f>'(Bloom Raw Data)'!DX18</f>
        <v>2.266</v>
      </c>
      <c r="DX18" s="166">
        <f>'(Bloom Raw Data)'!DY18</f>
        <v>2.0941999999999998</v>
      </c>
      <c r="DY18" s="166">
        <f>'(Bloom Raw Data)'!DZ18</f>
        <v>2.1015000000000001</v>
      </c>
      <c r="DZ18" s="166">
        <f>'(Bloom Raw Data)'!EA18</f>
        <v>1.9462000000000002</v>
      </c>
      <c r="EA18" s="166">
        <f>'(Bloom Raw Data)'!EB18</f>
        <v>1.8505</v>
      </c>
      <c r="EB18" s="166">
        <f>'(Bloom Raw Data)'!EC18</f>
        <v>1.8485</v>
      </c>
      <c r="EC18" s="166">
        <f>'(Bloom Raw Data)'!ED18</f>
        <v>1.7017</v>
      </c>
      <c r="ED18" s="166">
        <f>'(Bloom Raw Data)'!EE18</f>
        <v>1.4490000000000001</v>
      </c>
      <c r="EE18" s="166">
        <f>'(Bloom Raw Data)'!EF18</f>
        <v>1.3745000000000001</v>
      </c>
      <c r="EF18" s="166">
        <f>'(Bloom Raw Data)'!EG18</f>
        <v>1.3995</v>
      </c>
      <c r="EG18" s="11"/>
      <c r="EH18" s="165">
        <f>'(Bloom Raw Data)'!EJ18</f>
        <v>9.0381999999999998</v>
      </c>
      <c r="EI18" s="165">
        <f>'(Bloom Raw Data)'!EK18</f>
        <v>8.3786000000000005</v>
      </c>
      <c r="EJ18" s="165">
        <f>'(Bloom Raw Data)'!EL18</f>
        <v>7.1258999999999997</v>
      </c>
      <c r="EK18" s="165">
        <f>'(Bloom Raw Data)'!EM18</f>
        <v>7.6140999999999996</v>
      </c>
      <c r="EL18" s="165">
        <f>'(Bloom Raw Data)'!EN18</f>
        <v>9.4956999999999994</v>
      </c>
      <c r="EM18" s="165">
        <f>'(Bloom Raw Data)'!EO18</f>
        <v>9.5396999999999998</v>
      </c>
      <c r="EN18" s="165">
        <f>'(Bloom Raw Data)'!EP18</f>
        <v>8.0239999999999991</v>
      </c>
      <c r="EO18" s="165">
        <f>'(Bloom Raw Data)'!EQ18</f>
        <v>7.9847000000000001</v>
      </c>
      <c r="EP18" s="165" t="str">
        <f>'(Bloom Raw Data)'!ER18</f>
        <v>#N/A N/A</v>
      </c>
      <c r="EQ18" s="165" t="str">
        <f>'(Bloom Raw Data)'!ES18</f>
        <v>#N/A N/A</v>
      </c>
      <c r="ER18" s="165" t="str">
        <f>'(Bloom Raw Data)'!ET18</f>
        <v>#N/A N/A</v>
      </c>
      <c r="ES18" s="165" t="str">
        <f>'(Bloom Raw Data)'!EU18</f>
        <v>#N/A N/A</v>
      </c>
      <c r="ET18" s="165">
        <f>'(Bloom Raw Data)'!EV18</f>
        <v>8.8475999999999999</v>
      </c>
      <c r="EU18" s="165" t="str">
        <f>'(Bloom Raw Data)'!EW18</f>
        <v>#N/A N/A</v>
      </c>
      <c r="EV18" s="165" t="str">
        <f>'(Bloom Raw Data)'!EX18</f>
        <v>#N/A N/A</v>
      </c>
      <c r="EW18" s="11"/>
      <c r="EX18" s="11"/>
      <c r="EY18" s="165">
        <f>'(Bloom Raw Data)'!FR18</f>
        <v>2690</v>
      </c>
      <c r="EZ18" s="165">
        <f>'(Bloom Raw Data)'!FS18</f>
        <v>2365</v>
      </c>
      <c r="FA18" s="165">
        <f>'(Bloom Raw Data)'!FT18</f>
        <v>1622</v>
      </c>
      <c r="FB18" s="165">
        <f>'(Bloom Raw Data)'!FU18</f>
        <v>1335</v>
      </c>
      <c r="FC18" s="165">
        <f>'(Bloom Raw Data)'!FV18</f>
        <v>823</v>
      </c>
      <c r="FD18" s="165">
        <f>'(Bloom Raw Data)'!FW18</f>
        <v>944</v>
      </c>
      <c r="FE18" s="165">
        <f>'(Bloom Raw Data)'!FX18</f>
        <v>1124</v>
      </c>
      <c r="FF18" s="165">
        <f>'(Bloom Raw Data)'!FY18</f>
        <v>645</v>
      </c>
      <c r="FG18" s="165">
        <f>'(Bloom Raw Data)'!FZ18</f>
        <v>990</v>
      </c>
      <c r="FH18" s="165">
        <f>'(Bloom Raw Data)'!GA18</f>
        <v>1267</v>
      </c>
      <c r="FI18" s="165">
        <f>'(Bloom Raw Data)'!GB18</f>
        <v>878</v>
      </c>
      <c r="FJ18" s="165">
        <f>'(Bloom Raw Data)'!GC18</f>
        <v>1495</v>
      </c>
      <c r="FK18" s="165">
        <f>'(Bloom Raw Data)'!GD18</f>
        <v>1286</v>
      </c>
      <c r="FL18" s="165">
        <f>'(Bloom Raw Data)'!GE18</f>
        <v>1213</v>
      </c>
      <c r="FM18" s="165">
        <f>'(Bloom Raw Data)'!GF18</f>
        <v>4345</v>
      </c>
      <c r="FN18" s="11"/>
      <c r="FO18" s="166">
        <f>'(Bloom Raw Data)'!FA18</f>
        <v>5.0248999999999997</v>
      </c>
      <c r="FP18" s="166">
        <f>'(Bloom Raw Data)'!FB18</f>
        <v>4.5419999999999998</v>
      </c>
      <c r="FQ18" s="166">
        <f>'(Bloom Raw Data)'!FC18</f>
        <v>4.8776999999999999</v>
      </c>
      <c r="FR18" s="166">
        <f>'(Bloom Raw Data)'!FD18</f>
        <v>5.3723000000000001</v>
      </c>
      <c r="FS18" s="166">
        <f>'(Bloom Raw Data)'!FE18</f>
        <v>4.9065000000000003</v>
      </c>
      <c r="FT18" s="166">
        <f>'(Bloom Raw Data)'!FF18</f>
        <v>4.6873000000000005</v>
      </c>
      <c r="FU18" s="166">
        <f>'(Bloom Raw Data)'!FG18</f>
        <v>5.0109000000000004</v>
      </c>
      <c r="FV18" s="166">
        <f>'(Bloom Raw Data)'!FH18</f>
        <v>5.4667000000000003</v>
      </c>
      <c r="FW18" s="166" t="str">
        <f>'(Bloom Raw Data)'!FI18</f>
        <v>#N/A N/A</v>
      </c>
      <c r="FX18" s="166" t="str">
        <f>'(Bloom Raw Data)'!FJ18</f>
        <v>#N/A N/A</v>
      </c>
      <c r="FY18" s="166" t="str">
        <f>'(Bloom Raw Data)'!FK18</f>
        <v>#N/A N/A</v>
      </c>
      <c r="FZ18" s="166" t="str">
        <f>'(Bloom Raw Data)'!FL18</f>
        <v>#N/A N/A</v>
      </c>
      <c r="GA18" s="166">
        <f>'(Bloom Raw Data)'!FM18</f>
        <v>2.2073</v>
      </c>
      <c r="GB18" s="166" t="str">
        <f>'(Bloom Raw Data)'!FN18</f>
        <v>#N/A N/A</v>
      </c>
      <c r="GC18" s="166" t="str">
        <f>'(Bloom Raw Data)'!FO18</f>
        <v>#N/A N/A</v>
      </c>
      <c r="GD18" s="174"/>
      <c r="GE18" s="174"/>
      <c r="GF18" s="165">
        <f>'(Bloom Raw Data)'!GI18</f>
        <v>3841</v>
      </c>
      <c r="GG18" s="165">
        <f>'(Bloom Raw Data)'!GJ18</f>
        <v>4183</v>
      </c>
      <c r="GH18" s="165">
        <f>'(Bloom Raw Data)'!GK18</f>
        <v>3481</v>
      </c>
      <c r="GI18" s="165">
        <f>'(Bloom Raw Data)'!GL18</f>
        <v>3321</v>
      </c>
      <c r="GJ18" s="165">
        <f>'(Bloom Raw Data)'!GM18</f>
        <v>3500</v>
      </c>
      <c r="GK18" s="165">
        <f>'(Bloom Raw Data)'!GN18</f>
        <v>3919</v>
      </c>
      <c r="GL18" s="165">
        <f>'(Bloom Raw Data)'!GO18</f>
        <v>3059</v>
      </c>
      <c r="GM18" s="165">
        <f>'(Bloom Raw Data)'!GP18</f>
        <v>2676</v>
      </c>
      <c r="GN18" s="165">
        <f>'(Bloom Raw Data)'!GQ18</f>
        <v>2930</v>
      </c>
      <c r="GO18" s="165">
        <f>'(Bloom Raw Data)'!GR18</f>
        <v>3007</v>
      </c>
      <c r="GP18" s="165">
        <f>'(Bloom Raw Data)'!GS18</f>
        <v>2564</v>
      </c>
      <c r="GQ18" s="165">
        <f>'(Bloom Raw Data)'!GT18</f>
        <v>2656</v>
      </c>
      <c r="GR18" s="165">
        <f>'(Bloom Raw Data)'!GU18</f>
        <v>2461</v>
      </c>
      <c r="GS18" s="165">
        <f>'(Bloom Raw Data)'!GV18</f>
        <v>2463</v>
      </c>
      <c r="GT18" s="165">
        <f>'(Bloom Raw Data)'!GW18</f>
        <v>5601</v>
      </c>
      <c r="GU18" s="11"/>
      <c r="GV18" s="165">
        <f t="shared" si="17"/>
        <v>5191.9899859664929</v>
      </c>
      <c r="GW18" s="165">
        <f t="shared" si="18"/>
        <v>5280.9942866156089</v>
      </c>
      <c r="GX18" s="165">
        <f t="shared" si="19"/>
        <v>5344.9729029432701</v>
      </c>
      <c r="GY18" s="165">
        <f t="shared" si="20"/>
        <v>5423.9624049283684</v>
      </c>
      <c r="GZ18" s="165">
        <f t="shared" si="21"/>
        <v>5475.9819343342433</v>
      </c>
      <c r="HA18" s="165">
        <f t="shared" si="22"/>
        <v>5422.0094458893218</v>
      </c>
      <c r="HB18" s="165">
        <f t="shared" si="23"/>
        <v>5344.0294379672305</v>
      </c>
      <c r="HC18" s="165">
        <f t="shared" si="24"/>
        <v>5180.9859200000001</v>
      </c>
      <c r="HD18" s="165">
        <f t="shared" si="25"/>
        <v>5138.0487176887982</v>
      </c>
      <c r="HE18" s="165">
        <f t="shared" si="26"/>
        <v>5000.041075367265</v>
      </c>
      <c r="HF18" s="165">
        <f t="shared" si="27"/>
        <v>4859.0137733728425</v>
      </c>
      <c r="HG18" s="165">
        <f t="shared" si="28"/>
        <v>4778.0168457031241</v>
      </c>
      <c r="HH18" s="165">
        <f t="shared" si="29"/>
        <v>4583.0136619682407</v>
      </c>
      <c r="HI18" s="165">
        <f t="shared" si="30"/>
        <v>4445.9477802618967</v>
      </c>
      <c r="HJ18" s="165">
        <f t="shared" si="31"/>
        <v>4312.9566960705688</v>
      </c>
      <c r="HK18" s="11"/>
      <c r="HL18" s="2658">
        <v>1</v>
      </c>
      <c r="HM18" s="166">
        <f>'(Bloom Raw Data)'!HQ18</f>
        <v>6.1471999999999998</v>
      </c>
      <c r="HN18" s="166">
        <f>'(Bloom Raw Data)'!HR18</f>
        <v>6.0168999999999997</v>
      </c>
      <c r="HO18" s="166">
        <f>'(Bloom Raw Data)'!HS18</f>
        <v>7.3795999999999999</v>
      </c>
      <c r="HP18" s="166">
        <f>'(Bloom Raw Data)'!HT18</f>
        <v>7.3327999999999998</v>
      </c>
      <c r="HQ18" s="166">
        <f>'(Bloom Raw Data)'!HU18</f>
        <v>5.5989000000000004</v>
      </c>
      <c r="HR18" s="166">
        <f>'(Bloom Raw Data)'!HV18</f>
        <v>6.9703999999999997</v>
      </c>
      <c r="HS18" s="166">
        <f>'(Bloom Raw Data)'!HW18</f>
        <v>6.1379000000000001</v>
      </c>
      <c r="HT18" s="166">
        <f>'(Bloom Raw Data)'!HX18</f>
        <v>5.7445000000000004</v>
      </c>
      <c r="HU18" s="166">
        <f>'(Bloom Raw Data)'!HY18</f>
        <v>5.5202999999999998</v>
      </c>
      <c r="HV18" s="166">
        <f>'(Bloom Raw Data)'!HZ18</f>
        <v>5.5236999999999998</v>
      </c>
      <c r="HW18" s="166">
        <f>'(Bloom Raw Data)'!IA18</f>
        <v>5.6215999999999999</v>
      </c>
      <c r="HX18" s="166">
        <f>'(Bloom Raw Data)'!IB18</f>
        <v>4.3598999999999997</v>
      </c>
      <c r="HY18" s="166">
        <f>'(Bloom Raw Data)'!IC18</f>
        <v>3.7601</v>
      </c>
      <c r="HZ18" s="166">
        <f>'(Bloom Raw Data)'!ID18</f>
        <v>4.0572999999999997</v>
      </c>
      <c r="IA18" s="166">
        <f>'(Bloom Raw Data)'!IE18</f>
        <v>4.806</v>
      </c>
      <c r="IB18" s="72"/>
    </row>
    <row r="19" spans="1:237">
      <c r="A19" s="11" t="s">
        <v>502</v>
      </c>
      <c r="B19" s="11" t="s">
        <v>76</v>
      </c>
      <c r="C19" s="11"/>
      <c r="D19" s="165">
        <f>'(Bloom Raw Data)'!D19</f>
        <v>21202.32</v>
      </c>
      <c r="E19" s="165">
        <f>'(Bloom Raw Data)'!E19</f>
        <v>21650.870599999998</v>
      </c>
      <c r="F19" s="165">
        <f>'(Bloom Raw Data)'!F19</f>
        <v>19099.780999999999</v>
      </c>
      <c r="G19" s="165">
        <f>'(Bloom Raw Data)'!G19</f>
        <v>24014.969400000002</v>
      </c>
      <c r="H19" s="165">
        <f>'(Bloom Raw Data)'!H19</f>
        <v>21843.599999999999</v>
      </c>
      <c r="I19" s="165">
        <f>'(Bloom Raw Data)'!I19</f>
        <v>23507.4228</v>
      </c>
      <c r="J19" s="165">
        <f>'(Bloom Raw Data)'!J19</f>
        <v>22251.912700000001</v>
      </c>
      <c r="K19" s="165">
        <f>'(Bloom Raw Data)'!K19</f>
        <v>23240.293000000001</v>
      </c>
      <c r="L19" s="165">
        <f>'(Bloom Raw Data)'!L19</f>
        <v>22818.302599999999</v>
      </c>
      <c r="M19" s="165">
        <f>'(Bloom Raw Data)'!M19</f>
        <v>22826.2418</v>
      </c>
      <c r="N19" s="165">
        <f>'(Bloom Raw Data)'!N19</f>
        <v>20796.0553</v>
      </c>
      <c r="O19" s="165">
        <f>'(Bloom Raw Data)'!O19</f>
        <v>21971.4264</v>
      </c>
      <c r="P19" s="165">
        <f>'(Bloom Raw Data)'!P19</f>
        <v>16334.987499999999</v>
      </c>
      <c r="Q19" s="165">
        <f>'(Bloom Raw Data)'!Q19</f>
        <v>8908.7790000000005</v>
      </c>
      <c r="R19" s="165">
        <f>'(Bloom Raw Data)'!R19</f>
        <v>10039.5347</v>
      </c>
      <c r="S19" s="11"/>
      <c r="T19" s="165">
        <f>'(Bloom Raw Data)'!U19</f>
        <v>4160</v>
      </c>
      <c r="U19" s="165">
        <f>'(Bloom Raw Data)'!V19</f>
        <v>3497</v>
      </c>
      <c r="V19" s="165">
        <f>'(Bloom Raw Data)'!W19</f>
        <v>2969</v>
      </c>
      <c r="W19" s="165">
        <f>'(Bloom Raw Data)'!X19</f>
        <v>3973</v>
      </c>
      <c r="X19" s="165">
        <f>'(Bloom Raw Data)'!Y19</f>
        <v>3510</v>
      </c>
      <c r="Y19" s="165">
        <f>'(Bloom Raw Data)'!Z19</f>
        <v>3277</v>
      </c>
      <c r="Z19" s="165">
        <f>'(Bloom Raw Data)'!AA19</f>
        <v>812</v>
      </c>
      <c r="AA19" s="165">
        <f>'(Bloom Raw Data)'!AB19</f>
        <v>2444</v>
      </c>
      <c r="AB19" s="165">
        <f>'(Bloom Raw Data)'!AC19</f>
        <v>1843</v>
      </c>
      <c r="AC19" s="165">
        <f>'(Bloom Raw Data)'!AD19</f>
        <v>4076</v>
      </c>
      <c r="AD19" s="165">
        <f>'(Bloom Raw Data)'!AE19</f>
        <v>3721</v>
      </c>
      <c r="AE19" s="165">
        <f>'(Bloom Raw Data)'!AF19</f>
        <v>5299</v>
      </c>
      <c r="AF19" s="165">
        <f>'(Bloom Raw Data)'!AG19</f>
        <v>4763</v>
      </c>
      <c r="AG19" s="165">
        <f>'(Bloom Raw Data)'!AH19</f>
        <v>4686</v>
      </c>
      <c r="AH19" s="165">
        <f>'(Bloom Raw Data)'!AI19</f>
        <v>4500</v>
      </c>
      <c r="AI19" s="11"/>
      <c r="AJ19" s="165">
        <f>'(Bloom Raw Data)'!AL19</f>
        <v>595</v>
      </c>
      <c r="AK19" s="165">
        <f>'(Bloom Raw Data)'!AP19</f>
        <v>499</v>
      </c>
      <c r="AL19" s="165">
        <f>'(Bloom Raw Data)'!AT19</f>
        <v>920</v>
      </c>
      <c r="AM19" s="165">
        <f>'(Bloom Raw Data)'!AX19</f>
        <v>870</v>
      </c>
      <c r="AN19" s="11"/>
      <c r="AO19" s="166">
        <f>'(Bloom Raw Data)'!BC19</f>
        <v>3.6212</v>
      </c>
      <c r="AP19" s="166">
        <f>'(Bloom Raw Data)'!BD19</f>
        <v>3.5338000000000003</v>
      </c>
      <c r="AQ19" s="166">
        <f>'(Bloom Raw Data)'!BE19</f>
        <v>5.3978000000000002</v>
      </c>
      <c r="AR19" s="166">
        <f>'(Bloom Raw Data)'!BF19</f>
        <v>4.0526</v>
      </c>
      <c r="AS19" s="166">
        <f>'(Bloom Raw Data)'!BG19</f>
        <v>4.5280000000000005</v>
      </c>
      <c r="AT19" s="166">
        <f>'(Bloom Raw Data)'!BH19</f>
        <v>2.5857000000000001</v>
      </c>
      <c r="AU19" s="166">
        <f>'(Bloom Raw Data)'!BI19</f>
        <v>-0.3644</v>
      </c>
      <c r="AV19" s="166">
        <f>'(Bloom Raw Data)'!BJ19</f>
        <v>6.0488</v>
      </c>
      <c r="AW19" s="166">
        <f>'(Bloom Raw Data)'!BK19</f>
        <v>7.7908999999999997</v>
      </c>
      <c r="AX19" s="166">
        <f>'(Bloom Raw Data)'!BL19</f>
        <v>3.6364000000000001</v>
      </c>
      <c r="AY19" s="166">
        <f>'(Bloom Raw Data)'!BM19</f>
        <v>4.1467999999999998</v>
      </c>
      <c r="AZ19" s="166">
        <f>'(Bloom Raw Data)'!BN19</f>
        <v>3.6808999999999998</v>
      </c>
      <c r="BA19" s="166">
        <f>'(Bloom Raw Data)'!BO19</f>
        <v>1.1529</v>
      </c>
      <c r="BB19" s="166">
        <f>'(Bloom Raw Data)'!BP19</f>
        <v>2.1284000000000001</v>
      </c>
      <c r="BC19" s="166">
        <f>'(Bloom Raw Data)'!BQ19</f>
        <v>2.6922999999999999</v>
      </c>
      <c r="BD19" s="11"/>
      <c r="BE19" s="166">
        <f>'(Bloom Raw Data)'!BT19</f>
        <v>0.66369999999999996</v>
      </c>
      <c r="BF19" s="166">
        <f>'(Bloom Raw Data)'!BU19</f>
        <v>0.57950000000000002</v>
      </c>
      <c r="BG19" s="166">
        <f>'(Bloom Raw Data)'!BV19</f>
        <v>0.49930000000000002</v>
      </c>
      <c r="BH19" s="166">
        <f>'(Bloom Raw Data)'!BW19</f>
        <v>0.68210000000000004</v>
      </c>
      <c r="BI19" s="166">
        <f>'(Bloom Raw Data)'!BX19</f>
        <v>0.59809999999999997</v>
      </c>
      <c r="BJ19" s="166">
        <f>'(Bloom Raw Data)'!BY19</f>
        <v>0.56520000000000004</v>
      </c>
      <c r="BK19" s="166">
        <f>'(Bloom Raw Data)'!BZ19</f>
        <v>0.15390000000000001</v>
      </c>
      <c r="BL19" s="166">
        <f>'(Bloom Raw Data)'!CA19</f>
        <v>0.47060000000000002</v>
      </c>
      <c r="BM19" s="166">
        <f>'(Bloom Raw Data)'!CB19</f>
        <v>0.34289999999999998</v>
      </c>
      <c r="BN19" s="166">
        <f>'(Bloom Raw Data)'!CC19</f>
        <v>0.77580000000000005</v>
      </c>
      <c r="BO19" s="166">
        <f>'(Bloom Raw Data)'!CD19</f>
        <v>0.66520000000000001</v>
      </c>
      <c r="BP19" s="166">
        <f>'(Bloom Raw Data)'!CE19</f>
        <v>0.96030000000000004</v>
      </c>
      <c r="BQ19" s="166">
        <f>'(Bloom Raw Data)'!CF19</f>
        <v>0.98899999999999999</v>
      </c>
      <c r="BR19" s="166">
        <f>'(Bloom Raw Data)'!CG19</f>
        <v>1.0143</v>
      </c>
      <c r="BS19" s="166">
        <f>'(Bloom Raw Data)'!CH19</f>
        <v>1.04</v>
      </c>
      <c r="BT19" s="11"/>
      <c r="BU19" s="165">
        <f>'(Bloom Raw Data)'!CK19</f>
        <v>25376.32</v>
      </c>
      <c r="BV19" s="165">
        <f>'(Bloom Raw Data)'!CL19</f>
        <v>25161.870599999998</v>
      </c>
      <c r="BW19" s="165">
        <f>'(Bloom Raw Data)'!CM19</f>
        <v>22082.780999999999</v>
      </c>
      <c r="BX19" s="165">
        <f>'(Bloom Raw Data)'!CN19</f>
        <v>28001.969400000002</v>
      </c>
      <c r="BY19" s="165">
        <f>'(Bloom Raw Data)'!CO19</f>
        <v>25367.599999999999</v>
      </c>
      <c r="BZ19" s="165">
        <f>'(Bloom Raw Data)'!CP19</f>
        <v>26797.4228</v>
      </c>
      <c r="CA19" s="165">
        <f>'(Bloom Raw Data)'!CQ19</f>
        <v>23077.912700000001</v>
      </c>
      <c r="CB19" s="165">
        <f>'(Bloom Raw Data)'!CR19</f>
        <v>25698.293000000001</v>
      </c>
      <c r="CC19" s="165">
        <f>'(Bloom Raw Data)'!CS19</f>
        <v>24664.302599999999</v>
      </c>
      <c r="CD19" s="165">
        <f>'(Bloom Raw Data)'!CT19</f>
        <v>26904.2418</v>
      </c>
      <c r="CE19" s="165">
        <f>'(Bloom Raw Data)'!CU19</f>
        <v>24519.0553</v>
      </c>
      <c r="CF19" s="165">
        <f>'(Bloom Raw Data)'!CV19</f>
        <v>27272.4264</v>
      </c>
      <c r="CG19" s="165">
        <f>'(Bloom Raw Data)'!CW19</f>
        <v>21099.987499999999</v>
      </c>
      <c r="CH19" s="165">
        <f>'(Bloom Raw Data)'!CX19</f>
        <v>13596.779</v>
      </c>
      <c r="CI19" s="165">
        <f>'(Bloom Raw Data)'!CY19</f>
        <v>14541.5347</v>
      </c>
      <c r="CJ19" s="11"/>
      <c r="CK19" s="165">
        <f t="shared" si="2"/>
        <v>14</v>
      </c>
      <c r="CL19" s="165">
        <f t="shared" si="3"/>
        <v>14</v>
      </c>
      <c r="CM19" s="165">
        <f t="shared" si="4"/>
        <v>14</v>
      </c>
      <c r="CN19" s="165">
        <f t="shared" si="5"/>
        <v>14</v>
      </c>
      <c r="CO19" s="165">
        <f t="shared" si="6"/>
        <v>14</v>
      </c>
      <c r="CP19" s="165">
        <f t="shared" si="7"/>
        <v>13</v>
      </c>
      <c r="CQ19" s="165">
        <f t="shared" si="8"/>
        <v>14</v>
      </c>
      <c r="CR19" s="165">
        <f t="shared" si="9"/>
        <v>14</v>
      </c>
      <c r="CS19" s="165">
        <f t="shared" si="10"/>
        <v>3</v>
      </c>
      <c r="CT19" s="165">
        <f t="shared" si="11"/>
        <v>2</v>
      </c>
      <c r="CU19" s="165">
        <f t="shared" si="12"/>
        <v>2</v>
      </c>
      <c r="CV19" s="165">
        <f t="shared" si="13"/>
        <v>2</v>
      </c>
      <c r="CW19" s="165">
        <f t="shared" si="14"/>
        <v>2</v>
      </c>
      <c r="CX19" s="165">
        <f t="shared" si="15"/>
        <v>2</v>
      </c>
      <c r="CY19" s="165">
        <f t="shared" si="16"/>
        <v>2</v>
      </c>
      <c r="CZ19" s="11"/>
      <c r="DA19" s="166">
        <f>'(Bloom Raw Data)'!DB19</f>
        <v>4.0486000000000004</v>
      </c>
      <c r="DB19" s="166">
        <f>'(Bloom Raw Data)'!DC19</f>
        <v>4.1692999999999998</v>
      </c>
      <c r="DC19" s="166">
        <f>'(Bloom Raw Data)'!DD19</f>
        <v>3.7138999999999998</v>
      </c>
      <c r="DD19" s="166">
        <f>'(Bloom Raw Data)'!DE19</f>
        <v>4.8071999999999999</v>
      </c>
      <c r="DE19" s="166">
        <f>'(Bloom Raw Data)'!DF19</f>
        <v>4.3223000000000003</v>
      </c>
      <c r="DF19" s="166">
        <f>'(Bloom Raw Data)'!DG19</f>
        <v>4.6218000000000004</v>
      </c>
      <c r="DG19" s="166">
        <f>'(Bloom Raw Data)'!DH19</f>
        <v>4.3733000000000004</v>
      </c>
      <c r="DH19" s="166">
        <f>'(Bloom Raw Data)'!DI19</f>
        <v>4.9485999999999999</v>
      </c>
      <c r="DI19" s="166">
        <f>'(Bloom Raw Data)'!DJ19</f>
        <v>4.5887000000000002</v>
      </c>
      <c r="DJ19" s="166">
        <f>'(Bloom Raw Data)'!DK19</f>
        <v>5.1207000000000003</v>
      </c>
      <c r="DK19" s="166">
        <f>'(Bloom Raw Data)'!DL19</f>
        <v>4.3830999999999998</v>
      </c>
      <c r="DL19" s="166">
        <f>'(Bloom Raw Data)'!DM19</f>
        <v>4.9424000000000001</v>
      </c>
      <c r="DM19" s="166">
        <f>'(Bloom Raw Data)'!DN19</f>
        <v>4.3811999999999998</v>
      </c>
      <c r="DN19" s="166">
        <f>'(Bloom Raw Data)'!DO19</f>
        <v>2.9430000000000001</v>
      </c>
      <c r="DO19" s="166">
        <f>'(Bloom Raw Data)'!DP19</f>
        <v>3.3607</v>
      </c>
      <c r="DP19" s="11"/>
      <c r="DQ19" s="11"/>
      <c r="DR19" s="166">
        <f>'(Bloom Raw Data)'!DS19</f>
        <v>1.5324</v>
      </c>
      <c r="DS19" s="166">
        <f>'(Bloom Raw Data)'!DT19</f>
        <v>1.5608</v>
      </c>
      <c r="DT19" s="166">
        <f>'(Bloom Raw Data)'!DU19</f>
        <v>1.3868</v>
      </c>
      <c r="DU19" s="166">
        <f>'(Bloom Raw Data)'!DV19</f>
        <v>1.7764</v>
      </c>
      <c r="DV19" s="166">
        <f>'(Bloom Raw Data)'!DW19</f>
        <v>1.6141999999999999</v>
      </c>
      <c r="DW19" s="166">
        <f>'(Bloom Raw Data)'!DX19</f>
        <v>1.7210000000000001</v>
      </c>
      <c r="DX19" s="166">
        <f>'(Bloom Raw Data)'!DY19</f>
        <v>1.5011000000000001</v>
      </c>
      <c r="DY19" s="166">
        <f>'(Bloom Raw Data)'!DZ19</f>
        <v>1.6957</v>
      </c>
      <c r="DZ19" s="166">
        <f>'(Bloom Raw Data)'!EA19</f>
        <v>1.6529</v>
      </c>
      <c r="EA19" s="166">
        <f>'(Bloom Raw Data)'!EB19</f>
        <v>1.8286</v>
      </c>
      <c r="EB19" s="166">
        <f>'(Bloom Raw Data)'!EC19</f>
        <v>1.6804999999999999</v>
      </c>
      <c r="EC19" s="166">
        <f>'(Bloom Raw Data)'!ED19</f>
        <v>1.8959999999999999</v>
      </c>
      <c r="ED19" s="166">
        <f>'(Bloom Raw Data)'!EE19</f>
        <v>1.4918</v>
      </c>
      <c r="EE19" s="166">
        <f>'(Bloom Raw Data)'!EF19</f>
        <v>0.9788</v>
      </c>
      <c r="EF19" s="166">
        <f>'(Bloom Raw Data)'!EG19</f>
        <v>1.075</v>
      </c>
      <c r="EG19" s="11"/>
      <c r="EH19" s="165">
        <f>'(Bloom Raw Data)'!EJ19</f>
        <v>16.551400000000001</v>
      </c>
      <c r="EI19" s="165">
        <f>'(Bloom Raw Data)'!EK19</f>
        <v>17.493200000000002</v>
      </c>
      <c r="EJ19" s="165">
        <f>'(Bloom Raw Data)'!EL19</f>
        <v>16.094999999999999</v>
      </c>
      <c r="EK19" s="165">
        <f>'(Bloom Raw Data)'!EM19</f>
        <v>171.5813</v>
      </c>
      <c r="EL19" s="165">
        <f>'(Bloom Raw Data)'!EN19</f>
        <v>204.14529999999999</v>
      </c>
      <c r="EM19" s="165">
        <f>'(Bloom Raw Data)'!EO19</f>
        <v>2137.4787000000001</v>
      </c>
      <c r="EN19" s="165">
        <f>'(Bloom Raw Data)'!EP19</f>
        <v>32.683900000000001</v>
      </c>
      <c r="EO19" s="165">
        <f>'(Bloom Raw Data)'!EQ19</f>
        <v>13.081799999999999</v>
      </c>
      <c r="EP19" s="165" t="str">
        <f>'(Bloom Raw Data)'!ER19</f>
        <v>#N/A N/A</v>
      </c>
      <c r="EQ19" s="165" t="str">
        <f>'(Bloom Raw Data)'!ES19</f>
        <v>#N/A N/A</v>
      </c>
      <c r="ER19" s="165" t="str">
        <f>'(Bloom Raw Data)'!ET19</f>
        <v>#N/A N/A</v>
      </c>
      <c r="ES19" s="165" t="str">
        <f>'(Bloom Raw Data)'!EU19</f>
        <v>#N/A N/A</v>
      </c>
      <c r="ET19" s="165" t="str">
        <f>'(Bloom Raw Data)'!EV19</f>
        <v>#N/A N/A</v>
      </c>
      <c r="EU19" s="165" t="str">
        <f>'(Bloom Raw Data)'!EW19</f>
        <v>#N/A N/A</v>
      </c>
      <c r="EV19" s="165" t="str">
        <f>'(Bloom Raw Data)'!EX19</f>
        <v>#N/A N/A</v>
      </c>
      <c r="EW19" s="11"/>
      <c r="EX19" s="11"/>
      <c r="EY19" s="165">
        <f>'(Bloom Raw Data)'!FR19</f>
        <v>2218</v>
      </c>
      <c r="EZ19" s="165">
        <f>'(Bloom Raw Data)'!FS19</f>
        <v>2654</v>
      </c>
      <c r="FA19" s="165">
        <f>'(Bloom Raw Data)'!FT19</f>
        <v>3218</v>
      </c>
      <c r="FB19" s="165">
        <f>'(Bloom Raw Data)'!FU19</f>
        <v>2089</v>
      </c>
      <c r="FC19" s="165">
        <f>'(Bloom Raw Data)'!FV19</f>
        <v>2447</v>
      </c>
      <c r="FD19" s="165">
        <f>'(Bloom Raw Data)'!FW19</f>
        <v>2825</v>
      </c>
      <c r="FE19" s="165">
        <f>'(Bloom Raw Data)'!FX19</f>
        <v>4993</v>
      </c>
      <c r="FF19" s="165">
        <f>'(Bloom Raw Data)'!FY19</f>
        <v>2246</v>
      </c>
      <c r="FG19" s="165">
        <f>'(Bloom Raw Data)'!FZ19</f>
        <v>2860</v>
      </c>
      <c r="FH19" s="165">
        <f>'(Bloom Raw Data)'!GA19</f>
        <v>630</v>
      </c>
      <c r="FI19" s="165">
        <f>'(Bloom Raw Data)'!GB19</f>
        <v>869</v>
      </c>
      <c r="FJ19" s="165">
        <f>'(Bloom Raw Data)'!GC19</f>
        <v>473</v>
      </c>
      <c r="FK19" s="165">
        <f>'(Bloom Raw Data)'!GD19</f>
        <v>390</v>
      </c>
      <c r="FL19" s="165">
        <f>'(Bloom Raw Data)'!GE19</f>
        <v>261</v>
      </c>
      <c r="FM19" s="165">
        <f>'(Bloom Raw Data)'!GF19</f>
        <v>308</v>
      </c>
      <c r="FN19" s="11"/>
      <c r="FO19" s="166">
        <f>'(Bloom Raw Data)'!FA19</f>
        <v>1.282</v>
      </c>
      <c r="FP19" s="166">
        <f>'(Bloom Raw Data)'!FB19</f>
        <v>1.2852999999999999</v>
      </c>
      <c r="FQ19" s="166">
        <f>'(Bloom Raw Data)'!FC19</f>
        <v>1.2598</v>
      </c>
      <c r="FR19" s="166">
        <f>'(Bloom Raw Data)'!FD19</f>
        <v>1.6675</v>
      </c>
      <c r="FS19" s="166">
        <f>'(Bloom Raw Data)'!FE19</f>
        <v>1.4941</v>
      </c>
      <c r="FT19" s="166">
        <f>'(Bloom Raw Data)'!FF19</f>
        <v>1.5880000000000001</v>
      </c>
      <c r="FU19" s="166">
        <f>'(Bloom Raw Data)'!FG19</f>
        <v>1.6133</v>
      </c>
      <c r="FV19" s="166">
        <f>'(Bloom Raw Data)'!FH19</f>
        <v>1.6366000000000001</v>
      </c>
      <c r="FW19" s="166" t="str">
        <f>'(Bloom Raw Data)'!FI19</f>
        <v>#N/A N/A</v>
      </c>
      <c r="FX19" s="166" t="str">
        <f>'(Bloom Raw Data)'!FJ19</f>
        <v>#N/A N/A</v>
      </c>
      <c r="FY19" s="166" t="str">
        <f>'(Bloom Raw Data)'!FK19</f>
        <v>#N/A N/A</v>
      </c>
      <c r="FZ19" s="166" t="str">
        <f>'(Bloom Raw Data)'!FL19</f>
        <v>#N/A N/A</v>
      </c>
      <c r="GA19" s="166" t="str">
        <f>'(Bloom Raw Data)'!FM19</f>
        <v>#N/A N/A</v>
      </c>
      <c r="GB19" s="166" t="str">
        <f>'(Bloom Raw Data)'!FN19</f>
        <v>#N/A N/A</v>
      </c>
      <c r="GC19" s="166" t="str">
        <f>'(Bloom Raw Data)'!FO19</f>
        <v>#N/A N/A</v>
      </c>
      <c r="GD19" s="174"/>
      <c r="GE19" s="174"/>
      <c r="GF19" s="165">
        <f>'(Bloom Raw Data)'!GI19</f>
        <v>16553</v>
      </c>
      <c r="GG19" s="165">
        <f>'(Bloom Raw Data)'!GJ19</f>
        <v>16859</v>
      </c>
      <c r="GH19" s="165">
        <f>'(Bloom Raw Data)'!GK19</f>
        <v>15175</v>
      </c>
      <c r="GI19" s="165">
        <f>'(Bloom Raw Data)'!GL19</f>
        <v>14416</v>
      </c>
      <c r="GJ19" s="165">
        <f>'(Bloom Raw Data)'!GM19</f>
        <v>14634</v>
      </c>
      <c r="GK19" s="165">
        <f>'(Bloom Raw Data)'!GN19</f>
        <v>14816</v>
      </c>
      <c r="GL19" s="165">
        <f>'(Bloom Raw Data)'!GO19</f>
        <v>13807</v>
      </c>
      <c r="GM19" s="165">
        <f>'(Bloom Raw Data)'!GP19</f>
        <v>14214</v>
      </c>
      <c r="GN19" s="165">
        <f>'(Bloom Raw Data)'!GQ19</f>
        <v>14334</v>
      </c>
      <c r="GO19" s="165">
        <f>'(Bloom Raw Data)'!GR19</f>
        <v>14494</v>
      </c>
      <c r="GP19" s="165">
        <f>'(Bloom Raw Data)'!GS19</f>
        <v>12672</v>
      </c>
      <c r="GQ19" s="165">
        <f>'(Bloom Raw Data)'!GT19</f>
        <v>12947</v>
      </c>
      <c r="GR19" s="165">
        <f>'(Bloom Raw Data)'!GU19</f>
        <v>12958</v>
      </c>
      <c r="GS19" s="165">
        <f>'(Bloom Raw Data)'!GV19</f>
        <v>13045</v>
      </c>
      <c r="GT19" s="165">
        <f>'(Bloom Raw Data)'!GW19</f>
        <v>12461</v>
      </c>
      <c r="GU19" s="11"/>
      <c r="GV19" s="165">
        <f t="shared" si="17"/>
        <v>6267.9247147161977</v>
      </c>
      <c r="GW19" s="165">
        <f t="shared" si="18"/>
        <v>6035.0348020051324</v>
      </c>
      <c r="GX19" s="165">
        <f t="shared" si="19"/>
        <v>5945.9815827028197</v>
      </c>
      <c r="GY19" s="165">
        <f t="shared" si="20"/>
        <v>5825.0061158262615</v>
      </c>
      <c r="GZ19" s="165">
        <f t="shared" si="21"/>
        <v>5869.0049279318873</v>
      </c>
      <c r="HA19" s="165">
        <f t="shared" si="22"/>
        <v>5798.0489852438441</v>
      </c>
      <c r="HB19" s="165">
        <f t="shared" si="23"/>
        <v>5277.0019664784031</v>
      </c>
      <c r="HC19" s="165">
        <f t="shared" si="24"/>
        <v>5193.0430828921317</v>
      </c>
      <c r="HD19" s="165">
        <f t="shared" si="25"/>
        <v>5375.0087388584998</v>
      </c>
      <c r="HE19" s="165">
        <f t="shared" si="26"/>
        <v>5254.0164040072641</v>
      </c>
      <c r="HF19" s="165">
        <f t="shared" si="27"/>
        <v>5593.9986082909363</v>
      </c>
      <c r="HG19" s="165">
        <f t="shared" si="28"/>
        <v>5518.0532534800905</v>
      </c>
      <c r="HH19" s="165">
        <f t="shared" si="29"/>
        <v>4816.0292842143708</v>
      </c>
      <c r="HI19" s="165">
        <f t="shared" si="30"/>
        <v>4620.0404349303435</v>
      </c>
      <c r="HJ19" s="165">
        <f t="shared" si="31"/>
        <v>4326.9362632784832</v>
      </c>
      <c r="HK19" s="11"/>
      <c r="HL19" s="2658">
        <v>1</v>
      </c>
      <c r="HM19" s="166">
        <f>'(Bloom Raw Data)'!HQ19</f>
        <v>10.122400000000001</v>
      </c>
      <c r="HN19" s="166">
        <f>'(Bloom Raw Data)'!HR19</f>
        <v>8.0076999999999998</v>
      </c>
      <c r="HO19" s="166">
        <f>'(Bloom Raw Data)'!HS19</f>
        <v>8.6042000000000005</v>
      </c>
      <c r="HP19" s="166">
        <f>'(Bloom Raw Data)'!HT19</f>
        <v>7.1349999999999998</v>
      </c>
      <c r="HQ19" s="166">
        <f>'(Bloom Raw Data)'!HU19</f>
        <v>8.3999000000000006</v>
      </c>
      <c r="HR19" s="166">
        <f>'(Bloom Raw Data)'!HV19</f>
        <v>9.0390999999999995</v>
      </c>
      <c r="HS19" s="166">
        <f>'(Bloom Raw Data)'!HW19</f>
        <v>8.1005000000000003</v>
      </c>
      <c r="HT19" s="166">
        <f>'(Bloom Raw Data)'!HX19</f>
        <v>10.4245</v>
      </c>
      <c r="HU19" s="166">
        <f>'(Bloom Raw Data)'!HY19</f>
        <v>10.604800000000001</v>
      </c>
      <c r="HV19" s="166">
        <f>'(Bloom Raw Data)'!HZ19</f>
        <v>9.3407</v>
      </c>
      <c r="HW19" s="166">
        <f>'(Bloom Raw Data)'!IA19</f>
        <v>10.1852</v>
      </c>
      <c r="HX19" s="166">
        <f>'(Bloom Raw Data)'!IB19</f>
        <v>10.2643</v>
      </c>
      <c r="HY19" s="166">
        <f>'(Bloom Raw Data)'!IC19</f>
        <v>6.3807</v>
      </c>
      <c r="HZ19" s="166">
        <f>'(Bloom Raw Data)'!ID19</f>
        <v>6.5594000000000001</v>
      </c>
      <c r="IA19" s="166">
        <f>'(Bloom Raw Data)'!IE19</f>
        <v>5.6787999999999998</v>
      </c>
      <c r="IB19" s="72"/>
    </row>
    <row r="20" spans="1:237">
      <c r="A20" s="11" t="s">
        <v>27</v>
      </c>
      <c r="B20" s="11" t="s">
        <v>8</v>
      </c>
      <c r="C20" s="11"/>
      <c r="D20" s="165">
        <f>'(Bloom Raw Data)'!D20</f>
        <v>7462.4336999999996</v>
      </c>
      <c r="E20" s="165">
        <f>'(Bloom Raw Data)'!E20</f>
        <v>7421.3262999999997</v>
      </c>
      <c r="F20" s="165">
        <f>'(Bloom Raw Data)'!F20</f>
        <v>7333.4517999999998</v>
      </c>
      <c r="G20" s="165">
        <f>'(Bloom Raw Data)'!G20</f>
        <v>8776.8525000000009</v>
      </c>
      <c r="H20" s="165">
        <f>'(Bloom Raw Data)'!H20</f>
        <v>7339.8116</v>
      </c>
      <c r="I20" s="165">
        <f>'(Bloom Raw Data)'!I20</f>
        <v>7301.1936999999998</v>
      </c>
      <c r="J20" s="165">
        <f>'(Bloom Raw Data)'!J20</f>
        <v>6129.4525000000003</v>
      </c>
      <c r="K20" s="165">
        <f>'(Bloom Raw Data)'!K20</f>
        <v>4930.8159999999998</v>
      </c>
      <c r="L20" s="165">
        <f>'(Bloom Raw Data)'!L20</f>
        <v>3610.3515000000002</v>
      </c>
      <c r="M20" s="165">
        <f>'(Bloom Raw Data)'!M20</f>
        <v>3658.8629999999998</v>
      </c>
      <c r="N20" s="165">
        <f>'(Bloom Raw Data)'!N20</f>
        <v>3097.4506999999999</v>
      </c>
      <c r="O20" s="165">
        <f>'(Bloom Raw Data)'!O20</f>
        <v>3448.8816999999999</v>
      </c>
      <c r="P20" s="165">
        <f>'(Bloom Raw Data)'!P20</f>
        <v>3024.9229999999998</v>
      </c>
      <c r="Q20" s="165">
        <f>'(Bloom Raw Data)'!Q20</f>
        <v>3438.96</v>
      </c>
      <c r="R20" s="165">
        <f>'(Bloom Raw Data)'!R20</f>
        <v>2680.5724</v>
      </c>
      <c r="S20" s="11"/>
      <c r="T20" s="165">
        <f>'(Bloom Raw Data)'!U20</f>
        <v>5569.6642000000002</v>
      </c>
      <c r="U20" s="165">
        <f>'(Bloom Raw Data)'!V20</f>
        <v>5659.8</v>
      </c>
      <c r="V20" s="165">
        <f>'(Bloom Raw Data)'!W20</f>
        <v>6092.8</v>
      </c>
      <c r="W20" s="165">
        <f>'(Bloom Raw Data)'!X20</f>
        <v>781.5</v>
      </c>
      <c r="X20" s="165">
        <f>'(Bloom Raw Data)'!Y20</f>
        <v>2099.7964000000002</v>
      </c>
      <c r="Y20" s="165">
        <f>'(Bloom Raw Data)'!Z20</f>
        <v>7428.5</v>
      </c>
      <c r="Z20" s="165">
        <f>'(Bloom Raw Data)'!AA20</f>
        <v>8874.7999999999993</v>
      </c>
      <c r="AA20" s="165">
        <f>'(Bloom Raw Data)'!AB20</f>
        <v>8540.6131999999998</v>
      </c>
      <c r="AB20" s="165">
        <f>'(Bloom Raw Data)'!AC20</f>
        <v>6612.8339999999998</v>
      </c>
      <c r="AC20" s="165">
        <f>'(Bloom Raw Data)'!AD20</f>
        <v>7073</v>
      </c>
      <c r="AD20" s="165">
        <f>'(Bloom Raw Data)'!AE20</f>
        <v>7937.5</v>
      </c>
      <c r="AE20" s="165">
        <f>'(Bloom Raw Data)'!AF20</f>
        <v>7764.6</v>
      </c>
      <c r="AF20" s="165">
        <f>'(Bloom Raw Data)'!AG20</f>
        <v>7711.2119000000002</v>
      </c>
      <c r="AG20" s="165">
        <f>'(Bloom Raw Data)'!AH20</f>
        <v>8100.6</v>
      </c>
      <c r="AH20" s="165">
        <f>'(Bloom Raw Data)'!AI20</f>
        <v>7937.5</v>
      </c>
      <c r="AI20" s="11"/>
      <c r="AJ20" s="165">
        <f>'(Bloom Raw Data)'!AL20</f>
        <v>951.67439999999999</v>
      </c>
      <c r="AK20" s="165">
        <f>'(Bloom Raw Data)'!AP20</f>
        <v>210.5</v>
      </c>
      <c r="AL20" s="165">
        <f>'(Bloom Raw Data)'!AT20</f>
        <v>168.44800000000001</v>
      </c>
      <c r="AM20" s="165">
        <f>'(Bloom Raw Data)'!AX20</f>
        <v>167.4632</v>
      </c>
      <c r="AN20" s="11"/>
      <c r="AO20" s="166">
        <f>'(Bloom Raw Data)'!BC20</f>
        <v>-4.1829999999999998</v>
      </c>
      <c r="AP20" s="166">
        <f>'(Bloom Raw Data)'!BD20</f>
        <v>3.1640999999999999</v>
      </c>
      <c r="AQ20" s="166">
        <f>'(Bloom Raw Data)'!BE20</f>
        <v>3.2294</v>
      </c>
      <c r="AR20" s="166">
        <f>'(Bloom Raw Data)'!BF20</f>
        <v>2.8893</v>
      </c>
      <c r="AS20" s="166">
        <f>'(Bloom Raw Data)'!BG20</f>
        <v>0.2127</v>
      </c>
      <c r="AT20" s="166" t="str">
        <f>'(Bloom Raw Data)'!BH20</f>
        <v>#N/A N/A</v>
      </c>
      <c r="AU20" s="166">
        <f>'(Bloom Raw Data)'!BI20</f>
        <v>2.4858000000000002</v>
      </c>
      <c r="AV20" s="166">
        <f>'(Bloom Raw Data)'!BJ20</f>
        <v>2.3290999999999999</v>
      </c>
      <c r="AW20" s="166">
        <f>'(Bloom Raw Data)'!BK20</f>
        <v>1.3796999999999999</v>
      </c>
      <c r="AX20" s="166">
        <f>'(Bloom Raw Data)'!BL20</f>
        <v>1.9352</v>
      </c>
      <c r="AY20" s="166">
        <f>'(Bloom Raw Data)'!BM20</f>
        <v>1.6928999999999998</v>
      </c>
      <c r="AZ20" s="166">
        <f>'(Bloom Raw Data)'!BN20</f>
        <v>1.6564000000000001</v>
      </c>
      <c r="BA20" s="166">
        <f>'(Bloom Raw Data)'!BO20</f>
        <v>1.3139000000000001</v>
      </c>
      <c r="BB20" s="166">
        <f>'(Bloom Raw Data)'!BP20</f>
        <v>1.1894</v>
      </c>
      <c r="BC20" s="166">
        <f>'(Bloom Raw Data)'!BQ20</f>
        <v>0.90610000000000002</v>
      </c>
      <c r="BD20" s="11"/>
      <c r="BE20" s="127">
        <f>T20/DA31</f>
        <v>2.2259958434914671</v>
      </c>
      <c r="BF20" s="127">
        <f>U20/DB31</f>
        <v>2.4860757269612583</v>
      </c>
      <c r="BG20" s="127">
        <f>V20/DC31</f>
        <v>2.9693454846727425</v>
      </c>
      <c r="BH20" s="127">
        <f>W20/DD31</f>
        <v>0.43978615644344399</v>
      </c>
      <c r="BI20" s="127">
        <f>X20/DE31</f>
        <v>1.4079364355638997</v>
      </c>
      <c r="BJ20" s="166">
        <f>'(Bloom Raw Data)'!BY20</f>
        <v>4.6794000000000002</v>
      </c>
      <c r="BK20" s="166">
        <f>'(Bloom Raw Data)'!BZ20</f>
        <v>5.6532</v>
      </c>
      <c r="BL20" s="166">
        <f>'(Bloom Raw Data)'!CA20</f>
        <v>4.6271000000000004</v>
      </c>
      <c r="BM20" s="166">
        <f>'(Bloom Raw Data)'!CB20</f>
        <v>3.1051000000000002</v>
      </c>
      <c r="BN20" s="166">
        <f>'(Bloom Raw Data)'!CC20</f>
        <v>3.0222000000000002</v>
      </c>
      <c r="BO20" s="166">
        <f>'(Bloom Raw Data)'!CD20</f>
        <v>3.5028000000000001</v>
      </c>
      <c r="BP20" s="166">
        <f>'(Bloom Raw Data)'!CE20</f>
        <v>3.5291000000000001</v>
      </c>
      <c r="BQ20" s="166">
        <f>'(Bloom Raw Data)'!CF20</f>
        <v>3.4925000000000002</v>
      </c>
      <c r="BR20" s="166">
        <f>'(Bloom Raw Data)'!CG20</f>
        <v>3.7404999999999999</v>
      </c>
      <c r="BS20" s="166">
        <f>'(Bloom Raw Data)'!CH20</f>
        <v>3.7978000000000001</v>
      </c>
      <c r="BT20" s="11"/>
      <c r="BU20" s="165">
        <f>'(Bloom Raw Data)'!CK20</f>
        <v>14101.233099999999</v>
      </c>
      <c r="BV20" s="165">
        <f>'(Bloom Raw Data)'!CL20</f>
        <v>14228.6263</v>
      </c>
      <c r="BW20" s="165">
        <f>'(Bloom Raw Data)'!CM20</f>
        <v>14702.051799999999</v>
      </c>
      <c r="BX20" s="165">
        <f>'(Bloom Raw Data)'!CN20</f>
        <v>9762.9524999999994</v>
      </c>
      <c r="BY20" s="165">
        <f>'(Bloom Raw Data)'!CO20</f>
        <v>9656.3045000000002</v>
      </c>
      <c r="BZ20" s="165">
        <f>'(Bloom Raw Data)'!CP20</f>
        <v>15658.493700000001</v>
      </c>
      <c r="CA20" s="165">
        <f>'(Bloom Raw Data)'!CQ20</f>
        <v>15824.1525</v>
      </c>
      <c r="CB20" s="165">
        <f>'(Bloom Raw Data)'!CR20</f>
        <v>14259.033100000001</v>
      </c>
      <c r="CC20" s="165">
        <f>'(Bloom Raw Data)'!CS20</f>
        <v>11137.288500000001</v>
      </c>
      <c r="CD20" s="165">
        <f>'(Bloom Raw Data)'!CT20</f>
        <v>11356.862999999999</v>
      </c>
      <c r="CE20" s="165">
        <f>'(Bloom Raw Data)'!CU20</f>
        <v>11550.1507</v>
      </c>
      <c r="CF20" s="165">
        <f>'(Bloom Raw Data)'!CV20</f>
        <v>11793.2817</v>
      </c>
      <c r="CG20" s="165">
        <f>'(Bloom Raw Data)'!CW20</f>
        <v>11296.8127</v>
      </c>
      <c r="CH20" s="165">
        <f>'(Bloom Raw Data)'!CX20</f>
        <v>12121.16</v>
      </c>
      <c r="CI20" s="165">
        <f>'(Bloom Raw Data)'!CY20</f>
        <v>11133.2724</v>
      </c>
      <c r="CJ20" s="11"/>
      <c r="CK20" s="165">
        <f t="shared" si="2"/>
        <v>1069.1351999999997</v>
      </c>
      <c r="CL20" s="165">
        <f t="shared" si="3"/>
        <v>1147.5</v>
      </c>
      <c r="CM20" s="165">
        <f t="shared" si="4"/>
        <v>1275.7999999999993</v>
      </c>
      <c r="CN20" s="165">
        <f t="shared" si="5"/>
        <v>204.59999999999854</v>
      </c>
      <c r="CO20" s="165">
        <f t="shared" si="6"/>
        <v>216.69650000000001</v>
      </c>
      <c r="CP20" s="165">
        <f t="shared" si="7"/>
        <v>928.80000000000109</v>
      </c>
      <c r="CQ20" s="165">
        <f t="shared" si="8"/>
        <v>819.90000000000146</v>
      </c>
      <c r="CR20" s="165">
        <f t="shared" si="9"/>
        <v>787.60390000000189</v>
      </c>
      <c r="CS20" s="165">
        <f t="shared" si="10"/>
        <v>914.10300000000007</v>
      </c>
      <c r="CT20" s="165">
        <f t="shared" si="11"/>
        <v>625</v>
      </c>
      <c r="CU20" s="165">
        <f t="shared" si="12"/>
        <v>515.20000000000073</v>
      </c>
      <c r="CV20" s="165">
        <f t="shared" si="13"/>
        <v>579.79999999999927</v>
      </c>
      <c r="CW20" s="165">
        <f t="shared" si="14"/>
        <v>560.67779999999948</v>
      </c>
      <c r="CX20" s="165">
        <f t="shared" si="15"/>
        <v>581.60000000000036</v>
      </c>
      <c r="CY20" s="165">
        <f t="shared" si="16"/>
        <v>515.20000000000073</v>
      </c>
      <c r="CZ20" s="11"/>
      <c r="DA20" s="127">
        <f>BU20/DA31</f>
        <v>5.6357592022700924</v>
      </c>
      <c r="DB20" s="127">
        <f>BV20/DB31</f>
        <v>6.2499456645875426</v>
      </c>
      <c r="DC20" s="127">
        <f>BW20/DC31</f>
        <v>7.1650917686047073</v>
      </c>
      <c r="DD20" s="127">
        <f>BX20/DD31</f>
        <v>5.4940644344400669</v>
      </c>
      <c r="DE20" s="127">
        <f>BY20/DE31</f>
        <v>6.4746577041705775</v>
      </c>
      <c r="DF20" s="166">
        <f>'(Bloom Raw Data)'!DG20</f>
        <v>9.8637999999999995</v>
      </c>
      <c r="DG20" s="166">
        <f>'(Bloom Raw Data)'!DH20</f>
        <v>10.0799</v>
      </c>
      <c r="DH20" s="166">
        <f>'(Bloom Raw Data)'!DI20</f>
        <v>7.7252000000000001</v>
      </c>
      <c r="DI20" s="166">
        <f>'(Bloom Raw Data)'!DJ20</f>
        <v>5.2295999999999996</v>
      </c>
      <c r="DJ20" s="166">
        <f>'(Bloom Raw Data)'!DK20</f>
        <v>4.8525999999999998</v>
      </c>
      <c r="DK20" s="166">
        <f>'(Bloom Raw Data)'!DL20</f>
        <v>5.0970000000000004</v>
      </c>
      <c r="DL20" s="166">
        <f>'(Bloom Raw Data)'!DM20</f>
        <v>5.3601999999999999</v>
      </c>
      <c r="DM20" s="166">
        <f>'(Bloom Raw Data)'!DN20</f>
        <v>5.1165000000000003</v>
      </c>
      <c r="DN20" s="166">
        <f>'(Bloom Raw Data)'!DO20</f>
        <v>5.5971000000000002</v>
      </c>
      <c r="DO20" s="166">
        <f>'(Bloom Raw Data)'!DP20</f>
        <v>5.3268000000000004</v>
      </c>
      <c r="DP20" s="11"/>
      <c r="DQ20" s="11"/>
      <c r="DR20" s="166">
        <f>'(Bloom Raw Data)'!DS20</f>
        <v>2.4291</v>
      </c>
      <c r="DS20" s="166">
        <f>'(Bloom Raw Data)'!DT20</f>
        <v>2.8045999999999998</v>
      </c>
      <c r="DT20" s="166">
        <f>'(Bloom Raw Data)'!DU20</f>
        <v>2.7625000000000002</v>
      </c>
      <c r="DU20" s="166">
        <f>'(Bloom Raw Data)'!DV20</f>
        <v>2.1886999999999999</v>
      </c>
      <c r="DV20" s="166">
        <f>'(Bloom Raw Data)'!DW20</f>
        <v>2.0619999999999998</v>
      </c>
      <c r="DW20" s="166">
        <f>'(Bloom Raw Data)'!DX20</f>
        <v>3.3980000000000001</v>
      </c>
      <c r="DX20" s="166">
        <f>'(Bloom Raw Data)'!DY20</f>
        <v>3.6478000000000002</v>
      </c>
      <c r="DY20" s="166">
        <f>'(Bloom Raw Data)'!DZ20</f>
        <v>2.8332000000000002</v>
      </c>
      <c r="DZ20" s="166">
        <f>'(Bloom Raw Data)'!EA20</f>
        <v>1.8431</v>
      </c>
      <c r="EA20" s="166">
        <f>'(Bloom Raw Data)'!EB20</f>
        <v>1.6821000000000002</v>
      </c>
      <c r="EB20" s="166">
        <f>'(Bloom Raw Data)'!EC20</f>
        <v>1.7433000000000001</v>
      </c>
      <c r="EC20" s="166">
        <f>'(Bloom Raw Data)'!ED20</f>
        <v>1.8065</v>
      </c>
      <c r="ED20" s="166">
        <f>'(Bloom Raw Data)'!EE20</f>
        <v>1.7673999999999999</v>
      </c>
      <c r="EE20" s="166">
        <f>'(Bloom Raw Data)'!EF20</f>
        <v>1.9295</v>
      </c>
      <c r="EF20" s="166">
        <f>'(Bloom Raw Data)'!EG20</f>
        <v>1.7985</v>
      </c>
      <c r="EG20" s="11"/>
      <c r="EH20" s="165">
        <f>'(Bloom Raw Data)'!EJ20</f>
        <v>10.4527</v>
      </c>
      <c r="EI20" s="165">
        <f>'(Bloom Raw Data)'!EK20</f>
        <v>11.8301</v>
      </c>
      <c r="EJ20" s="165">
        <f>'(Bloom Raw Data)'!EL20</f>
        <v>10.243399999999999</v>
      </c>
      <c r="EK20" s="165">
        <f>'(Bloom Raw Data)'!EM20</f>
        <v>20.2746</v>
      </c>
      <c r="EL20" s="165">
        <f>'(Bloom Raw Data)'!EN20</f>
        <v>40.817900000000002</v>
      </c>
      <c r="EM20" s="165">
        <f>'(Bloom Raw Data)'!EO20</f>
        <v>30.596299999999999</v>
      </c>
      <c r="EN20" s="165">
        <f>'(Bloom Raw Data)'!EP20</f>
        <v>43.723199999999999</v>
      </c>
      <c r="EO20" s="165">
        <f>'(Bloom Raw Data)'!EQ20</f>
        <v>14.0304</v>
      </c>
      <c r="EP20" s="165" t="str">
        <f>'(Bloom Raw Data)'!ER20</f>
        <v>#N/A N/A</v>
      </c>
      <c r="EQ20" s="165" t="str">
        <f>'(Bloom Raw Data)'!ES20</f>
        <v>#N/A N/A</v>
      </c>
      <c r="ER20" s="165" t="str">
        <f>'(Bloom Raw Data)'!ET20</f>
        <v>#N/A N/A</v>
      </c>
      <c r="ES20" s="165" t="str">
        <f>'(Bloom Raw Data)'!EU20</f>
        <v>#N/A N/A</v>
      </c>
      <c r="ET20" s="165">
        <f>'(Bloom Raw Data)'!EV20</f>
        <v>12.9276</v>
      </c>
      <c r="EU20" s="165" t="str">
        <f>'(Bloom Raw Data)'!EW20</f>
        <v>#N/A N/A</v>
      </c>
      <c r="EV20" s="165" t="str">
        <f>'(Bloom Raw Data)'!EX20</f>
        <v>#N/A N/A</v>
      </c>
      <c r="EW20" s="11"/>
      <c r="EX20" s="11"/>
      <c r="EY20" s="165">
        <f>'(Bloom Raw Data)'!FR20</f>
        <v>1449.5165</v>
      </c>
      <c r="EZ20" s="165">
        <f>'(Bloom Raw Data)'!FS20</f>
        <v>2137</v>
      </c>
      <c r="FA20" s="165">
        <f>'(Bloom Raw Data)'!FT20</f>
        <v>2001.6</v>
      </c>
      <c r="FB20" s="165">
        <f>'(Bloom Raw Data)'!FU20</f>
        <v>6247.3</v>
      </c>
      <c r="FC20" s="165">
        <f>'(Bloom Raw Data)'!FV20</f>
        <v>4764.7326999999996</v>
      </c>
      <c r="FD20" s="165">
        <f>'(Bloom Raw Data)'!FW20</f>
        <v>4493.7</v>
      </c>
      <c r="FE20" s="165">
        <f>'(Bloom Raw Data)'!FX20</f>
        <v>3505.1</v>
      </c>
      <c r="FF20" s="165">
        <f>'(Bloom Raw Data)'!FY20</f>
        <v>3203.5178999999998</v>
      </c>
      <c r="FG20" s="165">
        <f>'(Bloom Raw Data)'!FZ20</f>
        <v>4930.0123999999996</v>
      </c>
      <c r="FH20" s="165">
        <f>'(Bloom Raw Data)'!GA20</f>
        <v>4060</v>
      </c>
      <c r="FI20" s="165">
        <f>'(Bloom Raw Data)'!GB20</f>
        <v>2979.7</v>
      </c>
      <c r="FJ20" s="165">
        <f>'(Bloom Raw Data)'!GC20</f>
        <v>3487.4</v>
      </c>
      <c r="FK20" s="165">
        <f>'(Bloom Raw Data)'!GD20</f>
        <v>2507.0992000000001</v>
      </c>
      <c r="FL20" s="165">
        <f>'(Bloom Raw Data)'!GE20</f>
        <v>2936</v>
      </c>
      <c r="FM20" s="165">
        <f>'(Bloom Raw Data)'!GF20</f>
        <v>2979.7</v>
      </c>
      <c r="FN20" s="11"/>
      <c r="FO20" s="166">
        <f>'(Bloom Raw Data)'!FA20</f>
        <v>4.7629999999999999</v>
      </c>
      <c r="FP20" s="166">
        <f>'(Bloom Raw Data)'!FB20</f>
        <v>4.0254000000000003</v>
      </c>
      <c r="FQ20" s="166">
        <f>'(Bloom Raw Data)'!FC20</f>
        <v>4.4351000000000003</v>
      </c>
      <c r="FR20" s="166">
        <f>'(Bloom Raw Data)'!FD20</f>
        <v>1.3452999999999999</v>
      </c>
      <c r="FS20" s="166">
        <f>'(Bloom Raw Data)'!FE20</f>
        <v>1.5665</v>
      </c>
      <c r="FT20" s="166">
        <f>'(Bloom Raw Data)'!FF20</f>
        <v>1.5859999999999999</v>
      </c>
      <c r="FU20" s="166">
        <f>'(Bloom Raw Data)'!FG20</f>
        <v>1.8681999999999999</v>
      </c>
      <c r="FV20" s="166">
        <f>'(Bloom Raw Data)'!FH20</f>
        <v>1.6476999999999999</v>
      </c>
      <c r="FW20" s="166" t="str">
        <f>'(Bloom Raw Data)'!FI20</f>
        <v>#N/A N/A</v>
      </c>
      <c r="FX20" s="166" t="str">
        <f>'(Bloom Raw Data)'!FJ20</f>
        <v>#N/A N/A</v>
      </c>
      <c r="FY20" s="166" t="str">
        <f>'(Bloom Raw Data)'!FK20</f>
        <v>#N/A N/A</v>
      </c>
      <c r="FZ20" s="166" t="str">
        <f>'(Bloom Raw Data)'!FL20</f>
        <v>#N/A N/A</v>
      </c>
      <c r="GA20" s="166">
        <f>'(Bloom Raw Data)'!FM20</f>
        <v>1.319</v>
      </c>
      <c r="GB20" s="166" t="str">
        <f>'(Bloom Raw Data)'!FN20</f>
        <v>#N/A N/A</v>
      </c>
      <c r="GC20" s="166" t="str">
        <f>'(Bloom Raw Data)'!FO20</f>
        <v>#N/A N/A</v>
      </c>
      <c r="GD20" s="174"/>
      <c r="GE20" s="174"/>
      <c r="GF20" s="165">
        <f>'(Bloom Raw Data)'!GI20</f>
        <v>2387.4465</v>
      </c>
      <c r="GG20" s="165">
        <f>'(Bloom Raw Data)'!GJ20</f>
        <v>2698.8</v>
      </c>
      <c r="GH20" s="165">
        <f>'(Bloom Raw Data)'!GK20</f>
        <v>2667.1</v>
      </c>
      <c r="GI20" s="165">
        <f>'(Bloom Raw Data)'!GL20</f>
        <v>5694.3</v>
      </c>
      <c r="GJ20" s="165">
        <f>'(Bloom Raw Data)'!GM20</f>
        <v>4609.1450999999997</v>
      </c>
      <c r="GK20" s="165">
        <f>'(Bloom Raw Data)'!GN20</f>
        <v>5244.3</v>
      </c>
      <c r="GL20" s="165">
        <f>'(Bloom Raw Data)'!GO20</f>
        <v>4100.8</v>
      </c>
      <c r="GM20" s="165">
        <f>'(Bloom Raw Data)'!GP20</f>
        <v>3780.0949999999998</v>
      </c>
      <c r="GN20" s="165">
        <f>'(Bloom Raw Data)'!GQ20</f>
        <v>3742.1727999999998</v>
      </c>
      <c r="GO20" s="165">
        <f>'(Bloom Raw Data)'!GR20</f>
        <v>3530</v>
      </c>
      <c r="GP20" s="165">
        <f>'(Bloom Raw Data)'!GS20</f>
        <v>2594.3000000000002</v>
      </c>
      <c r="GQ20" s="165">
        <f>'(Bloom Raw Data)'!GT20</f>
        <v>2990.5</v>
      </c>
      <c r="GR20" s="165">
        <f>'(Bloom Raw Data)'!GU20</f>
        <v>2854.0443</v>
      </c>
      <c r="GS20" s="165">
        <f>'(Bloom Raw Data)'!GV20</f>
        <v>3058.2</v>
      </c>
      <c r="GT20" s="165">
        <f>'(Bloom Raw Data)'!GW20</f>
        <v>2594.3000000000002</v>
      </c>
      <c r="GU20" s="11"/>
      <c r="GV20" s="165">
        <f t="shared" si="17"/>
        <v>2502.1000000000004</v>
      </c>
      <c r="GW20" s="165">
        <f t="shared" si="18"/>
        <v>2276.6</v>
      </c>
      <c r="GX20" s="165">
        <f t="shared" si="19"/>
        <v>2051.9</v>
      </c>
      <c r="GY20" s="165">
        <f t="shared" si="20"/>
        <v>1777</v>
      </c>
      <c r="GZ20" s="165">
        <f t="shared" si="21"/>
        <v>1491.4</v>
      </c>
      <c r="HA20" s="165">
        <f t="shared" si="22"/>
        <v>1587.4707212230583</v>
      </c>
      <c r="HB20" s="165">
        <f t="shared" si="23"/>
        <v>1569.8719729362394</v>
      </c>
      <c r="HC20" s="165">
        <f t="shared" si="24"/>
        <v>1845.7817402785688</v>
      </c>
      <c r="HD20" s="165">
        <f t="shared" si="25"/>
        <v>2129.6635497934835</v>
      </c>
      <c r="HE20" s="165">
        <f t="shared" si="26"/>
        <v>2340.3666075918063</v>
      </c>
      <c r="HF20" s="165">
        <f t="shared" si="27"/>
        <v>2266.068412791838</v>
      </c>
      <c r="HG20" s="165">
        <f t="shared" si="28"/>
        <v>2200.1570277228461</v>
      </c>
      <c r="HH20" s="165">
        <f t="shared" si="29"/>
        <v>2207.9180494478646</v>
      </c>
      <c r="HI20" s="165">
        <f t="shared" si="30"/>
        <v>2165.6143359954262</v>
      </c>
      <c r="HJ20" s="165">
        <f t="shared" si="31"/>
        <v>2090.0488848839827</v>
      </c>
      <c r="HK20" s="11"/>
      <c r="HL20" s="2658"/>
      <c r="HM20" s="166">
        <f>'(Bloom Raw Data)'!HQ20</f>
        <v>7.4585999999999997</v>
      </c>
      <c r="HN20" s="166">
        <f>'(Bloom Raw Data)'!HR20</f>
        <v>7.2892999999999999</v>
      </c>
      <c r="HO20" s="166">
        <f>'(Bloom Raw Data)'!HS20</f>
        <v>8.7288999999999994</v>
      </c>
      <c r="HP20" s="166">
        <f>'(Bloom Raw Data)'!HT20</f>
        <v>8.5761000000000003</v>
      </c>
      <c r="HQ20" s="166">
        <f>'(Bloom Raw Data)'!HU20</f>
        <v>7.1652000000000005</v>
      </c>
      <c r="HR20" s="166">
        <f>'(Bloom Raw Data)'!HV20</f>
        <v>6.6730999999999998</v>
      </c>
      <c r="HS20" s="166">
        <f>'(Bloom Raw Data)'!HW20</f>
        <v>6.5318000000000005</v>
      </c>
      <c r="HT20" s="166">
        <f>'(Bloom Raw Data)'!HX20</f>
        <v>5.6299000000000001</v>
      </c>
      <c r="HU20" s="166">
        <f>'(Bloom Raw Data)'!HY20</f>
        <v>6.4733000000000001</v>
      </c>
      <c r="HV20" s="166">
        <f>'(Bloom Raw Data)'!HZ20</f>
        <v>6.7033000000000005</v>
      </c>
      <c r="HW20" s="166">
        <f>'(Bloom Raw Data)'!IA20</f>
        <v>6.7747999999999999</v>
      </c>
      <c r="HX20" s="166">
        <f>'(Bloom Raw Data)'!IB20</f>
        <v>6.3288000000000002</v>
      </c>
      <c r="HY20" s="166">
        <f>'(Bloom Raw Data)'!IC20</f>
        <v>6.0407000000000002</v>
      </c>
      <c r="HZ20" s="166">
        <f>'(Bloom Raw Data)'!ID20</f>
        <v>6.0693000000000001</v>
      </c>
      <c r="IA20" s="166">
        <f>'(Bloom Raw Data)'!IE20</f>
        <v>7.3448000000000002</v>
      </c>
      <c r="IB20" s="72"/>
    </row>
    <row r="21" spans="1:237">
      <c r="A21" s="11" t="s">
        <v>32</v>
      </c>
      <c r="B21" s="11" t="s">
        <v>11</v>
      </c>
      <c r="C21" s="11"/>
      <c r="D21" s="165">
        <f>'(Bloom Raw Data)'!D21</f>
        <v>10465.753500000001</v>
      </c>
      <c r="E21" s="165">
        <f>'(Bloom Raw Data)'!E21</f>
        <v>10099.3703</v>
      </c>
      <c r="F21" s="165">
        <f>'(Bloom Raw Data)'!F21</f>
        <v>10604.7464</v>
      </c>
      <c r="G21" s="165">
        <f>'(Bloom Raw Data)'!G21</f>
        <v>10863.397999999999</v>
      </c>
      <c r="H21" s="165">
        <f>'(Bloom Raw Data)'!H21</f>
        <v>14030.8213</v>
      </c>
      <c r="I21" s="165">
        <f>'(Bloom Raw Data)'!I21</f>
        <v>15128.6774</v>
      </c>
      <c r="J21" s="165">
        <f>'(Bloom Raw Data)'!J21</f>
        <v>16424.7225</v>
      </c>
      <c r="K21" s="165">
        <f>'(Bloom Raw Data)'!K21</f>
        <v>13502.830099999999</v>
      </c>
      <c r="L21" s="165">
        <f>'(Bloom Raw Data)'!L21</f>
        <v>14841.9691</v>
      </c>
      <c r="M21" s="165">
        <f>'(Bloom Raw Data)'!M21</f>
        <v>17623.490000000002</v>
      </c>
      <c r="N21" s="165">
        <f>'(Bloom Raw Data)'!N21</f>
        <v>16467.780999999999</v>
      </c>
      <c r="O21" s="165">
        <f>'(Bloom Raw Data)'!O21</f>
        <v>18168.755399999998</v>
      </c>
      <c r="P21" s="165">
        <f>'(Bloom Raw Data)'!P21</f>
        <v>18194.743299999998</v>
      </c>
      <c r="Q21" s="165">
        <f>'(Bloom Raw Data)'!Q21</f>
        <v>21907.0311</v>
      </c>
      <c r="R21" s="165">
        <f>'(Bloom Raw Data)'!R21</f>
        <v>24369.8577</v>
      </c>
      <c r="S21" s="11"/>
      <c r="T21" s="165">
        <f>'(Bloom Raw Data)'!U21</f>
        <v>11412</v>
      </c>
      <c r="U21" s="165">
        <f>'(Bloom Raw Data)'!V21</f>
        <v>10933</v>
      </c>
      <c r="V21" s="165">
        <f>'(Bloom Raw Data)'!W21</f>
        <v>10229</v>
      </c>
      <c r="W21" s="165">
        <f>'(Bloom Raw Data)'!X21</f>
        <v>10110</v>
      </c>
      <c r="X21" s="165">
        <f>'(Bloom Raw Data)'!Y21</f>
        <v>9542</v>
      </c>
      <c r="Y21" s="165">
        <f>'(Bloom Raw Data)'!Z21</f>
        <v>9486</v>
      </c>
      <c r="Z21" s="125">
        <f>AVERAGE(Y21,AA21)</f>
        <v>9257</v>
      </c>
      <c r="AA21" s="165">
        <f>'(Bloom Raw Data)'!AB21</f>
        <v>9028</v>
      </c>
      <c r="AB21" s="165">
        <f>'(Bloom Raw Data)'!AC21</f>
        <v>8362</v>
      </c>
      <c r="AC21" s="165">
        <f>'(Bloom Raw Data)'!AD21</f>
        <v>9642</v>
      </c>
      <c r="AD21" s="165">
        <f>'(Bloom Raw Data)'!AE21</f>
        <v>9666</v>
      </c>
      <c r="AE21" s="165">
        <f>'(Bloom Raw Data)'!AF21</f>
        <v>9415</v>
      </c>
      <c r="AF21" s="165">
        <f>'(Bloom Raw Data)'!AG21</f>
        <v>8515</v>
      </c>
      <c r="AG21" s="165">
        <f>'(Bloom Raw Data)'!AH21</f>
        <v>8558</v>
      </c>
      <c r="AH21" s="165">
        <f>'(Bloom Raw Data)'!AI21</f>
        <v>8743</v>
      </c>
      <c r="AI21" s="11"/>
      <c r="AJ21" s="27">
        <f>'(Bloom Raw Data)'!AM21</f>
        <v>7687</v>
      </c>
      <c r="AK21" s="27">
        <f>'(Bloom Raw Data)'!AQ21</f>
        <v>7192</v>
      </c>
      <c r="AL21" s="27">
        <f>'(Bloom Raw Data)'!AU21</f>
        <v>7593</v>
      </c>
      <c r="AM21" s="27">
        <f>'(Bloom Raw Data)'!AY21</f>
        <v>7182</v>
      </c>
      <c r="AN21" s="11"/>
      <c r="AO21" s="166">
        <f>'(Bloom Raw Data)'!BC21</f>
        <v>0.80820000000000003</v>
      </c>
      <c r="AP21" s="166">
        <f>'(Bloom Raw Data)'!BD21</f>
        <v>0.98980000000000001</v>
      </c>
      <c r="AQ21" s="166">
        <f>'(Bloom Raw Data)'!BE21</f>
        <v>2.9003999999999999</v>
      </c>
      <c r="AR21" s="166">
        <f>'(Bloom Raw Data)'!BF21</f>
        <v>3.1497999999999999</v>
      </c>
      <c r="AS21" s="166">
        <f>'(Bloom Raw Data)'!BG21</f>
        <v>3.1324999999999998</v>
      </c>
      <c r="AT21" s="166">
        <f>'(Bloom Raw Data)'!BH21</f>
        <v>4.1967999999999996</v>
      </c>
      <c r="AU21" s="166">
        <f>'(Bloom Raw Data)'!BI21</f>
        <v>4.0759999999999996</v>
      </c>
      <c r="AV21" s="166">
        <f>'(Bloom Raw Data)'!BJ21</f>
        <v>4.24</v>
      </c>
      <c r="AW21" s="166">
        <f>'(Bloom Raw Data)'!BK21</f>
        <v>4.6745999999999999</v>
      </c>
      <c r="AX21" s="166">
        <f>'(Bloom Raw Data)'!BL21</f>
        <v>2.4355000000000002</v>
      </c>
      <c r="AY21" s="166">
        <f>'(Bloom Raw Data)'!BM21</f>
        <v>4.2384000000000004</v>
      </c>
      <c r="AZ21" s="166">
        <f>'(Bloom Raw Data)'!BN21</f>
        <v>3.9655</v>
      </c>
      <c r="BA21" s="166">
        <f>'(Bloom Raw Data)'!BO21</f>
        <v>4.0888</v>
      </c>
      <c r="BB21" s="166">
        <f>'(Bloom Raw Data)'!BP21</f>
        <v>6.4966999999999997</v>
      </c>
      <c r="BC21" s="166">
        <f>'(Bloom Raw Data)'!BQ21</f>
        <v>4.9866000000000001</v>
      </c>
      <c r="BD21" s="11"/>
      <c r="BE21" s="166">
        <f>'(Bloom Raw Data)'!BT21</f>
        <v>2.8452000000000002</v>
      </c>
      <c r="BF21" s="166">
        <f>'(Bloom Raw Data)'!BU21</f>
        <v>1.9569000000000001</v>
      </c>
      <c r="BG21" s="166">
        <f>'(Bloom Raw Data)'!BV21</f>
        <v>1.8071999999999999</v>
      </c>
      <c r="BH21" s="166">
        <f>'(Bloom Raw Data)'!BW21</f>
        <v>1.7422</v>
      </c>
      <c r="BI21" s="166">
        <f>'(Bloom Raw Data)'!BX21</f>
        <v>1.617</v>
      </c>
      <c r="BJ21" s="166">
        <f>'(Bloom Raw Data)'!BY21</f>
        <v>1.6116000000000001</v>
      </c>
      <c r="BK21" s="166">
        <f>'(Bloom Raw Data)'!BZ21</f>
        <v>1.5663</v>
      </c>
      <c r="BL21" s="166">
        <f>'(Bloom Raw Data)'!CA21</f>
        <v>1.5131999999999999</v>
      </c>
      <c r="BM21" s="166">
        <f>'(Bloom Raw Data)'!CB21</f>
        <v>1.3923000000000001</v>
      </c>
      <c r="BN21" s="166">
        <f>'(Bloom Raw Data)'!CC21</f>
        <v>1.7053</v>
      </c>
      <c r="BO21" s="166">
        <f>'(Bloom Raw Data)'!CD21</f>
        <v>1.7048000000000001</v>
      </c>
      <c r="BP21" s="166">
        <f>'(Bloom Raw Data)'!CE21</f>
        <v>1.6852</v>
      </c>
      <c r="BQ21" s="166">
        <f>'(Bloom Raw Data)'!CF21</f>
        <v>1.5594999999999999</v>
      </c>
      <c r="BR21" s="166">
        <f>'(Bloom Raw Data)'!CG21</f>
        <v>1.4421999999999999</v>
      </c>
      <c r="BS21" s="166">
        <f>'(Bloom Raw Data)'!CH21</f>
        <v>1.4763999999999999</v>
      </c>
      <c r="BT21" s="11"/>
      <c r="BU21" s="165">
        <f>'(Bloom Raw Data)'!CK21</f>
        <v>21900.753499999999</v>
      </c>
      <c r="BV21" s="165">
        <f>'(Bloom Raw Data)'!CL21</f>
        <v>21056.370299999999</v>
      </c>
      <c r="BW21" s="165">
        <f>'(Bloom Raw Data)'!CM21</f>
        <v>20852.7464</v>
      </c>
      <c r="BX21" s="165">
        <f>'(Bloom Raw Data)'!CN21</f>
        <v>20997.398000000001</v>
      </c>
      <c r="BY21" s="165">
        <f>'(Bloom Raw Data)'!CO21</f>
        <v>23596.8213</v>
      </c>
      <c r="BZ21" s="165">
        <f>'(Bloom Raw Data)'!CP21</f>
        <v>24640.6774</v>
      </c>
      <c r="CA21" s="165">
        <f>'(Bloom Raw Data)'!CQ21</f>
        <v>25728.7225</v>
      </c>
      <c r="CB21" s="165">
        <f>'(Bloom Raw Data)'!CR21</f>
        <v>22542.830099999999</v>
      </c>
      <c r="CC21" s="165">
        <f>'(Bloom Raw Data)'!CS21</f>
        <v>23213.969099999998</v>
      </c>
      <c r="CD21" s="165">
        <f>'(Bloom Raw Data)'!CT21</f>
        <v>27265.49</v>
      </c>
      <c r="CE21" s="165">
        <f>'(Bloom Raw Data)'!CU21</f>
        <v>26133.780999999999</v>
      </c>
      <c r="CF21" s="165">
        <f>'(Bloom Raw Data)'!CV21</f>
        <v>27593.755399999998</v>
      </c>
      <c r="CG21" s="165">
        <f>'(Bloom Raw Data)'!CW21</f>
        <v>26719.743299999998</v>
      </c>
      <c r="CH21" s="165">
        <f>'(Bloom Raw Data)'!CX21</f>
        <v>30465.0311</v>
      </c>
      <c r="CI21" s="165">
        <f>'(Bloom Raw Data)'!CY21</f>
        <v>33112.8577</v>
      </c>
      <c r="CJ21" s="11"/>
      <c r="CK21" s="165">
        <f t="shared" si="2"/>
        <v>22.999999999998181</v>
      </c>
      <c r="CL21" s="165">
        <f t="shared" si="3"/>
        <v>23.999999999998181</v>
      </c>
      <c r="CM21" s="165">
        <f t="shared" si="4"/>
        <v>19</v>
      </c>
      <c r="CN21" s="165">
        <f t="shared" si="5"/>
        <v>24.000000000001819</v>
      </c>
      <c r="CO21" s="165">
        <f t="shared" si="6"/>
        <v>24</v>
      </c>
      <c r="CP21" s="165">
        <f t="shared" si="7"/>
        <v>26</v>
      </c>
      <c r="CQ21" s="165">
        <f t="shared" si="8"/>
        <v>47</v>
      </c>
      <c r="CR21" s="165">
        <f t="shared" si="9"/>
        <v>12</v>
      </c>
      <c r="CS21" s="165">
        <f t="shared" si="10"/>
        <v>9.999999999998181</v>
      </c>
      <c r="CT21" s="165">
        <f t="shared" si="11"/>
        <v>0</v>
      </c>
      <c r="CU21" s="165">
        <f t="shared" si="12"/>
        <v>0</v>
      </c>
      <c r="CV21" s="165">
        <f t="shared" si="13"/>
        <v>10</v>
      </c>
      <c r="CW21" s="165">
        <f t="shared" si="14"/>
        <v>10</v>
      </c>
      <c r="CX21" s="165">
        <f t="shared" si="15"/>
        <v>0</v>
      </c>
      <c r="CY21" s="165">
        <f t="shared" si="16"/>
        <v>0</v>
      </c>
      <c r="CZ21" s="11"/>
      <c r="DA21" s="166">
        <f>'(Bloom Raw Data)'!DB21</f>
        <v>5.4602000000000004</v>
      </c>
      <c r="DB21" s="166">
        <f>'(Bloom Raw Data)'!DC21</f>
        <v>3.7688000000000001</v>
      </c>
      <c r="DC21" s="166">
        <f>'(Bloom Raw Data)'!DD21</f>
        <v>3.6842000000000001</v>
      </c>
      <c r="DD21" s="166">
        <f>'(Bloom Raw Data)'!DE21</f>
        <v>3.6183999999999998</v>
      </c>
      <c r="DE21" s="166">
        <f>'(Bloom Raw Data)'!DF21</f>
        <v>3.9988000000000001</v>
      </c>
      <c r="DF21" s="166">
        <f>'(Bloom Raw Data)'!DG21</f>
        <v>4.1863000000000001</v>
      </c>
      <c r="DG21" s="166">
        <f>'(Bloom Raw Data)'!DH21</f>
        <v>4.3438999999999997</v>
      </c>
      <c r="DH21" s="166">
        <f>'(Bloom Raw Data)'!DI21</f>
        <v>3.7786</v>
      </c>
      <c r="DI21" s="166">
        <f>'(Bloom Raw Data)'!DJ21</f>
        <v>3.8651</v>
      </c>
      <c r="DJ21" s="166">
        <f>'(Bloom Raw Data)'!DK21</f>
        <v>4.8223000000000003</v>
      </c>
      <c r="DK21" s="166">
        <f>'(Bloom Raw Data)'!DL21</f>
        <v>4.6090999999999998</v>
      </c>
      <c r="DL21" s="166">
        <f>'(Bloom Raw Data)'!DM21</f>
        <v>4.9389000000000003</v>
      </c>
      <c r="DM21" s="166">
        <f>'(Bloom Raw Data)'!DN21</f>
        <v>4.8936999999999999</v>
      </c>
      <c r="DN21" s="166">
        <f>'(Bloom Raw Data)'!DO21</f>
        <v>5.1340000000000003</v>
      </c>
      <c r="DO21" s="166">
        <f>'(Bloom Raw Data)'!DP21</f>
        <v>5.5914999999999999</v>
      </c>
      <c r="DP21" s="11"/>
      <c r="DQ21" s="11"/>
      <c r="DR21" s="166">
        <f>'(Bloom Raw Data)'!DS21</f>
        <v>1.0441</v>
      </c>
      <c r="DS21" s="166">
        <f>'(Bloom Raw Data)'!DT21</f>
        <v>1.0069999999999999</v>
      </c>
      <c r="DT21" s="166">
        <f>'(Bloom Raw Data)'!DU21</f>
        <v>1.0083</v>
      </c>
      <c r="DU21" s="166">
        <f>'(Bloom Raw Data)'!DV21</f>
        <v>1.0198</v>
      </c>
      <c r="DV21" s="166">
        <f>'(Bloom Raw Data)'!DW21</f>
        <v>1.1551</v>
      </c>
      <c r="DW21" s="166">
        <f>'(Bloom Raw Data)'!DX21</f>
        <v>1.2274</v>
      </c>
      <c r="DX21" s="166">
        <f>'(Bloom Raw Data)'!DY21</f>
        <v>1.2972000000000001</v>
      </c>
      <c r="DY21" s="166">
        <f>'(Bloom Raw Data)'!DZ21</f>
        <v>1.1414</v>
      </c>
      <c r="DZ21" s="166">
        <f>'(Bloom Raw Data)'!EA21</f>
        <v>1.1913</v>
      </c>
      <c r="EA21" s="166">
        <f>'(Bloom Raw Data)'!EB21</f>
        <v>1.4121999999999999</v>
      </c>
      <c r="EB21" s="166">
        <f>'(Bloom Raw Data)'!EC21</f>
        <v>1.3721000000000001</v>
      </c>
      <c r="EC21" s="166">
        <f>'(Bloom Raw Data)'!ED21</f>
        <v>1.4882</v>
      </c>
      <c r="ED21" s="166">
        <f>'(Bloom Raw Data)'!EE21</f>
        <v>1.474</v>
      </c>
      <c r="EE21" s="166">
        <f>'(Bloom Raw Data)'!EF21</f>
        <v>1.6890000000000001</v>
      </c>
      <c r="EF21" s="166">
        <f>'(Bloom Raw Data)'!EG21</f>
        <v>1.8414000000000001</v>
      </c>
      <c r="EG21" s="11"/>
      <c r="EH21" s="165" t="str">
        <f>'(Bloom Raw Data)'!EJ21</f>
        <v>#N/A N/A</v>
      </c>
      <c r="EI21" s="165">
        <f>'(Bloom Raw Data)'!EK21</f>
        <v>9.3285999999999998</v>
      </c>
      <c r="EJ21" s="165">
        <f>'(Bloom Raw Data)'!EL21</f>
        <v>9.1522000000000006</v>
      </c>
      <c r="EK21" s="165">
        <f>'(Bloom Raw Data)'!EM21</f>
        <v>10.1562</v>
      </c>
      <c r="EL21" s="165">
        <f>'(Bloom Raw Data)'!EN21</f>
        <v>11.3108</v>
      </c>
      <c r="EM21" s="165">
        <f>'(Bloom Raw Data)'!EO21</f>
        <v>9.5765999999999991</v>
      </c>
      <c r="EN21" s="165">
        <f>'(Bloom Raw Data)'!EP21</f>
        <v>9.7433999999999994</v>
      </c>
      <c r="EO21" s="165">
        <f>'(Bloom Raw Data)'!EQ21</f>
        <v>7.9024000000000001</v>
      </c>
      <c r="EP21" s="165" t="str">
        <f>'(Bloom Raw Data)'!ER21</f>
        <v>#N/A N/A</v>
      </c>
      <c r="EQ21" s="165" t="str">
        <f>'(Bloom Raw Data)'!ES21</f>
        <v>#N/A N/A</v>
      </c>
      <c r="ER21" s="165" t="str">
        <f>'(Bloom Raw Data)'!ET21</f>
        <v>#N/A N/A</v>
      </c>
      <c r="ES21" s="165" t="str">
        <f>'(Bloom Raw Data)'!EU21</f>
        <v>#N/A N/A</v>
      </c>
      <c r="ET21" s="165">
        <f>'(Bloom Raw Data)'!EV21</f>
        <v>8.6373999999999995</v>
      </c>
      <c r="EU21" s="165" t="str">
        <f>'(Bloom Raw Data)'!EW21</f>
        <v>#N/A N/A</v>
      </c>
      <c r="EV21" s="165" t="str">
        <f>'(Bloom Raw Data)'!EX21</f>
        <v>#N/A N/A</v>
      </c>
      <c r="EW21" s="11"/>
      <c r="EX21" s="11"/>
      <c r="EY21" s="165">
        <f>'(Bloom Raw Data)'!FR21</f>
        <v>305</v>
      </c>
      <c r="EZ21" s="165">
        <f>'(Bloom Raw Data)'!FS21</f>
        <v>1452</v>
      </c>
      <c r="FA21" s="165">
        <f>'(Bloom Raw Data)'!FT21</f>
        <v>242</v>
      </c>
      <c r="FB21" s="165">
        <f>'(Bloom Raw Data)'!FU21</f>
        <v>274</v>
      </c>
      <c r="FC21" s="165">
        <f>'(Bloom Raw Data)'!FV21</f>
        <v>266</v>
      </c>
      <c r="FD21" s="165">
        <f>'(Bloom Raw Data)'!FW21</f>
        <v>351</v>
      </c>
      <c r="FE21" s="165">
        <f>'(Bloom Raw Data)'!FX21</f>
        <v>231</v>
      </c>
      <c r="FF21" s="165">
        <f>'(Bloom Raw Data)'!FY21</f>
        <v>350</v>
      </c>
      <c r="FG21" s="165">
        <f>'(Bloom Raw Data)'!FZ21</f>
        <v>283</v>
      </c>
      <c r="FH21" s="165">
        <f>'(Bloom Raw Data)'!GA21</f>
        <v>331</v>
      </c>
      <c r="FI21" s="165">
        <f>'(Bloom Raw Data)'!GB21</f>
        <v>334</v>
      </c>
      <c r="FJ21" s="165">
        <f>'(Bloom Raw Data)'!GC21</f>
        <v>311</v>
      </c>
      <c r="FK21" s="165">
        <f>'(Bloom Raw Data)'!GD21</f>
        <v>540</v>
      </c>
      <c r="FL21" s="165">
        <f>'(Bloom Raw Data)'!GE21</f>
        <v>924</v>
      </c>
      <c r="FM21" s="165">
        <f>'(Bloom Raw Data)'!GF21</f>
        <v>353</v>
      </c>
      <c r="FN21" s="11"/>
      <c r="FO21" s="166" t="str">
        <f>'(Bloom Raw Data)'!FA21</f>
        <v>#N/A N/A</v>
      </c>
      <c r="FP21" s="166" t="str">
        <f>'(Bloom Raw Data)'!FB21</f>
        <v>#N/A N/A</v>
      </c>
      <c r="FQ21" s="166" t="str">
        <f>'(Bloom Raw Data)'!FC21</f>
        <v>#N/A N/A</v>
      </c>
      <c r="FR21" s="166" t="str">
        <f>'(Bloom Raw Data)'!FD21</f>
        <v>#N/A N/A</v>
      </c>
      <c r="FS21" s="166">
        <f>'(Bloom Raw Data)'!FE21</f>
        <v>26.523299999999999</v>
      </c>
      <c r="FT21" s="166">
        <f>'(Bloom Raw Data)'!FF21</f>
        <v>7.8590999999999998</v>
      </c>
      <c r="FU21" s="166">
        <f>'(Bloom Raw Data)'!FG21</f>
        <v>8.3459000000000003</v>
      </c>
      <c r="FV21" s="166">
        <f>'(Bloom Raw Data)'!FH21</f>
        <v>9.1793999999999993</v>
      </c>
      <c r="FW21" s="166" t="str">
        <f>'(Bloom Raw Data)'!FI21</f>
        <v>#N/A N/A</v>
      </c>
      <c r="FX21" s="166" t="str">
        <f>'(Bloom Raw Data)'!FJ21</f>
        <v>#N/A N/A</v>
      </c>
      <c r="FY21" s="166" t="str">
        <f>'(Bloom Raw Data)'!FK21</f>
        <v>#N/A N/A</v>
      </c>
      <c r="FZ21" s="166" t="str">
        <f>'(Bloom Raw Data)'!FL21</f>
        <v>#N/A N/A</v>
      </c>
      <c r="GA21" s="166" t="str">
        <f>'(Bloom Raw Data)'!FM21</f>
        <v>#N/A N/A</v>
      </c>
      <c r="GB21" s="166" t="str">
        <f>'(Bloom Raw Data)'!FN21</f>
        <v>#N/A N/A</v>
      </c>
      <c r="GC21" s="166" t="str">
        <f>'(Bloom Raw Data)'!FO21</f>
        <v>#N/A N/A</v>
      </c>
      <c r="GD21" s="174"/>
      <c r="GE21" s="174"/>
      <c r="GF21" s="165">
        <f>'(Bloom Raw Data)'!GI21</f>
        <v>-3594</v>
      </c>
      <c r="GG21" s="165">
        <f>'(Bloom Raw Data)'!GJ21</f>
        <v>-2626</v>
      </c>
      <c r="GH21" s="165">
        <f>'(Bloom Raw Data)'!GK21</f>
        <v>-2258</v>
      </c>
      <c r="GI21" s="165">
        <f>'(Bloom Raw Data)'!GL21</f>
        <v>-318</v>
      </c>
      <c r="GJ21" s="165">
        <f>'(Bloom Raw Data)'!GM21</f>
        <v>553</v>
      </c>
      <c r="GK21" s="165">
        <f>'(Bloom Raw Data)'!GN21</f>
        <v>1951</v>
      </c>
      <c r="GL21" s="165">
        <f>'(Bloom Raw Data)'!GO21</f>
        <v>1995</v>
      </c>
      <c r="GM21" s="165">
        <f>'(Bloom Raw Data)'!GP21</f>
        <v>1483</v>
      </c>
      <c r="GN21" s="165">
        <f>'(Bloom Raw Data)'!GQ21</f>
        <v>323</v>
      </c>
      <c r="GO21" s="165">
        <f>'(Bloom Raw Data)'!GR21</f>
        <v>1308</v>
      </c>
      <c r="GP21" s="165">
        <f>'(Bloom Raw Data)'!GS21</f>
        <v>1718</v>
      </c>
      <c r="GQ21" s="165">
        <f>'(Bloom Raw Data)'!GT21</f>
        <v>577</v>
      </c>
      <c r="GR21" s="165">
        <f>'(Bloom Raw Data)'!GU21</f>
        <v>-228</v>
      </c>
      <c r="GS21" s="165">
        <f>'(Bloom Raw Data)'!GV21</f>
        <v>-262</v>
      </c>
      <c r="GT21" s="165">
        <f>'(Bloom Raw Data)'!GW21</f>
        <v>615</v>
      </c>
      <c r="GU21" s="11"/>
      <c r="GV21" s="165">
        <f t="shared" si="17"/>
        <v>4010.9800923043108</v>
      </c>
      <c r="GW21" s="165">
        <f t="shared" si="18"/>
        <v>5587.0224739970281</v>
      </c>
      <c r="GX21" s="165">
        <f t="shared" si="19"/>
        <v>5660.0473372781062</v>
      </c>
      <c r="GY21" s="165">
        <f t="shared" si="20"/>
        <v>5802.951028078709</v>
      </c>
      <c r="GZ21" s="165">
        <f t="shared" si="21"/>
        <v>5900.9756176853052</v>
      </c>
      <c r="HA21" s="165">
        <f t="shared" si="22"/>
        <v>5886.0276138833815</v>
      </c>
      <c r="HB21" s="165">
        <f t="shared" si="23"/>
        <v>5922.9546030065158</v>
      </c>
      <c r="HC21" s="165">
        <f t="shared" si="24"/>
        <v>5965.9212671359764</v>
      </c>
      <c r="HD21" s="165">
        <f t="shared" si="25"/>
        <v>6006.0461825049797</v>
      </c>
      <c r="HE21" s="165">
        <f t="shared" si="26"/>
        <v>5654.0426767310209</v>
      </c>
      <c r="HF21" s="165">
        <f t="shared" si="27"/>
        <v>5670.0399210257965</v>
      </c>
      <c r="HG21" s="165">
        <f t="shared" si="28"/>
        <v>5587.0245196298765</v>
      </c>
      <c r="HH21" s="165">
        <f t="shared" si="29"/>
        <v>5460.0288738582258</v>
      </c>
      <c r="HI21" s="165">
        <f t="shared" si="30"/>
        <v>5933.97567199065</v>
      </c>
      <c r="HJ21" s="165">
        <f t="shared" si="31"/>
        <v>5921.9990521327018</v>
      </c>
      <c r="HK21" s="11"/>
      <c r="HL21" s="2658"/>
      <c r="HM21" s="166">
        <f>'(Bloom Raw Data)'!HQ21</f>
        <v>6.2939999999999996</v>
      </c>
      <c r="HN21" s="166">
        <f>'(Bloom Raw Data)'!HR21</f>
        <v>7.6182999999999996</v>
      </c>
      <c r="HO21" s="166">
        <f>'(Bloom Raw Data)'!HS21</f>
        <v>9.3204999999999991</v>
      </c>
      <c r="HP21" s="166">
        <f>'(Bloom Raw Data)'!HT21</f>
        <v>8.7264999999999997</v>
      </c>
      <c r="HQ21" s="166">
        <f>'(Bloom Raw Data)'!HU21</f>
        <v>12.158099999999999</v>
      </c>
      <c r="HR21" s="166">
        <f>'(Bloom Raw Data)'!HV21</f>
        <v>11.8354</v>
      </c>
      <c r="HS21" s="166">
        <f>'(Bloom Raw Data)'!HW21</f>
        <v>10.957000000000001</v>
      </c>
      <c r="HT21" s="166">
        <f>'(Bloom Raw Data)'!HX21</f>
        <v>9.4048999999999996</v>
      </c>
      <c r="HU21" s="166">
        <f>'(Bloom Raw Data)'!HY21</f>
        <v>7.9688999999999997</v>
      </c>
      <c r="HV21" s="166">
        <f>'(Bloom Raw Data)'!HZ21</f>
        <v>8.4113000000000007</v>
      </c>
      <c r="HW21" s="166">
        <f>'(Bloom Raw Data)'!IA21</f>
        <v>7.0164</v>
      </c>
      <c r="HX21" s="166">
        <f>'(Bloom Raw Data)'!IB21</f>
        <v>7.1776</v>
      </c>
      <c r="HY21" s="166">
        <f>'(Bloom Raw Data)'!IC21</f>
        <v>7.0678999999999998</v>
      </c>
      <c r="HZ21" s="166">
        <f>'(Bloom Raw Data)'!ID21</f>
        <v>7.6516000000000002</v>
      </c>
      <c r="IA21" s="166">
        <f>'(Bloom Raw Data)'!IE21</f>
        <v>8.2772000000000006</v>
      </c>
      <c r="IB21" s="72"/>
    </row>
    <row r="22" spans="1:237" s="2294" customFormat="1">
      <c r="A22" s="25" t="s">
        <v>32</v>
      </c>
      <c r="B22" s="25" t="s">
        <v>17</v>
      </c>
      <c r="C22" s="25"/>
      <c r="D22" s="27">
        <f>E22</f>
        <v>80047.964600000007</v>
      </c>
      <c r="E22" s="26">
        <f>'(Bloom Raw Data)'!E22</f>
        <v>80047.964600000007</v>
      </c>
      <c r="F22" s="27">
        <f>AVERAGE(E22,G22)</f>
        <v>81250.0622</v>
      </c>
      <c r="G22" s="26">
        <f>'(Bloom Raw Data)'!G22</f>
        <v>82452.159799999994</v>
      </c>
      <c r="H22" s="27">
        <f>AVERAGE(G22,I22)</f>
        <v>86743.246450000006</v>
      </c>
      <c r="I22" s="26">
        <f>'(Bloom Raw Data)'!I22</f>
        <v>91034.333100000003</v>
      </c>
      <c r="J22" s="27">
        <f>AVERAGE(I22,K22)</f>
        <v>87441.692550000007</v>
      </c>
      <c r="K22" s="26">
        <f>'(Bloom Raw Data)'!K22</f>
        <v>83849.051999999996</v>
      </c>
      <c r="L22" s="27">
        <f>AVERAGE(K22,M22)</f>
        <v>84669.680499999988</v>
      </c>
      <c r="M22" s="26">
        <f>'(Bloom Raw Data)'!M22</f>
        <v>85490.308999999994</v>
      </c>
      <c r="N22" s="27">
        <f>AVERAGE(M22,O22)</f>
        <v>85961.076849999998</v>
      </c>
      <c r="O22" s="26">
        <f>'(Bloom Raw Data)'!O22</f>
        <v>86431.844700000001</v>
      </c>
      <c r="P22" s="27">
        <f>AVERAGE(O22,Q22)</f>
        <v>88856.993400000007</v>
      </c>
      <c r="Q22" s="26">
        <f>'(Bloom Raw Data)'!Q22</f>
        <v>91282.142099999997</v>
      </c>
      <c r="R22" s="27">
        <f>Q22</f>
        <v>91282.142099999997</v>
      </c>
      <c r="S22" s="25"/>
      <c r="T22" s="27">
        <f>U22</f>
        <v>32421</v>
      </c>
      <c r="U22" s="26">
        <f>'(Bloom Raw Data)'!V22</f>
        <v>32421</v>
      </c>
      <c r="V22" s="27">
        <f>AVERAGE(U22,W22)</f>
        <v>32447</v>
      </c>
      <c r="W22" s="26">
        <f>'(Bloom Raw Data)'!X22</f>
        <v>32473</v>
      </c>
      <c r="X22" s="27">
        <f>AVERAGE(W22,Y22)</f>
        <v>31946.5</v>
      </c>
      <c r="Y22" s="26">
        <f>'(Bloom Raw Data)'!Z22</f>
        <v>31420</v>
      </c>
      <c r="Z22" s="27">
        <f>AVERAGE(Y22,AA22)</f>
        <v>29905</v>
      </c>
      <c r="AA22" s="26">
        <f>'(Bloom Raw Data)'!AB22</f>
        <v>28390</v>
      </c>
      <c r="AB22" s="27">
        <f>AVERAGE(AA22,AC22)</f>
        <v>27317.5</v>
      </c>
      <c r="AC22" s="26">
        <f>'(Bloom Raw Data)'!AD22</f>
        <v>26245</v>
      </c>
      <c r="AD22" s="27">
        <f>AVERAGE(AC22,AE22)</f>
        <v>23631</v>
      </c>
      <c r="AE22" s="26">
        <f>'(Bloom Raw Data)'!AF22</f>
        <v>21017</v>
      </c>
      <c r="AF22" s="27">
        <f>AVERAGE(AE22,AG22)</f>
        <v>24786.5</v>
      </c>
      <c r="AG22" s="26">
        <f>'(Bloom Raw Data)'!AH22</f>
        <v>28556</v>
      </c>
      <c r="AH22" s="27">
        <f>AG22</f>
        <v>28556</v>
      </c>
      <c r="AI22" s="25"/>
      <c r="AJ22" s="27">
        <f>'(Bloom Raw Data)'!AM22</f>
        <v>6243</v>
      </c>
      <c r="AK22" s="27">
        <f>'(Bloom Raw Data)'!AQ22</f>
        <v>6513</v>
      </c>
      <c r="AL22" s="27">
        <f>'(Bloom Raw Data)'!AU22</f>
        <v>6141</v>
      </c>
      <c r="AM22" s="27">
        <f>'(Bloom Raw Data)'!AY22</f>
        <v>6640</v>
      </c>
      <c r="AN22" s="25"/>
      <c r="AO22" s="28" t="str">
        <f>'(Bloom Raw Data)'!BC22</f>
        <v>#N/A N/A</v>
      </c>
      <c r="AP22" s="28">
        <f>'(Bloom Raw Data)'!BD22</f>
        <v>5.6098999999999997</v>
      </c>
      <c r="AQ22" s="29">
        <f>AVERAGE(AP22,AR22)</f>
        <v>5.0398999999999994</v>
      </c>
      <c r="AR22" s="28">
        <f>'(Bloom Raw Data)'!BF22</f>
        <v>4.4699</v>
      </c>
      <c r="AS22" s="28" t="str">
        <f>'(Bloom Raw Data)'!BG22</f>
        <v>#N/A N/A</v>
      </c>
      <c r="AT22" s="28" t="str">
        <f>'(Bloom Raw Data)'!BH22</f>
        <v>#N/A N/A</v>
      </c>
      <c r="AU22" s="28" t="str">
        <f>'(Bloom Raw Data)'!BI22</f>
        <v>#N/A N/A</v>
      </c>
      <c r="AV22" s="28">
        <f>'(Bloom Raw Data)'!BJ22</f>
        <v>6.5792999999999999</v>
      </c>
      <c r="AW22" s="29">
        <f>AVERAGE(AV22,AX22)</f>
        <v>5.2389999999999999</v>
      </c>
      <c r="AX22" s="28">
        <f>'(Bloom Raw Data)'!BL22</f>
        <v>3.8986999999999998</v>
      </c>
      <c r="AY22" s="29">
        <f>AVERAGE(AX22,AZ22)</f>
        <v>3.4970499999999998</v>
      </c>
      <c r="AZ22" s="28">
        <f>'(Bloom Raw Data)'!BN22</f>
        <v>3.0954000000000002</v>
      </c>
      <c r="BA22" s="29">
        <f>AVERAGE(AZ22,BB22)</f>
        <v>3.4134000000000002</v>
      </c>
      <c r="BB22" s="28">
        <f>'(Bloom Raw Data)'!BP22</f>
        <v>3.7313999999999998</v>
      </c>
      <c r="BC22" s="28" t="str">
        <f>'(Bloom Raw Data)'!BQ22</f>
        <v>#N/A N/A</v>
      </c>
      <c r="BD22" s="25"/>
      <c r="BE22" s="29">
        <f>BF22</f>
        <v>2.1877</v>
      </c>
      <c r="BF22" s="28">
        <f>'(Bloom Raw Data)'!BU22</f>
        <v>2.1877</v>
      </c>
      <c r="BG22" s="29">
        <f>AVERAGE(BF22,BH22)</f>
        <v>2.2064500000000002</v>
      </c>
      <c r="BH22" s="28">
        <f>'(Bloom Raw Data)'!BW22</f>
        <v>2.2252000000000001</v>
      </c>
      <c r="BI22" s="29">
        <f>AVERAGE(BH22,BJ22)</f>
        <v>2.1836500000000001</v>
      </c>
      <c r="BJ22" s="28">
        <f>'(Bloom Raw Data)'!BY22</f>
        <v>2.1421000000000001</v>
      </c>
      <c r="BK22" s="29">
        <f>AVERAGE(BJ22,BL22)</f>
        <v>1.8488</v>
      </c>
      <c r="BL22" s="28">
        <f>'(Bloom Raw Data)'!CA22</f>
        <v>1.5554999999999999</v>
      </c>
      <c r="BM22" s="29">
        <f>AVERAGE(BL22,BN22)</f>
        <v>1.4982</v>
      </c>
      <c r="BN22" s="28">
        <f>'(Bloom Raw Data)'!CC22</f>
        <v>1.4409000000000001</v>
      </c>
      <c r="BO22" s="29">
        <f>AVERAGE(BN22,BP22)</f>
        <v>1.4761</v>
      </c>
      <c r="BP22" s="28">
        <f>'(Bloom Raw Data)'!CE22</f>
        <v>1.5112999999999999</v>
      </c>
      <c r="BQ22" s="29">
        <f>AVERAGE(BP22,BR22)</f>
        <v>1.7928999999999999</v>
      </c>
      <c r="BR22" s="28">
        <f>'(Bloom Raw Data)'!CG22</f>
        <v>2.0745</v>
      </c>
      <c r="BS22" s="29">
        <f>BR22</f>
        <v>2.0745</v>
      </c>
      <c r="BT22" s="25"/>
      <c r="BU22" s="27">
        <f>BV22</f>
        <v>112897.96460000001</v>
      </c>
      <c r="BV22" s="26">
        <f>'(Bloom Raw Data)'!CL22</f>
        <v>112897.96460000001</v>
      </c>
      <c r="BW22" s="27">
        <f>AVERAGE(BV22,BX22)</f>
        <v>113999.5622</v>
      </c>
      <c r="BX22" s="26">
        <f>'(Bloom Raw Data)'!CN22</f>
        <v>115101.15979999999</v>
      </c>
      <c r="BY22" s="27">
        <f>AVERAGE(BX22,BZ22)</f>
        <v>118780.74645000001</v>
      </c>
      <c r="BZ22" s="26">
        <f>'(Bloom Raw Data)'!CP22</f>
        <v>122460.3331</v>
      </c>
      <c r="CA22" s="27">
        <f>AVERAGE(BZ22,CB22)</f>
        <v>118031.69255000001</v>
      </c>
      <c r="CB22" s="26">
        <f>'(Bloom Raw Data)'!CR22</f>
        <v>113603.052</v>
      </c>
      <c r="CC22" s="27">
        <f>AVERAGE(CB22,CD22)</f>
        <v>113302.68049999999</v>
      </c>
      <c r="CD22" s="26">
        <f>'(Bloom Raw Data)'!CT22</f>
        <v>113002.30899999999</v>
      </c>
      <c r="CE22" s="27">
        <f>AVERAGE(CD22,CF22)</f>
        <v>110744.07685</v>
      </c>
      <c r="CF22" s="26">
        <f>'(Bloom Raw Data)'!CV22</f>
        <v>108485.8447</v>
      </c>
      <c r="CG22" s="27">
        <f>AVERAGE(CF22,CH22)</f>
        <v>114667.49340000001</v>
      </c>
      <c r="CH22" s="26">
        <f>'(Bloom Raw Data)'!CX22</f>
        <v>120849.1421</v>
      </c>
      <c r="CI22" s="27">
        <f>CH22</f>
        <v>120849.1421</v>
      </c>
      <c r="CJ22" s="25"/>
      <c r="CK22" s="26">
        <f t="shared" si="2"/>
        <v>429</v>
      </c>
      <c r="CL22" s="26">
        <f t="shared" si="3"/>
        <v>429</v>
      </c>
      <c r="CM22" s="26">
        <f t="shared" si="4"/>
        <v>302.5</v>
      </c>
      <c r="CN22" s="26">
        <f t="shared" si="5"/>
        <v>176</v>
      </c>
      <c r="CO22" s="26">
        <f t="shared" si="6"/>
        <v>91</v>
      </c>
      <c r="CP22" s="26">
        <f t="shared" si="7"/>
        <v>6</v>
      </c>
      <c r="CQ22" s="26">
        <f t="shared" si="8"/>
        <v>685</v>
      </c>
      <c r="CR22" s="26">
        <f t="shared" si="9"/>
        <v>1364</v>
      </c>
      <c r="CS22" s="26">
        <f t="shared" si="10"/>
        <v>1315.5</v>
      </c>
      <c r="CT22" s="26">
        <f t="shared" si="11"/>
        <v>1267</v>
      </c>
      <c r="CU22" s="26">
        <f t="shared" si="12"/>
        <v>1152</v>
      </c>
      <c r="CV22" s="26">
        <f t="shared" si="13"/>
        <v>1037</v>
      </c>
      <c r="CW22" s="26">
        <f t="shared" si="14"/>
        <v>1024</v>
      </c>
      <c r="CX22" s="26">
        <f t="shared" si="15"/>
        <v>1011</v>
      </c>
      <c r="CY22" s="26">
        <f t="shared" si="16"/>
        <v>1011</v>
      </c>
      <c r="CZ22" s="25"/>
      <c r="DA22" s="29">
        <f>DB22</f>
        <v>7.6178999999999997</v>
      </c>
      <c r="DB22" s="28">
        <f>'(Bloom Raw Data)'!DC22</f>
        <v>7.6178999999999997</v>
      </c>
      <c r="DC22" s="29">
        <f>AVERAGE(DB22,DD22)</f>
        <v>7.7526499999999992</v>
      </c>
      <c r="DD22" s="28">
        <f>'(Bloom Raw Data)'!DE22</f>
        <v>7.8873999999999995</v>
      </c>
      <c r="DE22" s="29">
        <f>AVERAGE(DD22,DF22)</f>
        <v>8.1181000000000001</v>
      </c>
      <c r="DF22" s="28">
        <f>'(Bloom Raw Data)'!DG22</f>
        <v>8.3488000000000007</v>
      </c>
      <c r="DG22" s="29">
        <f>AVERAGE(DF22,DH22)</f>
        <v>7.2866499999999998</v>
      </c>
      <c r="DH22" s="28">
        <f>'(Bloom Raw Data)'!DI22</f>
        <v>6.2244999999999999</v>
      </c>
      <c r="DI22" s="29">
        <f>AVERAGE(DH22,DJ22)</f>
        <v>6.2142999999999997</v>
      </c>
      <c r="DJ22" s="28">
        <f>'(Bloom Raw Data)'!DK22</f>
        <v>6.2041000000000004</v>
      </c>
      <c r="DK22" s="29">
        <f>AVERAGE(DJ22,DL22)</f>
        <v>7.0024499999999996</v>
      </c>
      <c r="DL22" s="28">
        <f>'(Bloom Raw Data)'!DM22</f>
        <v>7.8007999999999997</v>
      </c>
      <c r="DM22" s="29">
        <f>AVERAGE(DL22,DN22)</f>
        <v>8.2901500000000006</v>
      </c>
      <c r="DN22" s="28">
        <f>'(Bloom Raw Data)'!DO22</f>
        <v>8.7795000000000005</v>
      </c>
      <c r="DO22" s="29">
        <f>DN22</f>
        <v>8.7795000000000005</v>
      </c>
      <c r="DP22" s="25"/>
      <c r="DQ22" s="25"/>
      <c r="DR22" s="29">
        <f>DS22</f>
        <v>2.5385999999999997</v>
      </c>
      <c r="DS22" s="28">
        <f>'(Bloom Raw Data)'!DT22</f>
        <v>2.5385999999999997</v>
      </c>
      <c r="DT22" s="29">
        <f>AVERAGE(DS22,DU22)</f>
        <v>2.5393499999999998</v>
      </c>
      <c r="DU22" s="28">
        <f>'(Bloom Raw Data)'!DV22</f>
        <v>2.5400999999999998</v>
      </c>
      <c r="DV22" s="29">
        <f>AVERAGE(DU22,DW22)</f>
        <v>2.6044999999999998</v>
      </c>
      <c r="DW22" s="28">
        <f>'(Bloom Raw Data)'!DX22</f>
        <v>2.6688999999999998</v>
      </c>
      <c r="DX22" s="29">
        <f>AVERAGE(DW22,DY22)</f>
        <v>2.5481499999999997</v>
      </c>
      <c r="DY22" s="28">
        <f>'(Bloom Raw Data)'!DZ22</f>
        <v>2.4274</v>
      </c>
      <c r="DZ22" s="29">
        <f>AVERAGE(DY22,EA22)</f>
        <v>2.4309500000000002</v>
      </c>
      <c r="EA22" s="28">
        <f>'(Bloom Raw Data)'!EB22</f>
        <v>2.4344999999999999</v>
      </c>
      <c r="EB22" s="29">
        <f>AVERAGE(EA22,EC22)</f>
        <v>2.4313500000000001</v>
      </c>
      <c r="EC22" s="28">
        <f>'(Bloom Raw Data)'!ED22</f>
        <v>2.4281999999999999</v>
      </c>
      <c r="ED22" s="29">
        <f>AVERAGE(EC22,EE22)</f>
        <v>2.5736499999999998</v>
      </c>
      <c r="EE22" s="28">
        <f>'(Bloom Raw Data)'!EF22</f>
        <v>2.7191000000000001</v>
      </c>
      <c r="EF22" s="29">
        <f>EE22</f>
        <v>2.7191000000000001</v>
      </c>
      <c r="EG22" s="25"/>
      <c r="EH22" s="26">
        <f>'(Bloom Raw Data)'!EJ22</f>
        <v>12.8028</v>
      </c>
      <c r="EI22" s="26">
        <f>'(Bloom Raw Data)'!EK22</f>
        <v>9.0373999999999999</v>
      </c>
      <c r="EJ22" s="26">
        <f>'(Bloom Raw Data)'!EL22</f>
        <v>8.2734000000000005</v>
      </c>
      <c r="EK22" s="26">
        <f>'(Bloom Raw Data)'!EM22</f>
        <v>7.1159999999999997</v>
      </c>
      <c r="EL22" s="26">
        <f>'(Bloom Raw Data)'!EN22</f>
        <v>7.5100999999999996</v>
      </c>
      <c r="EM22" s="26">
        <f>'(Bloom Raw Data)'!EO22</f>
        <v>11.3474</v>
      </c>
      <c r="EN22" s="26">
        <f>'(Bloom Raw Data)'!EP22</f>
        <v>10.6273</v>
      </c>
      <c r="EO22" s="26">
        <f>'(Bloom Raw Data)'!EQ22</f>
        <v>11.6447</v>
      </c>
      <c r="EP22" s="26" t="str">
        <f>'(Bloom Raw Data)'!ER22</f>
        <v>#N/A N/A</v>
      </c>
      <c r="EQ22" s="26" t="str">
        <f>'(Bloom Raw Data)'!ES22</f>
        <v>#N/A N/A</v>
      </c>
      <c r="ER22" s="26" t="str">
        <f>'(Bloom Raw Data)'!ET22</f>
        <v>#N/A N/A</v>
      </c>
      <c r="ES22" s="26" t="str">
        <f>'(Bloom Raw Data)'!EU22</f>
        <v>#N/A N/A</v>
      </c>
      <c r="ET22" s="26" t="str">
        <f>'(Bloom Raw Data)'!EV22</f>
        <v>#N/A N/A</v>
      </c>
      <c r="EU22" s="26" t="str">
        <f>'(Bloom Raw Data)'!EW22</f>
        <v>#N/A N/A</v>
      </c>
      <c r="EV22" s="26" t="str">
        <f>'(Bloom Raw Data)'!EX22</f>
        <v>#N/A N/A</v>
      </c>
      <c r="EW22" s="25"/>
      <c r="EX22" s="25"/>
      <c r="EY22" s="27">
        <f>EZ22</f>
        <v>4423</v>
      </c>
      <c r="EZ22" s="26">
        <f>'(Bloom Raw Data)'!FS22</f>
        <v>4423</v>
      </c>
      <c r="FA22" s="175">
        <f>AVERAGE(EZ22,FB22)</f>
        <v>6768</v>
      </c>
      <c r="FB22" s="26">
        <f>'(Bloom Raw Data)'!FU22</f>
        <v>9113</v>
      </c>
      <c r="FC22" s="175">
        <f>AVERAGE(FB22,FD22)</f>
        <v>7682.5</v>
      </c>
      <c r="FD22" s="26">
        <f>'(Bloom Raw Data)'!FW22</f>
        <v>6252</v>
      </c>
      <c r="FE22" s="175">
        <f>AVERAGE(FD22,FF22)</f>
        <v>6613.5</v>
      </c>
      <c r="FF22" s="26">
        <f>'(Bloom Raw Data)'!FY22</f>
        <v>6975</v>
      </c>
      <c r="FG22" s="175">
        <f>AVERAGE(FF22,FH22)</f>
        <v>7056.5</v>
      </c>
      <c r="FH22" s="26">
        <f>'(Bloom Raw Data)'!GA22</f>
        <v>7138</v>
      </c>
      <c r="FI22" s="175">
        <f>AVERAGE(FH22,FJ22)</f>
        <v>5715.5</v>
      </c>
      <c r="FJ22" s="26">
        <f>'(Bloom Raw Data)'!GC22</f>
        <v>4293</v>
      </c>
      <c r="FK22" s="175">
        <f>AVERAGE(FJ22,FL22)</f>
        <v>5958</v>
      </c>
      <c r="FL22" s="26">
        <f>'(Bloom Raw Data)'!GE22</f>
        <v>7623</v>
      </c>
      <c r="FM22" s="27">
        <f>FL22</f>
        <v>7623</v>
      </c>
      <c r="FN22" s="25"/>
      <c r="FO22" s="28">
        <f>'(Bloom Raw Data)'!FA22</f>
        <v>0.84160000000000001</v>
      </c>
      <c r="FP22" s="28">
        <f>'(Bloom Raw Data)'!FB22</f>
        <v>0.86570000000000003</v>
      </c>
      <c r="FQ22" s="28">
        <f>'(Bloom Raw Data)'!FC22</f>
        <v>0.79249999999999998</v>
      </c>
      <c r="FR22" s="28">
        <f>'(Bloom Raw Data)'!FD22</f>
        <v>0.89190000000000003</v>
      </c>
      <c r="FS22" s="28">
        <f>'(Bloom Raw Data)'!FE22</f>
        <v>0.94120000000000004</v>
      </c>
      <c r="FT22" s="28">
        <f>'(Bloom Raw Data)'!FF22</f>
        <v>1.0163</v>
      </c>
      <c r="FU22" s="28">
        <f>'(Bloom Raw Data)'!FG22</f>
        <v>0.95179999999999998</v>
      </c>
      <c r="FV22" s="28">
        <f>'(Bloom Raw Data)'!FH22</f>
        <v>0.9768</v>
      </c>
      <c r="FW22" s="28" t="str">
        <f>'(Bloom Raw Data)'!FI22</f>
        <v>#N/A N/A</v>
      </c>
      <c r="FX22" s="28" t="str">
        <f>'(Bloom Raw Data)'!FJ22</f>
        <v>#N/A N/A</v>
      </c>
      <c r="FY22" s="28" t="str">
        <f>'(Bloom Raw Data)'!FK22</f>
        <v>#N/A N/A</v>
      </c>
      <c r="FZ22" s="28" t="str">
        <f>'(Bloom Raw Data)'!FL22</f>
        <v>#N/A N/A</v>
      </c>
      <c r="GA22" s="28">
        <f>'(Bloom Raw Data)'!FM22</f>
        <v>1.0939000000000001</v>
      </c>
      <c r="GB22" s="28" t="str">
        <f>'(Bloom Raw Data)'!FN22</f>
        <v>#N/A N/A</v>
      </c>
      <c r="GC22" s="28" t="str">
        <f>'(Bloom Raw Data)'!FO22</f>
        <v>#N/A N/A</v>
      </c>
      <c r="GD22" s="176"/>
      <c r="GE22" s="176"/>
      <c r="GF22" s="27">
        <f>GG22</f>
        <v>90810</v>
      </c>
      <c r="GG22" s="26">
        <f>'(Bloom Raw Data)'!GJ22</f>
        <v>90810</v>
      </c>
      <c r="GH22" s="175">
        <f>AVERAGE(GG22,GI22)</f>
        <v>90676.5</v>
      </c>
      <c r="GI22" s="26">
        <f>'(Bloom Raw Data)'!GL22</f>
        <v>90543</v>
      </c>
      <c r="GJ22" s="175">
        <f>AVERAGE(GI22,GK22)</f>
        <v>89052</v>
      </c>
      <c r="GK22" s="26">
        <f>'(Bloom Raw Data)'!GN22</f>
        <v>87561</v>
      </c>
      <c r="GL22" s="175">
        <f>AVERAGE(GK22,GM22)</f>
        <v>86416.5</v>
      </c>
      <c r="GM22" s="26">
        <f>'(Bloom Raw Data)'!GP22</f>
        <v>85272</v>
      </c>
      <c r="GN22" s="175">
        <f>AVERAGE(GM22,GO22)</f>
        <v>81737</v>
      </c>
      <c r="GO22" s="26">
        <f>'(Bloom Raw Data)'!GR22</f>
        <v>78202</v>
      </c>
      <c r="GP22" s="175">
        <f>AVERAGE(GO22,GQ22)</f>
        <v>74337</v>
      </c>
      <c r="GQ22" s="26">
        <f>'(Bloom Raw Data)'!GT22</f>
        <v>70472</v>
      </c>
      <c r="GR22" s="175">
        <f>AVERAGE(GQ22,GS22)</f>
        <v>71480</v>
      </c>
      <c r="GS22" s="26">
        <f>'(Bloom Raw Data)'!GV22</f>
        <v>72488</v>
      </c>
      <c r="GT22" s="27">
        <f>GS22</f>
        <v>72488</v>
      </c>
      <c r="GU22" s="25"/>
      <c r="GV22" s="26">
        <f t="shared" si="17"/>
        <v>14820.090129825807</v>
      </c>
      <c r="GW22" s="26">
        <f t="shared" si="18"/>
        <v>14820.090129825807</v>
      </c>
      <c r="GX22" s="26">
        <f t="shared" si="19"/>
        <v>14704.5929069415</v>
      </c>
      <c r="GY22" s="26">
        <f t="shared" si="20"/>
        <v>14593.042041737455</v>
      </c>
      <c r="GZ22" s="26">
        <f t="shared" si="21"/>
        <v>14631.594394008451</v>
      </c>
      <c r="HA22" s="26">
        <f t="shared" si="22"/>
        <v>14668.016134055193</v>
      </c>
      <c r="HB22" s="26">
        <f t="shared" si="23"/>
        <v>16198.348013147332</v>
      </c>
      <c r="HC22" s="26">
        <f t="shared" si="24"/>
        <v>18250.952204996385</v>
      </c>
      <c r="HD22" s="26">
        <f t="shared" si="25"/>
        <v>18232.573338911865</v>
      </c>
      <c r="HE22" s="26">
        <f t="shared" si="26"/>
        <v>18214.134040392641</v>
      </c>
      <c r="HF22" s="26">
        <f t="shared" si="27"/>
        <v>15815.047140643632</v>
      </c>
      <c r="HG22" s="26">
        <f t="shared" si="28"/>
        <v>13907.015267664856</v>
      </c>
      <c r="HH22" s="26">
        <f t="shared" si="29"/>
        <v>13831.775468477652</v>
      </c>
      <c r="HI22" s="26">
        <f t="shared" si="30"/>
        <v>13764.923070789908</v>
      </c>
      <c r="HJ22" s="26">
        <f t="shared" si="31"/>
        <v>13764.923070789908</v>
      </c>
      <c r="HK22" s="25"/>
      <c r="HL22" s="2658"/>
      <c r="HM22" s="173">
        <f>HN22</f>
        <v>9.7568999999999999</v>
      </c>
      <c r="HN22" s="28">
        <f>'(Bloom Raw Data)'!HR22</f>
        <v>9.7568999999999999</v>
      </c>
      <c r="HO22" s="173">
        <f>AVERAGE(HN22,HP22)</f>
        <v>10.1822</v>
      </c>
      <c r="HP22" s="28">
        <f>'(Bloom Raw Data)'!HT22</f>
        <v>10.6075</v>
      </c>
      <c r="HQ22" s="173">
        <f>AVERAGE(HP22,HR22)</f>
        <v>10.01585</v>
      </c>
      <c r="HR22" s="28">
        <f>'(Bloom Raw Data)'!HV22</f>
        <v>9.4242000000000008</v>
      </c>
      <c r="HS22" s="173">
        <f>AVERAGE(HR22,HT22)</f>
        <v>8.7265000000000015</v>
      </c>
      <c r="HT22" s="28">
        <f>'(Bloom Raw Data)'!HX22</f>
        <v>8.0288000000000004</v>
      </c>
      <c r="HU22" s="173">
        <f>AVERAGE(HT22,HV22)</f>
        <v>7.6562000000000001</v>
      </c>
      <c r="HV22" s="28">
        <f>'(Bloom Raw Data)'!HZ22</f>
        <v>7.2835999999999999</v>
      </c>
      <c r="HW22" s="173">
        <f>AVERAGE(HV22,HX22)</f>
        <v>6.9275500000000001</v>
      </c>
      <c r="HX22" s="28">
        <f>'(Bloom Raw Data)'!IB22</f>
        <v>6.5715000000000003</v>
      </c>
      <c r="HY22" s="173">
        <f>AVERAGE(HX22,HZ22)</f>
        <v>6.3370499999999996</v>
      </c>
      <c r="HZ22" s="28">
        <f>'(Bloom Raw Data)'!ID22</f>
        <v>6.1025999999999998</v>
      </c>
      <c r="IA22" s="173">
        <f>HZ22</f>
        <v>6.1025999999999998</v>
      </c>
      <c r="IB22" s="72"/>
      <c r="IC22" s="2293"/>
    </row>
    <row r="23" spans="1:237">
      <c r="A23" s="11" t="s">
        <v>503</v>
      </c>
      <c r="B23" s="11" t="s">
        <v>10</v>
      </c>
      <c r="C23" s="11"/>
      <c r="D23" s="165">
        <f>'(Bloom Raw Data)'!D23</f>
        <v>232830.2065</v>
      </c>
      <c r="E23" s="165">
        <f>'(Bloom Raw Data)'!E23</f>
        <v>230135.92129999999</v>
      </c>
      <c r="F23" s="165">
        <f>'(Bloom Raw Data)'!F23</f>
        <v>226094.51</v>
      </c>
      <c r="G23" s="165">
        <f>'(Bloom Raw Data)'!G23</f>
        <v>245178.9522</v>
      </c>
      <c r="H23" s="165">
        <f>'(Bloom Raw Data)'!H23</f>
        <v>239341.3695</v>
      </c>
      <c r="I23" s="165">
        <f>'(Bloom Raw Data)'!I23</f>
        <v>236206.1367</v>
      </c>
      <c r="J23" s="165">
        <f>'(Bloom Raw Data)'!J23</f>
        <v>200915.94399999999</v>
      </c>
      <c r="K23" s="165">
        <f>'(Bloom Raw Data)'!K23</f>
        <v>197625.07939999999</v>
      </c>
      <c r="L23" s="165">
        <f>'(Bloom Raw Data)'!L23</f>
        <v>202518.06520000001</v>
      </c>
      <c r="M23" s="165">
        <f>'(Bloom Raw Data)'!M23</f>
        <v>199790.1219</v>
      </c>
      <c r="N23" s="165">
        <f>'(Bloom Raw Data)'!N23</f>
        <v>191043.35019999999</v>
      </c>
      <c r="O23" s="165">
        <f>'(Bloom Raw Data)'!O23</f>
        <v>204726.41880000001</v>
      </c>
      <c r="P23" s="165">
        <f>'(Bloom Raw Data)'!P23</f>
        <v>190783.5355</v>
      </c>
      <c r="Q23" s="165">
        <f>'(Bloom Raw Data)'!Q23</f>
        <v>201478.85509999999</v>
      </c>
      <c r="R23" s="165">
        <f>'(Bloom Raw Data)'!R23</f>
        <v>189354.6171</v>
      </c>
      <c r="S23" s="11"/>
      <c r="T23" s="165">
        <f>'(Bloom Raw Data)'!U23</f>
        <v>49345</v>
      </c>
      <c r="U23" s="165">
        <f>'(Bloom Raw Data)'!V23</f>
        <v>47789</v>
      </c>
      <c r="V23" s="165">
        <f>'(Bloom Raw Data)'!W23</f>
        <v>54688</v>
      </c>
      <c r="W23" s="165">
        <f>'(Bloom Raw Data)'!X23</f>
        <v>49670</v>
      </c>
      <c r="X23" s="165">
        <f>'(Bloom Raw Data)'!Y23</f>
        <v>50092</v>
      </c>
      <c r="Y23" s="165">
        <f>'(Bloom Raw Data)'!Z23</f>
        <v>46397</v>
      </c>
      <c r="Z23" s="165">
        <f>'(Bloom Raw Data)'!AA23</f>
        <v>69633</v>
      </c>
      <c r="AA23" s="165">
        <f>'(Bloom Raw Data)'!AB23</f>
        <v>67997</v>
      </c>
      <c r="AB23" s="165">
        <f>'(Bloom Raw Data)'!AC23</f>
        <v>67211</v>
      </c>
      <c r="AC23" s="165">
        <f>'(Bloom Raw Data)'!AD23</f>
        <v>76173</v>
      </c>
      <c r="AD23" s="165">
        <f>'(Bloom Raw Data)'!AE23</f>
        <v>75552</v>
      </c>
      <c r="AE23" s="165">
        <f>'(Bloom Raw Data)'!AF23</f>
        <v>73064</v>
      </c>
      <c r="AF23" s="165">
        <f>'(Bloom Raw Data)'!AG23</f>
        <v>61782</v>
      </c>
      <c r="AG23" s="165">
        <f>'(Bloom Raw Data)'!AH23</f>
        <v>57715</v>
      </c>
      <c r="AH23" s="165">
        <f>'(Bloom Raw Data)'!AI23</f>
        <v>68359</v>
      </c>
      <c r="AI23" s="11"/>
      <c r="AJ23" s="165">
        <f>'(Bloom Raw Data)'!AL23</f>
        <v>8924</v>
      </c>
      <c r="AK23" s="165">
        <f>'(Bloom Raw Data)'!AP23</f>
        <v>7985</v>
      </c>
      <c r="AL23" s="125">
        <f>AVERAGE(AK23,AM23)</f>
        <v>7801.5</v>
      </c>
      <c r="AM23" s="165">
        <f>'(Bloom Raw Data)'!AX23</f>
        <v>7618</v>
      </c>
      <c r="AN23" s="11"/>
      <c r="AO23" s="166" t="str">
        <f>'(Bloom Raw Data)'!BC23</f>
        <v>#N/A N/A</v>
      </c>
      <c r="AP23" s="166" t="str">
        <f>'(Bloom Raw Data)'!BD23</f>
        <v>#N/A N/A</v>
      </c>
      <c r="AQ23" s="166" t="str">
        <f>'(Bloom Raw Data)'!BE23</f>
        <v>#N/A N/A</v>
      </c>
      <c r="AR23" s="166" t="str">
        <f>'(Bloom Raw Data)'!BF23</f>
        <v>#N/A N/A</v>
      </c>
      <c r="AS23" s="166" t="str">
        <f>'(Bloom Raw Data)'!BG23</f>
        <v>#N/A N/A</v>
      </c>
      <c r="AT23" s="166" t="str">
        <f>'(Bloom Raw Data)'!BH23</f>
        <v>#N/A N/A</v>
      </c>
      <c r="AU23" s="166" t="str">
        <f>'(Bloom Raw Data)'!BI23</f>
        <v>#N/A N/A</v>
      </c>
      <c r="AV23" s="166" t="str">
        <f>'(Bloom Raw Data)'!BJ23</f>
        <v>#N/A N/A</v>
      </c>
      <c r="AW23" s="166" t="str">
        <f>'(Bloom Raw Data)'!BK23</f>
        <v>#N/A N/A</v>
      </c>
      <c r="AX23" s="166" t="str">
        <f>'(Bloom Raw Data)'!BL23</f>
        <v>#N/A N/A</v>
      </c>
      <c r="AY23" s="166" t="str">
        <f>'(Bloom Raw Data)'!BM23</f>
        <v>#N/A N/A</v>
      </c>
      <c r="AZ23" s="166" t="str">
        <f>'(Bloom Raw Data)'!BN23</f>
        <v>#N/A N/A</v>
      </c>
      <c r="BA23" s="166" t="str">
        <f>'(Bloom Raw Data)'!BO23</f>
        <v>#N/A N/A</v>
      </c>
      <c r="BB23" s="166" t="str">
        <f>'(Bloom Raw Data)'!BP23</f>
        <v>#N/A N/A</v>
      </c>
      <c r="BC23" s="166" t="str">
        <f>'(Bloom Raw Data)'!BQ23</f>
        <v>#N/A N/A</v>
      </c>
      <c r="BD23" s="11"/>
      <c r="BE23" s="166">
        <f>'(Bloom Raw Data)'!BT23</f>
        <v>1.3336000000000001</v>
      </c>
      <c r="BF23" s="166">
        <f>'(Bloom Raw Data)'!BU23</f>
        <v>1.2883</v>
      </c>
      <c r="BG23" s="166">
        <f>'(Bloom Raw Data)'!BV23</f>
        <v>1.4367000000000001</v>
      </c>
      <c r="BH23" s="166">
        <f>'(Bloom Raw Data)'!BW23</f>
        <v>1.2676000000000001</v>
      </c>
      <c r="BI23" s="166">
        <f>'(Bloom Raw Data)'!BX23</f>
        <v>1.3294999999999999</v>
      </c>
      <c r="BJ23" s="166">
        <f>'(Bloom Raw Data)'!BY23</f>
        <v>1.2270000000000001</v>
      </c>
      <c r="BK23" s="166">
        <f>'(Bloom Raw Data)'!BZ23</f>
        <v>1.8675999999999999</v>
      </c>
      <c r="BL23" s="166">
        <f>'(Bloom Raw Data)'!CA23</f>
        <v>1.8538999999999999</v>
      </c>
      <c r="BM23" s="166">
        <f>'(Bloom Raw Data)'!CB23</f>
        <v>1.8115000000000001</v>
      </c>
      <c r="BN23" s="166">
        <f>'(Bloom Raw Data)'!CC23</f>
        <v>2.0587</v>
      </c>
      <c r="BO23" s="166">
        <f>'(Bloom Raw Data)'!CD23</f>
        <v>2.0291000000000001</v>
      </c>
      <c r="BP23" s="166">
        <f>'(Bloom Raw Data)'!CE23</f>
        <v>2.0057</v>
      </c>
      <c r="BQ23" s="166">
        <f>'(Bloom Raw Data)'!CF23</f>
        <v>1.7643</v>
      </c>
      <c r="BR23" s="166">
        <f>'(Bloom Raw Data)'!CG23</f>
        <v>1.6646000000000001</v>
      </c>
      <c r="BS23" s="166">
        <f>'(Bloom Raw Data)'!CH23</f>
        <v>2.0158</v>
      </c>
      <c r="BT23" s="11"/>
      <c r="BU23" s="165">
        <f>'(Bloom Raw Data)'!CK23</f>
        <v>289302.20649999997</v>
      </c>
      <c r="BV23" s="165">
        <f>'(Bloom Raw Data)'!CL23</f>
        <v>285527.92129999999</v>
      </c>
      <c r="BW23" s="165">
        <f>'(Bloom Raw Data)'!CM23</f>
        <v>288184.51</v>
      </c>
      <c r="BX23" s="165">
        <f>'(Bloom Raw Data)'!CN23</f>
        <v>302050.9522</v>
      </c>
      <c r="BY23" s="165">
        <f>'(Bloom Raw Data)'!CO23</f>
        <v>296191.36949999997</v>
      </c>
      <c r="BZ23" s="165">
        <f>'(Bloom Raw Data)'!CP23</f>
        <v>289051.13669999997</v>
      </c>
      <c r="CA23" s="165">
        <f>'(Bloom Raw Data)'!CQ23</f>
        <v>277424.94400000002</v>
      </c>
      <c r="CB23" s="165">
        <f>'(Bloom Raw Data)'!CR23</f>
        <v>273475.07939999999</v>
      </c>
      <c r="CC23" s="165">
        <f>'(Bloom Raw Data)'!CS23</f>
        <v>277082.06520000001</v>
      </c>
      <c r="CD23" s="165">
        <f>'(Bloom Raw Data)'!CT23</f>
        <v>280641.12190000003</v>
      </c>
      <c r="CE23" s="165">
        <f>'(Bloom Raw Data)'!CU23</f>
        <v>270718.35019999999</v>
      </c>
      <c r="CF23" s="165">
        <f>'(Bloom Raw Data)'!CV23</f>
        <v>281597.41879999998</v>
      </c>
      <c r="CG23" s="165">
        <f>'(Bloom Raw Data)'!CW23</f>
        <v>256521.5355</v>
      </c>
      <c r="CH23" s="165">
        <f>'(Bloom Raw Data)'!CX23</f>
        <v>263536.85509999999</v>
      </c>
      <c r="CI23" s="165">
        <f>'(Bloom Raw Data)'!CY23</f>
        <v>261752.6171</v>
      </c>
      <c r="CJ23" s="11"/>
      <c r="CK23" s="165">
        <f t="shared" si="2"/>
        <v>7126.9999999999709</v>
      </c>
      <c r="CL23" s="165">
        <f t="shared" si="3"/>
        <v>7603</v>
      </c>
      <c r="CM23" s="165">
        <f t="shared" si="4"/>
        <v>7402</v>
      </c>
      <c r="CN23" s="165">
        <f t="shared" si="5"/>
        <v>7202</v>
      </c>
      <c r="CO23" s="165">
        <f t="shared" si="6"/>
        <v>6757.9999999999709</v>
      </c>
      <c r="CP23" s="165">
        <f t="shared" si="7"/>
        <v>6447.9999999999709</v>
      </c>
      <c r="CQ23" s="165">
        <f t="shared" si="8"/>
        <v>6876.0000000000291</v>
      </c>
      <c r="CR23" s="165">
        <f t="shared" si="9"/>
        <v>7853</v>
      </c>
      <c r="CS23" s="165">
        <f t="shared" si="10"/>
        <v>7353</v>
      </c>
      <c r="CT23" s="165">
        <f t="shared" si="11"/>
        <v>4678.0000000000291</v>
      </c>
      <c r="CU23" s="165">
        <f t="shared" si="12"/>
        <v>4123</v>
      </c>
      <c r="CV23" s="165">
        <f t="shared" si="13"/>
        <v>3806.9999999999709</v>
      </c>
      <c r="CW23" s="165">
        <f t="shared" si="14"/>
        <v>3956</v>
      </c>
      <c r="CX23" s="165">
        <f t="shared" si="15"/>
        <v>4343</v>
      </c>
      <c r="CY23" s="165">
        <f t="shared" si="16"/>
        <v>4039</v>
      </c>
      <c r="CZ23" s="11"/>
      <c r="DA23" s="166">
        <f>'(Bloom Raw Data)'!DB23</f>
        <v>7.819</v>
      </c>
      <c r="DB23" s="166">
        <f>'(Bloom Raw Data)'!DC23</f>
        <v>7.6972000000000005</v>
      </c>
      <c r="DC23" s="166">
        <f>'(Bloom Raw Data)'!DD23</f>
        <v>7.5711000000000004</v>
      </c>
      <c r="DD23" s="166">
        <f>'(Bloom Raw Data)'!DE23</f>
        <v>7.7084999999999999</v>
      </c>
      <c r="DE23" s="166">
        <f>'(Bloom Raw Data)'!DF23</f>
        <v>7.8613</v>
      </c>
      <c r="DF23" s="166">
        <f>'(Bloom Raw Data)'!DG23</f>
        <v>7.6444000000000001</v>
      </c>
      <c r="DG23" s="166">
        <f>'(Bloom Raw Data)'!DH23</f>
        <v>7.4409000000000001</v>
      </c>
      <c r="DH23" s="166">
        <f>'(Bloom Raw Data)'!DI23</f>
        <v>7.4561000000000002</v>
      </c>
      <c r="DI23" s="166">
        <f>'(Bloom Raw Data)'!DJ23</f>
        <v>7.4679000000000002</v>
      </c>
      <c r="DJ23" s="166">
        <f>'(Bloom Raw Data)'!DK23</f>
        <v>7.5846999999999998</v>
      </c>
      <c r="DK23" s="166">
        <f>'(Bloom Raw Data)'!DL23</f>
        <v>7.2706999999999997</v>
      </c>
      <c r="DL23" s="166">
        <f>'(Bloom Raw Data)'!DM23</f>
        <v>7.73</v>
      </c>
      <c r="DM23" s="166">
        <f>'(Bloom Raw Data)'!DN23</f>
        <v>7.3254000000000001</v>
      </c>
      <c r="DN23" s="166">
        <f>'(Bloom Raw Data)'!DO23</f>
        <v>7.6009000000000002</v>
      </c>
      <c r="DO23" s="166">
        <f>'(Bloom Raw Data)'!DP23</f>
        <v>7.7187999999999999</v>
      </c>
      <c r="DP23" s="11"/>
      <c r="DQ23" s="11"/>
      <c r="DR23" s="166">
        <f>'(Bloom Raw Data)'!DS23</f>
        <v>2.6501999999999999</v>
      </c>
      <c r="DS23" s="166">
        <f>'(Bloom Raw Data)'!DT23</f>
        <v>2.6402000000000001</v>
      </c>
      <c r="DT23" s="166">
        <f>'(Bloom Raw Data)'!DU23</f>
        <v>2.6749999999999998</v>
      </c>
      <c r="DU23" s="166">
        <f>'(Bloom Raw Data)'!DV23</f>
        <v>2.8087999999999997</v>
      </c>
      <c r="DV23" s="166">
        <f>'(Bloom Raw Data)'!DW23</f>
        <v>2.7686999999999999</v>
      </c>
      <c r="DW23" s="166">
        <f>'(Bloom Raw Data)'!DX23</f>
        <v>2.7395</v>
      </c>
      <c r="DX23" s="166">
        <f>'(Bloom Raw Data)'!DY23</f>
        <v>2.6560000000000001</v>
      </c>
      <c r="DY23" s="166">
        <f>'(Bloom Raw Data)'!DZ23</f>
        <v>2.6223999999999998</v>
      </c>
      <c r="DZ23" s="166">
        <f>'(Bloom Raw Data)'!EA23</f>
        <v>2.6465999999999998</v>
      </c>
      <c r="EA23" s="166">
        <f>'(Bloom Raw Data)'!EB23</f>
        <v>2.6560000000000001</v>
      </c>
      <c r="EB23" s="166">
        <f>'(Bloom Raw Data)'!EC23</f>
        <v>2.5550999999999999</v>
      </c>
      <c r="EC23" s="166">
        <f>'(Bloom Raw Data)'!ED23</f>
        <v>2.6795999999999998</v>
      </c>
      <c r="ED23" s="166">
        <f>'(Bloom Raw Data)'!EE23</f>
        <v>2.4454000000000002</v>
      </c>
      <c r="EE23" s="166">
        <f>'(Bloom Raw Data)'!EF23</f>
        <v>2.5402</v>
      </c>
      <c r="EF23" s="166">
        <f>'(Bloom Raw Data)'!EG23</f>
        <v>2.548</v>
      </c>
      <c r="EG23" s="11"/>
      <c r="EH23" s="165" t="str">
        <f>'(Bloom Raw Data)'!EJ23</f>
        <v>#N/A N/A</v>
      </c>
      <c r="EI23" s="165">
        <f>'(Bloom Raw Data)'!EK23</f>
        <v>11.6625</v>
      </c>
      <c r="EJ23" s="165">
        <f>'(Bloom Raw Data)'!EL23</f>
        <v>11.027900000000001</v>
      </c>
      <c r="EK23" s="165">
        <f>'(Bloom Raw Data)'!EM23</f>
        <v>11.431900000000001</v>
      </c>
      <c r="EL23" s="165" t="str">
        <f>'(Bloom Raw Data)'!EN23</f>
        <v>#N/A N/A</v>
      </c>
      <c r="EM23" s="165">
        <f>'(Bloom Raw Data)'!EO23</f>
        <v>11.608499999999999</v>
      </c>
      <c r="EN23" s="165">
        <f>'(Bloom Raw Data)'!EP23</f>
        <v>10.5486</v>
      </c>
      <c r="EO23" s="165">
        <f>'(Bloom Raw Data)'!EQ23</f>
        <v>10.8781</v>
      </c>
      <c r="EP23" s="165" t="str">
        <f>'(Bloom Raw Data)'!ER23</f>
        <v>#N/A N/A</v>
      </c>
      <c r="EQ23" s="165" t="str">
        <f>'(Bloom Raw Data)'!ES23</f>
        <v>#N/A N/A</v>
      </c>
      <c r="ER23" s="165" t="str">
        <f>'(Bloom Raw Data)'!ET23</f>
        <v>#N/A N/A</v>
      </c>
      <c r="ES23" s="165" t="str">
        <f>'(Bloom Raw Data)'!EU23</f>
        <v>#N/A N/A</v>
      </c>
      <c r="ET23" s="165" t="str">
        <f>'(Bloom Raw Data)'!EV23</f>
        <v>#N/A N/A</v>
      </c>
      <c r="EU23" s="165" t="str">
        <f>'(Bloom Raw Data)'!EW23</f>
        <v>#N/A N/A</v>
      </c>
      <c r="EV23" s="165" t="str">
        <f>'(Bloom Raw Data)'!EX23</f>
        <v>#N/A N/A</v>
      </c>
      <c r="EW23" s="11"/>
      <c r="EX23" s="11"/>
      <c r="EY23" s="165">
        <f>'(Bloom Raw Data)'!FR23</f>
        <v>11584</v>
      </c>
      <c r="EZ23" s="165">
        <f>'(Bloom Raw Data)'!FS23</f>
        <v>16928</v>
      </c>
      <c r="FA23" s="165">
        <f>'(Bloom Raw Data)'!FT23</f>
        <v>11373</v>
      </c>
      <c r="FB23" s="165">
        <f>'(Bloom Raw Data)'!FU23</f>
        <v>12787</v>
      </c>
      <c r="FC23" s="165">
        <f>'(Bloom Raw Data)'!FV23</f>
        <v>15344</v>
      </c>
      <c r="FD23" s="165">
        <f>'(Bloom Raw Data)'!FW23</f>
        <v>25660</v>
      </c>
      <c r="FE23" s="165">
        <f>'(Bloom Raw Data)'!FX23</f>
        <v>5669</v>
      </c>
      <c r="FF23" s="165">
        <f>'(Bloom Raw Data)'!FY23</f>
        <v>14912</v>
      </c>
      <c r="FG23" s="165">
        <f>'(Bloom Raw Data)'!FZ23</f>
        <v>5035</v>
      </c>
      <c r="FH23" s="165">
        <f>'(Bloom Raw Data)'!GA23</f>
        <v>18884</v>
      </c>
      <c r="FI23" s="165">
        <f>'(Bloom Raw Data)'!GB23</f>
        <v>10110</v>
      </c>
      <c r="FJ23" s="165">
        <f>'(Bloom Raw Data)'!GC23</f>
        <v>11289</v>
      </c>
      <c r="FK23" s="165">
        <f>'(Bloom Raw Data)'!GD23</f>
        <v>4043</v>
      </c>
      <c r="FL23" s="165">
        <f>'(Bloom Raw Data)'!GE23</f>
        <v>25900</v>
      </c>
      <c r="FM23" s="165">
        <f>'(Bloom Raw Data)'!GF23</f>
        <v>18128</v>
      </c>
      <c r="FN23" s="11"/>
      <c r="FO23" s="166" t="str">
        <f>'(Bloom Raw Data)'!FA23</f>
        <v>#N/A N/A</v>
      </c>
      <c r="FP23" s="166">
        <f>'(Bloom Raw Data)'!FB23</f>
        <v>1.7153</v>
      </c>
      <c r="FQ23" s="166">
        <f>'(Bloom Raw Data)'!FC23</f>
        <v>1.7587999999999999</v>
      </c>
      <c r="FR23" s="166">
        <f>'(Bloom Raw Data)'!FD23</f>
        <v>1.9713000000000001</v>
      </c>
      <c r="FS23" s="166" t="str">
        <f>'(Bloom Raw Data)'!FE23</f>
        <v>#N/A N/A</v>
      </c>
      <c r="FT23" s="166">
        <f>'(Bloom Raw Data)'!FF23</f>
        <v>2.0173999999999999</v>
      </c>
      <c r="FU23" s="166">
        <f>'(Bloom Raw Data)'!FG23</f>
        <v>1.8243</v>
      </c>
      <c r="FV23" s="166">
        <f>'(Bloom Raw Data)'!FH23</f>
        <v>1.7238</v>
      </c>
      <c r="FW23" s="166" t="str">
        <f>'(Bloom Raw Data)'!FI23</f>
        <v>#N/A N/A</v>
      </c>
      <c r="FX23" s="166" t="str">
        <f>'(Bloom Raw Data)'!FJ23</f>
        <v>#N/A N/A</v>
      </c>
      <c r="FY23" s="166" t="str">
        <f>'(Bloom Raw Data)'!FK23</f>
        <v>#N/A N/A</v>
      </c>
      <c r="FZ23" s="166" t="str">
        <f>'(Bloom Raw Data)'!FL23</f>
        <v>#N/A N/A</v>
      </c>
      <c r="GA23" s="166" t="str">
        <f>'(Bloom Raw Data)'!FM23</f>
        <v>#N/A N/A</v>
      </c>
      <c r="GB23" s="166" t="str">
        <f>'(Bloom Raw Data)'!FN23</f>
        <v>#N/A N/A</v>
      </c>
      <c r="GC23" s="166" t="str">
        <f>'(Bloom Raw Data)'!FO23</f>
        <v>#N/A N/A</v>
      </c>
      <c r="GD23" s="174"/>
      <c r="GE23" s="174"/>
      <c r="GF23" s="165">
        <f>'(Bloom Raw Data)'!GI23</f>
        <v>142499</v>
      </c>
      <c r="GG23" s="165">
        <f>'(Bloom Raw Data)'!GJ23</f>
        <v>141772</v>
      </c>
      <c r="GH23" s="165">
        <f>'(Bloom Raw Data)'!GK23</f>
        <v>135952</v>
      </c>
      <c r="GI23" s="165">
        <f>'(Bloom Raw Data)'!GL23</f>
        <v>131577</v>
      </c>
      <c r="GJ23" s="165">
        <f>'(Bloom Raw Data)'!GM23</f>
        <v>132665</v>
      </c>
      <c r="GK23" s="165">
        <f>'(Bloom Raw Data)'!GN23</f>
        <v>123530</v>
      </c>
      <c r="GL23" s="165">
        <f>'(Bloom Raw Data)'!GO23</f>
        <v>117010</v>
      </c>
      <c r="GM23" s="165">
        <f>'(Bloom Raw Data)'!GP23</f>
        <v>122498</v>
      </c>
      <c r="GN23" s="165">
        <f>'(Bloom Raw Data)'!GQ23</f>
        <v>122942</v>
      </c>
      <c r="GO23" s="165">
        <f>'(Bloom Raw Data)'!GR23</f>
        <v>116086</v>
      </c>
      <c r="GP23" s="165">
        <f>'(Bloom Raw Data)'!GS23</f>
        <v>106011</v>
      </c>
      <c r="GQ23" s="165">
        <f>'(Bloom Raw Data)'!GT23</f>
        <v>105817</v>
      </c>
      <c r="GR23" s="165">
        <f>'(Bloom Raw Data)'!GU23</f>
        <v>113396</v>
      </c>
      <c r="GS23" s="165">
        <f>'(Bloom Raw Data)'!GV23</f>
        <v>111816</v>
      </c>
      <c r="GT23" s="165">
        <f>'(Bloom Raw Data)'!GW23</f>
        <v>106459</v>
      </c>
      <c r="GU23" s="11"/>
      <c r="GV23" s="165">
        <f t="shared" si="17"/>
        <v>36999.898516434325</v>
      </c>
      <c r="GW23" s="165">
        <f t="shared" si="18"/>
        <v>37095.037325261132</v>
      </c>
      <c r="GX23" s="165">
        <f t="shared" si="19"/>
        <v>38063.756917753031</v>
      </c>
      <c r="GY23" s="165">
        <f t="shared" si="20"/>
        <v>39184.141168839597</v>
      </c>
      <c r="GZ23" s="165">
        <f t="shared" si="21"/>
        <v>37677.14875402287</v>
      </c>
      <c r="HA23" s="165">
        <f t="shared" si="22"/>
        <v>37812.141790068541</v>
      </c>
      <c r="HB23" s="165">
        <f t="shared" si="23"/>
        <v>37283.788788990583</v>
      </c>
      <c r="HC23" s="165">
        <f t="shared" si="24"/>
        <v>36678.032671235633</v>
      </c>
      <c r="HD23" s="165">
        <f t="shared" si="25"/>
        <v>37103.076527537865</v>
      </c>
      <c r="HE23" s="165">
        <f t="shared" si="26"/>
        <v>37000.95216686224</v>
      </c>
      <c r="HF23" s="165">
        <f t="shared" si="27"/>
        <v>37234.152172418064</v>
      </c>
      <c r="HG23" s="165">
        <f t="shared" si="28"/>
        <v>36429.161552393271</v>
      </c>
      <c r="HH23" s="165">
        <f t="shared" si="29"/>
        <v>35018.092595626178</v>
      </c>
      <c r="HI23" s="165">
        <f t="shared" si="30"/>
        <v>34671.796116249388</v>
      </c>
      <c r="HJ23" s="165">
        <f t="shared" si="31"/>
        <v>33911.050564854639</v>
      </c>
      <c r="HK23" s="11"/>
      <c r="HL23" s="2658"/>
      <c r="HM23" s="166">
        <f>'(Bloom Raw Data)'!HQ23</f>
        <v>6.8726000000000003</v>
      </c>
      <c r="HN23" s="166">
        <f>'(Bloom Raw Data)'!HR23</f>
        <v>7.2943999999999996</v>
      </c>
      <c r="HO23" s="166">
        <f>'(Bloom Raw Data)'!HS23</f>
        <v>8.4779</v>
      </c>
      <c r="HP23" s="166">
        <f>'(Bloom Raw Data)'!HT23</f>
        <v>8.6692999999999998</v>
      </c>
      <c r="HQ23" s="166">
        <f>'(Bloom Raw Data)'!HU23</f>
        <v>9.4322999999999997</v>
      </c>
      <c r="HR23" s="166">
        <f>'(Bloom Raw Data)'!HV23</f>
        <v>9.8923000000000005</v>
      </c>
      <c r="HS23" s="166">
        <f>'(Bloom Raw Data)'!HW23</f>
        <v>9.0198</v>
      </c>
      <c r="HT23" s="166">
        <f>'(Bloom Raw Data)'!HX23</f>
        <v>7.8665000000000003</v>
      </c>
      <c r="HU23" s="166">
        <f>'(Bloom Raw Data)'!HY23</f>
        <v>6.7896999999999998</v>
      </c>
      <c r="HV23" s="166">
        <f>'(Bloom Raw Data)'!HZ23</f>
        <v>6.6597999999999997</v>
      </c>
      <c r="HW23" s="166">
        <f>'(Bloom Raw Data)'!IA23</f>
        <v>6.8837000000000002</v>
      </c>
      <c r="HX23" s="166">
        <f>'(Bloom Raw Data)'!IB23</f>
        <v>6.6165000000000003</v>
      </c>
      <c r="HY23" s="166">
        <f>'(Bloom Raw Data)'!IC23</f>
        <v>6.4081999999999999</v>
      </c>
      <c r="HZ23" s="166">
        <f>'(Bloom Raw Data)'!ID23</f>
        <v>7.3038999999999996</v>
      </c>
      <c r="IA23" s="166">
        <f>'(Bloom Raw Data)'!IE23</f>
        <v>7.8311999999999999</v>
      </c>
      <c r="IB23" s="72"/>
    </row>
    <row r="24" spans="1:237">
      <c r="A24" s="11" t="s">
        <v>503</v>
      </c>
      <c r="B24" s="11" t="s">
        <v>15</v>
      </c>
      <c r="C24" s="11"/>
      <c r="D24" s="165">
        <f>'(Bloom Raw Data)'!D24</f>
        <v>48530.0245</v>
      </c>
      <c r="E24" s="165">
        <f>'(Bloom Raw Data)'!E24</f>
        <v>52369.7016</v>
      </c>
      <c r="F24" s="165">
        <f>'(Bloom Raw Data)'!F24</f>
        <v>51000.791700000002</v>
      </c>
      <c r="G24" s="165">
        <f>'(Bloom Raw Data)'!G24</f>
        <v>61871.630499999999</v>
      </c>
      <c r="H24" s="165">
        <f>'(Bloom Raw Data)'!H24</f>
        <v>61362.762900000002</v>
      </c>
      <c r="I24" s="165">
        <f>'(Bloom Raw Data)'!I24</f>
        <v>65371.185700000002</v>
      </c>
      <c r="J24" s="165">
        <f>'(Bloom Raw Data)'!J24</f>
        <v>55514.744899999998</v>
      </c>
      <c r="K24" s="165">
        <f>'(Bloom Raw Data)'!K24</f>
        <v>55673.455499999996</v>
      </c>
      <c r="L24" s="165">
        <f>'(Bloom Raw Data)'!L24</f>
        <v>59471.679499999998</v>
      </c>
      <c r="M24" s="165">
        <f>'(Bloom Raw Data)'!M24</f>
        <v>59344.728199999998</v>
      </c>
      <c r="N24" s="165">
        <f>'(Bloom Raw Data)'!N24</f>
        <v>47489.817300000002</v>
      </c>
      <c r="O24" s="165">
        <f>'(Bloom Raw Data)'!O24</f>
        <v>52512.258699999998</v>
      </c>
      <c r="P24" s="165">
        <f>'(Bloom Raw Data)'!P24</f>
        <v>52069.827799999999</v>
      </c>
      <c r="Q24" s="165">
        <f>'(Bloom Raw Data)'!Q24</f>
        <v>49957.131999999998</v>
      </c>
      <c r="R24" s="165">
        <f>'(Bloom Raw Data)'!R24</f>
        <v>35082.936000000002</v>
      </c>
      <c r="S24" s="11"/>
      <c r="T24" s="165">
        <f>'(Bloom Raw Data)'!U24</f>
        <v>1823</v>
      </c>
      <c r="U24" s="165">
        <f>'(Bloom Raw Data)'!V24</f>
        <v>3232</v>
      </c>
      <c r="V24" s="165">
        <f>'(Bloom Raw Data)'!W24</f>
        <v>4251</v>
      </c>
      <c r="W24" s="165">
        <f>'(Bloom Raw Data)'!X24</f>
        <v>2342</v>
      </c>
      <c r="X24" s="165">
        <f>'(Bloom Raw Data)'!Y24</f>
        <v>1680</v>
      </c>
      <c r="Y24" s="165">
        <f>'(Bloom Raw Data)'!Z24</f>
        <v>789</v>
      </c>
      <c r="Z24" s="165">
        <f>'(Bloom Raw Data)'!AA24</f>
        <v>13587</v>
      </c>
      <c r="AA24" s="165">
        <f>'(Bloom Raw Data)'!AB24</f>
        <v>12187</v>
      </c>
      <c r="AB24" s="165">
        <f>'(Bloom Raw Data)'!AC24</f>
        <v>13099</v>
      </c>
      <c r="AC24" s="165">
        <f>'(Bloom Raw Data)'!AD24</f>
        <v>12741</v>
      </c>
      <c r="AD24" s="165">
        <f>'(Bloom Raw Data)'!AE24</f>
        <v>17647</v>
      </c>
      <c r="AE24" s="165">
        <f>'(Bloom Raw Data)'!AF24</f>
        <v>16006</v>
      </c>
      <c r="AF24" s="165">
        <f>'(Bloom Raw Data)'!AG24</f>
        <v>15221</v>
      </c>
      <c r="AG24" s="165">
        <f>'(Bloom Raw Data)'!AH24</f>
        <v>10937</v>
      </c>
      <c r="AH24" s="165">
        <f>'(Bloom Raw Data)'!AI24</f>
        <v>8893</v>
      </c>
      <c r="AI24" s="11"/>
      <c r="AJ24" s="165">
        <f>'(Bloom Raw Data)'!AL24</f>
        <v>6451</v>
      </c>
      <c r="AK24" s="165">
        <f>'(Bloom Raw Data)'!AP24</f>
        <v>5452</v>
      </c>
      <c r="AL24" s="165">
        <f>'(Bloom Raw Data)'!AT24</f>
        <v>4534</v>
      </c>
      <c r="AM24" s="165">
        <f>'(Bloom Raw Data)'!AX24</f>
        <v>5980</v>
      </c>
      <c r="AN24" s="11"/>
      <c r="AO24" s="166">
        <f>'(Bloom Raw Data)'!BC24</f>
        <v>5.6833</v>
      </c>
      <c r="AP24" s="166">
        <f>'(Bloom Raw Data)'!BD24</f>
        <v>19.896100000000001</v>
      </c>
      <c r="AQ24" s="166">
        <f>'(Bloom Raw Data)'!BE24</f>
        <v>16.1206</v>
      </c>
      <c r="AR24" s="166">
        <f>'(Bloom Raw Data)'!BF24</f>
        <v>20.809000000000001</v>
      </c>
      <c r="AS24" s="166">
        <f>'(Bloom Raw Data)'!BG24</f>
        <v>7.3872999999999998</v>
      </c>
      <c r="AT24" s="166">
        <f>'(Bloom Raw Data)'!BH24</f>
        <v>56.862099999999998</v>
      </c>
      <c r="AU24" s="166">
        <f>'(Bloom Raw Data)'!BI24</f>
        <v>19.965499999999999</v>
      </c>
      <c r="AV24" s="166">
        <f>'(Bloom Raw Data)'!BJ24</f>
        <v>10.9833</v>
      </c>
      <c r="AW24" s="166">
        <f>'(Bloom Raw Data)'!BK24</f>
        <v>7.8056000000000001</v>
      </c>
      <c r="AX24" s="166">
        <f>'(Bloom Raw Data)'!BL24</f>
        <v>5.6978999999999997</v>
      </c>
      <c r="AY24" s="166">
        <f>'(Bloom Raw Data)'!BM24</f>
        <v>3.4459</v>
      </c>
      <c r="AZ24" s="166">
        <f>'(Bloom Raw Data)'!BN24</f>
        <v>5.0849000000000002</v>
      </c>
      <c r="BA24" s="166">
        <f>'(Bloom Raw Data)'!BO24</f>
        <v>6.17</v>
      </c>
      <c r="BB24" s="166">
        <f>'(Bloom Raw Data)'!BP24</f>
        <v>5.2077</v>
      </c>
      <c r="BC24" s="166">
        <f>'(Bloom Raw Data)'!BQ24</f>
        <v>14.895799999999999</v>
      </c>
      <c r="BD24" s="11"/>
      <c r="BE24" s="166">
        <f>'(Bloom Raw Data)'!BT24</f>
        <v>0.19839999999999999</v>
      </c>
      <c r="BF24" s="166">
        <f>'(Bloom Raw Data)'!BU24</f>
        <v>0.34749999999999998</v>
      </c>
      <c r="BG24" s="166">
        <f>'(Bloom Raw Data)'!BV24</f>
        <v>0.41970000000000002</v>
      </c>
      <c r="BH24" s="166">
        <f>'(Bloom Raw Data)'!BW24</f>
        <v>0.22489999999999999</v>
      </c>
      <c r="BI24" s="166">
        <f>'(Bloom Raw Data)'!BX24</f>
        <v>0.15609999999999999</v>
      </c>
      <c r="BJ24" s="166">
        <f>'(Bloom Raw Data)'!BY24</f>
        <v>7.1999999999999995E-2</v>
      </c>
      <c r="BK24" s="166">
        <f>'(Bloom Raw Data)'!BZ24</f>
        <v>1.2939000000000001</v>
      </c>
      <c r="BL24" s="166">
        <f>'(Bloom Raw Data)'!CA24</f>
        <v>1.1357999999999999</v>
      </c>
      <c r="BM24" s="166">
        <f>'(Bloom Raw Data)'!CB24</f>
        <v>1.1818</v>
      </c>
      <c r="BN24" s="166">
        <f>'(Bloom Raw Data)'!CC24</f>
        <v>1.2697000000000001</v>
      </c>
      <c r="BO24" s="166">
        <f>'(Bloom Raw Data)'!CD24</f>
        <v>2.0091999999999999</v>
      </c>
      <c r="BP24" s="166">
        <f>'(Bloom Raw Data)'!CE24</f>
        <v>1.9338</v>
      </c>
      <c r="BQ24" s="166">
        <f>'(Bloom Raw Data)'!CF24</f>
        <v>1.8782000000000001</v>
      </c>
      <c r="BR24" s="166">
        <f>'(Bloom Raw Data)'!CG24</f>
        <v>1.3524</v>
      </c>
      <c r="BS24" s="166">
        <f>'(Bloom Raw Data)'!CH24</f>
        <v>1.097</v>
      </c>
      <c r="BT24" s="11"/>
      <c r="BU24" s="165">
        <f>'(Bloom Raw Data)'!CK24</f>
        <v>50416.0245</v>
      </c>
      <c r="BV24" s="165">
        <f>'(Bloom Raw Data)'!CL24</f>
        <v>55604.7016</v>
      </c>
      <c r="BW24" s="165">
        <f>'(Bloom Raw Data)'!CM24</f>
        <v>55255.791700000002</v>
      </c>
      <c r="BX24" s="165">
        <f>'(Bloom Raw Data)'!CN24</f>
        <v>64217.630499999999</v>
      </c>
      <c r="BY24" s="165">
        <f>'(Bloom Raw Data)'!CO24</f>
        <v>63045.762900000002</v>
      </c>
      <c r="BZ24" s="165">
        <f>'(Bloom Raw Data)'!CP24</f>
        <v>66163.185700000002</v>
      </c>
      <c r="CA24" s="165">
        <f>'(Bloom Raw Data)'!CQ24</f>
        <v>69104.744900000005</v>
      </c>
      <c r="CB24" s="165">
        <f>'(Bloom Raw Data)'!CR24</f>
        <v>67863.455499999996</v>
      </c>
      <c r="CC24" s="165">
        <f>'(Bloom Raw Data)'!CS24</f>
        <v>72573.679499999998</v>
      </c>
      <c r="CD24" s="165">
        <f>'(Bloom Raw Data)'!CT24</f>
        <v>72088.728199999998</v>
      </c>
      <c r="CE24" s="165">
        <f>'(Bloom Raw Data)'!CU24</f>
        <v>65139.817300000002</v>
      </c>
      <c r="CF24" s="165">
        <f>'(Bloom Raw Data)'!CV24</f>
        <v>68521.258700000006</v>
      </c>
      <c r="CG24" s="165">
        <f>'(Bloom Raw Data)'!CW24</f>
        <v>67293.827799999999</v>
      </c>
      <c r="CH24" s="165">
        <f>'(Bloom Raw Data)'!CX24</f>
        <v>60896.131999999998</v>
      </c>
      <c r="CI24" s="165">
        <f>'(Bloom Raw Data)'!CY24</f>
        <v>43977.936000000002</v>
      </c>
      <c r="CJ24" s="11"/>
      <c r="CK24" s="165">
        <f t="shared" si="2"/>
        <v>63</v>
      </c>
      <c r="CL24" s="165">
        <f t="shared" si="3"/>
        <v>3</v>
      </c>
      <c r="CM24" s="165">
        <f t="shared" si="4"/>
        <v>4</v>
      </c>
      <c r="CN24" s="165">
        <f t="shared" si="5"/>
        <v>4</v>
      </c>
      <c r="CO24" s="165">
        <f t="shared" si="6"/>
        <v>3</v>
      </c>
      <c r="CP24" s="165">
        <f t="shared" si="7"/>
        <v>3</v>
      </c>
      <c r="CQ24" s="165">
        <f t="shared" si="8"/>
        <v>3.000000000007276</v>
      </c>
      <c r="CR24" s="165">
        <f t="shared" si="9"/>
        <v>3</v>
      </c>
      <c r="CS24" s="165">
        <f t="shared" si="10"/>
        <v>3</v>
      </c>
      <c r="CT24" s="165">
        <f t="shared" si="11"/>
        <v>3</v>
      </c>
      <c r="CU24" s="165">
        <f t="shared" si="12"/>
        <v>3</v>
      </c>
      <c r="CV24" s="165">
        <f t="shared" si="13"/>
        <v>3.000000000007276</v>
      </c>
      <c r="CW24" s="165">
        <f t="shared" si="14"/>
        <v>3</v>
      </c>
      <c r="CX24" s="165">
        <f t="shared" si="15"/>
        <v>2</v>
      </c>
      <c r="CY24" s="165">
        <f t="shared" si="16"/>
        <v>2</v>
      </c>
      <c r="CZ24" s="11"/>
      <c r="DA24" s="166">
        <f>'(Bloom Raw Data)'!DB24</f>
        <v>5.4878</v>
      </c>
      <c r="DB24" s="166">
        <f>'(Bloom Raw Data)'!DC24</f>
        <v>5.9777000000000005</v>
      </c>
      <c r="DC24" s="166">
        <f>'(Bloom Raw Data)'!DD24</f>
        <v>5.4551999999999996</v>
      </c>
      <c r="DD24" s="166">
        <f>'(Bloom Raw Data)'!DE24</f>
        <v>6.1658999999999997</v>
      </c>
      <c r="DE24" s="166">
        <f>'(Bloom Raw Data)'!DF24</f>
        <v>5.8586999999999998</v>
      </c>
      <c r="DF24" s="166">
        <f>'(Bloom Raw Data)'!DG24</f>
        <v>6.0357000000000003</v>
      </c>
      <c r="DG24" s="166">
        <f>'(Bloom Raw Data)'!DH24</f>
        <v>6.5808</v>
      </c>
      <c r="DH24" s="166">
        <f>'(Bloom Raw Data)'!DI24</f>
        <v>6.3246000000000002</v>
      </c>
      <c r="DI24" s="166">
        <f>'(Bloom Raw Data)'!DJ24</f>
        <v>6.5476000000000001</v>
      </c>
      <c r="DJ24" s="166">
        <f>'(Bloom Raw Data)'!DK24</f>
        <v>7.1837</v>
      </c>
      <c r="DK24" s="166">
        <f>'(Bloom Raw Data)'!DL24</f>
        <v>7.4165999999999999</v>
      </c>
      <c r="DL24" s="166">
        <f>'(Bloom Raw Data)'!DM24</f>
        <v>8.2784999999999993</v>
      </c>
      <c r="DM24" s="166">
        <f>'(Bloom Raw Data)'!DN24</f>
        <v>8.3038000000000007</v>
      </c>
      <c r="DN24" s="166">
        <f>'(Bloom Raw Data)'!DO24</f>
        <v>7.5301</v>
      </c>
      <c r="DO24" s="166">
        <f>'(Bloom Raw Data)'!DP24</f>
        <v>5.4246999999999996</v>
      </c>
      <c r="DP24" s="11"/>
      <c r="DQ24" s="11"/>
      <c r="DR24" s="166">
        <f>'(Bloom Raw Data)'!DS24</f>
        <v>1.3028999999999999</v>
      </c>
      <c r="DS24" s="166">
        <f>'(Bloom Raw Data)'!DT24</f>
        <v>1.4479</v>
      </c>
      <c r="DT24" s="166">
        <f>'(Bloom Raw Data)'!DU24</f>
        <v>1.413</v>
      </c>
      <c r="DU24" s="166">
        <f>'(Bloom Raw Data)'!DV24</f>
        <v>1.6324000000000001</v>
      </c>
      <c r="DV24" s="166">
        <f>'(Bloom Raw Data)'!DW24</f>
        <v>1.5697000000000001</v>
      </c>
      <c r="DW24" s="166">
        <f>'(Bloom Raw Data)'!DX24</f>
        <v>1.6457999999999999</v>
      </c>
      <c r="DX24" s="166">
        <f>'(Bloom Raw Data)'!DY24</f>
        <v>1.7396</v>
      </c>
      <c r="DY24" s="166">
        <f>'(Bloom Raw Data)'!DZ24</f>
        <v>1.69</v>
      </c>
      <c r="DZ24" s="166">
        <f>'(Bloom Raw Data)'!EA24</f>
        <v>1.77</v>
      </c>
      <c r="EA24" s="166">
        <f>'(Bloom Raw Data)'!EB24</f>
        <v>1.855</v>
      </c>
      <c r="EB24" s="166">
        <f>'(Bloom Raw Data)'!EC24</f>
        <v>1.7812000000000001</v>
      </c>
      <c r="EC24" s="166">
        <f>'(Bloom Raw Data)'!ED24</f>
        <v>1.8496000000000001</v>
      </c>
      <c r="ED24" s="166">
        <f>'(Bloom Raw Data)'!EE24</f>
        <v>1.7993000000000001</v>
      </c>
      <c r="EE24" s="166">
        <f>'(Bloom Raw Data)'!EF24</f>
        <v>1.6341000000000001</v>
      </c>
      <c r="EF24" s="166">
        <f>'(Bloom Raw Data)'!EG24</f>
        <v>1.19</v>
      </c>
      <c r="EG24" s="11"/>
      <c r="EH24" s="165" t="str">
        <f>'(Bloom Raw Data)'!EJ24</f>
        <v>#N/A N/A</v>
      </c>
      <c r="EI24" s="165">
        <f>'(Bloom Raw Data)'!EK24</f>
        <v>5.8739999999999997</v>
      </c>
      <c r="EJ24" s="165">
        <f>'(Bloom Raw Data)'!EL24</f>
        <v>5.2869000000000002</v>
      </c>
      <c r="EK24" s="165">
        <f>'(Bloom Raw Data)'!EM24</f>
        <v>6.0690999999999997</v>
      </c>
      <c r="EL24" s="165" t="str">
        <f>'(Bloom Raw Data)'!EN24</f>
        <v>#N/A N/A</v>
      </c>
      <c r="EM24" s="165">
        <f>'(Bloom Raw Data)'!EO24</f>
        <v>6.0021000000000004</v>
      </c>
      <c r="EN24" s="165">
        <f>'(Bloom Raw Data)'!EP24</f>
        <v>6.5640000000000001</v>
      </c>
      <c r="EO24" s="165">
        <f>'(Bloom Raw Data)'!EQ24</f>
        <v>8.3751999999999995</v>
      </c>
      <c r="EP24" s="165" t="str">
        <f>'(Bloom Raw Data)'!ER24</f>
        <v>#N/A N/A</v>
      </c>
      <c r="EQ24" s="165" t="str">
        <f>'(Bloom Raw Data)'!ES24</f>
        <v>#N/A N/A</v>
      </c>
      <c r="ER24" s="165" t="str">
        <f>'(Bloom Raw Data)'!ET24</f>
        <v>#N/A N/A</v>
      </c>
      <c r="ES24" s="165" t="str">
        <f>'(Bloom Raw Data)'!EU24</f>
        <v>#N/A N/A</v>
      </c>
      <c r="ET24" s="165" t="str">
        <f>'(Bloom Raw Data)'!EV24</f>
        <v>#N/A N/A</v>
      </c>
      <c r="EU24" s="165" t="str">
        <f>'(Bloom Raw Data)'!EW24</f>
        <v>#N/A N/A</v>
      </c>
      <c r="EV24" s="165" t="str">
        <f>'(Bloom Raw Data)'!EX24</f>
        <v>#N/A N/A</v>
      </c>
      <c r="EW24" s="11"/>
      <c r="EX24" s="11"/>
      <c r="EY24" s="165">
        <f>'(Bloom Raw Data)'!FR24</f>
        <v>1312</v>
      </c>
      <c r="EZ24" s="165">
        <f>'(Bloom Raw Data)'!FS24</f>
        <v>993</v>
      </c>
      <c r="FA24" s="165">
        <f>'(Bloom Raw Data)'!FT24</f>
        <v>1072</v>
      </c>
      <c r="FB24" s="165">
        <f>'(Bloom Raw Data)'!FU24</f>
        <v>1513</v>
      </c>
      <c r="FC24" s="165">
        <f>'(Bloom Raw Data)'!FV24</f>
        <v>834</v>
      </c>
      <c r="FD24" s="165">
        <f>'(Bloom Raw Data)'!FW24</f>
        <v>1443</v>
      </c>
      <c r="FE24" s="165">
        <f>'(Bloom Raw Data)'!FX24</f>
        <v>1978</v>
      </c>
      <c r="FF24" s="165">
        <f>'(Bloom Raw Data)'!FY24</f>
        <v>2812</v>
      </c>
      <c r="FG24" s="165">
        <f>'(Bloom Raw Data)'!FZ24</f>
        <v>1026</v>
      </c>
      <c r="FH24" s="165">
        <f>'(Bloom Raw Data)'!GA24</f>
        <v>546</v>
      </c>
      <c r="FI24" s="165">
        <f>'(Bloom Raw Data)'!GB24</f>
        <v>1147</v>
      </c>
      <c r="FJ24" s="165">
        <f>'(Bloom Raw Data)'!GC24</f>
        <v>632</v>
      </c>
      <c r="FK24" s="165">
        <f>'(Bloom Raw Data)'!GD24</f>
        <v>1673</v>
      </c>
      <c r="FL24" s="165">
        <f>'(Bloom Raw Data)'!GE24</f>
        <v>386</v>
      </c>
      <c r="FM24" s="165">
        <f>'(Bloom Raw Data)'!GF24</f>
        <v>740</v>
      </c>
      <c r="FN24" s="11"/>
      <c r="FO24" s="166" t="str">
        <f>'(Bloom Raw Data)'!FA24</f>
        <v>#N/A N/A</v>
      </c>
      <c r="FP24" s="166">
        <f>'(Bloom Raw Data)'!FB24</f>
        <v>1.0947</v>
      </c>
      <c r="FQ24" s="166">
        <f>'(Bloom Raw Data)'!FC24</f>
        <v>1.1429</v>
      </c>
      <c r="FR24" s="166">
        <f>'(Bloom Raw Data)'!FD24</f>
        <v>1.3481000000000001</v>
      </c>
      <c r="FS24" s="166" t="str">
        <f>'(Bloom Raw Data)'!FE24</f>
        <v>#N/A N/A</v>
      </c>
      <c r="FT24" s="166">
        <f>'(Bloom Raw Data)'!FF24</f>
        <v>1.2877000000000001</v>
      </c>
      <c r="FU24" s="166">
        <f>'(Bloom Raw Data)'!FG24</f>
        <v>1.9668000000000001</v>
      </c>
      <c r="FV24" s="166">
        <f>'(Bloom Raw Data)'!FH24</f>
        <v>1.8469</v>
      </c>
      <c r="FW24" s="166" t="str">
        <f>'(Bloom Raw Data)'!FI24</f>
        <v>#N/A N/A</v>
      </c>
      <c r="FX24" s="166" t="str">
        <f>'(Bloom Raw Data)'!FJ24</f>
        <v>#N/A N/A</v>
      </c>
      <c r="FY24" s="166" t="str">
        <f>'(Bloom Raw Data)'!FK24</f>
        <v>#N/A N/A</v>
      </c>
      <c r="FZ24" s="166" t="str">
        <f>'(Bloom Raw Data)'!FL24</f>
        <v>#N/A N/A</v>
      </c>
      <c r="GA24" s="166" t="str">
        <f>'(Bloom Raw Data)'!FM24</f>
        <v>#N/A N/A</v>
      </c>
      <c r="GB24" s="166" t="str">
        <f>'(Bloom Raw Data)'!FN24</f>
        <v>#N/A N/A</v>
      </c>
      <c r="GC24" s="166" t="str">
        <f>'(Bloom Raw Data)'!FO24</f>
        <v>#N/A N/A</v>
      </c>
      <c r="GD24" s="11"/>
      <c r="GE24" s="11"/>
      <c r="GF24" s="165">
        <f>'(Bloom Raw Data)'!GI24</f>
        <v>28465</v>
      </c>
      <c r="GG24" s="165">
        <f>'(Bloom Raw Data)'!GJ24</f>
        <v>28317</v>
      </c>
      <c r="GH24" s="165">
        <f>'(Bloom Raw Data)'!GK24</f>
        <v>26859</v>
      </c>
      <c r="GI24" s="165">
        <f>'(Bloom Raw Data)'!GL24</f>
        <v>27624</v>
      </c>
      <c r="GJ24" s="165">
        <f>'(Bloom Raw Data)'!GM24</f>
        <v>28875</v>
      </c>
      <c r="GK24" s="165">
        <f>'(Bloom Raw Data)'!GN24</f>
        <v>29988</v>
      </c>
      <c r="GL24" s="165">
        <f>'(Bloom Raw Data)'!GO24</f>
        <v>19830</v>
      </c>
      <c r="GM24" s="165">
        <f>'(Bloom Raw Data)'!GP24</f>
        <v>21178</v>
      </c>
      <c r="GN24" s="165">
        <f>'(Bloom Raw Data)'!GQ24</f>
        <v>21452</v>
      </c>
      <c r="GO24" s="165">
        <f>'(Bloom Raw Data)'!GR24</f>
        <v>22271</v>
      </c>
      <c r="GP24" s="165">
        <f>'(Bloom Raw Data)'!GS24</f>
        <v>16986</v>
      </c>
      <c r="GQ24" s="165">
        <f>'(Bloom Raw Data)'!GT24</f>
        <v>16930</v>
      </c>
      <c r="GR24" s="165">
        <f>'(Bloom Raw Data)'!GU24</f>
        <v>20429</v>
      </c>
      <c r="GS24" s="165">
        <f>'(Bloom Raw Data)'!GV24</f>
        <v>20825</v>
      </c>
      <c r="GT24" s="165">
        <f>'(Bloom Raw Data)'!GW24</f>
        <v>21293</v>
      </c>
      <c r="GU24" s="11"/>
      <c r="GV24" s="165">
        <f t="shared" si="17"/>
        <v>9186.9281861583877</v>
      </c>
      <c r="GW24" s="165">
        <f t="shared" si="18"/>
        <v>9302.0227846830712</v>
      </c>
      <c r="GX24" s="165">
        <f t="shared" si="19"/>
        <v>10129.012996773721</v>
      </c>
      <c r="GY24" s="165">
        <f t="shared" si="20"/>
        <v>10414.96464425307</v>
      </c>
      <c r="GZ24" s="165">
        <f t="shared" si="21"/>
        <v>10761.049874545548</v>
      </c>
      <c r="HA24" s="165">
        <f t="shared" si="22"/>
        <v>10961.973872127508</v>
      </c>
      <c r="HB24" s="165">
        <f t="shared" si="23"/>
        <v>10500.964153294433</v>
      </c>
      <c r="HC24" s="165">
        <f t="shared" si="24"/>
        <v>10730.078661101097</v>
      </c>
      <c r="HD24" s="165">
        <f t="shared" si="25"/>
        <v>11084.01238621785</v>
      </c>
      <c r="HE24" s="165">
        <f t="shared" si="26"/>
        <v>10035.041580244164</v>
      </c>
      <c r="HF24" s="165">
        <f t="shared" si="27"/>
        <v>8782.9756627025872</v>
      </c>
      <c r="HG24" s="165">
        <f t="shared" si="28"/>
        <v>8277.0137947695857</v>
      </c>
      <c r="HH24" s="165">
        <f t="shared" si="29"/>
        <v>8103.9798405549254</v>
      </c>
      <c r="HI24" s="165">
        <f t="shared" si="30"/>
        <v>8087.0283263170477</v>
      </c>
      <c r="HJ24" s="165">
        <f t="shared" si="31"/>
        <v>8106.9802938411349</v>
      </c>
      <c r="HK24" s="11"/>
      <c r="HL24" s="2658"/>
      <c r="HM24" s="166">
        <f>'(Bloom Raw Data)'!HQ24</f>
        <v>8.3986999999999998</v>
      </c>
      <c r="HN24" s="166">
        <f>'(Bloom Raw Data)'!HR24</f>
        <v>9.0451999999999995</v>
      </c>
      <c r="HO24" s="166">
        <f>'(Bloom Raw Data)'!HS24</f>
        <v>10.833600000000001</v>
      </c>
      <c r="HP24" s="166">
        <f>'(Bloom Raw Data)'!HT24</f>
        <v>11.3103</v>
      </c>
      <c r="HQ24" s="166">
        <f>'(Bloom Raw Data)'!HU24</f>
        <v>12.945600000000001</v>
      </c>
      <c r="HR24" s="166">
        <f>'(Bloom Raw Data)'!HV24</f>
        <v>12.838699999999999</v>
      </c>
      <c r="HS24" s="166">
        <f>'(Bloom Raw Data)'!HW24</f>
        <v>10.1486</v>
      </c>
      <c r="HT24" s="166">
        <f>'(Bloom Raw Data)'!HX24</f>
        <v>7.8585000000000003</v>
      </c>
      <c r="HU24" s="166">
        <f>'(Bloom Raw Data)'!HY24</f>
        <v>6.5148999999999999</v>
      </c>
      <c r="HV24" s="166">
        <f>'(Bloom Raw Data)'!HZ24</f>
        <v>6.5583</v>
      </c>
      <c r="HW24" s="166">
        <f>'(Bloom Raw Data)'!IA24</f>
        <v>5.6955</v>
      </c>
      <c r="HX24" s="166">
        <f>'(Bloom Raw Data)'!IB24</f>
        <v>5.7134</v>
      </c>
      <c r="HY24" s="166">
        <f>'(Bloom Raw Data)'!IC24</f>
        <v>5.6101999999999999</v>
      </c>
      <c r="HZ24" s="166">
        <f>'(Bloom Raw Data)'!ID24</f>
        <v>6.6901999999999999</v>
      </c>
      <c r="IA24" s="166">
        <f>'(Bloom Raw Data)'!IE24</f>
        <v>6.7249999999999996</v>
      </c>
      <c r="IB24" s="72"/>
    </row>
    <row r="25" spans="1:237">
      <c r="A25" s="11" t="s">
        <v>504</v>
      </c>
      <c r="B25" s="11" t="s">
        <v>12</v>
      </c>
      <c r="C25" s="11"/>
      <c r="D25" s="165">
        <f>'(Bloom Raw Data)'!D25</f>
        <v>20491.332699999999</v>
      </c>
      <c r="E25" s="165">
        <f>'(Bloom Raw Data)'!E25</f>
        <v>19933.409599999999</v>
      </c>
      <c r="F25" s="165">
        <f>'(Bloom Raw Data)'!F25</f>
        <v>19006.132900000001</v>
      </c>
      <c r="G25" s="125">
        <f>AVERAGE(F25,H25)</f>
        <v>20150.1626</v>
      </c>
      <c r="H25" s="165">
        <f>'(Bloom Raw Data)'!H25</f>
        <v>21294.192299999999</v>
      </c>
      <c r="I25" s="165">
        <f>'(Bloom Raw Data)'!I25</f>
        <v>21208.824000000001</v>
      </c>
      <c r="J25" s="165">
        <f>'(Bloom Raw Data)'!J25</f>
        <v>19969.649000000001</v>
      </c>
      <c r="K25" s="165">
        <f>'(Bloom Raw Data)'!K25</f>
        <v>19208.160500000002</v>
      </c>
      <c r="L25" s="165">
        <f>'(Bloom Raw Data)'!L25</f>
        <v>18436.1567</v>
      </c>
      <c r="M25" s="165">
        <f>'(Bloom Raw Data)'!M25</f>
        <v>18902.549800000001</v>
      </c>
      <c r="N25" s="165">
        <f>'(Bloom Raw Data)'!N25</f>
        <v>19746.922399999999</v>
      </c>
      <c r="O25" s="165">
        <f>'(Bloom Raw Data)'!O25</f>
        <v>19581.155999999999</v>
      </c>
      <c r="P25" s="165">
        <f>'(Bloom Raw Data)'!P25</f>
        <v>20399.429499999998</v>
      </c>
      <c r="Q25" s="165">
        <f>'(Bloom Raw Data)'!Q25</f>
        <v>22751.413400000001</v>
      </c>
      <c r="R25" s="165">
        <f>'(Bloom Raw Data)'!R25</f>
        <v>21425.307199999999</v>
      </c>
      <c r="S25" s="11"/>
      <c r="T25" s="165">
        <f>'(Bloom Raw Data)'!U25</f>
        <v>9509</v>
      </c>
      <c r="U25" s="165">
        <f>'(Bloom Raw Data)'!V25</f>
        <v>8919</v>
      </c>
      <c r="V25" s="165">
        <f>'(Bloom Raw Data)'!W25</f>
        <v>9615</v>
      </c>
      <c r="W25" s="165">
        <f>'(Bloom Raw Data)'!X25</f>
        <v>9139</v>
      </c>
      <c r="X25" s="165">
        <f>'(Bloom Raw Data)'!Y25</f>
        <v>9167</v>
      </c>
      <c r="Y25" s="165">
        <f>'(Bloom Raw Data)'!Z25</f>
        <v>8869</v>
      </c>
      <c r="Z25" s="165">
        <f>'(Bloom Raw Data)'!AA25</f>
        <v>9638</v>
      </c>
      <c r="AA25" s="165">
        <f>'(Bloom Raw Data)'!AB25</f>
        <v>9091</v>
      </c>
      <c r="AB25" s="165">
        <f>'(Bloom Raw Data)'!AC25</f>
        <v>8444</v>
      </c>
      <c r="AC25" s="165">
        <f>'(Bloom Raw Data)'!AD25</f>
        <v>8444</v>
      </c>
      <c r="AD25" s="165">
        <f>'(Bloom Raw Data)'!AE25</f>
        <v>8924</v>
      </c>
      <c r="AE25" s="165">
        <f>'(Bloom Raw Data)'!AF25</f>
        <v>8758</v>
      </c>
      <c r="AF25" s="165">
        <f>'(Bloom Raw Data)'!AG25</f>
        <v>8205</v>
      </c>
      <c r="AG25" s="165">
        <f>'(Bloom Raw Data)'!AH25</f>
        <v>8070</v>
      </c>
      <c r="AH25" s="165">
        <f>'(Bloom Raw Data)'!AI25</f>
        <v>8759</v>
      </c>
      <c r="AI25" s="11"/>
      <c r="AJ25" s="165">
        <f>'(Bloom Raw Data)'!AL25</f>
        <v>852</v>
      </c>
      <c r="AK25" s="165">
        <f>'(Bloom Raw Data)'!AP25</f>
        <v>732</v>
      </c>
      <c r="AL25" s="165">
        <f>'(Bloom Raw Data)'!AT25</f>
        <v>627</v>
      </c>
      <c r="AM25" s="165">
        <f>'(Bloom Raw Data)'!AX25</f>
        <v>695</v>
      </c>
      <c r="AN25" s="11"/>
      <c r="AO25" s="166">
        <f>'(Bloom Raw Data)'!BC25</f>
        <v>1.2405999999999999</v>
      </c>
      <c r="AP25" s="166">
        <f>'(Bloom Raw Data)'!BD25</f>
        <v>7.5270000000000001</v>
      </c>
      <c r="AQ25" s="166">
        <f>'(Bloom Raw Data)'!BE25</f>
        <v>9.75</v>
      </c>
      <c r="AR25" s="166">
        <f>'(Bloom Raw Data)'!BF25</f>
        <v>10.4054</v>
      </c>
      <c r="AS25" s="166">
        <f>'(Bloom Raw Data)'!BG25</f>
        <v>3.7107999999999999</v>
      </c>
      <c r="AT25" s="166">
        <f>'(Bloom Raw Data)'!BH25</f>
        <v>9.6715999999999998</v>
      </c>
      <c r="AU25" s="166">
        <f>'(Bloom Raw Data)'!BI25</f>
        <v>9.9705999999999992</v>
      </c>
      <c r="AV25" s="166">
        <f>'(Bloom Raw Data)'!BJ25</f>
        <v>9.1882000000000001</v>
      </c>
      <c r="AW25" s="166">
        <f>'(Bloom Raw Data)'!BK25</f>
        <v>3.6709000000000001</v>
      </c>
      <c r="AX25" s="166">
        <f>'(Bloom Raw Data)'!BL25</f>
        <v>9.6405999999999992</v>
      </c>
      <c r="AY25" s="166">
        <f>'(Bloom Raw Data)'!BM25</f>
        <v>9.3332999999999995</v>
      </c>
      <c r="AZ25" s="166">
        <f>'(Bloom Raw Data)'!BN25</f>
        <v>9.2173999999999996</v>
      </c>
      <c r="BA25" s="166">
        <f>'(Bloom Raw Data)'!BO25</f>
        <v>3.8153999999999999</v>
      </c>
      <c r="BB25" s="166">
        <f>'(Bloom Raw Data)'!BP25</f>
        <v>8.0596999999999994</v>
      </c>
      <c r="BC25" s="166">
        <f>'(Bloom Raw Data)'!BQ25</f>
        <v>9.0475999999999992</v>
      </c>
      <c r="BD25" s="11"/>
      <c r="BE25" s="166">
        <f>'(Bloom Raw Data)'!BT25</f>
        <v>2.0301</v>
      </c>
      <c r="BF25" s="166">
        <f>'(Bloom Raw Data)'!BU25</f>
        <v>1.9376</v>
      </c>
      <c r="BG25" s="166">
        <f>'(Bloom Raw Data)'!BV25</f>
        <v>2.0771000000000002</v>
      </c>
      <c r="BH25" s="166">
        <f>'(Bloom Raw Data)'!BW25</f>
        <v>1.9691999999999998</v>
      </c>
      <c r="BI25" s="166">
        <f>'(Bloom Raw Data)'!BX25</f>
        <v>2.1082999999999998</v>
      </c>
      <c r="BJ25" s="166">
        <f>'(Bloom Raw Data)'!BY25</f>
        <v>2.0084</v>
      </c>
      <c r="BK25" s="166">
        <f>'(Bloom Raw Data)'!BZ25</f>
        <v>2.2259000000000002</v>
      </c>
      <c r="BL25" s="166">
        <f>'(Bloom Raw Data)'!CA25</f>
        <v>2.1034000000000002</v>
      </c>
      <c r="BM25" s="166">
        <f>'(Bloom Raw Data)'!CB25</f>
        <v>1.9637</v>
      </c>
      <c r="BN25" s="166">
        <f>'(Bloom Raw Data)'!CC25</f>
        <v>1.9765999999999999</v>
      </c>
      <c r="BO25" s="166">
        <f>'(Bloom Raw Data)'!CD25</f>
        <v>2.0977999999999999</v>
      </c>
      <c r="BP25" s="166">
        <f>'(Bloom Raw Data)'!CE25</f>
        <v>2.1200999999999999</v>
      </c>
      <c r="BQ25" s="166">
        <f>'(Bloom Raw Data)'!CF25</f>
        <v>2.0036999999999998</v>
      </c>
      <c r="BR25" s="166">
        <f>'(Bloom Raw Data)'!CG25</f>
        <v>2.0034999999999998</v>
      </c>
      <c r="BS25" s="166">
        <f>'(Bloom Raw Data)'!CH25</f>
        <v>2.2046000000000001</v>
      </c>
      <c r="BT25" s="11"/>
      <c r="BU25" s="165">
        <f>'(Bloom Raw Data)'!CK25</f>
        <v>30319.332699999999</v>
      </c>
      <c r="BV25" s="165">
        <f>'(Bloom Raw Data)'!CL25</f>
        <v>29143.409599999999</v>
      </c>
      <c r="BW25" s="165">
        <f>'(Bloom Raw Data)'!CM25</f>
        <v>28889.132900000001</v>
      </c>
      <c r="BX25" s="165">
        <f>'(Bloom Raw Data)'!CN25</f>
        <v>29934.132600000001</v>
      </c>
      <c r="BY25" s="165">
        <f>'(Bloom Raw Data)'!CO25</f>
        <v>30481.192299999999</v>
      </c>
      <c r="BZ25" s="165">
        <f>'(Bloom Raw Data)'!CP25</f>
        <v>30111.824000000001</v>
      </c>
      <c r="CA25" s="165">
        <f>'(Bloom Raw Data)'!CQ25</f>
        <v>29628.649000000001</v>
      </c>
      <c r="CB25" s="165">
        <f>'(Bloom Raw Data)'!CR25</f>
        <v>28322.160500000002</v>
      </c>
      <c r="CC25" s="165">
        <f>'(Bloom Raw Data)'!CS25</f>
        <v>26904.1567</v>
      </c>
      <c r="CD25" s="165">
        <f>'(Bloom Raw Data)'!CT25</f>
        <v>27373.549800000001</v>
      </c>
      <c r="CE25" s="165">
        <f>'(Bloom Raw Data)'!CU25</f>
        <v>28684.922399999999</v>
      </c>
      <c r="CF25" s="165">
        <f>'(Bloom Raw Data)'!CV25</f>
        <v>28354.155999999999</v>
      </c>
      <c r="CG25" s="165">
        <f>'(Bloom Raw Data)'!CW25</f>
        <v>28628.429499999998</v>
      </c>
      <c r="CH25" s="165">
        <f>'(Bloom Raw Data)'!CX25</f>
        <v>30850.413400000001</v>
      </c>
      <c r="CI25" s="165">
        <f>'(Bloom Raw Data)'!CY25</f>
        <v>30200.307199999999</v>
      </c>
      <c r="CJ25" s="11"/>
      <c r="CK25" s="165">
        <f t="shared" si="2"/>
        <v>319</v>
      </c>
      <c r="CL25" s="165">
        <f t="shared" si="3"/>
        <v>291</v>
      </c>
      <c r="CM25" s="165">
        <f t="shared" si="4"/>
        <v>268</v>
      </c>
      <c r="CN25" s="165">
        <f t="shared" si="5"/>
        <v>644.97000000000116</v>
      </c>
      <c r="CO25" s="165">
        <f t="shared" si="6"/>
        <v>20</v>
      </c>
      <c r="CP25" s="165">
        <f t="shared" si="7"/>
        <v>34</v>
      </c>
      <c r="CQ25" s="165">
        <f t="shared" si="8"/>
        <v>21</v>
      </c>
      <c r="CR25" s="165">
        <f t="shared" si="9"/>
        <v>23</v>
      </c>
      <c r="CS25" s="165">
        <f t="shared" si="10"/>
        <v>24</v>
      </c>
      <c r="CT25" s="165">
        <f t="shared" si="11"/>
        <v>27</v>
      </c>
      <c r="CU25" s="165">
        <f t="shared" si="12"/>
        <v>14</v>
      </c>
      <c r="CV25" s="165">
        <f t="shared" si="13"/>
        <v>15</v>
      </c>
      <c r="CW25" s="165">
        <f t="shared" si="14"/>
        <v>24</v>
      </c>
      <c r="CX25" s="165">
        <f t="shared" si="15"/>
        <v>29</v>
      </c>
      <c r="CY25" s="165">
        <f t="shared" si="16"/>
        <v>16</v>
      </c>
      <c r="CZ25" s="11"/>
      <c r="DA25" s="166">
        <f>'(Bloom Raw Data)'!DB25</f>
        <v>6.4729999999999999</v>
      </c>
      <c r="DB25" s="166">
        <f>'(Bloom Raw Data)'!DC25</f>
        <v>6.3314000000000004</v>
      </c>
      <c r="DC25" s="166">
        <f>'(Bloom Raw Data)'!DD25</f>
        <v>6.2408999999999999</v>
      </c>
      <c r="DD25" s="166">
        <f>'(Bloom Raw Data)'!DE25</f>
        <v>6.4499000000000004</v>
      </c>
      <c r="DE25" s="166">
        <f>'(Bloom Raw Data)'!DF25</f>
        <v>7.0103999999999997</v>
      </c>
      <c r="DF25" s="166">
        <f>'(Bloom Raw Data)'!DG25</f>
        <v>6.8187999999999995</v>
      </c>
      <c r="DG25" s="166">
        <f>'(Bloom Raw Data)'!DH25</f>
        <v>6.8426</v>
      </c>
      <c r="DH25" s="166">
        <f>'(Bloom Raw Data)'!DI25</f>
        <v>6.5529999999999999</v>
      </c>
      <c r="DI25" s="166">
        <f>'(Bloom Raw Data)'!DJ25</f>
        <v>6.2568000000000001</v>
      </c>
      <c r="DJ25" s="166">
        <f>'(Bloom Raw Data)'!DK25</f>
        <v>6.4077000000000002</v>
      </c>
      <c r="DK25" s="166">
        <f>'(Bloom Raw Data)'!DL25</f>
        <v>6.7430000000000003</v>
      </c>
      <c r="DL25" s="166">
        <f>'(Bloom Raw Data)'!DM25</f>
        <v>6.8638000000000003</v>
      </c>
      <c r="DM25" s="166">
        <f>'(Bloom Raw Data)'!DN25</f>
        <v>6.9911000000000003</v>
      </c>
      <c r="DN25" s="166">
        <f>'(Bloom Raw Data)'!DO25</f>
        <v>7.6589999999999998</v>
      </c>
      <c r="DO25" s="166">
        <f>'(Bloom Raw Data)'!DP25</f>
        <v>7.6013999999999999</v>
      </c>
      <c r="DP25" s="11"/>
      <c r="DQ25" s="11"/>
      <c r="DR25" s="166">
        <f>'(Bloom Raw Data)'!DS25</f>
        <v>2.5263999999999998</v>
      </c>
      <c r="DS25" s="166">
        <f>'(Bloom Raw Data)'!DT25</f>
        <v>2.4209999999999998</v>
      </c>
      <c r="DT25" s="166">
        <f>'(Bloom Raw Data)'!DU25</f>
        <v>2.4013999999999998</v>
      </c>
      <c r="DU25" s="166">
        <f>'(Bloom Raw Data)'!DV25</f>
        <v>2.4836999999999998</v>
      </c>
      <c r="DV25" s="166">
        <f>'(Bloom Raw Data)'!DW25</f>
        <v>2.5426000000000002</v>
      </c>
      <c r="DW25" s="166">
        <f>'(Bloom Raw Data)'!DX25</f>
        <v>2.5310000000000001</v>
      </c>
      <c r="DX25" s="166">
        <f>'(Bloom Raw Data)'!DY25</f>
        <v>2.5186000000000002</v>
      </c>
      <c r="DY25" s="166">
        <f>'(Bloom Raw Data)'!DZ25</f>
        <v>2.4521000000000002</v>
      </c>
      <c r="DZ25" s="166">
        <f>'(Bloom Raw Data)'!EA25</f>
        <v>2.3462000000000001</v>
      </c>
      <c r="EA25" s="166">
        <f>'(Bloom Raw Data)'!EB25</f>
        <v>2.3997000000000002</v>
      </c>
      <c r="EB25" s="166">
        <f>'(Bloom Raw Data)'!EC25</f>
        <v>2.5236999999999998</v>
      </c>
      <c r="EC25" s="166">
        <f>'(Bloom Raw Data)'!ED25</f>
        <v>2.4967999999999999</v>
      </c>
      <c r="ED25" s="166">
        <f>'(Bloom Raw Data)'!EE25</f>
        <v>2.5148000000000001</v>
      </c>
      <c r="EE25" s="166">
        <f>'(Bloom Raw Data)'!EF25</f>
        <v>2.7263000000000002</v>
      </c>
      <c r="EF25" s="166">
        <f>'(Bloom Raw Data)'!EG25</f>
        <v>2.6587000000000001</v>
      </c>
      <c r="EG25" s="11"/>
      <c r="EH25" s="165" t="str">
        <f>'(Bloom Raw Data)'!EJ25</f>
        <v>#N/A N/A</v>
      </c>
      <c r="EI25" s="165">
        <f>'(Bloom Raw Data)'!EK25</f>
        <v>10.6167</v>
      </c>
      <c r="EJ25" s="165">
        <f>'(Bloom Raw Data)'!EL25</f>
        <v>10.3238</v>
      </c>
      <c r="EK25" s="165">
        <f>'(Bloom Raw Data)'!EM25</f>
        <v>11.0023</v>
      </c>
      <c r="EL25" s="165" t="str">
        <f>'(Bloom Raw Data)'!EN25</f>
        <v>#N/A N/A</v>
      </c>
      <c r="EM25" s="165">
        <f>'(Bloom Raw Data)'!EO25</f>
        <v>10.991300000000001</v>
      </c>
      <c r="EN25" s="165">
        <f>'(Bloom Raw Data)'!EP25</f>
        <v>10.631499999999999</v>
      </c>
      <c r="EO25" s="165">
        <f>'(Bloom Raw Data)'!EQ25</f>
        <v>10.0761</v>
      </c>
      <c r="EP25" s="165" t="str">
        <f>'(Bloom Raw Data)'!ER25</f>
        <v>#N/A N/A</v>
      </c>
      <c r="EQ25" s="165" t="str">
        <f>'(Bloom Raw Data)'!ES25</f>
        <v>#N/A N/A</v>
      </c>
      <c r="ER25" s="165" t="str">
        <f>'(Bloom Raw Data)'!ET25</f>
        <v>#N/A N/A</v>
      </c>
      <c r="ES25" s="165" t="str">
        <f>'(Bloom Raw Data)'!EU25</f>
        <v>#N/A N/A</v>
      </c>
      <c r="ET25" s="165" t="str">
        <f>'(Bloom Raw Data)'!EV25</f>
        <v>#N/A N/A</v>
      </c>
      <c r="EU25" s="165" t="str">
        <f>'(Bloom Raw Data)'!EW25</f>
        <v>#N/A N/A</v>
      </c>
      <c r="EV25" s="165" t="str">
        <f>'(Bloom Raw Data)'!EX25</f>
        <v>#N/A N/A</v>
      </c>
      <c r="EW25" s="11"/>
      <c r="EX25" s="11"/>
      <c r="EY25" s="165">
        <f>'(Bloom Raw Data)'!FR25</f>
        <v>532</v>
      </c>
      <c r="EZ25" s="165">
        <f>'(Bloom Raw Data)'!FS25</f>
        <v>866</v>
      </c>
      <c r="FA25" s="165">
        <f>'(Bloom Raw Data)'!FT25</f>
        <v>535</v>
      </c>
      <c r="FB25" s="165">
        <f>'(Bloom Raw Data)'!FU25</f>
        <v>559</v>
      </c>
      <c r="FC25" s="165">
        <f>'(Bloom Raw Data)'!FV25</f>
        <v>483</v>
      </c>
      <c r="FD25" s="165">
        <f>'(Bloom Raw Data)'!FW25</f>
        <v>484</v>
      </c>
      <c r="FE25" s="165">
        <f>'(Bloom Raw Data)'!FX25</f>
        <v>271</v>
      </c>
      <c r="FF25" s="165">
        <f>'(Bloom Raw Data)'!FY25</f>
        <v>305</v>
      </c>
      <c r="FG25" s="165">
        <f>'(Bloom Raw Data)'!FZ25</f>
        <v>314</v>
      </c>
      <c r="FH25" s="165">
        <f>'(Bloom Raw Data)'!GA25</f>
        <v>314</v>
      </c>
      <c r="FI25" s="165">
        <f>'(Bloom Raw Data)'!GB25</f>
        <v>189</v>
      </c>
      <c r="FJ25" s="165">
        <f>'(Bloom Raw Data)'!GC25</f>
        <v>156</v>
      </c>
      <c r="FK25" s="165">
        <f>'(Bloom Raw Data)'!GD25</f>
        <v>538</v>
      </c>
      <c r="FL25" s="165">
        <f>'(Bloom Raw Data)'!GE25</f>
        <v>685</v>
      </c>
      <c r="FM25" s="165">
        <f>'(Bloom Raw Data)'!GF25</f>
        <v>173</v>
      </c>
      <c r="FN25" s="11"/>
      <c r="FO25" s="166" t="str">
        <f>'(Bloom Raw Data)'!FA25</f>
        <v>#N/A N/A</v>
      </c>
      <c r="FP25" s="166">
        <f>'(Bloom Raw Data)'!FB25</f>
        <v>3.0236000000000001</v>
      </c>
      <c r="FQ25" s="166">
        <f>'(Bloom Raw Data)'!FC25</f>
        <v>3.3891</v>
      </c>
      <c r="FR25" s="166">
        <f>'(Bloom Raw Data)'!FD25</f>
        <v>3.3161</v>
      </c>
      <c r="FS25" s="166" t="str">
        <f>'(Bloom Raw Data)'!FE25</f>
        <v>#N/A N/A</v>
      </c>
      <c r="FT25" s="166">
        <f>'(Bloom Raw Data)'!FF25</f>
        <v>3.3447</v>
      </c>
      <c r="FU25" s="166">
        <f>'(Bloom Raw Data)'!FG25</f>
        <v>3.8843999999999999</v>
      </c>
      <c r="FV25" s="166">
        <f>'(Bloom Raw Data)'!FH25</f>
        <v>3.7968000000000002</v>
      </c>
      <c r="FW25" s="166" t="str">
        <f>'(Bloom Raw Data)'!FI25</f>
        <v>#N/A N/A</v>
      </c>
      <c r="FX25" s="166" t="str">
        <f>'(Bloom Raw Data)'!FJ25</f>
        <v>#N/A N/A</v>
      </c>
      <c r="FY25" s="166" t="str">
        <f>'(Bloom Raw Data)'!FK25</f>
        <v>#N/A N/A</v>
      </c>
      <c r="FZ25" s="166" t="str">
        <f>'(Bloom Raw Data)'!FL25</f>
        <v>#N/A N/A</v>
      </c>
      <c r="GA25" s="166" t="str">
        <f>'(Bloom Raw Data)'!FM25</f>
        <v>#N/A N/A</v>
      </c>
      <c r="GB25" s="166" t="str">
        <f>'(Bloom Raw Data)'!FN25</f>
        <v>#N/A N/A</v>
      </c>
      <c r="GC25" s="166" t="str">
        <f>'(Bloom Raw Data)'!FO25</f>
        <v>#N/A N/A</v>
      </c>
      <c r="GD25" s="11"/>
      <c r="GE25" s="11"/>
      <c r="GF25" s="165">
        <f>'(Bloom Raw Data)'!GI25</f>
        <v>6610</v>
      </c>
      <c r="GG25" s="165">
        <f>'(Bloom Raw Data)'!GJ25</f>
        <v>6739</v>
      </c>
      <c r="GH25" s="165">
        <f>'(Bloom Raw Data)'!GK25</f>
        <v>5753</v>
      </c>
      <c r="GI25" s="165">
        <f>'(Bloom Raw Data)'!GL25</f>
        <v>6321</v>
      </c>
      <c r="GJ25" s="165">
        <f>'(Bloom Raw Data)'!GM25</f>
        <v>5350</v>
      </c>
      <c r="GK25" s="165">
        <f>'(Bloom Raw Data)'!GN25</f>
        <v>6236</v>
      </c>
      <c r="GL25" s="165">
        <f>'(Bloom Raw Data)'!GO25</f>
        <v>5162</v>
      </c>
      <c r="GM25" s="165">
        <f>'(Bloom Raw Data)'!GP25</f>
        <v>5082</v>
      </c>
      <c r="GN25" s="165">
        <f>'(Bloom Raw Data)'!GQ25</f>
        <v>4296</v>
      </c>
      <c r="GO25" s="165">
        <f>'(Bloom Raw Data)'!GR25</f>
        <v>4693</v>
      </c>
      <c r="GP25" s="165">
        <f>'(Bloom Raw Data)'!GS25</f>
        <v>3957</v>
      </c>
      <c r="GQ25" s="165">
        <f>'(Bloom Raw Data)'!GT25</f>
        <v>4258</v>
      </c>
      <c r="GR25" s="165">
        <f>'(Bloom Raw Data)'!GU25</f>
        <v>4156</v>
      </c>
      <c r="GS25" s="165">
        <f>'(Bloom Raw Data)'!GV25</f>
        <v>5191</v>
      </c>
      <c r="GT25" s="165">
        <f>'(Bloom Raw Data)'!GW25</f>
        <v>4685</v>
      </c>
      <c r="GU25" s="11"/>
      <c r="GV25" s="165">
        <f t="shared" si="17"/>
        <v>4683.9692105669701</v>
      </c>
      <c r="GW25" s="165">
        <f t="shared" si="18"/>
        <v>4602.9961146034047</v>
      </c>
      <c r="GX25" s="165">
        <f t="shared" si="19"/>
        <v>4629.001089586438</v>
      </c>
      <c r="GY25" s="165">
        <f t="shared" si="20"/>
        <v>4641.0227445386745</v>
      </c>
      <c r="GZ25" s="165">
        <f t="shared" si="21"/>
        <v>4347.996162843775</v>
      </c>
      <c r="HA25" s="165">
        <f t="shared" si="22"/>
        <v>4416.0004692907851</v>
      </c>
      <c r="HB25" s="165">
        <f t="shared" si="23"/>
        <v>4330.0279133662643</v>
      </c>
      <c r="HC25" s="165">
        <f t="shared" si="24"/>
        <v>4322.0144208759348</v>
      </c>
      <c r="HD25" s="165">
        <f t="shared" si="25"/>
        <v>4299.9866864851037</v>
      </c>
      <c r="HE25" s="165">
        <f t="shared" si="26"/>
        <v>4271.9774334004405</v>
      </c>
      <c r="HF25" s="165">
        <f t="shared" si="27"/>
        <v>4254.0297197093278</v>
      </c>
      <c r="HG25" s="165">
        <f t="shared" si="28"/>
        <v>4130.9705993764383</v>
      </c>
      <c r="HH25" s="165">
        <f t="shared" si="29"/>
        <v>4094.9821201241575</v>
      </c>
      <c r="HI25" s="165">
        <f t="shared" si="30"/>
        <v>4027.9949601775693</v>
      </c>
      <c r="HJ25" s="165">
        <f t="shared" si="31"/>
        <v>3972.9927644907516</v>
      </c>
      <c r="HK25" s="11"/>
      <c r="HL25" s="2658">
        <v>1</v>
      </c>
      <c r="HM25" s="166">
        <f>'(Bloom Raw Data)'!HQ25</f>
        <v>5.6532</v>
      </c>
      <c r="HN25" s="166">
        <f>'(Bloom Raw Data)'!HR25</f>
        <v>6.0940000000000003</v>
      </c>
      <c r="HO25" s="166">
        <f>'(Bloom Raw Data)'!HS25</f>
        <v>5.8245000000000005</v>
      </c>
      <c r="HP25" s="166">
        <f>'(Bloom Raw Data)'!HT25</f>
        <v>5.7889999999999997</v>
      </c>
      <c r="HQ25" s="166">
        <f>'(Bloom Raw Data)'!HU25</f>
        <v>6.0361000000000002</v>
      </c>
      <c r="HR25" s="166">
        <f>'(Bloom Raw Data)'!HV25</f>
        <v>5.7984999999999998</v>
      </c>
      <c r="HS25" s="166">
        <f>'(Bloom Raw Data)'!HW25</f>
        <v>5.6901999999999999</v>
      </c>
      <c r="HT25" s="166">
        <f>'(Bloom Raw Data)'!HX25</f>
        <v>5.4062999999999999</v>
      </c>
      <c r="HU25" s="166">
        <f>'(Bloom Raw Data)'!HY25</f>
        <v>4.9265999999999996</v>
      </c>
      <c r="HV25" s="166">
        <f>'(Bloom Raw Data)'!HZ25</f>
        <v>5.056</v>
      </c>
      <c r="HW25" s="166">
        <f>'(Bloom Raw Data)'!IA25</f>
        <v>5.4055999999999997</v>
      </c>
      <c r="HX25" s="166">
        <f>'(Bloom Raw Data)'!IB25</f>
        <v>5.0545</v>
      </c>
      <c r="HY25" s="166">
        <f>'(Bloom Raw Data)'!IC25</f>
        <v>5.1757999999999997</v>
      </c>
      <c r="HZ25" s="166">
        <f>'(Bloom Raw Data)'!ID25</f>
        <v>4.9328000000000003</v>
      </c>
      <c r="IA25" s="166">
        <f>'(Bloom Raw Data)'!IE25</f>
        <v>5.4858000000000002</v>
      </c>
      <c r="IB25" s="72"/>
    </row>
    <row r="26" spans="1:237">
      <c r="A26" s="11" t="s">
        <v>27</v>
      </c>
      <c r="B26" s="7" t="s">
        <v>339</v>
      </c>
      <c r="C26" s="11"/>
      <c r="D26" s="165">
        <f>'(Bloom Raw Data)'!D26</f>
        <v>693.7373</v>
      </c>
      <c r="E26" s="165">
        <f>'(Bloom Raw Data)'!E26</f>
        <v>585.2627</v>
      </c>
      <c r="F26" s="165">
        <f>'(Bloom Raw Data)'!F26</f>
        <v>505.78710000000001</v>
      </c>
      <c r="G26" s="125">
        <f>AVERAGE(F26,H26)</f>
        <v>493.86215000000004</v>
      </c>
      <c r="H26" s="165">
        <f>'(Bloom Raw Data)'!H26</f>
        <v>481.93720000000002</v>
      </c>
      <c r="I26" s="165">
        <f>'(Bloom Raw Data)'!I26</f>
        <v>539.84789999999998</v>
      </c>
      <c r="J26" s="165">
        <f>'(Bloom Raw Data)'!J26</f>
        <v>541.87490000000003</v>
      </c>
      <c r="K26" s="165">
        <f>'(Bloom Raw Data)'!K26</f>
        <v>413.1266</v>
      </c>
      <c r="L26" s="165">
        <f>'(Bloom Raw Data)'!L26</f>
        <v>434</v>
      </c>
      <c r="M26" s="165">
        <f>'(Bloom Raw Data)'!M26</f>
        <v>438.89</v>
      </c>
      <c r="N26" s="165">
        <f>'(Bloom Raw Data)'!N26</f>
        <v>469.67329999999998</v>
      </c>
      <c r="O26" s="165">
        <f>'(Bloom Raw Data)'!O26</f>
        <v>495.37099999999998</v>
      </c>
      <c r="P26" s="165">
        <f>'(Bloom Raw Data)'!P26</f>
        <v>536.01220000000001</v>
      </c>
      <c r="Q26" s="165">
        <f>'(Bloom Raw Data)'!Q26</f>
        <v>608.17600000000004</v>
      </c>
      <c r="R26" s="165">
        <f>'(Bloom Raw Data)'!R26</f>
        <v>562.64409999999998</v>
      </c>
      <c r="S26" s="11"/>
      <c r="T26" s="165">
        <f>'(Bloom Raw Data)'!U26</f>
        <v>298.52800000000002</v>
      </c>
      <c r="U26" s="165">
        <f>'(Bloom Raw Data)'!V26</f>
        <v>273.8</v>
      </c>
      <c r="V26" s="165">
        <f>'(Bloom Raw Data)'!W26</f>
        <v>270.2</v>
      </c>
      <c r="W26" s="165">
        <f>'(Bloom Raw Data)'!X26</f>
        <v>267.7</v>
      </c>
      <c r="X26" s="165">
        <f>'(Bloom Raw Data)'!Y26</f>
        <v>288.82740000000001</v>
      </c>
      <c r="Y26" s="165">
        <f>'(Bloom Raw Data)'!Z26</f>
        <v>303.5</v>
      </c>
      <c r="Z26" s="165">
        <f>'(Bloom Raw Data)'!AA26</f>
        <v>295.07619999999997</v>
      </c>
      <c r="AA26" s="165">
        <f>'(Bloom Raw Data)'!AB26</f>
        <v>258</v>
      </c>
      <c r="AB26" s="165">
        <f>'(Bloom Raw Data)'!AC26</f>
        <v>269.86790000000002</v>
      </c>
      <c r="AC26" s="165">
        <f>'(Bloom Raw Data)'!AD26</f>
        <v>333</v>
      </c>
      <c r="AD26" s="165">
        <f>'(Bloom Raw Data)'!AE26</f>
        <v>344.8</v>
      </c>
      <c r="AE26" s="165">
        <f>'(Bloom Raw Data)'!AF26</f>
        <v>326.8</v>
      </c>
      <c r="AF26" s="165">
        <f>'(Bloom Raw Data)'!AG26</f>
        <v>343.75020000000001</v>
      </c>
      <c r="AG26" s="165">
        <f>'(Bloom Raw Data)'!AH26</f>
        <v>355.21409999999997</v>
      </c>
      <c r="AH26" s="165">
        <f>'(Bloom Raw Data)'!AI26</f>
        <v>366.5</v>
      </c>
      <c r="AI26" s="11"/>
      <c r="AJ26" s="165">
        <f>'(Bloom Raw Data)'!AL26</f>
        <v>211.43430000000001</v>
      </c>
      <c r="AK26" s="165">
        <f>'(Bloom Raw Data)'!AP26</f>
        <v>234.34620000000001</v>
      </c>
      <c r="AL26" s="165">
        <f>'(Bloom Raw Data)'!AT26</f>
        <v>220.49350000000001</v>
      </c>
      <c r="AM26" s="165">
        <f>'(Bloom Raw Data)'!AX26</f>
        <v>170.7689</v>
      </c>
      <c r="AN26" s="11"/>
      <c r="AO26" s="166" t="str">
        <f>'(Bloom Raw Data)'!BC26</f>
        <v>#N/A N/A</v>
      </c>
      <c r="AP26" s="166" t="str">
        <f>'(Bloom Raw Data)'!BD26</f>
        <v>#N/A N/A</v>
      </c>
      <c r="AQ26" s="166" t="str">
        <f>'(Bloom Raw Data)'!BE26</f>
        <v>#N/A N/A</v>
      </c>
      <c r="AR26" s="166" t="str">
        <f>'(Bloom Raw Data)'!BF26</f>
        <v>#N/A N/A</v>
      </c>
      <c r="AS26" s="166" t="str">
        <f>'(Bloom Raw Data)'!BG26</f>
        <v>#N/A N/A</v>
      </c>
      <c r="AT26" s="166" t="str">
        <f>'(Bloom Raw Data)'!BH26</f>
        <v>#N/A N/A</v>
      </c>
      <c r="AU26" s="166" t="str">
        <f>'(Bloom Raw Data)'!BI26</f>
        <v>#N/A N/A</v>
      </c>
      <c r="AV26" s="166" t="str">
        <f>'(Bloom Raw Data)'!BJ26</f>
        <v>#N/A N/A</v>
      </c>
      <c r="AW26" s="166" t="str">
        <f>'(Bloom Raw Data)'!BK26</f>
        <v>#N/A N/A</v>
      </c>
      <c r="AX26" s="166" t="str">
        <f>'(Bloom Raw Data)'!BL26</f>
        <v>#N/A N/A</v>
      </c>
      <c r="AY26" s="166" t="str">
        <f>'(Bloom Raw Data)'!BM26</f>
        <v>#N/A N/A</v>
      </c>
      <c r="AZ26" s="166" t="str">
        <f>'(Bloom Raw Data)'!BN26</f>
        <v>#N/A N/A</v>
      </c>
      <c r="BA26" s="166" t="str">
        <f>'(Bloom Raw Data)'!BO26</f>
        <v>#N/A N/A</v>
      </c>
      <c r="BB26" s="166">
        <f>'(Bloom Raw Data)'!BP26</f>
        <v>6.7881999999999998</v>
      </c>
      <c r="BC26" s="166" t="str">
        <f>'(Bloom Raw Data)'!BQ26</f>
        <v>#N/A N/A</v>
      </c>
      <c r="BD26" s="11"/>
      <c r="BE26" s="166">
        <f>'(Bloom Raw Data)'!BT26</f>
        <v>1.6985999999999999</v>
      </c>
      <c r="BF26" s="166">
        <f>'(Bloom Raw Data)'!BU26</f>
        <v>1.5369000000000002</v>
      </c>
      <c r="BG26" s="166">
        <f>'(Bloom Raw Data)'!BV26</f>
        <v>1.4713000000000001</v>
      </c>
      <c r="BH26" s="166">
        <f>'(Bloom Raw Data)'!BW26</f>
        <v>1.4243999999999999</v>
      </c>
      <c r="BI26" s="166">
        <f>'(Bloom Raw Data)'!BX26</f>
        <v>1.4902</v>
      </c>
      <c r="BJ26" s="166">
        <f>'(Bloom Raw Data)'!BY26</f>
        <v>1.506</v>
      </c>
      <c r="BK26" s="166">
        <f>'(Bloom Raw Data)'!BZ26</f>
        <v>1.4288000000000001</v>
      </c>
      <c r="BL26" s="166">
        <f>'(Bloom Raw Data)'!CA26</f>
        <v>1.2021999999999999</v>
      </c>
      <c r="BM26" s="166">
        <f>'(Bloom Raw Data)'!CB26</f>
        <v>1.1177999999999999</v>
      </c>
      <c r="BN26" s="166">
        <f>'(Bloom Raw Data)'!CC26</f>
        <v>1.3524</v>
      </c>
      <c r="BO26" s="166">
        <f>'(Bloom Raw Data)'!CD26</f>
        <v>1.3584000000000001</v>
      </c>
      <c r="BP26" s="166">
        <f>'(Bloom Raw Data)'!CE26</f>
        <v>1.2434000000000001</v>
      </c>
      <c r="BQ26" s="166">
        <f>'(Bloom Raw Data)'!CF26</f>
        <v>1.3980000000000001</v>
      </c>
      <c r="BR26" s="166">
        <f>'(Bloom Raw Data)'!CG26</f>
        <v>1.4369000000000001</v>
      </c>
      <c r="BS26" s="166">
        <f>'(Bloom Raw Data)'!CH26</f>
        <v>1.4777</v>
      </c>
      <c r="BT26" s="11"/>
      <c r="BU26" s="165">
        <f>'(Bloom Raw Data)'!CK26</f>
        <v>992.77350000000001</v>
      </c>
      <c r="BV26" s="165">
        <f>'(Bloom Raw Data)'!CL26</f>
        <v>859.46270000000004</v>
      </c>
      <c r="BW26" s="165">
        <f>'(Bloom Raw Data)'!CM26</f>
        <v>776.48710000000005</v>
      </c>
      <c r="BX26" s="165">
        <f>'(Bloom Raw Data)'!CN26</f>
        <v>786.9058</v>
      </c>
      <c r="BY26" s="165">
        <f>'(Bloom Raw Data)'!CO26</f>
        <v>771.35829999999999</v>
      </c>
      <c r="BZ26" s="165">
        <f>'(Bloom Raw Data)'!CP26</f>
        <v>843.84789999999998</v>
      </c>
      <c r="CA26" s="165">
        <f>'(Bloom Raw Data)'!CQ26</f>
        <v>837.41330000000005</v>
      </c>
      <c r="CB26" s="165">
        <f>'(Bloom Raw Data)'!CR26</f>
        <v>671.62660000000005</v>
      </c>
      <c r="CC26" s="165">
        <f>'(Bloom Raw Data)'!CS26</f>
        <v>704.38350000000003</v>
      </c>
      <c r="CD26" s="165">
        <f>'(Bloom Raw Data)'!CT26</f>
        <v>772.29</v>
      </c>
      <c r="CE26" s="165">
        <f>'(Bloom Raw Data)'!CU26</f>
        <v>814.87329999999997</v>
      </c>
      <c r="CF26" s="165">
        <f>'(Bloom Raw Data)'!CV26</f>
        <v>822.57100000000003</v>
      </c>
      <c r="CG26" s="165">
        <f>'(Bloom Raw Data)'!CW26</f>
        <v>880.1499</v>
      </c>
      <c r="CH26" s="165">
        <f>'(Bloom Raw Data)'!CX26</f>
        <v>963.75829999999996</v>
      </c>
      <c r="CI26" s="165">
        <f>'(Bloom Raw Data)'!CY26</f>
        <v>929.54409999999996</v>
      </c>
      <c r="CJ26" s="11"/>
      <c r="CK26" s="165">
        <f t="shared" si="2"/>
        <v>0.50819999999998799</v>
      </c>
      <c r="CL26" s="165">
        <f t="shared" si="3"/>
        <v>0.40000000000003411</v>
      </c>
      <c r="CM26" s="165">
        <f t="shared" si="4"/>
        <v>0.50000000000005684</v>
      </c>
      <c r="CN26" s="165">
        <f t="shared" si="5"/>
        <v>25.343649999999968</v>
      </c>
      <c r="CO26" s="165">
        <f t="shared" si="6"/>
        <v>0.59369999999995571</v>
      </c>
      <c r="CP26" s="165">
        <f t="shared" si="7"/>
        <v>0.5</v>
      </c>
      <c r="CQ26" s="165">
        <f t="shared" si="8"/>
        <v>0.46220000000005257</v>
      </c>
      <c r="CR26" s="165">
        <f t="shared" si="9"/>
        <v>0.50000000000005684</v>
      </c>
      <c r="CS26" s="165">
        <f t="shared" si="10"/>
        <v>0.51560000000000628</v>
      </c>
      <c r="CT26" s="165">
        <f t="shared" si="11"/>
        <v>0.39999999999997726</v>
      </c>
      <c r="CU26" s="165">
        <f t="shared" si="12"/>
        <v>0.39999999999997726</v>
      </c>
      <c r="CV26" s="165">
        <f t="shared" si="13"/>
        <v>0.40000000000003411</v>
      </c>
      <c r="CW26" s="165">
        <f t="shared" si="14"/>
        <v>0.38749999999998863</v>
      </c>
      <c r="CX26" s="165">
        <f t="shared" si="15"/>
        <v>0.36819999999994479</v>
      </c>
      <c r="CY26" s="165">
        <f t="shared" si="16"/>
        <v>0.39999999999997726</v>
      </c>
      <c r="CZ26" s="11"/>
      <c r="DA26" s="166">
        <f>'(Bloom Raw Data)'!DB26</f>
        <v>5.6487999999999996</v>
      </c>
      <c r="DB26" s="166">
        <f>'(Bloom Raw Data)'!DC26</f>
        <v>4.8243999999999998</v>
      </c>
      <c r="DC26" s="166">
        <f>'(Bloom Raw Data)'!DD26</f>
        <v>4.2282999999999999</v>
      </c>
      <c r="DD26" s="166">
        <f>'(Bloom Raw Data)'!DE26</f>
        <v>4.1868999999999996</v>
      </c>
      <c r="DE26" s="166">
        <f>'(Bloom Raw Data)'!DF26</f>
        <v>3.9797000000000002</v>
      </c>
      <c r="DF26" s="166">
        <f>'(Bloom Raw Data)'!DG26</f>
        <v>4.1874000000000002</v>
      </c>
      <c r="DG26" s="166">
        <f>'(Bloom Raw Data)'!DH26</f>
        <v>4.0549999999999997</v>
      </c>
      <c r="DH26" s="166">
        <f>'(Bloom Raw Data)'!DI26</f>
        <v>3.1294</v>
      </c>
      <c r="DI26" s="166">
        <f>'(Bloom Raw Data)'!DJ26</f>
        <v>2.9176000000000002</v>
      </c>
      <c r="DJ26" s="166">
        <f>'(Bloom Raw Data)'!DK26</f>
        <v>3.1364999999999998</v>
      </c>
      <c r="DK26" s="166">
        <f>'(Bloom Raw Data)'!DL26</f>
        <v>3.2101999999999999</v>
      </c>
      <c r="DL26" s="166">
        <f>'(Bloom Raw Data)'!DM26</f>
        <v>3.1295999999999999</v>
      </c>
      <c r="DM26" s="166">
        <f>'(Bloom Raw Data)'!DN26</f>
        <v>3.5794000000000001</v>
      </c>
      <c r="DN26" s="166">
        <f>'(Bloom Raw Data)'!DO26</f>
        <v>3.8984000000000001</v>
      </c>
      <c r="DO26" s="166">
        <f>'(Bloom Raw Data)'!DP26</f>
        <v>3.7479</v>
      </c>
      <c r="DP26" s="11"/>
      <c r="DQ26" s="11"/>
      <c r="DR26" s="166">
        <f>'(Bloom Raw Data)'!DS26</f>
        <v>1.0457000000000001</v>
      </c>
      <c r="DS26" s="166">
        <f>'(Bloom Raw Data)'!DT26</f>
        <v>0.92290000000000005</v>
      </c>
      <c r="DT26" s="166">
        <f>'(Bloom Raw Data)'!DU26</f>
        <v>0.84570000000000001</v>
      </c>
      <c r="DU26" s="166">
        <f>'(Bloom Raw Data)'!DV26</f>
        <v>0.85809999999999997</v>
      </c>
      <c r="DV26" s="166">
        <f>'(Bloom Raw Data)'!DW26</f>
        <v>0.8377</v>
      </c>
      <c r="DW26" s="166">
        <f>'(Bloom Raw Data)'!DX26</f>
        <v>0.92349999999999999</v>
      </c>
      <c r="DX26" s="166">
        <f>'(Bloom Raw Data)'!DY26</f>
        <v>0.93479999999999996</v>
      </c>
      <c r="DY26" s="166">
        <f>'(Bloom Raw Data)'!DZ26</f>
        <v>0.75729999999999997</v>
      </c>
      <c r="DZ26" s="166">
        <f>'(Bloom Raw Data)'!EA26</f>
        <v>0.81559999999999999</v>
      </c>
      <c r="EA26" s="166">
        <f>'(Bloom Raw Data)'!EB26</f>
        <v>0.90820000000000001</v>
      </c>
      <c r="EB26" s="166">
        <f>'(Bloom Raw Data)'!EC26</f>
        <v>0.96409999999999996</v>
      </c>
      <c r="EC26" s="166">
        <f>'(Bloom Raw Data)'!ED26</f>
        <v>0.99050000000000005</v>
      </c>
      <c r="ED26" s="166">
        <f>'(Bloom Raw Data)'!EE26</f>
        <v>1.0661</v>
      </c>
      <c r="EE26" s="166">
        <f>'(Bloom Raw Data)'!EF26</f>
        <v>1.1793</v>
      </c>
      <c r="EF26" s="166">
        <f>'(Bloom Raw Data)'!EG26</f>
        <v>1.1364000000000001</v>
      </c>
      <c r="EG26" s="11"/>
      <c r="EH26" s="165">
        <f>'(Bloom Raw Data)'!EJ26</f>
        <v>111.2647</v>
      </c>
      <c r="EI26" s="165">
        <f>'(Bloom Raw Data)'!EK26</f>
        <v>40.758000000000003</v>
      </c>
      <c r="EJ26" s="165">
        <f>'(Bloom Raw Data)'!EL26</f>
        <v>20.508500000000002</v>
      </c>
      <c r="EK26" s="165">
        <f>'(Bloom Raw Data)'!EM26</f>
        <v>15.4983</v>
      </c>
      <c r="EL26" s="165">
        <f>'(Bloom Raw Data)'!EN26</f>
        <v>12.122299999999999</v>
      </c>
      <c r="EM26" s="165">
        <f>'(Bloom Raw Data)'!EO26</f>
        <v>11.6631</v>
      </c>
      <c r="EN26" s="165">
        <f>'(Bloom Raw Data)'!EP26</f>
        <v>10.396599999999999</v>
      </c>
      <c r="EO26" s="165">
        <f>'(Bloom Raw Data)'!EQ26</f>
        <v>6.0274999999999999</v>
      </c>
      <c r="EP26" s="165" t="str">
        <f>'(Bloom Raw Data)'!ER26</f>
        <v>#N/A N/A</v>
      </c>
      <c r="EQ26" s="165" t="str">
        <f>'(Bloom Raw Data)'!ES26</f>
        <v>#N/A N/A</v>
      </c>
      <c r="ER26" s="165" t="str">
        <f>'(Bloom Raw Data)'!ET26</f>
        <v>#N/A N/A</v>
      </c>
      <c r="ES26" s="165" t="str">
        <f>'(Bloom Raw Data)'!EU26</f>
        <v>#N/A N/A</v>
      </c>
      <c r="ET26" s="165">
        <f>'(Bloom Raw Data)'!EV26</f>
        <v>7.2107000000000001</v>
      </c>
      <c r="EU26" s="165" t="str">
        <f>'(Bloom Raw Data)'!EW26</f>
        <v>#N/A N/A</v>
      </c>
      <c r="EV26" s="165" t="str">
        <f>'(Bloom Raw Data)'!EX26</f>
        <v>#N/A N/A</v>
      </c>
      <c r="EW26" s="11"/>
      <c r="EX26" s="11"/>
      <c r="EY26" s="165">
        <f>'(Bloom Raw Data)'!FR26</f>
        <v>83.629400000000004</v>
      </c>
      <c r="EZ26" s="165">
        <f>'(Bloom Raw Data)'!FS26</f>
        <v>76.3</v>
      </c>
      <c r="FA26" s="165">
        <f>'(Bloom Raw Data)'!FT26</f>
        <v>76.099999999999994</v>
      </c>
      <c r="FB26" s="165">
        <f>'(Bloom Raw Data)'!FU26</f>
        <v>93.4</v>
      </c>
      <c r="FC26" s="165">
        <f>'(Bloom Raw Data)'!FV26</f>
        <v>68.5779</v>
      </c>
      <c r="FD26" s="165">
        <f>'(Bloom Raw Data)'!FW26</f>
        <v>100.8</v>
      </c>
      <c r="FE26" s="165">
        <f>'(Bloom Raw Data)'!FX26</f>
        <v>126.142</v>
      </c>
      <c r="FF26" s="165">
        <f>'(Bloom Raw Data)'!FY26</f>
        <v>183</v>
      </c>
      <c r="FG26" s="165">
        <f>'(Bloom Raw Data)'!FZ26</f>
        <v>189.3501</v>
      </c>
      <c r="FH26" s="165">
        <f>'(Bloom Raw Data)'!GA26</f>
        <v>99.9</v>
      </c>
      <c r="FI26" s="165">
        <f>'(Bloom Raw Data)'!GB26</f>
        <v>109</v>
      </c>
      <c r="FJ26" s="165">
        <f>'(Bloom Raw Data)'!GC26</f>
        <v>69</v>
      </c>
      <c r="FK26" s="165">
        <f>'(Bloom Raw Data)'!GD26</f>
        <v>62.418999999999997</v>
      </c>
      <c r="FL26" s="165">
        <f>'(Bloom Raw Data)'!GE26</f>
        <v>32.2956</v>
      </c>
      <c r="FM26" s="165">
        <f>'(Bloom Raw Data)'!GF26</f>
        <v>18.7</v>
      </c>
      <c r="FN26" s="11"/>
      <c r="FO26" s="166">
        <f>'(Bloom Raw Data)'!FA26</f>
        <v>0.7419</v>
      </c>
      <c r="FP26" s="166">
        <f>'(Bloom Raw Data)'!FB26</f>
        <v>0.62190000000000001</v>
      </c>
      <c r="FQ26" s="166">
        <f>'(Bloom Raw Data)'!FC26</f>
        <v>0.53069999999999995</v>
      </c>
      <c r="FR26" s="166">
        <f>'(Bloom Raw Data)'!FD26</f>
        <v>0.53810000000000002</v>
      </c>
      <c r="FS26" s="166">
        <f>'(Bloom Raw Data)'!FE26</f>
        <v>0.4945</v>
      </c>
      <c r="FT26" s="166">
        <f>'(Bloom Raw Data)'!FF26</f>
        <v>0.53959999999999997</v>
      </c>
      <c r="FU26" s="166">
        <f>'(Bloom Raw Data)'!FG26</f>
        <v>0.54790000000000005</v>
      </c>
      <c r="FV26" s="166">
        <f>'(Bloom Raw Data)'!FH26</f>
        <v>0.40710000000000002</v>
      </c>
      <c r="FW26" s="166" t="str">
        <f>'(Bloom Raw Data)'!FI26</f>
        <v>#N/A N/A</v>
      </c>
      <c r="FX26" s="166" t="str">
        <f>'(Bloom Raw Data)'!FJ26</f>
        <v>#N/A N/A</v>
      </c>
      <c r="FY26" s="166" t="str">
        <f>'(Bloom Raw Data)'!FK26</f>
        <v>#N/A N/A</v>
      </c>
      <c r="FZ26" s="166" t="str">
        <f>'(Bloom Raw Data)'!FL26</f>
        <v>#N/A N/A</v>
      </c>
      <c r="GA26" s="166">
        <f>'(Bloom Raw Data)'!FM26</f>
        <v>0.495</v>
      </c>
      <c r="GB26" s="166" t="str">
        <f>'(Bloom Raw Data)'!FN26</f>
        <v>#N/A N/A</v>
      </c>
      <c r="GC26" s="166" t="str">
        <f>'(Bloom Raw Data)'!FO26</f>
        <v>#N/A N/A</v>
      </c>
      <c r="GD26" s="11"/>
      <c r="GE26" s="11"/>
      <c r="GF26" s="165">
        <f>'(Bloom Raw Data)'!GI26</f>
        <v>935.64059999999995</v>
      </c>
      <c r="GG26" s="165">
        <f>'(Bloom Raw Data)'!GJ26</f>
        <v>941.5</v>
      </c>
      <c r="GH26" s="165">
        <f>'(Bloom Raw Data)'!GK26</f>
        <v>953.5</v>
      </c>
      <c r="GI26" s="165">
        <f>'(Bloom Raw Data)'!GL26</f>
        <v>964.3</v>
      </c>
      <c r="GJ26" s="165">
        <f>'(Bloom Raw Data)'!GM26</f>
        <v>975.25199999999995</v>
      </c>
      <c r="GK26" s="165">
        <f>'(Bloom Raw Data)'!GN26</f>
        <v>1001</v>
      </c>
      <c r="GL26" s="165">
        <f>'(Bloom Raw Data)'!GO26</f>
        <v>989.37559999999996</v>
      </c>
      <c r="GM26" s="165">
        <f>'(Bloom Raw Data)'!GP26</f>
        <v>1015.2</v>
      </c>
      <c r="GN26" s="165">
        <f>'(Bloom Raw Data)'!GQ26</f>
        <v>1034.4010000000001</v>
      </c>
      <c r="GO26" s="165">
        <f>'(Bloom Raw Data)'!GR26</f>
        <v>1052.8</v>
      </c>
      <c r="GP26" s="165">
        <f>'(Bloom Raw Data)'!GS26</f>
        <v>1046.9000000000001</v>
      </c>
      <c r="GQ26" s="165">
        <f>'(Bloom Raw Data)'!GT26</f>
        <v>1070</v>
      </c>
      <c r="GR26" s="165">
        <f>'(Bloom Raw Data)'!GU26</f>
        <v>1083.2429999999999</v>
      </c>
      <c r="GS26" s="165">
        <f>'(Bloom Raw Data)'!GV26</f>
        <v>1101.1855</v>
      </c>
      <c r="GT26" s="165">
        <f>'(Bloom Raw Data)'!GW26</f>
        <v>1079.0999999999999</v>
      </c>
      <c r="GU26" s="11"/>
      <c r="GV26" s="165">
        <f t="shared" si="17"/>
        <v>175.74945121087666</v>
      </c>
      <c r="GW26" s="165">
        <f t="shared" si="18"/>
        <v>178.14913771660727</v>
      </c>
      <c r="GX26" s="165">
        <f t="shared" si="19"/>
        <v>183.64049381548142</v>
      </c>
      <c r="GY26" s="165">
        <f t="shared" si="20"/>
        <v>187.94473237956484</v>
      </c>
      <c r="GZ26" s="165">
        <f t="shared" si="21"/>
        <v>193.82322788149858</v>
      </c>
      <c r="HA26" s="165">
        <f t="shared" si="22"/>
        <v>201.52072885322633</v>
      </c>
      <c r="HB26" s="165">
        <f t="shared" si="23"/>
        <v>206.51376078914922</v>
      </c>
      <c r="HC26" s="165">
        <f t="shared" si="24"/>
        <v>214.61832939221577</v>
      </c>
      <c r="HD26" s="165">
        <f t="shared" si="25"/>
        <v>241.42565807513023</v>
      </c>
      <c r="HE26" s="165">
        <f t="shared" si="26"/>
        <v>246.22668579626972</v>
      </c>
      <c r="HF26" s="165">
        <f t="shared" si="27"/>
        <v>253.83879509064855</v>
      </c>
      <c r="HG26" s="165">
        <f t="shared" si="28"/>
        <v>262.83582566462167</v>
      </c>
      <c r="HH26" s="165">
        <f t="shared" si="29"/>
        <v>245.89313851483487</v>
      </c>
      <c r="HI26" s="165">
        <f t="shared" si="30"/>
        <v>247.21893597373281</v>
      </c>
      <c r="HJ26" s="165">
        <f t="shared" si="31"/>
        <v>248.01731636383039</v>
      </c>
      <c r="HK26" s="11"/>
      <c r="HL26" s="2658"/>
      <c r="HM26" s="166">
        <f>'(Bloom Raw Data)'!HQ26</f>
        <v>8.6603999999999992</v>
      </c>
      <c r="HN26" s="166">
        <f>'(Bloom Raw Data)'!HR26</f>
        <v>8.9451000000000001</v>
      </c>
      <c r="HO26" s="166">
        <f>'(Bloom Raw Data)'!HS26</f>
        <v>10.679</v>
      </c>
      <c r="HP26" s="166">
        <f>'(Bloom Raw Data)'!HT26</f>
        <v>10.1425</v>
      </c>
      <c r="HQ26" s="166">
        <f>'(Bloom Raw Data)'!HU26</f>
        <v>9.3558000000000003</v>
      </c>
      <c r="HR26" s="166">
        <f>'(Bloom Raw Data)'!HV26</f>
        <v>10.410600000000001</v>
      </c>
      <c r="HS26" s="166">
        <f>'(Bloom Raw Data)'!HW26</f>
        <v>12.5008</v>
      </c>
      <c r="HT26" s="166">
        <f>'(Bloom Raw Data)'!HX26</f>
        <v>13.6037</v>
      </c>
      <c r="HU26" s="166">
        <f>'(Bloom Raw Data)'!HY26</f>
        <v>15.7218</v>
      </c>
      <c r="HV26" s="166">
        <f>'(Bloom Raw Data)'!HZ26</f>
        <v>12.0525</v>
      </c>
      <c r="HW26" s="166">
        <f>'(Bloom Raw Data)'!IA26</f>
        <v>12.172800000000001</v>
      </c>
      <c r="HX26" s="166">
        <f>'(Bloom Raw Data)'!IB26</f>
        <v>10.081899999999999</v>
      </c>
      <c r="HY26" s="166">
        <f>'(Bloom Raw Data)'!IC26</f>
        <v>12.0137</v>
      </c>
      <c r="HZ26" s="166">
        <f>'(Bloom Raw Data)'!ID26</f>
        <v>10.7751</v>
      </c>
      <c r="IA26" s="166">
        <f>'(Bloom Raw Data)'!IE26</f>
        <v>11.8957</v>
      </c>
      <c r="IB26" s="72"/>
    </row>
    <row r="27" spans="1:237" s="2296" customFormat="1">
      <c r="A27" s="1032" t="s">
        <v>712</v>
      </c>
      <c r="B27" s="1032" t="s">
        <v>341</v>
      </c>
      <c r="C27" s="1032"/>
      <c r="D27" s="1515">
        <f>'(Bloom Raw Data)'!D27</f>
        <v>878.23950000000002</v>
      </c>
      <c r="E27" s="1515">
        <f>'(Bloom Raw Data)'!E27</f>
        <v>806.67930000000001</v>
      </c>
      <c r="F27" s="1515">
        <f>'(Bloom Raw Data)'!F27</f>
        <v>637.53679999999997</v>
      </c>
      <c r="G27" s="1515">
        <f>AVERAGE(F27,H27)</f>
        <v>598.50395000000003</v>
      </c>
      <c r="H27" s="1515">
        <f>'(Bloom Raw Data)'!H27</f>
        <v>559.47109999999998</v>
      </c>
      <c r="I27" s="1515">
        <f>'(Bloom Raw Data)'!I27</f>
        <v>526.94370000000004</v>
      </c>
      <c r="J27" s="1515">
        <f>'(Bloom Raw Data)'!J27</f>
        <v>455.38350000000003</v>
      </c>
      <c r="K27" s="1515">
        <f>'(Bloom Raw Data)'!K27</f>
        <v>400.08690000000001</v>
      </c>
      <c r="L27" s="1515">
        <f>'(Bloom Raw Data)'!L27</f>
        <v>409.71499999999997</v>
      </c>
      <c r="M27" s="1515">
        <f>'(Bloom Raw Data)'!M27</f>
        <v>449.52850000000001</v>
      </c>
      <c r="N27" s="1515">
        <f>'(Bloom Raw Data)'!N27</f>
        <v>396.83420000000001</v>
      </c>
      <c r="O27" s="1515">
        <f>'(Bloom Raw Data)'!O27</f>
        <v>497.73410000000001</v>
      </c>
      <c r="P27" s="1515">
        <f>'(Bloom Raw Data)'!P27</f>
        <v>621.59839999999997</v>
      </c>
      <c r="Q27" s="1515">
        <f>'(Bloom Raw Data)'!Q27</f>
        <v>539.9547</v>
      </c>
      <c r="R27" s="1515">
        <f>104/95.55*P27</f>
        <v>676.56968707482997</v>
      </c>
      <c r="S27" s="1032"/>
      <c r="T27" s="1515">
        <f>'(Bloom Raw Data)'!U27</f>
        <v>617.56399999999996</v>
      </c>
      <c r="U27" s="1515">
        <f>'(Bloom Raw Data)'!V27</f>
        <v>621.42999999999995</v>
      </c>
      <c r="V27" s="1515">
        <f>'(Bloom Raw Data)'!W27</f>
        <v>561.19200000000001</v>
      </c>
      <c r="W27" s="1515">
        <f>'(Bloom Raw Data)'!X27</f>
        <v>233.90899999999999</v>
      </c>
      <c r="X27" s="1515">
        <f>'(Bloom Raw Data)'!Y27</f>
        <v>523.62800000000004</v>
      </c>
      <c r="Y27" s="1515">
        <f>'(Bloom Raw Data)'!Z27</f>
        <v>478.834</v>
      </c>
      <c r="Z27" s="1515">
        <f>'(Bloom Raw Data)'!AA27</f>
        <v>443.05200000000002</v>
      </c>
      <c r="AA27" s="1515">
        <f>'(Bloom Raw Data)'!AB27</f>
        <v>392.66300000000001</v>
      </c>
      <c r="AB27" s="1515">
        <f>'(Bloom Raw Data)'!AC27</f>
        <v>399.57600000000002</v>
      </c>
      <c r="AC27" s="1515">
        <f>'(Bloom Raw Data)'!AD27</f>
        <v>357.245</v>
      </c>
      <c r="AD27" s="1515">
        <f>'(Bloom Raw Data)'!AE27</f>
        <v>317.46899999999999</v>
      </c>
      <c r="AE27" s="1515">
        <f>'(Bloom Raw Data)'!AF27</f>
        <v>336.30099999999999</v>
      </c>
      <c r="AF27" s="1515">
        <f>'(Bloom Raw Data)'!AG27</f>
        <v>337.21499999999997</v>
      </c>
      <c r="AG27" s="1515">
        <f>'(Bloom Raw Data)'!AH27</f>
        <v>374.04899999999998</v>
      </c>
      <c r="AH27" s="1515">
        <v>341.60300000000001</v>
      </c>
      <c r="AI27" s="1032"/>
      <c r="AJ27" s="1515">
        <f>'(Bloom Raw Data)'!AL27</f>
        <v>59.494</v>
      </c>
      <c r="AK27" s="1515">
        <f>'(Bloom Raw Data)'!AP27</f>
        <v>66.087000000000003</v>
      </c>
      <c r="AL27" s="1515">
        <f>AVERAGE(AK27,AM27)</f>
        <v>106.1995</v>
      </c>
      <c r="AM27" s="1515">
        <f>'(Bloom Raw Data)'!AX27</f>
        <v>146.31200000000001</v>
      </c>
      <c r="AN27" s="1032"/>
      <c r="AO27" s="1516">
        <f>'(Bloom Raw Data)'!BC27</f>
        <v>1.6735</v>
      </c>
      <c r="AP27" s="1516">
        <f>'(Bloom Raw Data)'!BD27</f>
        <v>1.0636000000000001</v>
      </c>
      <c r="AQ27" s="1516">
        <f>'(Bloom Raw Data)'!BE27</f>
        <v>2.4883999999999999</v>
      </c>
      <c r="AR27" s="1516">
        <f>'(Bloom Raw Data)'!BF27</f>
        <v>1.6677999999999999</v>
      </c>
      <c r="AS27" s="1516">
        <f>'(Bloom Raw Data)'!BG27</f>
        <v>29.245999999999999</v>
      </c>
      <c r="AT27" s="1516">
        <f>'(Bloom Raw Data)'!BH27</f>
        <v>4.0086000000000004</v>
      </c>
      <c r="AU27" s="1516">
        <f>'(Bloom Raw Data)'!BI27</f>
        <v>2.8546</v>
      </c>
      <c r="AV27" s="1516">
        <f>'(Bloom Raw Data)'!BJ27</f>
        <v>2.9214000000000002</v>
      </c>
      <c r="AW27" s="1516">
        <f>'(Bloom Raw Data)'!BK27</f>
        <v>-0.38990000000000002</v>
      </c>
      <c r="AX27" s="1516">
        <f>'(Bloom Raw Data)'!BL27</f>
        <v>4.2637999999999998</v>
      </c>
      <c r="AY27" s="1516">
        <f>'(Bloom Raw Data)'!BM27</f>
        <v>3.4512</v>
      </c>
      <c r="AZ27" s="1516">
        <f>'(Bloom Raw Data)'!BN27</f>
        <v>3.8923999999999999</v>
      </c>
      <c r="BA27" s="1516">
        <f>AVERAGE(AZ27,BB27)</f>
        <v>3.64785</v>
      </c>
      <c r="BB27" s="1516">
        <f>'(Bloom Raw Data)'!BP27</f>
        <v>3.4032999999999998</v>
      </c>
      <c r="BC27" s="1516" t="str">
        <f>'(Bloom Raw Data)'!BQ27</f>
        <v>#N/A N/A</v>
      </c>
      <c r="BD27" s="1032"/>
      <c r="BE27" s="1516">
        <f>'(Bloom Raw Data)'!BT27</f>
        <v>2.2271999999999998</v>
      </c>
      <c r="BF27" s="1516">
        <f>'(Bloom Raw Data)'!BU27</f>
        <v>2.2827999999999999</v>
      </c>
      <c r="BG27" s="1516">
        <f>'(Bloom Raw Data)'!BV27</f>
        <v>2.0785999999999998</v>
      </c>
      <c r="BH27" s="1516">
        <f>'(Bloom Raw Data)'!BW27</f>
        <v>0.88419999999999999</v>
      </c>
      <c r="BI27" s="1516">
        <f>'(Bloom Raw Data)'!BX27</f>
        <v>1.8380000000000001</v>
      </c>
      <c r="BJ27" s="1516">
        <f>'(Bloom Raw Data)'!BY27</f>
        <v>1.6411</v>
      </c>
      <c r="BK27" s="1516">
        <f>'(Bloom Raw Data)'!BZ27</f>
        <v>1.5246</v>
      </c>
      <c r="BL27" s="1516">
        <f>'(Bloom Raw Data)'!CA27</f>
        <v>1.3210999999999999</v>
      </c>
      <c r="BM27" s="1516">
        <f>'(Bloom Raw Data)'!CB27</f>
        <v>1.5941000000000001</v>
      </c>
      <c r="BN27" s="1516">
        <f>'(Bloom Raw Data)'!CC27</f>
        <v>1.4478</v>
      </c>
      <c r="BO27" s="1516">
        <f>'(Bloom Raw Data)'!CD27</f>
        <v>1.3004</v>
      </c>
      <c r="BP27" s="1516">
        <f>'(Bloom Raw Data)'!CE27</f>
        <v>1.4116</v>
      </c>
      <c r="BQ27" s="1516">
        <f>'(Bloom Raw Data)'!CF27</f>
        <v>1.4786999999999999</v>
      </c>
      <c r="BR27" s="1516">
        <f>'(Bloom Raw Data)'!CG27</f>
        <v>1.6193</v>
      </c>
      <c r="BS27" s="1516">
        <f>BR27</f>
        <v>1.6193</v>
      </c>
      <c r="BT27" s="1032"/>
      <c r="BU27" s="1515">
        <f>'(Bloom Raw Data)'!CK27</f>
        <v>1495.8035</v>
      </c>
      <c r="BV27" s="1515">
        <f>'(Bloom Raw Data)'!CL27</f>
        <v>1428.1093000000001</v>
      </c>
      <c r="BW27" s="1515">
        <f>'(Bloom Raw Data)'!CM27</f>
        <v>1198.7288000000001</v>
      </c>
      <c r="BX27" s="1515">
        <f>'(Bloom Raw Data)'!CN27</f>
        <v>817.38530000000003</v>
      </c>
      <c r="BY27" s="1515">
        <f>'(Bloom Raw Data)'!CO27</f>
        <v>1083.0990999999999</v>
      </c>
      <c r="BZ27" s="1515">
        <f>'(Bloom Raw Data)'!CP27</f>
        <v>1005.7777</v>
      </c>
      <c r="CA27" s="1515">
        <f>'(Bloom Raw Data)'!CQ27</f>
        <v>898.43550000000005</v>
      </c>
      <c r="CB27" s="1515">
        <f>'(Bloom Raw Data)'!CR27</f>
        <v>792.74990000000003</v>
      </c>
      <c r="CC27" s="1515">
        <f>'(Bloom Raw Data)'!CS27</f>
        <v>809.29100000000005</v>
      </c>
      <c r="CD27" s="1515">
        <f>'(Bloom Raw Data)'!CT27</f>
        <v>806.77350000000001</v>
      </c>
      <c r="CE27" s="1515">
        <f>'(Bloom Raw Data)'!CU27</f>
        <v>714.30319999999995</v>
      </c>
      <c r="CF27" s="1515">
        <f>'(Bloom Raw Data)'!CV27</f>
        <v>834.03510000000006</v>
      </c>
      <c r="CG27" s="1515">
        <f>'(Bloom Raw Data)'!CW27</f>
        <v>958.8134</v>
      </c>
      <c r="CH27" s="1515">
        <f>'(Bloom Raw Data)'!CX27</f>
        <v>914.00369999999998</v>
      </c>
      <c r="CI27" s="1515">
        <f>CH27+(R27-Q27)+(AH27-AG27)</f>
        <v>1018.17268707483</v>
      </c>
      <c r="CJ27" s="1032"/>
      <c r="CK27" s="1515">
        <f t="shared" si="2"/>
        <v>0</v>
      </c>
      <c r="CL27" s="1515">
        <f t="shared" si="3"/>
        <v>0</v>
      </c>
      <c r="CM27" s="1515">
        <f t="shared" si="4"/>
        <v>0</v>
      </c>
      <c r="CN27" s="1515">
        <f t="shared" si="5"/>
        <v>-15.027649999999994</v>
      </c>
      <c r="CO27" s="1515">
        <f t="shared" si="6"/>
        <v>0</v>
      </c>
      <c r="CP27" s="1515">
        <f t="shared" si="7"/>
        <v>0</v>
      </c>
      <c r="CQ27" s="1515">
        <f t="shared" si="8"/>
        <v>0</v>
      </c>
      <c r="CR27" s="1515">
        <f t="shared" si="9"/>
        <v>0</v>
      </c>
      <c r="CS27" s="1515">
        <f t="shared" si="10"/>
        <v>0</v>
      </c>
      <c r="CT27" s="1515">
        <f t="shared" si="11"/>
        <v>0</v>
      </c>
      <c r="CU27" s="1515">
        <f t="shared" si="12"/>
        <v>0</v>
      </c>
      <c r="CV27" s="1515">
        <f t="shared" si="13"/>
        <v>0</v>
      </c>
      <c r="CW27" s="1515">
        <f t="shared" si="14"/>
        <v>0</v>
      </c>
      <c r="CX27" s="1515">
        <f t="shared" si="15"/>
        <v>0</v>
      </c>
      <c r="CY27" s="1515">
        <f t="shared" si="16"/>
        <v>0</v>
      </c>
      <c r="CZ27" s="1032"/>
      <c r="DA27" s="1516">
        <f>'(Bloom Raw Data)'!DB27</f>
        <v>5.3945999999999996</v>
      </c>
      <c r="DB27" s="1516">
        <f>'(Bloom Raw Data)'!DC27</f>
        <v>5.2461000000000002</v>
      </c>
      <c r="DC27" s="1516">
        <f>'(Bloom Raw Data)'!DD27</f>
        <v>4.4398999999999997</v>
      </c>
      <c r="DD27" s="1516">
        <f>'(Bloom Raw Data)'!DE27</f>
        <v>3.0899000000000001</v>
      </c>
      <c r="DE27" s="1516">
        <f>'(Bloom Raw Data)'!DF27</f>
        <v>3.8018000000000001</v>
      </c>
      <c r="DF27" s="1516">
        <f>'(Bloom Raw Data)'!DG27</f>
        <v>3.4470000000000001</v>
      </c>
      <c r="DG27" s="1516">
        <f>'(Bloom Raw Data)'!DH27</f>
        <v>3.0916000000000001</v>
      </c>
      <c r="DH27" s="1516">
        <f>'(Bloom Raw Data)'!DI27</f>
        <v>2.6672000000000002</v>
      </c>
      <c r="DI27" s="1516">
        <f>'(Bloom Raw Data)'!DJ27</f>
        <v>3.2286999999999999</v>
      </c>
      <c r="DJ27" s="1516">
        <f>'(Bloom Raw Data)'!DK27</f>
        <v>3.2694999999999999</v>
      </c>
      <c r="DK27" s="1516">
        <f>'(Bloom Raw Data)'!DL27</f>
        <v>2.9258999999999999</v>
      </c>
      <c r="DL27" s="1516">
        <f>'(Bloom Raw Data)'!DM27</f>
        <v>3.5007000000000001</v>
      </c>
      <c r="DM27" s="1516">
        <f>'(Bloom Raw Data)'!DN27</f>
        <v>4.0498000000000003</v>
      </c>
      <c r="DN27" s="1516">
        <f>'(Bloom Raw Data)'!DO27</f>
        <v>3.9569999999999999</v>
      </c>
      <c r="DO27" s="1516">
        <f>DN27</f>
        <v>3.9569999999999999</v>
      </c>
      <c r="DP27" s="1032"/>
      <c r="DQ27" s="1032"/>
      <c r="DR27" s="1516">
        <f>'(Bloom Raw Data)'!DS27</f>
        <v>1.7648999999999999</v>
      </c>
      <c r="DS27" s="1516">
        <f>'(Bloom Raw Data)'!DT27</f>
        <v>1.6725000000000001</v>
      </c>
      <c r="DT27" s="1516">
        <f>'(Bloom Raw Data)'!DU27</f>
        <v>1.4028</v>
      </c>
      <c r="DU27" s="1516">
        <f>'(Bloom Raw Data)'!DV27</f>
        <v>0.96450000000000002</v>
      </c>
      <c r="DV27" s="1516">
        <f>'(Bloom Raw Data)'!DW27</f>
        <v>1.2904</v>
      </c>
      <c r="DW27" s="1516">
        <f>'(Bloom Raw Data)'!DX27</f>
        <v>1.2109000000000001</v>
      </c>
      <c r="DX27" s="1516">
        <f>'(Bloom Raw Data)'!DY27</f>
        <v>1.0904</v>
      </c>
      <c r="DY27" s="1516">
        <f>'(Bloom Raw Data)'!DZ27</f>
        <v>0.96389999999999998</v>
      </c>
      <c r="DZ27" s="1516">
        <f>'(Bloom Raw Data)'!EA27</f>
        <v>0.9929</v>
      </c>
      <c r="EA27" s="1516">
        <f>'(Bloom Raw Data)'!EB27</f>
        <v>0.99219999999999997</v>
      </c>
      <c r="EB27" s="1516">
        <f>'(Bloom Raw Data)'!EC27</f>
        <v>0.88700000000000001</v>
      </c>
      <c r="EC27" s="1516">
        <f>'(Bloom Raw Data)'!ED27</f>
        <v>1.054</v>
      </c>
      <c r="ED27" s="1516">
        <f>'(Bloom Raw Data)'!EE27</f>
        <v>1.2212000000000001</v>
      </c>
      <c r="EE27" s="1516">
        <f>'(Bloom Raw Data)'!EF27</f>
        <v>1.1726000000000001</v>
      </c>
      <c r="EF27" s="1516">
        <f>CI27/(382+785-388)</f>
        <v>1.3070252722398332</v>
      </c>
      <c r="EG27" s="1032"/>
      <c r="EH27" s="1515" t="str">
        <f>'(Bloom Raw Data)'!EJ27</f>
        <v>#N/A N/A</v>
      </c>
      <c r="EI27" s="1515">
        <f>'(Bloom Raw Data)'!EK27</f>
        <v>54.479599999999998</v>
      </c>
      <c r="EJ27" s="1515">
        <f>'(Bloom Raw Data)'!EL27</f>
        <v>125.79649999999999</v>
      </c>
      <c r="EK27" s="1515" t="str">
        <f>'(Bloom Raw Data)'!EM27</f>
        <v>#N/A N/A</v>
      </c>
      <c r="EL27" s="1515" t="str">
        <f>'(Bloom Raw Data)'!EN27</f>
        <v>#N/A N/A</v>
      </c>
      <c r="EM27" s="1515" t="str">
        <f>'(Bloom Raw Data)'!EO27</f>
        <v>#N/A N/A</v>
      </c>
      <c r="EN27" s="1515" t="str">
        <f>'(Bloom Raw Data)'!EP27</f>
        <v>#N/A N/A</v>
      </c>
      <c r="EO27" s="1515" t="str">
        <f>'(Bloom Raw Data)'!EQ27</f>
        <v>#N/A N/A</v>
      </c>
      <c r="EP27" s="1515" t="str">
        <f>'(Bloom Raw Data)'!ER27</f>
        <v>#N/A N/A</v>
      </c>
      <c r="EQ27" s="1515" t="str">
        <f>'(Bloom Raw Data)'!ES27</f>
        <v>#N/A N/A</v>
      </c>
      <c r="ER27" s="1515" t="str">
        <f>'(Bloom Raw Data)'!ET27</f>
        <v>#N/A N/A</v>
      </c>
      <c r="ES27" s="1515" t="str">
        <f>'(Bloom Raw Data)'!EU27</f>
        <v>#N/A N/A</v>
      </c>
      <c r="ET27" s="1515" t="str">
        <f>'(Bloom Raw Data)'!EV27</f>
        <v>#N/A N/A</v>
      </c>
      <c r="EU27" s="1515" t="str">
        <f>'(Bloom Raw Data)'!EW27</f>
        <v>#N/A N/A</v>
      </c>
      <c r="EV27" s="1515" t="str">
        <f>'(Bloom Raw Data)'!EX27</f>
        <v>#N/A N/A</v>
      </c>
      <c r="EW27" s="1032"/>
      <c r="EX27" s="1032"/>
      <c r="EY27" s="1515">
        <f>'(Bloom Raw Data)'!FR27</f>
        <v>21.21</v>
      </c>
      <c r="EZ27" s="1515">
        <f>'(Bloom Raw Data)'!FS27</f>
        <v>10.177</v>
      </c>
      <c r="FA27" s="1515">
        <f>'(Bloom Raw Data)'!FT27</f>
        <v>43.780999999999999</v>
      </c>
      <c r="FB27" s="1515">
        <f>'(Bloom Raw Data)'!FU27</f>
        <v>36.402000000000001</v>
      </c>
      <c r="FC27" s="1515">
        <f>'(Bloom Raw Data)'!FV27</f>
        <v>46.725999999999999</v>
      </c>
      <c r="FD27" s="1515">
        <f>'(Bloom Raw Data)'!FW27</f>
        <v>41.994999999999997</v>
      </c>
      <c r="FE27" s="1515">
        <f>'(Bloom Raw Data)'!FX27</f>
        <v>62.015999999999998</v>
      </c>
      <c r="FF27" s="1515">
        <f>'(Bloom Raw Data)'!FY27</f>
        <v>62.534999999999997</v>
      </c>
      <c r="FG27" s="1515">
        <f>'(Bloom Raw Data)'!FZ27</f>
        <v>61.265000000000001</v>
      </c>
      <c r="FH27" s="1515">
        <f>'(Bloom Raw Data)'!GA27</f>
        <v>23.632000000000001</v>
      </c>
      <c r="FI27" s="1515">
        <f>'(Bloom Raw Data)'!GB27</f>
        <v>50.41</v>
      </c>
      <c r="FJ27" s="1515">
        <f>'(Bloom Raw Data)'!GC27</f>
        <v>37.731999999999999</v>
      </c>
      <c r="FK27" s="1515">
        <f>'(Bloom Raw Data)'!GD27</f>
        <v>44.073999999999998</v>
      </c>
      <c r="FL27" s="1515">
        <f>'(Bloom Raw Data)'!GE27</f>
        <v>55.313000000000002</v>
      </c>
      <c r="FM27" s="1515">
        <f>FL27</f>
        <v>55.313000000000002</v>
      </c>
      <c r="FN27" s="1032"/>
      <c r="FO27" s="1516" t="str">
        <f>'(Bloom Raw Data)'!FA27</f>
        <v>#N/A N/A</v>
      </c>
      <c r="FP27" s="1516">
        <f>'(Bloom Raw Data)'!FB27</f>
        <v>0.77990000000000004</v>
      </c>
      <c r="FQ27" s="1516">
        <f>'(Bloom Raw Data)'!FC27</f>
        <v>0.61350000000000005</v>
      </c>
      <c r="FR27" s="1516">
        <f>'(Bloom Raw Data)'!FD27</f>
        <v>0.57099999999999995</v>
      </c>
      <c r="FS27" s="1516" t="str">
        <f>'(Bloom Raw Data)'!FE27</f>
        <v>#N/A N/A</v>
      </c>
      <c r="FT27" s="1516">
        <f>'(Bloom Raw Data)'!FF27</f>
        <v>0.64349999999999996</v>
      </c>
      <c r="FU27" s="1516">
        <f>'(Bloom Raw Data)'!FG27</f>
        <v>0.54879999999999995</v>
      </c>
      <c r="FV27" s="1516">
        <f>'(Bloom Raw Data)'!FH27</f>
        <v>0.48759999999999998</v>
      </c>
      <c r="FW27" s="1516" t="str">
        <f>'(Bloom Raw Data)'!FI27</f>
        <v>#N/A N/A</v>
      </c>
      <c r="FX27" s="1516" t="str">
        <f>'(Bloom Raw Data)'!FJ27</f>
        <v>#N/A N/A</v>
      </c>
      <c r="FY27" s="1516" t="str">
        <f>'(Bloom Raw Data)'!FK27</f>
        <v>#N/A N/A</v>
      </c>
      <c r="FZ27" s="1516" t="str">
        <f>'(Bloom Raw Data)'!FL27</f>
        <v>#N/A N/A</v>
      </c>
      <c r="GA27" s="1516" t="str">
        <f>'(Bloom Raw Data)'!FM27</f>
        <v>#N/A N/A</v>
      </c>
      <c r="GB27" s="1516" t="str">
        <f>'(Bloom Raw Data)'!FN27</f>
        <v>#N/A N/A</v>
      </c>
      <c r="GC27" s="1516" t="str">
        <f>'(Bloom Raw Data)'!FO27</f>
        <v>#N/A N/A</v>
      </c>
      <c r="GD27" s="1032"/>
      <c r="GE27" s="1032"/>
      <c r="GF27" s="1515">
        <f>'(Bloom Raw Data)'!GI27</f>
        <v>1001.566</v>
      </c>
      <c r="GG27" s="1515">
        <f>'(Bloom Raw Data)'!GJ27</f>
        <v>1034.377</v>
      </c>
      <c r="GH27" s="1515">
        <f>'(Bloom Raw Data)'!GK27</f>
        <v>1039.26</v>
      </c>
      <c r="GI27" s="1515">
        <f>'(Bloom Raw Data)'!GL27</f>
        <v>1021.796</v>
      </c>
      <c r="GJ27" s="1515">
        <f>'(Bloom Raw Data)'!GM27</f>
        <v>807.81200000000001</v>
      </c>
      <c r="GK27" s="1515">
        <f>'(Bloom Raw Data)'!GN27</f>
        <v>818.87099999999998</v>
      </c>
      <c r="GL27" s="1515">
        <f>'(Bloom Raw Data)'!GO27</f>
        <v>829.74199999999996</v>
      </c>
      <c r="GM27" s="1515">
        <f>'(Bloom Raw Data)'!GP27</f>
        <v>820.47900000000004</v>
      </c>
      <c r="GN27" s="1515">
        <f>'(Bloom Raw Data)'!GQ27</f>
        <v>815.27499999999998</v>
      </c>
      <c r="GO27" s="1515">
        <f>'(Bloom Raw Data)'!GR27</f>
        <v>831.09400000000005</v>
      </c>
      <c r="GP27" s="1515">
        <f>'(Bloom Raw Data)'!GS27</f>
        <v>799.09199999999998</v>
      </c>
      <c r="GQ27" s="1515">
        <f>'(Bloom Raw Data)'!GT27</f>
        <v>812.60900000000004</v>
      </c>
      <c r="GR27" s="1515">
        <f>'(Bloom Raw Data)'!GU27</f>
        <v>814.71699999999998</v>
      </c>
      <c r="GS27" s="1515">
        <f>'(Bloom Raw Data)'!GV27</f>
        <v>804.07899999999995</v>
      </c>
      <c r="GT27" s="1515">
        <f>GS27</f>
        <v>804.07899999999995</v>
      </c>
      <c r="GU27" s="1032"/>
      <c r="GV27" s="1515">
        <f t="shared" si="17"/>
        <v>277.27792607422236</v>
      </c>
      <c r="GW27" s="1515">
        <f t="shared" si="18"/>
        <v>272.22304187872896</v>
      </c>
      <c r="GX27" s="1515">
        <f t="shared" si="19"/>
        <v>269.99004482082933</v>
      </c>
      <c r="GY27" s="1515">
        <f t="shared" si="20"/>
        <v>264.53454804362599</v>
      </c>
      <c r="GZ27" s="1515">
        <f t="shared" si="21"/>
        <v>284.89113051712343</v>
      </c>
      <c r="HA27" s="1515">
        <f t="shared" si="22"/>
        <v>291.78349289237019</v>
      </c>
      <c r="HB27" s="1515">
        <f t="shared" si="23"/>
        <v>290.60534998059256</v>
      </c>
      <c r="HC27" s="1515">
        <f t="shared" si="24"/>
        <v>297.22176814637072</v>
      </c>
      <c r="HD27" s="1515">
        <f t="shared" si="25"/>
        <v>250.65537213119833</v>
      </c>
      <c r="HE27" s="1515">
        <f t="shared" si="26"/>
        <v>246.75745526838969</v>
      </c>
      <c r="HF27" s="1515">
        <f t="shared" si="27"/>
        <v>244.13110495915785</v>
      </c>
      <c r="HG27" s="1515">
        <f t="shared" si="28"/>
        <v>238.24809323849516</v>
      </c>
      <c r="HH27" s="1515">
        <f t="shared" si="29"/>
        <v>236.7557410242481</v>
      </c>
      <c r="HI27" s="1515">
        <f t="shared" si="30"/>
        <v>230.98400303260047</v>
      </c>
      <c r="HJ27" s="1515">
        <f t="shared" si="31"/>
        <v>257.30924616498106</v>
      </c>
      <c r="HK27" s="1032"/>
      <c r="HL27" s="2658"/>
      <c r="HM27" s="1516">
        <f>'(Bloom Raw Data)'!HQ27</f>
        <v>6.0853000000000002</v>
      </c>
      <c r="HN27" s="1516">
        <f>'(Bloom Raw Data)'!HR27</f>
        <v>5.8943000000000003</v>
      </c>
      <c r="HO27" s="1516">
        <f>'(Bloom Raw Data)'!HS27</f>
        <v>6.2850999999999999</v>
      </c>
      <c r="HP27" s="1516">
        <f>'(Bloom Raw Data)'!HT27</f>
        <v>9.8435000000000006</v>
      </c>
      <c r="HQ27" s="1516">
        <f>'(Bloom Raw Data)'!HU27</f>
        <v>6.6367000000000003</v>
      </c>
      <c r="HR27" s="1516">
        <f>'(Bloom Raw Data)'!HV27</f>
        <v>6.2824999999999998</v>
      </c>
      <c r="HS27" s="1516">
        <f>'(Bloom Raw Data)'!HW27</f>
        <v>6.0678000000000001</v>
      </c>
      <c r="HT27" s="1516">
        <f>'(Bloom Raw Data)'!HX27</f>
        <v>5.6652000000000005</v>
      </c>
      <c r="HU27" s="1516">
        <f>'(Bloom Raw Data)'!HY27</f>
        <v>7.8646000000000003</v>
      </c>
      <c r="HV27" s="1516">
        <f>'(Bloom Raw Data)'!HZ27</f>
        <v>10.9094</v>
      </c>
      <c r="HW27" s="1516">
        <f>'(Bloom Raw Data)'!IA27</f>
        <v>8.6117000000000008</v>
      </c>
      <c r="HX27" s="1516">
        <f>'(Bloom Raw Data)'!IB27</f>
        <v>6.3845999999999998</v>
      </c>
      <c r="HY27" s="1516">
        <f>'(Bloom Raw Data)'!IC27</f>
        <v>10.125500000000001</v>
      </c>
      <c r="HZ27" s="1516">
        <f>'(Bloom Raw Data)'!ID27</f>
        <v>9.4055999999999997</v>
      </c>
      <c r="IA27" s="1516">
        <f>HZ27</f>
        <v>9.4055999999999997</v>
      </c>
      <c r="IB27" s="72"/>
      <c r="IC27" s="2295"/>
    </row>
    <row r="28" spans="1:237">
      <c r="A28" s="11"/>
      <c r="B28" s="11"/>
      <c r="C28" s="11"/>
      <c r="D28" s="165"/>
      <c r="E28" s="165"/>
      <c r="F28" s="165"/>
      <c r="G28" s="125"/>
      <c r="H28" s="165"/>
      <c r="I28" s="165"/>
      <c r="J28" s="165"/>
      <c r="K28" s="165"/>
      <c r="L28" s="165"/>
      <c r="M28" s="165"/>
      <c r="N28" s="165"/>
      <c r="O28" s="165"/>
      <c r="P28" s="165"/>
      <c r="Q28" s="165"/>
      <c r="R28" s="165"/>
      <c r="S28" s="11"/>
      <c r="T28" s="165"/>
      <c r="U28" s="165"/>
      <c r="V28" s="165"/>
      <c r="W28" s="165"/>
      <c r="X28" s="165"/>
      <c r="Y28" s="165"/>
      <c r="Z28" s="165"/>
      <c r="AA28" s="165"/>
      <c r="AB28" s="165"/>
      <c r="AC28" s="165"/>
      <c r="AD28" s="165"/>
      <c r="AE28" s="165"/>
      <c r="AF28" s="165"/>
      <c r="AG28" s="165"/>
      <c r="AH28" s="165"/>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65"/>
      <c r="BV28" s="165"/>
      <c r="BW28" s="165"/>
      <c r="BX28" s="165"/>
      <c r="BY28" s="165"/>
      <c r="BZ28" s="165"/>
      <c r="CA28" s="165"/>
      <c r="CB28" s="165"/>
      <c r="CC28" s="165"/>
      <c r="CD28" s="165"/>
      <c r="CE28" s="165"/>
      <c r="CF28" s="165"/>
      <c r="CG28" s="165"/>
      <c r="CH28" s="165"/>
      <c r="CI28" s="165"/>
      <c r="CJ28" s="11"/>
      <c r="CK28" s="11"/>
      <c r="CL28" s="11"/>
      <c r="CM28" s="11"/>
      <c r="CN28" s="11"/>
      <c r="CO28" s="11"/>
      <c r="CP28" s="11"/>
      <c r="CQ28" s="11"/>
      <c r="CR28" s="11"/>
      <c r="CS28" s="11"/>
      <c r="CT28" s="11"/>
      <c r="CU28" s="11"/>
      <c r="CV28" s="11"/>
      <c r="CW28" s="11"/>
      <c r="CX28" s="11"/>
      <c r="CY28" s="11"/>
      <c r="CZ28" s="11"/>
      <c r="DA28" s="166"/>
      <c r="DB28" s="166"/>
      <c r="DC28" s="166"/>
      <c r="DD28" s="166"/>
      <c r="DE28" s="166"/>
      <c r="DF28" s="166"/>
      <c r="DG28" s="166"/>
      <c r="DH28" s="166"/>
      <c r="DI28" s="166"/>
      <c r="DJ28" s="166"/>
      <c r="DK28" s="166"/>
      <c r="DL28" s="166"/>
      <c r="DM28" s="166"/>
      <c r="DN28" s="166"/>
      <c r="DO28" s="166"/>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74"/>
      <c r="HL28" s="174"/>
      <c r="HM28" s="174"/>
      <c r="HN28" s="174"/>
      <c r="HO28" s="174"/>
      <c r="HP28" s="174"/>
      <c r="HQ28" s="174"/>
      <c r="HR28" s="174"/>
      <c r="HS28" s="174"/>
      <c r="HT28" s="174"/>
      <c r="HU28" s="174"/>
      <c r="HV28" s="174"/>
      <c r="HW28" s="174"/>
      <c r="HX28" s="174"/>
      <c r="HY28" s="174"/>
      <c r="HZ28" s="174"/>
      <c r="IA28" s="174"/>
      <c r="IB28" s="11"/>
    </row>
    <row r="29" spans="1:237">
      <c r="A29" s="14" t="s">
        <v>1777</v>
      </c>
      <c r="B29" s="11"/>
      <c r="C29" s="11"/>
      <c r="D29" s="172">
        <f>D7/SUM(D$7:D$9)</f>
        <v>0.61638316120266612</v>
      </c>
      <c r="E29" s="172">
        <f t="shared" ref="E29:R29" si="32">E7/SUM(E$7:E$9)</f>
        <v>0.638506286766233</v>
      </c>
      <c r="F29" s="172">
        <f t="shared" si="32"/>
        <v>0.63440283643052131</v>
      </c>
      <c r="G29" s="172">
        <f t="shared" si="32"/>
        <v>0.63654477867347026</v>
      </c>
      <c r="H29" s="172">
        <f t="shared" si="32"/>
        <v>0.56472707702419445</v>
      </c>
      <c r="I29" s="172">
        <f t="shared" si="32"/>
        <v>0.56498148620483279</v>
      </c>
      <c r="J29" s="172">
        <f t="shared" si="32"/>
        <v>0.54854825568913801</v>
      </c>
      <c r="K29" s="172">
        <f t="shared" si="32"/>
        <v>0.56447600638170314</v>
      </c>
      <c r="L29" s="172">
        <f t="shared" si="32"/>
        <v>0.57131239177672144</v>
      </c>
      <c r="M29" s="172">
        <f t="shared" si="32"/>
        <v>0.59463642468482714</v>
      </c>
      <c r="N29" s="172">
        <f t="shared" si="32"/>
        <v>0.57799888371467389</v>
      </c>
      <c r="O29" s="172">
        <f t="shared" si="32"/>
        <v>0.60048971759819481</v>
      </c>
      <c r="P29" s="172">
        <f t="shared" si="32"/>
        <v>0.57583033792904925</v>
      </c>
      <c r="Q29" s="172">
        <f t="shared" si="32"/>
        <v>0.54608243801350065</v>
      </c>
      <c r="R29" s="172">
        <f t="shared" si="32"/>
        <v>0.53768511763028759</v>
      </c>
      <c r="S29" s="11"/>
      <c r="T29" s="11"/>
      <c r="U29" s="11"/>
      <c r="V29" s="11"/>
      <c r="W29" s="11"/>
      <c r="X29" s="11"/>
      <c r="Y29" s="11"/>
      <c r="Z29" s="11"/>
      <c r="AA29" s="11"/>
      <c r="AB29" s="11"/>
      <c r="AC29" s="1573"/>
      <c r="AD29" s="1573"/>
      <c r="AE29" s="1573"/>
      <c r="AF29" s="1573"/>
      <c r="AG29" s="11"/>
      <c r="AH29" s="11"/>
      <c r="AI29" s="11"/>
      <c r="AJ29" s="14" t="s">
        <v>1780</v>
      </c>
      <c r="AK29" s="11"/>
      <c r="AL29" s="11"/>
      <c r="AM29" s="11"/>
      <c r="AN29" s="11"/>
      <c r="AO29" s="11" t="s">
        <v>1779</v>
      </c>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t="s">
        <v>695</v>
      </c>
      <c r="DB29" s="11"/>
      <c r="DC29" s="11"/>
      <c r="DD29" s="11"/>
      <c r="DE29" s="11"/>
      <c r="DF29" s="11"/>
      <c r="DG29" s="11"/>
      <c r="DH29" s="11"/>
      <c r="DI29" s="11"/>
      <c r="DJ29" s="11"/>
      <c r="DK29" s="11"/>
      <c r="DL29" s="11"/>
      <c r="DM29" s="441"/>
      <c r="DN29" s="11"/>
      <c r="DO29" s="172"/>
      <c r="DP29" s="11"/>
      <c r="DQ29" s="11"/>
      <c r="DR29" s="11" t="s">
        <v>709</v>
      </c>
      <c r="DS29" s="11"/>
      <c r="DT29" s="11"/>
      <c r="DU29" s="11"/>
      <c r="DV29" s="11"/>
      <c r="DW29" s="11"/>
      <c r="DX29" s="11"/>
      <c r="DY29" s="11"/>
      <c r="DZ29" s="11"/>
      <c r="EA29" s="11"/>
      <c r="EB29" s="11"/>
      <c r="EC29" s="11"/>
      <c r="ED29" s="11"/>
      <c r="EE29" s="11"/>
      <c r="EF29" s="11"/>
      <c r="EG29" s="11"/>
      <c r="EH29" s="11" t="s">
        <v>995</v>
      </c>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t="s">
        <v>1782</v>
      </c>
      <c r="GW29" s="11"/>
      <c r="GX29" s="11"/>
      <c r="GY29" s="11"/>
      <c r="GZ29" s="11"/>
      <c r="HA29" s="11"/>
      <c r="HB29" s="11"/>
      <c r="HC29" s="11"/>
      <c r="HD29" s="11"/>
      <c r="HE29" s="11"/>
      <c r="HF29" s="11"/>
      <c r="HG29" s="11"/>
      <c r="HH29" s="11"/>
      <c r="HI29" s="11"/>
      <c r="HJ29" s="11"/>
      <c r="HK29" s="2674" t="s">
        <v>1651</v>
      </c>
      <c r="HL29" s="2678">
        <f>SUM(HL5:HL27)</f>
        <v>6</v>
      </c>
      <c r="HM29" s="705">
        <f t="shared" ref="HM29:IA29" si="33">SUMPRODUCT($HL$5:$HL$27,HM5:HM27)/$HL$29</f>
        <v>6.8383499999999993</v>
      </c>
      <c r="HN29" s="705">
        <f t="shared" si="33"/>
        <v>6.5350833333333336</v>
      </c>
      <c r="HO29" s="705">
        <f t="shared" si="33"/>
        <v>7.1738666666666662</v>
      </c>
      <c r="HP29" s="705">
        <f t="shared" si="33"/>
        <v>6.688533333333333</v>
      </c>
      <c r="HQ29" s="705">
        <f t="shared" si="33"/>
        <v>6.8907499999999997</v>
      </c>
      <c r="HR29" s="705">
        <f t="shared" si="33"/>
        <v>7.3952833333333317</v>
      </c>
      <c r="HS29" s="705">
        <f t="shared" si="33"/>
        <v>6.6513</v>
      </c>
      <c r="HT29" s="705">
        <f t="shared" si="33"/>
        <v>6.957016666666668</v>
      </c>
      <c r="HU29" s="705">
        <f t="shared" si="33"/>
        <v>6.6968833333333331</v>
      </c>
      <c r="HV29" s="705">
        <f t="shared" si="33"/>
        <v>6.4831833333333329</v>
      </c>
      <c r="HW29" s="705">
        <f t="shared" si="33"/>
        <v>6.4525333333333341</v>
      </c>
      <c r="HX29" s="705">
        <f t="shared" si="33"/>
        <v>5.9659166666666659</v>
      </c>
      <c r="HY29" s="705">
        <f t="shared" si="33"/>
        <v>5.2757333333333341</v>
      </c>
      <c r="HZ29" s="705">
        <f t="shared" si="33"/>
        <v>5.0128499999999994</v>
      </c>
      <c r="IA29" s="705">
        <f t="shared" si="33"/>
        <v>5.3811833333333334</v>
      </c>
      <c r="IB29" s="11"/>
    </row>
    <row r="30" spans="1:237">
      <c r="A30" s="14" t="s">
        <v>77</v>
      </c>
      <c r="B30" s="11"/>
      <c r="C30" s="11"/>
      <c r="D30" s="172">
        <f t="shared" ref="D30:R31" si="34">D8/SUM(D$7:D$9)</f>
        <v>0.21613243801490237</v>
      </c>
      <c r="E30" s="172">
        <f t="shared" si="34"/>
        <v>0.18929722060466381</v>
      </c>
      <c r="F30" s="172">
        <f t="shared" si="34"/>
        <v>0.19001366499518801</v>
      </c>
      <c r="G30" s="172">
        <f t="shared" si="34"/>
        <v>0.1820249926905716</v>
      </c>
      <c r="H30" s="172">
        <f t="shared" si="34"/>
        <v>0.20354566252065345</v>
      </c>
      <c r="I30" s="172">
        <f t="shared" si="34"/>
        <v>0.19463576945885575</v>
      </c>
      <c r="J30" s="172">
        <f t="shared" si="34"/>
        <v>0.20741504351591769</v>
      </c>
      <c r="K30" s="172">
        <f t="shared" si="34"/>
        <v>0.20537036600463671</v>
      </c>
      <c r="L30" s="172">
        <f t="shared" si="34"/>
        <v>0.18030058030986698</v>
      </c>
      <c r="M30" s="172">
        <f t="shared" si="34"/>
        <v>0.14789381052531336</v>
      </c>
      <c r="N30" s="172">
        <f t="shared" si="34"/>
        <v>0.12357403139220469</v>
      </c>
      <c r="O30" s="172">
        <f t="shared" si="34"/>
        <v>0.10421963021196134</v>
      </c>
      <c r="P30" s="172">
        <f t="shared" si="34"/>
        <v>9.4800570041951193E-2</v>
      </c>
      <c r="Q30" s="172">
        <f t="shared" si="34"/>
        <v>8.8462225328730937E-2</v>
      </c>
      <c r="R30" s="172">
        <f t="shared" si="34"/>
        <v>8.8622352669249366E-2</v>
      </c>
      <c r="S30" s="11"/>
      <c r="T30" s="11"/>
      <c r="U30" s="11"/>
      <c r="V30" s="11"/>
      <c r="W30" s="11"/>
      <c r="X30" s="11"/>
      <c r="Y30" s="11"/>
      <c r="Z30" s="11"/>
      <c r="AA30" s="11"/>
      <c r="AB30" s="11"/>
      <c r="AC30" s="1574"/>
      <c r="AD30" s="1574"/>
      <c r="AE30" s="1574"/>
      <c r="AF30" s="1574"/>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24" t="s">
        <v>740</v>
      </c>
      <c r="DB30" s="11"/>
      <c r="DC30" s="11"/>
      <c r="DD30" s="11"/>
      <c r="DE30" s="443"/>
      <c r="DF30" s="23" t="s">
        <v>701</v>
      </c>
      <c r="DG30" s="473" t="s">
        <v>698</v>
      </c>
      <c r="DH30" s="473" t="s">
        <v>699</v>
      </c>
      <c r="DI30" s="474" t="s">
        <v>700</v>
      </c>
      <c r="DJ30" s="474" t="s">
        <v>702</v>
      </c>
      <c r="DK30" s="473" t="s">
        <v>705</v>
      </c>
      <c r="DL30" s="473" t="s">
        <v>706</v>
      </c>
      <c r="DM30" s="474" t="s">
        <v>707</v>
      </c>
      <c r="DN30" s="474" t="s">
        <v>708</v>
      </c>
      <c r="DO30" s="11"/>
      <c r="DP30" s="11"/>
      <c r="DQ30" s="11"/>
      <c r="DR30" s="11"/>
      <c r="DS30" s="11"/>
      <c r="DT30" s="11"/>
      <c r="DU30" s="11"/>
      <c r="DV30" s="11"/>
      <c r="DW30" s="11"/>
      <c r="DX30" s="11"/>
      <c r="DY30" s="11"/>
      <c r="DZ30" s="11"/>
      <c r="EA30" s="11"/>
      <c r="EB30" s="11"/>
      <c r="EC30" s="11"/>
      <c r="ED30" s="11"/>
      <c r="EE30" s="11"/>
      <c r="EF30" s="11"/>
      <c r="EG30" s="11"/>
      <c r="EH30" s="11"/>
      <c r="EI30" s="124"/>
      <c r="EJ30" s="124"/>
      <c r="EK30" s="124"/>
      <c r="EL30" s="124"/>
      <c r="EM30" s="124"/>
      <c r="EN30" s="124"/>
      <c r="EO30" s="124"/>
      <c r="EP30" s="124"/>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t="s">
        <v>1783</v>
      </c>
      <c r="HN30" s="11"/>
      <c r="HO30" s="11"/>
      <c r="HP30" s="11"/>
      <c r="HQ30" s="11"/>
      <c r="HR30" s="11"/>
      <c r="HS30" s="11"/>
      <c r="HT30" s="11"/>
      <c r="HU30" s="11"/>
      <c r="HV30" s="11"/>
      <c r="HW30" s="11"/>
      <c r="HX30" s="11"/>
      <c r="HY30" s="11"/>
      <c r="HZ30" s="11"/>
      <c r="IA30" s="11"/>
      <c r="IB30" s="11"/>
    </row>
    <row r="31" spans="1:237">
      <c r="A31" s="124" t="s">
        <v>78</v>
      </c>
      <c r="B31" s="124"/>
      <c r="C31" s="11"/>
      <c r="D31" s="172">
        <f t="shared" si="34"/>
        <v>0.16748440078243151</v>
      </c>
      <c r="E31" s="172">
        <f t="shared" si="34"/>
        <v>0.17219649262910328</v>
      </c>
      <c r="F31" s="172">
        <f t="shared" si="34"/>
        <v>0.17558349857429062</v>
      </c>
      <c r="G31" s="172">
        <f t="shared" si="34"/>
        <v>0.18143022863595823</v>
      </c>
      <c r="H31" s="172">
        <f t="shared" si="34"/>
        <v>0.23172726045515207</v>
      </c>
      <c r="I31" s="172">
        <f t="shared" si="34"/>
        <v>0.24038274433631152</v>
      </c>
      <c r="J31" s="172">
        <f t="shared" si="34"/>
        <v>0.24403670079494427</v>
      </c>
      <c r="K31" s="172">
        <f t="shared" si="34"/>
        <v>0.23015362761366021</v>
      </c>
      <c r="L31" s="172">
        <f t="shared" si="34"/>
        <v>0.24838702791341161</v>
      </c>
      <c r="M31" s="172">
        <f t="shared" si="34"/>
        <v>0.25746976478985945</v>
      </c>
      <c r="N31" s="172">
        <f t="shared" si="34"/>
        <v>0.29842708489312131</v>
      </c>
      <c r="O31" s="172">
        <f t="shared" si="34"/>
        <v>0.29529065218984385</v>
      </c>
      <c r="P31" s="172">
        <f t="shared" si="34"/>
        <v>0.32936909202899967</v>
      </c>
      <c r="Q31" s="172">
        <f t="shared" si="34"/>
        <v>0.36545533665776836</v>
      </c>
      <c r="R31" s="172">
        <f t="shared" si="34"/>
        <v>0.37369252970046302</v>
      </c>
      <c r="S31" s="11"/>
      <c r="T31" s="11"/>
      <c r="U31" s="11"/>
      <c r="V31" s="11"/>
      <c r="W31" s="11"/>
      <c r="X31" s="11"/>
      <c r="Y31" s="11"/>
      <c r="Z31" s="11"/>
      <c r="AA31" s="11"/>
      <c r="AB31" s="11"/>
      <c r="AC31" s="11"/>
      <c r="AD31" s="11"/>
      <c r="AE31" s="11"/>
      <c r="AF31" s="11"/>
      <c r="AG31" s="11"/>
      <c r="AH31" s="11"/>
      <c r="AI31" s="11"/>
      <c r="AJ31" s="124" t="s">
        <v>1781</v>
      </c>
      <c r="AK31" s="11"/>
      <c r="AL31" s="11"/>
      <c r="AM31" s="11"/>
      <c r="AN31" s="11"/>
      <c r="AO31" s="11"/>
      <c r="AP31" s="11"/>
      <c r="AQ31" s="11"/>
      <c r="AR31" s="11"/>
      <c r="AS31" s="11"/>
      <c r="AT31" s="11"/>
      <c r="AU31" s="11"/>
      <c r="AV31" s="11"/>
      <c r="AW31" s="11"/>
      <c r="AX31" s="11"/>
      <c r="AY31" s="11"/>
      <c r="AZ31" s="11"/>
      <c r="BA31" s="11"/>
      <c r="BB31" s="11"/>
      <c r="BC31" s="11"/>
      <c r="BD31" s="11"/>
      <c r="BE31" s="2185" t="s">
        <v>1778</v>
      </c>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524">
        <f>SUM(DG31:DJ31)</f>
        <v>2502.1000000000004</v>
      </c>
      <c r="DB31" s="125">
        <f>DH31+DI31+DJ31+DK32</f>
        <v>2276.6</v>
      </c>
      <c r="DC31" s="125">
        <f>DI31+DJ31+DK32+DL32</f>
        <v>2051.9</v>
      </c>
      <c r="DD31" s="125">
        <f>DJ31+DK32+DL32+DM32</f>
        <v>1777</v>
      </c>
      <c r="DE31" s="524">
        <f>SUM(DK32:DN32)</f>
        <v>1491.4</v>
      </c>
      <c r="DF31" s="11"/>
      <c r="DG31" s="443">
        <v>602.5</v>
      </c>
      <c r="DH31" s="443">
        <v>594.9</v>
      </c>
      <c r="DI31" s="444">
        <v>656.7</v>
      </c>
      <c r="DJ31" s="444">
        <v>648</v>
      </c>
      <c r="DK31" s="23" t="s">
        <v>704</v>
      </c>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24"/>
      <c r="EJ31" s="124"/>
      <c r="EK31" s="124"/>
      <c r="EL31" s="124"/>
      <c r="EM31" s="124"/>
      <c r="EN31" s="124"/>
      <c r="EO31" s="124"/>
      <c r="EP31" s="124"/>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74"/>
      <c r="HL31" s="174"/>
      <c r="HM31" s="174"/>
      <c r="HN31" s="174"/>
      <c r="HO31" s="174"/>
      <c r="HP31" s="174"/>
      <c r="HQ31" s="174"/>
      <c r="HR31" s="174"/>
      <c r="HS31" s="174"/>
      <c r="HT31" s="174"/>
      <c r="HU31" s="174"/>
      <c r="HV31" s="174"/>
      <c r="HW31" s="174"/>
      <c r="HX31" s="174"/>
      <c r="HY31" s="174"/>
      <c r="HZ31" s="174"/>
      <c r="IA31" s="174"/>
      <c r="IB31" s="11"/>
    </row>
    <row r="32" spans="1:237">
      <c r="A32" s="124" t="s">
        <v>449</v>
      </c>
      <c r="B32" s="124"/>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24" t="s">
        <v>1791</v>
      </c>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24" t="s">
        <v>1842</v>
      </c>
      <c r="DB32" s="11"/>
      <c r="DC32" s="11"/>
      <c r="DD32" s="11"/>
      <c r="DE32" s="11"/>
      <c r="DF32" s="11"/>
      <c r="DG32" s="11"/>
      <c r="DH32" s="11"/>
      <c r="DI32" s="23" t="s">
        <v>703</v>
      </c>
      <c r="DJ32" s="443">
        <v>379.8</v>
      </c>
      <c r="DK32" s="443">
        <v>377</v>
      </c>
      <c r="DL32" s="443">
        <v>370.2</v>
      </c>
      <c r="DM32" s="443">
        <v>381.8</v>
      </c>
      <c r="DN32" s="443">
        <v>362.4</v>
      </c>
      <c r="DO32" s="11"/>
      <c r="DP32" s="11"/>
      <c r="DQ32" s="11"/>
      <c r="DR32" s="11"/>
      <c r="DS32" s="11"/>
      <c r="DT32" s="11"/>
      <c r="DU32" s="11"/>
      <c r="DV32" s="11"/>
      <c r="DW32" s="11"/>
      <c r="DX32" s="11"/>
      <c r="DY32" s="11"/>
      <c r="DZ32" s="11"/>
      <c r="EA32" s="11"/>
      <c r="EB32" s="11"/>
      <c r="EC32" s="11"/>
      <c r="ED32" s="11"/>
      <c r="EE32" s="11"/>
      <c r="EF32" s="11"/>
      <c r="EG32" s="11"/>
      <c r="EH32" s="11"/>
      <c r="EI32" s="124"/>
      <c r="EJ32" s="124"/>
      <c r="EK32" s="124"/>
      <c r="EL32" s="124"/>
      <c r="EM32" s="124"/>
      <c r="EN32" s="124"/>
      <c r="EO32" s="124"/>
      <c r="EP32" s="124"/>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row>
    <row r="33" spans="1:236">
      <c r="A33" s="23" t="s">
        <v>360</v>
      </c>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24"/>
      <c r="EJ33" s="124"/>
      <c r="EK33" s="124"/>
      <c r="EL33" s="124"/>
      <c r="EM33" s="124"/>
      <c r="EN33" s="124"/>
      <c r="EO33" s="124"/>
      <c r="EP33" s="124"/>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row>
    <row r="34" spans="1:236">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43"/>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441">
        <v>1</v>
      </c>
      <c r="DJ34" s="441">
        <v>2</v>
      </c>
      <c r="DK34" s="441">
        <v>3</v>
      </c>
      <c r="DL34" s="441">
        <v>4</v>
      </c>
      <c r="DM34" s="11"/>
      <c r="DN34" s="11"/>
      <c r="DO34" s="11"/>
      <c r="DP34" s="24">
        <v>41547</v>
      </c>
      <c r="DQ34" s="24"/>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24">
        <v>41547</v>
      </c>
      <c r="EX34" s="24"/>
      <c r="EY34" s="24"/>
      <c r="EZ34" s="24"/>
      <c r="FA34" s="24"/>
      <c r="FB34" s="24"/>
      <c r="FC34" s="24"/>
      <c r="FD34" s="24"/>
      <c r="FE34" s="24"/>
      <c r="FF34" s="24"/>
      <c r="FG34" s="24"/>
      <c r="FH34" s="24"/>
      <c r="FI34" s="24"/>
      <c r="FJ34" s="24"/>
      <c r="FK34" s="24"/>
      <c r="FL34" s="24"/>
      <c r="FM34" s="24"/>
      <c r="FN34" s="24"/>
      <c r="FO34" s="11"/>
      <c r="FP34" s="11"/>
      <c r="FQ34" s="11"/>
      <c r="FR34" s="11"/>
      <c r="FS34" s="11"/>
      <c r="FT34" s="11"/>
      <c r="FU34" s="11"/>
      <c r="FV34" s="11"/>
      <c r="FW34" s="441">
        <v>1</v>
      </c>
      <c r="FX34" s="441">
        <v>2</v>
      </c>
      <c r="FY34" s="441">
        <v>3</v>
      </c>
      <c r="FZ34" s="441">
        <v>4</v>
      </c>
      <c r="GA34" s="11"/>
      <c r="GB34" s="441">
        <v>1</v>
      </c>
      <c r="GC34" s="441">
        <v>2</v>
      </c>
      <c r="GD34" s="24">
        <v>41547</v>
      </c>
      <c r="GE34" s="24"/>
      <c r="GF34" s="11"/>
      <c r="GG34" s="11"/>
      <c r="GH34" s="11"/>
      <c r="GI34" s="11"/>
      <c r="GJ34" s="11"/>
      <c r="GK34" s="11"/>
      <c r="GL34" s="11"/>
      <c r="GM34" s="11"/>
      <c r="GN34" s="11"/>
      <c r="GO34" s="11"/>
      <c r="GP34" s="11"/>
      <c r="GQ34" s="11"/>
      <c r="GR34" s="11"/>
      <c r="GS34" s="11"/>
      <c r="GT34" s="11"/>
      <c r="GU34" s="11"/>
      <c r="GV34" s="124"/>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row>
    <row r="35" spans="1:236">
      <c r="A35" s="690" t="s">
        <v>481</v>
      </c>
      <c r="B35" s="692" t="s">
        <v>482</v>
      </c>
      <c r="C35" s="690"/>
      <c r="D35" s="690"/>
      <c r="E35" s="690"/>
      <c r="F35" s="690"/>
      <c r="G35" s="690"/>
      <c r="H35" s="690"/>
      <c r="I35" s="690"/>
      <c r="J35" s="690"/>
      <c r="K35" s="690"/>
      <c r="L35" s="690"/>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906"/>
      <c r="AJ35" s="906"/>
      <c r="AK35" s="906"/>
      <c r="AL35" s="906"/>
      <c r="AM35" s="906"/>
      <c r="AN35" s="906"/>
      <c r="AO35" s="906"/>
      <c r="AP35" s="906"/>
      <c r="AQ35" s="906"/>
      <c r="AR35" s="906"/>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c r="BP35" s="906"/>
      <c r="BQ35" s="906"/>
      <c r="BR35" s="906"/>
      <c r="BS35" s="906"/>
      <c r="BT35" s="906"/>
      <c r="BU35" s="906"/>
      <c r="BV35" s="690"/>
      <c r="BW35" s="690"/>
      <c r="BX35" s="690"/>
      <c r="BY35" s="690"/>
      <c r="BZ35" s="690"/>
      <c r="CA35" s="690"/>
      <c r="CB35" s="690"/>
      <c r="CC35" s="690"/>
      <c r="CD35" s="690"/>
      <c r="CE35" s="690"/>
      <c r="CF35" s="690"/>
      <c r="CG35" s="690"/>
      <c r="CH35" s="690"/>
      <c r="CI35" s="690"/>
      <c r="CJ35" s="690"/>
      <c r="CK35" s="690"/>
      <c r="CL35" s="690"/>
      <c r="CM35" s="690"/>
      <c r="CN35" s="690"/>
      <c r="CO35" s="690"/>
      <c r="CP35" s="690"/>
      <c r="CQ35" s="690"/>
      <c r="CR35" s="690"/>
      <c r="CS35" s="690"/>
      <c r="CT35" s="690"/>
      <c r="CU35" s="690"/>
      <c r="CV35" s="690"/>
      <c r="CW35" s="690"/>
      <c r="CX35" s="690"/>
      <c r="CY35" s="690"/>
      <c r="CZ35" s="690"/>
      <c r="DA35" s="705">
        <f>'(Bloom Raw Data)'!DB31</f>
        <v>5.6085000000000003</v>
      </c>
      <c r="DB35" s="705">
        <f>'(Bloom Raw Data)'!DC31</f>
        <v>5.6410999999999998</v>
      </c>
      <c r="DC35" s="705">
        <f>'(Bloom Raw Data)'!DD31</f>
        <v>5.4523999999999999</v>
      </c>
      <c r="DD35" s="705">
        <f>'(Bloom Raw Data)'!DE31</f>
        <v>5.8440000000000003</v>
      </c>
      <c r="DE35" s="705">
        <f>'(Bloom Raw Data)'!DF31</f>
        <v>5.6459000000000001</v>
      </c>
      <c r="DF35" s="705">
        <f>'(Bloom Raw Data)'!DG31</f>
        <v>5.8033000000000001</v>
      </c>
      <c r="DG35" s="705">
        <f>'(Bloom Raw Data)'!DH31</f>
        <v>5.6826999999999996</v>
      </c>
      <c r="DH35" s="705">
        <f>'(Bloom Raw Data)'!DI31</f>
        <v>5.4458000000000002</v>
      </c>
      <c r="DI35" s="907">
        <f>$DH35+($DM35-$DH35)*DI$34/5</f>
        <v>5.3807200000000002</v>
      </c>
      <c r="DJ35" s="907">
        <f t="shared" ref="DJ35:DK40" si="35">$DH35+($DM35-$DH35)*DJ$34/5</f>
        <v>5.3156400000000001</v>
      </c>
      <c r="DK35" s="907">
        <f t="shared" si="35"/>
        <v>5.2505600000000001</v>
      </c>
      <c r="DL35" s="907">
        <f>$DH35+($DM35-$DH35)*DL$34/5</f>
        <v>5.1854800000000001</v>
      </c>
      <c r="DM35" s="705">
        <f>'(Bloom Raw Data)'!DN31</f>
        <v>5.1204000000000001</v>
      </c>
      <c r="DN35" s="907">
        <f>$DM35+($DP35-$DM35)/3</f>
        <v>5.5153333333333334</v>
      </c>
      <c r="DO35" s="907">
        <f>$DM35+($DP35-$DM35)*2/3</f>
        <v>5.9102666666666668</v>
      </c>
      <c r="DP35" s="705">
        <f>'(Bloom Raw Data)'!DQ31</f>
        <v>6.3052000000000001</v>
      </c>
      <c r="DQ35" s="705"/>
      <c r="DR35" s="690"/>
      <c r="DS35" s="690"/>
      <c r="DT35" s="690"/>
      <c r="DU35" s="690"/>
      <c r="DV35" s="690"/>
      <c r="DW35" s="690"/>
      <c r="DX35" s="690"/>
      <c r="DY35" s="690"/>
      <c r="DZ35" s="690"/>
      <c r="EA35" s="690"/>
      <c r="EB35" s="690"/>
      <c r="EC35" s="690"/>
      <c r="ED35" s="690"/>
      <c r="EE35" s="690"/>
      <c r="EF35" s="690"/>
      <c r="EG35" s="690"/>
      <c r="EH35" s="705">
        <f>'(Bloom Raw Data)'!EJ31</f>
        <v>13.9069</v>
      </c>
      <c r="EI35" s="705">
        <f>'(Bloom Raw Data)'!EK31</f>
        <v>10.9459</v>
      </c>
      <c r="EJ35" s="705">
        <f>'(Bloom Raw Data)'!EL31</f>
        <v>9.6668000000000003</v>
      </c>
      <c r="EK35" s="705">
        <f>'(Bloom Raw Data)'!EM31</f>
        <v>8.9400999999999993</v>
      </c>
      <c r="EL35" s="705">
        <f>'(Bloom Raw Data)'!EN31</f>
        <v>9.0245999999999995</v>
      </c>
      <c r="EM35" s="705">
        <f>'(Bloom Raw Data)'!EO31</f>
        <v>10.416700000000001</v>
      </c>
      <c r="EN35" s="705">
        <f>'(Bloom Raw Data)'!EP31</f>
        <v>11.169499999999999</v>
      </c>
      <c r="EO35" s="705">
        <f>'(Bloom Raw Data)'!EQ31</f>
        <v>13.183400000000001</v>
      </c>
      <c r="EP35" s="705" t="str">
        <f>'(Bloom Raw Data)'!ER31</f>
        <v>#N/A N/A</v>
      </c>
      <c r="EQ35" s="705" t="str">
        <f>'(Bloom Raw Data)'!ES31</f>
        <v>#N/A N/A</v>
      </c>
      <c r="ER35" s="705" t="str">
        <f>'(Bloom Raw Data)'!ET31</f>
        <v>#N/A N/A</v>
      </c>
      <c r="ES35" s="705" t="str">
        <f>'(Bloom Raw Data)'!EU31</f>
        <v>#N/A N/A</v>
      </c>
      <c r="ET35" s="705">
        <f>'(Bloom Raw Data)'!EV31</f>
        <v>82.981700000000004</v>
      </c>
      <c r="EU35" s="907">
        <f>$ET35+($EW35-$ET35)/3</f>
        <v>97.942866666666674</v>
      </c>
      <c r="EV35" s="907">
        <f>$ET35+($EW35-$ET35)*2/3</f>
        <v>112.90403333333333</v>
      </c>
      <c r="EW35" s="705">
        <f>'(Bloom Raw Data)'!EY31</f>
        <v>127.8652</v>
      </c>
      <c r="EX35" s="705"/>
      <c r="EY35" s="705"/>
      <c r="EZ35" s="705"/>
      <c r="FA35" s="705"/>
      <c r="FB35" s="705"/>
      <c r="FC35" s="705"/>
      <c r="FD35" s="705"/>
      <c r="FE35" s="705"/>
      <c r="FF35" s="705"/>
      <c r="FG35" s="705"/>
      <c r="FH35" s="705"/>
      <c r="FI35" s="705"/>
      <c r="FJ35" s="705"/>
      <c r="FK35" s="705"/>
      <c r="FL35" s="705"/>
      <c r="FM35" s="705"/>
      <c r="FN35" s="705"/>
      <c r="FO35" s="705">
        <f>'(Bloom Raw Data)'!FA31</f>
        <v>1.6254999999999999</v>
      </c>
      <c r="FP35" s="705">
        <f>'(Bloom Raw Data)'!FB31</f>
        <v>1.522</v>
      </c>
      <c r="FQ35" s="705">
        <f>'(Bloom Raw Data)'!FC31</f>
        <v>1.4018999999999999</v>
      </c>
      <c r="FR35" s="705">
        <f>'(Bloom Raw Data)'!FD31</f>
        <v>1.4748000000000001</v>
      </c>
      <c r="FS35" s="705">
        <f>'(Bloom Raw Data)'!FE31</f>
        <v>1.4508000000000001</v>
      </c>
      <c r="FT35" s="705">
        <f>'(Bloom Raw Data)'!FF31</f>
        <v>1.5234000000000001</v>
      </c>
      <c r="FU35" s="705">
        <f>'(Bloom Raw Data)'!FG31</f>
        <v>1.5146999999999999</v>
      </c>
      <c r="FV35" s="705">
        <f>'(Bloom Raw Data)'!FH31</f>
        <v>1.4112</v>
      </c>
      <c r="FW35" s="907">
        <f>$FV35+($GA35-$FV35)*FW$34/5</f>
        <v>1.4157200000000001</v>
      </c>
      <c r="FX35" s="907">
        <f t="shared" ref="FX35:FZ40" si="36">$FV35+($GA35-$FV35)*FX$34/5</f>
        <v>1.4202399999999999</v>
      </c>
      <c r="FY35" s="907">
        <f t="shared" si="36"/>
        <v>1.42476</v>
      </c>
      <c r="FZ35" s="907">
        <f t="shared" si="36"/>
        <v>1.4292799999999999</v>
      </c>
      <c r="GA35" s="705">
        <f>'(Bloom Raw Data)'!FM31</f>
        <v>1.4338</v>
      </c>
      <c r="GB35" s="907">
        <f>$GA35+($GD35-$GA35)/3</f>
        <v>1.5669</v>
      </c>
      <c r="GC35" s="907">
        <f>$GA35+($GD35-$GA35)*2/3</f>
        <v>1.7</v>
      </c>
      <c r="GD35" s="705">
        <f>'(Bloom Raw Data)'!FP31</f>
        <v>1.8331</v>
      </c>
      <c r="GE35" s="705"/>
      <c r="GF35" s="690"/>
      <c r="GG35" s="690"/>
      <c r="GH35" s="690"/>
      <c r="GI35" s="690"/>
      <c r="GJ35" s="690"/>
      <c r="GK35" s="690"/>
      <c r="GL35" s="690"/>
      <c r="GM35" s="690"/>
      <c r="GN35" s="690"/>
      <c r="GO35" s="690"/>
      <c r="GP35" s="690"/>
      <c r="GQ35" s="690"/>
      <c r="GR35" s="690"/>
      <c r="GS35" s="1029"/>
      <c r="GT35" s="690"/>
      <c r="GU35" s="690"/>
      <c r="GV35" s="690"/>
      <c r="GW35" s="690"/>
      <c r="GX35" s="690"/>
      <c r="GY35" s="690"/>
      <c r="GZ35" s="690"/>
      <c r="HA35" s="690"/>
      <c r="HB35" s="690"/>
      <c r="HC35" s="690"/>
      <c r="HD35" s="690"/>
      <c r="HE35" s="690"/>
      <c r="HF35" s="690"/>
      <c r="HG35" s="690"/>
      <c r="HH35" s="690"/>
      <c r="HI35" s="690"/>
      <c r="HJ35" s="690"/>
      <c r="HK35" s="690"/>
      <c r="HL35" s="690"/>
      <c r="HM35" s="690"/>
      <c r="HN35" s="690"/>
      <c r="HO35" s="690"/>
      <c r="HP35" s="690"/>
      <c r="HQ35" s="690"/>
      <c r="HR35" s="690"/>
      <c r="HS35" s="690"/>
      <c r="HT35" s="690"/>
      <c r="HU35" s="690"/>
      <c r="HV35" s="690"/>
      <c r="HW35" s="690"/>
      <c r="HX35" s="690"/>
      <c r="HY35" s="690"/>
      <c r="HZ35" s="690"/>
      <c r="IA35" s="690"/>
      <c r="IB35" s="690"/>
    </row>
    <row r="36" spans="1:236">
      <c r="A36" s="11" t="s">
        <v>483</v>
      </c>
      <c r="B36" s="7" t="s">
        <v>490</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c r="BN36" s="143"/>
      <c r="BO36" s="143"/>
      <c r="BP36" s="143"/>
      <c r="BQ36" s="143"/>
      <c r="BR36" s="143"/>
      <c r="BS36" s="143"/>
      <c r="BT36" s="143"/>
      <c r="BU36" s="143"/>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66">
        <f>'(Bloom Raw Data)'!DB32</f>
        <v>5.6085000000000003</v>
      </c>
      <c r="DB36" s="166">
        <f>'(Bloom Raw Data)'!DC32</f>
        <v>5.6410999999999998</v>
      </c>
      <c r="DC36" s="166">
        <f>'(Bloom Raw Data)'!DD32</f>
        <v>5.4523999999999999</v>
      </c>
      <c r="DD36" s="166">
        <f>'(Bloom Raw Data)'!DE32</f>
        <v>5.8440000000000003</v>
      </c>
      <c r="DE36" s="166">
        <f>'(Bloom Raw Data)'!DF32</f>
        <v>5.6459000000000001</v>
      </c>
      <c r="DF36" s="166">
        <f>'(Bloom Raw Data)'!DG32</f>
        <v>5.8033000000000001</v>
      </c>
      <c r="DG36" s="166">
        <f>'(Bloom Raw Data)'!DH32</f>
        <v>5.6826999999999996</v>
      </c>
      <c r="DH36" s="166">
        <f>'(Bloom Raw Data)'!DI32</f>
        <v>5.4458000000000002</v>
      </c>
      <c r="DI36" s="127">
        <f>$DH36+($DM36-$DH36)*DI$34/5</f>
        <v>5.3807200000000002</v>
      </c>
      <c r="DJ36" s="127">
        <f t="shared" si="35"/>
        <v>5.3156400000000001</v>
      </c>
      <c r="DK36" s="127">
        <f t="shared" si="35"/>
        <v>5.2505600000000001</v>
      </c>
      <c r="DL36" s="127">
        <f>$DH36+($DM36-$DH36)*DL$34/5</f>
        <v>5.1854800000000001</v>
      </c>
      <c r="DM36" s="166">
        <f>'(Bloom Raw Data)'!DN32</f>
        <v>5.1204000000000001</v>
      </c>
      <c r="DN36" s="127">
        <f>$DM36+($DP36-$DM36)/3</f>
        <v>5.5153333333333334</v>
      </c>
      <c r="DO36" s="127">
        <f>$DM36+($DP36-$DM36)*2/3</f>
        <v>5.9102666666666668</v>
      </c>
      <c r="DP36" s="166">
        <f>'(Bloom Raw Data)'!DQ32</f>
        <v>6.3052000000000001</v>
      </c>
      <c r="DQ36" s="166"/>
      <c r="DR36" s="11"/>
      <c r="DS36" s="11"/>
      <c r="DT36" s="11"/>
      <c r="DU36" s="11"/>
      <c r="DV36" s="11"/>
      <c r="DW36" s="11"/>
      <c r="DX36" s="11"/>
      <c r="DY36" s="11"/>
      <c r="DZ36" s="11"/>
      <c r="EA36" s="11"/>
      <c r="EB36" s="11"/>
      <c r="EC36" s="11"/>
      <c r="ED36" s="11"/>
      <c r="EE36" s="11"/>
      <c r="EF36" s="11"/>
      <c r="EG36" s="11"/>
      <c r="EH36" s="166">
        <f>'(Bloom Raw Data)'!EJ32</f>
        <v>14.3628</v>
      </c>
      <c r="EI36" s="166">
        <f>'(Bloom Raw Data)'!EK32</f>
        <v>11.3551</v>
      </c>
      <c r="EJ36" s="166">
        <f>'(Bloom Raw Data)'!EL32</f>
        <v>10.0464</v>
      </c>
      <c r="EK36" s="166">
        <f>'(Bloom Raw Data)'!EM32</f>
        <v>9.3047000000000004</v>
      </c>
      <c r="EL36" s="166">
        <f>'(Bloom Raw Data)'!EN32</f>
        <v>9.4166000000000007</v>
      </c>
      <c r="EM36" s="166">
        <f>'(Bloom Raw Data)'!EO32</f>
        <v>10.9314</v>
      </c>
      <c r="EN36" s="166">
        <f>'(Bloom Raw Data)'!EP32</f>
        <v>11.9383</v>
      </c>
      <c r="EO36" s="166">
        <f>'(Bloom Raw Data)'!EQ32</f>
        <v>14.0906</v>
      </c>
      <c r="EP36" s="166" t="str">
        <f>'(Bloom Raw Data)'!ER32</f>
        <v>#N/A N/A</v>
      </c>
      <c r="EQ36" s="166" t="str">
        <f>'(Bloom Raw Data)'!ES32</f>
        <v>#N/A N/A</v>
      </c>
      <c r="ER36" s="166" t="str">
        <f>'(Bloom Raw Data)'!ET32</f>
        <v>#N/A N/A</v>
      </c>
      <c r="ES36" s="166" t="str">
        <f>'(Bloom Raw Data)'!EU32</f>
        <v>#N/A N/A</v>
      </c>
      <c r="ET36" s="166">
        <f>'(Bloom Raw Data)'!EV32</f>
        <v>92.537999999999997</v>
      </c>
      <c r="EU36" s="127">
        <f>$ET36+($EW36-$ET36)/3</f>
        <v>104.2683</v>
      </c>
      <c r="EV36" s="127">
        <f>$ET36+($EW36-$ET36)*2/3</f>
        <v>115.9986</v>
      </c>
      <c r="EW36" s="166">
        <f>'(Bloom Raw Data)'!EY32</f>
        <v>127.7289</v>
      </c>
      <c r="EX36" s="166"/>
      <c r="EY36" s="166"/>
      <c r="EZ36" s="166"/>
      <c r="FA36" s="166"/>
      <c r="FB36" s="166"/>
      <c r="FC36" s="166"/>
      <c r="FD36" s="166"/>
      <c r="FE36" s="166"/>
      <c r="FF36" s="166"/>
      <c r="FG36" s="166"/>
      <c r="FH36" s="166"/>
      <c r="FI36" s="166"/>
      <c r="FJ36" s="166"/>
      <c r="FK36" s="166"/>
      <c r="FL36" s="166"/>
      <c r="FM36" s="166"/>
      <c r="FN36" s="166"/>
      <c r="FO36" s="166">
        <f>'(Bloom Raw Data)'!FA32</f>
        <v>1.6787000000000001</v>
      </c>
      <c r="FP36" s="166">
        <f>'(Bloom Raw Data)'!FB32</f>
        <v>1.5789</v>
      </c>
      <c r="FQ36" s="166">
        <f>'(Bloom Raw Data)'!FC32</f>
        <v>1.4570000000000001</v>
      </c>
      <c r="FR36" s="166">
        <f>'(Bloom Raw Data)'!FD32</f>
        <v>1.5349999999999999</v>
      </c>
      <c r="FS36" s="166">
        <f>'(Bloom Raw Data)'!FE32</f>
        <v>1.5138</v>
      </c>
      <c r="FT36" s="166">
        <f>'(Bloom Raw Data)'!FF32</f>
        <v>1.5987</v>
      </c>
      <c r="FU36" s="166">
        <f>'(Bloom Raw Data)'!FG32</f>
        <v>1.6189</v>
      </c>
      <c r="FV36" s="166">
        <f>'(Bloom Raw Data)'!FH32</f>
        <v>1.5083</v>
      </c>
      <c r="FW36" s="127">
        <f>$FV36+($GA36-$FV36)*FW$34/5</f>
        <v>1.5264199999999999</v>
      </c>
      <c r="FX36" s="127">
        <f t="shared" si="36"/>
        <v>1.54454</v>
      </c>
      <c r="FY36" s="127">
        <f t="shared" si="36"/>
        <v>1.5626599999999999</v>
      </c>
      <c r="FZ36" s="127">
        <f t="shared" si="36"/>
        <v>1.5807800000000001</v>
      </c>
      <c r="GA36" s="166">
        <f>'(Bloom Raw Data)'!FM32</f>
        <v>1.5989</v>
      </c>
      <c r="GB36" s="127">
        <f>$GA36+($GD36-$GA36)/3</f>
        <v>1.6762999999999999</v>
      </c>
      <c r="GC36" s="127">
        <f>$GA36+($GD36-$GA36)*2/3</f>
        <v>1.7537</v>
      </c>
      <c r="GD36" s="166">
        <f>'(Bloom Raw Data)'!FP32</f>
        <v>1.8310999999999999</v>
      </c>
      <c r="GE36" s="166"/>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row>
    <row r="37" spans="1:236">
      <c r="A37" s="174" t="s">
        <v>485</v>
      </c>
      <c r="B37" s="216" t="s">
        <v>484</v>
      </c>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440"/>
      <c r="AJ37" s="440"/>
      <c r="AK37" s="440"/>
      <c r="AL37" s="440"/>
      <c r="AM37" s="440"/>
      <c r="AN37" s="440"/>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908">
        <f>'(Bloom Raw Data)'!DB33</f>
        <v>4.7956000000000003</v>
      </c>
      <c r="DB37" s="908">
        <f>'(Bloom Raw Data)'!DC33</f>
        <v>4.7956000000000003</v>
      </c>
      <c r="DC37" s="908">
        <f>'(Bloom Raw Data)'!DD33</f>
        <v>4.7956000000000003</v>
      </c>
      <c r="DD37" s="908">
        <f>'(Bloom Raw Data)'!DE33</f>
        <v>4.7956000000000003</v>
      </c>
      <c r="DE37" s="908">
        <f>'(Bloom Raw Data)'!DF33</f>
        <v>4.7956000000000003</v>
      </c>
      <c r="DF37" s="908">
        <f>'(Bloom Raw Data)'!DG33</f>
        <v>4.7956000000000003</v>
      </c>
      <c r="DG37" s="908">
        <f>'(Bloom Raw Data)'!DH33</f>
        <v>4.7956000000000003</v>
      </c>
      <c r="DH37" s="908">
        <f>'(Bloom Raw Data)'!DI33</f>
        <v>4.7956000000000003</v>
      </c>
      <c r="DI37" s="908">
        <f>'(Bloom Raw Data)'!DJ33</f>
        <v>4.7956000000000003</v>
      </c>
      <c r="DJ37" s="908">
        <f>'(Bloom Raw Data)'!DK33</f>
        <v>4.7956000000000003</v>
      </c>
      <c r="DK37" s="908">
        <f>'(Bloom Raw Data)'!DL33</f>
        <v>4.7956000000000003</v>
      </c>
      <c r="DL37" s="908">
        <f>'(Bloom Raw Data)'!DM33</f>
        <v>4.7956000000000003</v>
      </c>
      <c r="DM37" s="908">
        <f>'(Bloom Raw Data)'!DN33</f>
        <v>4.7956000000000003</v>
      </c>
      <c r="DN37" s="908">
        <f>'(Bloom Raw Data)'!DO33</f>
        <v>4.7956000000000003</v>
      </c>
      <c r="DO37" s="908">
        <f>'(Bloom Raw Data)'!DP33</f>
        <v>4.7956000000000003</v>
      </c>
      <c r="DP37" s="908">
        <f>'(Bloom Raw Data)'!DQ33</f>
        <v>5.1307999999999998</v>
      </c>
      <c r="DQ37" s="908"/>
      <c r="DR37" s="174"/>
      <c r="DS37" s="174"/>
      <c r="DT37" s="174"/>
      <c r="DU37" s="174"/>
      <c r="DV37" s="174"/>
      <c r="DW37" s="174"/>
      <c r="DX37" s="174"/>
      <c r="DY37" s="174"/>
      <c r="DZ37" s="174"/>
      <c r="EA37" s="174"/>
      <c r="EB37" s="174"/>
      <c r="EC37" s="174"/>
      <c r="ED37" s="174"/>
      <c r="EE37" s="174"/>
      <c r="EF37" s="174"/>
      <c r="EG37" s="174"/>
      <c r="EH37" s="908" t="str">
        <f>'(Bloom Raw Data)'!EJ33</f>
        <v>#N/A N/A</v>
      </c>
      <c r="EI37" s="908" t="str">
        <f>'(Bloom Raw Data)'!EK33</f>
        <v>#N/A N/A</v>
      </c>
      <c r="EJ37" s="908" t="str">
        <f>'(Bloom Raw Data)'!EL33</f>
        <v>#N/A N/A</v>
      </c>
      <c r="EK37" s="908" t="str">
        <f>'(Bloom Raw Data)'!EM33</f>
        <v>#N/A N/A</v>
      </c>
      <c r="EL37" s="908" t="str">
        <f>'(Bloom Raw Data)'!EN33</f>
        <v>#N/A N/A</v>
      </c>
      <c r="EM37" s="908" t="str">
        <f>'(Bloom Raw Data)'!EO33</f>
        <v>#N/A N/A</v>
      </c>
      <c r="EN37" s="908" t="str">
        <f>'(Bloom Raw Data)'!EP33</f>
        <v>#N/A N/A</v>
      </c>
      <c r="EO37" s="908" t="str">
        <f>'(Bloom Raw Data)'!EQ33</f>
        <v>#N/A N/A</v>
      </c>
      <c r="EP37" s="908" t="str">
        <f>'(Bloom Raw Data)'!ER33</f>
        <v>#N/A N/A</v>
      </c>
      <c r="EQ37" s="908" t="str">
        <f>'(Bloom Raw Data)'!ES33</f>
        <v>#N/A N/A</v>
      </c>
      <c r="ER37" s="908" t="str">
        <f>'(Bloom Raw Data)'!ET33</f>
        <v>#N/A N/A</v>
      </c>
      <c r="ES37" s="908" t="str">
        <f>'(Bloom Raw Data)'!EU33</f>
        <v>#N/A N/A</v>
      </c>
      <c r="ET37" s="908" t="str">
        <f>'(Bloom Raw Data)'!EV33</f>
        <v>#N/A N/A</v>
      </c>
      <c r="EU37" s="908" t="str">
        <f>'(Bloom Raw Data)'!EW33</f>
        <v>#N/A N/A</v>
      </c>
      <c r="EV37" s="908" t="str">
        <f>'(Bloom Raw Data)'!EX33</f>
        <v>#N/A N/A</v>
      </c>
      <c r="EW37" s="908" t="str">
        <f>'(Bloom Raw Data)'!EY33</f>
        <v>#N/A N/A</v>
      </c>
      <c r="EX37" s="908"/>
      <c r="EY37" s="908"/>
      <c r="EZ37" s="908"/>
      <c r="FA37" s="908"/>
      <c r="FB37" s="908"/>
      <c r="FC37" s="908"/>
      <c r="FD37" s="908"/>
      <c r="FE37" s="908"/>
      <c r="FF37" s="908"/>
      <c r="FG37" s="908"/>
      <c r="FH37" s="908"/>
      <c r="FI37" s="908"/>
      <c r="FJ37" s="908"/>
      <c r="FK37" s="908"/>
      <c r="FL37" s="908"/>
      <c r="FM37" s="908"/>
      <c r="FN37" s="908"/>
      <c r="FO37" s="908" t="str">
        <f>'(Bloom Raw Data)'!FA33</f>
        <v>#N/A N/A</v>
      </c>
      <c r="FP37" s="908" t="str">
        <f>'(Bloom Raw Data)'!FB33</f>
        <v>#N/A N/A</v>
      </c>
      <c r="FQ37" s="908" t="str">
        <f>'(Bloom Raw Data)'!FC33</f>
        <v>#N/A N/A</v>
      </c>
      <c r="FR37" s="908" t="str">
        <f>'(Bloom Raw Data)'!FD33</f>
        <v>#N/A N/A</v>
      </c>
      <c r="FS37" s="908" t="str">
        <f>'(Bloom Raw Data)'!FE33</f>
        <v>#N/A N/A</v>
      </c>
      <c r="FT37" s="908" t="str">
        <f>'(Bloom Raw Data)'!FF33</f>
        <v>#N/A N/A</v>
      </c>
      <c r="FU37" s="908" t="str">
        <f>'(Bloom Raw Data)'!FG33</f>
        <v>#N/A N/A</v>
      </c>
      <c r="FV37" s="908" t="str">
        <f>'(Bloom Raw Data)'!FH33</f>
        <v>#N/A N/A</v>
      </c>
      <c r="FW37" s="908" t="str">
        <f>'(Bloom Raw Data)'!FI33</f>
        <v>#N/A N/A</v>
      </c>
      <c r="FX37" s="908" t="str">
        <f>'(Bloom Raw Data)'!FJ33</f>
        <v>#N/A N/A</v>
      </c>
      <c r="FY37" s="908" t="str">
        <f>'(Bloom Raw Data)'!FK33</f>
        <v>#N/A N/A</v>
      </c>
      <c r="FZ37" s="908" t="str">
        <f>'(Bloom Raw Data)'!FL33</f>
        <v>#N/A N/A</v>
      </c>
      <c r="GA37" s="908" t="str">
        <f>'(Bloom Raw Data)'!FM33</f>
        <v>#N/A N/A</v>
      </c>
      <c r="GB37" s="908" t="str">
        <f>'(Bloom Raw Data)'!FN33</f>
        <v>#N/A N/A</v>
      </c>
      <c r="GC37" s="908" t="str">
        <f>'(Bloom Raw Data)'!FO33</f>
        <v>#N/A N/A</v>
      </c>
      <c r="GD37" s="908">
        <f>'(Bloom Raw Data)'!FP33</f>
        <v>1.6516999999999999</v>
      </c>
      <c r="GE37" s="908"/>
      <c r="GF37" s="174"/>
      <c r="GG37" s="174"/>
      <c r="GH37" s="174"/>
      <c r="GI37" s="174"/>
      <c r="GJ37" s="174"/>
      <c r="GK37" s="174"/>
      <c r="GL37" s="174"/>
      <c r="GM37" s="174"/>
      <c r="GN37" s="174"/>
      <c r="GO37" s="174"/>
      <c r="GP37" s="174"/>
      <c r="GQ37" s="174"/>
      <c r="GR37" s="174"/>
      <c r="GS37" s="174"/>
      <c r="GT37" s="174"/>
      <c r="GU37" s="174"/>
      <c r="GV37" s="174"/>
      <c r="GW37" s="174"/>
      <c r="GX37" s="174"/>
      <c r="GY37" s="174"/>
      <c r="GZ37" s="174"/>
      <c r="HA37" s="174"/>
      <c r="HB37" s="174"/>
      <c r="HC37" s="174"/>
      <c r="HD37" s="174"/>
      <c r="HE37" s="174"/>
      <c r="HF37" s="174"/>
      <c r="HG37" s="174"/>
      <c r="HH37" s="174"/>
      <c r="HI37" s="174"/>
      <c r="HJ37" s="174"/>
      <c r="HK37" s="174"/>
      <c r="HL37" s="174"/>
      <c r="HM37" s="174"/>
      <c r="HN37" s="174"/>
      <c r="HO37" s="174"/>
      <c r="HP37" s="174"/>
      <c r="HQ37" s="174"/>
      <c r="HR37" s="174"/>
      <c r="HS37" s="174"/>
      <c r="HT37" s="174"/>
      <c r="HU37" s="174"/>
      <c r="HV37" s="174"/>
      <c r="HW37" s="174"/>
      <c r="HX37" s="174"/>
      <c r="HY37" s="174"/>
      <c r="HZ37" s="174"/>
      <c r="IA37" s="174"/>
      <c r="IB37" s="174"/>
    </row>
    <row r="38" spans="1:236">
      <c r="A38" s="690" t="s">
        <v>489</v>
      </c>
      <c r="B38" s="692" t="s">
        <v>486</v>
      </c>
      <c r="C38" s="690"/>
      <c r="D38" s="690"/>
      <c r="E38" s="690"/>
      <c r="F38" s="690"/>
      <c r="G38" s="690"/>
      <c r="H38" s="690"/>
      <c r="I38" s="690"/>
      <c r="J38" s="690"/>
      <c r="K38" s="690"/>
      <c r="L38" s="690"/>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906"/>
      <c r="AJ38" s="906"/>
      <c r="AK38" s="906"/>
      <c r="AL38" s="906"/>
      <c r="AM38" s="906"/>
      <c r="AN38" s="906"/>
      <c r="AO38" s="906"/>
      <c r="AP38" s="906"/>
      <c r="AQ38" s="906"/>
      <c r="AR38" s="906"/>
      <c r="AS38" s="906"/>
      <c r="AT38" s="906"/>
      <c r="AU38" s="906"/>
      <c r="AV38" s="906"/>
      <c r="AW38" s="906"/>
      <c r="AX38" s="906"/>
      <c r="AY38" s="906"/>
      <c r="AZ38" s="906"/>
      <c r="BA38" s="906"/>
      <c r="BB38" s="906"/>
      <c r="BC38" s="906"/>
      <c r="BD38" s="906"/>
      <c r="BE38" s="906"/>
      <c r="BF38" s="906"/>
      <c r="BG38" s="906"/>
      <c r="BH38" s="906"/>
      <c r="BI38" s="906"/>
      <c r="BJ38" s="906"/>
      <c r="BK38" s="906"/>
      <c r="BL38" s="906"/>
      <c r="BM38" s="906"/>
      <c r="BN38" s="906"/>
      <c r="BO38" s="906"/>
      <c r="BP38" s="906"/>
      <c r="BQ38" s="906"/>
      <c r="BR38" s="906"/>
      <c r="BS38" s="906"/>
      <c r="BT38" s="906"/>
      <c r="BU38" s="906"/>
      <c r="BV38" s="690"/>
      <c r="BW38" s="690"/>
      <c r="BX38" s="690"/>
      <c r="BY38" s="690"/>
      <c r="BZ38" s="690"/>
      <c r="CA38" s="690"/>
      <c r="CB38" s="690"/>
      <c r="CC38" s="690"/>
      <c r="CD38" s="690"/>
      <c r="CE38" s="690"/>
      <c r="CF38" s="690"/>
      <c r="CG38" s="690"/>
      <c r="CH38" s="690"/>
      <c r="CI38" s="690"/>
      <c r="CJ38" s="690"/>
      <c r="CK38" s="690"/>
      <c r="CL38" s="690"/>
      <c r="CM38" s="690"/>
      <c r="CN38" s="690"/>
      <c r="CO38" s="690"/>
      <c r="CP38" s="690"/>
      <c r="CQ38" s="690"/>
      <c r="CR38" s="690"/>
      <c r="CS38" s="690"/>
      <c r="CT38" s="690"/>
      <c r="CU38" s="690"/>
      <c r="CV38" s="690"/>
      <c r="CW38" s="690"/>
      <c r="CX38" s="690"/>
      <c r="CY38" s="690"/>
      <c r="CZ38" s="690"/>
      <c r="DA38" s="705">
        <f>'(Bloom Raw Data)'!DB34</f>
        <v>6.1997</v>
      </c>
      <c r="DB38" s="705">
        <f>'(Bloom Raw Data)'!DC34</f>
        <v>6.2983000000000002</v>
      </c>
      <c r="DC38" s="705">
        <f>'(Bloom Raw Data)'!DD34</f>
        <v>6.1234000000000002</v>
      </c>
      <c r="DD38" s="705">
        <f>'(Bloom Raw Data)'!DE34</f>
        <v>6.5911999999999997</v>
      </c>
      <c r="DE38" s="705">
        <f>'(Bloom Raw Data)'!DF34</f>
        <v>6.6402000000000001</v>
      </c>
      <c r="DF38" s="705">
        <f>'(Bloom Raw Data)'!DG34</f>
        <v>6.8207000000000004</v>
      </c>
      <c r="DG38" s="705">
        <f>'(Bloom Raw Data)'!DH34</f>
        <v>6.6776999999999997</v>
      </c>
      <c r="DH38" s="705">
        <f>'(Bloom Raw Data)'!DI34</f>
        <v>6.476</v>
      </c>
      <c r="DI38" s="907">
        <f>$DH38+($DM38-$DH38)*DI$34/5</f>
        <v>6.4140600000000001</v>
      </c>
      <c r="DJ38" s="907">
        <f t="shared" si="35"/>
        <v>6.3521200000000002</v>
      </c>
      <c r="DK38" s="907">
        <f t="shared" si="35"/>
        <v>6.2901799999999994</v>
      </c>
      <c r="DL38" s="907">
        <f>$DH38+($DM38-$DH38)*DL$34/5</f>
        <v>6.2282399999999996</v>
      </c>
      <c r="DM38" s="705">
        <f>'(Bloom Raw Data)'!DN34</f>
        <v>6.1662999999999997</v>
      </c>
      <c r="DN38" s="907">
        <f>$DM38+($DP38-$DM38)/3</f>
        <v>6.8334666666666664</v>
      </c>
      <c r="DO38" s="907">
        <f>$DM38+($DP38-$DM38)*2/3</f>
        <v>7.500633333333333</v>
      </c>
      <c r="DP38" s="705">
        <f>'(Bloom Raw Data)'!DQ34</f>
        <v>8.1677999999999997</v>
      </c>
      <c r="DQ38" s="705"/>
      <c r="DR38" s="690"/>
      <c r="DS38" s="690"/>
      <c r="DT38" s="690"/>
      <c r="DU38" s="690"/>
      <c r="DV38" s="690"/>
      <c r="DW38" s="690"/>
      <c r="DX38" s="690"/>
      <c r="DY38" s="690"/>
      <c r="DZ38" s="690"/>
      <c r="EA38" s="690"/>
      <c r="EB38" s="690"/>
      <c r="EC38" s="690"/>
      <c r="ED38" s="690"/>
      <c r="EE38" s="690"/>
      <c r="EF38" s="690"/>
      <c r="EG38" s="690"/>
      <c r="EH38" s="705">
        <f>'(Bloom Raw Data)'!EJ34</f>
        <v>16.6341</v>
      </c>
      <c r="EI38" s="705">
        <f>'(Bloom Raw Data)'!EK34</f>
        <v>11.0204</v>
      </c>
      <c r="EJ38" s="705">
        <f>'(Bloom Raw Data)'!EL34</f>
        <v>10.469799999999999</v>
      </c>
      <c r="EK38" s="705">
        <f>'(Bloom Raw Data)'!EM34</f>
        <v>8.9239999999999995</v>
      </c>
      <c r="EL38" s="705">
        <f>'(Bloom Raw Data)'!EN34</f>
        <v>9.4634999999999998</v>
      </c>
      <c r="EM38" s="705">
        <f>'(Bloom Raw Data)'!EO34</f>
        <v>12.786200000000001</v>
      </c>
      <c r="EN38" s="705">
        <f>'(Bloom Raw Data)'!EP34</f>
        <v>12.34</v>
      </c>
      <c r="EO38" s="705">
        <f>'(Bloom Raw Data)'!EQ34</f>
        <v>13.475199999999999</v>
      </c>
      <c r="EP38" s="705" t="str">
        <f>'(Bloom Raw Data)'!ER34</f>
        <v>#N/A N/A</v>
      </c>
      <c r="EQ38" s="705" t="str">
        <f>'(Bloom Raw Data)'!ES34</f>
        <v>#N/A N/A</v>
      </c>
      <c r="ER38" s="705" t="str">
        <f>'(Bloom Raw Data)'!ET34</f>
        <v>#N/A N/A</v>
      </c>
      <c r="ES38" s="705" t="str">
        <f>'(Bloom Raw Data)'!EU34</f>
        <v>#N/A N/A</v>
      </c>
      <c r="ET38" s="705" t="str">
        <f>'(Bloom Raw Data)'!EV34</f>
        <v>#N/A N/A</v>
      </c>
      <c r="EU38" s="705" t="str">
        <f>'(Bloom Raw Data)'!EW34</f>
        <v>#N/A N/A</v>
      </c>
      <c r="EV38" s="705" t="str">
        <f>'(Bloom Raw Data)'!EX34</f>
        <v>#N/A N/A</v>
      </c>
      <c r="EW38" s="705" t="str">
        <f>'(Bloom Raw Data)'!EY34</f>
        <v>#N/A N/A</v>
      </c>
      <c r="EX38" s="705"/>
      <c r="EY38" s="705"/>
      <c r="EZ38" s="705"/>
      <c r="FA38" s="705"/>
      <c r="FB38" s="705"/>
      <c r="FC38" s="705"/>
      <c r="FD38" s="705"/>
      <c r="FE38" s="705"/>
      <c r="FF38" s="705"/>
      <c r="FG38" s="705"/>
      <c r="FH38" s="705"/>
      <c r="FI38" s="705"/>
      <c r="FJ38" s="705"/>
      <c r="FK38" s="705"/>
      <c r="FL38" s="705"/>
      <c r="FM38" s="705"/>
      <c r="FN38" s="705"/>
      <c r="FO38" s="705">
        <f>'(Bloom Raw Data)'!FA34</f>
        <v>1.028</v>
      </c>
      <c r="FP38" s="705">
        <f>'(Bloom Raw Data)'!FB34</f>
        <v>1.0049999999999999</v>
      </c>
      <c r="FQ38" s="705">
        <f>'(Bloom Raw Data)'!FC34</f>
        <v>0.98580000000000001</v>
      </c>
      <c r="FR38" s="705">
        <f>'(Bloom Raw Data)'!FD34</f>
        <v>1.0396000000000001</v>
      </c>
      <c r="FS38" s="705">
        <f>'(Bloom Raw Data)'!FE34</f>
        <v>1.0711999999999999</v>
      </c>
      <c r="FT38" s="705">
        <f>'(Bloom Raw Data)'!FF34</f>
        <v>1.1758999999999999</v>
      </c>
      <c r="FU38" s="705">
        <f>'(Bloom Raw Data)'!FG34</f>
        <v>1.1246</v>
      </c>
      <c r="FV38" s="705">
        <f>'(Bloom Raw Data)'!FH34</f>
        <v>1.0964</v>
      </c>
      <c r="FW38" s="907">
        <f>$FV38+($GA38-$FV38)*FW$34/5</f>
        <v>1.1269400000000001</v>
      </c>
      <c r="FX38" s="907">
        <f t="shared" si="36"/>
        <v>1.1574800000000001</v>
      </c>
      <c r="FY38" s="907">
        <f t="shared" si="36"/>
        <v>1.1880199999999999</v>
      </c>
      <c r="FZ38" s="907">
        <f t="shared" si="36"/>
        <v>1.2185599999999999</v>
      </c>
      <c r="GA38" s="705">
        <f>'(Bloom Raw Data)'!FM34</f>
        <v>1.2490999999999999</v>
      </c>
      <c r="GB38" s="907">
        <f>$GA38+($GD38-$GA38)/3</f>
        <v>1.3798333333333332</v>
      </c>
      <c r="GC38" s="907">
        <f>$GA38+($GD38-$GA38)*2/3</f>
        <v>1.5105666666666666</v>
      </c>
      <c r="GD38" s="705">
        <f>'(Bloom Raw Data)'!FP34</f>
        <v>1.6413</v>
      </c>
      <c r="GE38" s="705"/>
      <c r="GF38" s="690"/>
      <c r="GG38" s="690"/>
      <c r="GH38" s="690"/>
      <c r="GI38" s="690"/>
      <c r="GJ38" s="690"/>
      <c r="GK38" s="690"/>
      <c r="GL38" s="690"/>
      <c r="GM38" s="690"/>
      <c r="GN38" s="690"/>
      <c r="GO38" s="690"/>
      <c r="GP38" s="690"/>
      <c r="GQ38" s="690"/>
      <c r="GR38" s="690"/>
      <c r="GS38" s="690"/>
      <c r="GT38" s="690"/>
      <c r="GU38" s="690"/>
      <c r="GV38" s="690"/>
      <c r="GW38" s="690"/>
      <c r="GX38" s="690"/>
      <c r="GY38" s="690"/>
      <c r="GZ38" s="690"/>
      <c r="HA38" s="690"/>
      <c r="HB38" s="690"/>
      <c r="HC38" s="690"/>
      <c r="HD38" s="690"/>
      <c r="HE38" s="690"/>
      <c r="HF38" s="690"/>
      <c r="HG38" s="690"/>
      <c r="HH38" s="690"/>
      <c r="HI38" s="690"/>
      <c r="HJ38" s="690"/>
      <c r="HK38" s="690"/>
      <c r="HL38" s="690"/>
      <c r="HM38" s="690"/>
      <c r="HN38" s="690"/>
      <c r="HO38" s="690"/>
      <c r="HP38" s="690"/>
      <c r="HQ38" s="690"/>
      <c r="HR38" s="690"/>
      <c r="HS38" s="690"/>
      <c r="HT38" s="690"/>
      <c r="HU38" s="690"/>
      <c r="HV38" s="690"/>
      <c r="HW38" s="690"/>
      <c r="HX38" s="690"/>
      <c r="HY38" s="690"/>
      <c r="HZ38" s="690"/>
      <c r="IA38" s="690"/>
      <c r="IB38" s="690"/>
    </row>
    <row r="39" spans="1:236">
      <c r="A39" s="690" t="s">
        <v>487</v>
      </c>
      <c r="B39" s="692" t="s">
        <v>488</v>
      </c>
      <c r="C39" s="690"/>
      <c r="D39" s="690"/>
      <c r="E39" s="690"/>
      <c r="F39" s="690"/>
      <c r="G39" s="690"/>
      <c r="H39" s="690"/>
      <c r="I39" s="690"/>
      <c r="J39" s="690"/>
      <c r="K39" s="690"/>
      <c r="L39" s="690"/>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690"/>
      <c r="AP39" s="690"/>
      <c r="AQ39" s="690"/>
      <c r="AR39" s="690"/>
      <c r="AS39" s="690"/>
      <c r="AT39" s="690"/>
      <c r="AU39" s="690"/>
      <c r="AV39" s="690"/>
      <c r="AW39" s="690"/>
      <c r="AX39" s="690"/>
      <c r="AY39" s="690"/>
      <c r="AZ39" s="690"/>
      <c r="BA39" s="690"/>
      <c r="BB39" s="690"/>
      <c r="BC39" s="690"/>
      <c r="BD39" s="690"/>
      <c r="BE39" s="690"/>
      <c r="BF39" s="690"/>
      <c r="BG39" s="690"/>
      <c r="BH39" s="690"/>
      <c r="BI39" s="690"/>
      <c r="BJ39" s="690"/>
      <c r="BK39" s="690"/>
      <c r="BL39" s="690"/>
      <c r="BM39" s="690"/>
      <c r="BN39" s="690"/>
      <c r="BO39" s="690"/>
      <c r="BP39" s="690"/>
      <c r="BQ39" s="690"/>
      <c r="BR39" s="690"/>
      <c r="BS39" s="690"/>
      <c r="BT39" s="690"/>
      <c r="BU39" s="690"/>
      <c r="BV39" s="690"/>
      <c r="BW39" s="690"/>
      <c r="BX39" s="690"/>
      <c r="BY39" s="690"/>
      <c r="BZ39" s="690"/>
      <c r="CA39" s="690"/>
      <c r="CB39" s="690"/>
      <c r="CC39" s="690"/>
      <c r="CD39" s="690"/>
      <c r="CE39" s="690"/>
      <c r="CF39" s="690"/>
      <c r="CG39" s="690"/>
      <c r="CH39" s="690"/>
      <c r="CI39" s="690"/>
      <c r="CJ39" s="690"/>
      <c r="CK39" s="690"/>
      <c r="CL39" s="690"/>
      <c r="CM39" s="690"/>
      <c r="CN39" s="690"/>
      <c r="CO39" s="690"/>
      <c r="CP39" s="690"/>
      <c r="CQ39" s="690"/>
      <c r="CR39" s="690"/>
      <c r="CS39" s="690"/>
      <c r="CT39" s="690"/>
      <c r="CU39" s="690"/>
      <c r="CV39" s="690"/>
      <c r="CW39" s="690"/>
      <c r="CX39" s="690"/>
      <c r="CY39" s="690"/>
      <c r="CZ39" s="690"/>
      <c r="DA39" s="705">
        <f>'(Bloom Raw Data)'!DB35</f>
        <v>5.3141999999999996</v>
      </c>
      <c r="DB39" s="705">
        <f>'(Bloom Raw Data)'!DC35</f>
        <v>5.3106</v>
      </c>
      <c r="DC39" s="705">
        <f>'(Bloom Raw Data)'!DD35</f>
        <v>5.0982000000000003</v>
      </c>
      <c r="DD39" s="705">
        <f>'(Bloom Raw Data)'!DE35</f>
        <v>5.4623999999999997</v>
      </c>
      <c r="DE39" s="705">
        <f>'(Bloom Raw Data)'!DF35</f>
        <v>5.1510999999999996</v>
      </c>
      <c r="DF39" s="705">
        <f>'(Bloom Raw Data)'!DG35</f>
        <v>5.2797999999999998</v>
      </c>
      <c r="DG39" s="705">
        <f>'(Bloom Raw Data)'!DH35</f>
        <v>5.1737000000000002</v>
      </c>
      <c r="DH39" s="705">
        <f>'(Bloom Raw Data)'!DI35</f>
        <v>4.8963999999999999</v>
      </c>
      <c r="DI39" s="907">
        <f>$DH39+($DM39-$DH39)*DI$34/5</f>
        <v>4.8194799999999995</v>
      </c>
      <c r="DJ39" s="907">
        <f t="shared" si="35"/>
        <v>4.7425600000000001</v>
      </c>
      <c r="DK39" s="907">
        <f t="shared" si="35"/>
        <v>4.6656399999999998</v>
      </c>
      <c r="DL39" s="907">
        <f>$DH39+($DM39-$DH39)*DL$34/5</f>
        <v>4.5887200000000004</v>
      </c>
      <c r="DM39" s="705">
        <f>'(Bloom Raw Data)'!DN35</f>
        <v>4.5118</v>
      </c>
      <c r="DN39" s="907">
        <f>$DM39+($DP39-$DM39)/3</f>
        <v>4.7328999999999999</v>
      </c>
      <c r="DO39" s="907">
        <f>$DM39+($DP39-$DM39)*2/3</f>
        <v>4.9539999999999997</v>
      </c>
      <c r="DP39" s="705">
        <f>'(Bloom Raw Data)'!DQ35</f>
        <v>5.1750999999999996</v>
      </c>
      <c r="DQ39" s="705"/>
      <c r="DR39" s="690"/>
      <c r="DS39" s="690"/>
      <c r="DT39" s="690"/>
      <c r="DU39" s="690"/>
      <c r="DV39" s="690"/>
      <c r="DW39" s="690"/>
      <c r="DX39" s="690"/>
      <c r="DY39" s="690"/>
      <c r="DZ39" s="690"/>
      <c r="EA39" s="690"/>
      <c r="EB39" s="690"/>
      <c r="EC39" s="690"/>
      <c r="ED39" s="690"/>
      <c r="EE39" s="690"/>
      <c r="EF39" s="690"/>
      <c r="EG39" s="690"/>
      <c r="EH39" s="705">
        <f>'(Bloom Raw Data)'!EJ35</f>
        <v>12.514799999999999</v>
      </c>
      <c r="EI39" s="705">
        <f>'(Bloom Raw Data)'!EK35</f>
        <v>10.891500000000001</v>
      </c>
      <c r="EJ39" s="705">
        <f>'(Bloom Raw Data)'!EL35</f>
        <v>9.0869</v>
      </c>
      <c r="EK39" s="705">
        <f>'(Bloom Raw Data)'!EM35</f>
        <v>8.9527000000000001</v>
      </c>
      <c r="EL39" s="705">
        <f>'(Bloom Raw Data)'!EN35</f>
        <v>8.6904000000000003</v>
      </c>
      <c r="EM39" s="705">
        <f>'(Bloom Raw Data)'!EO35</f>
        <v>8.9420999999999999</v>
      </c>
      <c r="EN39" s="705">
        <f>'(Bloom Raw Data)'!EP35</f>
        <v>10.296099999999999</v>
      </c>
      <c r="EO39" s="705">
        <f>'(Bloom Raw Data)'!EQ35</f>
        <v>12.899900000000001</v>
      </c>
      <c r="EP39" s="705" t="str">
        <f>'(Bloom Raw Data)'!ER35</f>
        <v>#N/A N/A</v>
      </c>
      <c r="EQ39" s="705" t="str">
        <f>'(Bloom Raw Data)'!ES35</f>
        <v>#N/A N/A</v>
      </c>
      <c r="ER39" s="705" t="str">
        <f>'(Bloom Raw Data)'!ET35</f>
        <v>#N/A N/A</v>
      </c>
      <c r="ES39" s="705" t="str">
        <f>'(Bloom Raw Data)'!EU35</f>
        <v>#N/A N/A</v>
      </c>
      <c r="ET39" s="705">
        <f>'(Bloom Raw Data)'!EV35</f>
        <v>15.9001</v>
      </c>
      <c r="EU39" s="907">
        <f>$ET39+($EW39-$ET39)/3</f>
        <v>21.641566666666666</v>
      </c>
      <c r="EV39" s="907">
        <f>$ET39+($EW39-$ET39)*2/3</f>
        <v>27.38303333333333</v>
      </c>
      <c r="EW39" s="705">
        <f>'(Bloom Raw Data)'!EY35</f>
        <v>33.124499999999998</v>
      </c>
      <c r="EX39" s="705"/>
      <c r="EY39" s="705"/>
      <c r="EZ39" s="705"/>
      <c r="FA39" s="705"/>
      <c r="FB39" s="705"/>
      <c r="FC39" s="705"/>
      <c r="FD39" s="705"/>
      <c r="FE39" s="705"/>
      <c r="FF39" s="705"/>
      <c r="FG39" s="705"/>
      <c r="FH39" s="705"/>
      <c r="FI39" s="705"/>
      <c r="FJ39" s="705"/>
      <c r="FK39" s="705"/>
      <c r="FL39" s="705"/>
      <c r="FM39" s="705"/>
      <c r="FN39" s="705"/>
      <c r="FO39" s="705">
        <f>'(Bloom Raw Data)'!FA35</f>
        <v>2.6835</v>
      </c>
      <c r="FP39" s="705">
        <f>'(Bloom Raw Data)'!FB35</f>
        <v>2.4567999999999999</v>
      </c>
      <c r="FQ39" s="705">
        <f>'(Bloom Raw Data)'!FC35</f>
        <v>2.1610999999999998</v>
      </c>
      <c r="FR39" s="705">
        <f>'(Bloom Raw Data)'!FD35</f>
        <v>2.19</v>
      </c>
      <c r="FS39" s="705">
        <f>'(Bloom Raw Data)'!FE35</f>
        <v>2.0546000000000002</v>
      </c>
      <c r="FT39" s="705">
        <f>'(Bloom Raw Data)'!FF35</f>
        <v>2.0670000000000002</v>
      </c>
      <c r="FU39" s="705">
        <f>'(Bloom Raw Data)'!FG35</f>
        <v>2.1957</v>
      </c>
      <c r="FV39" s="705">
        <f>'(Bloom Raw Data)'!FH35</f>
        <v>1.9914000000000001</v>
      </c>
      <c r="FW39" s="907">
        <f>$FV39+($GA39-$FV39)*FW$34/5</f>
        <v>1.9504600000000001</v>
      </c>
      <c r="FX39" s="907">
        <f t="shared" si="36"/>
        <v>1.9095200000000001</v>
      </c>
      <c r="FY39" s="907">
        <f t="shared" si="36"/>
        <v>1.8685799999999999</v>
      </c>
      <c r="FZ39" s="907">
        <f t="shared" si="36"/>
        <v>1.8276399999999999</v>
      </c>
      <c r="GA39" s="705">
        <f>'(Bloom Raw Data)'!FM35</f>
        <v>1.7867</v>
      </c>
      <c r="GB39" s="907">
        <f>$GA39+($GD39-$GA39)/3</f>
        <v>1.9305333333333332</v>
      </c>
      <c r="GC39" s="907">
        <f>$GA39+($GD39-$GA39)*2/3</f>
        <v>2.0743666666666667</v>
      </c>
      <c r="GD39" s="705">
        <f>'(Bloom Raw Data)'!FP35</f>
        <v>2.2181999999999999</v>
      </c>
      <c r="GE39" s="705"/>
      <c r="GF39" s="690"/>
      <c r="GG39" s="690"/>
      <c r="GH39" s="690"/>
      <c r="GI39" s="690"/>
      <c r="GJ39" s="690"/>
      <c r="GK39" s="690"/>
      <c r="GL39" s="690"/>
      <c r="GM39" s="690"/>
      <c r="GN39" s="690"/>
      <c r="GO39" s="690"/>
      <c r="GP39" s="690"/>
      <c r="GQ39" s="690"/>
      <c r="GR39" s="690"/>
      <c r="GS39" s="690"/>
      <c r="GT39" s="690"/>
      <c r="GU39" s="690"/>
      <c r="GV39" s="690"/>
      <c r="GW39" s="690"/>
      <c r="GX39" s="690"/>
      <c r="GY39" s="690"/>
      <c r="GZ39" s="690"/>
      <c r="HA39" s="690"/>
      <c r="HB39" s="690"/>
      <c r="HC39" s="690"/>
      <c r="HD39" s="690"/>
      <c r="HE39" s="690"/>
      <c r="HF39" s="690"/>
      <c r="HG39" s="690"/>
      <c r="HH39" s="690"/>
      <c r="HI39" s="690"/>
      <c r="HJ39" s="690"/>
      <c r="HK39" s="690"/>
      <c r="HL39" s="690"/>
      <c r="HM39" s="690"/>
      <c r="HN39" s="690"/>
      <c r="HO39" s="690"/>
      <c r="HP39" s="690"/>
      <c r="HQ39" s="690"/>
      <c r="HR39" s="690"/>
      <c r="HS39" s="690"/>
      <c r="HT39" s="690"/>
      <c r="HU39" s="690"/>
      <c r="HV39" s="690"/>
      <c r="HW39" s="690"/>
      <c r="HX39" s="690"/>
      <c r="HY39" s="690"/>
      <c r="HZ39" s="690"/>
      <c r="IA39" s="690"/>
      <c r="IB39" s="690"/>
    </row>
    <row r="40" spans="1:236">
      <c r="A40" s="11" t="s">
        <v>491</v>
      </c>
      <c r="B40" s="7" t="s">
        <v>492</v>
      </c>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66">
        <f>'(Bloom Raw Data)'!DB36</f>
        <v>7.6870000000000003</v>
      </c>
      <c r="DB40" s="166">
        <f>'(Bloom Raw Data)'!DC36</f>
        <v>7.2636000000000003</v>
      </c>
      <c r="DC40" s="166">
        <f>'(Bloom Raw Data)'!DD36</f>
        <v>6.7767999999999997</v>
      </c>
      <c r="DD40" s="166">
        <f>'(Bloom Raw Data)'!DE36</f>
        <v>6.9335000000000004</v>
      </c>
      <c r="DE40" s="166">
        <f>'(Bloom Raw Data)'!DF36</f>
        <v>6.8560999999999996</v>
      </c>
      <c r="DF40" s="166">
        <f>'(Bloom Raw Data)'!DG36</f>
        <v>7.0479000000000003</v>
      </c>
      <c r="DG40" s="166">
        <f>'(Bloom Raw Data)'!DH36</f>
        <v>6.8548999999999998</v>
      </c>
      <c r="DH40" s="166">
        <f>'(Bloom Raw Data)'!DI36</f>
        <v>6.6774000000000004</v>
      </c>
      <c r="DI40" s="127">
        <f>$DH40+($DM40-$DH40)*DI$34/5</f>
        <v>6.5923800000000004</v>
      </c>
      <c r="DJ40" s="127">
        <f t="shared" si="35"/>
        <v>6.5073600000000003</v>
      </c>
      <c r="DK40" s="127">
        <f t="shared" si="35"/>
        <v>6.4223400000000002</v>
      </c>
      <c r="DL40" s="127">
        <f>$DH40+($DM40-$DH40)*DL$34/5</f>
        <v>6.3373200000000001</v>
      </c>
      <c r="DM40" s="166">
        <f>'(Bloom Raw Data)'!DN36</f>
        <v>6.2523</v>
      </c>
      <c r="DN40" s="127">
        <f>$DM40+($DP40-$DM40)/3</f>
        <v>6.4127666666666663</v>
      </c>
      <c r="DO40" s="127">
        <f>$DM40+($DP40-$DM40)*2/3</f>
        <v>6.5732333333333335</v>
      </c>
      <c r="DP40" s="166">
        <f>'(Bloom Raw Data)'!DQ36</f>
        <v>6.7336999999999998</v>
      </c>
      <c r="DQ40" s="166"/>
      <c r="DR40" s="11"/>
      <c r="DS40" s="11"/>
      <c r="DT40" s="11"/>
      <c r="DU40" s="11"/>
      <c r="DV40" s="11"/>
      <c r="DW40" s="11"/>
      <c r="DX40" s="11"/>
      <c r="DY40" s="11"/>
      <c r="DZ40" s="11"/>
      <c r="EA40" s="11"/>
      <c r="EB40" s="11"/>
      <c r="EC40" s="11"/>
      <c r="ED40" s="11"/>
      <c r="EE40" s="11"/>
      <c r="EF40" s="11"/>
      <c r="EG40" s="11"/>
      <c r="EH40" s="166">
        <f>'(Bloom Raw Data)'!EJ36</f>
        <v>10.563800000000001</v>
      </c>
      <c r="EI40" s="166">
        <f>'(Bloom Raw Data)'!EK36</f>
        <v>10.401400000000001</v>
      </c>
      <c r="EJ40" s="166">
        <f>'(Bloom Raw Data)'!EL36</f>
        <v>8.9009999999999998</v>
      </c>
      <c r="EK40" s="166">
        <f>'(Bloom Raw Data)'!EM36</f>
        <v>10.0366</v>
      </c>
      <c r="EL40" s="166">
        <f>'(Bloom Raw Data)'!EN36</f>
        <v>10.5868</v>
      </c>
      <c r="EM40" s="166">
        <f>'(Bloom Raw Data)'!EO36</f>
        <v>10.329800000000001</v>
      </c>
      <c r="EN40" s="166">
        <f>'(Bloom Raw Data)'!EP36</f>
        <v>12.573399999999999</v>
      </c>
      <c r="EO40" s="166">
        <f>'(Bloom Raw Data)'!EQ36</f>
        <v>11.691800000000001</v>
      </c>
      <c r="EP40" s="166" t="str">
        <f>'(Bloom Raw Data)'!ER36</f>
        <v>#N/A N/A</v>
      </c>
      <c r="EQ40" s="166" t="str">
        <f>'(Bloom Raw Data)'!ES36</f>
        <v>#N/A N/A</v>
      </c>
      <c r="ER40" s="166" t="str">
        <f>'(Bloom Raw Data)'!ET36</f>
        <v>#N/A N/A</v>
      </c>
      <c r="ES40" s="166" t="str">
        <f>'(Bloom Raw Data)'!EU36</f>
        <v>#N/A N/A</v>
      </c>
      <c r="ET40" s="166">
        <f>'(Bloom Raw Data)'!EV36</f>
        <v>14.7819</v>
      </c>
      <c r="EU40" s="127">
        <f>$DM40+($DP40-$DM40)/3</f>
        <v>6.4127666666666663</v>
      </c>
      <c r="EV40" s="127">
        <f>$DM40+($DP40-$DM40)*2/3</f>
        <v>6.5732333333333335</v>
      </c>
      <c r="EW40" s="166">
        <f>'(Bloom Raw Data)'!EY36</f>
        <v>15.0055</v>
      </c>
      <c r="EX40" s="166"/>
      <c r="EY40" s="166"/>
      <c r="EZ40" s="166"/>
      <c r="FA40" s="166"/>
      <c r="FB40" s="166"/>
      <c r="FC40" s="166"/>
      <c r="FD40" s="166"/>
      <c r="FE40" s="166"/>
      <c r="FF40" s="166"/>
      <c r="FG40" s="166"/>
      <c r="FH40" s="166"/>
      <c r="FI40" s="166"/>
      <c r="FJ40" s="166"/>
      <c r="FK40" s="166"/>
      <c r="FL40" s="166"/>
      <c r="FM40" s="166"/>
      <c r="FN40" s="166"/>
      <c r="FO40" s="166">
        <f>'(Bloom Raw Data)'!FA36</f>
        <v>1.6503000000000001</v>
      </c>
      <c r="FP40" s="166">
        <f>'(Bloom Raw Data)'!FB36</f>
        <v>1.5335999999999999</v>
      </c>
      <c r="FQ40" s="166">
        <f>'(Bloom Raw Data)'!FC36</f>
        <v>1.3122</v>
      </c>
      <c r="FR40" s="166">
        <f>'(Bloom Raw Data)'!FD36</f>
        <v>1.3708</v>
      </c>
      <c r="FS40" s="166">
        <f>'(Bloom Raw Data)'!FE36</f>
        <v>1.3264</v>
      </c>
      <c r="FT40" s="166">
        <f>'(Bloom Raw Data)'!FF36</f>
        <v>1.3075000000000001</v>
      </c>
      <c r="FU40" s="166">
        <f>'(Bloom Raw Data)'!FG36</f>
        <v>1.3391</v>
      </c>
      <c r="FV40" s="166">
        <f>'(Bloom Raw Data)'!FH36</f>
        <v>1.1859</v>
      </c>
      <c r="FW40" s="127">
        <f>$FV40+($GA40-$FV40)*FW$34/5</f>
        <v>1.1853</v>
      </c>
      <c r="FX40" s="127">
        <f t="shared" si="36"/>
        <v>1.1847000000000001</v>
      </c>
      <c r="FY40" s="127">
        <f t="shared" si="36"/>
        <v>1.1840999999999999</v>
      </c>
      <c r="FZ40" s="127">
        <f t="shared" si="36"/>
        <v>1.1835</v>
      </c>
      <c r="GA40" s="166">
        <f>'(Bloom Raw Data)'!FM36</f>
        <v>1.1829000000000001</v>
      </c>
      <c r="GB40" s="127">
        <f>$GA40+($GD40-$GA40)/3</f>
        <v>1.1926333333333334</v>
      </c>
      <c r="GC40" s="127">
        <f>$GA40+($GD40-$GA40)*2/3</f>
        <v>1.2023666666666666</v>
      </c>
      <c r="GD40" s="166">
        <f>'(Bloom Raw Data)'!FP36</f>
        <v>1.2121</v>
      </c>
      <c r="GE40" s="166"/>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row>
    <row r="41" spans="1:236">
      <c r="A41" s="11" t="s">
        <v>493</v>
      </c>
      <c r="B41" s="7" t="s">
        <v>494</v>
      </c>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66">
        <f>'(Bloom Raw Data)'!DB37</f>
        <v>6.1516999999999999</v>
      </c>
      <c r="DB41" s="166">
        <f>'(Bloom Raw Data)'!DC37</f>
        <v>6.1516999999999999</v>
      </c>
      <c r="DC41" s="166">
        <f>'(Bloom Raw Data)'!DD37</f>
        <v>6.1516999999999999</v>
      </c>
      <c r="DD41" s="166">
        <f>'(Bloom Raw Data)'!DE37</f>
        <v>6.1516999999999999</v>
      </c>
      <c r="DE41" s="166">
        <f>'(Bloom Raw Data)'!DF37</f>
        <v>6.1516999999999999</v>
      </c>
      <c r="DF41" s="166">
        <f>'(Bloom Raw Data)'!DG37</f>
        <v>6.1516999999999999</v>
      </c>
      <c r="DG41" s="166">
        <f>'(Bloom Raw Data)'!DH37</f>
        <v>6.1516999999999999</v>
      </c>
      <c r="DH41" s="166">
        <f>'(Bloom Raw Data)'!DI37</f>
        <v>6.1516999999999999</v>
      </c>
      <c r="DI41" s="166">
        <f>'(Bloom Raw Data)'!DJ37</f>
        <v>6.1516999999999999</v>
      </c>
      <c r="DJ41" s="166">
        <f>'(Bloom Raw Data)'!DK37</f>
        <v>6.1516999999999999</v>
      </c>
      <c r="DK41" s="166">
        <f>'(Bloom Raw Data)'!DL37</f>
        <v>6.1516999999999999</v>
      </c>
      <c r="DL41" s="166">
        <f>'(Bloom Raw Data)'!DM37</f>
        <v>6.1516999999999999</v>
      </c>
      <c r="DM41" s="166">
        <f>'(Bloom Raw Data)'!DN37</f>
        <v>6.1516999999999999</v>
      </c>
      <c r="DN41" s="166">
        <f>'(Bloom Raw Data)'!DO37</f>
        <v>6.1516999999999999</v>
      </c>
      <c r="DO41" s="166">
        <f>'(Bloom Raw Data)'!DP37</f>
        <v>6.1516999999999999</v>
      </c>
      <c r="DP41" s="166">
        <f>'(Bloom Raw Data)'!DQ37</f>
        <v>6.3365</v>
      </c>
      <c r="DQ41" s="166"/>
      <c r="DR41" s="11"/>
      <c r="DS41" s="11"/>
      <c r="DT41" s="11"/>
      <c r="DU41" s="11"/>
      <c r="DV41" s="11"/>
      <c r="DW41" s="11"/>
      <c r="DX41" s="11"/>
      <c r="DY41" s="11"/>
      <c r="DZ41" s="11"/>
      <c r="EA41" s="11"/>
      <c r="EB41" s="11"/>
      <c r="EC41" s="11"/>
      <c r="ED41" s="11"/>
      <c r="EE41" s="11"/>
      <c r="EF41" s="11"/>
      <c r="EG41" s="11"/>
      <c r="EH41" s="166" t="str">
        <f>'(Bloom Raw Data)'!EJ37</f>
        <v>#N/A N/A</v>
      </c>
      <c r="EI41" s="166" t="str">
        <f>'(Bloom Raw Data)'!EK37</f>
        <v>#N/A N/A</v>
      </c>
      <c r="EJ41" s="166" t="str">
        <f>'(Bloom Raw Data)'!EL37</f>
        <v>#N/A N/A</v>
      </c>
      <c r="EK41" s="166" t="str">
        <f>'(Bloom Raw Data)'!EM37</f>
        <v>#N/A N/A</v>
      </c>
      <c r="EL41" s="166" t="str">
        <f>'(Bloom Raw Data)'!EN37</f>
        <v>#N/A N/A</v>
      </c>
      <c r="EM41" s="166" t="str">
        <f>'(Bloom Raw Data)'!EO37</f>
        <v>#N/A N/A</v>
      </c>
      <c r="EN41" s="166" t="str">
        <f>'(Bloom Raw Data)'!EP37</f>
        <v>#N/A N/A</v>
      </c>
      <c r="EO41" s="166" t="str">
        <f>'(Bloom Raw Data)'!EQ37</f>
        <v>#N/A N/A</v>
      </c>
      <c r="EP41" s="166" t="str">
        <f>'(Bloom Raw Data)'!ER37</f>
        <v>#N/A N/A</v>
      </c>
      <c r="EQ41" s="166" t="str">
        <f>'(Bloom Raw Data)'!ES37</f>
        <v>#N/A N/A</v>
      </c>
      <c r="ER41" s="166" t="str">
        <f>'(Bloom Raw Data)'!ET37</f>
        <v>#N/A N/A</v>
      </c>
      <c r="ES41" s="166" t="str">
        <f>'(Bloom Raw Data)'!EU37</f>
        <v>#N/A N/A</v>
      </c>
      <c r="ET41" s="166" t="str">
        <f>'(Bloom Raw Data)'!EV37</f>
        <v>#N/A N/A</v>
      </c>
      <c r="EU41" s="166" t="str">
        <f>'(Bloom Raw Data)'!EW37</f>
        <v>#N/A N/A</v>
      </c>
      <c r="EV41" s="166" t="str">
        <f>'(Bloom Raw Data)'!EX37</f>
        <v>#N/A N/A</v>
      </c>
      <c r="EW41" s="166">
        <f>'(Bloom Raw Data)'!EY37</f>
        <v>14.7461</v>
      </c>
      <c r="EX41" s="166"/>
      <c r="EY41" s="166"/>
      <c r="EZ41" s="166"/>
      <c r="FA41" s="166"/>
      <c r="FB41" s="166"/>
      <c r="FC41" s="166"/>
      <c r="FD41" s="166"/>
      <c r="FE41" s="166"/>
      <c r="FF41" s="166"/>
      <c r="FG41" s="166"/>
      <c r="FH41" s="166"/>
      <c r="FI41" s="166"/>
      <c r="FJ41" s="166"/>
      <c r="FK41" s="166"/>
      <c r="FL41" s="166"/>
      <c r="FM41" s="166"/>
      <c r="FN41" s="166"/>
      <c r="FO41" s="166" t="str">
        <f>'(Bloom Raw Data)'!FA37</f>
        <v>#N/A N/A</v>
      </c>
      <c r="FP41" s="166" t="str">
        <f>'(Bloom Raw Data)'!FB37</f>
        <v>#N/A N/A</v>
      </c>
      <c r="FQ41" s="166" t="str">
        <f>'(Bloom Raw Data)'!FC37</f>
        <v>#N/A N/A</v>
      </c>
      <c r="FR41" s="166" t="str">
        <f>'(Bloom Raw Data)'!FD37</f>
        <v>#N/A N/A</v>
      </c>
      <c r="FS41" s="166" t="str">
        <f>'(Bloom Raw Data)'!FE37</f>
        <v>#N/A N/A</v>
      </c>
      <c r="FT41" s="166" t="str">
        <f>'(Bloom Raw Data)'!FF37</f>
        <v>#N/A N/A</v>
      </c>
      <c r="FU41" s="166" t="str">
        <f>'(Bloom Raw Data)'!FG37</f>
        <v>#N/A N/A</v>
      </c>
      <c r="FV41" s="166" t="str">
        <f>'(Bloom Raw Data)'!FH37</f>
        <v>#N/A N/A</v>
      </c>
      <c r="FW41" s="166" t="str">
        <f>'(Bloom Raw Data)'!FI37</f>
        <v>#N/A N/A</v>
      </c>
      <c r="FX41" s="166" t="str">
        <f>'(Bloom Raw Data)'!FJ37</f>
        <v>#N/A N/A</v>
      </c>
      <c r="FY41" s="166" t="str">
        <f>'(Bloom Raw Data)'!FK37</f>
        <v>#N/A N/A</v>
      </c>
      <c r="FZ41" s="166" t="str">
        <f>'(Bloom Raw Data)'!FL37</f>
        <v>#N/A N/A</v>
      </c>
      <c r="GA41" s="166" t="str">
        <f>'(Bloom Raw Data)'!FM37</f>
        <v>#N/A N/A</v>
      </c>
      <c r="GB41" s="166" t="str">
        <f>'(Bloom Raw Data)'!FN37</f>
        <v>#N/A N/A</v>
      </c>
      <c r="GC41" s="166" t="str">
        <f>'(Bloom Raw Data)'!FO37</f>
        <v>#N/A N/A</v>
      </c>
      <c r="GD41" s="166">
        <f>'(Bloom Raw Data)'!FP37</f>
        <v>0.92959999999999998</v>
      </c>
      <c r="GE41" s="166"/>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row>
    <row r="42" spans="1:236">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24">
        <v>40178</v>
      </c>
      <c r="DB42" s="24">
        <v>40268</v>
      </c>
      <c r="DC42" s="24">
        <v>40359</v>
      </c>
      <c r="DD42" s="24">
        <v>40451</v>
      </c>
      <c r="DE42" s="24">
        <v>40543</v>
      </c>
      <c r="DF42" s="24">
        <v>40633</v>
      </c>
      <c r="DG42" s="24">
        <v>40724</v>
      </c>
      <c r="DH42" s="24">
        <v>40816</v>
      </c>
      <c r="DI42" s="24">
        <v>40908</v>
      </c>
      <c r="DJ42" s="24">
        <v>40999</v>
      </c>
      <c r="DK42" s="24">
        <v>41090</v>
      </c>
      <c r="DL42" s="24">
        <v>41182</v>
      </c>
      <c r="DM42" s="24">
        <v>41274</v>
      </c>
      <c r="DN42" s="24">
        <v>41364</v>
      </c>
      <c r="DO42" s="24">
        <v>41455</v>
      </c>
      <c r="DP42" s="24">
        <v>41547</v>
      </c>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24" t="s">
        <v>1784</v>
      </c>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row>
    <row r="43" spans="1:236">
      <c r="A43" s="11" t="str">
        <f>'(Bloom Raw Data)'!A41</f>
        <v>DKK/€</v>
      </c>
      <c r="B43" s="11"/>
      <c r="C43" s="11"/>
      <c r="D43" s="220">
        <f>'(Bloom Raw Data)'!D41</f>
        <v>0.13439999999999999</v>
      </c>
      <c r="E43" s="220">
        <f>'(Bloom Raw Data)'!E41</f>
        <v>0.1343</v>
      </c>
      <c r="F43" s="220">
        <f>'(Bloom Raw Data)'!F41</f>
        <v>0.13420000000000001</v>
      </c>
      <c r="G43" s="220">
        <f>'(Bloom Raw Data)'!G41</f>
        <v>0.13420000000000001</v>
      </c>
      <c r="H43" s="220">
        <f>'(Bloom Raw Data)'!H41</f>
        <v>0.13420000000000001</v>
      </c>
      <c r="I43" s="220">
        <f>'(Bloom Raw Data)'!I41</f>
        <v>0.1341</v>
      </c>
      <c r="J43" s="220">
        <f>'(Bloom Raw Data)'!J41</f>
        <v>0.1341</v>
      </c>
      <c r="K43" s="220">
        <f>'(Bloom Raw Data)'!K41</f>
        <v>0.13439999999999999</v>
      </c>
      <c r="L43" s="223">
        <v>0.1346239498</v>
      </c>
      <c r="M43" s="220" t="str">
        <f>'(Bloom Raw Data)'!M41</f>
        <v>#N/A N/A</v>
      </c>
      <c r="N43" s="222">
        <v>0.13448535410000001</v>
      </c>
      <c r="O43" s="220" t="str">
        <f>'(Bloom Raw Data)'!O41</f>
        <v>#N/A N/A</v>
      </c>
      <c r="P43" s="220">
        <f>'(Bloom Raw Data)'!P41</f>
        <v>0.13400000000000001</v>
      </c>
      <c r="Q43" s="220" t="str">
        <f>'(Bloom Raw Data)'!Q41</f>
        <v>#N/A N/A</v>
      </c>
      <c r="R43" s="222">
        <v>0.1341264626</v>
      </c>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220">
        <f t="shared" ref="BU43:BU48" si="37">D43</f>
        <v>0.13439999999999999</v>
      </c>
      <c r="BV43" s="220">
        <f t="shared" ref="BV43:CI48" si="38">E43</f>
        <v>0.1343</v>
      </c>
      <c r="BW43" s="220">
        <f t="shared" si="38"/>
        <v>0.13420000000000001</v>
      </c>
      <c r="BX43" s="220">
        <f t="shared" si="38"/>
        <v>0.13420000000000001</v>
      </c>
      <c r="BY43" s="220">
        <f t="shared" si="38"/>
        <v>0.13420000000000001</v>
      </c>
      <c r="BZ43" s="220">
        <f t="shared" si="38"/>
        <v>0.1341</v>
      </c>
      <c r="CA43" s="220">
        <f t="shared" si="38"/>
        <v>0.1341</v>
      </c>
      <c r="CB43" s="220">
        <f t="shared" si="38"/>
        <v>0.13439999999999999</v>
      </c>
      <c r="CC43" s="223">
        <f t="shared" si="38"/>
        <v>0.1346239498</v>
      </c>
      <c r="CD43" s="220" t="str">
        <f t="shared" si="38"/>
        <v>#N/A N/A</v>
      </c>
      <c r="CE43" s="222">
        <f t="shared" si="38"/>
        <v>0.13448535410000001</v>
      </c>
      <c r="CF43" s="220" t="str">
        <f t="shared" si="38"/>
        <v>#N/A N/A</v>
      </c>
      <c r="CG43" s="220">
        <f t="shared" si="38"/>
        <v>0.13400000000000001</v>
      </c>
      <c r="CH43" s="220" t="str">
        <f t="shared" si="38"/>
        <v>#N/A N/A</v>
      </c>
      <c r="CI43" s="222">
        <f t="shared" si="38"/>
        <v>0.1341264626</v>
      </c>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24" t="s">
        <v>1785</v>
      </c>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row>
    <row r="44" spans="1:236">
      <c r="A44" s="11" t="str">
        <f>'(Bloom Raw Data)'!A42</f>
        <v>NOK / €</v>
      </c>
      <c r="B44" s="11"/>
      <c r="C44" s="11"/>
      <c r="D44" s="220">
        <f>'(Bloom Raw Data)'!D42</f>
        <v>0.1205</v>
      </c>
      <c r="E44" s="220">
        <f>'(Bloom Raw Data)'!E42</f>
        <v>0.1246</v>
      </c>
      <c r="F44" s="220">
        <f>'(Bloom Raw Data)'!F42</f>
        <v>0.12570000000000001</v>
      </c>
      <c r="G44" s="220">
        <f>'(Bloom Raw Data)'!G42</f>
        <v>0.12479999999999999</v>
      </c>
      <c r="H44" s="220">
        <f>'(Bloom Raw Data)'!H42</f>
        <v>0.1283</v>
      </c>
      <c r="I44" s="220">
        <f>'(Bloom Raw Data)'!I42</f>
        <v>0.1275</v>
      </c>
      <c r="J44" s="220">
        <f>'(Bloom Raw Data)'!J42</f>
        <v>0.128</v>
      </c>
      <c r="K44" s="220">
        <f>'(Bloom Raw Data)'!K42</f>
        <v>0.1273</v>
      </c>
      <c r="L44" s="223">
        <v>0.1290786568</v>
      </c>
      <c r="M44" s="220" t="str">
        <f>'(Bloom Raw Data)'!M42</f>
        <v>#N/A N/A</v>
      </c>
      <c r="N44" s="223">
        <v>0.13251293831152217</v>
      </c>
      <c r="O44" s="220" t="str">
        <f>'(Bloom Raw Data)'!O42</f>
        <v>#N/A N/A</v>
      </c>
      <c r="P44" s="220">
        <f>'(Bloom Raw Data)'!P42</f>
        <v>0.13619999999999999</v>
      </c>
      <c r="Q44" s="220" t="str">
        <f>'(Bloom Raw Data)'!Q42</f>
        <v>#N/A N/A</v>
      </c>
      <c r="R44" s="222">
        <v>0.12654088957494858</v>
      </c>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220">
        <f t="shared" si="37"/>
        <v>0.1205</v>
      </c>
      <c r="BV44" s="220">
        <f t="shared" si="38"/>
        <v>0.1246</v>
      </c>
      <c r="BW44" s="220">
        <f t="shared" si="38"/>
        <v>0.12570000000000001</v>
      </c>
      <c r="BX44" s="220">
        <f t="shared" si="38"/>
        <v>0.12479999999999999</v>
      </c>
      <c r="BY44" s="220">
        <f t="shared" si="38"/>
        <v>0.1283</v>
      </c>
      <c r="BZ44" s="220">
        <f t="shared" si="38"/>
        <v>0.1275</v>
      </c>
      <c r="CA44" s="220">
        <f t="shared" si="38"/>
        <v>0.128</v>
      </c>
      <c r="CB44" s="220">
        <f t="shared" si="38"/>
        <v>0.1273</v>
      </c>
      <c r="CC44" s="223">
        <f t="shared" si="38"/>
        <v>0.1290786568</v>
      </c>
      <c r="CD44" s="220" t="str">
        <f t="shared" si="38"/>
        <v>#N/A N/A</v>
      </c>
      <c r="CE44" s="223">
        <f t="shared" si="38"/>
        <v>0.13251293831152217</v>
      </c>
      <c r="CF44" s="220" t="str">
        <f t="shared" si="38"/>
        <v>#N/A N/A</v>
      </c>
      <c r="CG44" s="220">
        <f t="shared" si="38"/>
        <v>0.13619999999999999</v>
      </c>
      <c r="CH44" s="220" t="str">
        <f t="shared" si="38"/>
        <v>#N/A N/A</v>
      </c>
      <c r="CI44" s="222">
        <f t="shared" si="38"/>
        <v>0.12654088957494858</v>
      </c>
      <c r="CJ44" s="11"/>
      <c r="CK44" s="11"/>
      <c r="CL44" s="11"/>
      <c r="CM44" s="11"/>
      <c r="CN44" s="11"/>
      <c r="CO44" s="11"/>
      <c r="CP44" s="11"/>
      <c r="CQ44" s="11"/>
      <c r="CR44" s="11"/>
      <c r="CS44" s="11"/>
      <c r="CT44" s="11"/>
      <c r="CU44" s="11"/>
      <c r="CV44" s="11"/>
      <c r="CW44" s="11"/>
      <c r="CX44" s="11"/>
      <c r="CY44" s="11"/>
      <c r="CZ44" s="11"/>
      <c r="DA44" s="1521">
        <f>DA38/DA39</f>
        <v>1.1666290316510481</v>
      </c>
      <c r="DB44" s="1516"/>
      <c r="DC44" s="1521">
        <f>DC38/DC39</f>
        <v>1.2010905809893688</v>
      </c>
      <c r="DD44" s="1516"/>
      <c r="DE44" s="1516"/>
      <c r="DF44" s="1516"/>
      <c r="DG44" s="1516"/>
      <c r="DH44" s="1521">
        <f>DH38/DH39</f>
        <v>1.3226043623886938</v>
      </c>
      <c r="DI44" s="11"/>
      <c r="DJ44" s="11"/>
      <c r="DK44" s="11"/>
      <c r="DL44" s="11"/>
      <c r="DM44" s="11"/>
      <c r="DN44" s="947">
        <f>DN38/DN39</f>
        <v>1.4438223217618513</v>
      </c>
      <c r="DO44" s="947">
        <f>DO38/DO39</f>
        <v>1.514055981698291</v>
      </c>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row>
    <row r="45" spans="1:236">
      <c r="A45" s="11" t="str">
        <f>'(Bloom Raw Data)'!A43</f>
        <v>PLN / €</v>
      </c>
      <c r="B45" s="11"/>
      <c r="C45" s="11"/>
      <c r="D45" s="220">
        <f>'(Bloom Raw Data)'!D43</f>
        <v>0.24392</v>
      </c>
      <c r="E45" s="220">
        <f>'(Bloom Raw Data)'!E43</f>
        <v>0.25905</v>
      </c>
      <c r="F45" s="220">
        <f>'(Bloom Raw Data)'!F43</f>
        <v>0.24115</v>
      </c>
      <c r="G45" s="220">
        <f>'(Bloom Raw Data)'!G43</f>
        <v>0.25220999999999999</v>
      </c>
      <c r="H45" s="220">
        <f>'(Bloom Raw Data)'!H43</f>
        <v>0.25224000000000002</v>
      </c>
      <c r="I45" s="220">
        <f>'(Bloom Raw Data)'!I43</f>
        <v>0.24845999999999999</v>
      </c>
      <c r="J45" s="220">
        <f>'(Bloom Raw Data)'!J43</f>
        <v>0.25142999999999999</v>
      </c>
      <c r="K45" s="220">
        <f>'(Bloom Raw Data)'!K43</f>
        <v>0.22625000000000001</v>
      </c>
      <c r="L45" s="223">
        <v>0.22446135819999999</v>
      </c>
      <c r="M45" s="220" t="str">
        <f>'(Bloom Raw Data)'!M43</f>
        <v>#N/A N/A</v>
      </c>
      <c r="N45" s="222">
        <v>0.23602567534029434</v>
      </c>
      <c r="O45" s="220" t="str">
        <f>'(Bloom Raw Data)'!O43</f>
        <v>#N/A N/A</v>
      </c>
      <c r="P45" s="220">
        <f>'(Bloom Raw Data)'!P43</f>
        <v>0.24504000000000001</v>
      </c>
      <c r="Q45" s="220" t="str">
        <f>'(Bloom Raw Data)'!Q43</f>
        <v>#N/A N/A</v>
      </c>
      <c r="R45" s="223">
        <v>0.23132551262675033</v>
      </c>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220">
        <f t="shared" si="37"/>
        <v>0.24392</v>
      </c>
      <c r="BV45" s="220">
        <f t="shared" si="38"/>
        <v>0.25905</v>
      </c>
      <c r="BW45" s="220">
        <f t="shared" si="38"/>
        <v>0.24115</v>
      </c>
      <c r="BX45" s="220">
        <f t="shared" si="38"/>
        <v>0.25220999999999999</v>
      </c>
      <c r="BY45" s="220">
        <f t="shared" si="38"/>
        <v>0.25224000000000002</v>
      </c>
      <c r="BZ45" s="220">
        <f t="shared" si="38"/>
        <v>0.24845999999999999</v>
      </c>
      <c r="CA45" s="220">
        <f t="shared" si="38"/>
        <v>0.25142999999999999</v>
      </c>
      <c r="CB45" s="220">
        <f t="shared" si="38"/>
        <v>0.22625000000000001</v>
      </c>
      <c r="CC45" s="223">
        <f t="shared" si="38"/>
        <v>0.22446135819999999</v>
      </c>
      <c r="CD45" s="220" t="str">
        <f t="shared" si="38"/>
        <v>#N/A N/A</v>
      </c>
      <c r="CE45" s="222">
        <f t="shared" si="38"/>
        <v>0.23602567534029434</v>
      </c>
      <c r="CF45" s="220" t="str">
        <f t="shared" si="38"/>
        <v>#N/A N/A</v>
      </c>
      <c r="CG45" s="220">
        <f t="shared" si="38"/>
        <v>0.24504000000000001</v>
      </c>
      <c r="CH45" s="220" t="str">
        <f t="shared" si="38"/>
        <v>#N/A N/A</v>
      </c>
      <c r="CI45" s="223">
        <f t="shared" si="38"/>
        <v>0.23132551262675033</v>
      </c>
      <c r="CJ45" s="174"/>
      <c r="CK45" s="174"/>
      <c r="CL45" s="174"/>
      <c r="CM45" s="174"/>
      <c r="CN45" s="174"/>
      <c r="CO45" s="174"/>
      <c r="CP45" s="174"/>
      <c r="CQ45" s="174"/>
      <c r="CR45" s="174"/>
      <c r="CS45" s="174"/>
      <c r="CT45" s="174"/>
      <c r="CU45" s="174"/>
      <c r="CV45" s="174"/>
      <c r="CW45" s="174"/>
      <c r="CX45" s="174"/>
      <c r="CY45" s="174"/>
      <c r="CZ45" s="174"/>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row>
    <row r="46" spans="1:236">
      <c r="A46" s="11" t="str">
        <f>'(Bloom Raw Data)'!A44</f>
        <v>£ / €</v>
      </c>
      <c r="B46" s="11"/>
      <c r="C46" s="11"/>
      <c r="D46" s="220">
        <f>'(Bloom Raw Data)'!D44</f>
        <v>1.1274999999999999</v>
      </c>
      <c r="E46" s="220">
        <f>'(Bloom Raw Data)'!E44</f>
        <v>1.1238999999999999</v>
      </c>
      <c r="F46" s="220">
        <f>'(Bloom Raw Data)'!F44</f>
        <v>1.2215</v>
      </c>
      <c r="G46" s="220">
        <f>'(Bloom Raw Data)'!G44</f>
        <v>1.1524000000000001</v>
      </c>
      <c r="H46" s="220">
        <f>'(Bloom Raw Data)'!H44</f>
        <v>1.1663999999999999</v>
      </c>
      <c r="I46" s="220">
        <f>'(Bloom Raw Data)'!I44</f>
        <v>1.1320999999999999</v>
      </c>
      <c r="J46" s="220">
        <f>'(Bloom Raw Data)'!J44</f>
        <v>1.107</v>
      </c>
      <c r="K46" s="220">
        <f>'(Bloom Raw Data)'!K44</f>
        <v>1.1639999999999999</v>
      </c>
      <c r="L46" s="223">
        <v>1.197893356</v>
      </c>
      <c r="M46" s="220" t="str">
        <f>'(Bloom Raw Data)'!M44</f>
        <v>#N/A N/A</v>
      </c>
      <c r="N46" s="223">
        <v>1.2402969162961393</v>
      </c>
      <c r="O46" s="220" t="str">
        <f>'(Bloom Raw Data)'!O44</f>
        <v>#N/A N/A</v>
      </c>
      <c r="P46" s="220">
        <f>'(Bloom Raw Data)'!P44</f>
        <v>1.2317</v>
      </c>
      <c r="Q46" s="220" t="str">
        <f>'(Bloom Raw Data)'!Q44</f>
        <v>#N/A N/A</v>
      </c>
      <c r="R46" s="223">
        <v>1.1691318290431234</v>
      </c>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220">
        <f t="shared" si="37"/>
        <v>1.1274999999999999</v>
      </c>
      <c r="BV46" s="220">
        <f t="shared" si="38"/>
        <v>1.1238999999999999</v>
      </c>
      <c r="BW46" s="220">
        <f t="shared" si="38"/>
        <v>1.2215</v>
      </c>
      <c r="BX46" s="220">
        <f t="shared" si="38"/>
        <v>1.1524000000000001</v>
      </c>
      <c r="BY46" s="220">
        <f t="shared" si="38"/>
        <v>1.1663999999999999</v>
      </c>
      <c r="BZ46" s="220">
        <f t="shared" si="38"/>
        <v>1.1320999999999999</v>
      </c>
      <c r="CA46" s="220">
        <f t="shared" si="38"/>
        <v>1.107</v>
      </c>
      <c r="CB46" s="220">
        <f t="shared" si="38"/>
        <v>1.1639999999999999</v>
      </c>
      <c r="CC46" s="223">
        <f t="shared" si="38"/>
        <v>1.197893356</v>
      </c>
      <c r="CD46" s="220" t="str">
        <f t="shared" si="38"/>
        <v>#N/A N/A</v>
      </c>
      <c r="CE46" s="223">
        <f t="shared" si="38"/>
        <v>1.2402969162961393</v>
      </c>
      <c r="CF46" s="220" t="str">
        <f t="shared" si="38"/>
        <v>#N/A N/A</v>
      </c>
      <c r="CG46" s="220">
        <f t="shared" si="38"/>
        <v>1.2317</v>
      </c>
      <c r="CH46" s="220" t="str">
        <f t="shared" si="38"/>
        <v>#N/A N/A</v>
      </c>
      <c r="CI46" s="223">
        <f t="shared" si="38"/>
        <v>1.1691318290431234</v>
      </c>
      <c r="CJ46" s="174"/>
      <c r="CK46" s="174"/>
      <c r="CL46" s="174"/>
      <c r="CM46" s="174"/>
      <c r="CN46" s="174"/>
      <c r="CO46" s="174"/>
      <c r="CP46" s="174"/>
      <c r="CQ46" s="174"/>
      <c r="CR46" s="174"/>
      <c r="CS46" s="174"/>
      <c r="CT46" s="174"/>
      <c r="CU46" s="174"/>
      <c r="CV46" s="174"/>
      <c r="CW46" s="174"/>
      <c r="CX46" s="174"/>
      <c r="CY46" s="174"/>
      <c r="CZ46" s="174"/>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row>
    <row r="47" spans="1:236">
      <c r="A47" s="11" t="str">
        <f>'(Bloom Raw Data)'!A45</f>
        <v>SEK / €</v>
      </c>
      <c r="B47" s="11"/>
      <c r="C47" s="11"/>
      <c r="D47" s="220">
        <f>'(Bloom Raw Data)'!D45</f>
        <v>9.7509999999999999E-2</v>
      </c>
      <c r="E47" s="220">
        <f>'(Bloom Raw Data)'!E45</f>
        <v>0.10254000000000001</v>
      </c>
      <c r="F47" s="220">
        <f>'(Bloom Raw Data)'!F45</f>
        <v>0.10485</v>
      </c>
      <c r="G47" s="220">
        <f>'(Bloom Raw Data)'!G45</f>
        <v>0.10881</v>
      </c>
      <c r="H47" s="220">
        <f>'(Bloom Raw Data)'!H45</f>
        <v>0.11133</v>
      </c>
      <c r="I47" s="220">
        <f>'(Bloom Raw Data)'!I45</f>
        <v>0.11169999999999999</v>
      </c>
      <c r="J47" s="220">
        <f>'(Bloom Raw Data)'!J45</f>
        <v>0.10896</v>
      </c>
      <c r="K47" s="220">
        <f>'(Bloom Raw Data)'!K45</f>
        <v>0.10867</v>
      </c>
      <c r="L47" s="223">
        <v>0.111752832</v>
      </c>
      <c r="M47" s="220" t="str">
        <f>'(Bloom Raw Data)'!M45</f>
        <v>#N/A N/A</v>
      </c>
      <c r="N47" s="222">
        <v>0.11411761929333547</v>
      </c>
      <c r="O47" s="220" t="str">
        <f>'(Bloom Raw Data)'!O45</f>
        <v>#N/A N/A</v>
      </c>
      <c r="P47" s="220">
        <f>'(Bloom Raw Data)'!P45</f>
        <v>0.11656</v>
      </c>
      <c r="Q47" s="220" t="str">
        <f>'(Bloom Raw Data)'!Q45</f>
        <v>#N/A N/A</v>
      </c>
      <c r="R47" s="223">
        <v>0.11476656615243665</v>
      </c>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220">
        <f t="shared" si="37"/>
        <v>9.7509999999999999E-2</v>
      </c>
      <c r="BV47" s="220">
        <f t="shared" si="38"/>
        <v>0.10254000000000001</v>
      </c>
      <c r="BW47" s="220">
        <f t="shared" si="38"/>
        <v>0.10485</v>
      </c>
      <c r="BX47" s="220">
        <f t="shared" si="38"/>
        <v>0.10881</v>
      </c>
      <c r="BY47" s="220">
        <f t="shared" si="38"/>
        <v>0.11133</v>
      </c>
      <c r="BZ47" s="220">
        <f t="shared" si="38"/>
        <v>0.11169999999999999</v>
      </c>
      <c r="CA47" s="220">
        <f t="shared" si="38"/>
        <v>0.10896</v>
      </c>
      <c r="CB47" s="220">
        <f t="shared" si="38"/>
        <v>0.10867</v>
      </c>
      <c r="CC47" s="223">
        <f t="shared" si="38"/>
        <v>0.111752832</v>
      </c>
      <c r="CD47" s="220" t="str">
        <f t="shared" si="38"/>
        <v>#N/A N/A</v>
      </c>
      <c r="CE47" s="222">
        <f t="shared" si="38"/>
        <v>0.11411761929333547</v>
      </c>
      <c r="CF47" s="220" t="str">
        <f t="shared" si="38"/>
        <v>#N/A N/A</v>
      </c>
      <c r="CG47" s="220">
        <f t="shared" si="38"/>
        <v>0.11656</v>
      </c>
      <c r="CH47" s="220" t="str">
        <f t="shared" si="38"/>
        <v>#N/A N/A</v>
      </c>
      <c r="CI47" s="223">
        <f t="shared" si="38"/>
        <v>0.11476656615243665</v>
      </c>
      <c r="CJ47" s="174"/>
      <c r="CK47" s="174"/>
      <c r="CL47" s="174"/>
      <c r="CM47" s="174"/>
      <c r="CN47" s="174"/>
      <c r="CO47" s="174"/>
      <c r="CP47" s="174"/>
      <c r="CQ47" s="174"/>
      <c r="CR47" s="174"/>
      <c r="CS47" s="174"/>
      <c r="CT47" s="174"/>
      <c r="CU47" s="174"/>
      <c r="CV47" s="174"/>
      <c r="CW47" s="174"/>
      <c r="CX47" s="174"/>
      <c r="CY47" s="174"/>
      <c r="CZ47" s="174"/>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row>
    <row r="48" spans="1:236">
      <c r="A48" s="11" t="str">
        <f>'(Bloom Raw Data)'!A46</f>
        <v>CHF / €</v>
      </c>
      <c r="B48" s="11"/>
      <c r="C48" s="11"/>
      <c r="D48" s="220">
        <f>'(Bloom Raw Data)'!D46</f>
        <v>0.67430000000000001</v>
      </c>
      <c r="E48" s="220">
        <f>'(Bloom Raw Data)'!E46</f>
        <v>0.70230000000000004</v>
      </c>
      <c r="F48" s="220">
        <f>'(Bloom Raw Data)'!F46</f>
        <v>0.75849999999999995</v>
      </c>
      <c r="G48" s="220">
        <f>'(Bloom Raw Data)'!G46</f>
        <v>0.74650000000000005</v>
      </c>
      <c r="H48" s="220">
        <f>'(Bloom Raw Data)'!H46</f>
        <v>0.7994</v>
      </c>
      <c r="I48" s="220">
        <f>'(Bloom Raw Data)'!I46</f>
        <v>0.76859999999999995</v>
      </c>
      <c r="J48" s="220">
        <f>'(Bloom Raw Data)'!J46</f>
        <v>0.82040000000000002</v>
      </c>
      <c r="K48" s="220">
        <f>'(Bloom Raw Data)'!K46</f>
        <v>0.8226</v>
      </c>
      <c r="L48" s="223">
        <v>0.8221879285</v>
      </c>
      <c r="M48" s="220" t="str">
        <f>'(Bloom Raw Data)'!M46</f>
        <v>#N/A N/A</v>
      </c>
      <c r="N48" s="223">
        <v>0.83329404525512873</v>
      </c>
      <c r="O48" s="220" t="str">
        <f>'(Bloom Raw Data)'!O46</f>
        <v>#N/A N/A</v>
      </c>
      <c r="P48" s="220">
        <f>'(Bloom Raw Data)'!P46</f>
        <v>0.82809999999999995</v>
      </c>
      <c r="Q48" s="220" t="str">
        <f>'(Bloom Raw Data)'!Q46</f>
        <v>#N/A N/A</v>
      </c>
      <c r="R48" s="222">
        <v>0.8134441471223478</v>
      </c>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220">
        <f t="shared" si="37"/>
        <v>0.67430000000000001</v>
      </c>
      <c r="BV48" s="220">
        <f t="shared" si="38"/>
        <v>0.70230000000000004</v>
      </c>
      <c r="BW48" s="220">
        <f t="shared" si="38"/>
        <v>0.75849999999999995</v>
      </c>
      <c r="BX48" s="220">
        <f t="shared" si="38"/>
        <v>0.74650000000000005</v>
      </c>
      <c r="BY48" s="220">
        <f t="shared" si="38"/>
        <v>0.7994</v>
      </c>
      <c r="BZ48" s="220">
        <f t="shared" si="38"/>
        <v>0.76859999999999995</v>
      </c>
      <c r="CA48" s="220">
        <f t="shared" si="38"/>
        <v>0.82040000000000002</v>
      </c>
      <c r="CB48" s="220">
        <f t="shared" si="38"/>
        <v>0.8226</v>
      </c>
      <c r="CC48" s="223">
        <f t="shared" si="38"/>
        <v>0.8221879285</v>
      </c>
      <c r="CD48" s="220" t="str">
        <f t="shared" si="38"/>
        <v>#N/A N/A</v>
      </c>
      <c r="CE48" s="223">
        <f t="shared" si="38"/>
        <v>0.83329404525512873</v>
      </c>
      <c r="CF48" s="220" t="str">
        <f t="shared" si="38"/>
        <v>#N/A N/A</v>
      </c>
      <c r="CG48" s="220">
        <f t="shared" si="38"/>
        <v>0.82809999999999995</v>
      </c>
      <c r="CH48" s="220" t="str">
        <f t="shared" si="38"/>
        <v>#N/A N/A</v>
      </c>
      <c r="CI48" s="222">
        <f t="shared" si="38"/>
        <v>0.8134441471223478</v>
      </c>
      <c r="CJ48" s="176"/>
      <c r="CK48" s="176"/>
      <c r="CL48" s="176"/>
      <c r="CM48" s="176"/>
      <c r="CN48" s="176"/>
      <c r="CO48" s="176"/>
      <c r="CP48" s="176"/>
      <c r="CQ48" s="176"/>
      <c r="CR48" s="176"/>
      <c r="CS48" s="176"/>
      <c r="CT48" s="176"/>
      <c r="CU48" s="176"/>
      <c r="CV48" s="176"/>
      <c r="CW48" s="176"/>
      <c r="CX48" s="176"/>
      <c r="CY48" s="176"/>
      <c r="CZ48" s="176"/>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row>
    <row r="49" spans="1:236">
      <c r="A49" s="11"/>
      <c r="B49" s="11"/>
      <c r="C49" s="11"/>
      <c r="D49" s="11"/>
      <c r="E49" s="11"/>
      <c r="F49" s="11"/>
      <c r="G49" s="11"/>
      <c r="H49" s="11"/>
      <c r="I49" s="11"/>
      <c r="J49" s="11"/>
      <c r="K49" s="11"/>
      <c r="L49" s="11"/>
      <c r="M49" s="11"/>
      <c r="N49" s="11"/>
      <c r="O49" s="11"/>
      <c r="P49" s="11"/>
      <c r="Q49" s="11"/>
      <c r="R49" s="124" t="s">
        <v>60</v>
      </c>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74"/>
      <c r="CK49" s="174"/>
      <c r="CL49" s="174"/>
      <c r="CM49" s="174"/>
      <c r="CN49" s="174"/>
      <c r="CO49" s="174"/>
      <c r="CP49" s="174"/>
      <c r="CQ49" s="174"/>
      <c r="CR49" s="174"/>
      <c r="CS49" s="174"/>
      <c r="CT49" s="174"/>
      <c r="CU49" s="174"/>
      <c r="CV49" s="174"/>
      <c r="CW49" s="174"/>
      <c r="CX49" s="174"/>
      <c r="CY49" s="174"/>
      <c r="CZ49" s="174"/>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row>
    <row r="50" spans="1:236">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74"/>
      <c r="CK50" s="174"/>
      <c r="CL50" s="174"/>
      <c r="CM50" s="174"/>
      <c r="CN50" s="174"/>
      <c r="CO50" s="174"/>
      <c r="CP50" s="174"/>
      <c r="CQ50" s="174"/>
      <c r="CR50" s="174"/>
      <c r="CS50" s="174"/>
      <c r="CT50" s="174"/>
      <c r="CU50" s="174"/>
      <c r="CV50" s="174"/>
      <c r="CW50" s="174"/>
      <c r="CX50" s="174"/>
      <c r="CY50" s="174"/>
      <c r="CZ50" s="174"/>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row>
    <row r="51" spans="1:236">
      <c r="A51" s="224" t="s">
        <v>498</v>
      </c>
      <c r="B51" s="224" t="s">
        <v>4</v>
      </c>
      <c r="C51" s="224"/>
      <c r="D51" s="224"/>
      <c r="E51" s="447">
        <f>(E5-D5)/D5</f>
        <v>-2.1451784147481806E-2</v>
      </c>
      <c r="F51" s="447">
        <f t="shared" ref="F51:R51" si="39">(F5-E5)/E5</f>
        <v>-3.4558093346573913E-2</v>
      </c>
      <c r="G51" s="447">
        <f t="shared" si="39"/>
        <v>3.4766508948776059E-2</v>
      </c>
      <c r="H51" s="447">
        <f t="shared" si="39"/>
        <v>-4.899115055140383E-2</v>
      </c>
      <c r="I51" s="447">
        <f t="shared" si="39"/>
        <v>0.12575837045215926</v>
      </c>
      <c r="J51" s="447">
        <f t="shared" si="39"/>
        <v>-7.8196872125114187E-3</v>
      </c>
      <c r="K51" s="447">
        <f t="shared" si="39"/>
        <v>-0.18168664703874746</v>
      </c>
      <c r="L51" s="447">
        <f t="shared" si="39"/>
        <v>4.5487892750021835E-3</v>
      </c>
      <c r="M51" s="447">
        <f t="shared" si="39"/>
        <v>2.2372301612852752E-2</v>
      </c>
      <c r="N51" s="447">
        <f t="shared" si="39"/>
        <v>-4.7440423654015858E-2</v>
      </c>
      <c r="O51" s="447">
        <f t="shared" si="39"/>
        <v>0.10875608061153563</v>
      </c>
      <c r="P51" s="447">
        <f t="shared" si="39"/>
        <v>-0.1025115742360805</v>
      </c>
      <c r="Q51" s="447">
        <f t="shared" si="39"/>
        <v>-3.406289497618302E-2</v>
      </c>
      <c r="R51" s="447">
        <f t="shared" si="39"/>
        <v>0.10964761022308471</v>
      </c>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74"/>
      <c r="CK51" s="174"/>
      <c r="CL51" s="174"/>
      <c r="CM51" s="174"/>
      <c r="CN51" s="174"/>
      <c r="CO51" s="174"/>
      <c r="CP51" s="174"/>
      <c r="CQ51" s="174"/>
      <c r="CR51" s="174"/>
      <c r="CS51" s="174"/>
      <c r="CT51" s="174"/>
      <c r="CU51" s="174"/>
      <c r="CV51" s="174"/>
      <c r="CW51" s="174"/>
      <c r="CX51" s="174"/>
      <c r="CY51" s="174"/>
      <c r="CZ51" s="174"/>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row>
    <row r="52" spans="1:236">
      <c r="A52" s="224" t="s">
        <v>385</v>
      </c>
      <c r="B52" s="224" t="s">
        <v>3</v>
      </c>
      <c r="C52" s="224"/>
      <c r="D52" s="224"/>
      <c r="E52" s="447">
        <f t="shared" ref="E52:R52" si="40">(E6-D6)/D6</f>
        <v>4.0201007763917489E-2</v>
      </c>
      <c r="F52" s="447">
        <f t="shared" si="40"/>
        <v>-0.11739129893741057</v>
      </c>
      <c r="G52" s="447">
        <f t="shared" si="40"/>
        <v>0.20853857054647904</v>
      </c>
      <c r="H52" s="447">
        <f t="shared" si="40"/>
        <v>-4.7101436372233303E-2</v>
      </c>
      <c r="I52" s="447">
        <f t="shared" si="40"/>
        <v>-1.9011407987459962E-2</v>
      </c>
      <c r="J52" s="447">
        <f t="shared" si="40"/>
        <v>-0.14728683511397048</v>
      </c>
      <c r="K52" s="447">
        <f t="shared" si="40"/>
        <v>-0.1387499993901754</v>
      </c>
      <c r="L52" s="447">
        <f t="shared" si="40"/>
        <v>0.21889430728226286</v>
      </c>
      <c r="M52" s="447">
        <f t="shared" si="40"/>
        <v>-5.4773744456243945E-2</v>
      </c>
      <c r="N52" s="447">
        <f t="shared" si="40"/>
        <v>-0.11142924023240874</v>
      </c>
      <c r="O52" s="447">
        <f t="shared" si="40"/>
        <v>-0.29114576747559839</v>
      </c>
      <c r="P52" s="447">
        <f t="shared" si="40"/>
        <v>4.3636383654948221E-2</v>
      </c>
      <c r="Q52" s="447">
        <f t="shared" si="40"/>
        <v>-0.10818814280358367</v>
      </c>
      <c r="R52" s="447">
        <f t="shared" si="40"/>
        <v>-4.9814454741479226E-2</v>
      </c>
      <c r="S52" s="143" t="s">
        <v>994</v>
      </c>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74"/>
      <c r="CK52" s="174"/>
      <c r="CL52" s="174"/>
      <c r="CM52" s="174"/>
      <c r="CN52" s="174"/>
      <c r="CO52" s="174"/>
      <c r="CP52" s="174"/>
      <c r="CQ52" s="174"/>
      <c r="CR52" s="174"/>
      <c r="CS52" s="174"/>
      <c r="CT52" s="174"/>
      <c r="CU52" s="174"/>
      <c r="CV52" s="174"/>
      <c r="CW52" s="174"/>
      <c r="CX52" s="174"/>
      <c r="CY52" s="174"/>
      <c r="CZ52" s="174"/>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row>
    <row r="53" spans="1:236">
      <c r="A53" s="693" t="s">
        <v>319</v>
      </c>
      <c r="B53" s="693" t="s">
        <v>16</v>
      </c>
      <c r="C53" s="224"/>
      <c r="D53" s="224"/>
      <c r="E53" s="2186">
        <f t="shared" ref="E53:R53" si="41">(E7-D7)/D7</f>
        <v>0.13013121476454964</v>
      </c>
      <c r="F53" s="2186">
        <f t="shared" si="41"/>
        <v>-5.6252388913949652E-2</v>
      </c>
      <c r="G53" s="2186">
        <f t="shared" si="41"/>
        <v>0.10593466104136166</v>
      </c>
      <c r="H53" s="2186">
        <f t="shared" si="41"/>
        <v>-0.16464163119261988</v>
      </c>
      <c r="I53" s="2186">
        <f t="shared" si="41"/>
        <v>8.7981859769772686E-2</v>
      </c>
      <c r="J53" s="2186">
        <f t="shared" si="41"/>
        <v>-5.3958048922479115E-2</v>
      </c>
      <c r="K53" s="2186">
        <f t="shared" si="41"/>
        <v>-7.8674530113451255E-2</v>
      </c>
      <c r="L53" s="2186">
        <f t="shared" si="41"/>
        <v>5.2431793033790603E-3</v>
      </c>
      <c r="M53" s="2186">
        <f t="shared" si="41"/>
        <v>5.8142051708981721E-2</v>
      </c>
      <c r="N53" s="2186">
        <f t="shared" si="41"/>
        <v>-6.8381256067819612E-2</v>
      </c>
      <c r="O53" s="2186">
        <f t="shared" si="41"/>
        <v>5.7592251555474122E-2</v>
      </c>
      <c r="P53" s="2186">
        <f t="shared" si="41"/>
        <v>-0.1194851946434133</v>
      </c>
      <c r="Q53" s="2186">
        <f t="shared" si="41"/>
        <v>-7.2552132026158414E-2</v>
      </c>
      <c r="R53" s="2186">
        <f t="shared" si="41"/>
        <v>-0.11130282769761626</v>
      </c>
      <c r="S53" s="144">
        <f>(R7-L7)/L7</f>
        <v>-0.24337546417070122</v>
      </c>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74"/>
      <c r="CK53" s="174"/>
      <c r="CL53" s="174"/>
      <c r="CM53" s="174"/>
      <c r="CN53" s="174"/>
      <c r="CO53" s="174"/>
      <c r="CP53" s="174"/>
      <c r="CQ53" s="174"/>
      <c r="CR53" s="174"/>
      <c r="CS53" s="174"/>
      <c r="CT53" s="174"/>
      <c r="CU53" s="174"/>
      <c r="CV53" s="174"/>
      <c r="CW53" s="174"/>
      <c r="CX53" s="174"/>
      <c r="CY53" s="174"/>
      <c r="CZ53" s="174"/>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row>
    <row r="54" spans="1:236">
      <c r="A54" s="2187" t="s">
        <v>319</v>
      </c>
      <c r="B54" s="2187" t="s">
        <v>2</v>
      </c>
      <c r="C54" s="224"/>
      <c r="D54" s="224"/>
      <c r="E54" s="2186">
        <f t="shared" ref="E54:R54" si="42">(E8-D8)/D8</f>
        <v>-4.4482283965323541E-2</v>
      </c>
      <c r="F54" s="2186">
        <f t="shared" si="42"/>
        <v>-4.6553070883836339E-2</v>
      </c>
      <c r="G54" s="2186">
        <f t="shared" si="42"/>
        <v>5.5873312097374568E-2</v>
      </c>
      <c r="H54" s="2186">
        <f t="shared" si="42"/>
        <v>5.291668181894707E-2</v>
      </c>
      <c r="I54" s="2186">
        <f t="shared" si="42"/>
        <v>3.9888686123363742E-2</v>
      </c>
      <c r="J54" s="2186">
        <f t="shared" si="42"/>
        <v>3.8358611508762658E-2</v>
      </c>
      <c r="K54" s="2186">
        <f t="shared" si="42"/>
        <v>-0.11349752111860614</v>
      </c>
      <c r="L54" s="2186">
        <f t="shared" si="42"/>
        <v>-0.12802843062753702</v>
      </c>
      <c r="M54" s="2186">
        <f t="shared" si="42"/>
        <v>-0.16609038019845071</v>
      </c>
      <c r="N54" s="2186">
        <f t="shared" si="42"/>
        <v>-0.1991707209685101</v>
      </c>
      <c r="O54" s="2186">
        <f t="shared" si="42"/>
        <v>-0.14145710676761719</v>
      </c>
      <c r="P54" s="2186">
        <f t="shared" si="42"/>
        <v>-0.16476416948142938</v>
      </c>
      <c r="Q54" s="2186">
        <f t="shared" si="42"/>
        <v>-8.7416208672576892E-2</v>
      </c>
      <c r="R54" s="2186">
        <f t="shared" si="42"/>
        <v>-9.5789788842757559E-2</v>
      </c>
      <c r="S54" s="144">
        <f>(R8-L8)/L8</f>
        <v>-0.60484070756691533</v>
      </c>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74"/>
      <c r="CK54" s="174"/>
      <c r="CL54" s="174"/>
      <c r="CM54" s="174"/>
      <c r="CN54" s="174"/>
      <c r="CO54" s="174"/>
      <c r="CP54" s="174"/>
      <c r="CQ54" s="174"/>
      <c r="CR54" s="174"/>
      <c r="CS54" s="174"/>
      <c r="CT54" s="174"/>
      <c r="CU54" s="174"/>
      <c r="CV54" s="174"/>
      <c r="CW54" s="174"/>
      <c r="CX54" s="174"/>
      <c r="CY54" s="174"/>
      <c r="CZ54" s="174"/>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row>
    <row r="55" spans="1:236">
      <c r="A55" s="693" t="s">
        <v>319</v>
      </c>
      <c r="B55" s="693" t="s">
        <v>18</v>
      </c>
      <c r="C55" s="224"/>
      <c r="D55" s="224"/>
      <c r="E55" s="2186">
        <f t="shared" ref="E55:R55" si="43">(E9-D9)/D9</f>
        <v>0.12166817065560466</v>
      </c>
      <c r="F55" s="2186">
        <f t="shared" si="43"/>
        <v>-3.1464990062299254E-2</v>
      </c>
      <c r="G55" s="2186">
        <f t="shared" si="43"/>
        <v>0.13891568745099558</v>
      </c>
      <c r="H55" s="2186">
        <f t="shared" si="43"/>
        <v>0.20262618621493531</v>
      </c>
      <c r="I55" s="2186">
        <f t="shared" si="43"/>
        <v>0.128111978516878</v>
      </c>
      <c r="J55" s="2186">
        <f t="shared" si="43"/>
        <v>-1.0805644796822413E-2</v>
      </c>
      <c r="K55" s="2186">
        <f t="shared" si="43"/>
        <v>-0.15560605831198282</v>
      </c>
      <c r="L55" s="2186">
        <f t="shared" si="43"/>
        <v>7.1899489261399566E-2</v>
      </c>
      <c r="M55" s="2186">
        <f t="shared" si="43"/>
        <v>5.3812716234357016E-2</v>
      </c>
      <c r="N55" s="2186">
        <f t="shared" si="43"/>
        <v>0.11089938698144734</v>
      </c>
      <c r="O55" s="2186">
        <f t="shared" si="43"/>
        <v>7.2821713760271899E-3</v>
      </c>
      <c r="P55" s="2186">
        <f t="shared" si="43"/>
        <v>2.4190726893934835E-2</v>
      </c>
      <c r="Q55" s="2186">
        <f t="shared" si="43"/>
        <v>8.5118843136419292E-2</v>
      </c>
      <c r="R55" s="2186">
        <f t="shared" si="43"/>
        <v>-7.7079909034359656E-2</v>
      </c>
      <c r="S55" s="144">
        <f>(R9-L9)/L9</f>
        <v>0.20951582174051767</v>
      </c>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74"/>
      <c r="CK55" s="174"/>
      <c r="CL55" s="174"/>
      <c r="CM55" s="174"/>
      <c r="CN55" s="174"/>
      <c r="CO55" s="174"/>
      <c r="CP55" s="174"/>
      <c r="CQ55" s="174"/>
      <c r="CR55" s="174"/>
      <c r="CS55" s="174"/>
      <c r="CT55" s="174"/>
      <c r="CU55" s="174"/>
      <c r="CV55" s="174"/>
      <c r="CW55" s="174"/>
      <c r="CX55" s="174"/>
      <c r="CY55" s="174"/>
      <c r="CZ55" s="174"/>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row>
    <row r="56" spans="1:236">
      <c r="A56" s="224" t="s">
        <v>539</v>
      </c>
      <c r="B56" s="224" t="s">
        <v>13</v>
      </c>
      <c r="C56" s="224"/>
      <c r="D56" s="224"/>
      <c r="E56" s="447">
        <f t="shared" ref="E56:R56" si="44">(E10-D10)/D10</f>
        <v>-2.0014417136014605E-3</v>
      </c>
      <c r="F56" s="447">
        <f t="shared" si="44"/>
        <v>-9.9981043271737291E-2</v>
      </c>
      <c r="G56" s="447">
        <f t="shared" si="44"/>
        <v>4.2783136008209086E-2</v>
      </c>
      <c r="H56" s="447">
        <f t="shared" si="44"/>
        <v>-0.12769690002623171</v>
      </c>
      <c r="I56" s="447">
        <f t="shared" si="44"/>
        <v>-0.11061986294334822</v>
      </c>
      <c r="J56" s="447">
        <f t="shared" si="44"/>
        <v>0.10032817627754337</v>
      </c>
      <c r="K56" s="447">
        <f t="shared" si="44"/>
        <v>-3.0038346825734981E-2</v>
      </c>
      <c r="L56" s="447">
        <f t="shared" si="44"/>
        <v>1.380652117484915E-3</v>
      </c>
      <c r="M56" s="447">
        <f t="shared" si="44"/>
        <v>-0.10994837724515208</v>
      </c>
      <c r="N56" s="447">
        <f t="shared" si="44"/>
        <v>5.4213898472153773E-3</v>
      </c>
      <c r="O56" s="447">
        <f t="shared" si="44"/>
        <v>3.5784313725490194E-2</v>
      </c>
      <c r="P56" s="447">
        <f t="shared" si="44"/>
        <v>-5.2531945101751062E-2</v>
      </c>
      <c r="Q56" s="447">
        <f t="shared" si="44"/>
        <v>0.11613386613386613</v>
      </c>
      <c r="R56" s="447">
        <f t="shared" si="44"/>
        <v>2.2784027339856353E-2</v>
      </c>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74"/>
      <c r="CK56" s="174"/>
      <c r="CL56" s="174"/>
      <c r="CM56" s="174"/>
      <c r="CN56" s="174"/>
      <c r="CO56" s="174"/>
      <c r="CP56" s="174"/>
      <c r="CQ56" s="174"/>
      <c r="CR56" s="174"/>
      <c r="CS56" s="174"/>
      <c r="CT56" s="174"/>
      <c r="CU56" s="174"/>
      <c r="CV56" s="174"/>
      <c r="CW56" s="174"/>
      <c r="CX56" s="174"/>
      <c r="CY56" s="174"/>
      <c r="CZ56" s="174"/>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row>
    <row r="57" spans="1:236">
      <c r="A57" s="2188" t="s">
        <v>217</v>
      </c>
      <c r="B57" s="224" t="s">
        <v>9</v>
      </c>
      <c r="C57" s="224"/>
      <c r="D57" s="224"/>
      <c r="E57" s="447">
        <f t="shared" ref="E57:R57" si="45">(E11-D11)/D11</f>
        <v>-0.10018662594293831</v>
      </c>
      <c r="F57" s="447">
        <f t="shared" si="45"/>
        <v>-0.13027480377006326</v>
      </c>
      <c r="G57" s="447">
        <f t="shared" si="45"/>
        <v>0.19075869450680483</v>
      </c>
      <c r="H57" s="447">
        <f t="shared" si="45"/>
        <v>-7.7357695946477734E-2</v>
      </c>
      <c r="I57" s="447">
        <f t="shared" si="45"/>
        <v>5.4010351208472196E-2</v>
      </c>
      <c r="J57" s="447">
        <f t="shared" si="45"/>
        <v>-4.5570335854565089E-2</v>
      </c>
      <c r="K57" s="447">
        <f t="shared" si="45"/>
        <v>-0.14442467422885369</v>
      </c>
      <c r="L57" s="447">
        <f t="shared" si="45"/>
        <v>-8.9217504300098699E-2</v>
      </c>
      <c r="M57" s="447">
        <f t="shared" si="45"/>
        <v>-8.3572091132071952E-2</v>
      </c>
      <c r="N57" s="447">
        <f t="shared" si="45"/>
        <v>-0.14625672908704437</v>
      </c>
      <c r="O57" s="447">
        <f t="shared" si="45"/>
        <v>6.4532074516113914E-3</v>
      </c>
      <c r="P57" s="447">
        <f t="shared" si="45"/>
        <v>-2.8152238750651939E-2</v>
      </c>
      <c r="Q57" s="447">
        <f t="shared" si="45"/>
        <v>4.0378791539100505E-2</v>
      </c>
      <c r="R57" s="447">
        <f t="shared" si="45"/>
        <v>-6.9328565426238636E-2</v>
      </c>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76"/>
      <c r="CK57" s="176"/>
      <c r="CL57" s="176"/>
      <c r="CM57" s="176"/>
      <c r="CN57" s="176"/>
      <c r="CO57" s="176"/>
      <c r="CP57" s="176"/>
      <c r="CQ57" s="176"/>
      <c r="CR57" s="176"/>
      <c r="CS57" s="176"/>
      <c r="CT57" s="176"/>
      <c r="CU57" s="176"/>
      <c r="CV57" s="176"/>
      <c r="CW57" s="176"/>
      <c r="CX57" s="176"/>
      <c r="CY57" s="176"/>
      <c r="CZ57" s="176"/>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row>
    <row r="58" spans="1:236">
      <c r="A58" s="224" t="s">
        <v>73</v>
      </c>
      <c r="B58" s="224" t="s">
        <v>84</v>
      </c>
      <c r="C58" s="224"/>
      <c r="D58" s="224"/>
      <c r="E58" s="447">
        <f t="shared" ref="E58:R58" si="46">(E12-D12)/D12</f>
        <v>-4.2270082771579329E-2</v>
      </c>
      <c r="F58" s="447">
        <f t="shared" si="46"/>
        <v>-6.8777256824156321E-2</v>
      </c>
      <c r="G58" s="447">
        <f t="shared" si="46"/>
        <v>0.18495071968300397</v>
      </c>
      <c r="H58" s="447">
        <f t="shared" si="46"/>
        <v>3.0878058793884222E-2</v>
      </c>
      <c r="I58" s="447">
        <f t="shared" si="46"/>
        <v>-0.10527734172254492</v>
      </c>
      <c r="J58" s="447">
        <f t="shared" si="46"/>
        <v>-4.4499741094698508E-2</v>
      </c>
      <c r="K58" s="447">
        <f t="shared" si="46"/>
        <v>0.105216938634123</v>
      </c>
      <c r="L58" s="447">
        <f t="shared" si="46"/>
        <v>-1.4343853520419871E-2</v>
      </c>
      <c r="M58" s="447">
        <f t="shared" si="46"/>
        <v>0.11516064568598086</v>
      </c>
      <c r="N58" s="447">
        <f t="shared" si="46"/>
        <v>-0.11478820833803649</v>
      </c>
      <c r="O58" s="447">
        <f t="shared" si="46"/>
        <v>0.10767994471727797</v>
      </c>
      <c r="P58" s="447">
        <f t="shared" si="46"/>
        <v>-4.7484926719107493E-2</v>
      </c>
      <c r="Q58" s="447">
        <f t="shared" si="46"/>
        <v>-0.13385835111892236</v>
      </c>
      <c r="R58" s="447">
        <f t="shared" si="46"/>
        <v>4.0070161405191818E-2</v>
      </c>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74"/>
      <c r="CK58" s="174"/>
      <c r="CL58" s="174"/>
      <c r="CM58" s="174"/>
      <c r="CN58" s="174"/>
      <c r="CO58" s="174"/>
      <c r="CP58" s="174"/>
      <c r="CQ58" s="174"/>
      <c r="CR58" s="174"/>
      <c r="CS58" s="174"/>
      <c r="CT58" s="174"/>
      <c r="CU58" s="174"/>
      <c r="CV58" s="174"/>
      <c r="CW58" s="174"/>
      <c r="CX58" s="174"/>
      <c r="CY58" s="174"/>
      <c r="CZ58" s="174"/>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row>
    <row r="59" spans="1:236">
      <c r="A59" s="2189" t="s">
        <v>19</v>
      </c>
      <c r="B59" s="2189" t="s">
        <v>33</v>
      </c>
      <c r="C59" s="224"/>
      <c r="D59" s="224"/>
      <c r="E59" s="447">
        <f t="shared" ref="E59:R59" si="47">(E13-D13)/D13</f>
        <v>-0.1174011061896084</v>
      </c>
      <c r="F59" s="447">
        <f t="shared" si="47"/>
        <v>-0.13301750887400232</v>
      </c>
      <c r="G59" s="447">
        <f t="shared" si="47"/>
        <v>0.13820609789160113</v>
      </c>
      <c r="H59" s="447">
        <f t="shared" si="47"/>
        <v>0.12142449258320824</v>
      </c>
      <c r="I59" s="447">
        <f t="shared" si="47"/>
        <v>6.9209280293768605E-2</v>
      </c>
      <c r="J59" s="447">
        <f t="shared" si="47"/>
        <v>6.4729404775417901E-2</v>
      </c>
      <c r="K59" s="447">
        <f t="shared" si="47"/>
        <v>3.6871149782511915E-2</v>
      </c>
      <c r="L59" s="447">
        <f t="shared" si="47"/>
        <v>3.556001128032716E-2</v>
      </c>
      <c r="M59" s="447">
        <f t="shared" si="47"/>
        <v>9.9964666169797989E-2</v>
      </c>
      <c r="N59" s="447">
        <f t="shared" si="47"/>
        <v>9.0879888458496108E-2</v>
      </c>
      <c r="O59" s="447">
        <f t="shared" si="47"/>
        <v>7.4207467416755046E-2</v>
      </c>
      <c r="P59" s="447">
        <f t="shared" si="47"/>
        <v>6.9081131594820003E-2</v>
      </c>
      <c r="Q59" s="447">
        <f t="shared" si="47"/>
        <v>0.13879277201076515</v>
      </c>
      <c r="R59" s="447">
        <f t="shared" si="47"/>
        <v>0.12187711006076958</v>
      </c>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74"/>
      <c r="CK59" s="174"/>
      <c r="CL59" s="174"/>
      <c r="CM59" s="174"/>
      <c r="CN59" s="174"/>
      <c r="CO59" s="174"/>
      <c r="CP59" s="174"/>
      <c r="CQ59" s="174"/>
      <c r="CR59" s="174"/>
      <c r="CS59" s="174"/>
      <c r="CT59" s="174"/>
      <c r="CU59" s="174"/>
      <c r="CV59" s="174"/>
      <c r="CW59" s="174"/>
      <c r="CX59" s="174"/>
      <c r="CY59" s="174"/>
      <c r="CZ59" s="174"/>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row>
    <row r="60" spans="1:236">
      <c r="A60" s="2189" t="s">
        <v>19</v>
      </c>
      <c r="B60" s="2189" t="s">
        <v>74</v>
      </c>
      <c r="C60" s="224"/>
      <c r="D60" s="224"/>
      <c r="E60" s="447">
        <f t="shared" ref="E60:R60" si="48">(E14-D14)/D14</f>
        <v>-9.0211011935650023E-2</v>
      </c>
      <c r="F60" s="447">
        <f t="shared" si="48"/>
        <v>-9.915597255972633E-2</v>
      </c>
      <c r="G60" s="447">
        <f t="shared" si="48"/>
        <v>4.6294019384900319E-2</v>
      </c>
      <c r="H60" s="447">
        <f t="shared" si="48"/>
        <v>4.4245707733391849E-2</v>
      </c>
      <c r="I60" s="447">
        <f t="shared" si="48"/>
        <v>-3.0069877400035246E-2</v>
      </c>
      <c r="J60" s="447">
        <f t="shared" si="48"/>
        <v>-3.1002106955324637E-2</v>
      </c>
      <c r="K60" s="447">
        <f t="shared" si="48"/>
        <v>-8.8447945375047854E-2</v>
      </c>
      <c r="L60" s="447">
        <f t="shared" si="48"/>
        <v>-9.7030054319211592E-2</v>
      </c>
      <c r="M60" s="447">
        <f t="shared" si="48"/>
        <v>-7.2995625482196055E-2</v>
      </c>
      <c r="N60" s="447">
        <f t="shared" si="48"/>
        <v>-7.87435609677309E-2</v>
      </c>
      <c r="O60" s="447">
        <f t="shared" si="48"/>
        <v>-9.8591016545344828E-2</v>
      </c>
      <c r="P60" s="447">
        <f t="shared" si="48"/>
        <v>-0.1093743443375662</v>
      </c>
      <c r="Q60" s="447">
        <f t="shared" si="48"/>
        <v>-6.3563208033350013E-2</v>
      </c>
      <c r="R60" s="447">
        <f t="shared" si="48"/>
        <v>-6.7877734598464745E-2</v>
      </c>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74"/>
      <c r="CK60" s="174"/>
      <c r="CL60" s="174"/>
      <c r="CM60" s="174"/>
      <c r="CN60" s="174"/>
      <c r="CO60" s="174"/>
      <c r="CP60" s="174"/>
      <c r="CQ60" s="174"/>
      <c r="CR60" s="174"/>
      <c r="CS60" s="174"/>
      <c r="CT60" s="174"/>
      <c r="CU60" s="174"/>
      <c r="CV60" s="174"/>
      <c r="CW60" s="174"/>
      <c r="CX60" s="174"/>
      <c r="CY60" s="174"/>
      <c r="CZ60" s="174"/>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row>
    <row r="61" spans="1:236">
      <c r="A61" s="224" t="s">
        <v>374</v>
      </c>
      <c r="B61" s="224" t="s">
        <v>5</v>
      </c>
      <c r="C61" s="224"/>
      <c r="D61" s="224"/>
      <c r="E61" s="447">
        <f t="shared" ref="E61:R61" si="49">(E15-D15)/D15</f>
        <v>-0.10689989734611705</v>
      </c>
      <c r="F61" s="447">
        <f t="shared" si="49"/>
        <v>-0.32535365164399255</v>
      </c>
      <c r="G61" s="447">
        <f t="shared" si="49"/>
        <v>-0.1483870783042098</v>
      </c>
      <c r="H61" s="447">
        <f t="shared" si="49"/>
        <v>0.16098483377531667</v>
      </c>
      <c r="I61" s="447">
        <f t="shared" si="49"/>
        <v>0.285481244744971</v>
      </c>
      <c r="J61" s="447">
        <f t="shared" si="49"/>
        <v>-0.18401015993977402</v>
      </c>
      <c r="K61" s="447">
        <f t="shared" si="49"/>
        <v>-0.50233282894417464</v>
      </c>
      <c r="L61" s="447">
        <f t="shared" si="49"/>
        <v>-9.9999987248811109E-2</v>
      </c>
      <c r="M61" s="447">
        <f t="shared" si="49"/>
        <v>0.10763887585237268</v>
      </c>
      <c r="N61" s="447">
        <f t="shared" si="49"/>
        <v>-0.37304072187685733</v>
      </c>
      <c r="O61" s="447">
        <f t="shared" si="49"/>
        <v>0.45499993471391648</v>
      </c>
      <c r="P61" s="447">
        <f t="shared" si="49"/>
        <v>0.75257737018220627</v>
      </c>
      <c r="Q61" s="447">
        <f t="shared" si="49"/>
        <v>-7.4509824315626222E-2</v>
      </c>
      <c r="R61" s="447">
        <f t="shared" si="49"/>
        <v>0.27118644580628121</v>
      </c>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216"/>
      <c r="CK61" s="216"/>
      <c r="CL61" s="216"/>
      <c r="CM61" s="216"/>
      <c r="CN61" s="216"/>
      <c r="CO61" s="216"/>
      <c r="CP61" s="216"/>
      <c r="CQ61" s="216"/>
      <c r="CR61" s="216"/>
      <c r="CS61" s="216"/>
      <c r="CT61" s="216"/>
      <c r="CU61" s="216"/>
      <c r="CV61" s="216"/>
      <c r="CW61" s="216"/>
      <c r="CX61" s="216"/>
      <c r="CY61" s="216"/>
      <c r="CZ61" s="216"/>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row>
    <row r="62" spans="1:236">
      <c r="A62" s="224" t="s">
        <v>499</v>
      </c>
      <c r="B62" s="224" t="s">
        <v>6</v>
      </c>
      <c r="C62" s="224"/>
      <c r="D62" s="224"/>
      <c r="E62" s="447">
        <f t="shared" ref="E62:R62" si="50">(E16-D16)/D16</f>
        <v>-2.0220586005358799E-2</v>
      </c>
      <c r="F62" s="447">
        <f t="shared" si="50"/>
        <v>-0.14634146555465385</v>
      </c>
      <c r="G62" s="447">
        <f t="shared" si="50"/>
        <v>0.12795718499992195</v>
      </c>
      <c r="H62" s="447">
        <f t="shared" si="50"/>
        <v>-5.6585365631408924E-2</v>
      </c>
      <c r="I62" s="447">
        <f t="shared" si="50"/>
        <v>0.1220268902878652</v>
      </c>
      <c r="J62" s="447">
        <f t="shared" si="50"/>
        <v>-0.11566820490053069</v>
      </c>
      <c r="K62" s="447">
        <f t="shared" si="50"/>
        <v>-0.14551594799964029</v>
      </c>
      <c r="L62" s="447">
        <f t="shared" si="50"/>
        <v>1.4032949977106544E-2</v>
      </c>
      <c r="M62" s="447">
        <f t="shared" si="50"/>
        <v>7.2803851232825567E-2</v>
      </c>
      <c r="N62" s="447">
        <f t="shared" si="50"/>
        <v>-0.12450925699626318</v>
      </c>
      <c r="O62" s="447">
        <f t="shared" si="50"/>
        <v>-6.4061686345681407E-4</v>
      </c>
      <c r="P62" s="447">
        <f t="shared" si="50"/>
        <v>-0.12435897248350615</v>
      </c>
      <c r="Q62" s="447">
        <f t="shared" si="50"/>
        <v>-0.19326500281776979</v>
      </c>
      <c r="R62" s="447">
        <f t="shared" si="50"/>
        <v>-3.0852999868275478E-2</v>
      </c>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440"/>
      <c r="CK62" s="440"/>
      <c r="CL62" s="440"/>
      <c r="CM62" s="440"/>
      <c r="CN62" s="440"/>
      <c r="CO62" s="440"/>
      <c r="CP62" s="440"/>
      <c r="CQ62" s="440"/>
      <c r="CR62" s="440"/>
      <c r="CS62" s="440"/>
      <c r="CT62" s="440"/>
      <c r="CU62" s="440"/>
      <c r="CV62" s="440"/>
      <c r="CW62" s="440"/>
      <c r="CX62" s="440"/>
      <c r="CY62" s="440"/>
      <c r="CZ62" s="440"/>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row>
    <row r="63" spans="1:236">
      <c r="A63" s="224" t="s">
        <v>500</v>
      </c>
      <c r="B63" s="224" t="s">
        <v>14</v>
      </c>
      <c r="C63" s="224"/>
      <c r="D63" s="224"/>
      <c r="E63" s="447">
        <f t="shared" ref="E63:R63" si="51">(E17-D17)/D17</f>
        <v>-4.4345687229408121E-3</v>
      </c>
      <c r="F63" s="447">
        <f t="shared" si="51"/>
        <v>2.5434243176178612E-2</v>
      </c>
      <c r="G63" s="447">
        <f t="shared" si="51"/>
        <v>0.11433689591603528</v>
      </c>
      <c r="H63" s="447">
        <f t="shared" si="51"/>
        <v>1.3100704312655561E-2</v>
      </c>
      <c r="I63" s="447">
        <f t="shared" si="51"/>
        <v>-2.4719801165133864E-2</v>
      </c>
      <c r="J63" s="447">
        <f t="shared" si="51"/>
        <v>-2.9121465063596318E-2</v>
      </c>
      <c r="K63" s="447">
        <f t="shared" si="51"/>
        <v>2.4142025858289919E-3</v>
      </c>
      <c r="L63" s="447">
        <f t="shared" si="51"/>
        <v>5.8474614100500463E-2</v>
      </c>
      <c r="M63" s="447">
        <f t="shared" si="51"/>
        <v>5.9947557022232562E-2</v>
      </c>
      <c r="N63" s="447">
        <f t="shared" si="51"/>
        <v>-3.4481300649027144E-2</v>
      </c>
      <c r="O63" s="447">
        <f t="shared" si="51"/>
        <v>9.5540824042234629E-2</v>
      </c>
      <c r="P63" s="447">
        <f t="shared" si="51"/>
        <v>-5.6653284122622823E-3</v>
      </c>
      <c r="Q63" s="447">
        <f t="shared" si="51"/>
        <v>0.14975456081525071</v>
      </c>
      <c r="R63" s="447">
        <f t="shared" si="51"/>
        <v>-5.7165231010180034E-2</v>
      </c>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row>
    <row r="64" spans="1:236">
      <c r="A64" s="224" t="s">
        <v>501</v>
      </c>
      <c r="B64" s="224" t="s">
        <v>7</v>
      </c>
      <c r="C64" s="224"/>
      <c r="D64" s="224"/>
      <c r="E64" s="447">
        <f t="shared" ref="E64:R64" si="52">(E18-D18)/D18</f>
        <v>-1.5805624773698304E-2</v>
      </c>
      <c r="F64" s="447">
        <f t="shared" si="52"/>
        <v>-0.10699062174077331</v>
      </c>
      <c r="G64" s="447">
        <f t="shared" si="52"/>
        <v>5.2578242371484868E-2</v>
      </c>
      <c r="H64" s="447">
        <f t="shared" si="52"/>
        <v>-3.7461436788393428E-2</v>
      </c>
      <c r="I64" s="447">
        <f t="shared" si="52"/>
        <v>6.9684328620584379E-2</v>
      </c>
      <c r="J64" s="447">
        <f t="shared" si="52"/>
        <v>-0.16555740443934658</v>
      </c>
      <c r="K64" s="447">
        <f t="shared" si="52"/>
        <v>-4.5626135281151017E-2</v>
      </c>
      <c r="L64" s="447">
        <f t="shared" si="52"/>
        <v>-9.5328701383760067E-2</v>
      </c>
      <c r="M64" s="447">
        <f t="shared" si="52"/>
        <v>-0.10784207607413082</v>
      </c>
      <c r="N64" s="447">
        <f t="shared" si="52"/>
        <v>-8.3899122411555477E-2</v>
      </c>
      <c r="O64" s="447">
        <f t="shared" si="52"/>
        <v>-0.21307570128494993</v>
      </c>
      <c r="P64" s="447">
        <f t="shared" si="52"/>
        <v>-0.37504205175461214</v>
      </c>
      <c r="Q64" s="447">
        <f t="shared" si="52"/>
        <v>-0.2938643632082677</v>
      </c>
      <c r="R64" s="447">
        <f t="shared" si="52"/>
        <v>0.81550181494363494</v>
      </c>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row>
    <row r="65" spans="1:236">
      <c r="A65" s="224" t="s">
        <v>502</v>
      </c>
      <c r="B65" s="224" t="s">
        <v>76</v>
      </c>
      <c r="C65" s="224"/>
      <c r="D65" s="224"/>
      <c r="E65" s="447">
        <f t="shared" ref="E65:R65" si="53">(E19-D19)/D19</f>
        <v>2.1155732014232341E-2</v>
      </c>
      <c r="F65" s="447">
        <f t="shared" si="53"/>
        <v>-0.11782849970014599</v>
      </c>
      <c r="G65" s="447">
        <f t="shared" si="53"/>
        <v>0.25734265748910956</v>
      </c>
      <c r="H65" s="447">
        <f t="shared" si="53"/>
        <v>-9.0417329451188189E-2</v>
      </c>
      <c r="I65" s="447">
        <f t="shared" si="53"/>
        <v>7.6169807174641627E-2</v>
      </c>
      <c r="J65" s="447">
        <f t="shared" si="53"/>
        <v>-5.3409091701877229E-2</v>
      </c>
      <c r="K65" s="447">
        <f t="shared" si="53"/>
        <v>4.4417768185833331E-2</v>
      </c>
      <c r="L65" s="447">
        <f t="shared" si="53"/>
        <v>-1.8157705670922581E-2</v>
      </c>
      <c r="M65" s="447">
        <f t="shared" si="53"/>
        <v>3.4793122605012306E-4</v>
      </c>
      <c r="N65" s="447">
        <f t="shared" si="53"/>
        <v>-8.8940900468337275E-2</v>
      </c>
      <c r="O65" s="447">
        <f t="shared" si="53"/>
        <v>5.6518944725060444E-2</v>
      </c>
      <c r="P65" s="447">
        <f t="shared" si="53"/>
        <v>-0.25653495578238839</v>
      </c>
      <c r="Q65" s="447">
        <f t="shared" si="53"/>
        <v>-0.45461978467996988</v>
      </c>
      <c r="R65" s="447">
        <f t="shared" si="53"/>
        <v>0.12692600186849395</v>
      </c>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row>
    <row r="66" spans="1:236">
      <c r="A66" s="224" t="s">
        <v>27</v>
      </c>
      <c r="B66" s="224" t="s">
        <v>8</v>
      </c>
      <c r="C66" s="224"/>
      <c r="D66" s="224"/>
      <c r="E66" s="447">
        <f t="shared" ref="E66:R66" si="54">(E20-D20)/D20</f>
        <v>-5.5085782537672495E-3</v>
      </c>
      <c r="F66" s="447">
        <f t="shared" si="54"/>
        <v>-1.1840808023762531E-2</v>
      </c>
      <c r="G66" s="447">
        <f t="shared" si="54"/>
        <v>0.19682418857651743</v>
      </c>
      <c r="H66" s="447">
        <f t="shared" si="54"/>
        <v>-0.1637307793425947</v>
      </c>
      <c r="I66" s="447">
        <f t="shared" si="54"/>
        <v>-5.2614293260606565E-3</v>
      </c>
      <c r="J66" s="447">
        <f t="shared" si="54"/>
        <v>-0.16048625035108979</v>
      </c>
      <c r="K66" s="447">
        <f t="shared" si="54"/>
        <v>-0.19555359960779539</v>
      </c>
      <c r="L66" s="447">
        <f t="shared" si="54"/>
        <v>-0.26779837252089705</v>
      </c>
      <c r="M66" s="447">
        <f t="shared" si="54"/>
        <v>1.3436780324574937E-2</v>
      </c>
      <c r="N66" s="447">
        <f t="shared" si="54"/>
        <v>-0.15343900550526215</v>
      </c>
      <c r="O66" s="447">
        <f t="shared" si="54"/>
        <v>0.11345814156138144</v>
      </c>
      <c r="P66" s="447">
        <f t="shared" si="54"/>
        <v>-0.12292642568749174</v>
      </c>
      <c r="Q66" s="447">
        <f t="shared" si="54"/>
        <v>0.13687521963368995</v>
      </c>
      <c r="R66" s="447">
        <f t="shared" si="54"/>
        <v>-0.22052818293902809</v>
      </c>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row>
    <row r="67" spans="1:236">
      <c r="A67" s="224" t="s">
        <v>32</v>
      </c>
      <c r="B67" s="224" t="s">
        <v>11</v>
      </c>
      <c r="C67" s="224"/>
      <c r="D67" s="224"/>
      <c r="E67" s="447">
        <f t="shared" ref="E67:R67" si="55">(E21-D21)/D21</f>
        <v>-3.5007818596147919E-2</v>
      </c>
      <c r="F67" s="447">
        <f t="shared" si="55"/>
        <v>5.004035746664319E-2</v>
      </c>
      <c r="G67" s="447">
        <f t="shared" si="55"/>
        <v>2.4390173064393058E-2</v>
      </c>
      <c r="H67" s="447">
        <f t="shared" si="55"/>
        <v>0.29156837483078507</v>
      </c>
      <c r="I67" s="447">
        <f t="shared" si="55"/>
        <v>7.8246032539805846E-2</v>
      </c>
      <c r="J67" s="447">
        <f t="shared" si="55"/>
        <v>8.5668103412661789E-2</v>
      </c>
      <c r="K67" s="447">
        <f t="shared" si="55"/>
        <v>-0.17789599793847358</v>
      </c>
      <c r="L67" s="447">
        <f t="shared" si="55"/>
        <v>9.9174690793154621E-2</v>
      </c>
      <c r="M67" s="447">
        <f t="shared" si="55"/>
        <v>0.18740915583768472</v>
      </c>
      <c r="N67" s="447">
        <f t="shared" si="55"/>
        <v>-6.5577760137180682E-2</v>
      </c>
      <c r="O67" s="447">
        <f t="shared" si="55"/>
        <v>0.10329105056716502</v>
      </c>
      <c r="P67" s="447">
        <f t="shared" si="55"/>
        <v>1.4303621479763047E-3</v>
      </c>
      <c r="Q67" s="447">
        <f t="shared" si="55"/>
        <v>0.20403078728788673</v>
      </c>
      <c r="R67" s="447">
        <f t="shared" si="55"/>
        <v>0.11242174207713615</v>
      </c>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row>
    <row r="68" spans="1:236">
      <c r="A68" s="2189" t="s">
        <v>32</v>
      </c>
      <c r="B68" s="2189" t="s">
        <v>17</v>
      </c>
      <c r="C68" s="224"/>
      <c r="D68" s="224"/>
      <c r="E68" s="447">
        <f t="shared" ref="E68:R68" si="56">(E22-D22)/D22</f>
        <v>0</v>
      </c>
      <c r="F68" s="447">
        <f t="shared" si="56"/>
        <v>1.5017216315328942E-2</v>
      </c>
      <c r="G68" s="447">
        <f t="shared" si="56"/>
        <v>1.4795036058446164E-2</v>
      </c>
      <c r="H68" s="447">
        <f t="shared" si="56"/>
        <v>5.2043350476308717E-2</v>
      </c>
      <c r="I68" s="447">
        <f t="shared" si="56"/>
        <v>4.9468826976327644E-2</v>
      </c>
      <c r="J68" s="447">
        <f t="shared" si="56"/>
        <v>-3.9464676981304722E-2</v>
      </c>
      <c r="K68" s="447">
        <f t="shared" si="56"/>
        <v>-4.1086127741016727E-2</v>
      </c>
      <c r="L68" s="447">
        <f t="shared" si="56"/>
        <v>9.7869740972145007E-3</v>
      </c>
      <c r="M68" s="447">
        <f t="shared" si="56"/>
        <v>9.6921175933810961E-3</v>
      </c>
      <c r="N68" s="447">
        <f t="shared" si="56"/>
        <v>5.506680880051607E-3</v>
      </c>
      <c r="O68" s="447">
        <f t="shared" si="56"/>
        <v>5.4765234132825294E-3</v>
      </c>
      <c r="P68" s="447">
        <f t="shared" si="56"/>
        <v>2.8058509087912655E-2</v>
      </c>
      <c r="Q68" s="447">
        <f t="shared" si="56"/>
        <v>2.7292716163407692E-2</v>
      </c>
      <c r="R68" s="447">
        <f t="shared" si="56"/>
        <v>0</v>
      </c>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row>
    <row r="69" spans="1:236">
      <c r="A69" s="224" t="s">
        <v>503</v>
      </c>
      <c r="B69" s="224" t="s">
        <v>10</v>
      </c>
      <c r="C69" s="224"/>
      <c r="D69" s="224"/>
      <c r="E69" s="447">
        <f t="shared" ref="E69:R69" si="57">(E23-D23)/D23</f>
        <v>-1.1571888547030142E-2</v>
      </c>
      <c r="F69" s="447">
        <f t="shared" si="57"/>
        <v>-1.7560975605940655E-2</v>
      </c>
      <c r="G69" s="447">
        <f t="shared" si="57"/>
        <v>8.4409135807853045E-2</v>
      </c>
      <c r="H69" s="447">
        <f t="shared" si="57"/>
        <v>-2.3809477312873511E-2</v>
      </c>
      <c r="I69" s="447">
        <f t="shared" si="57"/>
        <v>-1.3099418652737333E-2</v>
      </c>
      <c r="J69" s="447">
        <f t="shared" si="57"/>
        <v>-0.14940421613525343</v>
      </c>
      <c r="K69" s="447">
        <f t="shared" si="57"/>
        <v>-1.6379310344827591E-2</v>
      </c>
      <c r="L69" s="447">
        <f t="shared" si="57"/>
        <v>2.4758931482053711E-2</v>
      </c>
      <c r="M69" s="447">
        <f t="shared" si="57"/>
        <v>-1.3470123256935073E-2</v>
      </c>
      <c r="N69" s="447">
        <f t="shared" si="57"/>
        <v>-4.377980060684878E-2</v>
      </c>
      <c r="O69" s="447">
        <f t="shared" si="57"/>
        <v>7.1622846781505142E-2</v>
      </c>
      <c r="P69" s="447">
        <f t="shared" si="57"/>
        <v>-6.8104953829241768E-2</v>
      </c>
      <c r="Q69" s="447">
        <f t="shared" si="57"/>
        <v>5.6059971694989309E-2</v>
      </c>
      <c r="R69" s="447">
        <f t="shared" si="57"/>
        <v>-6.0176230374062632E-2</v>
      </c>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row>
    <row r="70" spans="1:236">
      <c r="A70" s="224" t="s">
        <v>503</v>
      </c>
      <c r="B70" s="224" t="s">
        <v>15</v>
      </c>
      <c r="C70" s="224"/>
      <c r="D70" s="224"/>
      <c r="E70" s="447">
        <f t="shared" ref="E70:R70" si="58">(E24-D24)/D24</f>
        <v>7.9119620061185031E-2</v>
      </c>
      <c r="F70" s="447">
        <f t="shared" si="58"/>
        <v>-2.6139348863503907E-2</v>
      </c>
      <c r="G70" s="447">
        <f t="shared" si="58"/>
        <v>0.21315039311438763</v>
      </c>
      <c r="H70" s="447">
        <f t="shared" si="58"/>
        <v>-8.2245707101576675E-3</v>
      </c>
      <c r="I70" s="447">
        <f t="shared" si="58"/>
        <v>6.5323375457072189E-2</v>
      </c>
      <c r="J70" s="447">
        <f t="shared" si="58"/>
        <v>-0.15077653394926877</v>
      </c>
      <c r="K70" s="447">
        <f t="shared" si="58"/>
        <v>2.8588909178253025E-3</v>
      </c>
      <c r="L70" s="447">
        <f t="shared" si="58"/>
        <v>6.8223248689853674E-2</v>
      </c>
      <c r="M70" s="447">
        <f t="shared" si="58"/>
        <v>-2.1346513343380629E-3</v>
      </c>
      <c r="N70" s="447">
        <f t="shared" si="58"/>
        <v>-0.19976350485669586</v>
      </c>
      <c r="O70" s="447">
        <f t="shared" si="58"/>
        <v>0.10575828010186925</v>
      </c>
      <c r="P70" s="447">
        <f t="shared" si="58"/>
        <v>-8.4252879413849978E-3</v>
      </c>
      <c r="Q70" s="447">
        <f t="shared" si="58"/>
        <v>-4.0574280524123443E-2</v>
      </c>
      <c r="R70" s="447">
        <f t="shared" si="58"/>
        <v>-0.29773918967165686</v>
      </c>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row>
    <row r="71" spans="1:236">
      <c r="A71" s="224" t="s">
        <v>504</v>
      </c>
      <c r="B71" s="224" t="s">
        <v>12</v>
      </c>
      <c r="C71" s="224"/>
      <c r="D71" s="224"/>
      <c r="E71" s="447">
        <f t="shared" ref="E71:R71" si="59">(E25-D25)/D25</f>
        <v>-2.7227272533621009E-2</v>
      </c>
      <c r="F71" s="447">
        <f t="shared" si="59"/>
        <v>-4.6518720008643107E-2</v>
      </c>
      <c r="G71" s="447">
        <f t="shared" si="59"/>
        <v>6.0192660233371255E-2</v>
      </c>
      <c r="H71" s="447">
        <f t="shared" si="59"/>
        <v>5.6775209347442145E-2</v>
      </c>
      <c r="I71" s="447">
        <f t="shared" si="59"/>
        <v>-4.0089945087984523E-3</v>
      </c>
      <c r="J71" s="447">
        <f t="shared" si="59"/>
        <v>-5.8427331944477412E-2</v>
      </c>
      <c r="K71" s="447">
        <f t="shared" si="59"/>
        <v>-3.8132292660727256E-2</v>
      </c>
      <c r="L71" s="447">
        <f t="shared" si="59"/>
        <v>-4.019144883759182E-2</v>
      </c>
      <c r="M71" s="447">
        <f t="shared" si="59"/>
        <v>2.5297740065314218E-2</v>
      </c>
      <c r="N71" s="447">
        <f t="shared" si="59"/>
        <v>4.4669772540421968E-2</v>
      </c>
      <c r="O71" s="447">
        <f t="shared" si="59"/>
        <v>-8.3945435466946713E-3</v>
      </c>
      <c r="P71" s="447">
        <f t="shared" si="59"/>
        <v>4.1788824929437231E-2</v>
      </c>
      <c r="Q71" s="447">
        <f t="shared" si="59"/>
        <v>0.11529655277859624</v>
      </c>
      <c r="R71" s="447">
        <f t="shared" si="59"/>
        <v>-5.828676120842681E-2</v>
      </c>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row>
    <row r="72" spans="1:236">
      <c r="A72" s="224" t="s">
        <v>27</v>
      </c>
      <c r="B72" s="224" t="s">
        <v>339</v>
      </c>
      <c r="C72" s="224"/>
      <c r="D72" s="224"/>
      <c r="E72" s="447">
        <f t="shared" ref="E72:R72" si="60">(E26-D26)/D26</f>
        <v>-0.15636264620628013</v>
      </c>
      <c r="F72" s="447">
        <f t="shared" si="60"/>
        <v>-0.13579474653006246</v>
      </c>
      <c r="G72" s="447">
        <f t="shared" si="60"/>
        <v>-2.3577014913982518E-2</v>
      </c>
      <c r="H72" s="447">
        <f t="shared" si="60"/>
        <v>-2.4146312893182892E-2</v>
      </c>
      <c r="I72" s="447">
        <f t="shared" si="60"/>
        <v>0.12016233650359416</v>
      </c>
      <c r="J72" s="447">
        <f t="shared" si="60"/>
        <v>3.7547612948018207E-3</v>
      </c>
      <c r="K72" s="447">
        <f t="shared" si="60"/>
        <v>-0.23759782931447834</v>
      </c>
      <c r="L72" s="447">
        <f t="shared" si="60"/>
        <v>5.0525432155663672E-2</v>
      </c>
      <c r="M72" s="447">
        <f t="shared" si="60"/>
        <v>1.1267281105990751E-2</v>
      </c>
      <c r="N72" s="447">
        <f t="shared" si="60"/>
        <v>7.0138986989906352E-2</v>
      </c>
      <c r="O72" s="447">
        <f t="shared" si="60"/>
        <v>5.4713989490141335E-2</v>
      </c>
      <c r="P72" s="447">
        <f t="shared" si="60"/>
        <v>8.2041944320519422E-2</v>
      </c>
      <c r="Q72" s="447">
        <f t="shared" si="60"/>
        <v>0.13463089086405131</v>
      </c>
      <c r="R72" s="447">
        <f t="shared" si="60"/>
        <v>-7.4866321591118459E-2</v>
      </c>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row>
    <row r="73" spans="1:236">
      <c r="A73" s="1032" t="s">
        <v>712</v>
      </c>
      <c r="B73" s="1032" t="s">
        <v>341</v>
      </c>
      <c r="C73" s="1032"/>
      <c r="D73" s="1032"/>
      <c r="E73" s="1518">
        <f t="shared" ref="E73:R73" si="61">(E27-D27)/D27</f>
        <v>-8.1481418223616681E-2</v>
      </c>
      <c r="F73" s="1518">
        <f t="shared" si="61"/>
        <v>-0.20967750133169408</v>
      </c>
      <c r="G73" s="1518">
        <f t="shared" si="61"/>
        <v>-6.122446578770032E-2</v>
      </c>
      <c r="H73" s="1518">
        <f t="shared" si="61"/>
        <v>-6.5217364062509608E-2</v>
      </c>
      <c r="I73" s="1518">
        <f t="shared" si="61"/>
        <v>-5.8139553589095033E-2</v>
      </c>
      <c r="J73" s="1518">
        <f t="shared" si="61"/>
        <v>-0.1358023637060278</v>
      </c>
      <c r="K73" s="1518">
        <f t="shared" si="61"/>
        <v>-0.12142864201272116</v>
      </c>
      <c r="L73" s="1518">
        <f t="shared" si="61"/>
        <v>2.4065021873997776E-2</v>
      </c>
      <c r="M73" s="1518">
        <f t="shared" si="61"/>
        <v>9.7173645094761077E-2</v>
      </c>
      <c r="N73" s="1518">
        <f t="shared" si="61"/>
        <v>-0.11722126628233805</v>
      </c>
      <c r="O73" s="1518">
        <f t="shared" si="61"/>
        <v>0.25426210744940836</v>
      </c>
      <c r="P73" s="1518">
        <f t="shared" si="61"/>
        <v>0.24885636728526325</v>
      </c>
      <c r="Q73" s="1518">
        <f t="shared" si="61"/>
        <v>-0.13134477180121437</v>
      </c>
      <c r="R73" s="1518">
        <f t="shared" si="61"/>
        <v>0.25301194169590518</v>
      </c>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row>
    <row r="74" spans="1:236">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row>
    <row r="75" spans="1:236">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row>
    <row r="76" spans="1:236" s="2285" customFormat="1"/>
  </sheetData>
  <hyperlinks>
    <hyperlink ref="BE31" location="'Bloom Cleaner Data'!DA30" display="'Bloom Cleaner Data'!DA30"/>
  </hyperlink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55"/>
  <sheetViews>
    <sheetView showGridLines="0" zoomScale="80" zoomScaleNormal="80" workbookViewId="0">
      <pane xSplit="2" ySplit="3" topLeftCell="C4" activePane="bottomRight" state="frozen"/>
      <selection pane="topRight" activeCell="C1" sqref="C1"/>
      <selection pane="bottomLeft" activeCell="A3" sqref="A3"/>
      <selection pane="bottomRight" activeCell="IH1" sqref="IH1:XFD1048576"/>
    </sheetView>
  </sheetViews>
  <sheetFormatPr defaultColWidth="11.42578125" defaultRowHeight="12.75"/>
  <cols>
    <col min="1" max="1" width="11.28515625" style="2287" customWidth="1"/>
    <col min="2" max="2" width="17" style="2288" customWidth="1"/>
    <col min="3" max="3" width="6.85546875" style="2288" customWidth="1"/>
    <col min="4" max="19" width="11.42578125" style="2288"/>
    <col min="20" max="20" width="11.42578125" style="2288" customWidth="1"/>
    <col min="21" max="87" width="11.42578125" style="2288"/>
    <col min="88" max="88" width="11.42578125" style="2292"/>
    <col min="89" max="156" width="11.42578125" style="2288"/>
    <col min="157" max="172" width="11.42578125" style="2292"/>
    <col min="173" max="241" width="11.42578125" style="2288"/>
    <col min="242" max="242" width="11.42578125" style="2286"/>
    <col min="243" max="16384" width="11.42578125" style="2288"/>
  </cols>
  <sheetData>
    <row r="1" spans="1:242">
      <c r="A1" s="2181" t="s">
        <v>352</v>
      </c>
      <c r="B1" s="2182"/>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c r="FB1"/>
      <c r="FC1"/>
      <c r="FD1"/>
      <c r="FE1"/>
      <c r="FF1"/>
      <c r="FG1"/>
      <c r="FH1"/>
      <c r="FI1"/>
      <c r="FJ1"/>
      <c r="FK1"/>
      <c r="FL1"/>
      <c r="FM1"/>
      <c r="FN1"/>
      <c r="FO1"/>
      <c r="FP1"/>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216"/>
      <c r="HR1" s="216"/>
      <c r="HS1" s="216"/>
      <c r="HT1" s="216"/>
      <c r="HU1" s="216"/>
      <c r="HV1" s="216"/>
      <c r="HW1" s="216"/>
      <c r="HX1" s="216"/>
      <c r="HY1" s="216"/>
      <c r="HZ1" s="216"/>
      <c r="IA1" s="216"/>
      <c r="IB1" s="216"/>
      <c r="IC1" s="216"/>
      <c r="ID1" s="216"/>
      <c r="IE1" s="216"/>
      <c r="IF1" s="216"/>
      <c r="IG1" s="7"/>
    </row>
    <row r="2" spans="1:242">
      <c r="A2" s="11"/>
      <c r="B2" s="7"/>
      <c r="C2" s="7"/>
      <c r="D2" s="5">
        <v>40178</v>
      </c>
      <c r="E2" s="5">
        <v>40268</v>
      </c>
      <c r="F2" s="5">
        <v>40359</v>
      </c>
      <c r="G2" s="5">
        <v>40451</v>
      </c>
      <c r="H2" s="5">
        <v>40543</v>
      </c>
      <c r="I2" s="5">
        <v>40633</v>
      </c>
      <c r="J2" s="5">
        <v>40724</v>
      </c>
      <c r="K2" s="5">
        <v>40816</v>
      </c>
      <c r="L2" s="5">
        <v>40908</v>
      </c>
      <c r="M2" s="5">
        <v>40999</v>
      </c>
      <c r="N2" s="5">
        <v>41090</v>
      </c>
      <c r="O2" s="5">
        <v>41182</v>
      </c>
      <c r="P2" s="5">
        <v>41274</v>
      </c>
      <c r="Q2" s="5">
        <v>41364</v>
      </c>
      <c r="R2" s="5">
        <v>41455</v>
      </c>
      <c r="S2" s="5">
        <v>41547</v>
      </c>
      <c r="T2" s="7"/>
      <c r="U2" s="5">
        <v>40178</v>
      </c>
      <c r="V2" s="5">
        <v>40268</v>
      </c>
      <c r="W2" s="5">
        <v>40359</v>
      </c>
      <c r="X2" s="5">
        <v>40451</v>
      </c>
      <c r="Y2" s="5">
        <v>40543</v>
      </c>
      <c r="Z2" s="5">
        <v>40633</v>
      </c>
      <c r="AA2" s="5">
        <v>40724</v>
      </c>
      <c r="AB2" s="5">
        <v>40816</v>
      </c>
      <c r="AC2" s="5">
        <v>40908</v>
      </c>
      <c r="AD2" s="5">
        <v>40999</v>
      </c>
      <c r="AE2" s="5">
        <v>41090</v>
      </c>
      <c r="AF2" s="5">
        <v>41182</v>
      </c>
      <c r="AG2" s="5">
        <v>41274</v>
      </c>
      <c r="AH2" s="5">
        <v>41364</v>
      </c>
      <c r="AI2" s="5">
        <v>41455</v>
      </c>
      <c r="AJ2" s="5">
        <v>41547</v>
      </c>
      <c r="AK2" s="5"/>
      <c r="AL2" s="5">
        <v>40178</v>
      </c>
      <c r="AM2" s="5">
        <v>40268</v>
      </c>
      <c r="AN2" s="5">
        <v>40359</v>
      </c>
      <c r="AO2" s="5">
        <v>40451</v>
      </c>
      <c r="AP2" s="5">
        <v>40543</v>
      </c>
      <c r="AQ2" s="5">
        <v>40633</v>
      </c>
      <c r="AR2" s="5">
        <v>40724</v>
      </c>
      <c r="AS2" s="5">
        <v>40816</v>
      </c>
      <c r="AT2" s="5">
        <v>40908</v>
      </c>
      <c r="AU2" s="5">
        <v>40999</v>
      </c>
      <c r="AV2" s="5">
        <v>41090</v>
      </c>
      <c r="AW2" s="5">
        <v>41182</v>
      </c>
      <c r="AX2" s="5">
        <v>41274</v>
      </c>
      <c r="AY2" s="5">
        <v>41364</v>
      </c>
      <c r="AZ2" s="5">
        <v>41455</v>
      </c>
      <c r="BA2" s="5">
        <v>41547</v>
      </c>
      <c r="BB2" s="5"/>
      <c r="BC2" s="5">
        <v>40178</v>
      </c>
      <c r="BD2" s="5">
        <v>40268</v>
      </c>
      <c r="BE2" s="5">
        <v>40359</v>
      </c>
      <c r="BF2" s="5">
        <v>40451</v>
      </c>
      <c r="BG2" s="5">
        <v>40543</v>
      </c>
      <c r="BH2" s="5">
        <v>40633</v>
      </c>
      <c r="BI2" s="5">
        <v>40724</v>
      </c>
      <c r="BJ2" s="5">
        <v>40816</v>
      </c>
      <c r="BK2" s="5">
        <v>40908</v>
      </c>
      <c r="BL2" s="5">
        <v>40999</v>
      </c>
      <c r="BM2" s="5">
        <v>41090</v>
      </c>
      <c r="BN2" s="5">
        <v>41182</v>
      </c>
      <c r="BO2" s="5">
        <v>41274</v>
      </c>
      <c r="BP2" s="5">
        <v>41364</v>
      </c>
      <c r="BQ2" s="5">
        <v>41455</v>
      </c>
      <c r="BR2" s="5">
        <v>41547</v>
      </c>
      <c r="BS2" s="5"/>
      <c r="BT2" s="5">
        <v>40178</v>
      </c>
      <c r="BU2" s="5">
        <v>40268</v>
      </c>
      <c r="BV2" s="5">
        <v>40359</v>
      </c>
      <c r="BW2" s="5">
        <v>40451</v>
      </c>
      <c r="BX2" s="5">
        <v>40543</v>
      </c>
      <c r="BY2" s="5">
        <v>40633</v>
      </c>
      <c r="BZ2" s="5">
        <v>40724</v>
      </c>
      <c r="CA2" s="5">
        <v>40816</v>
      </c>
      <c r="CB2" s="5">
        <v>40908</v>
      </c>
      <c r="CC2" s="5">
        <v>40999</v>
      </c>
      <c r="CD2" s="5">
        <v>41090</v>
      </c>
      <c r="CE2" s="5">
        <v>41182</v>
      </c>
      <c r="CF2" s="5">
        <v>41274</v>
      </c>
      <c r="CG2" s="5">
        <v>41364</v>
      </c>
      <c r="CH2" s="5">
        <v>41455</v>
      </c>
      <c r="CI2" s="5">
        <v>41547</v>
      </c>
      <c r="CJ2"/>
      <c r="CK2" s="5">
        <v>40178</v>
      </c>
      <c r="CL2" s="5">
        <v>40268</v>
      </c>
      <c r="CM2" s="5">
        <v>40359</v>
      </c>
      <c r="CN2" s="5">
        <v>40451</v>
      </c>
      <c r="CO2" s="5">
        <v>40543</v>
      </c>
      <c r="CP2" s="5">
        <v>40633</v>
      </c>
      <c r="CQ2" s="5">
        <v>40724</v>
      </c>
      <c r="CR2" s="5">
        <v>40816</v>
      </c>
      <c r="CS2" s="5">
        <v>40908</v>
      </c>
      <c r="CT2" s="5">
        <v>40999</v>
      </c>
      <c r="CU2" s="5">
        <v>41090</v>
      </c>
      <c r="CV2" s="5">
        <v>41182</v>
      </c>
      <c r="CW2" s="5">
        <v>41274</v>
      </c>
      <c r="CX2" s="5">
        <v>41364</v>
      </c>
      <c r="CY2" s="5">
        <v>41455</v>
      </c>
      <c r="CZ2" s="5">
        <v>41547</v>
      </c>
      <c r="DA2" s="7"/>
      <c r="DB2" s="5">
        <v>40178</v>
      </c>
      <c r="DC2" s="5">
        <v>40268</v>
      </c>
      <c r="DD2" s="5">
        <v>40359</v>
      </c>
      <c r="DE2" s="5">
        <v>40451</v>
      </c>
      <c r="DF2" s="5">
        <v>40543</v>
      </c>
      <c r="DG2" s="5">
        <v>40633</v>
      </c>
      <c r="DH2" s="5">
        <v>40724</v>
      </c>
      <c r="DI2" s="5">
        <v>40816</v>
      </c>
      <c r="DJ2" s="5">
        <v>40908</v>
      </c>
      <c r="DK2" s="5">
        <v>40999</v>
      </c>
      <c r="DL2" s="5">
        <v>41090</v>
      </c>
      <c r="DM2" s="5">
        <v>41182</v>
      </c>
      <c r="DN2" s="5">
        <v>41274</v>
      </c>
      <c r="DO2" s="5">
        <v>41364</v>
      </c>
      <c r="DP2" s="5">
        <v>41455</v>
      </c>
      <c r="DQ2" s="5">
        <v>41547</v>
      </c>
      <c r="DR2" s="7"/>
      <c r="DS2" s="5">
        <v>40178</v>
      </c>
      <c r="DT2" s="5">
        <v>40268</v>
      </c>
      <c r="DU2" s="5">
        <v>40359</v>
      </c>
      <c r="DV2" s="5">
        <v>40451</v>
      </c>
      <c r="DW2" s="5">
        <v>40543</v>
      </c>
      <c r="DX2" s="5">
        <v>40633</v>
      </c>
      <c r="DY2" s="5">
        <v>40724</v>
      </c>
      <c r="DZ2" s="5">
        <v>40816</v>
      </c>
      <c r="EA2" s="5">
        <v>40908</v>
      </c>
      <c r="EB2" s="5">
        <v>40999</v>
      </c>
      <c r="EC2" s="5">
        <v>41090</v>
      </c>
      <c r="ED2" s="5">
        <v>41182</v>
      </c>
      <c r="EE2" s="5">
        <v>41274</v>
      </c>
      <c r="EF2" s="5">
        <v>41364</v>
      </c>
      <c r="EG2" s="5">
        <v>41455</v>
      </c>
      <c r="EH2" s="5">
        <v>41547</v>
      </c>
      <c r="EI2" s="5"/>
      <c r="EJ2" s="5">
        <v>40178</v>
      </c>
      <c r="EK2" s="5">
        <v>40268</v>
      </c>
      <c r="EL2" s="5">
        <v>40359</v>
      </c>
      <c r="EM2" s="5">
        <v>40451</v>
      </c>
      <c r="EN2" s="5">
        <v>40543</v>
      </c>
      <c r="EO2" s="5">
        <v>40633</v>
      </c>
      <c r="EP2" s="5">
        <v>40724</v>
      </c>
      <c r="EQ2" s="5">
        <v>40816</v>
      </c>
      <c r="ER2" s="5">
        <v>40908</v>
      </c>
      <c r="ES2" s="5">
        <v>40999</v>
      </c>
      <c r="ET2" s="5">
        <v>41090</v>
      </c>
      <c r="EU2" s="5">
        <v>41182</v>
      </c>
      <c r="EV2" s="5">
        <v>41274</v>
      </c>
      <c r="EW2" s="5">
        <v>41364</v>
      </c>
      <c r="EX2" s="5">
        <v>41455</v>
      </c>
      <c r="EY2" s="5">
        <v>41547</v>
      </c>
      <c r="EZ2" s="5"/>
      <c r="FA2" s="5">
        <v>40178</v>
      </c>
      <c r="FB2" s="5">
        <v>40268</v>
      </c>
      <c r="FC2" s="5">
        <v>40359</v>
      </c>
      <c r="FD2" s="5">
        <v>40451</v>
      </c>
      <c r="FE2" s="5">
        <v>40543</v>
      </c>
      <c r="FF2" s="5">
        <v>40633</v>
      </c>
      <c r="FG2" s="5">
        <v>40724</v>
      </c>
      <c r="FH2" s="5">
        <v>40816</v>
      </c>
      <c r="FI2" s="5">
        <v>40908</v>
      </c>
      <c r="FJ2" s="5">
        <v>40999</v>
      </c>
      <c r="FK2" s="5">
        <v>41090</v>
      </c>
      <c r="FL2" s="5">
        <v>41182</v>
      </c>
      <c r="FM2" s="5">
        <v>41274</v>
      </c>
      <c r="FN2" s="5">
        <v>41364</v>
      </c>
      <c r="FO2" s="5">
        <v>41455</v>
      </c>
      <c r="FP2" s="5">
        <v>41547</v>
      </c>
      <c r="FQ2" s="5"/>
      <c r="FR2" s="5">
        <v>40178</v>
      </c>
      <c r="FS2" s="5">
        <v>40268</v>
      </c>
      <c r="FT2" s="5">
        <v>40359</v>
      </c>
      <c r="FU2" s="5">
        <v>40451</v>
      </c>
      <c r="FV2" s="5">
        <v>40543</v>
      </c>
      <c r="FW2" s="5">
        <v>40633</v>
      </c>
      <c r="FX2" s="5">
        <v>40724</v>
      </c>
      <c r="FY2" s="5">
        <v>40816</v>
      </c>
      <c r="FZ2" s="5">
        <v>40908</v>
      </c>
      <c r="GA2" s="5">
        <v>40999</v>
      </c>
      <c r="GB2" s="5">
        <v>41090</v>
      </c>
      <c r="GC2" s="5">
        <v>41182</v>
      </c>
      <c r="GD2" s="5">
        <v>41274</v>
      </c>
      <c r="GE2" s="5">
        <v>41364</v>
      </c>
      <c r="GF2" s="5">
        <v>41455</v>
      </c>
      <c r="GG2" s="5">
        <v>41547</v>
      </c>
      <c r="GH2" s="5"/>
      <c r="GI2" s="5">
        <v>40178</v>
      </c>
      <c r="GJ2" s="5">
        <v>40268</v>
      </c>
      <c r="GK2" s="5">
        <v>40359</v>
      </c>
      <c r="GL2" s="5">
        <v>40451</v>
      </c>
      <c r="GM2" s="5">
        <v>40543</v>
      </c>
      <c r="GN2" s="5">
        <v>40633</v>
      </c>
      <c r="GO2" s="5">
        <v>40724</v>
      </c>
      <c r="GP2" s="5">
        <v>40816</v>
      </c>
      <c r="GQ2" s="5">
        <v>40908</v>
      </c>
      <c r="GR2" s="5">
        <v>40999</v>
      </c>
      <c r="GS2" s="5">
        <v>41090</v>
      </c>
      <c r="GT2" s="5">
        <v>41182</v>
      </c>
      <c r="GU2" s="5">
        <v>41274</v>
      </c>
      <c r="GV2" s="5">
        <v>41364</v>
      </c>
      <c r="GW2" s="5">
        <v>41455</v>
      </c>
      <c r="GX2" s="5">
        <v>41547</v>
      </c>
      <c r="GY2" s="5"/>
      <c r="GZ2" s="5">
        <v>40178</v>
      </c>
      <c r="HA2" s="5">
        <v>40268</v>
      </c>
      <c r="HB2" s="5">
        <v>40359</v>
      </c>
      <c r="HC2" s="5">
        <v>40451</v>
      </c>
      <c r="HD2" s="5">
        <v>40543</v>
      </c>
      <c r="HE2" s="5">
        <v>40633</v>
      </c>
      <c r="HF2" s="5">
        <v>40724</v>
      </c>
      <c r="HG2" s="5">
        <v>40816</v>
      </c>
      <c r="HH2" s="5">
        <v>40908</v>
      </c>
      <c r="HI2" s="5">
        <v>40999</v>
      </c>
      <c r="HJ2" s="5">
        <v>41090</v>
      </c>
      <c r="HK2" s="5">
        <v>41182</v>
      </c>
      <c r="HL2" s="5">
        <v>41274</v>
      </c>
      <c r="HM2" s="5">
        <v>41364</v>
      </c>
      <c r="HN2" s="5">
        <v>41455</v>
      </c>
      <c r="HO2" s="5">
        <v>41547</v>
      </c>
      <c r="HP2" s="7"/>
      <c r="HQ2" s="466">
        <v>40178</v>
      </c>
      <c r="HR2" s="466">
        <v>40268</v>
      </c>
      <c r="HS2" s="466">
        <v>40359</v>
      </c>
      <c r="HT2" s="466">
        <v>40451</v>
      </c>
      <c r="HU2" s="466">
        <v>40543</v>
      </c>
      <c r="HV2" s="466">
        <v>40633</v>
      </c>
      <c r="HW2" s="466">
        <v>40724</v>
      </c>
      <c r="HX2" s="466">
        <v>40816</v>
      </c>
      <c r="HY2" s="466">
        <v>40908</v>
      </c>
      <c r="HZ2" s="466">
        <v>40999</v>
      </c>
      <c r="IA2" s="466">
        <v>41090</v>
      </c>
      <c r="IB2" s="466">
        <v>41182</v>
      </c>
      <c r="IC2" s="466">
        <v>41274</v>
      </c>
      <c r="ID2" s="466">
        <v>41364</v>
      </c>
      <c r="IE2" s="466">
        <v>41455</v>
      </c>
      <c r="IF2" s="466">
        <v>41547</v>
      </c>
      <c r="IG2" s="7"/>
      <c r="IH2" s="2285"/>
    </row>
    <row r="3" spans="1:242">
      <c r="A3" s="11"/>
      <c r="B3" s="7"/>
      <c r="C3" s="7"/>
      <c r="D3" s="7" t="s">
        <v>51</v>
      </c>
      <c r="E3" s="7" t="s">
        <v>51</v>
      </c>
      <c r="F3" s="7" t="s">
        <v>51</v>
      </c>
      <c r="G3" s="7" t="s">
        <v>51</v>
      </c>
      <c r="H3" s="7" t="s">
        <v>51</v>
      </c>
      <c r="I3" s="7" t="s">
        <v>51</v>
      </c>
      <c r="J3" s="7" t="s">
        <v>51</v>
      </c>
      <c r="K3" s="7" t="s">
        <v>51</v>
      </c>
      <c r="L3" s="7" t="s">
        <v>51</v>
      </c>
      <c r="M3" s="7" t="s">
        <v>51</v>
      </c>
      <c r="N3" s="7" t="s">
        <v>51</v>
      </c>
      <c r="O3" s="7" t="s">
        <v>51</v>
      </c>
      <c r="P3" s="7" t="s">
        <v>51</v>
      </c>
      <c r="Q3" s="7" t="s">
        <v>51</v>
      </c>
      <c r="R3" s="7" t="s">
        <v>51</v>
      </c>
      <c r="S3" s="7" t="s">
        <v>51</v>
      </c>
      <c r="T3" s="7"/>
      <c r="U3" s="7" t="s">
        <v>0</v>
      </c>
      <c r="V3" s="7" t="s">
        <v>0</v>
      </c>
      <c r="W3" s="7" t="s">
        <v>0</v>
      </c>
      <c r="X3" s="7" t="s">
        <v>0</v>
      </c>
      <c r="Y3" s="7" t="s">
        <v>0</v>
      </c>
      <c r="Z3" s="7" t="s">
        <v>0</v>
      </c>
      <c r="AA3" s="7" t="s">
        <v>0</v>
      </c>
      <c r="AB3" s="7" t="s">
        <v>0</v>
      </c>
      <c r="AC3" s="7" t="s">
        <v>0</v>
      </c>
      <c r="AD3" s="7" t="s">
        <v>0</v>
      </c>
      <c r="AE3" s="7" t="s">
        <v>0</v>
      </c>
      <c r="AF3" s="7" t="s">
        <v>0</v>
      </c>
      <c r="AG3" s="7" t="s">
        <v>0</v>
      </c>
      <c r="AH3" s="7" t="s">
        <v>0</v>
      </c>
      <c r="AI3" s="7" t="s">
        <v>0</v>
      </c>
      <c r="AJ3" s="7" t="s">
        <v>0</v>
      </c>
      <c r="AK3" s="7"/>
      <c r="AL3" s="7" t="s">
        <v>401</v>
      </c>
      <c r="AM3" s="7" t="s">
        <v>401</v>
      </c>
      <c r="AN3" s="7" t="s">
        <v>401</v>
      </c>
      <c r="AO3" s="7" t="s">
        <v>401</v>
      </c>
      <c r="AP3" s="7" t="s">
        <v>401</v>
      </c>
      <c r="AQ3" s="7" t="s">
        <v>401</v>
      </c>
      <c r="AR3" s="7" t="s">
        <v>401</v>
      </c>
      <c r="AS3" s="7" t="s">
        <v>401</v>
      </c>
      <c r="AT3" s="7" t="s">
        <v>401</v>
      </c>
      <c r="AU3" s="7" t="s">
        <v>401</v>
      </c>
      <c r="AV3" s="7" t="s">
        <v>401</v>
      </c>
      <c r="AW3" s="7" t="s">
        <v>401</v>
      </c>
      <c r="AX3" s="7" t="s">
        <v>401</v>
      </c>
      <c r="AY3" s="7" t="s">
        <v>401</v>
      </c>
      <c r="AZ3" s="7" t="s">
        <v>401</v>
      </c>
      <c r="BA3" s="11" t="s">
        <v>401</v>
      </c>
      <c r="BB3" s="7"/>
      <c r="BC3" s="11" t="s">
        <v>446</v>
      </c>
      <c r="BD3" s="7" t="s">
        <v>446</v>
      </c>
      <c r="BE3" s="7" t="s">
        <v>446</v>
      </c>
      <c r="BF3" s="7" t="s">
        <v>446</v>
      </c>
      <c r="BG3" s="7" t="s">
        <v>446</v>
      </c>
      <c r="BH3" s="7" t="s">
        <v>446</v>
      </c>
      <c r="BI3" s="7" t="s">
        <v>446</v>
      </c>
      <c r="BJ3" s="7" t="s">
        <v>446</v>
      </c>
      <c r="BK3" s="7" t="s">
        <v>446</v>
      </c>
      <c r="BL3" s="7" t="s">
        <v>446</v>
      </c>
      <c r="BM3" s="7" t="s">
        <v>446</v>
      </c>
      <c r="BN3" s="7" t="s">
        <v>446</v>
      </c>
      <c r="BO3" s="7" t="s">
        <v>446</v>
      </c>
      <c r="BP3" s="7" t="s">
        <v>446</v>
      </c>
      <c r="BQ3" s="7" t="s">
        <v>446</v>
      </c>
      <c r="BR3" s="7" t="s">
        <v>446</v>
      </c>
      <c r="BS3" s="7"/>
      <c r="BT3" s="7" t="s">
        <v>477</v>
      </c>
      <c r="BU3" s="7" t="s">
        <v>477</v>
      </c>
      <c r="BV3" s="7" t="s">
        <v>477</v>
      </c>
      <c r="BW3" s="7" t="s">
        <v>477</v>
      </c>
      <c r="BX3" s="7" t="s">
        <v>477</v>
      </c>
      <c r="BY3" s="7" t="s">
        <v>477</v>
      </c>
      <c r="BZ3" s="7" t="s">
        <v>477</v>
      </c>
      <c r="CA3" s="7" t="s">
        <v>477</v>
      </c>
      <c r="CB3" s="7" t="s">
        <v>477</v>
      </c>
      <c r="CC3" s="7" t="s">
        <v>477</v>
      </c>
      <c r="CD3" s="7" t="s">
        <v>477</v>
      </c>
      <c r="CE3" s="7" t="s">
        <v>477</v>
      </c>
      <c r="CF3" s="7" t="s">
        <v>477</v>
      </c>
      <c r="CG3" s="7" t="s">
        <v>477</v>
      </c>
      <c r="CH3" s="7" t="s">
        <v>477</v>
      </c>
      <c r="CI3" s="7" t="s">
        <v>477</v>
      </c>
      <c r="CJ3"/>
      <c r="CK3" s="7" t="s">
        <v>1</v>
      </c>
      <c r="CL3" s="7" t="s">
        <v>1</v>
      </c>
      <c r="CM3" s="7" t="s">
        <v>1</v>
      </c>
      <c r="CN3" s="7" t="s">
        <v>1</v>
      </c>
      <c r="CO3" s="7" t="s">
        <v>1</v>
      </c>
      <c r="CP3" s="7" t="s">
        <v>1</v>
      </c>
      <c r="CQ3" s="7" t="s">
        <v>1</v>
      </c>
      <c r="CR3" s="7" t="s">
        <v>1</v>
      </c>
      <c r="CS3" s="7" t="s">
        <v>1</v>
      </c>
      <c r="CT3" s="7" t="s">
        <v>1</v>
      </c>
      <c r="CU3" s="7" t="s">
        <v>1</v>
      </c>
      <c r="CV3" s="7" t="s">
        <v>1</v>
      </c>
      <c r="CW3" s="7" t="s">
        <v>1</v>
      </c>
      <c r="CX3" s="7" t="s">
        <v>1</v>
      </c>
      <c r="CY3" s="7" t="s">
        <v>1</v>
      </c>
      <c r="CZ3" s="7" t="s">
        <v>1</v>
      </c>
      <c r="DA3" s="7"/>
      <c r="DB3" s="7" t="s">
        <v>34</v>
      </c>
      <c r="DC3" s="7" t="s">
        <v>34</v>
      </c>
      <c r="DD3" s="7" t="s">
        <v>34</v>
      </c>
      <c r="DE3" s="7" t="s">
        <v>34</v>
      </c>
      <c r="DF3" s="7" t="s">
        <v>34</v>
      </c>
      <c r="DG3" s="7" t="s">
        <v>34</v>
      </c>
      <c r="DH3" s="7" t="s">
        <v>34</v>
      </c>
      <c r="DI3" s="7" t="s">
        <v>34</v>
      </c>
      <c r="DJ3" s="7" t="s">
        <v>34</v>
      </c>
      <c r="DK3" s="7" t="s">
        <v>34</v>
      </c>
      <c r="DL3" s="7" t="s">
        <v>34</v>
      </c>
      <c r="DM3" s="7" t="s">
        <v>34</v>
      </c>
      <c r="DN3" s="7" t="s">
        <v>34</v>
      </c>
      <c r="DO3" s="7" t="s">
        <v>34</v>
      </c>
      <c r="DP3" s="7" t="s">
        <v>34</v>
      </c>
      <c r="DQ3" s="7" t="s">
        <v>34</v>
      </c>
      <c r="DR3" s="7"/>
      <c r="DS3" s="7" t="s">
        <v>342</v>
      </c>
      <c r="DT3" s="7" t="s">
        <v>342</v>
      </c>
      <c r="DU3" s="7" t="s">
        <v>342</v>
      </c>
      <c r="DV3" s="7" t="s">
        <v>342</v>
      </c>
      <c r="DW3" s="7" t="s">
        <v>342</v>
      </c>
      <c r="DX3" s="7" t="s">
        <v>342</v>
      </c>
      <c r="DY3" s="7" t="s">
        <v>342</v>
      </c>
      <c r="DZ3" s="7" t="s">
        <v>342</v>
      </c>
      <c r="EA3" s="7" t="s">
        <v>342</v>
      </c>
      <c r="EB3" s="7" t="s">
        <v>342</v>
      </c>
      <c r="EC3" s="7" t="s">
        <v>342</v>
      </c>
      <c r="ED3" s="7" t="s">
        <v>342</v>
      </c>
      <c r="EE3" s="7" t="s">
        <v>342</v>
      </c>
      <c r="EF3" s="7" t="s">
        <v>342</v>
      </c>
      <c r="EG3" s="7" t="s">
        <v>342</v>
      </c>
      <c r="EH3" s="7" t="s">
        <v>342</v>
      </c>
      <c r="EI3" s="7"/>
      <c r="EJ3" s="7" t="s">
        <v>343</v>
      </c>
      <c r="EK3" s="7" t="s">
        <v>343</v>
      </c>
      <c r="EL3" s="7" t="s">
        <v>343</v>
      </c>
      <c r="EM3" s="7" t="s">
        <v>343</v>
      </c>
      <c r="EN3" s="7" t="s">
        <v>343</v>
      </c>
      <c r="EO3" s="7" t="s">
        <v>343</v>
      </c>
      <c r="EP3" s="7" t="s">
        <v>343</v>
      </c>
      <c r="EQ3" s="7" t="s">
        <v>343</v>
      </c>
      <c r="ER3" s="7" t="s">
        <v>343</v>
      </c>
      <c r="ES3" s="7" t="s">
        <v>343</v>
      </c>
      <c r="ET3" s="7" t="s">
        <v>343</v>
      </c>
      <c r="EU3" s="7" t="s">
        <v>343</v>
      </c>
      <c r="EV3" s="7" t="s">
        <v>343</v>
      </c>
      <c r="EW3" s="7" t="s">
        <v>343</v>
      </c>
      <c r="EX3" s="7" t="s">
        <v>343</v>
      </c>
      <c r="EY3" s="7" t="s">
        <v>343</v>
      </c>
      <c r="EZ3" s="7"/>
      <c r="FA3" s="11" t="s">
        <v>467</v>
      </c>
      <c r="FB3" s="7" t="s">
        <v>467</v>
      </c>
      <c r="FC3" s="7" t="s">
        <v>467</v>
      </c>
      <c r="FD3" s="7" t="s">
        <v>467</v>
      </c>
      <c r="FE3" s="7" t="s">
        <v>467</v>
      </c>
      <c r="FF3" s="7" t="s">
        <v>467</v>
      </c>
      <c r="FG3" s="7" t="s">
        <v>467</v>
      </c>
      <c r="FH3" s="7" t="s">
        <v>467</v>
      </c>
      <c r="FI3" s="7" t="s">
        <v>467</v>
      </c>
      <c r="FJ3" s="7" t="s">
        <v>467</v>
      </c>
      <c r="FK3" s="7" t="s">
        <v>467</v>
      </c>
      <c r="FL3" s="7" t="s">
        <v>467</v>
      </c>
      <c r="FM3" s="7" t="s">
        <v>467</v>
      </c>
      <c r="FN3" s="7" t="s">
        <v>467</v>
      </c>
      <c r="FO3" s="7" t="s">
        <v>467</v>
      </c>
      <c r="FP3" s="7" t="s">
        <v>467</v>
      </c>
      <c r="FQ3" s="7"/>
      <c r="FR3" s="7" t="s">
        <v>475</v>
      </c>
      <c r="FS3" s="7" t="s">
        <v>475</v>
      </c>
      <c r="FT3" s="7" t="s">
        <v>475</v>
      </c>
      <c r="FU3" s="7" t="s">
        <v>475</v>
      </c>
      <c r="FV3" s="7" t="s">
        <v>475</v>
      </c>
      <c r="FW3" s="7" t="s">
        <v>475</v>
      </c>
      <c r="FX3" s="7" t="s">
        <v>475</v>
      </c>
      <c r="FY3" s="7" t="s">
        <v>475</v>
      </c>
      <c r="FZ3" s="7" t="s">
        <v>475</v>
      </c>
      <c r="GA3" s="7" t="s">
        <v>475</v>
      </c>
      <c r="GB3" s="7" t="s">
        <v>475</v>
      </c>
      <c r="GC3" s="7" t="s">
        <v>475</v>
      </c>
      <c r="GD3" s="7" t="s">
        <v>475</v>
      </c>
      <c r="GE3" s="7" t="s">
        <v>475</v>
      </c>
      <c r="GF3" s="7" t="s">
        <v>475</v>
      </c>
      <c r="GG3" s="7" t="s">
        <v>475</v>
      </c>
      <c r="GH3" s="7"/>
      <c r="GI3" s="7" t="s">
        <v>710</v>
      </c>
      <c r="GJ3" s="7" t="s">
        <v>710</v>
      </c>
      <c r="GK3" s="7" t="s">
        <v>710</v>
      </c>
      <c r="GL3" s="7" t="s">
        <v>710</v>
      </c>
      <c r="GM3" s="7" t="s">
        <v>710</v>
      </c>
      <c r="GN3" s="7" t="s">
        <v>710</v>
      </c>
      <c r="GO3" s="7" t="s">
        <v>710</v>
      </c>
      <c r="GP3" s="7" t="s">
        <v>710</v>
      </c>
      <c r="GQ3" s="7" t="s">
        <v>710</v>
      </c>
      <c r="GR3" s="7" t="s">
        <v>710</v>
      </c>
      <c r="GS3" s="7" t="s">
        <v>710</v>
      </c>
      <c r="GT3" s="7" t="s">
        <v>710</v>
      </c>
      <c r="GU3" s="7" t="s">
        <v>710</v>
      </c>
      <c r="GV3" s="7" t="s">
        <v>710</v>
      </c>
      <c r="GW3" s="7" t="s">
        <v>710</v>
      </c>
      <c r="GX3" s="7" t="s">
        <v>710</v>
      </c>
      <c r="GY3" s="7"/>
      <c r="GZ3" s="7" t="s">
        <v>59</v>
      </c>
      <c r="HA3" s="7" t="s">
        <v>59</v>
      </c>
      <c r="HB3" s="7" t="s">
        <v>59</v>
      </c>
      <c r="HC3" s="7" t="s">
        <v>59</v>
      </c>
      <c r="HD3" s="7" t="s">
        <v>59</v>
      </c>
      <c r="HE3" s="7" t="s">
        <v>59</v>
      </c>
      <c r="HF3" s="7" t="s">
        <v>59</v>
      </c>
      <c r="HG3" s="7" t="s">
        <v>59</v>
      </c>
      <c r="HH3" s="7" t="s">
        <v>59</v>
      </c>
      <c r="HI3" s="7" t="s">
        <v>59</v>
      </c>
      <c r="HJ3" s="7" t="s">
        <v>59</v>
      </c>
      <c r="HK3" s="7" t="s">
        <v>59</v>
      </c>
      <c r="HL3" s="7" t="s">
        <v>59</v>
      </c>
      <c r="HM3" s="7" t="s">
        <v>59</v>
      </c>
      <c r="HN3" s="7" t="s">
        <v>59</v>
      </c>
      <c r="HO3" s="7" t="s">
        <v>59</v>
      </c>
      <c r="HP3" s="7"/>
      <c r="HQ3" s="216" t="s">
        <v>472</v>
      </c>
      <c r="HR3" s="216" t="s">
        <v>472</v>
      </c>
      <c r="HS3" s="216" t="s">
        <v>472</v>
      </c>
      <c r="HT3" s="216" t="s">
        <v>472</v>
      </c>
      <c r="HU3" s="216" t="s">
        <v>472</v>
      </c>
      <c r="HV3" s="216" t="s">
        <v>472</v>
      </c>
      <c r="HW3" s="216" t="s">
        <v>472</v>
      </c>
      <c r="HX3" s="216" t="s">
        <v>472</v>
      </c>
      <c r="HY3" s="216" t="s">
        <v>472</v>
      </c>
      <c r="HZ3" s="216" t="s">
        <v>472</v>
      </c>
      <c r="IA3" s="216" t="s">
        <v>472</v>
      </c>
      <c r="IB3" s="216" t="s">
        <v>472</v>
      </c>
      <c r="IC3" s="216" t="s">
        <v>472</v>
      </c>
      <c r="ID3" s="216" t="s">
        <v>472</v>
      </c>
      <c r="IE3" s="216" t="s">
        <v>472</v>
      </c>
      <c r="IF3" s="216" t="s">
        <v>472</v>
      </c>
      <c r="IG3" s="7"/>
    </row>
    <row r="4" spans="1:242">
      <c r="A4" s="11"/>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216"/>
      <c r="HR4" s="216"/>
      <c r="HS4" s="216"/>
      <c r="HT4" s="216"/>
      <c r="HU4" s="216"/>
      <c r="HV4" s="216"/>
      <c r="HW4" s="216"/>
      <c r="HX4" s="216"/>
      <c r="HY4" s="216"/>
      <c r="HZ4" s="216"/>
      <c r="IA4" s="216"/>
      <c r="IB4" s="216"/>
      <c r="IC4" s="216"/>
      <c r="ID4" s="216"/>
      <c r="IE4" s="216"/>
      <c r="IF4" s="216"/>
      <c r="IG4" s="7"/>
    </row>
    <row r="5" spans="1:242">
      <c r="A5" s="11" t="s">
        <v>498</v>
      </c>
      <c r="B5" s="7" t="s">
        <v>4</v>
      </c>
      <c r="C5" s="7"/>
      <c r="D5" s="7">
        <v>44877.982799999998</v>
      </c>
      <c r="E5" s="7">
        <v>43915.27</v>
      </c>
      <c r="F5" s="7">
        <v>42397.642</v>
      </c>
      <c r="G5" s="7">
        <v>43871.66</v>
      </c>
      <c r="H5" s="7">
        <v>41722.336900000002</v>
      </c>
      <c r="I5" s="7">
        <v>46969.27</v>
      </c>
      <c r="J5" s="7">
        <v>46601.985000000001</v>
      </c>
      <c r="K5" s="7">
        <v>38135.026599999997</v>
      </c>
      <c r="L5" s="7">
        <v>38308.4948</v>
      </c>
      <c r="M5" s="7">
        <v>39165.544000000002</v>
      </c>
      <c r="N5" s="7">
        <v>37307.514000000003</v>
      </c>
      <c r="O5" s="7">
        <v>41364.932999999997</v>
      </c>
      <c r="P5" s="7">
        <v>37124.548600000002</v>
      </c>
      <c r="Q5" s="7">
        <v>35859.978999999999</v>
      </c>
      <c r="R5" s="7">
        <v>39791.94</v>
      </c>
      <c r="S5" s="7" t="s">
        <v>72</v>
      </c>
      <c r="T5" s="7"/>
      <c r="U5" s="7">
        <v>44168</v>
      </c>
      <c r="V5" s="7">
        <v>43629</v>
      </c>
      <c r="W5" s="7">
        <v>48327</v>
      </c>
      <c r="X5" s="7">
        <v>46574</v>
      </c>
      <c r="Y5" s="7">
        <v>45366</v>
      </c>
      <c r="Z5" s="7">
        <v>43929</v>
      </c>
      <c r="AA5" s="7">
        <v>45762</v>
      </c>
      <c r="AB5" s="7">
        <v>45369</v>
      </c>
      <c r="AC5" s="7">
        <v>42196</v>
      </c>
      <c r="AD5" s="7">
        <v>40216</v>
      </c>
      <c r="AE5" s="7">
        <v>42732</v>
      </c>
      <c r="AF5" s="7">
        <v>40827</v>
      </c>
      <c r="AG5" s="7">
        <v>38568</v>
      </c>
      <c r="AH5" s="7">
        <v>38518</v>
      </c>
      <c r="AI5" s="7">
        <v>43004</v>
      </c>
      <c r="AJ5" s="7" t="s">
        <v>72</v>
      </c>
      <c r="AK5" s="7"/>
      <c r="AL5" s="7">
        <v>24548</v>
      </c>
      <c r="AM5" s="7" t="s">
        <v>72</v>
      </c>
      <c r="AN5" s="7" t="s">
        <v>72</v>
      </c>
      <c r="AO5" s="7">
        <v>17304</v>
      </c>
      <c r="AP5" s="7">
        <v>17663</v>
      </c>
      <c r="AQ5" s="7" t="s">
        <v>72</v>
      </c>
      <c r="AR5" s="7" t="s">
        <v>72</v>
      </c>
      <c r="AS5" s="7">
        <v>5102</v>
      </c>
      <c r="AT5" s="7">
        <v>17470</v>
      </c>
      <c r="AU5" s="7" t="s">
        <v>72</v>
      </c>
      <c r="AV5" s="7" t="s">
        <v>72</v>
      </c>
      <c r="AW5" s="7" t="s">
        <v>72</v>
      </c>
      <c r="AX5" s="7">
        <v>17502</v>
      </c>
      <c r="AY5" s="7" t="s">
        <v>72</v>
      </c>
      <c r="AZ5" s="7" t="s">
        <v>72</v>
      </c>
      <c r="BA5" s="7" t="s">
        <v>72</v>
      </c>
      <c r="BB5" s="7"/>
      <c r="BC5" s="7">
        <v>2.7835000000000001</v>
      </c>
      <c r="BD5" s="7">
        <v>2.7530999999999999</v>
      </c>
      <c r="BE5" s="7">
        <v>2.3698000000000001</v>
      </c>
      <c r="BF5" s="7">
        <v>2.6158999999999999</v>
      </c>
      <c r="BG5" s="7">
        <v>0.48609999999999998</v>
      </c>
      <c r="BH5" s="7">
        <v>2.5137999999999998</v>
      </c>
      <c r="BI5" s="7">
        <v>2.4312</v>
      </c>
      <c r="BJ5" s="7">
        <v>3.7846000000000002</v>
      </c>
      <c r="BK5" s="7" t="s">
        <v>72</v>
      </c>
      <c r="BL5" s="7">
        <v>2.7816000000000001</v>
      </c>
      <c r="BM5" s="7">
        <v>2.4426000000000001</v>
      </c>
      <c r="BN5" s="7">
        <v>3.2513000000000001</v>
      </c>
      <c r="BO5" s="7">
        <v>4.1078000000000001</v>
      </c>
      <c r="BP5" s="7">
        <v>3.0017</v>
      </c>
      <c r="BQ5" s="7">
        <v>2.6034000000000002</v>
      </c>
      <c r="BR5" s="7" t="s">
        <v>72</v>
      </c>
      <c r="BS5" s="7"/>
      <c r="BT5" s="7" t="e">
        <v>#NAME?</v>
      </c>
      <c r="BU5" s="7">
        <v>1.9694</v>
      </c>
      <c r="BV5" s="7">
        <v>2.2368000000000001</v>
      </c>
      <c r="BW5" s="7">
        <v>2.2208000000000001</v>
      </c>
      <c r="BX5" s="7">
        <v>2.5480999999999998</v>
      </c>
      <c r="BY5" s="7">
        <v>2.5228999999999999</v>
      </c>
      <c r="BZ5" s="7">
        <v>2.7326999999999999</v>
      </c>
      <c r="CA5" s="7">
        <v>2.7244000000000002</v>
      </c>
      <c r="CB5" s="7">
        <v>2.2204000000000002</v>
      </c>
      <c r="CC5" s="7">
        <v>2.0991</v>
      </c>
      <c r="CD5" s="7">
        <v>2.1810999999999998</v>
      </c>
      <c r="CE5" s="7">
        <v>2.0819000000000001</v>
      </c>
      <c r="CF5" s="7">
        <v>2.1436000000000002</v>
      </c>
      <c r="CG5" s="7">
        <v>2.1776</v>
      </c>
      <c r="CH5" s="7">
        <v>2.4577</v>
      </c>
      <c r="CI5" s="7" t="s">
        <v>72</v>
      </c>
      <c r="CJ5"/>
      <c r="CK5" s="7">
        <v>94628.982799999998</v>
      </c>
      <c r="CL5" s="7">
        <v>93284.27</v>
      </c>
      <c r="CM5" s="7">
        <v>95766.642000000007</v>
      </c>
      <c r="CN5" s="7">
        <v>95647.66</v>
      </c>
      <c r="CO5" s="7">
        <v>92100.336899999995</v>
      </c>
      <c r="CP5" s="7">
        <v>95951.27</v>
      </c>
      <c r="CQ5" s="7">
        <v>97085.985000000001</v>
      </c>
      <c r="CR5" s="7">
        <v>88351.026599999997</v>
      </c>
      <c r="CS5" s="7">
        <v>85151.4948</v>
      </c>
      <c r="CT5" s="7">
        <v>84090.543999999994</v>
      </c>
      <c r="CU5" s="7">
        <v>84504.513999999996</v>
      </c>
      <c r="CV5" s="7">
        <v>86802.933000000005</v>
      </c>
      <c r="CW5" s="7">
        <v>80315.548599999995</v>
      </c>
      <c r="CX5" s="7">
        <v>78970.979000000007</v>
      </c>
      <c r="CY5" s="7">
        <v>89828.94</v>
      </c>
      <c r="CZ5" s="7" t="s">
        <v>72</v>
      </c>
      <c r="DA5" s="7"/>
      <c r="DB5" s="7">
        <v>4.2236000000000002</v>
      </c>
      <c r="DC5" s="7">
        <v>4.2108999999999996</v>
      </c>
      <c r="DD5" s="7">
        <v>4.4325999999999999</v>
      </c>
      <c r="DE5" s="7">
        <v>4.5606999999999998</v>
      </c>
      <c r="DF5" s="7">
        <v>5.173</v>
      </c>
      <c r="DG5" s="7">
        <v>5.5106000000000002</v>
      </c>
      <c r="DH5" s="7">
        <v>5.7976000000000001</v>
      </c>
      <c r="DI5" s="7">
        <v>5.3053999999999997</v>
      </c>
      <c r="DJ5" s="7">
        <v>4.4806999999999997</v>
      </c>
      <c r="DK5" s="7">
        <v>4.3891</v>
      </c>
      <c r="DL5" s="7">
        <v>4.3132000000000001</v>
      </c>
      <c r="DM5" s="7">
        <v>4.4264999999999999</v>
      </c>
      <c r="DN5" s="7">
        <v>4.4640000000000004</v>
      </c>
      <c r="DO5" s="7">
        <v>4.4646999999999997</v>
      </c>
      <c r="DP5" s="7">
        <v>5.1337000000000002</v>
      </c>
      <c r="DQ5" s="7" t="s">
        <v>72</v>
      </c>
      <c r="DR5" s="7"/>
      <c r="DS5" s="7">
        <v>1.4647999999999999</v>
      </c>
      <c r="DT5" s="7">
        <v>1.446</v>
      </c>
      <c r="DU5" s="7">
        <v>1.5009000000000001</v>
      </c>
      <c r="DV5" s="7">
        <v>1.5148000000000001</v>
      </c>
      <c r="DW5" s="7">
        <v>1.4755</v>
      </c>
      <c r="DX5" s="7">
        <v>1.5676999999999999</v>
      </c>
      <c r="DY5" s="7">
        <v>1.6141000000000001</v>
      </c>
      <c r="DZ5" s="7">
        <v>1.4919</v>
      </c>
      <c r="EA5" s="7">
        <v>1.4518</v>
      </c>
      <c r="EB5" s="7">
        <v>1.4377</v>
      </c>
      <c r="EC5" s="7">
        <v>1.4472</v>
      </c>
      <c r="ED5" s="7">
        <v>1.4870000000000001</v>
      </c>
      <c r="EE5" s="7">
        <v>1.3807</v>
      </c>
      <c r="EF5" s="7">
        <v>1.3729</v>
      </c>
      <c r="EG5" s="7">
        <v>1.5407999999999999</v>
      </c>
      <c r="EH5" s="7" t="s">
        <v>72</v>
      </c>
      <c r="EI5" s="7"/>
      <c r="EJ5" s="7" t="s">
        <v>72</v>
      </c>
      <c r="EK5" s="7">
        <v>19.3691</v>
      </c>
      <c r="EL5" s="7">
        <v>19.066500000000001</v>
      </c>
      <c r="EM5" s="7">
        <v>19.349900000000002</v>
      </c>
      <c r="EN5" s="7" t="s">
        <v>72</v>
      </c>
      <c r="EO5" s="7">
        <v>33.968699999999998</v>
      </c>
      <c r="EP5" s="7">
        <v>37.189700000000002</v>
      </c>
      <c r="EQ5" s="7">
        <v>28.483899999999998</v>
      </c>
      <c r="ER5" s="7" t="s">
        <v>72</v>
      </c>
      <c r="ES5" s="7" t="s">
        <v>72</v>
      </c>
      <c r="ET5" s="7" t="s">
        <v>72</v>
      </c>
      <c r="EU5" s="7" t="s">
        <v>72</v>
      </c>
      <c r="EV5" s="7" t="s">
        <v>72</v>
      </c>
      <c r="EW5" s="7" t="s">
        <v>72</v>
      </c>
      <c r="EX5" s="7" t="s">
        <v>72</v>
      </c>
      <c r="EY5" s="7" t="s">
        <v>72</v>
      </c>
      <c r="EZ5" s="7"/>
      <c r="FA5" s="7" t="s">
        <v>72</v>
      </c>
      <c r="FB5" s="7">
        <v>1.1395</v>
      </c>
      <c r="FC5" s="7">
        <v>1.0667</v>
      </c>
      <c r="FD5" s="7">
        <v>1.1496999999999999</v>
      </c>
      <c r="FE5" s="7" t="s">
        <v>72</v>
      </c>
      <c r="FF5" s="7">
        <v>1.2490999999999999</v>
      </c>
      <c r="FG5" s="7">
        <v>1.3485</v>
      </c>
      <c r="FH5" s="7">
        <v>1.0639000000000001</v>
      </c>
      <c r="FI5" s="7" t="s">
        <v>72</v>
      </c>
      <c r="FJ5" s="7" t="s">
        <v>72</v>
      </c>
      <c r="FK5" s="7" t="s">
        <v>72</v>
      </c>
      <c r="FL5" s="7" t="s">
        <v>72</v>
      </c>
      <c r="FM5" s="7" t="s">
        <v>72</v>
      </c>
      <c r="FN5" s="7" t="s">
        <v>72</v>
      </c>
      <c r="FO5" s="7" t="s">
        <v>72</v>
      </c>
      <c r="FP5" s="7">
        <v>1.9758</v>
      </c>
      <c r="FQ5" s="7"/>
      <c r="FR5" s="7" t="e">
        <v>#NAME?</v>
      </c>
      <c r="FS5" s="7">
        <v>5553</v>
      </c>
      <c r="FT5" s="7">
        <v>1839</v>
      </c>
      <c r="FU5" s="7">
        <v>2074</v>
      </c>
      <c r="FV5" s="7">
        <v>2808</v>
      </c>
      <c r="FW5" s="7">
        <v>1676</v>
      </c>
      <c r="FX5" s="7">
        <v>2744</v>
      </c>
      <c r="FY5" s="7">
        <v>2130</v>
      </c>
      <c r="FZ5" s="7">
        <v>3749</v>
      </c>
      <c r="GA5" s="7">
        <v>3294</v>
      </c>
      <c r="GB5" s="7">
        <v>2950</v>
      </c>
      <c r="GC5" s="7">
        <v>2529</v>
      </c>
      <c r="GD5" s="7">
        <v>4026</v>
      </c>
      <c r="GE5" s="7">
        <v>4540</v>
      </c>
      <c r="GF5" s="7">
        <v>5243</v>
      </c>
      <c r="GG5" s="7" t="s">
        <v>72</v>
      </c>
      <c r="GH5" s="7"/>
      <c r="GI5" s="7">
        <v>41937</v>
      </c>
      <c r="GJ5" s="7">
        <v>44279</v>
      </c>
      <c r="GK5" s="7">
        <v>44787</v>
      </c>
      <c r="GL5" s="7">
        <v>43360</v>
      </c>
      <c r="GM5" s="7">
        <v>43028</v>
      </c>
      <c r="GN5" s="7">
        <v>42656</v>
      </c>
      <c r="GO5" s="7">
        <v>39280</v>
      </c>
      <c r="GP5" s="7">
        <v>40690</v>
      </c>
      <c r="GQ5" s="7">
        <v>39941</v>
      </c>
      <c r="GR5" s="7">
        <v>39818</v>
      </c>
      <c r="GS5" s="7">
        <v>37874</v>
      </c>
      <c r="GT5" s="7">
        <v>30259</v>
      </c>
      <c r="GU5" s="7">
        <v>30543</v>
      </c>
      <c r="GV5" s="7">
        <v>31013</v>
      </c>
      <c r="GW5" s="7">
        <v>31250</v>
      </c>
      <c r="GX5" s="7" t="s">
        <v>72</v>
      </c>
      <c r="GY5" s="7"/>
      <c r="GZ5" s="7">
        <v>7042</v>
      </c>
      <c r="HA5" s="7">
        <v>4690</v>
      </c>
      <c r="HB5" s="7">
        <v>4479</v>
      </c>
      <c r="HC5" s="7">
        <v>4761</v>
      </c>
      <c r="HD5" s="7">
        <v>3874</v>
      </c>
      <c r="HE5" s="7">
        <v>4298</v>
      </c>
      <c r="HF5" s="7">
        <v>3813</v>
      </c>
      <c r="HG5" s="7">
        <v>4668</v>
      </c>
      <c r="HH5" s="7">
        <v>6225</v>
      </c>
      <c r="HI5" s="7">
        <v>4453</v>
      </c>
      <c r="HJ5" s="7">
        <v>4246</v>
      </c>
      <c r="HK5" s="7">
        <v>4686</v>
      </c>
      <c r="HL5" s="7">
        <v>4607</v>
      </c>
      <c r="HM5" s="7">
        <v>4149</v>
      </c>
      <c r="HN5" s="7">
        <v>4056</v>
      </c>
      <c r="HO5" s="7" t="s">
        <v>72</v>
      </c>
      <c r="HP5" s="7"/>
      <c r="HQ5" s="216">
        <v>4.6195000000000004</v>
      </c>
      <c r="HR5" s="216">
        <v>5.6878000000000002</v>
      </c>
      <c r="HS5" s="216">
        <v>6.3822999999999999</v>
      </c>
      <c r="HT5" s="216">
        <v>7.4030000000000005</v>
      </c>
      <c r="HU5" s="216">
        <v>6.6543000000000001</v>
      </c>
      <c r="HV5" s="216">
        <v>7.2379999999999995</v>
      </c>
      <c r="HW5" s="216">
        <v>7.0167000000000002</v>
      </c>
      <c r="HX5" s="216">
        <v>6.5442</v>
      </c>
      <c r="HY5" s="216">
        <v>5.3388999999999998</v>
      </c>
      <c r="HZ5" s="216">
        <v>5.2583000000000002</v>
      </c>
      <c r="IA5" s="216">
        <v>5.5208000000000004</v>
      </c>
      <c r="IB5" s="216">
        <v>5.7710999999999997</v>
      </c>
      <c r="IC5" s="216">
        <v>4.9032999999999998</v>
      </c>
      <c r="ID5" s="216">
        <v>4.5873999999999997</v>
      </c>
      <c r="IE5" s="216">
        <v>5.2995000000000001</v>
      </c>
      <c r="IF5" s="216" t="s">
        <v>72</v>
      </c>
      <c r="IG5" s="7"/>
    </row>
    <row r="6" spans="1:242">
      <c r="A6" s="11" t="s">
        <v>385</v>
      </c>
      <c r="B6" s="7" t="s">
        <v>3</v>
      </c>
      <c r="C6" s="7"/>
      <c r="D6" s="7">
        <v>4403.5114999999996</v>
      </c>
      <c r="E6" s="7">
        <v>4580.5370999999996</v>
      </c>
      <c r="F6" s="7">
        <v>4042.8218999999999</v>
      </c>
      <c r="G6" s="7">
        <v>4885.9062000000004</v>
      </c>
      <c r="H6" s="7">
        <v>4655.7730000000001</v>
      </c>
      <c r="I6" s="7">
        <v>4567.2601999999997</v>
      </c>
      <c r="J6" s="7">
        <v>3894.5628999999999</v>
      </c>
      <c r="K6" s="7">
        <v>3354.1923000000002</v>
      </c>
      <c r="L6" s="7">
        <v>4088.4059000000002</v>
      </c>
      <c r="M6" s="7">
        <v>3864.4686000000002</v>
      </c>
      <c r="N6" s="7">
        <v>3433.8537999999999</v>
      </c>
      <c r="O6" s="7">
        <v>2434.1017999999999</v>
      </c>
      <c r="P6" s="7">
        <v>2540.3172</v>
      </c>
      <c r="Q6" s="7">
        <v>2265.4850000000001</v>
      </c>
      <c r="R6" s="7">
        <v>2152.6311000000001</v>
      </c>
      <c r="S6" s="7" t="s">
        <v>72</v>
      </c>
      <c r="T6" s="7"/>
      <c r="U6" s="7">
        <v>3145.31</v>
      </c>
      <c r="V6" s="7">
        <v>2965.2</v>
      </c>
      <c r="W6" s="7">
        <v>3106.4</v>
      </c>
      <c r="X6" s="7">
        <v>2823.3</v>
      </c>
      <c r="Y6" s="7">
        <v>3350.0210000000002</v>
      </c>
      <c r="Z6" s="7">
        <v>3327</v>
      </c>
      <c r="AA6" s="7">
        <v>3536.5</v>
      </c>
      <c r="AB6" s="7">
        <v>3438</v>
      </c>
      <c r="AC6" s="7">
        <v>3323.3139999999999</v>
      </c>
      <c r="AD6" s="7">
        <v>3279.5</v>
      </c>
      <c r="AE6" s="7">
        <v>3371</v>
      </c>
      <c r="AF6" s="7">
        <v>3210.2</v>
      </c>
      <c r="AG6" s="7">
        <v>3195.5210000000002</v>
      </c>
      <c r="AH6" s="7">
        <v>3509</v>
      </c>
      <c r="AI6" s="7">
        <v>3474.4</v>
      </c>
      <c r="AJ6" s="7" t="s">
        <v>72</v>
      </c>
      <c r="AK6" s="7"/>
      <c r="AL6" s="7">
        <v>122.795</v>
      </c>
      <c r="AM6" s="7" t="s">
        <v>72</v>
      </c>
      <c r="AN6" s="7" t="s">
        <v>72</v>
      </c>
      <c r="AO6" s="7" t="s">
        <v>72</v>
      </c>
      <c r="AP6" s="7">
        <v>109.989</v>
      </c>
      <c r="AQ6" s="7" t="s">
        <v>72</v>
      </c>
      <c r="AR6" s="7" t="s">
        <v>72</v>
      </c>
      <c r="AS6" s="7" t="s">
        <v>72</v>
      </c>
      <c r="AT6" s="7">
        <v>109.435</v>
      </c>
      <c r="AU6" s="7" t="s">
        <v>72</v>
      </c>
      <c r="AV6" s="7" t="s">
        <v>72</v>
      </c>
      <c r="AW6" s="7" t="s">
        <v>72</v>
      </c>
      <c r="AX6" s="7">
        <v>105.739</v>
      </c>
      <c r="AY6" s="7" t="s">
        <v>72</v>
      </c>
      <c r="AZ6" s="7" t="s">
        <v>72</v>
      </c>
      <c r="BA6" s="7" t="s">
        <v>72</v>
      </c>
      <c r="BB6" s="7"/>
      <c r="BC6" s="7">
        <v>2.0987</v>
      </c>
      <c r="BD6" s="7">
        <v>3.1259000000000001</v>
      </c>
      <c r="BE6" s="7">
        <v>2.5788000000000002</v>
      </c>
      <c r="BF6" s="7">
        <v>3.5594999999999999</v>
      </c>
      <c r="BG6" s="7">
        <v>1.8706</v>
      </c>
      <c r="BH6" s="7">
        <v>2.7198000000000002</v>
      </c>
      <c r="BI6" s="7">
        <v>2.2719</v>
      </c>
      <c r="BJ6" s="7">
        <v>3.0768</v>
      </c>
      <c r="BK6" s="7">
        <v>-3.6991000000000001</v>
      </c>
      <c r="BL6" s="7">
        <v>2.0314000000000001</v>
      </c>
      <c r="BM6" s="7">
        <v>1.6831</v>
      </c>
      <c r="BN6" s="7">
        <v>3.2178</v>
      </c>
      <c r="BO6" s="7">
        <v>1.5064</v>
      </c>
      <c r="BP6" s="7">
        <v>2.3489</v>
      </c>
      <c r="BQ6" s="7">
        <v>2.1646999999999998</v>
      </c>
      <c r="BR6" s="7" t="s">
        <v>72</v>
      </c>
      <c r="BS6" s="7"/>
      <c r="BT6" s="7">
        <v>1.7532000000000001</v>
      </c>
      <c r="BU6" s="7">
        <v>1.6798999999999999</v>
      </c>
      <c r="BV6" s="7">
        <v>1.8073000000000001</v>
      </c>
      <c r="BW6" s="7">
        <v>1.6823999999999999</v>
      </c>
      <c r="BX6" s="7">
        <v>2.0352999999999999</v>
      </c>
      <c r="BY6" s="7">
        <v>2.0579000000000001</v>
      </c>
      <c r="BZ6" s="7">
        <v>2.2189000000000001</v>
      </c>
      <c r="CA6" s="7">
        <v>2.2071000000000001</v>
      </c>
      <c r="CB6" s="7">
        <v>2.1758999999999999</v>
      </c>
      <c r="CC6" s="7">
        <v>2.198</v>
      </c>
      <c r="CD6" s="7">
        <v>2.2839</v>
      </c>
      <c r="CE6" s="7">
        <v>2.1787000000000001</v>
      </c>
      <c r="CF6" s="7">
        <v>2.1955</v>
      </c>
      <c r="CG6" s="7">
        <v>2.4521999999999999</v>
      </c>
      <c r="CH6" s="7">
        <v>2.4878</v>
      </c>
      <c r="CI6" s="7" t="s">
        <v>72</v>
      </c>
      <c r="CJ6"/>
      <c r="CK6" s="7">
        <v>7551.5445</v>
      </c>
      <c r="CL6" s="7">
        <v>7548.5370999999996</v>
      </c>
      <c r="CM6" s="7">
        <v>7151.8218999999999</v>
      </c>
      <c r="CN6" s="7">
        <v>7711.9062000000004</v>
      </c>
      <c r="CO6" s="7">
        <v>8008.34</v>
      </c>
      <c r="CP6" s="7">
        <v>7896.4602000000004</v>
      </c>
      <c r="CQ6" s="7">
        <v>7433.3629000000001</v>
      </c>
      <c r="CR6" s="7">
        <v>6794.2923000000001</v>
      </c>
      <c r="CS6" s="7">
        <v>7412.6539000000002</v>
      </c>
      <c r="CT6" s="7">
        <v>7144.8685999999998</v>
      </c>
      <c r="CU6" s="7">
        <v>6805.8537999999999</v>
      </c>
      <c r="CV6" s="7">
        <v>5645.3018000000002</v>
      </c>
      <c r="CW6" s="7">
        <v>5736.8901999999998</v>
      </c>
      <c r="CX6" s="7">
        <v>5775.585</v>
      </c>
      <c r="CY6" s="7">
        <v>5628.2311</v>
      </c>
      <c r="CZ6" s="7" t="s">
        <v>72</v>
      </c>
      <c r="DA6" s="7"/>
      <c r="DB6" s="7">
        <v>4.2092000000000001</v>
      </c>
      <c r="DC6" s="7">
        <v>4.2765000000000004</v>
      </c>
      <c r="DD6" s="7">
        <v>4.1608000000000001</v>
      </c>
      <c r="DE6" s="7">
        <v>4.5955000000000004</v>
      </c>
      <c r="DF6" s="7">
        <v>4.8654999999999999</v>
      </c>
      <c r="DG6" s="7">
        <v>4.8841999999999999</v>
      </c>
      <c r="DH6" s="7">
        <v>4.6638000000000002</v>
      </c>
      <c r="DI6" s="7">
        <v>4.3616999999999999</v>
      </c>
      <c r="DJ6" s="7">
        <v>4.8532000000000002</v>
      </c>
      <c r="DK6" s="7">
        <v>4.7885999999999997</v>
      </c>
      <c r="DL6" s="7">
        <v>4.6111000000000004</v>
      </c>
      <c r="DM6" s="7">
        <v>3.8313000000000001</v>
      </c>
      <c r="DN6" s="7">
        <v>3.9416000000000002</v>
      </c>
      <c r="DO6" s="7">
        <v>4.0361000000000002</v>
      </c>
      <c r="DP6" s="7">
        <v>4.03</v>
      </c>
      <c r="DQ6" s="7" t="s">
        <v>72</v>
      </c>
      <c r="DR6" s="7"/>
      <c r="DS6" s="7">
        <v>1.5726</v>
      </c>
      <c r="DT6" s="7">
        <v>1.5956000000000001</v>
      </c>
      <c r="DU6" s="7">
        <v>1.5190999999999999</v>
      </c>
      <c r="DV6" s="7">
        <v>1.6543999999999999</v>
      </c>
      <c r="DW6" s="7">
        <v>1.7219</v>
      </c>
      <c r="DX6" s="7">
        <v>1.7008000000000001</v>
      </c>
      <c r="DY6" s="7">
        <v>1.6217999999999999</v>
      </c>
      <c r="DZ6" s="7">
        <v>1.5066999999999999</v>
      </c>
      <c r="EA6" s="7">
        <v>1.6640000000000001</v>
      </c>
      <c r="EB6" s="7">
        <v>1.6269</v>
      </c>
      <c r="EC6" s="7">
        <v>1.5662</v>
      </c>
      <c r="ED6" s="7">
        <v>1.3044</v>
      </c>
      <c r="EE6" s="7">
        <v>1.325</v>
      </c>
      <c r="EF6" s="7">
        <v>1.3357999999999999</v>
      </c>
      <c r="EG6" s="7">
        <v>1.3078000000000001</v>
      </c>
      <c r="EH6" s="7" t="s">
        <v>72</v>
      </c>
      <c r="EI6" s="7"/>
      <c r="EJ6" s="7" t="s">
        <v>72</v>
      </c>
      <c r="EK6" s="7">
        <v>43.125</v>
      </c>
      <c r="EL6" s="7">
        <v>43.5</v>
      </c>
      <c r="EM6" s="7">
        <v>14.918900000000001</v>
      </c>
      <c r="EN6" s="7" t="s">
        <v>72</v>
      </c>
      <c r="EO6" s="7">
        <v>172</v>
      </c>
      <c r="EP6" s="7" t="s">
        <v>72</v>
      </c>
      <c r="EQ6" s="7">
        <v>378.95</v>
      </c>
      <c r="ER6" s="7" t="s">
        <v>72</v>
      </c>
      <c r="ES6" s="7" t="s">
        <v>72</v>
      </c>
      <c r="ET6" s="7" t="s">
        <v>72</v>
      </c>
      <c r="EU6" s="7" t="s">
        <v>72</v>
      </c>
      <c r="EV6" s="7" t="s">
        <v>72</v>
      </c>
      <c r="EW6" s="7" t="s">
        <v>72</v>
      </c>
      <c r="EX6" s="7" t="s">
        <v>72</v>
      </c>
      <c r="EY6" s="7" t="s">
        <v>72</v>
      </c>
      <c r="EZ6" s="7"/>
      <c r="FA6" s="7" t="s">
        <v>72</v>
      </c>
      <c r="FB6" s="7">
        <v>2.6831</v>
      </c>
      <c r="FC6" s="7">
        <v>2.6951999999999998</v>
      </c>
      <c r="FD6" s="7">
        <v>3.2273999999999998</v>
      </c>
      <c r="FE6" s="7" t="s">
        <v>72</v>
      </c>
      <c r="FF6" s="7">
        <v>3.3698999999999999</v>
      </c>
      <c r="FG6" s="7">
        <v>5.1754999999999995</v>
      </c>
      <c r="FH6" s="7">
        <v>4.3822999999999999</v>
      </c>
      <c r="FI6" s="7" t="s">
        <v>72</v>
      </c>
      <c r="FJ6" s="7" t="s">
        <v>72</v>
      </c>
      <c r="FK6" s="7" t="s">
        <v>72</v>
      </c>
      <c r="FL6" s="7" t="s">
        <v>72</v>
      </c>
      <c r="FM6" s="7" t="s">
        <v>72</v>
      </c>
      <c r="FN6" s="7" t="s">
        <v>72</v>
      </c>
      <c r="FO6" s="7" t="s">
        <v>72</v>
      </c>
      <c r="FP6" s="7">
        <v>2.9295999999999998</v>
      </c>
      <c r="FQ6" s="7"/>
      <c r="FR6" s="7">
        <v>730.05399999999997</v>
      </c>
      <c r="FS6" s="7">
        <v>231.7</v>
      </c>
      <c r="FT6" s="7">
        <v>173.3</v>
      </c>
      <c r="FU6" s="7">
        <v>826.4</v>
      </c>
      <c r="FV6" s="7">
        <v>120.196</v>
      </c>
      <c r="FW6" s="7">
        <v>353.4</v>
      </c>
      <c r="FX6" s="7">
        <v>168.4</v>
      </c>
      <c r="FY6" s="7">
        <v>318.7</v>
      </c>
      <c r="FZ6" s="7">
        <v>459.952</v>
      </c>
      <c r="GA6" s="7">
        <v>625</v>
      </c>
      <c r="GB6" s="7">
        <v>306.60000000000002</v>
      </c>
      <c r="GC6" s="7">
        <v>506.3</v>
      </c>
      <c r="GD6" s="7">
        <v>600.76300000000003</v>
      </c>
      <c r="GE6" s="7">
        <v>420.5</v>
      </c>
      <c r="GF6" s="7">
        <v>530.79999999999995</v>
      </c>
      <c r="GG6" s="7" t="s">
        <v>72</v>
      </c>
      <c r="GH6" s="7"/>
      <c r="GI6" s="7">
        <v>1614.146</v>
      </c>
      <c r="GJ6" s="7">
        <v>1710</v>
      </c>
      <c r="GK6" s="7">
        <v>1502.6</v>
      </c>
      <c r="GL6" s="7">
        <v>1516.6</v>
      </c>
      <c r="GM6" s="7">
        <v>1476.925</v>
      </c>
      <c r="GN6" s="7">
        <v>1357.5</v>
      </c>
      <c r="GO6" s="7">
        <v>754.8</v>
      </c>
      <c r="GP6" s="7">
        <v>767.5</v>
      </c>
      <c r="GQ6" s="7">
        <v>883.11</v>
      </c>
      <c r="GR6" s="7">
        <v>930.6</v>
      </c>
      <c r="GS6" s="7">
        <v>815.1</v>
      </c>
      <c r="GT6" s="7">
        <v>914.8</v>
      </c>
      <c r="GU6" s="7">
        <v>836.14700000000005</v>
      </c>
      <c r="GV6" s="7">
        <v>915.3</v>
      </c>
      <c r="GW6" s="7">
        <v>937.5</v>
      </c>
      <c r="GX6" s="7" t="s">
        <v>72</v>
      </c>
      <c r="GY6" s="7"/>
      <c r="GZ6" s="7">
        <v>399.43799999999999</v>
      </c>
      <c r="HA6" s="7">
        <v>425.9</v>
      </c>
      <c r="HB6" s="7">
        <v>403.7</v>
      </c>
      <c r="HC6" s="7">
        <v>449.1</v>
      </c>
      <c r="HD6" s="7">
        <v>367.23</v>
      </c>
      <c r="HE6" s="7">
        <v>396.7</v>
      </c>
      <c r="HF6" s="7">
        <v>380.8</v>
      </c>
      <c r="HG6" s="7">
        <v>413</v>
      </c>
      <c r="HH6" s="7">
        <v>336.86200000000002</v>
      </c>
      <c r="HI6" s="7">
        <v>361.4</v>
      </c>
      <c r="HJ6" s="7">
        <v>364.7</v>
      </c>
      <c r="HK6" s="7">
        <v>410.5</v>
      </c>
      <c r="HL6" s="7">
        <v>318.87200000000001</v>
      </c>
      <c r="HM6" s="7">
        <v>336.9</v>
      </c>
      <c r="HN6" s="7">
        <v>330.3</v>
      </c>
      <c r="HO6" s="7" t="s">
        <v>72</v>
      </c>
      <c r="HP6" s="7"/>
      <c r="HQ6" s="216">
        <v>7.4924999999999997</v>
      </c>
      <c r="HR6" s="216">
        <v>7.0602</v>
      </c>
      <c r="HS6" s="216">
        <v>8.5809999999999995</v>
      </c>
      <c r="HT6" s="216">
        <v>7.4513999999999996</v>
      </c>
      <c r="HU6" s="216">
        <v>8.8432999999999993</v>
      </c>
      <c r="HV6" s="216">
        <v>10.1328</v>
      </c>
      <c r="HW6" s="216">
        <v>8.0869</v>
      </c>
      <c r="HX6" s="216">
        <v>8.3938000000000006</v>
      </c>
      <c r="HY6" s="216">
        <v>7.3704000000000001</v>
      </c>
      <c r="HZ6" s="216">
        <v>7.0548999999999999</v>
      </c>
      <c r="IA6" s="216">
        <v>6.7568999999999999</v>
      </c>
      <c r="IB6" s="216">
        <v>5.4363000000000001</v>
      </c>
      <c r="IC6" s="216">
        <v>5.5948000000000002</v>
      </c>
      <c r="ID6" s="216">
        <v>4.8295000000000003</v>
      </c>
      <c r="IE6" s="216">
        <v>4.8882000000000003</v>
      </c>
      <c r="IF6" s="216" t="s">
        <v>72</v>
      </c>
      <c r="IG6" s="7"/>
    </row>
    <row r="7" spans="1:242">
      <c r="A7" s="11" t="s">
        <v>319</v>
      </c>
      <c r="B7" s="7" t="s">
        <v>16</v>
      </c>
      <c r="C7" s="7"/>
      <c r="D7" s="7">
        <v>8197.4082999999991</v>
      </c>
      <c r="E7" s="7">
        <v>9264.1470000000008</v>
      </c>
      <c r="F7" s="7">
        <v>8743.0166000000008</v>
      </c>
      <c r="G7" s="7">
        <v>9669.2050999999992</v>
      </c>
      <c r="H7" s="7">
        <v>8077.2514000000001</v>
      </c>
      <c r="I7" s="7">
        <v>8787.9030000000002</v>
      </c>
      <c r="J7" s="7">
        <v>8313.7248999999993</v>
      </c>
      <c r="K7" s="7">
        <v>7659.6464999999998</v>
      </c>
      <c r="L7" s="7">
        <v>7699.8073999999997</v>
      </c>
      <c r="M7" s="7">
        <v>8147.49</v>
      </c>
      <c r="N7" s="7">
        <v>7590.3544000000002</v>
      </c>
      <c r="O7" s="7">
        <v>8027.5</v>
      </c>
      <c r="P7" s="7">
        <v>7068.3325999999997</v>
      </c>
      <c r="Q7" s="7">
        <v>6555.51</v>
      </c>
      <c r="R7" s="7">
        <v>5825.8631999999998</v>
      </c>
      <c r="S7" s="7" t="s">
        <v>72</v>
      </c>
      <c r="T7" s="7"/>
      <c r="U7" s="7">
        <v>1779</v>
      </c>
      <c r="V7" s="7">
        <v>1444</v>
      </c>
      <c r="W7" s="7">
        <v>1799</v>
      </c>
      <c r="X7" s="7">
        <v>1527</v>
      </c>
      <c r="Y7" s="7">
        <v>1562</v>
      </c>
      <c r="Z7" s="7">
        <v>1288</v>
      </c>
      <c r="AA7" s="7">
        <v>1715</v>
      </c>
      <c r="AB7" s="7">
        <v>1448</v>
      </c>
      <c r="AC7" s="7">
        <v>1616</v>
      </c>
      <c r="AD7" s="7">
        <v>1398</v>
      </c>
      <c r="AE7" s="7">
        <v>1846</v>
      </c>
      <c r="AF7" s="7">
        <v>1598</v>
      </c>
      <c r="AG7" s="7">
        <v>1691</v>
      </c>
      <c r="AH7" s="7">
        <v>1586</v>
      </c>
      <c r="AI7" s="7">
        <v>2085</v>
      </c>
      <c r="AJ7" s="7" t="s">
        <v>72</v>
      </c>
      <c r="AK7" s="7"/>
      <c r="AL7" s="7">
        <v>325</v>
      </c>
      <c r="AM7" s="7" t="s">
        <v>72</v>
      </c>
      <c r="AN7" s="7" t="s">
        <v>72</v>
      </c>
      <c r="AO7" s="7" t="s">
        <v>72</v>
      </c>
      <c r="AP7" s="7">
        <v>329</v>
      </c>
      <c r="AQ7" s="7" t="s">
        <v>72</v>
      </c>
      <c r="AR7" s="7" t="s">
        <v>72</v>
      </c>
      <c r="AS7" s="7" t="s">
        <v>72</v>
      </c>
      <c r="AT7" s="7">
        <v>330</v>
      </c>
      <c r="AU7" s="7" t="s">
        <v>72</v>
      </c>
      <c r="AV7" s="7" t="s">
        <v>72</v>
      </c>
      <c r="AW7" s="7" t="s">
        <v>72</v>
      </c>
      <c r="AX7" s="7">
        <v>318</v>
      </c>
      <c r="AY7" s="7" t="s">
        <v>72</v>
      </c>
      <c r="AZ7" s="7" t="s">
        <v>72</v>
      </c>
      <c r="BA7" s="7" t="s">
        <v>72</v>
      </c>
      <c r="BB7" s="7"/>
      <c r="BC7" s="7">
        <v>3.0602999999999998</v>
      </c>
      <c r="BD7" s="7" t="s">
        <v>72</v>
      </c>
      <c r="BE7" s="7" t="s">
        <v>72</v>
      </c>
      <c r="BF7" s="7" t="s">
        <v>72</v>
      </c>
      <c r="BG7" s="7" t="s">
        <v>72</v>
      </c>
      <c r="BH7" s="7" t="s">
        <v>72</v>
      </c>
      <c r="BI7" s="7" t="s">
        <v>72</v>
      </c>
      <c r="BJ7" s="7" t="s">
        <v>72</v>
      </c>
      <c r="BK7" s="7" t="s">
        <v>72</v>
      </c>
      <c r="BL7" s="7" t="s">
        <v>72</v>
      </c>
      <c r="BM7" s="7" t="s">
        <v>72</v>
      </c>
      <c r="BN7" s="7" t="s">
        <v>72</v>
      </c>
      <c r="BO7" s="7" t="s">
        <v>72</v>
      </c>
      <c r="BP7" s="7" t="s">
        <v>72</v>
      </c>
      <c r="BQ7" s="7" t="s">
        <v>72</v>
      </c>
      <c r="BR7" s="7" t="s">
        <v>72</v>
      </c>
      <c r="BS7" s="7"/>
      <c r="BT7" s="7">
        <v>0.75860000000000005</v>
      </c>
      <c r="BU7" s="7">
        <v>0.51870000000000005</v>
      </c>
      <c r="BV7" s="7">
        <v>0.64570000000000005</v>
      </c>
      <c r="BW7" s="7">
        <v>0.54869999999999997</v>
      </c>
      <c r="BX7" s="7">
        <v>0.64549999999999996</v>
      </c>
      <c r="BY7" s="7">
        <v>0.65410000000000001</v>
      </c>
      <c r="BZ7" s="7">
        <v>0.86699999999999999</v>
      </c>
      <c r="CA7" s="7">
        <v>0.73950000000000005</v>
      </c>
      <c r="CB7" s="7">
        <v>0.84560000000000002</v>
      </c>
      <c r="CC7" s="7">
        <v>0.73540000000000005</v>
      </c>
      <c r="CD7" s="7">
        <v>1.0109999999999999</v>
      </c>
      <c r="CE7" s="7">
        <v>0.88090000000000002</v>
      </c>
      <c r="CF7" s="7">
        <v>0.94310000000000005</v>
      </c>
      <c r="CG7" s="7">
        <v>0.89959999999999996</v>
      </c>
      <c r="CH7" s="7">
        <v>1.1887000000000001</v>
      </c>
      <c r="CI7" s="7" t="s">
        <v>72</v>
      </c>
      <c r="CJ7"/>
      <c r="CK7" s="7">
        <v>9983.4082999999991</v>
      </c>
      <c r="CL7" s="7">
        <v>10935.147000000001</v>
      </c>
      <c r="CM7" s="7">
        <v>10764.016600000001</v>
      </c>
      <c r="CN7" s="7">
        <v>11425.205099999999</v>
      </c>
      <c r="CO7" s="7">
        <v>9874.2513999999992</v>
      </c>
      <c r="CP7" s="7">
        <v>10311.903</v>
      </c>
      <c r="CQ7" s="7">
        <v>10268.724899999999</v>
      </c>
      <c r="CR7" s="7">
        <v>9355.6465000000007</v>
      </c>
      <c r="CS7" s="7">
        <v>9540.8073999999997</v>
      </c>
      <c r="CT7" s="7">
        <v>9773.49</v>
      </c>
      <c r="CU7" s="7">
        <v>9669.3544000000002</v>
      </c>
      <c r="CV7" s="7">
        <v>9864.5</v>
      </c>
      <c r="CW7" s="7">
        <v>8971.3325999999997</v>
      </c>
      <c r="CX7" s="7">
        <v>8358.51</v>
      </c>
      <c r="CY7" s="7">
        <v>8095.8631999999998</v>
      </c>
      <c r="CZ7" s="7" t="s">
        <v>72</v>
      </c>
      <c r="DA7" s="7"/>
      <c r="DB7" s="7">
        <v>4.2572999999999999</v>
      </c>
      <c r="DC7" s="7">
        <v>3.9279000000000002</v>
      </c>
      <c r="DD7" s="7">
        <v>3.8635999999999999</v>
      </c>
      <c r="DE7" s="7">
        <v>4.1054000000000004</v>
      </c>
      <c r="DF7" s="7">
        <v>4.0803000000000003</v>
      </c>
      <c r="DG7" s="7">
        <v>5.2370999999999999</v>
      </c>
      <c r="DH7" s="7">
        <v>5.1914999999999996</v>
      </c>
      <c r="DI7" s="7">
        <v>4.7782</v>
      </c>
      <c r="DJ7" s="7">
        <v>4.9926000000000004</v>
      </c>
      <c r="DK7" s="7">
        <v>5.1411999999999995</v>
      </c>
      <c r="DL7" s="7">
        <v>5.2953999999999999</v>
      </c>
      <c r="DM7" s="7">
        <v>5.4379999999999997</v>
      </c>
      <c r="DN7" s="7">
        <v>5.0034999999999998</v>
      </c>
      <c r="DO7" s="7">
        <v>4.7411000000000003</v>
      </c>
      <c r="DP7" s="7">
        <v>4.6157000000000004</v>
      </c>
      <c r="DQ7" s="7" t="s">
        <v>72</v>
      </c>
      <c r="DR7" s="7"/>
      <c r="DS7" s="7">
        <v>1.6858</v>
      </c>
      <c r="DT7" s="7">
        <v>1.8006</v>
      </c>
      <c r="DU7" s="7">
        <v>1.7244000000000002</v>
      </c>
      <c r="DV7" s="7">
        <v>1.7829999999999999</v>
      </c>
      <c r="DW7" s="7">
        <v>1.5070999999999999</v>
      </c>
      <c r="DX7" s="7">
        <v>1.5867</v>
      </c>
      <c r="DY7" s="7">
        <v>1.5928</v>
      </c>
      <c r="DZ7" s="7">
        <v>1.4611000000000001</v>
      </c>
      <c r="EA7" s="7">
        <v>1.4997</v>
      </c>
      <c r="EB7" s="7">
        <v>1.5354999999999999</v>
      </c>
      <c r="EC7" s="7">
        <v>1.5194000000000001</v>
      </c>
      <c r="ED7" s="7">
        <v>1.5432999999999999</v>
      </c>
      <c r="EE7" s="7">
        <v>1.3985000000000001</v>
      </c>
      <c r="EF7" s="7">
        <v>1.3054000000000001</v>
      </c>
      <c r="EG7" s="7">
        <v>1.2703</v>
      </c>
      <c r="EH7" s="7" t="s">
        <v>72</v>
      </c>
      <c r="EI7" s="7"/>
      <c r="EJ7" s="7">
        <v>8.8588000000000005</v>
      </c>
      <c r="EK7" s="7">
        <v>6.8734999999999999</v>
      </c>
      <c r="EL7" s="7">
        <v>6.0885999999999996</v>
      </c>
      <c r="EM7" s="7">
        <v>6.8436000000000003</v>
      </c>
      <c r="EN7" s="7">
        <v>6.2857000000000003</v>
      </c>
      <c r="EO7" s="7">
        <v>10.5663</v>
      </c>
      <c r="EP7" s="7">
        <v>9.5445999999999991</v>
      </c>
      <c r="EQ7" s="7">
        <v>8.7935999999999996</v>
      </c>
      <c r="ER7" s="7" t="s">
        <v>72</v>
      </c>
      <c r="ES7" s="7" t="s">
        <v>72</v>
      </c>
      <c r="ET7" s="7" t="s">
        <v>72</v>
      </c>
      <c r="EU7" s="7" t="s">
        <v>72</v>
      </c>
      <c r="EV7" s="7">
        <v>9.8689</v>
      </c>
      <c r="EW7" s="7" t="s">
        <v>72</v>
      </c>
      <c r="EX7" s="7" t="s">
        <v>72</v>
      </c>
      <c r="EY7" s="7" t="s">
        <v>72</v>
      </c>
      <c r="EZ7" s="7"/>
      <c r="FA7" s="7">
        <v>3.2101999999999999</v>
      </c>
      <c r="FB7" s="7">
        <v>2.8860999999999999</v>
      </c>
      <c r="FC7" s="7">
        <v>3.0366</v>
      </c>
      <c r="FD7" s="7">
        <v>3.1372</v>
      </c>
      <c r="FE7" s="7">
        <v>2.5625</v>
      </c>
      <c r="FF7" s="7">
        <v>2.6233</v>
      </c>
      <c r="FG7" s="7">
        <v>2.7930000000000001</v>
      </c>
      <c r="FH7" s="7">
        <v>2.4649000000000001</v>
      </c>
      <c r="FI7" s="7" t="s">
        <v>72</v>
      </c>
      <c r="FJ7" s="7" t="s">
        <v>72</v>
      </c>
      <c r="FK7" s="7" t="s">
        <v>72</v>
      </c>
      <c r="FL7" s="7" t="s">
        <v>72</v>
      </c>
      <c r="FM7" s="7">
        <v>2.3443999999999998</v>
      </c>
      <c r="FN7" s="7" t="s">
        <v>72</v>
      </c>
      <c r="FO7" s="7" t="s">
        <v>72</v>
      </c>
      <c r="FP7" s="7">
        <v>2.4775</v>
      </c>
      <c r="FQ7" s="7"/>
      <c r="FR7" s="692">
        <v>332</v>
      </c>
      <c r="FS7" s="692">
        <v>639</v>
      </c>
      <c r="FT7" s="692">
        <v>357</v>
      </c>
      <c r="FU7" s="692">
        <v>615</v>
      </c>
      <c r="FV7" s="692">
        <v>584</v>
      </c>
      <c r="FW7" s="692">
        <v>921</v>
      </c>
      <c r="FX7" s="692">
        <v>495</v>
      </c>
      <c r="FY7" s="692">
        <v>815</v>
      </c>
      <c r="FZ7" s="692">
        <v>320</v>
      </c>
      <c r="GA7" s="692">
        <v>515</v>
      </c>
      <c r="GB7" s="692">
        <v>261</v>
      </c>
      <c r="GC7" s="692">
        <v>365</v>
      </c>
      <c r="GD7" s="692">
        <v>202</v>
      </c>
      <c r="GE7" s="692">
        <v>365</v>
      </c>
      <c r="GF7" s="692">
        <v>219</v>
      </c>
      <c r="GG7" s="692" t="s">
        <v>72</v>
      </c>
      <c r="GH7" s="7"/>
      <c r="GI7" s="7">
        <v>2524</v>
      </c>
      <c r="GJ7" s="7">
        <v>3391</v>
      </c>
      <c r="GK7" s="7">
        <v>3060</v>
      </c>
      <c r="GL7" s="7">
        <v>3267</v>
      </c>
      <c r="GM7" s="7">
        <v>3342</v>
      </c>
      <c r="GN7" s="7">
        <v>3538</v>
      </c>
      <c r="GO7" s="7">
        <v>3174</v>
      </c>
      <c r="GP7" s="7">
        <v>3311</v>
      </c>
      <c r="GQ7" s="7">
        <v>3302</v>
      </c>
      <c r="GR7" s="7">
        <v>3510</v>
      </c>
      <c r="GS7" s="7">
        <v>3148</v>
      </c>
      <c r="GT7" s="7">
        <v>3344</v>
      </c>
      <c r="GU7" s="7">
        <v>3227</v>
      </c>
      <c r="GV7" s="7">
        <v>3275</v>
      </c>
      <c r="GW7" s="7">
        <v>2866</v>
      </c>
      <c r="GX7" s="7" t="s">
        <v>72</v>
      </c>
      <c r="GY7" s="7"/>
      <c r="GZ7" s="7">
        <v>856</v>
      </c>
      <c r="HA7" s="7">
        <v>931</v>
      </c>
      <c r="HB7" s="7">
        <v>504</v>
      </c>
      <c r="HC7" s="7">
        <v>492</v>
      </c>
      <c r="HD7" s="7">
        <v>493</v>
      </c>
      <c r="HE7" s="7">
        <v>480</v>
      </c>
      <c r="HF7" s="7">
        <v>513</v>
      </c>
      <c r="HG7" s="7">
        <v>472</v>
      </c>
      <c r="HH7" s="7">
        <v>446</v>
      </c>
      <c r="HI7" s="7">
        <v>470</v>
      </c>
      <c r="HJ7" s="7">
        <v>438</v>
      </c>
      <c r="HK7" s="7">
        <v>460</v>
      </c>
      <c r="HL7" s="7">
        <v>425</v>
      </c>
      <c r="HM7" s="7">
        <v>440</v>
      </c>
      <c r="HN7" s="7">
        <v>429</v>
      </c>
      <c r="HO7" s="7" t="s">
        <v>72</v>
      </c>
      <c r="HP7" s="7"/>
      <c r="HQ7" s="216">
        <v>6.6604999999999999</v>
      </c>
      <c r="HR7" s="216">
        <v>6.1635</v>
      </c>
      <c r="HS7" s="216">
        <v>7.3255999999999997</v>
      </c>
      <c r="HT7" s="216">
        <v>6.8700999999999999</v>
      </c>
      <c r="HU7" s="216">
        <v>7.0331000000000001</v>
      </c>
      <c r="HV7" s="216">
        <v>7.5785</v>
      </c>
      <c r="HW7" s="216">
        <v>8.8399000000000001</v>
      </c>
      <c r="HX7" s="216">
        <v>9.2369000000000003</v>
      </c>
      <c r="HY7" s="216">
        <v>8.2431999999999999</v>
      </c>
      <c r="HZ7" s="216">
        <v>8.3777000000000008</v>
      </c>
      <c r="IA7" s="216">
        <v>7.2497999999999996</v>
      </c>
      <c r="IB7" s="216">
        <v>7.9025999999999996</v>
      </c>
      <c r="IC7" s="216">
        <v>7.1531000000000002</v>
      </c>
      <c r="ID7" s="216">
        <v>6.5510000000000002</v>
      </c>
      <c r="IE7" s="216">
        <v>6.0462999999999996</v>
      </c>
      <c r="IF7" s="216" t="s">
        <v>72</v>
      </c>
      <c r="IG7" s="7"/>
    </row>
    <row r="8" spans="1:242">
      <c r="A8" s="11" t="s">
        <v>319</v>
      </c>
      <c r="B8" s="7" t="s">
        <v>2</v>
      </c>
      <c r="C8" s="7"/>
      <c r="D8" s="7">
        <v>2874.3904000000002</v>
      </c>
      <c r="E8" s="7" t="s">
        <v>72</v>
      </c>
      <c r="F8" s="7">
        <v>2618.6714999999999</v>
      </c>
      <c r="G8" s="7" t="s">
        <v>72</v>
      </c>
      <c r="H8" s="7">
        <v>2911.2991999999999</v>
      </c>
      <c r="I8" s="7" t="s">
        <v>72</v>
      </c>
      <c r="J8" s="7">
        <v>3143.5549999999998</v>
      </c>
      <c r="K8" s="7" t="s">
        <v>72</v>
      </c>
      <c r="L8" s="7">
        <v>2429.9836</v>
      </c>
      <c r="M8" s="7" t="s">
        <v>72</v>
      </c>
      <c r="N8" s="7">
        <v>1622.7898</v>
      </c>
      <c r="O8" s="7" t="s">
        <v>72</v>
      </c>
      <c r="P8" s="7">
        <v>1163.6795</v>
      </c>
      <c r="Q8" s="7" t="s">
        <v>72</v>
      </c>
      <c r="R8" s="7">
        <v>960.23059999999998</v>
      </c>
      <c r="S8" s="7" t="s">
        <v>72</v>
      </c>
      <c r="T8" s="7"/>
      <c r="U8" s="7">
        <v>287.92700000000002</v>
      </c>
      <c r="V8" s="7" t="s">
        <v>72</v>
      </c>
      <c r="W8" s="7">
        <v>323</v>
      </c>
      <c r="X8" s="7" t="s">
        <v>72</v>
      </c>
      <c r="Y8" s="7">
        <v>287.84500000000003</v>
      </c>
      <c r="Z8" s="7" t="s">
        <v>72</v>
      </c>
      <c r="AA8" s="7">
        <v>322.39999999999998</v>
      </c>
      <c r="AB8" s="7" t="s">
        <v>72</v>
      </c>
      <c r="AC8" s="7">
        <v>304.52499999999998</v>
      </c>
      <c r="AD8" s="7" t="s">
        <v>72</v>
      </c>
      <c r="AE8" s="7">
        <v>409.1</v>
      </c>
      <c r="AF8" s="7" t="s">
        <v>72</v>
      </c>
      <c r="AG8" s="7">
        <v>393.964</v>
      </c>
      <c r="AH8" s="7" t="s">
        <v>72</v>
      </c>
      <c r="AI8" s="7">
        <v>472.7</v>
      </c>
      <c r="AJ8" s="7" t="s">
        <v>72</v>
      </c>
      <c r="AK8" s="7"/>
      <c r="AL8" s="7">
        <v>420.51799999999997</v>
      </c>
      <c r="AM8" s="7" t="s">
        <v>72</v>
      </c>
      <c r="AN8" s="7" t="s">
        <v>72</v>
      </c>
      <c r="AO8" s="7" t="s">
        <v>72</v>
      </c>
      <c r="AP8" s="7">
        <v>474.03199999999998</v>
      </c>
      <c r="AQ8" s="7" t="s">
        <v>72</v>
      </c>
      <c r="AR8" s="7" t="s">
        <v>72</v>
      </c>
      <c r="AS8" s="7" t="s">
        <v>72</v>
      </c>
      <c r="AT8" s="7">
        <v>446.65600000000001</v>
      </c>
      <c r="AU8" s="7" t="s">
        <v>72</v>
      </c>
      <c r="AV8" s="7">
        <v>445</v>
      </c>
      <c r="AW8" s="7" t="s">
        <v>72</v>
      </c>
      <c r="AX8" s="7">
        <v>441.06900000000002</v>
      </c>
      <c r="AY8" s="7" t="s">
        <v>72</v>
      </c>
      <c r="AZ8" s="7">
        <v>443</v>
      </c>
      <c r="BA8" s="7" t="s">
        <v>72</v>
      </c>
      <c r="BB8" s="7"/>
      <c r="BC8" s="7" t="s">
        <v>72</v>
      </c>
      <c r="BD8" s="7" t="s">
        <v>72</v>
      </c>
      <c r="BE8" s="7" t="s">
        <v>72</v>
      </c>
      <c r="BF8" s="7" t="s">
        <v>72</v>
      </c>
      <c r="BG8" s="7">
        <v>63.034700000000001</v>
      </c>
      <c r="BH8" s="7" t="s">
        <v>72</v>
      </c>
      <c r="BI8" s="7" t="s">
        <v>72</v>
      </c>
      <c r="BJ8" s="7" t="s">
        <v>72</v>
      </c>
      <c r="BK8" s="7" t="s">
        <v>72</v>
      </c>
      <c r="BL8" s="7" t="s">
        <v>72</v>
      </c>
      <c r="BM8" s="7" t="s">
        <v>72</v>
      </c>
      <c r="BN8" s="7" t="s">
        <v>72</v>
      </c>
      <c r="BO8" s="7" t="s">
        <v>72</v>
      </c>
      <c r="BP8" s="7" t="s">
        <v>72</v>
      </c>
      <c r="BQ8" s="7" t="s">
        <v>72</v>
      </c>
      <c r="BR8" s="7" t="s">
        <v>72</v>
      </c>
      <c r="BS8" s="7"/>
      <c r="BT8" s="7">
        <v>0.50780000000000003</v>
      </c>
      <c r="BU8" s="7" t="s">
        <v>72</v>
      </c>
      <c r="BV8" s="7">
        <v>0.5665</v>
      </c>
      <c r="BW8" s="7" t="s">
        <v>72</v>
      </c>
      <c r="BX8" s="7">
        <v>0.52459999999999996</v>
      </c>
      <c r="BY8" s="7" t="s">
        <v>72</v>
      </c>
      <c r="BZ8" s="7">
        <v>0.59950000000000003</v>
      </c>
      <c r="CA8" s="7" t="s">
        <v>72</v>
      </c>
      <c r="CB8" s="7">
        <v>0.57450000000000001</v>
      </c>
      <c r="CC8" s="7" t="s">
        <v>72</v>
      </c>
      <c r="CD8" s="7">
        <v>0.8034</v>
      </c>
      <c r="CE8" s="7" t="s">
        <v>72</v>
      </c>
      <c r="CF8" s="7">
        <v>0.7974</v>
      </c>
      <c r="CG8" s="7" t="s">
        <v>72</v>
      </c>
      <c r="CH8" s="7">
        <v>1.1117999999999999</v>
      </c>
      <c r="CI8" s="7" t="s">
        <v>72</v>
      </c>
      <c r="CJ8"/>
      <c r="CK8" s="7">
        <v>3162.3173999999999</v>
      </c>
      <c r="CL8" s="7" t="s">
        <v>72</v>
      </c>
      <c r="CM8" s="7">
        <v>2941.6714999999999</v>
      </c>
      <c r="CN8" s="7" t="s">
        <v>72</v>
      </c>
      <c r="CO8" s="7">
        <v>3199.1442000000002</v>
      </c>
      <c r="CP8" s="7" t="s">
        <v>72</v>
      </c>
      <c r="CQ8" s="7">
        <v>3465.9549999999999</v>
      </c>
      <c r="CR8" s="7" t="s">
        <v>72</v>
      </c>
      <c r="CS8" s="7">
        <v>2734.5086000000001</v>
      </c>
      <c r="CT8" s="7" t="s">
        <v>72</v>
      </c>
      <c r="CU8" s="7">
        <v>2031.8897999999999</v>
      </c>
      <c r="CV8" s="7" t="s">
        <v>72</v>
      </c>
      <c r="CW8" s="7">
        <v>1557.6434999999999</v>
      </c>
      <c r="CX8" s="7" t="s">
        <v>72</v>
      </c>
      <c r="CY8" s="7">
        <v>1432.9305999999999</v>
      </c>
      <c r="CZ8" s="7" t="s">
        <v>72</v>
      </c>
      <c r="DA8" s="7"/>
      <c r="DB8" s="7">
        <v>5.5773000000000001</v>
      </c>
      <c r="DC8" s="7" t="s">
        <v>72</v>
      </c>
      <c r="DD8" s="7">
        <v>5.1589999999999998</v>
      </c>
      <c r="DE8" s="7" t="s">
        <v>72</v>
      </c>
      <c r="DF8" s="7">
        <v>5.8304999999999998</v>
      </c>
      <c r="DG8" s="7" t="s">
        <v>72</v>
      </c>
      <c r="DH8" s="7">
        <v>6.4447999999999999</v>
      </c>
      <c r="DI8" s="7" t="s">
        <v>72</v>
      </c>
      <c r="DJ8" s="7">
        <v>5.1585999999999999</v>
      </c>
      <c r="DK8" s="7" t="s">
        <v>72</v>
      </c>
      <c r="DL8" s="7">
        <v>3.9904999999999999</v>
      </c>
      <c r="DM8" s="7" t="s">
        <v>72</v>
      </c>
      <c r="DN8" s="7">
        <v>3.1528</v>
      </c>
      <c r="DO8" s="7" t="s">
        <v>72</v>
      </c>
      <c r="DP8" s="7">
        <v>3.3704000000000001</v>
      </c>
      <c r="DQ8" s="7" t="s">
        <v>72</v>
      </c>
      <c r="DR8" s="7"/>
      <c r="DS8" s="7">
        <v>2.0177999999999998</v>
      </c>
      <c r="DT8" s="7" t="s">
        <v>72</v>
      </c>
      <c r="DU8" s="7">
        <v>1.8109999999999999</v>
      </c>
      <c r="DV8" s="7" t="s">
        <v>72</v>
      </c>
      <c r="DW8" s="7">
        <v>1.9218</v>
      </c>
      <c r="DX8" s="7" t="s">
        <v>72</v>
      </c>
      <c r="DY8" s="7">
        <v>2.0808</v>
      </c>
      <c r="DZ8" s="7" t="s">
        <v>72</v>
      </c>
      <c r="EA8" s="7">
        <v>1.6497000000000002</v>
      </c>
      <c r="EB8" s="7" t="s">
        <v>72</v>
      </c>
      <c r="EC8" s="7">
        <v>1.2387999999999999</v>
      </c>
      <c r="ED8" s="7" t="s">
        <v>72</v>
      </c>
      <c r="EE8" s="7">
        <v>0.94379999999999997</v>
      </c>
      <c r="EF8" s="7" t="s">
        <v>72</v>
      </c>
      <c r="EG8" s="7">
        <v>0.89280000000000004</v>
      </c>
      <c r="EH8" s="7" t="s">
        <v>72</v>
      </c>
      <c r="EI8" s="7"/>
      <c r="EJ8" s="7">
        <v>9.9933999999999994</v>
      </c>
      <c r="EK8" s="7">
        <v>9.5071999999999992</v>
      </c>
      <c r="EL8" s="7">
        <v>8.9600000000000009</v>
      </c>
      <c r="EM8" s="7">
        <v>9.5785999999999998</v>
      </c>
      <c r="EN8" s="7">
        <v>10.3786</v>
      </c>
      <c r="EO8" s="7">
        <v>10.4664</v>
      </c>
      <c r="EP8" s="7">
        <v>11.940099999999999</v>
      </c>
      <c r="EQ8" s="7">
        <v>10.089</v>
      </c>
      <c r="ER8" s="7" t="s">
        <v>72</v>
      </c>
      <c r="ES8" s="7" t="s">
        <v>72</v>
      </c>
      <c r="ET8" s="7" t="s">
        <v>72</v>
      </c>
      <c r="EU8" s="7" t="s">
        <v>72</v>
      </c>
      <c r="EV8" s="7">
        <v>6.2751000000000001</v>
      </c>
      <c r="EW8" s="7" t="s">
        <v>72</v>
      </c>
      <c r="EX8" s="7" t="s">
        <v>72</v>
      </c>
      <c r="EY8" s="7" t="s">
        <v>72</v>
      </c>
      <c r="EZ8" s="7"/>
      <c r="FA8" s="7">
        <v>5.9046000000000003</v>
      </c>
      <c r="FB8" s="7">
        <v>5.6173000000000002</v>
      </c>
      <c r="FC8" s="7">
        <v>7.9043999999999999</v>
      </c>
      <c r="FD8" s="7">
        <v>8.4502000000000006</v>
      </c>
      <c r="FE8" s="7">
        <v>6.3494999999999999</v>
      </c>
      <c r="FF8" s="7">
        <v>6.4032</v>
      </c>
      <c r="FG8" s="7">
        <v>10.2217</v>
      </c>
      <c r="FH8" s="7">
        <v>8.6370000000000005</v>
      </c>
      <c r="FI8" s="7" t="s">
        <v>72</v>
      </c>
      <c r="FJ8" s="7" t="s">
        <v>72</v>
      </c>
      <c r="FK8" s="7" t="s">
        <v>72</v>
      </c>
      <c r="FL8" s="7" t="s">
        <v>72</v>
      </c>
      <c r="FM8" s="7">
        <v>3.2523</v>
      </c>
      <c r="FN8" s="7" t="s">
        <v>72</v>
      </c>
      <c r="FO8" s="7" t="s">
        <v>72</v>
      </c>
      <c r="FP8" s="7">
        <v>2.4584000000000001</v>
      </c>
      <c r="FQ8" s="7"/>
      <c r="FR8" s="692">
        <v>10.009</v>
      </c>
      <c r="FS8" s="692" t="s">
        <v>72</v>
      </c>
      <c r="FT8" s="692">
        <v>5.6</v>
      </c>
      <c r="FU8" s="692" t="s">
        <v>72</v>
      </c>
      <c r="FV8" s="692">
        <v>12.959</v>
      </c>
      <c r="FW8" s="692" t="s">
        <v>72</v>
      </c>
      <c r="FX8" s="692">
        <v>8.1</v>
      </c>
      <c r="FY8" s="692" t="s">
        <v>72</v>
      </c>
      <c r="FZ8" s="692">
        <v>7.1189999999999998</v>
      </c>
      <c r="GA8" s="692" t="s">
        <v>72</v>
      </c>
      <c r="GB8" s="692">
        <v>6.7</v>
      </c>
      <c r="GC8" s="692" t="s">
        <v>72</v>
      </c>
      <c r="GD8" s="692">
        <v>12.266</v>
      </c>
      <c r="GE8" s="692" t="s">
        <v>72</v>
      </c>
      <c r="GF8" s="692">
        <v>11.7</v>
      </c>
      <c r="GG8" s="692" t="s">
        <v>72</v>
      </c>
      <c r="GH8" s="7"/>
      <c r="GI8" s="7">
        <v>440.827</v>
      </c>
      <c r="GJ8" s="7" t="s">
        <v>72</v>
      </c>
      <c r="GK8" s="7">
        <v>300</v>
      </c>
      <c r="GL8" s="7" t="s">
        <v>72</v>
      </c>
      <c r="GM8" s="7">
        <v>431.17</v>
      </c>
      <c r="GN8" s="7" t="s">
        <v>72</v>
      </c>
      <c r="GO8" s="7">
        <v>289.2</v>
      </c>
      <c r="GP8" s="7" t="s">
        <v>72</v>
      </c>
      <c r="GQ8" s="7">
        <v>393.97199999999998</v>
      </c>
      <c r="GR8" s="7" t="s">
        <v>72</v>
      </c>
      <c r="GS8" s="7">
        <v>265</v>
      </c>
      <c r="GT8" s="7" t="s">
        <v>72</v>
      </c>
      <c r="GU8" s="7">
        <v>357.79899999999998</v>
      </c>
      <c r="GV8" s="7" t="s">
        <v>72</v>
      </c>
      <c r="GW8" s="7">
        <v>307.10000000000002</v>
      </c>
      <c r="GX8" s="7" t="s">
        <v>72</v>
      </c>
      <c r="GY8" s="7"/>
      <c r="GZ8" s="7">
        <v>288.59800000000001</v>
      </c>
      <c r="HA8" s="7" t="s">
        <v>72</v>
      </c>
      <c r="HB8" s="7">
        <v>281.60000000000002</v>
      </c>
      <c r="HC8" s="7" t="s">
        <v>72</v>
      </c>
      <c r="HD8" s="7">
        <v>267.08999999999997</v>
      </c>
      <c r="HE8" s="7" t="s">
        <v>72</v>
      </c>
      <c r="HF8" s="7">
        <v>270.7</v>
      </c>
      <c r="HG8" s="7" t="s">
        <v>72</v>
      </c>
      <c r="HH8" s="7">
        <v>259.38400000000001</v>
      </c>
      <c r="HI8" s="7" t="s">
        <v>72</v>
      </c>
      <c r="HJ8" s="7">
        <v>249.8</v>
      </c>
      <c r="HK8" s="7" t="s">
        <v>72</v>
      </c>
      <c r="HL8" s="7">
        <v>244.25299999999999</v>
      </c>
      <c r="HM8" s="7" t="s">
        <v>72</v>
      </c>
      <c r="HN8" s="7">
        <v>180.9</v>
      </c>
      <c r="HO8" s="7" t="s">
        <v>72</v>
      </c>
      <c r="HP8" s="7"/>
      <c r="HQ8" s="216">
        <v>6.6317000000000004</v>
      </c>
      <c r="HR8" s="216" t="s">
        <v>72</v>
      </c>
      <c r="HS8" s="216">
        <v>7.3647999999999998</v>
      </c>
      <c r="HT8" s="216" t="s">
        <v>72</v>
      </c>
      <c r="HU8" s="216">
        <v>7.7533000000000003</v>
      </c>
      <c r="HV8" s="216" t="s">
        <v>72</v>
      </c>
      <c r="HW8" s="216">
        <v>8.8666</v>
      </c>
      <c r="HX8" s="216" t="s">
        <v>72</v>
      </c>
      <c r="HY8" s="216">
        <v>8.4725000000000001</v>
      </c>
      <c r="HZ8" s="216" t="s">
        <v>72</v>
      </c>
      <c r="IA8" s="216">
        <v>7.3662999999999998</v>
      </c>
      <c r="IB8" s="216" t="s">
        <v>72</v>
      </c>
      <c r="IC8" s="216">
        <v>6.8852000000000002</v>
      </c>
      <c r="ID8" s="216" t="s">
        <v>72</v>
      </c>
      <c r="IE8" s="216">
        <v>6.2527999999999997</v>
      </c>
      <c r="IF8" s="216" t="s">
        <v>72</v>
      </c>
      <c r="IG8" s="7"/>
    </row>
    <row r="9" spans="1:242">
      <c r="A9" s="11" t="s">
        <v>319</v>
      </c>
      <c r="B9" s="7" t="s">
        <v>18</v>
      </c>
      <c r="C9" s="7"/>
      <c r="D9" s="7">
        <v>2227.41</v>
      </c>
      <c r="E9" s="7">
        <v>2498.4149000000002</v>
      </c>
      <c r="F9" s="7">
        <v>2419.8022999999998</v>
      </c>
      <c r="G9" s="7">
        <v>2755.9508000000001</v>
      </c>
      <c r="H9" s="7">
        <v>3314.3786</v>
      </c>
      <c r="I9" s="7">
        <v>3738.9902000000002</v>
      </c>
      <c r="J9" s="7">
        <v>3698.5880000000002</v>
      </c>
      <c r="K9" s="7">
        <v>3123.0653000000002</v>
      </c>
      <c r="L9" s="7">
        <v>3347.6120999999998</v>
      </c>
      <c r="M9" s="7">
        <v>3527.7561999999998</v>
      </c>
      <c r="N9" s="7">
        <v>3918.9821999999999</v>
      </c>
      <c r="O9" s="7">
        <v>3947.5209</v>
      </c>
      <c r="P9" s="7">
        <v>4043.0142999999998</v>
      </c>
      <c r="Q9" s="7">
        <v>4387.1509999999998</v>
      </c>
      <c r="R9" s="7">
        <v>4048.9897999999998</v>
      </c>
      <c r="S9" s="7" t="s">
        <v>72</v>
      </c>
      <c r="T9" s="7"/>
      <c r="U9" s="7">
        <v>2223.8649999999998</v>
      </c>
      <c r="V9" s="7">
        <v>2123.8000000000002</v>
      </c>
      <c r="W9" s="7">
        <v>2064.527</v>
      </c>
      <c r="X9" s="7">
        <v>2242.5</v>
      </c>
      <c r="Y9" s="7">
        <v>2238.1149999999998</v>
      </c>
      <c r="Z9" s="7">
        <v>2178.8000000000002</v>
      </c>
      <c r="AA9" s="7">
        <v>2119.502</v>
      </c>
      <c r="AB9" s="7">
        <v>2686.6</v>
      </c>
      <c r="AC9" s="7">
        <v>2612.9360000000001</v>
      </c>
      <c r="AD9" s="7">
        <v>2585.4</v>
      </c>
      <c r="AE9" s="7">
        <v>2666</v>
      </c>
      <c r="AF9" s="7">
        <v>3027.5</v>
      </c>
      <c r="AG9" s="7">
        <v>2936.732</v>
      </c>
      <c r="AH9" s="7">
        <v>2955.2</v>
      </c>
      <c r="AI9" s="7">
        <v>3759.248</v>
      </c>
      <c r="AJ9" s="7" t="s">
        <v>72</v>
      </c>
      <c r="AK9" s="7"/>
      <c r="AL9" s="7">
        <v>39.396000000000001</v>
      </c>
      <c r="AM9" s="7" t="s">
        <v>72</v>
      </c>
      <c r="AN9" s="7" t="s">
        <v>72</v>
      </c>
      <c r="AO9" s="7" t="s">
        <v>72</v>
      </c>
      <c r="AP9" s="7">
        <v>50.572000000000003</v>
      </c>
      <c r="AQ9" s="7" t="s">
        <v>72</v>
      </c>
      <c r="AR9" s="7" t="s">
        <v>72</v>
      </c>
      <c r="AS9" s="7" t="s">
        <v>72</v>
      </c>
      <c r="AT9" s="7">
        <v>46.893999999999998</v>
      </c>
      <c r="AU9" s="7" t="s">
        <v>72</v>
      </c>
      <c r="AV9" s="7" t="s">
        <v>72</v>
      </c>
      <c r="AW9" s="7" t="s">
        <v>72</v>
      </c>
      <c r="AX9" s="7">
        <v>42.057000000000002</v>
      </c>
      <c r="AY9" s="7" t="s">
        <v>72</v>
      </c>
      <c r="AZ9" s="7" t="s">
        <v>72</v>
      </c>
      <c r="BA9" s="7" t="s">
        <v>72</v>
      </c>
      <c r="BB9" s="7"/>
      <c r="BC9" s="7" t="s">
        <v>72</v>
      </c>
      <c r="BD9" s="7" t="s">
        <v>72</v>
      </c>
      <c r="BE9" s="7" t="s">
        <v>72</v>
      </c>
      <c r="BF9" s="7" t="s">
        <v>72</v>
      </c>
      <c r="BG9" s="7" t="s">
        <v>72</v>
      </c>
      <c r="BH9" s="7" t="s">
        <v>72</v>
      </c>
      <c r="BI9" s="7" t="s">
        <v>72</v>
      </c>
      <c r="BJ9" s="7" t="s">
        <v>72</v>
      </c>
      <c r="BK9" s="7" t="s">
        <v>72</v>
      </c>
      <c r="BL9" s="7" t="s">
        <v>72</v>
      </c>
      <c r="BM9" s="7" t="s">
        <v>72</v>
      </c>
      <c r="BN9" s="7" t="s">
        <v>72</v>
      </c>
      <c r="BO9" s="7" t="s">
        <v>72</v>
      </c>
      <c r="BP9" s="7" t="s">
        <v>72</v>
      </c>
      <c r="BQ9" s="7">
        <v>2.1177999999999999</v>
      </c>
      <c r="BR9" s="7" t="s">
        <v>72</v>
      </c>
      <c r="BS9" s="7"/>
      <c r="BT9" s="7">
        <v>3.7033</v>
      </c>
      <c r="BU9" s="7">
        <v>3.4622999999999999</v>
      </c>
      <c r="BV9" s="7">
        <v>3.3102</v>
      </c>
      <c r="BW9" s="7">
        <v>3.4672000000000001</v>
      </c>
      <c r="BX9" s="7">
        <v>3.3997000000000002</v>
      </c>
      <c r="BY9" s="7">
        <v>3.2797000000000001</v>
      </c>
      <c r="BZ9" s="7">
        <v>3.1349</v>
      </c>
      <c r="CA9" s="7">
        <v>4.1029999999999998</v>
      </c>
      <c r="CB9" s="7">
        <v>3.8485</v>
      </c>
      <c r="CC9" s="7">
        <v>3.6936999999999998</v>
      </c>
      <c r="CD9" s="7">
        <v>3.7281</v>
      </c>
      <c r="CE9" s="7">
        <v>3.9750999999999999</v>
      </c>
      <c r="CF9" s="7">
        <v>3.8224</v>
      </c>
      <c r="CG9" s="7">
        <v>3.8087</v>
      </c>
      <c r="CH9" s="7">
        <v>4.3651999999999997</v>
      </c>
      <c r="CI9" s="7" t="e">
        <v>#NAME?</v>
      </c>
      <c r="CJ9"/>
      <c r="CK9" s="7">
        <v>4451.2749999999996</v>
      </c>
      <c r="CL9" s="7">
        <v>4622.2148999999999</v>
      </c>
      <c r="CM9" s="7">
        <v>4484.3293000000003</v>
      </c>
      <c r="CN9" s="7">
        <v>4998.4508999999998</v>
      </c>
      <c r="CO9" s="7">
        <v>5552.4935999999998</v>
      </c>
      <c r="CP9" s="7">
        <v>5917.7902000000004</v>
      </c>
      <c r="CQ9" s="7">
        <v>5818.09</v>
      </c>
      <c r="CR9" s="7">
        <v>5809.6652999999997</v>
      </c>
      <c r="CS9" s="7">
        <v>5960.5571</v>
      </c>
      <c r="CT9" s="7">
        <v>6116.8562000000002</v>
      </c>
      <c r="CU9" s="7">
        <v>6588.7061999999996</v>
      </c>
      <c r="CV9" s="7">
        <v>6978.7209000000003</v>
      </c>
      <c r="CW9" s="7">
        <v>6985.9123</v>
      </c>
      <c r="CX9" s="7">
        <v>7348.451</v>
      </c>
      <c r="CY9" s="7">
        <v>7814.3378000000002</v>
      </c>
      <c r="CZ9" s="7" t="s">
        <v>72</v>
      </c>
      <c r="DA9" s="7"/>
      <c r="DB9" s="7">
        <v>7.4126000000000003</v>
      </c>
      <c r="DC9" s="7">
        <v>7.5354000000000001</v>
      </c>
      <c r="DD9" s="7">
        <v>7.1901000000000002</v>
      </c>
      <c r="DE9" s="7">
        <v>7.7282000000000002</v>
      </c>
      <c r="DF9" s="7">
        <v>8.4344000000000001</v>
      </c>
      <c r="DG9" s="7">
        <v>8.9080999999999992</v>
      </c>
      <c r="DH9" s="7">
        <v>8.6053999999999995</v>
      </c>
      <c r="DI9" s="7">
        <v>8.8725000000000005</v>
      </c>
      <c r="DJ9" s="7">
        <v>8.7789999999999999</v>
      </c>
      <c r="DK9" s="7">
        <v>8.7388999999999992</v>
      </c>
      <c r="DL9" s="7">
        <v>9.2135999999999996</v>
      </c>
      <c r="DM9" s="7">
        <v>9.1631999999999998</v>
      </c>
      <c r="DN9" s="7">
        <v>9.0927000000000007</v>
      </c>
      <c r="DO9" s="7">
        <v>9.4709000000000003</v>
      </c>
      <c r="DP9" s="7">
        <v>9.0739999999999998</v>
      </c>
      <c r="DQ9" s="7" t="s">
        <v>72</v>
      </c>
      <c r="DR9" s="7"/>
      <c r="DS9" s="7">
        <v>3.7174</v>
      </c>
      <c r="DT9" s="7">
        <v>3.7635999999999998</v>
      </c>
      <c r="DU9" s="7">
        <v>3.5629</v>
      </c>
      <c r="DV9" s="7">
        <v>3.8973</v>
      </c>
      <c r="DW9" s="7">
        <v>4.2744999999999997</v>
      </c>
      <c r="DX9" s="7">
        <v>4.5049999999999999</v>
      </c>
      <c r="DY9" s="7">
        <v>4.3735999999999997</v>
      </c>
      <c r="DZ9" s="7">
        <v>4.3137999999999996</v>
      </c>
      <c r="EA9" s="7">
        <v>4.3310000000000004</v>
      </c>
      <c r="EB9" s="7">
        <v>4.3422999999999998</v>
      </c>
      <c r="EC9" s="7">
        <v>4.5966000000000005</v>
      </c>
      <c r="ED9" s="7">
        <v>4.7938000000000001</v>
      </c>
      <c r="EE9" s="7">
        <v>4.6923000000000004</v>
      </c>
      <c r="EF9" s="7">
        <v>4.8017000000000003</v>
      </c>
      <c r="EG9" s="7">
        <v>4.9602000000000004</v>
      </c>
      <c r="EH9" s="7" t="s">
        <v>72</v>
      </c>
      <c r="EI9" s="7"/>
      <c r="EJ9" s="7">
        <v>5.4764999999999997</v>
      </c>
      <c r="EK9" s="7">
        <v>6.0327999999999999</v>
      </c>
      <c r="EL9" s="7">
        <v>6.7022000000000004</v>
      </c>
      <c r="EM9" s="7">
        <v>8.3765000000000001</v>
      </c>
      <c r="EN9" s="7">
        <v>23.3293</v>
      </c>
      <c r="EO9" s="7">
        <v>19.748200000000001</v>
      </c>
      <c r="EP9" s="7">
        <v>18.382000000000001</v>
      </c>
      <c r="EQ9" s="7">
        <v>42.266300000000001</v>
      </c>
      <c r="ER9" s="7" t="s">
        <v>72</v>
      </c>
      <c r="ES9" s="7" t="s">
        <v>72</v>
      </c>
      <c r="ET9" s="7" t="s">
        <v>72</v>
      </c>
      <c r="EU9" s="7" t="s">
        <v>72</v>
      </c>
      <c r="EV9" s="7">
        <v>96.481399999999994</v>
      </c>
      <c r="EW9" s="7" t="s">
        <v>72</v>
      </c>
      <c r="EX9" s="7" t="s">
        <v>72</v>
      </c>
      <c r="EY9" s="7" t="s">
        <v>72</v>
      </c>
      <c r="EZ9" s="7"/>
      <c r="FA9" s="7">
        <v>3.5528</v>
      </c>
      <c r="FB9" s="7">
        <v>3.8120000000000003</v>
      </c>
      <c r="FC9" s="7">
        <v>10.048500000000001</v>
      </c>
      <c r="FD9" s="7">
        <v>10.6</v>
      </c>
      <c r="FE9" s="7">
        <v>9.6486000000000001</v>
      </c>
      <c r="FF9" s="7">
        <v>8.5795999999999992</v>
      </c>
      <c r="FG9" s="7" t="s">
        <v>72</v>
      </c>
      <c r="FH9" s="7" t="s">
        <v>72</v>
      </c>
      <c r="FI9" s="7" t="s">
        <v>72</v>
      </c>
      <c r="FJ9" s="7" t="s">
        <v>72</v>
      </c>
      <c r="FK9" s="7" t="s">
        <v>72</v>
      </c>
      <c r="FL9" s="7" t="s">
        <v>72</v>
      </c>
      <c r="FM9" s="7" t="s">
        <v>72</v>
      </c>
      <c r="FN9" s="7" t="s">
        <v>72</v>
      </c>
      <c r="FO9" s="7" t="s">
        <v>72</v>
      </c>
      <c r="FP9" s="7" t="s">
        <v>72</v>
      </c>
      <c r="FQ9" s="7"/>
      <c r="FR9" s="692">
        <v>40.203000000000003</v>
      </c>
      <c r="FS9" s="692">
        <v>199.9</v>
      </c>
      <c r="FT9" s="692">
        <v>74.486000000000004</v>
      </c>
      <c r="FU9" s="692">
        <v>217.2</v>
      </c>
      <c r="FV9" s="692">
        <v>97.641000000000005</v>
      </c>
      <c r="FW9" s="692">
        <v>725.5</v>
      </c>
      <c r="FX9" s="692">
        <v>125.925</v>
      </c>
      <c r="FY9" s="692">
        <v>283.10000000000002</v>
      </c>
      <c r="FZ9" s="692">
        <v>65.355000000000004</v>
      </c>
      <c r="GA9" s="692">
        <v>432.2</v>
      </c>
      <c r="GB9" s="692">
        <v>204.721</v>
      </c>
      <c r="GC9" s="692">
        <v>813.2</v>
      </c>
      <c r="GD9" s="692">
        <v>906.3</v>
      </c>
      <c r="GE9" s="692">
        <v>898.8</v>
      </c>
      <c r="GF9" s="692">
        <v>114.05200000000001</v>
      </c>
      <c r="GG9" s="692" t="s">
        <v>72</v>
      </c>
      <c r="GH9" s="7"/>
      <c r="GI9" s="7">
        <v>360.05599999999998</v>
      </c>
      <c r="GJ9" s="7">
        <v>376.4</v>
      </c>
      <c r="GK9" s="7">
        <v>138.29900000000001</v>
      </c>
      <c r="GL9" s="7">
        <v>164.6</v>
      </c>
      <c r="GM9" s="7">
        <v>217.47200000000001</v>
      </c>
      <c r="GN9" s="7">
        <v>275.89999999999998</v>
      </c>
      <c r="GO9" s="7">
        <v>-210</v>
      </c>
      <c r="GP9" s="7">
        <v>-258</v>
      </c>
      <c r="GQ9" s="7">
        <v>-248.233</v>
      </c>
      <c r="GR9" s="7">
        <v>-280</v>
      </c>
      <c r="GS9" s="7">
        <v>-740.82799999999997</v>
      </c>
      <c r="GT9" s="7">
        <v>-721.3</v>
      </c>
      <c r="GU9" s="7">
        <v>-714.21600000000001</v>
      </c>
      <c r="GV9" s="7">
        <v>-671.4</v>
      </c>
      <c r="GW9" s="7">
        <v>-1491.5</v>
      </c>
      <c r="GX9" s="7" t="s">
        <v>72</v>
      </c>
      <c r="GY9" s="7"/>
      <c r="GZ9" s="7">
        <v>144.81399999999999</v>
      </c>
      <c r="HA9" s="7">
        <v>161.6</v>
      </c>
      <c r="HB9" s="7">
        <v>165.17</v>
      </c>
      <c r="HC9" s="7">
        <v>175.2</v>
      </c>
      <c r="HD9" s="7">
        <v>156.34899999999999</v>
      </c>
      <c r="HE9" s="7">
        <v>167.6</v>
      </c>
      <c r="HF9" s="7">
        <v>176.947</v>
      </c>
      <c r="HG9" s="7">
        <v>153.9</v>
      </c>
      <c r="HH9" s="7">
        <v>180.50700000000001</v>
      </c>
      <c r="HI9" s="7">
        <v>188.6</v>
      </c>
      <c r="HJ9" s="7">
        <v>192.1</v>
      </c>
      <c r="HK9" s="7">
        <v>200.4</v>
      </c>
      <c r="HL9" s="7">
        <v>187.2</v>
      </c>
      <c r="HM9" s="7">
        <v>196.2</v>
      </c>
      <c r="HN9" s="7">
        <v>277.38200000000001</v>
      </c>
      <c r="HO9" s="7" t="s">
        <v>72</v>
      </c>
      <c r="HP9" s="7"/>
      <c r="HQ9" s="216">
        <v>6.7294</v>
      </c>
      <c r="HR9" s="216">
        <v>5.7431000000000001</v>
      </c>
      <c r="HS9" s="216">
        <v>5.7416999999999998</v>
      </c>
      <c r="HT9" s="216">
        <v>5.7271000000000001</v>
      </c>
      <c r="HU9" s="216">
        <v>5.5990000000000002</v>
      </c>
      <c r="HV9" s="216">
        <v>6.3922999999999996</v>
      </c>
      <c r="HW9" s="216">
        <v>6.8342999999999998</v>
      </c>
      <c r="HX9" s="216">
        <v>7.4036999999999997</v>
      </c>
      <c r="HY9" s="216">
        <v>6.3003</v>
      </c>
      <c r="HZ9" s="216">
        <v>6.3733000000000004</v>
      </c>
      <c r="IA9" s="216">
        <v>5.8521999999999998</v>
      </c>
      <c r="IB9" s="216">
        <v>5.6871999999999998</v>
      </c>
      <c r="IC9" s="216">
        <v>5.2569999999999997</v>
      </c>
      <c r="ID9" s="216">
        <v>5.3704999999999998</v>
      </c>
      <c r="IE9" s="216">
        <v>5.3070000000000004</v>
      </c>
      <c r="IF9" s="216" t="s">
        <v>72</v>
      </c>
      <c r="IG9" s="7"/>
    </row>
    <row r="10" spans="1:242">
      <c r="A10" s="11" t="s">
        <v>539</v>
      </c>
      <c r="B10" s="7" t="s">
        <v>13</v>
      </c>
      <c r="C10" s="7"/>
      <c r="D10" s="7">
        <v>48433.336499999998</v>
      </c>
      <c r="E10" s="7">
        <v>48336.4</v>
      </c>
      <c r="F10" s="7">
        <v>43503.676299999999</v>
      </c>
      <c r="G10" s="7">
        <v>45364.9</v>
      </c>
      <c r="H10" s="7">
        <v>39571.942900000002</v>
      </c>
      <c r="I10" s="7">
        <v>35194.5</v>
      </c>
      <c r="J10" s="7">
        <v>38725.5</v>
      </c>
      <c r="K10" s="7">
        <v>37562.25</v>
      </c>
      <c r="L10" s="7">
        <v>37614.110399999998</v>
      </c>
      <c r="M10" s="7">
        <v>33478.5</v>
      </c>
      <c r="N10" s="7">
        <v>33660</v>
      </c>
      <c r="O10" s="7">
        <v>34864.5</v>
      </c>
      <c r="P10" s="7">
        <v>33033</v>
      </c>
      <c r="Q10" s="7">
        <v>36869.25</v>
      </c>
      <c r="R10" s="7">
        <v>37709.279999999999</v>
      </c>
      <c r="S10" s="7" t="s">
        <v>72</v>
      </c>
      <c r="T10" s="7"/>
      <c r="U10" s="7">
        <v>33635</v>
      </c>
      <c r="V10" s="7">
        <v>33669</v>
      </c>
      <c r="W10" s="7">
        <v>32963</v>
      </c>
      <c r="X10" s="7">
        <v>31227</v>
      </c>
      <c r="Y10" s="7">
        <v>22813</v>
      </c>
      <c r="Z10" s="7">
        <v>21766</v>
      </c>
      <c r="AA10" s="7">
        <v>21303</v>
      </c>
      <c r="AB10" s="7">
        <v>21761</v>
      </c>
      <c r="AC10" s="7">
        <v>21731</v>
      </c>
      <c r="AD10" s="7">
        <v>22553</v>
      </c>
      <c r="AE10" s="7">
        <v>23061</v>
      </c>
      <c r="AF10" s="7">
        <v>23764</v>
      </c>
      <c r="AG10" s="7">
        <v>22971</v>
      </c>
      <c r="AH10" s="7">
        <v>23624</v>
      </c>
      <c r="AI10" s="7">
        <v>23058</v>
      </c>
      <c r="AJ10" s="7" t="s">
        <v>72</v>
      </c>
      <c r="AK10" s="7"/>
      <c r="AL10" s="7">
        <v>8817</v>
      </c>
      <c r="AM10" s="7" t="s">
        <v>72</v>
      </c>
      <c r="AN10" s="7" t="s">
        <v>72</v>
      </c>
      <c r="AO10" s="7" t="s">
        <v>72</v>
      </c>
      <c r="AP10" s="7">
        <v>8613</v>
      </c>
      <c r="AQ10" s="7" t="s">
        <v>72</v>
      </c>
      <c r="AR10" s="7" t="s">
        <v>72</v>
      </c>
      <c r="AS10" s="7" t="s">
        <v>72</v>
      </c>
      <c r="AT10" s="7">
        <v>8438</v>
      </c>
      <c r="AU10" s="7" t="s">
        <v>72</v>
      </c>
      <c r="AV10" s="7" t="s">
        <v>72</v>
      </c>
      <c r="AW10" s="7" t="s">
        <v>72</v>
      </c>
      <c r="AX10" s="7">
        <v>7978</v>
      </c>
      <c r="AY10" s="7" t="s">
        <v>72</v>
      </c>
      <c r="AZ10" s="7" t="s">
        <v>72</v>
      </c>
      <c r="BA10" s="7" t="s">
        <v>72</v>
      </c>
      <c r="BB10" s="7"/>
      <c r="BC10" s="7" t="s">
        <v>72</v>
      </c>
      <c r="BD10" s="7" t="s">
        <v>72</v>
      </c>
      <c r="BE10" s="7" t="s">
        <v>72</v>
      </c>
      <c r="BF10" s="7" t="s">
        <v>72</v>
      </c>
      <c r="BG10" s="7" t="s">
        <v>72</v>
      </c>
      <c r="BH10" s="7" t="s">
        <v>72</v>
      </c>
      <c r="BI10" s="7" t="s">
        <v>72</v>
      </c>
      <c r="BJ10" s="7" t="s">
        <v>72</v>
      </c>
      <c r="BK10" s="7" t="s">
        <v>72</v>
      </c>
      <c r="BL10" s="7" t="s">
        <v>72</v>
      </c>
      <c r="BM10" s="7" t="s">
        <v>72</v>
      </c>
      <c r="BN10" s="7" t="s">
        <v>72</v>
      </c>
      <c r="BO10" s="7" t="s">
        <v>72</v>
      </c>
      <c r="BP10" s="7" t="s">
        <v>72</v>
      </c>
      <c r="BQ10" s="7" t="s">
        <v>72</v>
      </c>
      <c r="BR10" s="7" t="s">
        <v>72</v>
      </c>
      <c r="BS10" s="7"/>
      <c r="BT10" s="7">
        <v>3.1884999999999999</v>
      </c>
      <c r="BU10" s="7">
        <v>3.3224</v>
      </c>
      <c r="BV10" s="7">
        <v>3.2050000000000001</v>
      </c>
      <c r="BW10" s="7">
        <v>3.0272999999999999</v>
      </c>
      <c r="BX10" s="7">
        <v>2.117</v>
      </c>
      <c r="BY10" s="7">
        <v>2.0137</v>
      </c>
      <c r="BZ10" s="7">
        <v>2.1109</v>
      </c>
      <c r="CA10" s="7">
        <v>2.1484000000000001</v>
      </c>
      <c r="CB10" s="7">
        <v>1.9864000000000002</v>
      </c>
      <c r="CC10" s="7">
        <v>2.0720999999999998</v>
      </c>
      <c r="CD10" s="7">
        <v>2.1252</v>
      </c>
      <c r="CE10" s="7">
        <v>2.2174</v>
      </c>
      <c r="CF10" s="7">
        <v>2.1798000000000002</v>
      </c>
      <c r="CG10" s="7">
        <v>2.2622</v>
      </c>
      <c r="CH10" s="7">
        <v>2.2195</v>
      </c>
      <c r="CI10" s="7" t="s">
        <v>72</v>
      </c>
      <c r="CJ10"/>
      <c r="CK10" s="7">
        <v>82068.336500000005</v>
      </c>
      <c r="CL10" s="7">
        <v>82005.399999999994</v>
      </c>
      <c r="CM10" s="7">
        <v>76466.676300000006</v>
      </c>
      <c r="CN10" s="7">
        <v>76591.899999999994</v>
      </c>
      <c r="CO10" s="7">
        <v>62384.942900000002</v>
      </c>
      <c r="CP10" s="7">
        <v>56960.5</v>
      </c>
      <c r="CQ10" s="7">
        <v>60028.5</v>
      </c>
      <c r="CR10" s="7">
        <v>59323.25</v>
      </c>
      <c r="CS10" s="7">
        <v>59345.110399999998</v>
      </c>
      <c r="CT10" s="7">
        <v>56031.5</v>
      </c>
      <c r="CU10" s="7">
        <v>56721</v>
      </c>
      <c r="CV10" s="7">
        <v>58628.5</v>
      </c>
      <c r="CW10" s="7">
        <v>56004</v>
      </c>
      <c r="CX10" s="7">
        <v>60493.25</v>
      </c>
      <c r="CY10" s="7">
        <v>60767.28</v>
      </c>
      <c r="CZ10" s="7" t="s">
        <v>72</v>
      </c>
      <c r="DA10" s="7"/>
      <c r="DB10" s="7">
        <v>7.7797000000000001</v>
      </c>
      <c r="DC10" s="7">
        <v>8.0921000000000003</v>
      </c>
      <c r="DD10" s="7">
        <v>7.4348000000000001</v>
      </c>
      <c r="DE10" s="7">
        <v>7.4253</v>
      </c>
      <c r="DF10" s="7">
        <v>5.7892000000000001</v>
      </c>
      <c r="DG10" s="7">
        <v>5.2697000000000003</v>
      </c>
      <c r="DH10" s="7">
        <v>5.9481000000000002</v>
      </c>
      <c r="DI10" s="7">
        <v>5.8567999999999998</v>
      </c>
      <c r="DJ10" s="7">
        <v>5.4245999999999999</v>
      </c>
      <c r="DK10" s="7">
        <v>5.1481000000000003</v>
      </c>
      <c r="DL10" s="7">
        <v>5.2272999999999996</v>
      </c>
      <c r="DM10" s="7">
        <v>5.4706000000000001</v>
      </c>
      <c r="DN10" s="7">
        <v>5.3144999999999998</v>
      </c>
      <c r="DO10" s="7">
        <v>5.7927</v>
      </c>
      <c r="DP10" s="7">
        <v>5.8491999999999997</v>
      </c>
      <c r="DQ10" s="7" t="s">
        <v>72</v>
      </c>
      <c r="DR10" s="7"/>
      <c r="DS10" s="7">
        <v>3.1469</v>
      </c>
      <c r="DT10" s="7">
        <v>3.4558</v>
      </c>
      <c r="DU10" s="7">
        <v>3.1909000000000001</v>
      </c>
      <c r="DV10" s="7">
        <v>3.2008999999999999</v>
      </c>
      <c r="DW10" s="7">
        <v>2.1667000000000001</v>
      </c>
      <c r="DX10" s="7">
        <v>1.9742</v>
      </c>
      <c r="DY10" s="7">
        <v>2.2894000000000001</v>
      </c>
      <c r="DZ10" s="7">
        <v>2.2618</v>
      </c>
      <c r="EA10" s="7">
        <v>2.2561</v>
      </c>
      <c r="EB10" s="7">
        <v>2.0871</v>
      </c>
      <c r="EC10" s="7">
        <v>2.1507000000000001</v>
      </c>
      <c r="ED10" s="7">
        <v>2.2332000000000001</v>
      </c>
      <c r="EE10" s="7">
        <v>2.1444000000000001</v>
      </c>
      <c r="EF10" s="7">
        <v>2.3525999999999998</v>
      </c>
      <c r="EG10" s="7">
        <v>2.4035000000000002</v>
      </c>
      <c r="EH10" s="7" t="s">
        <v>72</v>
      </c>
      <c r="EI10" s="7"/>
      <c r="EJ10" s="7" t="s">
        <v>72</v>
      </c>
      <c r="EK10" s="7" t="s">
        <v>72</v>
      </c>
      <c r="EL10" s="7" t="s">
        <v>72</v>
      </c>
      <c r="EM10" s="7" t="s">
        <v>72</v>
      </c>
      <c r="EN10" s="7" t="s">
        <v>72</v>
      </c>
      <c r="EO10" s="7">
        <v>19.610199999999999</v>
      </c>
      <c r="EP10" s="7">
        <v>21.346900000000002</v>
      </c>
      <c r="EQ10" s="7">
        <v>15.940099999999999</v>
      </c>
      <c r="ER10" s="7" t="s">
        <v>72</v>
      </c>
      <c r="ES10" s="7" t="s">
        <v>72</v>
      </c>
      <c r="ET10" s="7" t="s">
        <v>72</v>
      </c>
      <c r="EU10" s="7" t="s">
        <v>72</v>
      </c>
      <c r="EV10" s="7" t="s">
        <v>72</v>
      </c>
      <c r="EW10" s="7" t="s">
        <v>72</v>
      </c>
      <c r="EX10" s="7" t="s">
        <v>72</v>
      </c>
      <c r="EY10" s="7" t="s">
        <v>72</v>
      </c>
      <c r="EZ10" s="7"/>
      <c r="FA10" s="7" t="s">
        <v>72</v>
      </c>
      <c r="FB10" s="7">
        <v>1.7650999999999999</v>
      </c>
      <c r="FC10" s="7">
        <v>1.4973000000000001</v>
      </c>
      <c r="FD10" s="7">
        <v>1.5802</v>
      </c>
      <c r="FE10" s="7" t="s">
        <v>72</v>
      </c>
      <c r="FF10" s="7">
        <v>1.5804</v>
      </c>
      <c r="FG10" s="7">
        <v>1.8797000000000001</v>
      </c>
      <c r="FH10" s="7">
        <v>1.8462000000000001</v>
      </c>
      <c r="FI10" s="7" t="s">
        <v>72</v>
      </c>
      <c r="FJ10" s="7" t="s">
        <v>72</v>
      </c>
      <c r="FK10" s="7" t="s">
        <v>72</v>
      </c>
      <c r="FL10" s="7" t="s">
        <v>72</v>
      </c>
      <c r="FM10" s="7" t="s">
        <v>72</v>
      </c>
      <c r="FN10" s="7" t="s">
        <v>72</v>
      </c>
      <c r="FO10" s="7" t="s">
        <v>72</v>
      </c>
      <c r="FP10" s="7">
        <v>1.7783</v>
      </c>
      <c r="FQ10" s="7"/>
      <c r="FR10" s="7">
        <v>763</v>
      </c>
      <c r="FS10" s="7">
        <v>545</v>
      </c>
      <c r="FT10" s="7">
        <v>411</v>
      </c>
      <c r="FU10" s="7">
        <v>594</v>
      </c>
      <c r="FV10" s="7">
        <v>831</v>
      </c>
      <c r="FW10" s="7">
        <v>507</v>
      </c>
      <c r="FX10" s="7">
        <v>1067</v>
      </c>
      <c r="FY10" s="7">
        <v>910</v>
      </c>
      <c r="FZ10" s="7">
        <v>1489</v>
      </c>
      <c r="GA10" s="7">
        <v>4051</v>
      </c>
      <c r="GB10" s="7">
        <v>911</v>
      </c>
      <c r="GC10" s="7">
        <v>262</v>
      </c>
      <c r="GD10" s="7">
        <v>973</v>
      </c>
      <c r="GE10" s="7">
        <v>221</v>
      </c>
      <c r="GF10" s="7">
        <v>431</v>
      </c>
      <c r="GG10" s="7" t="s">
        <v>72</v>
      </c>
      <c r="GH10" s="7"/>
      <c r="GI10" s="7">
        <v>27078</v>
      </c>
      <c r="GJ10" s="7">
        <v>27384</v>
      </c>
      <c r="GK10" s="7">
        <v>29055</v>
      </c>
      <c r="GL10" s="7">
        <v>28708</v>
      </c>
      <c r="GM10" s="7">
        <v>20855</v>
      </c>
      <c r="GN10" s="7">
        <v>22269</v>
      </c>
      <c r="GO10" s="7">
        <v>20602</v>
      </c>
      <c r="GP10" s="7">
        <v>20346</v>
      </c>
      <c r="GQ10" s="7">
        <v>22244</v>
      </c>
      <c r="GR10" s="7">
        <v>20625</v>
      </c>
      <c r="GS10" s="7">
        <v>21268</v>
      </c>
      <c r="GT10" s="7">
        <v>21346</v>
      </c>
      <c r="GU10" s="7">
        <v>21513</v>
      </c>
      <c r="GV10" s="7">
        <v>20494</v>
      </c>
      <c r="GW10" s="7">
        <v>21301</v>
      </c>
      <c r="GX10" s="7" t="s">
        <v>72</v>
      </c>
      <c r="GY10" s="7"/>
      <c r="GZ10" s="7">
        <v>1502</v>
      </c>
      <c r="HA10" s="7">
        <v>2679</v>
      </c>
      <c r="HB10" s="7">
        <v>3350</v>
      </c>
      <c r="HC10" s="7">
        <v>2784</v>
      </c>
      <c r="HD10" s="7">
        <v>1963</v>
      </c>
      <c r="HE10" s="7">
        <v>2712</v>
      </c>
      <c r="HF10" s="7">
        <v>2633</v>
      </c>
      <c r="HG10" s="7">
        <v>2821</v>
      </c>
      <c r="HH10" s="7">
        <v>2774</v>
      </c>
      <c r="HI10" s="7">
        <v>2656</v>
      </c>
      <c r="HJ10" s="7">
        <v>2600</v>
      </c>
      <c r="HK10" s="7">
        <v>2687</v>
      </c>
      <c r="HL10" s="7">
        <v>2595</v>
      </c>
      <c r="HM10" s="7">
        <v>2561</v>
      </c>
      <c r="HN10" s="7">
        <v>2546</v>
      </c>
      <c r="HO10" s="7" t="s">
        <v>72</v>
      </c>
      <c r="HP10" s="7"/>
      <c r="HQ10" s="216">
        <v>5.8493000000000004</v>
      </c>
      <c r="HR10" s="216">
        <v>6.3597999999999999</v>
      </c>
      <c r="HS10" s="216">
        <v>6.1060999999999996</v>
      </c>
      <c r="HT10" s="216">
        <v>6.2808999999999999</v>
      </c>
      <c r="HU10" s="216">
        <v>6.1692</v>
      </c>
      <c r="HV10" s="216">
        <v>6.2121000000000004</v>
      </c>
      <c r="HW10" s="216">
        <v>6.5754000000000001</v>
      </c>
      <c r="HX10" s="216">
        <v>6.4329999999999998</v>
      </c>
      <c r="HY10" s="216">
        <v>5.2751000000000001</v>
      </c>
      <c r="HZ10" s="216">
        <v>6.8921000000000001</v>
      </c>
      <c r="IA10" s="216">
        <v>6.2957999999999998</v>
      </c>
      <c r="IB10" s="216">
        <v>6.5667999999999997</v>
      </c>
      <c r="IC10" s="216">
        <v>5.7587000000000002</v>
      </c>
      <c r="ID10" s="216">
        <v>5.9950999999999999</v>
      </c>
      <c r="IE10" s="216">
        <v>6.0989000000000004</v>
      </c>
      <c r="IF10" s="216" t="s">
        <v>72</v>
      </c>
      <c r="IG10" s="7"/>
    </row>
    <row r="11" spans="1:242">
      <c r="A11" s="12" t="s">
        <v>217</v>
      </c>
      <c r="B11" s="7" t="s">
        <v>9</v>
      </c>
      <c r="C11" s="7"/>
      <c r="D11" s="7">
        <v>88965.659</v>
      </c>
      <c r="E11" s="7">
        <v>80052.489799999996</v>
      </c>
      <c r="F11" s="7">
        <v>69623.667400000006</v>
      </c>
      <c r="G11" s="7">
        <v>82904.987299999993</v>
      </c>
      <c r="H11" s="7">
        <v>76491.648499999996</v>
      </c>
      <c r="I11" s="7">
        <v>80622.989300000001</v>
      </c>
      <c r="J11" s="7">
        <v>76948.972599999994</v>
      </c>
      <c r="K11" s="7">
        <v>65835.642300000007</v>
      </c>
      <c r="L11" s="7">
        <v>59961.950599999996</v>
      </c>
      <c r="M11" s="7">
        <v>54950.805</v>
      </c>
      <c r="N11" s="7">
        <v>46913.88</v>
      </c>
      <c r="O11" s="7">
        <v>47216.625</v>
      </c>
      <c r="P11" s="7">
        <v>45887.371299999999</v>
      </c>
      <c r="Q11" s="7">
        <v>47740.247900000002</v>
      </c>
      <c r="R11" s="7">
        <v>44430.485000000001</v>
      </c>
      <c r="S11" s="7" t="s">
        <v>72</v>
      </c>
      <c r="T11" s="7"/>
      <c r="U11" s="7">
        <v>45772</v>
      </c>
      <c r="V11" s="7">
        <v>48411</v>
      </c>
      <c r="W11" s="7">
        <v>52897</v>
      </c>
      <c r="X11" s="7">
        <v>54502</v>
      </c>
      <c r="Y11" s="7">
        <v>55306</v>
      </c>
      <c r="Z11" s="7">
        <v>53185</v>
      </c>
      <c r="AA11" s="7">
        <v>54652.654999999999</v>
      </c>
      <c r="AB11" s="7">
        <v>55568</v>
      </c>
      <c r="AC11" s="7">
        <v>59551</v>
      </c>
      <c r="AD11" s="7">
        <v>59505</v>
      </c>
      <c r="AE11" s="7">
        <v>62058</v>
      </c>
      <c r="AF11" s="7">
        <v>59435</v>
      </c>
      <c r="AG11" s="7">
        <v>55134</v>
      </c>
      <c r="AH11" s="7">
        <v>55359</v>
      </c>
      <c r="AI11" s="7">
        <v>52965</v>
      </c>
      <c r="AJ11" s="7" t="s">
        <v>72</v>
      </c>
      <c r="AK11" s="7"/>
      <c r="AL11" s="7">
        <v>6547</v>
      </c>
      <c r="AM11" s="7" t="s">
        <v>72</v>
      </c>
      <c r="AN11" s="7" t="s">
        <v>72</v>
      </c>
      <c r="AO11" s="7" t="s">
        <v>72</v>
      </c>
      <c r="AP11" s="7">
        <v>8842</v>
      </c>
      <c r="AQ11" s="7" t="s">
        <v>72</v>
      </c>
      <c r="AR11" s="7" t="s">
        <v>72</v>
      </c>
      <c r="AS11" s="7" t="s">
        <v>72</v>
      </c>
      <c r="AT11" s="7">
        <v>9613</v>
      </c>
      <c r="AU11" s="7" t="s">
        <v>72</v>
      </c>
      <c r="AV11" s="7" t="s">
        <v>72</v>
      </c>
      <c r="AW11" s="7" t="s">
        <v>72</v>
      </c>
      <c r="AX11" s="7">
        <v>10128</v>
      </c>
      <c r="AY11" s="7" t="s">
        <v>72</v>
      </c>
      <c r="AZ11" s="7" t="s">
        <v>72</v>
      </c>
      <c r="BA11" s="7" t="s">
        <v>72</v>
      </c>
      <c r="BB11" s="7"/>
      <c r="BC11" s="7" t="s">
        <v>72</v>
      </c>
      <c r="BD11" s="7" t="s">
        <v>72</v>
      </c>
      <c r="BE11" s="7">
        <v>5.0190999999999999</v>
      </c>
      <c r="BF11" s="7" t="s">
        <v>72</v>
      </c>
      <c r="BG11" s="7" t="s">
        <v>72</v>
      </c>
      <c r="BH11" s="7" t="s">
        <v>72</v>
      </c>
      <c r="BI11" s="7" t="s">
        <v>72</v>
      </c>
      <c r="BJ11" s="7" t="s">
        <v>72</v>
      </c>
      <c r="BK11" s="7" t="s">
        <v>72</v>
      </c>
      <c r="BL11" s="7" t="s">
        <v>72</v>
      </c>
      <c r="BM11" s="7" t="s">
        <v>72</v>
      </c>
      <c r="BN11" s="7" t="s">
        <v>72</v>
      </c>
      <c r="BO11" s="7" t="s">
        <v>72</v>
      </c>
      <c r="BP11" s="7" t="s">
        <v>72</v>
      </c>
      <c r="BQ11" s="7" t="s">
        <v>72</v>
      </c>
      <c r="BR11" s="7" t="s">
        <v>72</v>
      </c>
      <c r="BS11" s="7"/>
      <c r="BT11" s="7">
        <v>2.0251000000000001</v>
      </c>
      <c r="BU11" s="7">
        <v>2.1671999999999998</v>
      </c>
      <c r="BV11" s="7">
        <v>2.3589000000000002</v>
      </c>
      <c r="BW11" s="7">
        <v>2.4390000000000001</v>
      </c>
      <c r="BX11" s="7">
        <v>2.1456</v>
      </c>
      <c r="BY11" s="7">
        <v>2.0360999999999998</v>
      </c>
      <c r="BZ11" s="7">
        <v>2.0962999999999998</v>
      </c>
      <c r="CA11" s="7">
        <v>2.379</v>
      </c>
      <c r="CB11" s="7">
        <v>3.0708000000000002</v>
      </c>
      <c r="CC11" s="7">
        <v>3.1507000000000001</v>
      </c>
      <c r="CD11" s="7">
        <v>3.3624999999999998</v>
      </c>
      <c r="CE11" s="7">
        <v>2.8433999999999999</v>
      </c>
      <c r="CF11" s="7">
        <v>2.5998000000000001</v>
      </c>
      <c r="CG11" s="7">
        <v>2.6635999999999997</v>
      </c>
      <c r="CH11" s="7">
        <v>2.6076000000000001</v>
      </c>
      <c r="CI11" s="7" t="s">
        <v>72</v>
      </c>
      <c r="CJ11"/>
      <c r="CK11" s="7">
        <v>137277.65900000001</v>
      </c>
      <c r="CL11" s="7">
        <v>131144.48980000001</v>
      </c>
      <c r="CM11" s="7">
        <v>125135.6675</v>
      </c>
      <c r="CN11" s="7">
        <v>146819.98730000001</v>
      </c>
      <c r="CO11" s="7">
        <v>139029.64850000001</v>
      </c>
      <c r="CP11" s="7">
        <v>140089.98929999999</v>
      </c>
      <c r="CQ11" s="7">
        <v>137325.4656</v>
      </c>
      <c r="CR11" s="7">
        <v>126630.64230000001</v>
      </c>
      <c r="CS11" s="7">
        <v>125259.9506</v>
      </c>
      <c r="CT11" s="7">
        <v>120343.80499999999</v>
      </c>
      <c r="CU11" s="7">
        <v>114297.88</v>
      </c>
      <c r="CV11" s="7">
        <v>111955.625</v>
      </c>
      <c r="CW11" s="7">
        <v>108221.3713</v>
      </c>
      <c r="CX11" s="7">
        <v>110361.2479</v>
      </c>
      <c r="CY11" s="7">
        <v>103853.485</v>
      </c>
      <c r="CZ11" s="7" t="s">
        <v>72</v>
      </c>
      <c r="DA11" s="7"/>
      <c r="DB11" s="7">
        <v>6.0735000000000001</v>
      </c>
      <c r="DC11" s="7">
        <v>5.8710000000000004</v>
      </c>
      <c r="DD11" s="7">
        <v>5.5803000000000003</v>
      </c>
      <c r="DE11" s="7">
        <v>6.5702999999999996</v>
      </c>
      <c r="DF11" s="7">
        <v>5.3936000000000002</v>
      </c>
      <c r="DG11" s="7">
        <v>5.3631000000000002</v>
      </c>
      <c r="DH11" s="7">
        <v>5.2674000000000003</v>
      </c>
      <c r="DI11" s="7">
        <v>5.4214000000000002</v>
      </c>
      <c r="DJ11" s="7">
        <v>6.4592000000000001</v>
      </c>
      <c r="DK11" s="7">
        <v>6.3719000000000001</v>
      </c>
      <c r="DL11" s="7">
        <v>6.1929999999999996</v>
      </c>
      <c r="DM11" s="7">
        <v>5.3559999999999999</v>
      </c>
      <c r="DN11" s="7">
        <v>5.1032000000000002</v>
      </c>
      <c r="DO11" s="7">
        <v>5.31</v>
      </c>
      <c r="DP11" s="7">
        <v>5.1130000000000004</v>
      </c>
      <c r="DQ11" s="7" t="s">
        <v>72</v>
      </c>
      <c r="DR11" s="7"/>
      <c r="DS11" s="7">
        <v>2.4198</v>
      </c>
      <c r="DT11" s="7">
        <v>2.3024</v>
      </c>
      <c r="DU11" s="7">
        <v>2.1501999999999999</v>
      </c>
      <c r="DV11" s="7">
        <v>2.4763000000000002</v>
      </c>
      <c r="DW11" s="7">
        <v>2.2890000000000001</v>
      </c>
      <c r="DX11" s="7">
        <v>2.2507999999999999</v>
      </c>
      <c r="DY11" s="7">
        <v>2.1947000000000001</v>
      </c>
      <c r="DZ11" s="7">
        <v>2.0059</v>
      </c>
      <c r="EA11" s="7">
        <v>1.9933999999999998</v>
      </c>
      <c r="EB11" s="7">
        <v>1.9129</v>
      </c>
      <c r="EC11" s="7">
        <v>1.8162</v>
      </c>
      <c r="ED11" s="7">
        <v>1.786</v>
      </c>
      <c r="EE11" s="7">
        <v>1.7355</v>
      </c>
      <c r="EF11" s="7">
        <v>1.8096000000000001</v>
      </c>
      <c r="EG11" s="7">
        <v>1.7326999999999999</v>
      </c>
      <c r="EH11" s="7" t="s">
        <v>72</v>
      </c>
      <c r="EI11" s="7"/>
      <c r="EJ11" s="7" t="s">
        <v>72</v>
      </c>
      <c r="EK11" s="7">
        <v>10.051</v>
      </c>
      <c r="EL11" s="7">
        <v>8.5030999999999999</v>
      </c>
      <c r="EM11" s="7">
        <v>7.2839</v>
      </c>
      <c r="EN11" s="7" t="s">
        <v>72</v>
      </c>
      <c r="EO11" s="7">
        <v>7.6563999999999997</v>
      </c>
      <c r="EP11" s="7">
        <v>7.7541000000000002</v>
      </c>
      <c r="EQ11" s="7">
        <v>15.699199999999999</v>
      </c>
      <c r="ER11" s="7" t="s">
        <v>72</v>
      </c>
      <c r="ES11" s="7" t="s">
        <v>72</v>
      </c>
      <c r="ET11" s="7" t="s">
        <v>72</v>
      </c>
      <c r="EU11" s="7" t="s">
        <v>72</v>
      </c>
      <c r="EV11" s="7">
        <v>11.6455</v>
      </c>
      <c r="EW11" s="7" t="s">
        <v>72</v>
      </c>
      <c r="EX11" s="7" t="s">
        <v>72</v>
      </c>
      <c r="EY11" s="7" t="s">
        <v>72</v>
      </c>
      <c r="EZ11" s="7"/>
      <c r="FA11" s="7" t="s">
        <v>72</v>
      </c>
      <c r="FB11" s="7">
        <v>3.6615000000000002</v>
      </c>
      <c r="FC11" s="7">
        <v>3.4919000000000002</v>
      </c>
      <c r="FD11" s="7">
        <v>3.6089000000000002</v>
      </c>
      <c r="FE11" s="7" t="s">
        <v>72</v>
      </c>
      <c r="FF11" s="7">
        <v>3.1139000000000001</v>
      </c>
      <c r="FG11" s="7">
        <v>3.6791</v>
      </c>
      <c r="FH11" s="7">
        <v>3.5662000000000003</v>
      </c>
      <c r="FI11" s="7" t="s">
        <v>72</v>
      </c>
      <c r="FJ11" s="7" t="s">
        <v>72</v>
      </c>
      <c r="FK11" s="7" t="s">
        <v>72</v>
      </c>
      <c r="FL11" s="7" t="s">
        <v>72</v>
      </c>
      <c r="FM11" s="7">
        <v>2.2427000000000001</v>
      </c>
      <c r="FN11" s="7" t="s">
        <v>72</v>
      </c>
      <c r="FO11" s="7" t="s">
        <v>72</v>
      </c>
      <c r="FP11" s="7">
        <v>2.7896000000000001</v>
      </c>
      <c r="FQ11" s="7"/>
      <c r="FR11" s="7">
        <v>9113</v>
      </c>
      <c r="FS11" s="7">
        <v>7882</v>
      </c>
      <c r="FT11" s="7">
        <v>6654</v>
      </c>
      <c r="FU11" s="7">
        <v>4359</v>
      </c>
      <c r="FV11" s="7">
        <v>4220</v>
      </c>
      <c r="FW11" s="7">
        <v>5507</v>
      </c>
      <c r="FX11" s="7">
        <v>3193.5169999999998</v>
      </c>
      <c r="FY11" s="7">
        <v>3354</v>
      </c>
      <c r="FZ11" s="7">
        <v>4135</v>
      </c>
      <c r="GA11" s="7">
        <v>5729</v>
      </c>
      <c r="GB11" s="7">
        <v>4003</v>
      </c>
      <c r="GC11" s="7">
        <v>7123</v>
      </c>
      <c r="GD11" s="7">
        <v>9847</v>
      </c>
      <c r="GE11" s="7">
        <v>6167</v>
      </c>
      <c r="GF11" s="7">
        <v>7740</v>
      </c>
      <c r="GG11" s="7" t="s">
        <v>72</v>
      </c>
      <c r="GH11" s="7"/>
      <c r="GI11" s="7">
        <v>24274</v>
      </c>
      <c r="GJ11" s="7">
        <v>23926</v>
      </c>
      <c r="GK11" s="7">
        <v>21990</v>
      </c>
      <c r="GL11" s="7">
        <v>31736</v>
      </c>
      <c r="GM11" s="7">
        <v>31684</v>
      </c>
      <c r="GN11" s="7">
        <v>31441</v>
      </c>
      <c r="GO11" s="7">
        <v>26047.917000000001</v>
      </c>
      <c r="GP11" s="7">
        <v>23166</v>
      </c>
      <c r="GQ11" s="7">
        <v>27383</v>
      </c>
      <c r="GR11" s="7">
        <v>27551</v>
      </c>
      <c r="GS11" s="7">
        <v>26026</v>
      </c>
      <c r="GT11" s="7">
        <v>26194</v>
      </c>
      <c r="GU11" s="7">
        <v>27661</v>
      </c>
      <c r="GV11" s="7">
        <v>28667</v>
      </c>
      <c r="GW11" s="7">
        <v>25079</v>
      </c>
      <c r="GX11" s="7" t="s">
        <v>72</v>
      </c>
      <c r="GY11" s="7"/>
      <c r="GZ11" s="7">
        <v>5964</v>
      </c>
      <c r="HA11" s="7">
        <v>5085</v>
      </c>
      <c r="HB11" s="7">
        <v>5683</v>
      </c>
      <c r="HC11" s="7">
        <v>5614</v>
      </c>
      <c r="HD11" s="7">
        <v>9395</v>
      </c>
      <c r="HE11" s="7">
        <v>5429</v>
      </c>
      <c r="HF11" s="7">
        <v>5632.6379999999999</v>
      </c>
      <c r="HG11" s="7">
        <v>2900.8989999999999</v>
      </c>
      <c r="HH11" s="7">
        <v>5430</v>
      </c>
      <c r="HI11" s="7">
        <v>4923</v>
      </c>
      <c r="HJ11" s="7">
        <v>5202</v>
      </c>
      <c r="HK11" s="7">
        <v>5347.7309999999998</v>
      </c>
      <c r="HL11" s="7">
        <v>5734</v>
      </c>
      <c r="HM11" s="7">
        <v>4500</v>
      </c>
      <c r="HN11" s="7">
        <v>4730</v>
      </c>
      <c r="HO11" s="7" t="s">
        <v>72</v>
      </c>
      <c r="HP11" s="7"/>
      <c r="HQ11" s="216">
        <v>6.9020000000000001</v>
      </c>
      <c r="HR11" s="216">
        <v>6.9068000000000005</v>
      </c>
      <c r="HS11" s="216">
        <v>7.7519</v>
      </c>
      <c r="HT11" s="216">
        <v>7.3968999999999996</v>
      </c>
      <c r="HU11" s="216">
        <v>7.2126999999999999</v>
      </c>
      <c r="HV11" s="216">
        <v>7.7008000000000001</v>
      </c>
      <c r="HW11" s="216">
        <v>7.7841000000000005</v>
      </c>
      <c r="HX11" s="216">
        <v>7.9416000000000002</v>
      </c>
      <c r="HY11" s="216">
        <v>7.7706999999999997</v>
      </c>
      <c r="HZ11" s="216">
        <v>7.2561</v>
      </c>
      <c r="IA11" s="216">
        <v>7.1321000000000003</v>
      </c>
      <c r="IB11" s="216">
        <v>6.9469000000000003</v>
      </c>
      <c r="IC11" s="216">
        <v>6.4795999999999996</v>
      </c>
      <c r="ID11" s="216">
        <v>8.1409000000000002</v>
      </c>
      <c r="IE11" s="216">
        <v>7.5750999999999999</v>
      </c>
      <c r="IF11" s="216" t="s">
        <v>72</v>
      </c>
      <c r="IG11" s="7"/>
    </row>
    <row r="12" spans="1:242">
      <c r="A12" s="11" t="s">
        <v>73</v>
      </c>
      <c r="B12" s="11" t="s">
        <v>84</v>
      </c>
      <c r="C12" s="7"/>
      <c r="D12" s="7">
        <v>2483.6786000000002</v>
      </c>
      <c r="E12" s="7">
        <v>2378.6932999999999</v>
      </c>
      <c r="F12" s="7">
        <v>2215.0933</v>
      </c>
      <c r="G12" s="7">
        <v>2624.7764000000002</v>
      </c>
      <c r="H12" s="7">
        <v>2705.8244</v>
      </c>
      <c r="I12" s="7">
        <v>2420.9623999999999</v>
      </c>
      <c r="J12" s="7">
        <v>2313.2302</v>
      </c>
      <c r="K12" s="7">
        <v>2556.6212</v>
      </c>
      <c r="L12" s="7">
        <v>2519.9494</v>
      </c>
      <c r="M12" s="7">
        <v>2810.1484</v>
      </c>
      <c r="N12" s="7">
        <v>2487.5765000000001</v>
      </c>
      <c r="O12" s="7">
        <v>2755.4386</v>
      </c>
      <c r="P12" s="7">
        <v>2624.5967999999998</v>
      </c>
      <c r="Q12" s="7">
        <v>2273.2725999999998</v>
      </c>
      <c r="R12" s="7">
        <v>2364.3629999999998</v>
      </c>
      <c r="S12" s="7" t="s">
        <v>72</v>
      </c>
      <c r="T12" s="7"/>
      <c r="U12" s="7">
        <v>718.5</v>
      </c>
      <c r="V12" s="7">
        <v>817.3</v>
      </c>
      <c r="W12" s="7">
        <v>752.5</v>
      </c>
      <c r="X12" s="7">
        <v>724.8</v>
      </c>
      <c r="Y12" s="7">
        <v>776.3</v>
      </c>
      <c r="Z12" s="7">
        <v>751.6</v>
      </c>
      <c r="AA12" s="7">
        <v>845.4</v>
      </c>
      <c r="AB12" s="7">
        <v>556.70000000000005</v>
      </c>
      <c r="AC12" s="7">
        <v>788.1</v>
      </c>
      <c r="AD12" s="7">
        <v>753.8</v>
      </c>
      <c r="AE12" s="7">
        <v>909.1</v>
      </c>
      <c r="AF12" s="7">
        <v>874.2</v>
      </c>
      <c r="AG12" s="7">
        <v>838.6</v>
      </c>
      <c r="AH12" s="7">
        <v>807.4</v>
      </c>
      <c r="AI12" s="7">
        <v>1042.4000000000001</v>
      </c>
      <c r="AJ12" s="7" t="s">
        <v>72</v>
      </c>
      <c r="AK12" s="7"/>
      <c r="AL12" s="7">
        <v>67.5</v>
      </c>
      <c r="AM12" s="7">
        <v>68.3</v>
      </c>
      <c r="AN12" s="7">
        <v>65.099999999999994</v>
      </c>
      <c r="AO12" s="7">
        <v>62.9</v>
      </c>
      <c r="AP12" s="7">
        <v>61.7</v>
      </c>
      <c r="AQ12" s="7">
        <v>81.2</v>
      </c>
      <c r="AR12" s="7">
        <v>75.5</v>
      </c>
      <c r="AS12" s="7">
        <v>84</v>
      </c>
      <c r="AT12" s="7">
        <v>182.6</v>
      </c>
      <c r="AU12" s="7">
        <v>90.6</v>
      </c>
      <c r="AV12" s="7">
        <v>88.9</v>
      </c>
      <c r="AW12" s="7">
        <v>91.5</v>
      </c>
      <c r="AX12" s="7">
        <v>90.5</v>
      </c>
      <c r="AY12" s="7">
        <v>73.5</v>
      </c>
      <c r="AZ12" s="7">
        <v>72.400000000000006</v>
      </c>
      <c r="BA12" s="7" t="s">
        <v>72</v>
      </c>
      <c r="BB12" s="7"/>
      <c r="BC12" s="7" t="s">
        <v>72</v>
      </c>
      <c r="BD12" s="7" t="s">
        <v>72</v>
      </c>
      <c r="BE12" s="7" t="s">
        <v>72</v>
      </c>
      <c r="BF12" s="7" t="s">
        <v>72</v>
      </c>
      <c r="BG12" s="7" t="s">
        <v>72</v>
      </c>
      <c r="BH12" s="7" t="s">
        <v>72</v>
      </c>
      <c r="BI12" s="7" t="s">
        <v>72</v>
      </c>
      <c r="BJ12" s="7" t="s">
        <v>72</v>
      </c>
      <c r="BK12" s="7" t="s">
        <v>72</v>
      </c>
      <c r="BL12" s="7" t="s">
        <v>72</v>
      </c>
      <c r="BM12" s="7" t="s">
        <v>72</v>
      </c>
      <c r="BN12" s="7" t="s">
        <v>72</v>
      </c>
      <c r="BO12" s="7" t="s">
        <v>72</v>
      </c>
      <c r="BP12" s="7" t="s">
        <v>72</v>
      </c>
      <c r="BQ12" s="7" t="s">
        <v>72</v>
      </c>
      <c r="BR12" s="7" t="s">
        <v>72</v>
      </c>
      <c r="BS12" s="7"/>
      <c r="BT12" s="7">
        <v>1.4876</v>
      </c>
      <c r="BU12" s="7">
        <v>1.6893</v>
      </c>
      <c r="BV12" s="7">
        <v>1.5487</v>
      </c>
      <c r="BW12" s="7">
        <v>1.504</v>
      </c>
      <c r="BX12" s="7">
        <v>1.6015999999999999</v>
      </c>
      <c r="BY12" s="7">
        <v>1.5446</v>
      </c>
      <c r="BZ12" s="7">
        <v>1.7278</v>
      </c>
      <c r="CA12" s="7">
        <v>1.1203000000000001</v>
      </c>
      <c r="CB12" s="7">
        <v>1.5655999999999999</v>
      </c>
      <c r="CC12" s="7">
        <v>1.4870999999999999</v>
      </c>
      <c r="CD12" s="7">
        <v>1.7909999999999999</v>
      </c>
      <c r="CE12" s="7">
        <v>1.7246000000000001</v>
      </c>
      <c r="CF12" s="7">
        <v>1.6739000000000002</v>
      </c>
      <c r="CG12" s="7">
        <v>1.6518000000000002</v>
      </c>
      <c r="CH12" s="7">
        <v>2.1326000000000001</v>
      </c>
      <c r="CI12" s="7" t="s">
        <v>72</v>
      </c>
      <c r="CJ12"/>
      <c r="CK12" s="7">
        <v>3202.9785999999999</v>
      </c>
      <c r="CL12" s="7">
        <v>3196.9933000000001</v>
      </c>
      <c r="CM12" s="7">
        <v>2970.8933000000002</v>
      </c>
      <c r="CN12" s="7">
        <v>3352.2764000000002</v>
      </c>
      <c r="CO12" s="7">
        <v>3485.2244000000001</v>
      </c>
      <c r="CP12" s="7">
        <v>3175.6624000000002</v>
      </c>
      <c r="CQ12" s="7">
        <v>3162.5302000000001</v>
      </c>
      <c r="CR12" s="7">
        <v>3116.7212</v>
      </c>
      <c r="CS12" s="7">
        <v>3311.5493999999999</v>
      </c>
      <c r="CT12" s="7">
        <v>3567.2483999999999</v>
      </c>
      <c r="CU12" s="7">
        <v>3399.2764999999999</v>
      </c>
      <c r="CV12" s="7">
        <v>3632.1386000000002</v>
      </c>
      <c r="CW12" s="7">
        <v>3465.9967999999999</v>
      </c>
      <c r="CX12" s="7">
        <v>3083.4726000000001</v>
      </c>
      <c r="CY12" s="7">
        <v>3433.7629999999999</v>
      </c>
      <c r="CZ12" s="7" t="s">
        <v>72</v>
      </c>
      <c r="DA12" s="7"/>
      <c r="DB12" s="7">
        <v>6.6314000000000002</v>
      </c>
      <c r="DC12" s="7">
        <v>6.6081000000000003</v>
      </c>
      <c r="DD12" s="7">
        <v>6.1142000000000003</v>
      </c>
      <c r="DE12" s="7">
        <v>6.9564000000000004</v>
      </c>
      <c r="DF12" s="7">
        <v>7.1905000000000001</v>
      </c>
      <c r="DG12" s="7">
        <v>6.5262000000000002</v>
      </c>
      <c r="DH12" s="7">
        <v>6.4634</v>
      </c>
      <c r="DI12" s="7">
        <v>6.2722999999999995</v>
      </c>
      <c r="DJ12" s="7">
        <v>6.5784000000000002</v>
      </c>
      <c r="DK12" s="7">
        <v>7.0373999999999999</v>
      </c>
      <c r="DL12" s="7">
        <v>6.6967999999999996</v>
      </c>
      <c r="DM12" s="7">
        <v>7.1654</v>
      </c>
      <c r="DN12" s="7">
        <v>6.9181999999999997</v>
      </c>
      <c r="DO12" s="7">
        <v>6.3083</v>
      </c>
      <c r="DP12" s="7">
        <v>7.0248999999999997</v>
      </c>
      <c r="DQ12" s="7" t="s">
        <v>72</v>
      </c>
      <c r="DR12" s="7"/>
      <c r="DS12" s="7">
        <v>2.2391999999999999</v>
      </c>
      <c r="DT12" s="7">
        <v>2.2319</v>
      </c>
      <c r="DU12" s="7">
        <v>2.0605000000000002</v>
      </c>
      <c r="DV12" s="7">
        <v>2.3191000000000002</v>
      </c>
      <c r="DW12" s="7">
        <v>2.3818999999999999</v>
      </c>
      <c r="DX12" s="7">
        <v>2.1398999999999999</v>
      </c>
      <c r="DY12" s="7">
        <v>2.1118999999999999</v>
      </c>
      <c r="DZ12" s="7">
        <v>2.0615000000000001</v>
      </c>
      <c r="EA12" s="7">
        <v>2.1644000000000001</v>
      </c>
      <c r="EB12" s="7">
        <v>2.3199000000000001</v>
      </c>
      <c r="EC12" s="7">
        <v>2.1941000000000002</v>
      </c>
      <c r="ED12" s="7">
        <v>2.3308</v>
      </c>
      <c r="EE12" s="7">
        <v>2.2311999999999999</v>
      </c>
      <c r="EF12" s="7">
        <v>2.0110999999999999</v>
      </c>
      <c r="EG12" s="7">
        <v>2.2385999999999999</v>
      </c>
      <c r="EH12" s="7" t="s">
        <v>72</v>
      </c>
      <c r="EI12" s="7"/>
      <c r="EJ12" s="7" t="s">
        <v>72</v>
      </c>
      <c r="EK12" s="7">
        <v>15.650600000000001</v>
      </c>
      <c r="EL12" s="7">
        <v>14.8477</v>
      </c>
      <c r="EM12" s="7">
        <v>17.815300000000001</v>
      </c>
      <c r="EN12" s="7" t="s">
        <v>72</v>
      </c>
      <c r="EO12" s="7">
        <v>12.794599999999999</v>
      </c>
      <c r="EP12" s="7">
        <v>11.863</v>
      </c>
      <c r="EQ12" s="7">
        <v>11.8933</v>
      </c>
      <c r="ER12" s="7" t="s">
        <v>72</v>
      </c>
      <c r="ES12" s="7" t="s">
        <v>72</v>
      </c>
      <c r="ET12" s="7" t="s">
        <v>72</v>
      </c>
      <c r="EU12" s="7" t="s">
        <v>72</v>
      </c>
      <c r="EV12" s="7" t="s">
        <v>72</v>
      </c>
      <c r="EW12" s="7" t="s">
        <v>72</v>
      </c>
      <c r="EX12" s="7" t="s">
        <v>72</v>
      </c>
      <c r="EY12" s="7" t="s">
        <v>72</v>
      </c>
      <c r="EZ12" s="7"/>
      <c r="FA12" s="7" t="s">
        <v>72</v>
      </c>
      <c r="FB12" s="7">
        <v>2.9316</v>
      </c>
      <c r="FC12" s="7">
        <v>2.6013000000000002</v>
      </c>
      <c r="FD12" s="7">
        <v>2.8885000000000001</v>
      </c>
      <c r="FE12" s="7" t="s">
        <v>72</v>
      </c>
      <c r="FF12" s="7">
        <v>3.2160000000000002</v>
      </c>
      <c r="FG12" s="7">
        <v>2.8923000000000001</v>
      </c>
      <c r="FH12" s="7">
        <v>2.9748000000000001</v>
      </c>
      <c r="FI12" s="7" t="s">
        <v>72</v>
      </c>
      <c r="FJ12" s="7" t="s">
        <v>72</v>
      </c>
      <c r="FK12" s="7" t="s">
        <v>72</v>
      </c>
      <c r="FL12" s="7" t="s">
        <v>72</v>
      </c>
      <c r="FM12" s="7" t="s">
        <v>72</v>
      </c>
      <c r="FN12" s="7" t="s">
        <v>72</v>
      </c>
      <c r="FO12" s="7" t="s">
        <v>72</v>
      </c>
      <c r="FP12" s="7">
        <v>3.7721</v>
      </c>
      <c r="FQ12" s="7"/>
      <c r="FR12" s="7">
        <v>31</v>
      </c>
      <c r="FS12" s="7">
        <v>26.2</v>
      </c>
      <c r="FT12" s="7">
        <v>31.6</v>
      </c>
      <c r="FU12" s="7">
        <v>17.100000000000001</v>
      </c>
      <c r="FV12" s="7">
        <v>31.8</v>
      </c>
      <c r="FW12" s="7">
        <v>43.8</v>
      </c>
      <c r="FX12" s="7">
        <v>41.5</v>
      </c>
      <c r="FY12" s="7">
        <v>19.399999999999999</v>
      </c>
      <c r="FZ12" s="7">
        <v>59</v>
      </c>
      <c r="GA12" s="7">
        <v>64</v>
      </c>
      <c r="GB12" s="7">
        <v>37.1</v>
      </c>
      <c r="GC12" s="7">
        <v>17.7</v>
      </c>
      <c r="GD12" s="7">
        <v>39.799999999999997</v>
      </c>
      <c r="GE12" s="7">
        <v>83.3</v>
      </c>
      <c r="GF12" s="7">
        <v>48.1</v>
      </c>
      <c r="GG12" s="7" t="s">
        <v>72</v>
      </c>
      <c r="GH12" s="7"/>
      <c r="GI12" s="7">
        <v>900</v>
      </c>
      <c r="GJ12" s="7">
        <v>767.3</v>
      </c>
      <c r="GK12" s="7">
        <v>807.5</v>
      </c>
      <c r="GL12" s="7">
        <v>860.9</v>
      </c>
      <c r="GM12" s="7">
        <v>832.9</v>
      </c>
      <c r="GN12" s="7">
        <v>736.5</v>
      </c>
      <c r="GO12" s="7">
        <v>783.1</v>
      </c>
      <c r="GP12" s="7">
        <v>840.7</v>
      </c>
      <c r="GQ12" s="7">
        <v>840.3</v>
      </c>
      <c r="GR12" s="7">
        <v>891.1</v>
      </c>
      <c r="GS12" s="7">
        <v>737.4</v>
      </c>
      <c r="GT12" s="7">
        <v>798.2</v>
      </c>
      <c r="GU12" s="7">
        <v>851.4</v>
      </c>
      <c r="GV12" s="7">
        <v>681.9</v>
      </c>
      <c r="GW12" s="7">
        <v>762.8</v>
      </c>
      <c r="GX12" s="7" t="s">
        <v>72</v>
      </c>
      <c r="GY12" s="7"/>
      <c r="GZ12" s="7">
        <v>120.4</v>
      </c>
      <c r="HA12" s="7">
        <v>115.7</v>
      </c>
      <c r="HB12" s="7">
        <v>118.5</v>
      </c>
      <c r="HC12" s="7">
        <v>127.3</v>
      </c>
      <c r="HD12" s="7">
        <v>123.2</v>
      </c>
      <c r="HE12" s="7">
        <v>117.6</v>
      </c>
      <c r="HF12" s="7">
        <v>121.2</v>
      </c>
      <c r="HG12" s="7">
        <v>134.9</v>
      </c>
      <c r="HH12" s="7">
        <v>129.69999999999999</v>
      </c>
      <c r="HI12" s="7">
        <v>121.1</v>
      </c>
      <c r="HJ12" s="7">
        <v>121.9</v>
      </c>
      <c r="HK12" s="7">
        <v>134.19999999999999</v>
      </c>
      <c r="HL12" s="7">
        <v>123.8</v>
      </c>
      <c r="HM12" s="7">
        <v>108.9</v>
      </c>
      <c r="HN12" s="7">
        <v>121.9</v>
      </c>
      <c r="HO12" s="7" t="s">
        <v>72</v>
      </c>
      <c r="HP12" s="7"/>
      <c r="HQ12" s="216">
        <v>8.0693000000000001</v>
      </c>
      <c r="HR12" s="216">
        <v>6.9188000000000001</v>
      </c>
      <c r="HS12" s="216">
        <v>8.6876999999999995</v>
      </c>
      <c r="HT12" s="216">
        <v>8.0861999999999998</v>
      </c>
      <c r="HU12" s="216">
        <v>8.1341999999999999</v>
      </c>
      <c r="HV12" s="216">
        <v>7.7977999999999996</v>
      </c>
      <c r="HW12" s="216">
        <v>8.2479999999999993</v>
      </c>
      <c r="HX12" s="216">
        <v>8.8902999999999999</v>
      </c>
      <c r="HY12" s="216">
        <v>8.1969999999999992</v>
      </c>
      <c r="HZ12" s="216">
        <v>7.0986000000000002</v>
      </c>
      <c r="IA12" s="216">
        <v>6.5967000000000002</v>
      </c>
      <c r="IB12" s="216">
        <v>6.2721999999999998</v>
      </c>
      <c r="IC12" s="216">
        <v>7.3335999999999997</v>
      </c>
      <c r="ID12" s="216">
        <v>6.2622999999999998</v>
      </c>
      <c r="IE12" s="216">
        <v>5.6490999999999998</v>
      </c>
      <c r="IF12" s="216" t="s">
        <v>72</v>
      </c>
      <c r="IG12" s="7"/>
    </row>
    <row r="13" spans="1:242">
      <c r="A13" s="11" t="s">
        <v>19</v>
      </c>
      <c r="B13" s="7" t="s">
        <v>33</v>
      </c>
      <c r="C13" s="7"/>
      <c r="D13" s="7">
        <v>4553.7582000000002</v>
      </c>
      <c r="E13" s="7" t="s">
        <v>72</v>
      </c>
      <c r="F13" s="7">
        <v>3484.5257000000001</v>
      </c>
      <c r="G13" s="7" t="s">
        <v>72</v>
      </c>
      <c r="H13" s="7">
        <v>4447.6911</v>
      </c>
      <c r="I13" s="7" t="s">
        <v>72</v>
      </c>
      <c r="J13" s="7">
        <v>5063.3341</v>
      </c>
      <c r="K13" s="7" t="s">
        <v>72</v>
      </c>
      <c r="L13" s="7">
        <v>5436.7160000000003</v>
      </c>
      <c r="M13" s="7" t="s">
        <v>72</v>
      </c>
      <c r="N13" s="7">
        <v>6523.6750000000002</v>
      </c>
      <c r="O13" s="7" t="s">
        <v>72</v>
      </c>
      <c r="P13" s="7">
        <v>7491.8858</v>
      </c>
      <c r="Q13" s="7" t="s">
        <v>72</v>
      </c>
      <c r="R13" s="7" t="s">
        <v>72</v>
      </c>
      <c r="S13" s="7" t="s">
        <v>72</v>
      </c>
      <c r="T13" s="7"/>
      <c r="U13" s="7">
        <v>664.87699999999995</v>
      </c>
      <c r="V13" s="7" t="s">
        <v>72</v>
      </c>
      <c r="W13" s="7">
        <v>717.22699999999998</v>
      </c>
      <c r="X13" s="7" t="s">
        <v>72</v>
      </c>
      <c r="Y13" s="7">
        <v>691.31100000000004</v>
      </c>
      <c r="Z13" s="7" t="s">
        <v>72</v>
      </c>
      <c r="AA13" s="7">
        <v>683.428</v>
      </c>
      <c r="AB13" s="7" t="s">
        <v>72</v>
      </c>
      <c r="AC13" s="7">
        <v>969.42</v>
      </c>
      <c r="AD13" s="7" t="s">
        <v>72</v>
      </c>
      <c r="AE13" s="7">
        <v>1126.3589999999999</v>
      </c>
      <c r="AF13" s="7" t="s">
        <v>72</v>
      </c>
      <c r="AG13" s="7">
        <v>1064.251</v>
      </c>
      <c r="AH13" s="7" t="s">
        <v>72</v>
      </c>
      <c r="AI13" s="7">
        <v>1038.81</v>
      </c>
      <c r="AJ13" s="7" t="s">
        <v>72</v>
      </c>
      <c r="AK13" s="7"/>
      <c r="AL13" s="7">
        <v>14.516999999999999</v>
      </c>
      <c r="AM13" s="7" t="s">
        <v>72</v>
      </c>
      <c r="AN13" s="7" t="s">
        <v>72</v>
      </c>
      <c r="AO13" s="7" t="s">
        <v>72</v>
      </c>
      <c r="AP13" s="7">
        <v>0.311</v>
      </c>
      <c r="AQ13" s="7" t="s">
        <v>72</v>
      </c>
      <c r="AR13" s="7">
        <v>0</v>
      </c>
      <c r="AS13" s="7" t="s">
        <v>72</v>
      </c>
      <c r="AT13" s="7">
        <v>402</v>
      </c>
      <c r="AU13" s="7" t="s">
        <v>72</v>
      </c>
      <c r="AV13" s="7" t="s">
        <v>72</v>
      </c>
      <c r="AW13" s="7" t="s">
        <v>72</v>
      </c>
      <c r="AX13" s="7">
        <v>448</v>
      </c>
      <c r="AY13" s="7" t="s">
        <v>72</v>
      </c>
      <c r="AZ13" s="7">
        <v>467</v>
      </c>
      <c r="BA13" s="7" t="s">
        <v>72</v>
      </c>
      <c r="BB13" s="7"/>
      <c r="BC13" s="7">
        <v>7.8322000000000003</v>
      </c>
      <c r="BD13" s="7" t="s">
        <v>72</v>
      </c>
      <c r="BE13" s="7">
        <v>11.5579</v>
      </c>
      <c r="BF13" s="7" t="s">
        <v>72</v>
      </c>
      <c r="BG13" s="7">
        <v>10.258800000000001</v>
      </c>
      <c r="BH13" s="7" t="s">
        <v>72</v>
      </c>
      <c r="BI13" s="7">
        <v>10.3817</v>
      </c>
      <c r="BJ13" s="7" t="s">
        <v>72</v>
      </c>
      <c r="BK13" s="7">
        <v>8.4728999999999992</v>
      </c>
      <c r="BL13" s="7" t="s">
        <v>72</v>
      </c>
      <c r="BM13" s="7">
        <v>6.3269000000000002</v>
      </c>
      <c r="BN13" s="7" t="s">
        <v>72</v>
      </c>
      <c r="BO13" s="7">
        <v>7.6231999999999998</v>
      </c>
      <c r="BP13" s="7" t="s">
        <v>72</v>
      </c>
      <c r="BQ13" s="7">
        <v>9.2612000000000005</v>
      </c>
      <c r="BR13" s="7" t="s">
        <v>72</v>
      </c>
      <c r="BS13" s="7"/>
      <c r="BT13" s="7">
        <v>1.0165</v>
      </c>
      <c r="BU13" s="7" t="s">
        <v>72</v>
      </c>
      <c r="BV13" s="7">
        <v>0.89380000000000004</v>
      </c>
      <c r="BW13" s="7" t="s">
        <v>72</v>
      </c>
      <c r="BX13" s="7">
        <v>0.87509999999999999</v>
      </c>
      <c r="BY13" s="7" t="s">
        <v>72</v>
      </c>
      <c r="BZ13" s="7">
        <v>0.90820000000000001</v>
      </c>
      <c r="CA13" s="7" t="s">
        <v>72</v>
      </c>
      <c r="CB13" s="7">
        <v>1.1774</v>
      </c>
      <c r="CC13" s="7" t="s">
        <v>72</v>
      </c>
      <c r="CD13" s="7">
        <v>1.3679999999999999</v>
      </c>
      <c r="CE13" s="7" t="s">
        <v>72</v>
      </c>
      <c r="CF13" s="7">
        <v>1.1681999999999999</v>
      </c>
      <c r="CG13" s="7" t="s">
        <v>72</v>
      </c>
      <c r="CH13" s="7">
        <v>0.96079999999999999</v>
      </c>
      <c r="CI13" s="7" t="s">
        <v>72</v>
      </c>
      <c r="CJ13"/>
      <c r="CK13" s="7">
        <v>5219.1722</v>
      </c>
      <c r="CL13" s="7" t="s">
        <v>72</v>
      </c>
      <c r="CM13" s="7">
        <v>4202.4426999999996</v>
      </c>
      <c r="CN13" s="7" t="s">
        <v>72</v>
      </c>
      <c r="CO13" s="7">
        <v>5139.4741000000004</v>
      </c>
      <c r="CP13" s="7" t="s">
        <v>72</v>
      </c>
      <c r="CQ13" s="7">
        <v>5747.0621000000001</v>
      </c>
      <c r="CR13" s="7" t="s">
        <v>72</v>
      </c>
      <c r="CS13" s="7">
        <v>6406.9359999999997</v>
      </c>
      <c r="CT13" s="7" t="s">
        <v>72</v>
      </c>
      <c r="CU13" s="7">
        <v>7650.0339999999997</v>
      </c>
      <c r="CV13" s="7" t="s">
        <v>72</v>
      </c>
      <c r="CW13" s="7">
        <v>8556.1368000000002</v>
      </c>
      <c r="CX13" s="7" t="s">
        <v>72</v>
      </c>
      <c r="CY13" s="7" t="s">
        <v>72</v>
      </c>
      <c r="CZ13" s="7" t="s">
        <v>72</v>
      </c>
      <c r="DA13" s="7"/>
      <c r="DB13" s="7">
        <v>7.9791999999999996</v>
      </c>
      <c r="DC13" s="7" t="s">
        <v>72</v>
      </c>
      <c r="DD13" s="7">
        <v>5.2373000000000003</v>
      </c>
      <c r="DE13" s="7" t="s">
        <v>72</v>
      </c>
      <c r="DF13" s="7">
        <v>6.5057</v>
      </c>
      <c r="DG13" s="7" t="s">
        <v>72</v>
      </c>
      <c r="DH13" s="7">
        <v>7.6375000000000002</v>
      </c>
      <c r="DI13" s="7" t="s">
        <v>72</v>
      </c>
      <c r="DJ13" s="7">
        <v>7.7813999999999997</v>
      </c>
      <c r="DK13" s="7" t="s">
        <v>72</v>
      </c>
      <c r="DL13" s="7">
        <v>9.2914999999999992</v>
      </c>
      <c r="DM13" s="7" t="s">
        <v>72</v>
      </c>
      <c r="DN13" s="7">
        <v>9.3917000000000002</v>
      </c>
      <c r="DO13" s="7" t="s">
        <v>72</v>
      </c>
      <c r="DP13" s="7" t="s">
        <v>72</v>
      </c>
      <c r="DQ13" s="7" t="s">
        <v>72</v>
      </c>
      <c r="DR13" s="7"/>
      <c r="DS13" s="7">
        <v>2.6703000000000001</v>
      </c>
      <c r="DT13" s="7" t="s">
        <v>72</v>
      </c>
      <c r="DU13" s="7">
        <v>2.1015999999999999</v>
      </c>
      <c r="DV13" s="7" t="s">
        <v>72</v>
      </c>
      <c r="DW13" s="7">
        <v>2.5215000000000001</v>
      </c>
      <c r="DX13" s="7" t="s">
        <v>72</v>
      </c>
      <c r="DY13" s="7">
        <v>2.7833000000000001</v>
      </c>
      <c r="DZ13" s="7" t="s">
        <v>72</v>
      </c>
      <c r="EA13" s="7">
        <v>3.0192000000000001</v>
      </c>
      <c r="EB13" s="7" t="s">
        <v>72</v>
      </c>
      <c r="EC13" s="7">
        <v>3.0299</v>
      </c>
      <c r="ED13" s="7" t="s">
        <v>72</v>
      </c>
      <c r="EE13" s="7">
        <v>2.7134</v>
      </c>
      <c r="EF13" s="7" t="s">
        <v>72</v>
      </c>
      <c r="EG13" s="7">
        <v>3.0099</v>
      </c>
      <c r="EH13" s="7" t="s">
        <v>72</v>
      </c>
      <c r="EI13" s="7"/>
      <c r="EJ13" s="7">
        <v>18.4313</v>
      </c>
      <c r="EK13" s="7">
        <v>16.849</v>
      </c>
      <c r="EL13" s="7">
        <v>10.015700000000001</v>
      </c>
      <c r="EM13" s="7">
        <v>11.9984</v>
      </c>
      <c r="EN13" s="7">
        <v>14.1812</v>
      </c>
      <c r="EO13" s="7">
        <v>14.7387</v>
      </c>
      <c r="EP13" s="7">
        <v>17.592400000000001</v>
      </c>
      <c r="EQ13" s="7">
        <v>15.970599999999999</v>
      </c>
      <c r="ER13" s="7" t="s">
        <v>72</v>
      </c>
      <c r="ES13" s="7" t="s">
        <v>72</v>
      </c>
      <c r="ET13" s="7" t="s">
        <v>72</v>
      </c>
      <c r="EU13" s="7" t="s">
        <v>72</v>
      </c>
      <c r="EV13" s="7">
        <v>39.737299999999998</v>
      </c>
      <c r="EW13" s="7" t="s">
        <v>72</v>
      </c>
      <c r="EX13" s="7" t="s">
        <v>72</v>
      </c>
      <c r="EY13" s="7" t="s">
        <v>72</v>
      </c>
      <c r="EZ13" s="7"/>
      <c r="FA13" s="7">
        <v>5.9614000000000003</v>
      </c>
      <c r="FB13" s="7">
        <v>5.4496000000000002</v>
      </c>
      <c r="FC13" s="7">
        <v>3.7848000000000002</v>
      </c>
      <c r="FD13" s="7">
        <v>4.5341000000000005</v>
      </c>
      <c r="FE13" s="7">
        <v>4.1264000000000003</v>
      </c>
      <c r="FF13" s="7">
        <v>4.2885999999999997</v>
      </c>
      <c r="FG13" s="7">
        <v>4.1718000000000002</v>
      </c>
      <c r="FH13" s="7">
        <v>3.7871999999999999</v>
      </c>
      <c r="FI13" s="7" t="s">
        <v>72</v>
      </c>
      <c r="FJ13" s="7" t="s">
        <v>72</v>
      </c>
      <c r="FK13" s="7" t="s">
        <v>72</v>
      </c>
      <c r="FL13" s="7" t="s">
        <v>72</v>
      </c>
      <c r="FM13" s="7">
        <v>4.3388999999999998</v>
      </c>
      <c r="FN13" s="7" t="s">
        <v>72</v>
      </c>
      <c r="FO13" s="7" t="s">
        <v>72</v>
      </c>
      <c r="FP13" s="7">
        <v>5.343</v>
      </c>
      <c r="FQ13" s="7"/>
      <c r="FR13" s="7">
        <v>9.5359999999999996</v>
      </c>
      <c r="FS13" s="7" t="s">
        <v>72</v>
      </c>
      <c r="FT13" s="7">
        <v>404.88400000000001</v>
      </c>
      <c r="FU13" s="7" t="s">
        <v>72</v>
      </c>
      <c r="FV13" s="7">
        <v>77.430000000000007</v>
      </c>
      <c r="FW13" s="7" t="s">
        <v>72</v>
      </c>
      <c r="FX13" s="7">
        <v>6.5060000000000002</v>
      </c>
      <c r="FY13" s="7" t="s">
        <v>72</v>
      </c>
      <c r="FZ13" s="7">
        <v>80.849000000000004</v>
      </c>
      <c r="GA13" s="7" t="s">
        <v>72</v>
      </c>
      <c r="GB13" s="7">
        <v>8.6630000000000003</v>
      </c>
      <c r="GC13" s="7" t="s">
        <v>72</v>
      </c>
      <c r="GD13" s="7">
        <v>384.15600000000001</v>
      </c>
      <c r="GE13" s="7" t="s">
        <v>72</v>
      </c>
      <c r="GF13" s="7">
        <v>52.652000000000001</v>
      </c>
      <c r="GG13" s="7" t="s">
        <v>72</v>
      </c>
      <c r="GH13" s="7"/>
      <c r="GI13" s="7">
        <v>764.41</v>
      </c>
      <c r="GJ13" s="7" t="s">
        <v>72</v>
      </c>
      <c r="GK13" s="7">
        <v>921.34900000000005</v>
      </c>
      <c r="GL13" s="7" t="s">
        <v>72</v>
      </c>
      <c r="GM13" s="7">
        <v>1078.3389999999999</v>
      </c>
      <c r="GN13" s="7" t="s">
        <v>72</v>
      </c>
      <c r="GO13" s="7">
        <v>1213.999</v>
      </c>
      <c r="GP13" s="7" t="s">
        <v>72</v>
      </c>
      <c r="GQ13" s="7">
        <v>1524.721</v>
      </c>
      <c r="GR13" s="7" t="s">
        <v>72</v>
      </c>
      <c r="GS13" s="7">
        <v>1589.9010000000001</v>
      </c>
      <c r="GT13" s="7" t="s">
        <v>72</v>
      </c>
      <c r="GU13" s="7">
        <v>1726.693</v>
      </c>
      <c r="GV13" s="7" t="s">
        <v>72</v>
      </c>
      <c r="GW13" s="7">
        <v>1874.0119999999999</v>
      </c>
      <c r="GX13" s="7" t="s">
        <v>72</v>
      </c>
      <c r="GY13" s="7"/>
      <c r="GZ13" s="7">
        <v>353.31799999999998</v>
      </c>
      <c r="HA13" s="7" t="s">
        <v>72</v>
      </c>
      <c r="HB13" s="7">
        <v>449.08499999999998</v>
      </c>
      <c r="HC13" s="7" t="s">
        <v>72</v>
      </c>
      <c r="HD13" s="7">
        <v>340.91300000000001</v>
      </c>
      <c r="HE13" s="7" t="s">
        <v>72</v>
      </c>
      <c r="HF13" s="7">
        <v>411.56599999999997</v>
      </c>
      <c r="HG13" s="7" t="s">
        <v>72</v>
      </c>
      <c r="HH13" s="7">
        <v>411.79700000000003</v>
      </c>
      <c r="HI13" s="7" t="s">
        <v>72</v>
      </c>
      <c r="HJ13" s="7">
        <v>411.53699999999998</v>
      </c>
      <c r="HK13" s="7" t="s">
        <v>72</v>
      </c>
      <c r="HL13" s="7">
        <v>499.49099999999999</v>
      </c>
      <c r="HM13" s="7" t="s">
        <v>72</v>
      </c>
      <c r="HN13" s="7">
        <v>581.75300000000004</v>
      </c>
      <c r="HO13" s="7" t="s">
        <v>72</v>
      </c>
      <c r="HP13" s="7"/>
      <c r="HQ13" s="216">
        <v>8.2020999999999997</v>
      </c>
      <c r="HR13" s="216" t="s">
        <v>72</v>
      </c>
      <c r="HS13" s="216">
        <v>10.888999999999999</v>
      </c>
      <c r="HT13" s="216" t="s">
        <v>72</v>
      </c>
      <c r="HU13" s="216">
        <v>9.4448000000000008</v>
      </c>
      <c r="HV13" s="216" t="s">
        <v>72</v>
      </c>
      <c r="HW13" s="216">
        <v>8.5463000000000005</v>
      </c>
      <c r="HX13" s="216" t="s">
        <v>72</v>
      </c>
      <c r="HY13" s="216">
        <v>7.4016000000000002</v>
      </c>
      <c r="HZ13" s="216" t="s">
        <v>72</v>
      </c>
      <c r="IA13" s="216">
        <v>7.1273</v>
      </c>
      <c r="IB13" s="216" t="s">
        <v>72</v>
      </c>
      <c r="IC13" s="216">
        <v>5.6982999999999997</v>
      </c>
      <c r="ID13" s="216" t="s">
        <v>72</v>
      </c>
      <c r="IE13" s="216">
        <v>7.2253999999999996</v>
      </c>
      <c r="IF13" s="216" t="s">
        <v>72</v>
      </c>
      <c r="IG13" s="7"/>
    </row>
    <row r="14" spans="1:242">
      <c r="A14" s="11" t="s">
        <v>19</v>
      </c>
      <c r="B14" s="7" t="s">
        <v>74</v>
      </c>
      <c r="C14" s="7"/>
      <c r="D14" s="7">
        <v>46131.404699999999</v>
      </c>
      <c r="E14" s="7" t="s">
        <v>72</v>
      </c>
      <c r="F14" s="7">
        <v>37808.283300000003</v>
      </c>
      <c r="G14" s="7" t="s">
        <v>72</v>
      </c>
      <c r="H14" s="7">
        <v>41308.878100000002</v>
      </c>
      <c r="I14" s="7" t="s">
        <v>72</v>
      </c>
      <c r="J14" s="7">
        <v>38824.5723</v>
      </c>
      <c r="K14" s="7" t="s">
        <v>72</v>
      </c>
      <c r="L14" s="7">
        <v>31956.665000000001</v>
      </c>
      <c r="M14" s="7" t="s">
        <v>72</v>
      </c>
      <c r="N14" s="7">
        <v>27291.271499999999</v>
      </c>
      <c r="O14" s="7" t="s">
        <v>72</v>
      </c>
      <c r="P14" s="7">
        <v>21909.9231</v>
      </c>
      <c r="Q14" s="7" t="s">
        <v>72</v>
      </c>
      <c r="R14" s="7">
        <v>19124.593099999998</v>
      </c>
      <c r="S14" s="7" t="s">
        <v>72</v>
      </c>
      <c r="T14" s="7"/>
      <c r="U14" s="7">
        <v>32909</v>
      </c>
      <c r="V14" s="7" t="s">
        <v>72</v>
      </c>
      <c r="W14" s="7">
        <v>34908</v>
      </c>
      <c r="X14" s="7" t="s">
        <v>72</v>
      </c>
      <c r="Y14" s="7">
        <v>30956</v>
      </c>
      <c r="Z14" s="7" t="s">
        <v>72</v>
      </c>
      <c r="AA14" s="7">
        <v>31715</v>
      </c>
      <c r="AB14" s="7" t="s">
        <v>72</v>
      </c>
      <c r="AC14" s="7">
        <v>30381</v>
      </c>
      <c r="AD14" s="7" t="s">
        <v>72</v>
      </c>
      <c r="AE14" s="7">
        <v>31753</v>
      </c>
      <c r="AF14" s="7" t="s">
        <v>72</v>
      </c>
      <c r="AG14" s="7">
        <v>30752</v>
      </c>
      <c r="AH14" s="7" t="s">
        <v>72</v>
      </c>
      <c r="AI14" s="7">
        <v>30161</v>
      </c>
      <c r="AJ14" s="7" t="s">
        <v>72</v>
      </c>
      <c r="AK14" s="7"/>
      <c r="AL14" s="7" t="s">
        <v>72</v>
      </c>
      <c r="AM14" s="7" t="s">
        <v>72</v>
      </c>
      <c r="AN14" s="7" t="s">
        <v>72</v>
      </c>
      <c r="AO14" s="7" t="s">
        <v>72</v>
      </c>
      <c r="AP14" s="7">
        <v>6685</v>
      </c>
      <c r="AQ14" s="7" t="s">
        <v>72</v>
      </c>
      <c r="AR14" s="7" t="s">
        <v>72</v>
      </c>
      <c r="AS14" s="7" t="s">
        <v>72</v>
      </c>
      <c r="AT14" s="7">
        <v>6255</v>
      </c>
      <c r="AU14" s="7" t="s">
        <v>72</v>
      </c>
      <c r="AV14" s="7" t="s">
        <v>72</v>
      </c>
      <c r="AW14" s="7" t="s">
        <v>72</v>
      </c>
      <c r="AX14" s="7">
        <v>7453</v>
      </c>
      <c r="AY14" s="7" t="s">
        <v>72</v>
      </c>
      <c r="AZ14" s="7" t="s">
        <v>72</v>
      </c>
      <c r="BA14" s="7" t="s">
        <v>72</v>
      </c>
      <c r="BB14" s="7"/>
      <c r="BC14" s="7">
        <v>2.4908999999999999</v>
      </c>
      <c r="BD14" s="7" t="s">
        <v>72</v>
      </c>
      <c r="BE14" s="7">
        <v>4.7474999999999996</v>
      </c>
      <c r="BF14" s="7" t="s">
        <v>72</v>
      </c>
      <c r="BG14" s="7">
        <v>3.1964000000000001</v>
      </c>
      <c r="BH14" s="7" t="s">
        <v>72</v>
      </c>
      <c r="BI14" s="7">
        <v>4.2553999999999998</v>
      </c>
      <c r="BJ14" s="7" t="s">
        <v>72</v>
      </c>
      <c r="BK14" s="7">
        <v>3.7934000000000001</v>
      </c>
      <c r="BL14" s="7" t="s">
        <v>72</v>
      </c>
      <c r="BM14" s="7">
        <v>4.7816999999999998</v>
      </c>
      <c r="BN14" s="7" t="s">
        <v>72</v>
      </c>
      <c r="BO14" s="7">
        <v>2.3988</v>
      </c>
      <c r="BP14" s="7" t="s">
        <v>72</v>
      </c>
      <c r="BQ14" s="7">
        <v>3.8917999999999999</v>
      </c>
      <c r="BR14" s="7" t="s">
        <v>72</v>
      </c>
      <c r="BS14" s="7"/>
      <c r="BT14" s="7">
        <v>2.3454000000000002</v>
      </c>
      <c r="BU14" s="7" t="s">
        <v>72</v>
      </c>
      <c r="BV14" s="7">
        <v>2.5525000000000002</v>
      </c>
      <c r="BW14" s="7" t="s">
        <v>72</v>
      </c>
      <c r="BX14" s="7">
        <v>2.0941999999999998</v>
      </c>
      <c r="BY14" s="7" t="s">
        <v>72</v>
      </c>
      <c r="BZ14" s="7">
        <v>2.1877</v>
      </c>
      <c r="CA14" s="7" t="s">
        <v>72</v>
      </c>
      <c r="CB14" s="7">
        <v>2.0228000000000002</v>
      </c>
      <c r="CC14" s="7" t="s">
        <v>72</v>
      </c>
      <c r="CD14" s="7">
        <v>2.2307999999999999</v>
      </c>
      <c r="CE14" s="7" t="s">
        <v>72</v>
      </c>
      <c r="CF14" s="7">
        <v>2.4851999999999999</v>
      </c>
      <c r="CG14" s="7" t="s">
        <v>72</v>
      </c>
      <c r="CH14" s="7">
        <v>2.5156999999999998</v>
      </c>
      <c r="CI14" s="7" t="s">
        <v>72</v>
      </c>
      <c r="CJ14"/>
      <c r="CK14" s="7">
        <v>81753.404699999999</v>
      </c>
      <c r="CL14" s="7" t="s">
        <v>72</v>
      </c>
      <c r="CM14" s="7">
        <v>75098.283299999996</v>
      </c>
      <c r="CN14" s="7" t="s">
        <v>72</v>
      </c>
      <c r="CO14" s="7">
        <v>74712.878100000002</v>
      </c>
      <c r="CP14" s="7" t="s">
        <v>72</v>
      </c>
      <c r="CQ14" s="7">
        <v>72569.5723</v>
      </c>
      <c r="CR14" s="7" t="s">
        <v>72</v>
      </c>
      <c r="CS14" s="7">
        <v>64356.665000000001</v>
      </c>
      <c r="CT14" s="7" t="s">
        <v>72</v>
      </c>
      <c r="CU14" s="7">
        <v>60696.271500000003</v>
      </c>
      <c r="CV14" s="7" t="s">
        <v>72</v>
      </c>
      <c r="CW14" s="7">
        <v>54739.9231</v>
      </c>
      <c r="CX14" s="7" t="s">
        <v>72</v>
      </c>
      <c r="CY14" s="7">
        <v>51152.593099999998</v>
      </c>
      <c r="CZ14" s="7" t="s">
        <v>72</v>
      </c>
      <c r="DA14" s="7"/>
      <c r="DB14" s="7">
        <v>5.8266</v>
      </c>
      <c r="DC14" s="7" t="s">
        <v>72</v>
      </c>
      <c r="DD14" s="7">
        <v>5.4912000000000001</v>
      </c>
      <c r="DE14" s="7" t="s">
        <v>72</v>
      </c>
      <c r="DF14" s="7">
        <v>5.0542999999999996</v>
      </c>
      <c r="DG14" s="7" t="s">
        <v>72</v>
      </c>
      <c r="DH14" s="7">
        <v>5.0057999999999998</v>
      </c>
      <c r="DI14" s="7" t="s">
        <v>72</v>
      </c>
      <c r="DJ14" s="7">
        <v>4.2850000000000001</v>
      </c>
      <c r="DK14" s="7" t="s">
        <v>72</v>
      </c>
      <c r="DL14" s="7">
        <v>4.2641999999999998</v>
      </c>
      <c r="DM14" s="7" t="s">
        <v>72</v>
      </c>
      <c r="DN14" s="7">
        <v>4.4238</v>
      </c>
      <c r="DO14" s="7" t="s">
        <v>72</v>
      </c>
      <c r="DP14" s="7">
        <v>4.2666000000000004</v>
      </c>
      <c r="DQ14" s="7" t="s">
        <v>72</v>
      </c>
      <c r="DR14" s="7"/>
      <c r="DS14" s="7">
        <v>1.823</v>
      </c>
      <c r="DT14" s="7" t="s">
        <v>72</v>
      </c>
      <c r="DU14" s="7">
        <v>1.6848999999999998</v>
      </c>
      <c r="DV14" s="7" t="s">
        <v>72</v>
      </c>
      <c r="DW14" s="7">
        <v>1.6419000000000001</v>
      </c>
      <c r="DX14" s="7" t="s">
        <v>72</v>
      </c>
      <c r="DY14" s="7">
        <v>1.5800999999999998</v>
      </c>
      <c r="DZ14" s="7" t="s">
        <v>72</v>
      </c>
      <c r="EA14" s="7">
        <v>1.4214</v>
      </c>
      <c r="EB14" s="7" t="s">
        <v>72</v>
      </c>
      <c r="EC14" s="7">
        <v>1.3624000000000001</v>
      </c>
      <c r="ED14" s="7" t="s">
        <v>72</v>
      </c>
      <c r="EE14" s="7">
        <v>1.258</v>
      </c>
      <c r="EF14" s="7" t="s">
        <v>72</v>
      </c>
      <c r="EG14" s="7">
        <v>1.21</v>
      </c>
      <c r="EH14" s="7" t="s">
        <v>72</v>
      </c>
      <c r="EI14" s="7"/>
      <c r="EJ14" s="7">
        <v>16.374300000000002</v>
      </c>
      <c r="EK14" s="7">
        <v>16.642099999999999</v>
      </c>
      <c r="EL14" s="7">
        <v>12.815200000000001</v>
      </c>
      <c r="EM14" s="7">
        <v>14.219099999999999</v>
      </c>
      <c r="EN14" s="7">
        <v>10.861800000000001</v>
      </c>
      <c r="EO14" s="7">
        <v>11.0115</v>
      </c>
      <c r="EP14" s="7">
        <v>12.4</v>
      </c>
      <c r="EQ14" s="7">
        <v>10.4003</v>
      </c>
      <c r="ER14" s="7" t="s">
        <v>72</v>
      </c>
      <c r="ES14" s="7" t="s">
        <v>72</v>
      </c>
      <c r="ET14" s="7" t="s">
        <v>72</v>
      </c>
      <c r="EU14" s="7" t="s">
        <v>72</v>
      </c>
      <c r="EV14" s="7">
        <v>26.9</v>
      </c>
      <c r="EW14" s="7" t="s">
        <v>72</v>
      </c>
      <c r="EX14" s="7" t="s">
        <v>72</v>
      </c>
      <c r="EY14" s="7" t="s">
        <v>72</v>
      </c>
      <c r="EZ14" s="7"/>
      <c r="FA14" s="7">
        <v>1.7172000000000001</v>
      </c>
      <c r="FB14" s="7">
        <v>1.7452999999999999</v>
      </c>
      <c r="FC14" s="7">
        <v>1.2374000000000001</v>
      </c>
      <c r="FD14" s="7">
        <v>1.3729</v>
      </c>
      <c r="FE14" s="7">
        <v>1.4195</v>
      </c>
      <c r="FF14" s="7">
        <v>1.4391</v>
      </c>
      <c r="FG14" s="7">
        <v>1.3783000000000001</v>
      </c>
      <c r="FH14" s="7">
        <v>1.1559999999999999</v>
      </c>
      <c r="FI14" s="7" t="s">
        <v>72</v>
      </c>
      <c r="FJ14" s="7" t="s">
        <v>72</v>
      </c>
      <c r="FK14" s="7" t="s">
        <v>72</v>
      </c>
      <c r="FL14" s="7" t="s">
        <v>72</v>
      </c>
      <c r="FM14" s="7">
        <v>0.90139999999999998</v>
      </c>
      <c r="FN14" s="7" t="s">
        <v>72</v>
      </c>
      <c r="FO14" s="7" t="s">
        <v>72</v>
      </c>
      <c r="FP14" s="7">
        <v>1.0023</v>
      </c>
      <c r="FQ14" s="7"/>
      <c r="FR14" s="7">
        <v>894</v>
      </c>
      <c r="FS14" s="7" t="s">
        <v>72</v>
      </c>
      <c r="FT14" s="7">
        <v>7495</v>
      </c>
      <c r="FU14" s="7" t="s">
        <v>72</v>
      </c>
      <c r="FV14" s="7">
        <v>1227</v>
      </c>
      <c r="FW14" s="7" t="s">
        <v>72</v>
      </c>
      <c r="FX14" s="7">
        <v>1048</v>
      </c>
      <c r="FY14" s="7" t="s">
        <v>72</v>
      </c>
      <c r="FZ14" s="7">
        <v>1311</v>
      </c>
      <c r="GA14" s="7" t="s">
        <v>72</v>
      </c>
      <c r="GB14" s="7">
        <v>7162</v>
      </c>
      <c r="GC14" s="7" t="s">
        <v>72</v>
      </c>
      <c r="GD14" s="7">
        <v>8321</v>
      </c>
      <c r="GE14" s="7" t="s">
        <v>72</v>
      </c>
      <c r="GF14" s="7">
        <v>5795</v>
      </c>
      <c r="GG14" s="7" t="s">
        <v>72</v>
      </c>
      <c r="GH14" s="7"/>
      <c r="GI14" s="7">
        <v>29577</v>
      </c>
      <c r="GJ14" s="7" t="s">
        <v>72</v>
      </c>
      <c r="GK14" s="7">
        <v>32937</v>
      </c>
      <c r="GL14" s="7" t="s">
        <v>72</v>
      </c>
      <c r="GM14" s="7">
        <v>31549</v>
      </c>
      <c r="GN14" s="7" t="s">
        <v>72</v>
      </c>
      <c r="GO14" s="7">
        <v>30199</v>
      </c>
      <c r="GP14" s="7" t="s">
        <v>72</v>
      </c>
      <c r="GQ14" s="7">
        <v>29592</v>
      </c>
      <c r="GR14" s="7" t="s">
        <v>72</v>
      </c>
      <c r="GS14" s="7">
        <v>29033</v>
      </c>
      <c r="GT14" s="7" t="s">
        <v>72</v>
      </c>
      <c r="GU14" s="7">
        <v>26384</v>
      </c>
      <c r="GV14" s="7" t="s">
        <v>72</v>
      </c>
      <c r="GW14" s="7">
        <v>26202</v>
      </c>
      <c r="GX14" s="7" t="s">
        <v>72</v>
      </c>
      <c r="GY14" s="7"/>
      <c r="GZ14" s="7">
        <v>5877</v>
      </c>
      <c r="HA14" s="7" t="s">
        <v>72</v>
      </c>
      <c r="HB14" s="7">
        <v>7799</v>
      </c>
      <c r="HC14" s="7" t="s">
        <v>72</v>
      </c>
      <c r="HD14" s="7">
        <v>6983</v>
      </c>
      <c r="HE14" s="7" t="s">
        <v>72</v>
      </c>
      <c r="HF14" s="7">
        <v>7514</v>
      </c>
      <c r="HG14" s="7" t="s">
        <v>72</v>
      </c>
      <c r="HH14" s="7">
        <v>7505</v>
      </c>
      <c r="HI14" s="7" t="s">
        <v>72</v>
      </c>
      <c r="HJ14" s="7">
        <v>6729</v>
      </c>
      <c r="HK14" s="7" t="s">
        <v>72</v>
      </c>
      <c r="HL14" s="7">
        <v>5645</v>
      </c>
      <c r="HM14" s="7" t="s">
        <v>72</v>
      </c>
      <c r="HN14" s="7">
        <v>6344</v>
      </c>
      <c r="HO14" s="7" t="s">
        <v>72</v>
      </c>
      <c r="HP14" s="7"/>
      <c r="HQ14" s="216">
        <v>5.7671000000000001</v>
      </c>
      <c r="HR14" s="216" t="s">
        <v>72</v>
      </c>
      <c r="HS14" s="216">
        <v>6.7777000000000003</v>
      </c>
      <c r="HT14" s="216" t="s">
        <v>72</v>
      </c>
      <c r="HU14" s="216">
        <v>6.2988999999999997</v>
      </c>
      <c r="HV14" s="216" t="s">
        <v>72</v>
      </c>
      <c r="HW14" s="216">
        <v>6.7922000000000002</v>
      </c>
      <c r="HX14" s="216" t="s">
        <v>72</v>
      </c>
      <c r="HY14" s="216">
        <v>5.6759000000000004</v>
      </c>
      <c r="HZ14" s="216" t="s">
        <v>72</v>
      </c>
      <c r="IA14" s="216">
        <v>5.5506000000000002</v>
      </c>
      <c r="IB14" s="216" t="s">
        <v>72</v>
      </c>
      <c r="IC14" s="216">
        <v>3.911</v>
      </c>
      <c r="ID14" s="216" t="s">
        <v>72</v>
      </c>
      <c r="IE14" s="216">
        <v>4.4536999999999995</v>
      </c>
      <c r="IF14" s="216" t="s">
        <v>72</v>
      </c>
      <c r="IG14" s="7"/>
    </row>
    <row r="15" spans="1:242">
      <c r="A15" s="11" t="s">
        <v>374</v>
      </c>
      <c r="B15" s="7" t="s">
        <v>5</v>
      </c>
      <c r="C15" s="7"/>
      <c r="D15" s="7">
        <v>5043.6475</v>
      </c>
      <c r="E15" s="7">
        <v>4504.4821000000002</v>
      </c>
      <c r="F15" s="7">
        <v>3038.9324000000001</v>
      </c>
      <c r="G15" s="7">
        <v>2587.9940999999999</v>
      </c>
      <c r="H15" s="7">
        <v>3004.6219000000001</v>
      </c>
      <c r="I15" s="7">
        <v>3862.3851</v>
      </c>
      <c r="J15" s="7">
        <v>3151.6669999999999</v>
      </c>
      <c r="K15" s="7">
        <v>1568.4811999999999</v>
      </c>
      <c r="L15" s="7">
        <v>1411.6331</v>
      </c>
      <c r="M15" s="7">
        <v>1563.5797</v>
      </c>
      <c r="N15" s="7">
        <v>980.30079999999998</v>
      </c>
      <c r="O15" s="7">
        <v>1426.3376000000001</v>
      </c>
      <c r="P15" s="7">
        <v>2499.7669999999998</v>
      </c>
      <c r="Q15" s="7">
        <v>2313.5097999999998</v>
      </c>
      <c r="R15" s="7">
        <v>2940.9023000000002</v>
      </c>
      <c r="S15" s="7" t="s">
        <v>72</v>
      </c>
      <c r="T15" s="7"/>
      <c r="U15" s="7">
        <v>4517.7</v>
      </c>
      <c r="V15" s="7">
        <v>4506.4998999999998</v>
      </c>
      <c r="W15" s="7">
        <v>4571.1000999999997</v>
      </c>
      <c r="X15" s="7">
        <v>4526.5</v>
      </c>
      <c r="Y15" s="7">
        <v>4283</v>
      </c>
      <c r="Z15" s="7">
        <v>4303.3</v>
      </c>
      <c r="AA15" s="7">
        <v>4120.8</v>
      </c>
      <c r="AB15" s="7">
        <v>4016.7</v>
      </c>
      <c r="AC15" s="7">
        <v>3485.1</v>
      </c>
      <c r="AD15" s="7">
        <v>3350.6</v>
      </c>
      <c r="AE15" s="7">
        <v>3199.8</v>
      </c>
      <c r="AF15" s="7">
        <v>2951.1</v>
      </c>
      <c r="AG15" s="7">
        <v>2817.4</v>
      </c>
      <c r="AH15" s="7">
        <v>2697.2</v>
      </c>
      <c r="AI15" s="7">
        <v>1776.6</v>
      </c>
      <c r="AJ15" s="7" t="s">
        <v>72</v>
      </c>
      <c r="AK15" s="7"/>
      <c r="AL15" s="7">
        <v>0</v>
      </c>
      <c r="AM15" s="7" t="s">
        <v>72</v>
      </c>
      <c r="AN15" s="7" t="s">
        <v>72</v>
      </c>
      <c r="AO15" s="7">
        <v>0</v>
      </c>
      <c r="AP15" s="7">
        <v>0</v>
      </c>
      <c r="AQ15" s="7" t="s">
        <v>72</v>
      </c>
      <c r="AR15" s="7">
        <v>0</v>
      </c>
      <c r="AS15" s="7">
        <v>0</v>
      </c>
      <c r="AT15" s="7">
        <v>826.7</v>
      </c>
      <c r="AU15" s="7" t="s">
        <v>72</v>
      </c>
      <c r="AV15" s="7" t="s">
        <v>72</v>
      </c>
      <c r="AW15" s="7" t="s">
        <v>72</v>
      </c>
      <c r="AX15" s="7">
        <v>953.7</v>
      </c>
      <c r="AY15" s="7" t="s">
        <v>72</v>
      </c>
      <c r="AZ15" s="7" t="s">
        <v>72</v>
      </c>
      <c r="BA15" s="7" t="s">
        <v>72</v>
      </c>
      <c r="BB15" s="7"/>
      <c r="BC15" s="7">
        <v>4.2929000000000004</v>
      </c>
      <c r="BD15" s="7">
        <v>2.7644000000000002</v>
      </c>
      <c r="BE15" s="7">
        <v>1.8372999999999999</v>
      </c>
      <c r="BF15" s="7">
        <v>3.5535000000000001</v>
      </c>
      <c r="BG15" s="7">
        <v>-2.6909000000000001</v>
      </c>
      <c r="BH15" s="7">
        <v>2.0889000000000002</v>
      </c>
      <c r="BI15" s="7">
        <v>2.0714999999999999</v>
      </c>
      <c r="BJ15" s="7">
        <v>2.9079000000000002</v>
      </c>
      <c r="BK15" s="7">
        <v>-1.2839</v>
      </c>
      <c r="BL15" s="7">
        <v>2.8128000000000002</v>
      </c>
      <c r="BM15" s="7">
        <v>3.5548999999999999</v>
      </c>
      <c r="BN15" s="7">
        <v>3.2147999999999999</v>
      </c>
      <c r="BO15" s="7">
        <v>0.38800000000000001</v>
      </c>
      <c r="BP15" s="7">
        <v>2.2157999999999998</v>
      </c>
      <c r="BQ15" s="7">
        <v>2.2277</v>
      </c>
      <c r="BR15" s="7" t="s">
        <v>72</v>
      </c>
      <c r="BS15" s="7"/>
      <c r="BT15" s="7">
        <v>1.9875</v>
      </c>
      <c r="BU15" s="7">
        <v>2.0310999999999999</v>
      </c>
      <c r="BV15" s="7">
        <v>1.9903</v>
      </c>
      <c r="BW15" s="7">
        <v>2.0438999999999998</v>
      </c>
      <c r="BX15" s="7">
        <v>2.3746</v>
      </c>
      <c r="BY15" s="7">
        <v>2.4922</v>
      </c>
      <c r="BZ15" s="7">
        <v>2.4661</v>
      </c>
      <c r="CA15" s="7">
        <v>2.4581</v>
      </c>
      <c r="CB15" s="7">
        <v>2.0434000000000001</v>
      </c>
      <c r="CC15" s="7">
        <v>1.9392</v>
      </c>
      <c r="CD15" s="7">
        <v>1.9060999999999999</v>
      </c>
      <c r="CE15" s="7">
        <v>1.7988</v>
      </c>
      <c r="CF15" s="7">
        <v>1.8974</v>
      </c>
      <c r="CG15" s="7">
        <v>1.8827</v>
      </c>
      <c r="CH15" s="7">
        <v>1.2671000000000001</v>
      </c>
      <c r="CI15" s="7" t="s">
        <v>72</v>
      </c>
      <c r="CJ15"/>
      <c r="CK15" s="7">
        <v>10319.047500000001</v>
      </c>
      <c r="CL15" s="7">
        <v>9792.482</v>
      </c>
      <c r="CM15" s="7">
        <v>8313.5324999999993</v>
      </c>
      <c r="CN15" s="7">
        <v>7832.9940999999999</v>
      </c>
      <c r="CO15" s="7">
        <v>7840.6219000000001</v>
      </c>
      <c r="CP15" s="7">
        <v>8689.7850999999991</v>
      </c>
      <c r="CQ15" s="7">
        <v>7775.8670000000002</v>
      </c>
      <c r="CR15" s="7">
        <v>6075.2812000000004</v>
      </c>
      <c r="CS15" s="7">
        <v>5270.5330999999996</v>
      </c>
      <c r="CT15" s="7">
        <v>5289.9796999999999</v>
      </c>
      <c r="CU15" s="7">
        <v>4556.3008</v>
      </c>
      <c r="CV15" s="7">
        <v>4756.2376000000004</v>
      </c>
      <c r="CW15" s="7">
        <v>5707.1670000000004</v>
      </c>
      <c r="CX15" s="7">
        <v>5405.4098000000004</v>
      </c>
      <c r="CY15" s="7">
        <v>5111.6022999999996</v>
      </c>
      <c r="CZ15" s="7" t="s">
        <v>72</v>
      </c>
      <c r="DA15" s="7"/>
      <c r="DB15" s="7">
        <v>4.5397999999999996</v>
      </c>
      <c r="DC15" s="7">
        <v>4.4135999999999997</v>
      </c>
      <c r="DD15" s="7">
        <v>3.6198000000000001</v>
      </c>
      <c r="DE15" s="7">
        <v>3.5369999999999999</v>
      </c>
      <c r="DF15" s="7">
        <v>4.3469999999999995</v>
      </c>
      <c r="DG15" s="7">
        <v>5.0326000000000004</v>
      </c>
      <c r="DH15" s="7">
        <v>4.6533999999999995</v>
      </c>
      <c r="DI15" s="7">
        <v>3.7178</v>
      </c>
      <c r="DJ15" s="7">
        <v>3.0903</v>
      </c>
      <c r="DK15" s="7">
        <v>3.0617000000000001</v>
      </c>
      <c r="DL15" s="7">
        <v>2.7141999999999999</v>
      </c>
      <c r="DM15" s="7">
        <v>2.8990999999999998</v>
      </c>
      <c r="DN15" s="7">
        <v>3.8435000000000001</v>
      </c>
      <c r="DO15" s="7">
        <v>3.7730999999999999</v>
      </c>
      <c r="DP15" s="7">
        <v>3.6457000000000002</v>
      </c>
      <c r="DQ15" s="7" t="s">
        <v>72</v>
      </c>
      <c r="DR15" s="7"/>
      <c r="DS15" s="7">
        <v>1.7317</v>
      </c>
      <c r="DT15" s="7">
        <v>1.7845</v>
      </c>
      <c r="DU15" s="7">
        <v>1.5479000000000001</v>
      </c>
      <c r="DV15" s="7">
        <v>1.4929999999999999</v>
      </c>
      <c r="DW15" s="7">
        <v>1.43</v>
      </c>
      <c r="DX15" s="7">
        <v>1.518</v>
      </c>
      <c r="DY15" s="7">
        <v>1.2915000000000001</v>
      </c>
      <c r="DZ15" s="7">
        <v>1.0226999999999999</v>
      </c>
      <c r="EA15" s="7">
        <v>0.96930000000000005</v>
      </c>
      <c r="EB15" s="7">
        <v>0.98089999999999999</v>
      </c>
      <c r="EC15" s="7">
        <v>0.87039999999999995</v>
      </c>
      <c r="ED15" s="7">
        <v>0.93240000000000001</v>
      </c>
      <c r="EE15" s="7">
        <v>1.2439</v>
      </c>
      <c r="EF15" s="7">
        <v>1.2138</v>
      </c>
      <c r="EG15" s="7">
        <v>1.1727000000000001</v>
      </c>
      <c r="EH15" s="7" t="s">
        <v>72</v>
      </c>
      <c r="EI15" s="7"/>
      <c r="EJ15" s="7">
        <v>12.274000000000001</v>
      </c>
      <c r="EK15" s="7">
        <v>21.447700000000001</v>
      </c>
      <c r="EL15" s="7">
        <v>21.0275</v>
      </c>
      <c r="EM15" s="7">
        <v>24.029699999999998</v>
      </c>
      <c r="EN15" s="7">
        <v>75.873900000000006</v>
      </c>
      <c r="EO15" s="7">
        <v>967.22730000000001</v>
      </c>
      <c r="EP15" s="7">
        <v>24.817499999999999</v>
      </c>
      <c r="EQ15" s="7">
        <v>14.924300000000001</v>
      </c>
      <c r="ER15" s="7" t="s">
        <v>72</v>
      </c>
      <c r="ES15" s="7" t="s">
        <v>72</v>
      </c>
      <c r="ET15" s="7" t="s">
        <v>72</v>
      </c>
      <c r="EU15" s="7" t="s">
        <v>72</v>
      </c>
      <c r="EV15" s="7">
        <v>5.3414000000000001</v>
      </c>
      <c r="EW15" s="7" t="s">
        <v>72</v>
      </c>
      <c r="EX15" s="7" t="s">
        <v>72</v>
      </c>
      <c r="EY15" s="7" t="s">
        <v>72</v>
      </c>
      <c r="EZ15" s="7"/>
      <c r="FA15" s="7">
        <v>4.4777000000000005</v>
      </c>
      <c r="FB15" s="7">
        <v>3.6223999999999998</v>
      </c>
      <c r="FC15" s="7">
        <v>3.0564</v>
      </c>
      <c r="FD15" s="7">
        <v>2.2770000000000001</v>
      </c>
      <c r="FE15" s="7">
        <v>2.7324999999999999</v>
      </c>
      <c r="FF15" s="7">
        <v>3.2467999999999999</v>
      </c>
      <c r="FG15" s="7">
        <v>2.7231000000000001</v>
      </c>
      <c r="FH15" s="7">
        <v>1.1045</v>
      </c>
      <c r="FI15" s="7" t="s">
        <v>72</v>
      </c>
      <c r="FJ15" s="7" t="s">
        <v>72</v>
      </c>
      <c r="FK15" s="7" t="s">
        <v>72</v>
      </c>
      <c r="FL15" s="7" t="s">
        <v>72</v>
      </c>
      <c r="FM15" s="7">
        <v>1.5394999999999999</v>
      </c>
      <c r="FN15" s="7" t="s">
        <v>72</v>
      </c>
      <c r="FO15" s="7" t="s">
        <v>72</v>
      </c>
      <c r="FP15" s="7">
        <v>2.0434999999999999</v>
      </c>
      <c r="FQ15" s="7"/>
      <c r="FR15" s="7">
        <v>868.8</v>
      </c>
      <c r="FS15" s="7">
        <v>878.5</v>
      </c>
      <c r="FT15" s="7">
        <v>761.1</v>
      </c>
      <c r="FU15" s="7">
        <v>794.9</v>
      </c>
      <c r="FV15" s="7">
        <v>1004.3</v>
      </c>
      <c r="FW15" s="7">
        <v>469.1</v>
      </c>
      <c r="FX15" s="7">
        <v>867.4</v>
      </c>
      <c r="FY15" s="7">
        <v>1072</v>
      </c>
      <c r="FZ15" s="7">
        <v>683.4</v>
      </c>
      <c r="GA15" s="7">
        <v>849</v>
      </c>
      <c r="GB15" s="7">
        <v>1310.2</v>
      </c>
      <c r="GC15" s="7">
        <v>1040.8</v>
      </c>
      <c r="GD15" s="7">
        <v>1226.7</v>
      </c>
      <c r="GE15" s="7">
        <v>1430.9</v>
      </c>
      <c r="GF15" s="7">
        <v>1235</v>
      </c>
      <c r="GG15" s="7" t="s">
        <v>72</v>
      </c>
      <c r="GH15" s="7"/>
      <c r="GI15" s="7">
        <v>1884.1</v>
      </c>
      <c r="GJ15" s="7">
        <v>2025</v>
      </c>
      <c r="GK15" s="7">
        <v>1697.8</v>
      </c>
      <c r="GL15" s="7">
        <v>1855.1</v>
      </c>
      <c r="GM15" s="7">
        <v>1652.6</v>
      </c>
      <c r="GN15" s="7">
        <v>1713.7</v>
      </c>
      <c r="GO15" s="7">
        <v>1660.8</v>
      </c>
      <c r="GP15" s="7">
        <v>1910.2</v>
      </c>
      <c r="GQ15" s="7">
        <v>1757.3</v>
      </c>
      <c r="GR15" s="7">
        <v>1823.1</v>
      </c>
      <c r="GS15" s="7">
        <v>1897.2</v>
      </c>
      <c r="GT15" s="7">
        <v>1968.9</v>
      </c>
      <c r="GU15" s="7">
        <v>2013.8</v>
      </c>
      <c r="GV15" s="7">
        <v>2172.1999999999998</v>
      </c>
      <c r="GW15" s="7">
        <v>2241</v>
      </c>
      <c r="GX15" s="7" t="s">
        <v>72</v>
      </c>
      <c r="GY15" s="7"/>
      <c r="GZ15" s="7">
        <v>760.7</v>
      </c>
      <c r="HA15" s="7">
        <v>478.7</v>
      </c>
      <c r="HB15" s="7">
        <v>463.2</v>
      </c>
      <c r="HC15" s="7">
        <v>512</v>
      </c>
      <c r="HD15" s="7">
        <v>349.8</v>
      </c>
      <c r="HE15" s="7">
        <v>401.7</v>
      </c>
      <c r="HF15" s="7">
        <v>407.5</v>
      </c>
      <c r="HG15" s="7">
        <v>475.1</v>
      </c>
      <c r="HH15" s="7">
        <v>421.2</v>
      </c>
      <c r="HI15" s="7">
        <v>424</v>
      </c>
      <c r="HJ15" s="7">
        <v>358.4</v>
      </c>
      <c r="HK15" s="7">
        <v>437</v>
      </c>
      <c r="HL15" s="7">
        <v>265.5</v>
      </c>
      <c r="HM15" s="7">
        <v>371.7</v>
      </c>
      <c r="HN15" s="7">
        <v>327.9</v>
      </c>
      <c r="HO15" s="7" t="s">
        <v>72</v>
      </c>
      <c r="HP15" s="7"/>
      <c r="HQ15" s="216">
        <v>5.6951000000000001</v>
      </c>
      <c r="HR15" s="216">
        <v>5.4276999999999997</v>
      </c>
      <c r="HS15" s="216">
        <v>5.7199</v>
      </c>
      <c r="HT15" s="216">
        <v>4.8768000000000002</v>
      </c>
      <c r="HU15" s="216">
        <v>4.8898999999999999</v>
      </c>
      <c r="HV15" s="216">
        <v>6.6874000000000002</v>
      </c>
      <c r="HW15" s="216">
        <v>6</v>
      </c>
      <c r="HX15" s="216">
        <v>5.2976999999999999</v>
      </c>
      <c r="HY15" s="216">
        <v>3.6024000000000003</v>
      </c>
      <c r="HZ15" s="216">
        <v>4.4120999999999997</v>
      </c>
      <c r="IA15" s="216">
        <v>3.7010000000000001</v>
      </c>
      <c r="IB15" s="216">
        <v>4.4615999999999998</v>
      </c>
      <c r="IC15" s="216">
        <v>6.1590999999999996</v>
      </c>
      <c r="ID15" s="216">
        <v>6.2649999999999997</v>
      </c>
      <c r="IE15" s="216">
        <v>7.5407999999999999</v>
      </c>
      <c r="IF15" s="216" t="s">
        <v>72</v>
      </c>
      <c r="IG15" s="7"/>
    </row>
    <row r="16" spans="1:242">
      <c r="A16" s="11" t="s">
        <v>499</v>
      </c>
      <c r="B16" s="7" t="s">
        <v>6</v>
      </c>
      <c r="C16" s="7"/>
      <c r="D16" s="7">
        <v>20938.354599999999</v>
      </c>
      <c r="E16" s="7">
        <v>20514.968799999999</v>
      </c>
      <c r="F16" s="7">
        <v>17512.778200000001</v>
      </c>
      <c r="G16" s="7">
        <v>19753.664000000001</v>
      </c>
      <c r="H16" s="7">
        <v>18635.895700000001</v>
      </c>
      <c r="I16" s="7">
        <v>20909.9761</v>
      </c>
      <c r="J16" s="7">
        <v>18491.3567</v>
      </c>
      <c r="K16" s="7">
        <v>15800.5694</v>
      </c>
      <c r="L16" s="7">
        <v>16022.298000000001</v>
      </c>
      <c r="M16" s="7">
        <v>17188.782999999999</v>
      </c>
      <c r="N16" s="7">
        <v>15048.6204</v>
      </c>
      <c r="O16" s="7">
        <v>15038.98</v>
      </c>
      <c r="P16" s="7">
        <v>13168.7479</v>
      </c>
      <c r="Q16" s="7">
        <v>10623.6898</v>
      </c>
      <c r="R16" s="7">
        <v>10295.917100000001</v>
      </c>
      <c r="S16" s="7" t="s">
        <v>72</v>
      </c>
      <c r="T16" s="7"/>
      <c r="U16" s="7">
        <v>36391</v>
      </c>
      <c r="V16" s="7">
        <v>36002</v>
      </c>
      <c r="W16" s="7">
        <v>37251</v>
      </c>
      <c r="X16" s="7">
        <v>36679</v>
      </c>
      <c r="Y16" s="7">
        <v>34388</v>
      </c>
      <c r="Z16" s="7">
        <v>32791</v>
      </c>
      <c r="AA16" s="7">
        <v>33433</v>
      </c>
      <c r="AB16" s="7">
        <v>33558</v>
      </c>
      <c r="AC16" s="7">
        <v>33768</v>
      </c>
      <c r="AD16" s="7">
        <v>33395</v>
      </c>
      <c r="AE16" s="7">
        <v>34003</v>
      </c>
      <c r="AF16" s="7">
        <v>32976</v>
      </c>
      <c r="AG16" s="7">
        <v>31549</v>
      </c>
      <c r="AH16" s="7">
        <v>31870</v>
      </c>
      <c r="AI16" s="7">
        <v>31339</v>
      </c>
      <c r="AJ16" s="7" t="s">
        <v>72</v>
      </c>
      <c r="AK16" s="7"/>
      <c r="AL16" s="7">
        <v>1082</v>
      </c>
      <c r="AM16" s="7" t="s">
        <v>72</v>
      </c>
      <c r="AN16" s="7" t="s">
        <v>72</v>
      </c>
      <c r="AO16" s="7" t="s">
        <v>72</v>
      </c>
      <c r="AP16" s="7">
        <v>872</v>
      </c>
      <c r="AQ16" s="7" t="s">
        <v>72</v>
      </c>
      <c r="AR16" s="7" t="s">
        <v>72</v>
      </c>
      <c r="AS16" s="7" t="s">
        <v>72</v>
      </c>
      <c r="AT16" s="7">
        <v>975</v>
      </c>
      <c r="AU16" s="7" t="s">
        <v>72</v>
      </c>
      <c r="AV16" s="7" t="s">
        <v>72</v>
      </c>
      <c r="AW16" s="7" t="s">
        <v>72</v>
      </c>
      <c r="AX16" s="7">
        <v>865</v>
      </c>
      <c r="AY16" s="7" t="s">
        <v>72</v>
      </c>
      <c r="AZ16" s="7" t="s">
        <v>72</v>
      </c>
      <c r="BA16" s="7" t="s">
        <v>72</v>
      </c>
      <c r="BB16" s="7"/>
      <c r="BC16" s="7" t="s">
        <v>72</v>
      </c>
      <c r="BD16" s="7" t="s">
        <v>72</v>
      </c>
      <c r="BE16" s="7" t="s">
        <v>72</v>
      </c>
      <c r="BF16" s="7" t="s">
        <v>72</v>
      </c>
      <c r="BG16" s="7" t="s">
        <v>72</v>
      </c>
      <c r="BH16" s="7" t="s">
        <v>72</v>
      </c>
      <c r="BI16" s="7" t="s">
        <v>72</v>
      </c>
      <c r="BJ16" s="7" t="s">
        <v>72</v>
      </c>
      <c r="BK16" s="7">
        <v>1.6449</v>
      </c>
      <c r="BL16" s="7" t="s">
        <v>72</v>
      </c>
      <c r="BM16" s="7" t="s">
        <v>72</v>
      </c>
      <c r="BN16" s="7" t="s">
        <v>72</v>
      </c>
      <c r="BO16" s="7">
        <v>1.3711</v>
      </c>
      <c r="BP16" s="7" t="s">
        <v>72</v>
      </c>
      <c r="BQ16" s="7" t="s">
        <v>72</v>
      </c>
      <c r="BR16" s="7" t="s">
        <v>72</v>
      </c>
      <c r="BS16" s="7"/>
      <c r="BT16" s="7">
        <v>3.2726000000000002</v>
      </c>
      <c r="BU16" s="7">
        <v>3.2124999999999999</v>
      </c>
      <c r="BV16" s="7">
        <v>3.2948</v>
      </c>
      <c r="BW16" s="7">
        <v>3.3136999999999999</v>
      </c>
      <c r="BX16" s="7">
        <v>3.0133000000000001</v>
      </c>
      <c r="BY16" s="7">
        <v>2.8477000000000001</v>
      </c>
      <c r="BZ16" s="7">
        <v>2.8734999999999999</v>
      </c>
      <c r="CA16" s="7">
        <v>2.7778</v>
      </c>
      <c r="CB16" s="7">
        <v>2.7744999999999997</v>
      </c>
      <c r="CC16" s="7">
        <v>2.7362000000000002</v>
      </c>
      <c r="CD16" s="7">
        <v>2.8162000000000003</v>
      </c>
      <c r="CE16" s="7">
        <v>2.7747999999999999</v>
      </c>
      <c r="CF16" s="7">
        <v>2.673</v>
      </c>
      <c r="CG16" s="7">
        <v>2.7683999999999997</v>
      </c>
      <c r="CH16" s="7">
        <v>2.8031000000000001</v>
      </c>
      <c r="CI16" s="7" t="s">
        <v>72</v>
      </c>
      <c r="CJ16"/>
      <c r="CK16" s="7">
        <v>58497.354599999999</v>
      </c>
      <c r="CL16" s="7">
        <v>57738.968800000002</v>
      </c>
      <c r="CM16" s="7">
        <v>56127.778200000001</v>
      </c>
      <c r="CN16" s="7">
        <v>57779.663999999997</v>
      </c>
      <c r="CO16" s="7">
        <v>56814.895700000001</v>
      </c>
      <c r="CP16" s="7">
        <v>57262.9761</v>
      </c>
      <c r="CQ16" s="7">
        <v>55517.356699999997</v>
      </c>
      <c r="CR16" s="7">
        <v>52908.5694</v>
      </c>
      <c r="CS16" s="7">
        <v>53694.298000000003</v>
      </c>
      <c r="CT16" s="7">
        <v>54501.783000000003</v>
      </c>
      <c r="CU16" s="7">
        <v>52961.6204</v>
      </c>
      <c r="CV16" s="7">
        <v>51828.98</v>
      </c>
      <c r="CW16" s="7">
        <v>48351.747900000002</v>
      </c>
      <c r="CX16" s="7">
        <v>46308.6898</v>
      </c>
      <c r="CY16" s="7">
        <v>45150.917099999999</v>
      </c>
      <c r="CZ16" s="7" t="s">
        <v>72</v>
      </c>
      <c r="DA16" s="7"/>
      <c r="DB16" s="7">
        <v>5.2606000000000002</v>
      </c>
      <c r="DC16" s="7">
        <v>5.1520000000000001</v>
      </c>
      <c r="DD16" s="7">
        <v>4.9644000000000004</v>
      </c>
      <c r="DE16" s="7">
        <v>5.22</v>
      </c>
      <c r="DF16" s="7">
        <v>4.9785000000000004</v>
      </c>
      <c r="DG16" s="7">
        <v>4.9729000000000001</v>
      </c>
      <c r="DH16" s="7">
        <v>4.7716000000000003</v>
      </c>
      <c r="DI16" s="7">
        <v>4.3795000000000002</v>
      </c>
      <c r="DJ16" s="7">
        <v>4.4116999999999997</v>
      </c>
      <c r="DK16" s="7">
        <v>4.4655000000000005</v>
      </c>
      <c r="DL16" s="7">
        <v>4.3864000000000001</v>
      </c>
      <c r="DM16" s="7">
        <v>4.3612000000000002</v>
      </c>
      <c r="DN16" s="7">
        <v>4.0965999999999996</v>
      </c>
      <c r="DO16" s="7">
        <v>4.0225999999999997</v>
      </c>
      <c r="DP16" s="7">
        <v>4.0385</v>
      </c>
      <c r="DQ16" s="7" t="s">
        <v>72</v>
      </c>
      <c r="DR16" s="7"/>
      <c r="DS16" s="7">
        <v>2.2124000000000001</v>
      </c>
      <c r="DT16" s="7">
        <v>2.1873</v>
      </c>
      <c r="DU16" s="7">
        <v>2.1307</v>
      </c>
      <c r="DV16" s="7">
        <v>2.1932</v>
      </c>
      <c r="DW16" s="7">
        <v>2.0607000000000002</v>
      </c>
      <c r="DX16" s="7">
        <v>2.0333999999999999</v>
      </c>
      <c r="DY16" s="7">
        <v>1.9216</v>
      </c>
      <c r="DZ16" s="7">
        <v>1.7795999999999998</v>
      </c>
      <c r="EA16" s="7">
        <v>1.7924</v>
      </c>
      <c r="EB16" s="7">
        <v>1.8002</v>
      </c>
      <c r="EC16" s="7">
        <v>1.7532999999999999</v>
      </c>
      <c r="ED16" s="7">
        <v>1.73</v>
      </c>
      <c r="EE16" s="7">
        <v>1.6389</v>
      </c>
      <c r="EF16" s="7">
        <v>1.6019999999999999</v>
      </c>
      <c r="EG16" s="7">
        <v>1.5859000000000001</v>
      </c>
      <c r="EH16" s="7" t="s">
        <v>72</v>
      </c>
      <c r="EI16" s="7"/>
      <c r="EJ16" s="7" t="s">
        <v>72</v>
      </c>
      <c r="EK16" s="7">
        <v>8.9060000000000006</v>
      </c>
      <c r="EL16" s="7">
        <v>7.2773000000000003</v>
      </c>
      <c r="EM16" s="7">
        <v>8.6682000000000006</v>
      </c>
      <c r="EN16" s="7" t="s">
        <v>72</v>
      </c>
      <c r="EO16" s="7">
        <v>6.8076999999999996</v>
      </c>
      <c r="EP16" s="7" t="s">
        <v>72</v>
      </c>
      <c r="EQ16" s="7">
        <v>206.11170000000001</v>
      </c>
      <c r="ER16" s="7" t="s">
        <v>72</v>
      </c>
      <c r="ES16" s="7" t="s">
        <v>72</v>
      </c>
      <c r="ET16" s="7" t="s">
        <v>72</v>
      </c>
      <c r="EU16" s="7" t="s">
        <v>72</v>
      </c>
      <c r="EV16" s="7" t="s">
        <v>72</v>
      </c>
      <c r="EW16" s="7" t="s">
        <v>72</v>
      </c>
      <c r="EX16" s="7" t="s">
        <v>72</v>
      </c>
      <c r="EY16" s="7" t="s">
        <v>72</v>
      </c>
      <c r="EZ16" s="7"/>
      <c r="FA16" s="7" t="s">
        <v>72</v>
      </c>
      <c r="FB16" s="7">
        <v>0.76880000000000004</v>
      </c>
      <c r="FC16" s="7">
        <v>0.65180000000000005</v>
      </c>
      <c r="FD16" s="7">
        <v>0.72699999999999998</v>
      </c>
      <c r="FE16" s="7" t="s">
        <v>72</v>
      </c>
      <c r="FF16" s="7">
        <v>0.71089999999999998</v>
      </c>
      <c r="FG16" s="7">
        <v>0.71779999999999999</v>
      </c>
      <c r="FH16" s="7">
        <v>0.60150000000000003</v>
      </c>
      <c r="FI16" s="7" t="s">
        <v>72</v>
      </c>
      <c r="FJ16" s="7" t="s">
        <v>72</v>
      </c>
      <c r="FK16" s="7" t="s">
        <v>72</v>
      </c>
      <c r="FL16" s="7" t="s">
        <v>72</v>
      </c>
      <c r="FM16" s="7" t="s">
        <v>72</v>
      </c>
      <c r="FN16" s="7" t="s">
        <v>72</v>
      </c>
      <c r="FO16" s="7" t="s">
        <v>72</v>
      </c>
      <c r="FP16" s="7">
        <v>0.69340000000000002</v>
      </c>
      <c r="FQ16" s="7"/>
      <c r="FR16" s="7">
        <v>5504</v>
      </c>
      <c r="FS16" s="7">
        <v>4560</v>
      </c>
      <c r="FT16" s="7">
        <v>3507</v>
      </c>
      <c r="FU16" s="7">
        <v>3818</v>
      </c>
      <c r="FV16" s="7">
        <v>5526</v>
      </c>
      <c r="FW16" s="7">
        <v>5487</v>
      </c>
      <c r="FX16" s="7">
        <v>3760</v>
      </c>
      <c r="FY16" s="7">
        <v>4142</v>
      </c>
      <c r="FZ16" s="7">
        <v>6714</v>
      </c>
      <c r="GA16" s="7">
        <v>5492</v>
      </c>
      <c r="GB16" s="7">
        <v>6029</v>
      </c>
      <c r="GC16" s="7">
        <v>6754</v>
      </c>
      <c r="GD16" s="7">
        <v>7436</v>
      </c>
      <c r="GE16" s="7">
        <v>6476</v>
      </c>
      <c r="GF16" s="7">
        <v>4793</v>
      </c>
      <c r="GG16" s="7" t="s">
        <v>72</v>
      </c>
      <c r="GH16" s="7"/>
      <c r="GI16" s="7">
        <v>27120</v>
      </c>
      <c r="GJ16" s="7">
        <v>27907</v>
      </c>
      <c r="GK16" s="7">
        <v>28234</v>
      </c>
      <c r="GL16" s="7">
        <v>28518</v>
      </c>
      <c r="GM16" s="7">
        <v>32610</v>
      </c>
      <c r="GN16" s="7">
        <v>32975</v>
      </c>
      <c r="GO16" s="7">
        <v>29354</v>
      </c>
      <c r="GP16" s="7">
        <v>29818</v>
      </c>
      <c r="GQ16" s="7">
        <v>26694</v>
      </c>
      <c r="GR16" s="7">
        <v>27074</v>
      </c>
      <c r="GS16" s="7">
        <v>26828</v>
      </c>
      <c r="GT16" s="7">
        <v>27150</v>
      </c>
      <c r="GU16" s="7">
        <v>23012</v>
      </c>
      <c r="GV16" s="7">
        <v>23758</v>
      </c>
      <c r="GW16" s="7">
        <v>20478</v>
      </c>
      <c r="GX16" s="7" t="s">
        <v>72</v>
      </c>
      <c r="GY16" s="7"/>
      <c r="GZ16" s="7">
        <v>2594</v>
      </c>
      <c r="HA16" s="7">
        <v>2826</v>
      </c>
      <c r="HB16" s="7">
        <v>2907</v>
      </c>
      <c r="HC16" s="7">
        <v>2742</v>
      </c>
      <c r="HD16" s="7">
        <v>2937</v>
      </c>
      <c r="HE16" s="7">
        <v>2929</v>
      </c>
      <c r="HF16" s="7">
        <v>3027</v>
      </c>
      <c r="HG16" s="7">
        <v>3188</v>
      </c>
      <c r="HH16" s="7">
        <v>3027</v>
      </c>
      <c r="HI16" s="7">
        <v>2963</v>
      </c>
      <c r="HJ16" s="7">
        <v>2896</v>
      </c>
      <c r="HK16" s="7">
        <v>2998</v>
      </c>
      <c r="HL16" s="7">
        <v>2946</v>
      </c>
      <c r="HM16" s="7">
        <v>2672</v>
      </c>
      <c r="HN16" s="7">
        <v>2564</v>
      </c>
      <c r="HO16" s="7" t="s">
        <v>72</v>
      </c>
      <c r="HP16" s="7"/>
      <c r="HQ16" s="216">
        <v>5.7655000000000003</v>
      </c>
      <c r="HR16" s="216">
        <v>5.6718999999999999</v>
      </c>
      <c r="HS16" s="216">
        <v>6.5477999999999996</v>
      </c>
      <c r="HT16" s="216">
        <v>6.1421000000000001</v>
      </c>
      <c r="HU16" s="216">
        <v>6.2971000000000004</v>
      </c>
      <c r="HV16" s="216">
        <v>6.2187999999999999</v>
      </c>
      <c r="HW16" s="216">
        <v>5.3169000000000004</v>
      </c>
      <c r="HX16" s="216">
        <v>5.34</v>
      </c>
      <c r="HY16" s="216">
        <v>6.4840999999999998</v>
      </c>
      <c r="HZ16" s="216">
        <v>5.0316999999999998</v>
      </c>
      <c r="IA16" s="216">
        <v>4.4500999999999999</v>
      </c>
      <c r="IB16" s="216">
        <v>4.1136999999999997</v>
      </c>
      <c r="IC16" s="216">
        <v>4.9843000000000002</v>
      </c>
      <c r="ID16" s="216">
        <v>3.7029999999999998</v>
      </c>
      <c r="IE16" s="216">
        <v>5.3293999999999997</v>
      </c>
      <c r="IF16" s="216" t="s">
        <v>72</v>
      </c>
      <c r="IG16" s="7"/>
    </row>
    <row r="17" spans="1:241">
      <c r="A17" s="11" t="s">
        <v>500</v>
      </c>
      <c r="B17" s="7" t="s">
        <v>14</v>
      </c>
      <c r="C17" s="7"/>
      <c r="D17" s="7">
        <v>134221.14689999999</v>
      </c>
      <c r="E17" s="7">
        <v>133625.93400000001</v>
      </c>
      <c r="F17" s="7">
        <v>137024.6085</v>
      </c>
      <c r="G17" s="7">
        <v>152691.57689999999</v>
      </c>
      <c r="H17" s="7">
        <v>154691.94409999999</v>
      </c>
      <c r="I17" s="7">
        <v>150867.99</v>
      </c>
      <c r="J17" s="7">
        <v>146474.49309999999</v>
      </c>
      <c r="K17" s="7">
        <v>146828.1122</v>
      </c>
      <c r="L17" s="7">
        <v>155413.82939999999</v>
      </c>
      <c r="M17" s="7">
        <v>164730.50880000001</v>
      </c>
      <c r="N17" s="7">
        <v>159050.3866</v>
      </c>
      <c r="O17" s="7">
        <v>174246.19159999999</v>
      </c>
      <c r="P17" s="7">
        <v>173259.02970000001</v>
      </c>
      <c r="Q17" s="7">
        <v>199205.3596</v>
      </c>
      <c r="R17" s="7">
        <v>187817.73920000001</v>
      </c>
      <c r="S17" s="7" t="s">
        <v>72</v>
      </c>
      <c r="T17" s="7"/>
      <c r="U17" s="7">
        <v>27863</v>
      </c>
      <c r="V17" s="7">
        <v>22692</v>
      </c>
      <c r="W17" s="7">
        <v>26981</v>
      </c>
      <c r="X17" s="7">
        <v>21442</v>
      </c>
      <c r="Y17" s="7">
        <v>20846</v>
      </c>
      <c r="Z17" s="7">
        <v>20069</v>
      </c>
      <c r="AA17" s="7">
        <v>25984</v>
      </c>
      <c r="AB17" s="7">
        <v>21577</v>
      </c>
      <c r="AC17" s="7">
        <v>21025</v>
      </c>
      <c r="AD17" s="7">
        <v>25289</v>
      </c>
      <c r="AE17" s="7">
        <v>33768</v>
      </c>
      <c r="AF17" s="7">
        <v>33193</v>
      </c>
      <c r="AG17" s="7">
        <v>41296</v>
      </c>
      <c r="AH17" s="7">
        <v>37747</v>
      </c>
      <c r="AI17" s="7">
        <v>39215</v>
      </c>
      <c r="AJ17" s="7" t="s">
        <v>72</v>
      </c>
      <c r="AK17" s="7"/>
      <c r="AL17" s="7">
        <v>10953</v>
      </c>
      <c r="AM17" s="7" t="s">
        <v>72</v>
      </c>
      <c r="AN17" s="7" t="s">
        <v>72</v>
      </c>
      <c r="AO17" s="7" t="s">
        <v>72</v>
      </c>
      <c r="AP17" s="7">
        <v>11843</v>
      </c>
      <c r="AQ17" s="7" t="s">
        <v>72</v>
      </c>
      <c r="AR17" s="7" t="s">
        <v>72</v>
      </c>
      <c r="AS17" s="7" t="s">
        <v>72</v>
      </c>
      <c r="AT17" s="7">
        <v>10054</v>
      </c>
      <c r="AU17" s="7" t="s">
        <v>72</v>
      </c>
      <c r="AV17" s="7" t="s">
        <v>72</v>
      </c>
      <c r="AW17" s="7" t="s">
        <v>72</v>
      </c>
      <c r="AX17" s="7">
        <v>8646</v>
      </c>
      <c r="AY17" s="7" t="s">
        <v>72</v>
      </c>
      <c r="AZ17" s="7" t="s">
        <v>72</v>
      </c>
      <c r="BA17" s="7" t="s">
        <v>72</v>
      </c>
      <c r="BB17" s="7"/>
      <c r="BC17" s="7" t="s">
        <v>72</v>
      </c>
      <c r="BD17" s="7" t="s">
        <v>72</v>
      </c>
      <c r="BE17" s="7">
        <v>7.7995000000000001</v>
      </c>
      <c r="BF17" s="7" t="s">
        <v>72</v>
      </c>
      <c r="BG17" s="7" t="s">
        <v>72</v>
      </c>
      <c r="BH17" s="7" t="s">
        <v>72</v>
      </c>
      <c r="BI17" s="7">
        <v>5.9074999999999998</v>
      </c>
      <c r="BJ17" s="7">
        <v>7.9965000000000002</v>
      </c>
      <c r="BK17" s="7">
        <v>5.4036999999999997</v>
      </c>
      <c r="BL17" s="7">
        <v>5.8254000000000001</v>
      </c>
      <c r="BM17" s="7">
        <v>5.4282000000000004</v>
      </c>
      <c r="BN17" s="7">
        <v>6.8220000000000001</v>
      </c>
      <c r="BO17" s="7">
        <v>6.5747999999999998</v>
      </c>
      <c r="BP17" s="7">
        <v>8.3156999999999996</v>
      </c>
      <c r="BQ17" s="7">
        <v>8.8516999999999992</v>
      </c>
      <c r="BR17" s="7" t="s">
        <v>72</v>
      </c>
      <c r="BS17" s="7"/>
      <c r="BT17" s="7">
        <v>0.84250000000000003</v>
      </c>
      <c r="BU17" s="7">
        <v>0.7016</v>
      </c>
      <c r="BV17" s="7">
        <v>0.91379999999999995</v>
      </c>
      <c r="BW17" s="7">
        <v>0.73880000000000001</v>
      </c>
      <c r="BX17" s="7">
        <v>0.70840000000000003</v>
      </c>
      <c r="BY17" s="7">
        <v>0.67659999999999998</v>
      </c>
      <c r="BZ17" s="7">
        <v>0.86660000000000004</v>
      </c>
      <c r="CA17" s="7">
        <v>0.71230000000000004</v>
      </c>
      <c r="CB17" s="7">
        <v>0.61150000000000004</v>
      </c>
      <c r="CC17" s="7">
        <v>0.65720000000000001</v>
      </c>
      <c r="CD17" s="7">
        <v>0.86480000000000001</v>
      </c>
      <c r="CE17" s="7">
        <v>0.84570000000000001</v>
      </c>
      <c r="CF17" s="7">
        <v>1.0387999999999999</v>
      </c>
      <c r="CG17" s="7">
        <v>1.0367</v>
      </c>
      <c r="CH17" s="7">
        <v>1.0510999999999999</v>
      </c>
      <c r="CI17" s="7" t="s">
        <v>72</v>
      </c>
      <c r="CJ17"/>
      <c r="CK17" s="7">
        <v>171173.14689999999</v>
      </c>
      <c r="CL17" s="7">
        <v>166746.93400000001</v>
      </c>
      <c r="CM17" s="7">
        <v>174427.6085</v>
      </c>
      <c r="CN17" s="7">
        <v>182859.57689999999</v>
      </c>
      <c r="CO17" s="7">
        <v>183888.94409999999</v>
      </c>
      <c r="CP17" s="7">
        <v>178639.99</v>
      </c>
      <c r="CQ17" s="7">
        <v>178863.49309999999</v>
      </c>
      <c r="CR17" s="7">
        <v>174551.1122</v>
      </c>
      <c r="CS17" s="7">
        <v>179348.82939999999</v>
      </c>
      <c r="CT17" s="7">
        <v>191187.50880000001</v>
      </c>
      <c r="CU17" s="7">
        <v>197002.3866</v>
      </c>
      <c r="CV17" s="7">
        <v>211076.19159999999</v>
      </c>
      <c r="CW17" s="7">
        <v>217612.02970000001</v>
      </c>
      <c r="CX17" s="7">
        <v>240506.3596</v>
      </c>
      <c r="CY17" s="7">
        <v>230589.73920000001</v>
      </c>
      <c r="CZ17" s="7" t="s">
        <v>72</v>
      </c>
      <c r="DA17" s="7"/>
      <c r="DB17" s="7">
        <v>5.1759000000000004</v>
      </c>
      <c r="DC17" s="7">
        <v>5.1558999999999999</v>
      </c>
      <c r="DD17" s="7">
        <v>5.9076000000000004</v>
      </c>
      <c r="DE17" s="7">
        <v>6.3009000000000004</v>
      </c>
      <c r="DF17" s="7">
        <v>6.2493999999999996</v>
      </c>
      <c r="DG17" s="7">
        <v>6.0228999999999999</v>
      </c>
      <c r="DH17" s="7">
        <v>5.9653</v>
      </c>
      <c r="DI17" s="7">
        <v>5.7625000000000002</v>
      </c>
      <c r="DJ17" s="7">
        <v>5.2164000000000001</v>
      </c>
      <c r="DK17" s="7">
        <v>4.9681999999999995</v>
      </c>
      <c r="DL17" s="7">
        <v>5.0453000000000001</v>
      </c>
      <c r="DM17" s="7">
        <v>5.3780999999999999</v>
      </c>
      <c r="DN17" s="7">
        <v>5.4737999999999998</v>
      </c>
      <c r="DO17" s="7">
        <v>6.6056999999999997</v>
      </c>
      <c r="DP17" s="7">
        <v>6.1806999999999999</v>
      </c>
      <c r="DQ17" s="7" t="s">
        <v>72</v>
      </c>
      <c r="DR17" s="7"/>
      <c r="DS17" s="7">
        <v>1.8862000000000001</v>
      </c>
      <c r="DT17" s="7">
        <v>1.8847</v>
      </c>
      <c r="DU17" s="7">
        <v>1.9931000000000001</v>
      </c>
      <c r="DV17" s="7">
        <v>2.0581999999999998</v>
      </c>
      <c r="DW17" s="7">
        <v>2.0074999999999998</v>
      </c>
      <c r="DX17" s="7">
        <v>1.9135</v>
      </c>
      <c r="DY17" s="7">
        <v>1.8995</v>
      </c>
      <c r="DZ17" s="7">
        <v>1.8431999999999999</v>
      </c>
      <c r="EA17" s="7">
        <v>1.8205</v>
      </c>
      <c r="EB17" s="7">
        <v>1.9207000000000001</v>
      </c>
      <c r="EC17" s="7">
        <v>1.9594</v>
      </c>
      <c r="ED17" s="7">
        <v>2.0865</v>
      </c>
      <c r="EE17" s="7">
        <v>2.1393</v>
      </c>
      <c r="EF17" s="7">
        <v>2.3738000000000001</v>
      </c>
      <c r="EG17" s="7">
        <v>2.2671999999999999</v>
      </c>
      <c r="EH17" s="7" t="s">
        <v>72</v>
      </c>
      <c r="EI17" s="7"/>
      <c r="EJ17" s="7" t="s">
        <v>72</v>
      </c>
      <c r="EK17" s="7">
        <v>15.087999999999999</v>
      </c>
      <c r="EL17" s="7">
        <v>8.0397999999999996</v>
      </c>
      <c r="EM17" s="7">
        <v>10.1319</v>
      </c>
      <c r="EN17" s="7" t="s">
        <v>72</v>
      </c>
      <c r="EO17" s="7">
        <v>9.0411999999999999</v>
      </c>
      <c r="EP17" s="7">
        <v>12.5586</v>
      </c>
      <c r="EQ17" s="7">
        <v>12.2468</v>
      </c>
      <c r="ER17" s="7" t="s">
        <v>72</v>
      </c>
      <c r="ES17" s="7" t="s">
        <v>72</v>
      </c>
      <c r="ET17" s="7" t="s">
        <v>72</v>
      </c>
      <c r="EU17" s="7" t="s">
        <v>72</v>
      </c>
      <c r="EV17" s="7" t="s">
        <v>72</v>
      </c>
      <c r="EW17" s="7" t="s">
        <v>72</v>
      </c>
      <c r="EX17" s="7" t="s">
        <v>72</v>
      </c>
      <c r="EY17" s="7" t="s">
        <v>72</v>
      </c>
      <c r="EZ17" s="7"/>
      <c r="FA17" s="7" t="s">
        <v>72</v>
      </c>
      <c r="FB17" s="7">
        <v>1.7093</v>
      </c>
      <c r="FC17" s="7">
        <v>1.5470000000000002</v>
      </c>
      <c r="FD17" s="7">
        <v>1.7583</v>
      </c>
      <c r="FE17" s="7" t="s">
        <v>72</v>
      </c>
      <c r="FF17" s="7">
        <v>1.6901000000000002</v>
      </c>
      <c r="FG17" s="7">
        <v>1.7549999999999999</v>
      </c>
      <c r="FH17" s="7">
        <v>1.6785999999999999</v>
      </c>
      <c r="FI17" s="7" t="s">
        <v>72</v>
      </c>
      <c r="FJ17" s="7" t="s">
        <v>72</v>
      </c>
      <c r="FK17" s="7" t="s">
        <v>72</v>
      </c>
      <c r="FL17" s="7" t="s">
        <v>72</v>
      </c>
      <c r="FM17" s="7" t="s">
        <v>72</v>
      </c>
      <c r="FN17" s="7" t="s">
        <v>72</v>
      </c>
      <c r="FO17" s="7" t="s">
        <v>72</v>
      </c>
      <c r="FP17" s="7">
        <v>3.0063</v>
      </c>
      <c r="FQ17" s="7"/>
      <c r="FR17" s="7">
        <v>11479</v>
      </c>
      <c r="FS17" s="7">
        <v>16439</v>
      </c>
      <c r="FT17" s="7">
        <v>14628</v>
      </c>
      <c r="FU17" s="7">
        <v>13361</v>
      </c>
      <c r="FV17" s="7">
        <v>13606</v>
      </c>
      <c r="FW17" s="7">
        <v>15207</v>
      </c>
      <c r="FX17" s="7">
        <v>11082</v>
      </c>
      <c r="FY17" s="7">
        <v>11728</v>
      </c>
      <c r="FZ17" s="7">
        <v>12899</v>
      </c>
      <c r="GA17" s="7">
        <v>12687</v>
      </c>
      <c r="GB17" s="7">
        <v>13945</v>
      </c>
      <c r="GC17" s="7">
        <v>8908</v>
      </c>
      <c r="GD17" s="7">
        <v>8805</v>
      </c>
      <c r="GE17" s="7">
        <v>9838</v>
      </c>
      <c r="GF17" s="7">
        <v>16944</v>
      </c>
      <c r="GG17" s="7" t="s">
        <v>72</v>
      </c>
      <c r="GH17" s="7"/>
      <c r="GI17" s="7">
        <v>85065</v>
      </c>
      <c r="GJ17" s="7">
        <v>88603</v>
      </c>
      <c r="GK17" s="7">
        <v>98999</v>
      </c>
      <c r="GL17" s="7">
        <v>95565</v>
      </c>
      <c r="GM17" s="7">
        <v>96218</v>
      </c>
      <c r="GN17" s="7">
        <v>96969</v>
      </c>
      <c r="GO17" s="7">
        <v>89868</v>
      </c>
      <c r="GP17" s="7">
        <v>93616</v>
      </c>
      <c r="GQ17" s="7">
        <v>86902</v>
      </c>
      <c r="GR17" s="7">
        <v>82771</v>
      </c>
      <c r="GS17" s="7">
        <v>75487</v>
      </c>
      <c r="GT17" s="7">
        <v>76652</v>
      </c>
      <c r="GU17" s="7">
        <v>77237</v>
      </c>
      <c r="GV17" s="7">
        <v>81899</v>
      </c>
      <c r="GW17" s="7">
        <v>74853</v>
      </c>
      <c r="GX17" s="7" t="s">
        <v>72</v>
      </c>
      <c r="GY17" s="7"/>
      <c r="GZ17" s="7">
        <v>6859</v>
      </c>
      <c r="HA17" s="7">
        <v>7166</v>
      </c>
      <c r="HB17" s="7">
        <v>6976</v>
      </c>
      <c r="HC17" s="7">
        <v>8020</v>
      </c>
      <c r="HD17" s="7">
        <v>7263</v>
      </c>
      <c r="HE17" s="7">
        <v>7401</v>
      </c>
      <c r="HF17" s="7">
        <v>7300</v>
      </c>
      <c r="HG17" s="7">
        <v>8327</v>
      </c>
      <c r="HH17" s="7">
        <v>11354</v>
      </c>
      <c r="HI17" s="7">
        <v>11501</v>
      </c>
      <c r="HJ17" s="7">
        <v>7865</v>
      </c>
      <c r="HK17" s="7">
        <v>8527</v>
      </c>
      <c r="HL17" s="7">
        <v>11862</v>
      </c>
      <c r="HM17" s="7">
        <v>8155</v>
      </c>
      <c r="HN17" s="7">
        <v>8764</v>
      </c>
      <c r="HO17" s="7" t="s">
        <v>72</v>
      </c>
      <c r="HP17" s="7"/>
      <c r="HQ17" s="216">
        <v>9.3628</v>
      </c>
      <c r="HR17" s="216">
        <v>8.4243000000000006</v>
      </c>
      <c r="HS17" s="216">
        <v>10.4986</v>
      </c>
      <c r="HT17" s="216">
        <v>9.3257999999999992</v>
      </c>
      <c r="HU17" s="216">
        <v>11.4527</v>
      </c>
      <c r="HV17" s="216">
        <v>12.677300000000001</v>
      </c>
      <c r="HW17" s="216">
        <v>12.357900000000001</v>
      </c>
      <c r="HX17" s="216">
        <v>9.7513000000000005</v>
      </c>
      <c r="HY17" s="216">
        <v>9.9550999999999998</v>
      </c>
      <c r="HZ17" s="216">
        <v>9.8854000000000006</v>
      </c>
      <c r="IA17" s="216">
        <v>10.507</v>
      </c>
      <c r="IB17" s="216">
        <v>9.8899000000000008</v>
      </c>
      <c r="IC17" s="216">
        <v>9.41</v>
      </c>
      <c r="ID17" s="216">
        <v>8.8734000000000002</v>
      </c>
      <c r="IE17" s="216">
        <v>9.6113</v>
      </c>
      <c r="IF17" s="216" t="s">
        <v>72</v>
      </c>
      <c r="IG17" s="7"/>
    </row>
    <row r="18" spans="1:241">
      <c r="A18" s="11" t="s">
        <v>501</v>
      </c>
      <c r="B18" s="7" t="s">
        <v>7</v>
      </c>
      <c r="C18" s="7"/>
      <c r="D18" s="7">
        <v>19285.647000000001</v>
      </c>
      <c r="E18" s="7">
        <v>18980.8253</v>
      </c>
      <c r="F18" s="7">
        <v>16950.055</v>
      </c>
      <c r="G18" s="7">
        <v>17841.259099999999</v>
      </c>
      <c r="H18" s="7">
        <v>17172.8999</v>
      </c>
      <c r="I18" s="7">
        <v>18369.581900000001</v>
      </c>
      <c r="J18" s="7">
        <v>15328.3616</v>
      </c>
      <c r="K18" s="7">
        <v>14628.9877</v>
      </c>
      <c r="L18" s="7">
        <v>13234.425300000001</v>
      </c>
      <c r="M18" s="7">
        <v>11807.197399999999</v>
      </c>
      <c r="N18" s="7">
        <v>10816.5839</v>
      </c>
      <c r="O18" s="7">
        <v>8511.8327000000008</v>
      </c>
      <c r="P18" s="7">
        <v>5319.5375000000004</v>
      </c>
      <c r="Q18" s="7">
        <v>3756.3150000000001</v>
      </c>
      <c r="R18" s="7">
        <v>6819.5967000000001</v>
      </c>
      <c r="S18" s="7" t="s">
        <v>72</v>
      </c>
      <c r="T18" s="7"/>
      <c r="U18" s="7">
        <v>10679</v>
      </c>
      <c r="V18" s="7">
        <v>11148</v>
      </c>
      <c r="W18" s="7">
        <v>12336</v>
      </c>
      <c r="X18" s="7">
        <v>12182</v>
      </c>
      <c r="Y18" s="7">
        <v>11714</v>
      </c>
      <c r="Z18" s="7">
        <v>11651</v>
      </c>
      <c r="AA18" s="7" t="e">
        <v>#NAME?</v>
      </c>
      <c r="AB18" s="7">
        <v>12895</v>
      </c>
      <c r="AC18" s="7">
        <v>12109</v>
      </c>
      <c r="AD18" s="7">
        <v>12222</v>
      </c>
      <c r="AE18" s="7">
        <v>12961</v>
      </c>
      <c r="AF18" s="7">
        <v>13016</v>
      </c>
      <c r="AG18" s="7">
        <v>12610</v>
      </c>
      <c r="AH18" s="7">
        <v>12899</v>
      </c>
      <c r="AI18" s="7">
        <v>9803</v>
      </c>
      <c r="AJ18" s="7" t="s">
        <v>72</v>
      </c>
      <c r="AK18" s="7"/>
      <c r="AL18" s="7">
        <v>2078</v>
      </c>
      <c r="AM18" s="7" t="s">
        <v>72</v>
      </c>
      <c r="AN18" s="7" t="s">
        <v>72</v>
      </c>
      <c r="AO18" s="7" t="s">
        <v>72</v>
      </c>
      <c r="AP18" s="7">
        <v>1820</v>
      </c>
      <c r="AQ18" s="7" t="s">
        <v>72</v>
      </c>
      <c r="AR18" s="7" t="s">
        <v>72</v>
      </c>
      <c r="AS18" s="7" t="s">
        <v>72</v>
      </c>
      <c r="AT18" s="7">
        <v>2222</v>
      </c>
      <c r="AU18" s="7" t="s">
        <v>72</v>
      </c>
      <c r="AV18" s="7" t="s">
        <v>72</v>
      </c>
      <c r="AW18" s="7" t="s">
        <v>72</v>
      </c>
      <c r="AX18" s="7">
        <v>2484</v>
      </c>
      <c r="AY18" s="7" t="s">
        <v>72</v>
      </c>
      <c r="AZ18" s="7" t="s">
        <v>72</v>
      </c>
      <c r="BA18" s="7" t="s">
        <v>72</v>
      </c>
      <c r="BB18" s="7"/>
      <c r="BC18" s="7">
        <v>2.8845000000000001</v>
      </c>
      <c r="BD18" s="7">
        <v>4.0667</v>
      </c>
      <c r="BE18" s="7">
        <v>4.1741000000000001</v>
      </c>
      <c r="BF18" s="7">
        <v>2.8614999999999999</v>
      </c>
      <c r="BG18" s="7">
        <v>5.2808000000000002</v>
      </c>
      <c r="BH18" s="7">
        <v>4.2130000000000001</v>
      </c>
      <c r="BI18" s="7">
        <v>3.7959000000000001</v>
      </c>
      <c r="BJ18" s="7">
        <v>3.8197999999999999</v>
      </c>
      <c r="BK18" s="7">
        <v>1.7509999999999999</v>
      </c>
      <c r="BL18" s="7">
        <v>3.1827999999999999</v>
      </c>
      <c r="BM18" s="7">
        <v>3.2355999999999998</v>
      </c>
      <c r="BN18" s="7">
        <v>2.8210999999999999</v>
      </c>
      <c r="BO18" s="7">
        <v>0.70489999999999997</v>
      </c>
      <c r="BP18" s="7">
        <v>1.9211</v>
      </c>
      <c r="BQ18" s="7">
        <v>1.2907999999999999</v>
      </c>
      <c r="BR18" s="7" t="s">
        <v>72</v>
      </c>
      <c r="BS18" s="7"/>
      <c r="BT18" s="7">
        <v>2.0568</v>
      </c>
      <c r="BU18" s="7">
        <v>2.1110000000000002</v>
      </c>
      <c r="BV18" s="7">
        <v>2.3079999999999998</v>
      </c>
      <c r="BW18" s="7">
        <v>2.2458999999999998</v>
      </c>
      <c r="BX18" s="7">
        <v>2.1391999999999998</v>
      </c>
      <c r="BY18" s="7">
        <v>2.1488</v>
      </c>
      <c r="BZ18" s="7">
        <v>2.2951000000000001</v>
      </c>
      <c r="CA18" s="7">
        <v>2.4889000000000001</v>
      </c>
      <c r="CB18" s="7">
        <v>2.3567999999999998</v>
      </c>
      <c r="CC18" s="7">
        <v>2.4443999999999999</v>
      </c>
      <c r="CD18" s="7">
        <v>2.6673999999999998</v>
      </c>
      <c r="CE18" s="7">
        <v>2.7241999999999997</v>
      </c>
      <c r="CF18" s="7">
        <v>2.7515000000000001</v>
      </c>
      <c r="CG18" s="7">
        <v>2.9013</v>
      </c>
      <c r="CH18" s="7">
        <v>2.2728999999999999</v>
      </c>
      <c r="CI18" s="7" t="s">
        <v>72</v>
      </c>
      <c r="CJ18"/>
      <c r="CK18" s="7">
        <v>29967.647000000001</v>
      </c>
      <c r="CL18" s="7">
        <v>30132.8253</v>
      </c>
      <c r="CM18" s="7">
        <v>29292.055</v>
      </c>
      <c r="CN18" s="7">
        <v>30023.259099999999</v>
      </c>
      <c r="CO18" s="7">
        <v>28886.8999</v>
      </c>
      <c r="CP18" s="7">
        <v>30020.581900000001</v>
      </c>
      <c r="CQ18" s="7">
        <v>27593.3616</v>
      </c>
      <c r="CR18" s="7">
        <v>27523.987700000001</v>
      </c>
      <c r="CS18" s="7">
        <v>25343.425299999999</v>
      </c>
      <c r="CT18" s="7">
        <v>24029.197400000001</v>
      </c>
      <c r="CU18" s="7">
        <v>23777.583900000001</v>
      </c>
      <c r="CV18" s="7">
        <v>21527.832699999999</v>
      </c>
      <c r="CW18" s="7">
        <v>17980.537499999999</v>
      </c>
      <c r="CX18" s="7">
        <v>16704.314999999999</v>
      </c>
      <c r="CY18" s="7">
        <v>16672.596699999998</v>
      </c>
      <c r="CZ18" s="7" t="s">
        <v>72</v>
      </c>
      <c r="DA18" s="7"/>
      <c r="DB18" s="7">
        <v>5.7719000000000005</v>
      </c>
      <c r="DC18" s="7">
        <v>5.7058999999999997</v>
      </c>
      <c r="DD18" s="7">
        <v>5.4802999999999997</v>
      </c>
      <c r="DE18" s="7">
        <v>5.5353000000000003</v>
      </c>
      <c r="DF18" s="7">
        <v>5.2751999999999999</v>
      </c>
      <c r="DG18" s="7">
        <v>5.5368000000000004</v>
      </c>
      <c r="DH18" s="7">
        <v>5.1634000000000002</v>
      </c>
      <c r="DI18" s="7">
        <v>5.3125</v>
      </c>
      <c r="DJ18" s="7">
        <v>4.9325000000000001</v>
      </c>
      <c r="DK18" s="7">
        <v>4.8057999999999996</v>
      </c>
      <c r="DL18" s="7">
        <v>4.8934999999999995</v>
      </c>
      <c r="DM18" s="7">
        <v>4.5056000000000003</v>
      </c>
      <c r="DN18" s="7">
        <v>3.9233000000000002</v>
      </c>
      <c r="DO18" s="7">
        <v>3.7572000000000001</v>
      </c>
      <c r="DP18" s="7">
        <v>3.8656999999999999</v>
      </c>
      <c r="DQ18" s="7" t="s">
        <v>72</v>
      </c>
      <c r="DR18" s="7"/>
      <c r="DS18" s="7">
        <v>2.2279</v>
      </c>
      <c r="DT18" s="7">
        <v>2.2597999999999998</v>
      </c>
      <c r="DU18" s="7">
        <v>2.2067000000000001</v>
      </c>
      <c r="DV18" s="7">
        <v>2.2570000000000001</v>
      </c>
      <c r="DW18" s="7">
        <v>2.1680000000000001</v>
      </c>
      <c r="DX18" s="7">
        <v>2.266</v>
      </c>
      <c r="DY18" s="7">
        <v>2.0941999999999998</v>
      </c>
      <c r="DZ18" s="7">
        <v>2.1015000000000001</v>
      </c>
      <c r="EA18" s="7">
        <v>1.9462000000000002</v>
      </c>
      <c r="EB18" s="7">
        <v>1.8505</v>
      </c>
      <c r="EC18" s="7">
        <v>1.8485</v>
      </c>
      <c r="ED18" s="7">
        <v>1.7017</v>
      </c>
      <c r="EE18" s="7">
        <v>1.4490000000000001</v>
      </c>
      <c r="EF18" s="7">
        <v>1.3745000000000001</v>
      </c>
      <c r="EG18" s="7">
        <v>1.3995</v>
      </c>
      <c r="EH18" s="7" t="s">
        <v>72</v>
      </c>
      <c r="EI18" s="7"/>
      <c r="EJ18" s="7">
        <v>9.0381999999999998</v>
      </c>
      <c r="EK18" s="7">
        <v>8.3786000000000005</v>
      </c>
      <c r="EL18" s="7">
        <v>7.1258999999999997</v>
      </c>
      <c r="EM18" s="7">
        <v>7.6140999999999996</v>
      </c>
      <c r="EN18" s="7">
        <v>9.4956999999999994</v>
      </c>
      <c r="EO18" s="7">
        <v>9.5396999999999998</v>
      </c>
      <c r="EP18" s="7">
        <v>8.0239999999999991</v>
      </c>
      <c r="EQ18" s="7">
        <v>7.9847000000000001</v>
      </c>
      <c r="ER18" s="7" t="s">
        <v>72</v>
      </c>
      <c r="ES18" s="7" t="s">
        <v>72</v>
      </c>
      <c r="ET18" s="7" t="s">
        <v>72</v>
      </c>
      <c r="EU18" s="7" t="s">
        <v>72</v>
      </c>
      <c r="EV18" s="7">
        <v>8.8475999999999999</v>
      </c>
      <c r="EW18" s="7" t="s">
        <v>72</v>
      </c>
      <c r="EX18" s="7" t="s">
        <v>72</v>
      </c>
      <c r="EY18" s="7" t="s">
        <v>72</v>
      </c>
      <c r="EZ18" s="7"/>
      <c r="FA18" s="7">
        <v>5.0248999999999997</v>
      </c>
      <c r="FB18" s="7">
        <v>4.5419999999999998</v>
      </c>
      <c r="FC18" s="7">
        <v>4.8776999999999999</v>
      </c>
      <c r="FD18" s="7">
        <v>5.3723000000000001</v>
      </c>
      <c r="FE18" s="7">
        <v>4.9065000000000003</v>
      </c>
      <c r="FF18" s="7">
        <v>4.6873000000000005</v>
      </c>
      <c r="FG18" s="7">
        <v>5.0109000000000004</v>
      </c>
      <c r="FH18" s="7">
        <v>5.4667000000000003</v>
      </c>
      <c r="FI18" s="7" t="s">
        <v>72</v>
      </c>
      <c r="FJ18" s="7" t="s">
        <v>72</v>
      </c>
      <c r="FK18" s="7" t="s">
        <v>72</v>
      </c>
      <c r="FL18" s="7" t="s">
        <v>72</v>
      </c>
      <c r="FM18" s="7">
        <v>2.2073</v>
      </c>
      <c r="FN18" s="7" t="s">
        <v>72</v>
      </c>
      <c r="FO18" s="7" t="s">
        <v>72</v>
      </c>
      <c r="FP18" s="7">
        <v>1.8115999999999999</v>
      </c>
      <c r="FQ18" s="7"/>
      <c r="FR18" s="7">
        <v>2690</v>
      </c>
      <c r="FS18" s="7">
        <v>2365</v>
      </c>
      <c r="FT18" s="7">
        <v>1622</v>
      </c>
      <c r="FU18" s="7">
        <v>1335</v>
      </c>
      <c r="FV18" s="7">
        <v>823</v>
      </c>
      <c r="FW18" s="7">
        <v>944</v>
      </c>
      <c r="FX18" s="7">
        <v>1124</v>
      </c>
      <c r="FY18" s="7">
        <v>645</v>
      </c>
      <c r="FZ18" s="7">
        <v>990</v>
      </c>
      <c r="GA18" s="7">
        <v>1267</v>
      </c>
      <c r="GB18" s="7">
        <v>878</v>
      </c>
      <c r="GC18" s="7">
        <v>1495</v>
      </c>
      <c r="GD18" s="7">
        <v>1286</v>
      </c>
      <c r="GE18" s="7">
        <v>1213</v>
      </c>
      <c r="GF18" s="7">
        <v>4345</v>
      </c>
      <c r="GG18" s="7" t="s">
        <v>72</v>
      </c>
      <c r="GH18" s="7"/>
      <c r="GI18" s="7">
        <v>3841</v>
      </c>
      <c r="GJ18" s="7">
        <v>4183</v>
      </c>
      <c r="GK18" s="7">
        <v>3481</v>
      </c>
      <c r="GL18" s="7">
        <v>3321</v>
      </c>
      <c r="GM18" s="7">
        <v>3500</v>
      </c>
      <c r="GN18" s="7">
        <v>3919</v>
      </c>
      <c r="GO18" s="7">
        <v>3059</v>
      </c>
      <c r="GP18" s="7">
        <v>2676</v>
      </c>
      <c r="GQ18" s="7">
        <v>2930</v>
      </c>
      <c r="GR18" s="7">
        <v>3007</v>
      </c>
      <c r="GS18" s="7">
        <v>2564</v>
      </c>
      <c r="GT18" s="7">
        <v>2656</v>
      </c>
      <c r="GU18" s="7">
        <v>2461</v>
      </c>
      <c r="GV18" s="7">
        <v>2463</v>
      </c>
      <c r="GW18" s="7">
        <v>5601</v>
      </c>
      <c r="GX18" s="7" t="s">
        <v>72</v>
      </c>
      <c r="GY18" s="7"/>
      <c r="GZ18" s="7">
        <v>1307</v>
      </c>
      <c r="HA18" s="7">
        <v>1323</v>
      </c>
      <c r="HB18" s="7">
        <v>1386</v>
      </c>
      <c r="HC18" s="7">
        <v>1408</v>
      </c>
      <c r="HD18" s="7">
        <v>1359</v>
      </c>
      <c r="HE18" s="7">
        <v>1269</v>
      </c>
      <c r="HF18" s="7">
        <v>1308</v>
      </c>
      <c r="HG18" s="7">
        <v>1245</v>
      </c>
      <c r="HH18" s="7">
        <v>1316</v>
      </c>
      <c r="HI18" s="7">
        <v>1131</v>
      </c>
      <c r="HJ18" s="7">
        <v>1167</v>
      </c>
      <c r="HK18" s="7">
        <v>1164</v>
      </c>
      <c r="HL18" s="7">
        <v>1121</v>
      </c>
      <c r="HM18" s="7">
        <v>994</v>
      </c>
      <c r="HN18" s="7">
        <v>1034</v>
      </c>
      <c r="HO18" s="7" t="s">
        <v>72</v>
      </c>
      <c r="HP18" s="7"/>
      <c r="HQ18" s="216">
        <v>6.1471999999999998</v>
      </c>
      <c r="HR18" s="216">
        <v>6.0168999999999997</v>
      </c>
      <c r="HS18" s="216">
        <v>7.3795999999999999</v>
      </c>
      <c r="HT18" s="216">
        <v>7.3327999999999998</v>
      </c>
      <c r="HU18" s="216">
        <v>5.5989000000000004</v>
      </c>
      <c r="HV18" s="216">
        <v>6.9703999999999997</v>
      </c>
      <c r="HW18" s="216">
        <v>6.1379000000000001</v>
      </c>
      <c r="HX18" s="216">
        <v>5.7445000000000004</v>
      </c>
      <c r="HY18" s="216">
        <v>5.5202999999999998</v>
      </c>
      <c r="HZ18" s="216">
        <v>5.5236999999999998</v>
      </c>
      <c r="IA18" s="216">
        <v>5.6215999999999999</v>
      </c>
      <c r="IB18" s="216">
        <v>4.3598999999999997</v>
      </c>
      <c r="IC18" s="216">
        <v>3.7601</v>
      </c>
      <c r="ID18" s="216">
        <v>4.0572999999999997</v>
      </c>
      <c r="IE18" s="216">
        <v>4.806</v>
      </c>
      <c r="IF18" s="216" t="s">
        <v>72</v>
      </c>
      <c r="IG18" s="7"/>
    </row>
    <row r="19" spans="1:241">
      <c r="A19" s="11" t="s">
        <v>502</v>
      </c>
      <c r="B19" s="7" t="s">
        <v>76</v>
      </c>
      <c r="C19" s="7"/>
      <c r="D19" s="7">
        <v>21202.32</v>
      </c>
      <c r="E19" s="7">
        <v>21650.870599999998</v>
      </c>
      <c r="F19" s="7">
        <v>19099.780999999999</v>
      </c>
      <c r="G19" s="7">
        <v>24014.969400000002</v>
      </c>
      <c r="H19" s="7">
        <v>21843.599999999999</v>
      </c>
      <c r="I19" s="7">
        <v>23507.4228</v>
      </c>
      <c r="J19" s="7">
        <v>22251.912700000001</v>
      </c>
      <c r="K19" s="7">
        <v>23240.293000000001</v>
      </c>
      <c r="L19" s="7">
        <v>22818.302599999999</v>
      </c>
      <c r="M19" s="7">
        <v>22826.2418</v>
      </c>
      <c r="N19" s="7">
        <v>20796.0553</v>
      </c>
      <c r="O19" s="7">
        <v>21971.4264</v>
      </c>
      <c r="P19" s="7">
        <v>16334.987499999999</v>
      </c>
      <c r="Q19" s="7">
        <v>8908.7790000000005</v>
      </c>
      <c r="R19" s="7">
        <v>10039.5347</v>
      </c>
      <c r="S19" s="7" t="s">
        <v>72</v>
      </c>
      <c r="T19" s="7"/>
      <c r="U19" s="7">
        <v>4160</v>
      </c>
      <c r="V19" s="7">
        <v>3497</v>
      </c>
      <c r="W19" s="7">
        <v>2969</v>
      </c>
      <c r="X19" s="7">
        <v>3973</v>
      </c>
      <c r="Y19" s="7">
        <v>3510</v>
      </c>
      <c r="Z19" s="7">
        <v>3277</v>
      </c>
      <c r="AA19" s="7">
        <v>812</v>
      </c>
      <c r="AB19" s="7">
        <v>2444</v>
      </c>
      <c r="AC19" s="7">
        <v>1843</v>
      </c>
      <c r="AD19" s="7">
        <v>4076</v>
      </c>
      <c r="AE19" s="7">
        <v>3721</v>
      </c>
      <c r="AF19" s="7">
        <v>5299</v>
      </c>
      <c r="AG19" s="7">
        <v>4763</v>
      </c>
      <c r="AH19" s="7">
        <v>4686</v>
      </c>
      <c r="AI19" s="7">
        <v>4500</v>
      </c>
      <c r="AJ19" s="7" t="s">
        <v>72</v>
      </c>
      <c r="AK19" s="7"/>
      <c r="AL19" s="7">
        <v>595</v>
      </c>
      <c r="AM19" s="7" t="s">
        <v>72</v>
      </c>
      <c r="AN19" s="7" t="s">
        <v>72</v>
      </c>
      <c r="AO19" s="7" t="s">
        <v>72</v>
      </c>
      <c r="AP19" s="7">
        <v>499</v>
      </c>
      <c r="AQ19" s="7" t="s">
        <v>72</v>
      </c>
      <c r="AR19" s="7" t="s">
        <v>72</v>
      </c>
      <c r="AS19" s="7" t="s">
        <v>72</v>
      </c>
      <c r="AT19" s="7">
        <v>920</v>
      </c>
      <c r="AU19" s="7" t="s">
        <v>72</v>
      </c>
      <c r="AV19" s="7" t="s">
        <v>72</v>
      </c>
      <c r="AW19" s="7" t="s">
        <v>72</v>
      </c>
      <c r="AX19" s="7">
        <v>870</v>
      </c>
      <c r="AY19" s="7" t="s">
        <v>72</v>
      </c>
      <c r="AZ19" s="7" t="s">
        <v>72</v>
      </c>
      <c r="BA19" s="7" t="s">
        <v>72</v>
      </c>
      <c r="BB19" s="7"/>
      <c r="BC19" s="7">
        <v>3.6212</v>
      </c>
      <c r="BD19" s="7">
        <v>3.5338000000000003</v>
      </c>
      <c r="BE19" s="7">
        <v>5.3978000000000002</v>
      </c>
      <c r="BF19" s="7">
        <v>4.0526</v>
      </c>
      <c r="BG19" s="7">
        <v>4.5280000000000005</v>
      </c>
      <c r="BH19" s="7">
        <v>2.5857000000000001</v>
      </c>
      <c r="BI19" s="7">
        <v>-0.3644</v>
      </c>
      <c r="BJ19" s="7">
        <v>6.0488</v>
      </c>
      <c r="BK19" s="7">
        <v>7.7908999999999997</v>
      </c>
      <c r="BL19" s="7">
        <v>3.6364000000000001</v>
      </c>
      <c r="BM19" s="7">
        <v>4.1467999999999998</v>
      </c>
      <c r="BN19" s="7">
        <v>3.6808999999999998</v>
      </c>
      <c r="BO19" s="7">
        <v>1.1529</v>
      </c>
      <c r="BP19" s="7">
        <v>2.1284000000000001</v>
      </c>
      <c r="BQ19" s="7">
        <v>2.6922999999999999</v>
      </c>
      <c r="BR19" s="7" t="s">
        <v>72</v>
      </c>
      <c r="BS19" s="7"/>
      <c r="BT19" s="7">
        <v>0.66369999999999996</v>
      </c>
      <c r="BU19" s="7">
        <v>0.57950000000000002</v>
      </c>
      <c r="BV19" s="7">
        <v>0.49930000000000002</v>
      </c>
      <c r="BW19" s="7">
        <v>0.68210000000000004</v>
      </c>
      <c r="BX19" s="7">
        <v>0.59809999999999997</v>
      </c>
      <c r="BY19" s="7">
        <v>0.56520000000000004</v>
      </c>
      <c r="BZ19" s="7">
        <v>0.15390000000000001</v>
      </c>
      <c r="CA19" s="7">
        <v>0.47060000000000002</v>
      </c>
      <c r="CB19" s="7">
        <v>0.34289999999999998</v>
      </c>
      <c r="CC19" s="7">
        <v>0.77580000000000005</v>
      </c>
      <c r="CD19" s="7">
        <v>0.66520000000000001</v>
      </c>
      <c r="CE19" s="7">
        <v>0.96030000000000004</v>
      </c>
      <c r="CF19" s="7">
        <v>0.98899999999999999</v>
      </c>
      <c r="CG19" s="7">
        <v>1.0143</v>
      </c>
      <c r="CH19" s="7">
        <v>1.04</v>
      </c>
      <c r="CI19" s="7" t="s">
        <v>72</v>
      </c>
      <c r="CJ19"/>
      <c r="CK19" s="7">
        <v>25376.32</v>
      </c>
      <c r="CL19" s="7">
        <v>25161.870599999998</v>
      </c>
      <c r="CM19" s="7">
        <v>22082.780999999999</v>
      </c>
      <c r="CN19" s="7">
        <v>28001.969400000002</v>
      </c>
      <c r="CO19" s="7">
        <v>25367.599999999999</v>
      </c>
      <c r="CP19" s="7">
        <v>26797.4228</v>
      </c>
      <c r="CQ19" s="7">
        <v>23077.912700000001</v>
      </c>
      <c r="CR19" s="7">
        <v>25698.293000000001</v>
      </c>
      <c r="CS19" s="7">
        <v>24664.302599999999</v>
      </c>
      <c r="CT19" s="7">
        <v>26904.2418</v>
      </c>
      <c r="CU19" s="7">
        <v>24519.0553</v>
      </c>
      <c r="CV19" s="7">
        <v>27272.4264</v>
      </c>
      <c r="CW19" s="7">
        <v>21099.987499999999</v>
      </c>
      <c r="CX19" s="7">
        <v>13596.779</v>
      </c>
      <c r="CY19" s="7">
        <v>14541.5347</v>
      </c>
      <c r="CZ19" s="7" t="s">
        <v>72</v>
      </c>
      <c r="DA19" s="7"/>
      <c r="DB19" s="7">
        <v>4.0486000000000004</v>
      </c>
      <c r="DC19" s="7">
        <v>4.1692999999999998</v>
      </c>
      <c r="DD19" s="7">
        <v>3.7138999999999998</v>
      </c>
      <c r="DE19" s="7">
        <v>4.8071999999999999</v>
      </c>
      <c r="DF19" s="7">
        <v>4.3223000000000003</v>
      </c>
      <c r="DG19" s="7">
        <v>4.6218000000000004</v>
      </c>
      <c r="DH19" s="7">
        <v>4.3733000000000004</v>
      </c>
      <c r="DI19" s="7">
        <v>4.9485999999999999</v>
      </c>
      <c r="DJ19" s="7">
        <v>4.5887000000000002</v>
      </c>
      <c r="DK19" s="7">
        <v>5.1207000000000003</v>
      </c>
      <c r="DL19" s="7">
        <v>4.3830999999999998</v>
      </c>
      <c r="DM19" s="7">
        <v>4.9424000000000001</v>
      </c>
      <c r="DN19" s="7">
        <v>4.3811999999999998</v>
      </c>
      <c r="DO19" s="7">
        <v>2.9430000000000001</v>
      </c>
      <c r="DP19" s="7">
        <v>3.3607</v>
      </c>
      <c r="DQ19" s="7" t="s">
        <v>72</v>
      </c>
      <c r="DR19" s="7"/>
      <c r="DS19" s="7">
        <v>1.5324</v>
      </c>
      <c r="DT19" s="7">
        <v>1.5608</v>
      </c>
      <c r="DU19" s="7">
        <v>1.3868</v>
      </c>
      <c r="DV19" s="7">
        <v>1.7764</v>
      </c>
      <c r="DW19" s="7">
        <v>1.6141999999999999</v>
      </c>
      <c r="DX19" s="7">
        <v>1.7210000000000001</v>
      </c>
      <c r="DY19" s="7">
        <v>1.5011000000000001</v>
      </c>
      <c r="DZ19" s="7">
        <v>1.6957</v>
      </c>
      <c r="EA19" s="7">
        <v>1.6529</v>
      </c>
      <c r="EB19" s="7">
        <v>1.8286</v>
      </c>
      <c r="EC19" s="7">
        <v>1.6804999999999999</v>
      </c>
      <c r="ED19" s="7">
        <v>1.8959999999999999</v>
      </c>
      <c r="EE19" s="7">
        <v>1.4918</v>
      </c>
      <c r="EF19" s="7">
        <v>0.9788</v>
      </c>
      <c r="EG19" s="7">
        <v>1.075</v>
      </c>
      <c r="EH19" s="7" t="s">
        <v>72</v>
      </c>
      <c r="EI19" s="7"/>
      <c r="EJ19" s="7">
        <v>16.551400000000001</v>
      </c>
      <c r="EK19" s="7">
        <v>17.493200000000002</v>
      </c>
      <c r="EL19" s="7">
        <v>16.094999999999999</v>
      </c>
      <c r="EM19" s="7">
        <v>171.5813</v>
      </c>
      <c r="EN19" s="7">
        <v>204.14529999999999</v>
      </c>
      <c r="EO19" s="7">
        <v>2137.4787000000001</v>
      </c>
      <c r="EP19" s="7">
        <v>32.683900000000001</v>
      </c>
      <c r="EQ19" s="7">
        <v>13.081799999999999</v>
      </c>
      <c r="ER19" s="7" t="s">
        <v>72</v>
      </c>
      <c r="ES19" s="7" t="s">
        <v>72</v>
      </c>
      <c r="ET19" s="7" t="s">
        <v>72</v>
      </c>
      <c r="EU19" s="7" t="s">
        <v>72</v>
      </c>
      <c r="EV19" s="7" t="s">
        <v>72</v>
      </c>
      <c r="EW19" s="7" t="s">
        <v>72</v>
      </c>
      <c r="EX19" s="7" t="s">
        <v>72</v>
      </c>
      <c r="EY19" s="7" t="s">
        <v>72</v>
      </c>
      <c r="EZ19" s="7"/>
      <c r="FA19" s="7">
        <v>1.282</v>
      </c>
      <c r="FB19" s="7">
        <v>1.2852999999999999</v>
      </c>
      <c r="FC19" s="7">
        <v>1.2598</v>
      </c>
      <c r="FD19" s="7">
        <v>1.6675</v>
      </c>
      <c r="FE19" s="7">
        <v>1.4941</v>
      </c>
      <c r="FF19" s="7">
        <v>1.5880000000000001</v>
      </c>
      <c r="FG19" s="7">
        <v>1.6133</v>
      </c>
      <c r="FH19" s="7">
        <v>1.6366000000000001</v>
      </c>
      <c r="FI19" s="7" t="s">
        <v>72</v>
      </c>
      <c r="FJ19" s="7" t="s">
        <v>72</v>
      </c>
      <c r="FK19" s="7" t="s">
        <v>72</v>
      </c>
      <c r="FL19" s="7" t="s">
        <v>72</v>
      </c>
      <c r="FM19" s="7" t="s">
        <v>72</v>
      </c>
      <c r="FN19" s="7" t="s">
        <v>72</v>
      </c>
      <c r="FO19" s="7" t="s">
        <v>72</v>
      </c>
      <c r="FP19" s="7">
        <v>0.87429999999999997</v>
      </c>
      <c r="FQ19" s="7"/>
      <c r="FR19" s="7">
        <v>2218</v>
      </c>
      <c r="FS19" s="7">
        <v>2654</v>
      </c>
      <c r="FT19" s="7">
        <v>3218</v>
      </c>
      <c r="FU19" s="7">
        <v>2089</v>
      </c>
      <c r="FV19" s="7">
        <v>2447</v>
      </c>
      <c r="FW19" s="7">
        <v>2825</v>
      </c>
      <c r="FX19" s="7">
        <v>4993</v>
      </c>
      <c r="FY19" s="7">
        <v>2246</v>
      </c>
      <c r="FZ19" s="7">
        <v>2860</v>
      </c>
      <c r="GA19" s="7">
        <v>630</v>
      </c>
      <c r="GB19" s="7">
        <v>869</v>
      </c>
      <c r="GC19" s="7">
        <v>473</v>
      </c>
      <c r="GD19" s="7">
        <v>390</v>
      </c>
      <c r="GE19" s="7">
        <v>261</v>
      </c>
      <c r="GF19" s="7">
        <v>308</v>
      </c>
      <c r="GG19" s="7" t="s">
        <v>72</v>
      </c>
      <c r="GH19" s="7"/>
      <c r="GI19" s="7">
        <v>16553</v>
      </c>
      <c r="GJ19" s="7">
        <v>16859</v>
      </c>
      <c r="GK19" s="7">
        <v>15175</v>
      </c>
      <c r="GL19" s="7">
        <v>14416</v>
      </c>
      <c r="GM19" s="7">
        <v>14634</v>
      </c>
      <c r="GN19" s="7">
        <v>14816</v>
      </c>
      <c r="GO19" s="7">
        <v>13807</v>
      </c>
      <c r="GP19" s="7">
        <v>14214</v>
      </c>
      <c r="GQ19" s="7">
        <v>14334</v>
      </c>
      <c r="GR19" s="7">
        <v>14494</v>
      </c>
      <c r="GS19" s="7">
        <v>12672</v>
      </c>
      <c r="GT19" s="7">
        <v>12947</v>
      </c>
      <c r="GU19" s="7">
        <v>12958</v>
      </c>
      <c r="GV19" s="7">
        <v>13045</v>
      </c>
      <c r="GW19" s="7">
        <v>12461</v>
      </c>
      <c r="GX19" s="7" t="s">
        <v>72</v>
      </c>
      <c r="GY19" s="7"/>
      <c r="GZ19" s="7">
        <v>1467</v>
      </c>
      <c r="HA19" s="7">
        <v>1411</v>
      </c>
      <c r="HB19" s="7">
        <v>1467</v>
      </c>
      <c r="HC19" s="7">
        <v>1480</v>
      </c>
      <c r="HD19" s="7">
        <v>1511</v>
      </c>
      <c r="HE19" s="7">
        <v>1340</v>
      </c>
      <c r="HF19" s="7">
        <v>946</v>
      </c>
      <c r="HG19" s="7">
        <v>1396</v>
      </c>
      <c r="HH19" s="7">
        <v>1693</v>
      </c>
      <c r="HI19" s="7">
        <v>1219</v>
      </c>
      <c r="HJ19" s="7">
        <v>1286</v>
      </c>
      <c r="HK19" s="7">
        <v>1320</v>
      </c>
      <c r="HL19" s="7">
        <v>991</v>
      </c>
      <c r="HM19" s="7">
        <v>1023</v>
      </c>
      <c r="HN19" s="7">
        <v>993</v>
      </c>
      <c r="HO19" s="7" t="s">
        <v>72</v>
      </c>
      <c r="HP19" s="7"/>
      <c r="HQ19" s="216">
        <v>10.122400000000001</v>
      </c>
      <c r="HR19" s="216">
        <v>8.0076999999999998</v>
      </c>
      <c r="HS19" s="216">
        <v>8.6042000000000005</v>
      </c>
      <c r="HT19" s="216">
        <v>7.1349999999999998</v>
      </c>
      <c r="HU19" s="216">
        <v>8.3999000000000006</v>
      </c>
      <c r="HV19" s="216">
        <v>9.0390999999999995</v>
      </c>
      <c r="HW19" s="216">
        <v>8.1005000000000003</v>
      </c>
      <c r="HX19" s="216">
        <v>10.4245</v>
      </c>
      <c r="HY19" s="216">
        <v>10.604800000000001</v>
      </c>
      <c r="HZ19" s="216">
        <v>9.3407</v>
      </c>
      <c r="IA19" s="216">
        <v>10.1852</v>
      </c>
      <c r="IB19" s="216">
        <v>10.2643</v>
      </c>
      <c r="IC19" s="216">
        <v>6.3807</v>
      </c>
      <c r="ID19" s="216">
        <v>6.5594000000000001</v>
      </c>
      <c r="IE19" s="216">
        <v>5.6787999999999998</v>
      </c>
      <c r="IF19" s="216" t="s">
        <v>72</v>
      </c>
      <c r="IG19" s="7"/>
    </row>
    <row r="20" spans="1:241">
      <c r="A20" s="11" t="s">
        <v>27</v>
      </c>
      <c r="B20" s="7" t="s">
        <v>8</v>
      </c>
      <c r="C20" s="7"/>
      <c r="D20" s="7">
        <v>7462.4336999999996</v>
      </c>
      <c r="E20" s="7">
        <v>7421.3262999999997</v>
      </c>
      <c r="F20" s="7">
        <v>7333.4517999999998</v>
      </c>
      <c r="G20" s="7">
        <v>8776.8525000000009</v>
      </c>
      <c r="H20" s="7">
        <v>7339.8116</v>
      </c>
      <c r="I20" s="7">
        <v>7301.1936999999998</v>
      </c>
      <c r="J20" s="7">
        <v>6129.4525000000003</v>
      </c>
      <c r="K20" s="7">
        <v>4930.8159999999998</v>
      </c>
      <c r="L20" s="7">
        <v>3610.3515000000002</v>
      </c>
      <c r="M20" s="7">
        <v>3658.8629999999998</v>
      </c>
      <c r="N20" s="7">
        <v>3097.4506999999999</v>
      </c>
      <c r="O20" s="7">
        <v>3448.8816999999999</v>
      </c>
      <c r="P20" s="7">
        <v>3024.9229999999998</v>
      </c>
      <c r="Q20" s="7">
        <v>3438.96</v>
      </c>
      <c r="R20" s="7">
        <v>2680.5724</v>
      </c>
      <c r="S20" s="7" t="s">
        <v>72</v>
      </c>
      <c r="T20" s="7"/>
      <c r="U20" s="7">
        <v>5569.6642000000002</v>
      </c>
      <c r="V20" s="7">
        <v>5659.8</v>
      </c>
      <c r="W20" s="7">
        <v>6092.8</v>
      </c>
      <c r="X20" s="7">
        <v>781.5</v>
      </c>
      <c r="Y20" s="7">
        <v>2099.7964000000002</v>
      </c>
      <c r="Z20" s="7">
        <v>7428.5</v>
      </c>
      <c r="AA20" s="7">
        <v>8874.7999999999993</v>
      </c>
      <c r="AB20" s="7">
        <v>8540.6131999999998</v>
      </c>
      <c r="AC20" s="7">
        <v>6612.8339999999998</v>
      </c>
      <c r="AD20" s="7">
        <v>7073</v>
      </c>
      <c r="AE20" s="7">
        <v>7937.5</v>
      </c>
      <c r="AF20" s="7">
        <v>7764.6</v>
      </c>
      <c r="AG20" s="7">
        <v>7711.2119000000002</v>
      </c>
      <c r="AH20" s="7">
        <v>8100.6</v>
      </c>
      <c r="AI20" s="7">
        <v>7937.5</v>
      </c>
      <c r="AJ20" s="7" t="s">
        <v>72</v>
      </c>
      <c r="AK20" s="7"/>
      <c r="AL20" s="7">
        <v>951.67439999999999</v>
      </c>
      <c r="AM20" s="7" t="s">
        <v>72</v>
      </c>
      <c r="AN20" s="7" t="s">
        <v>72</v>
      </c>
      <c r="AO20" s="7" t="s">
        <v>72</v>
      </c>
      <c r="AP20" s="7">
        <v>210.5</v>
      </c>
      <c r="AQ20" s="7" t="s">
        <v>72</v>
      </c>
      <c r="AR20" s="7" t="s">
        <v>72</v>
      </c>
      <c r="AS20" s="7" t="s">
        <v>72</v>
      </c>
      <c r="AT20" s="7">
        <v>168.44800000000001</v>
      </c>
      <c r="AU20" s="7" t="s">
        <v>72</v>
      </c>
      <c r="AV20" s="7" t="s">
        <v>72</v>
      </c>
      <c r="AW20" s="7" t="s">
        <v>72</v>
      </c>
      <c r="AX20" s="7">
        <v>167.4632</v>
      </c>
      <c r="AY20" s="7" t="s">
        <v>72</v>
      </c>
      <c r="AZ20" s="7" t="s">
        <v>72</v>
      </c>
      <c r="BA20" s="7" t="s">
        <v>72</v>
      </c>
      <c r="BB20" s="7"/>
      <c r="BC20" s="7">
        <v>-4.1829999999999998</v>
      </c>
      <c r="BD20" s="7">
        <v>3.1640999999999999</v>
      </c>
      <c r="BE20" s="7">
        <v>3.2294</v>
      </c>
      <c r="BF20" s="7">
        <v>2.8893</v>
      </c>
      <c r="BG20" s="7">
        <v>0.2127</v>
      </c>
      <c r="BH20" s="7" t="s">
        <v>72</v>
      </c>
      <c r="BI20" s="7">
        <v>2.4858000000000002</v>
      </c>
      <c r="BJ20" s="7">
        <v>2.3290999999999999</v>
      </c>
      <c r="BK20" s="7">
        <v>1.3796999999999999</v>
      </c>
      <c r="BL20" s="7">
        <v>1.9352</v>
      </c>
      <c r="BM20" s="7">
        <v>1.6928999999999998</v>
      </c>
      <c r="BN20" s="7">
        <v>1.6564000000000001</v>
      </c>
      <c r="BO20" s="7">
        <v>1.3139000000000001</v>
      </c>
      <c r="BP20" s="7">
        <v>1.1894</v>
      </c>
      <c r="BQ20" s="7">
        <v>0.90610000000000002</v>
      </c>
      <c r="BR20" s="7" t="s">
        <v>72</v>
      </c>
      <c r="BS20" s="7"/>
      <c r="BT20" s="7" t="s">
        <v>72</v>
      </c>
      <c r="BU20" s="7" t="s">
        <v>72</v>
      </c>
      <c r="BV20" s="7" t="s">
        <v>72</v>
      </c>
      <c r="BW20" s="7" t="s">
        <v>72</v>
      </c>
      <c r="BX20" s="7">
        <v>1.3110999999999999</v>
      </c>
      <c r="BY20" s="7">
        <v>4.6794000000000002</v>
      </c>
      <c r="BZ20" s="7">
        <v>5.6532</v>
      </c>
      <c r="CA20" s="7">
        <v>4.6271000000000004</v>
      </c>
      <c r="CB20" s="7">
        <v>3.1051000000000002</v>
      </c>
      <c r="CC20" s="7">
        <v>3.0222000000000002</v>
      </c>
      <c r="CD20" s="7">
        <v>3.5028000000000001</v>
      </c>
      <c r="CE20" s="7">
        <v>3.5291000000000001</v>
      </c>
      <c r="CF20" s="7">
        <v>3.4925000000000002</v>
      </c>
      <c r="CG20" s="7">
        <v>3.7404999999999999</v>
      </c>
      <c r="CH20" s="7">
        <v>3.7978000000000001</v>
      </c>
      <c r="CI20" s="7" t="s">
        <v>72</v>
      </c>
      <c r="CJ20"/>
      <c r="CK20" s="7">
        <v>14101.233099999999</v>
      </c>
      <c r="CL20" s="7">
        <v>14228.6263</v>
      </c>
      <c r="CM20" s="7">
        <v>14702.051799999999</v>
      </c>
      <c r="CN20" s="7">
        <v>9762.9524999999994</v>
      </c>
      <c r="CO20" s="7">
        <v>9656.3045000000002</v>
      </c>
      <c r="CP20" s="7">
        <v>15658.493700000001</v>
      </c>
      <c r="CQ20" s="7">
        <v>15824.1525</v>
      </c>
      <c r="CR20" s="7">
        <v>14259.033100000001</v>
      </c>
      <c r="CS20" s="7">
        <v>11137.288500000001</v>
      </c>
      <c r="CT20" s="7">
        <v>11356.862999999999</v>
      </c>
      <c r="CU20" s="7">
        <v>11550.1507</v>
      </c>
      <c r="CV20" s="7">
        <v>11793.2817</v>
      </c>
      <c r="CW20" s="7">
        <v>11296.8127</v>
      </c>
      <c r="CX20" s="7">
        <v>12121.16</v>
      </c>
      <c r="CY20" s="7">
        <v>11133.2724</v>
      </c>
      <c r="CZ20" s="7" t="s">
        <v>72</v>
      </c>
      <c r="DA20" s="7"/>
      <c r="DB20" s="7" t="s">
        <v>72</v>
      </c>
      <c r="DC20" s="7" t="s">
        <v>72</v>
      </c>
      <c r="DD20" s="7" t="s">
        <v>72</v>
      </c>
      <c r="DE20" s="7" t="s">
        <v>72</v>
      </c>
      <c r="DF20" s="7">
        <v>6.0293000000000001</v>
      </c>
      <c r="DG20" s="7">
        <v>9.8637999999999995</v>
      </c>
      <c r="DH20" s="7">
        <v>10.0799</v>
      </c>
      <c r="DI20" s="7">
        <v>7.7252000000000001</v>
      </c>
      <c r="DJ20" s="7">
        <v>5.2295999999999996</v>
      </c>
      <c r="DK20" s="7">
        <v>4.8525999999999998</v>
      </c>
      <c r="DL20" s="7">
        <v>5.0970000000000004</v>
      </c>
      <c r="DM20" s="7">
        <v>5.3601999999999999</v>
      </c>
      <c r="DN20" s="7">
        <v>5.1165000000000003</v>
      </c>
      <c r="DO20" s="7">
        <v>5.5971000000000002</v>
      </c>
      <c r="DP20" s="7">
        <v>5.3268000000000004</v>
      </c>
      <c r="DQ20" s="7" t="s">
        <v>72</v>
      </c>
      <c r="DR20" s="7"/>
      <c r="DS20" s="7">
        <v>2.4291</v>
      </c>
      <c r="DT20" s="7">
        <v>2.8045999999999998</v>
      </c>
      <c r="DU20" s="7">
        <v>2.7625000000000002</v>
      </c>
      <c r="DV20" s="7">
        <v>2.1886999999999999</v>
      </c>
      <c r="DW20" s="7">
        <v>2.0619999999999998</v>
      </c>
      <c r="DX20" s="7">
        <v>3.3980000000000001</v>
      </c>
      <c r="DY20" s="7">
        <v>3.6478000000000002</v>
      </c>
      <c r="DZ20" s="7">
        <v>2.8332000000000002</v>
      </c>
      <c r="EA20" s="7">
        <v>1.8431</v>
      </c>
      <c r="EB20" s="7">
        <v>1.6821000000000002</v>
      </c>
      <c r="EC20" s="7">
        <v>1.7433000000000001</v>
      </c>
      <c r="ED20" s="7">
        <v>1.8065</v>
      </c>
      <c r="EE20" s="7">
        <v>1.7673999999999999</v>
      </c>
      <c r="EF20" s="7">
        <v>1.9295</v>
      </c>
      <c r="EG20" s="7">
        <v>1.7985</v>
      </c>
      <c r="EH20" s="7" t="s">
        <v>72</v>
      </c>
      <c r="EI20" s="7"/>
      <c r="EJ20" s="7">
        <v>10.4527</v>
      </c>
      <c r="EK20" s="7">
        <v>11.8301</v>
      </c>
      <c r="EL20" s="7">
        <v>10.243399999999999</v>
      </c>
      <c r="EM20" s="7">
        <v>20.2746</v>
      </c>
      <c r="EN20" s="7">
        <v>40.817900000000002</v>
      </c>
      <c r="EO20" s="7">
        <v>30.596299999999999</v>
      </c>
      <c r="EP20" s="7">
        <v>43.723199999999999</v>
      </c>
      <c r="EQ20" s="7">
        <v>14.0304</v>
      </c>
      <c r="ER20" s="7" t="s">
        <v>72</v>
      </c>
      <c r="ES20" s="7" t="s">
        <v>72</v>
      </c>
      <c r="ET20" s="7" t="s">
        <v>72</v>
      </c>
      <c r="EU20" s="7" t="s">
        <v>72</v>
      </c>
      <c r="EV20" s="7">
        <v>12.9276</v>
      </c>
      <c r="EW20" s="7" t="s">
        <v>72</v>
      </c>
      <c r="EX20" s="7" t="s">
        <v>72</v>
      </c>
      <c r="EY20" s="7" t="s">
        <v>72</v>
      </c>
      <c r="EZ20" s="7"/>
      <c r="FA20" s="7">
        <v>4.7629999999999999</v>
      </c>
      <c r="FB20" s="7">
        <v>4.0254000000000003</v>
      </c>
      <c r="FC20" s="7">
        <v>4.4351000000000003</v>
      </c>
      <c r="FD20" s="7">
        <v>1.3452999999999999</v>
      </c>
      <c r="FE20" s="7">
        <v>1.5665</v>
      </c>
      <c r="FF20" s="7">
        <v>1.5859999999999999</v>
      </c>
      <c r="FG20" s="7">
        <v>1.8681999999999999</v>
      </c>
      <c r="FH20" s="7">
        <v>1.6476999999999999</v>
      </c>
      <c r="FI20" s="7" t="s">
        <v>72</v>
      </c>
      <c r="FJ20" s="7" t="s">
        <v>72</v>
      </c>
      <c r="FK20" s="7" t="s">
        <v>72</v>
      </c>
      <c r="FL20" s="7" t="s">
        <v>72</v>
      </c>
      <c r="FM20" s="7">
        <v>1.319</v>
      </c>
      <c r="FN20" s="7" t="s">
        <v>72</v>
      </c>
      <c r="FO20" s="7" t="s">
        <v>72</v>
      </c>
      <c r="FP20" s="7">
        <v>1.4363000000000001</v>
      </c>
      <c r="FQ20" s="7"/>
      <c r="FR20" s="7">
        <v>1449.5165</v>
      </c>
      <c r="FS20" s="7">
        <v>2137</v>
      </c>
      <c r="FT20" s="7">
        <v>2001.6</v>
      </c>
      <c r="FU20" s="7">
        <v>6247.3</v>
      </c>
      <c r="FV20" s="7">
        <v>4764.7326999999996</v>
      </c>
      <c r="FW20" s="7">
        <v>4493.7</v>
      </c>
      <c r="FX20" s="7">
        <v>3505.1</v>
      </c>
      <c r="FY20" s="7">
        <v>3203.5178999999998</v>
      </c>
      <c r="FZ20" s="7">
        <v>4930.0123999999996</v>
      </c>
      <c r="GA20" s="7">
        <v>4060</v>
      </c>
      <c r="GB20" s="7">
        <v>2979.7</v>
      </c>
      <c r="GC20" s="7">
        <v>3487.4</v>
      </c>
      <c r="GD20" s="7">
        <v>2507.0992000000001</v>
      </c>
      <c r="GE20" s="7">
        <v>2936</v>
      </c>
      <c r="GF20" s="7">
        <v>2979.7</v>
      </c>
      <c r="GG20" s="7" t="s">
        <v>72</v>
      </c>
      <c r="GH20" s="7"/>
      <c r="GI20" s="7">
        <v>2387.4465</v>
      </c>
      <c r="GJ20" s="7">
        <v>2698.8</v>
      </c>
      <c r="GK20" s="7">
        <v>2667.1</v>
      </c>
      <c r="GL20" s="7">
        <v>5694.3</v>
      </c>
      <c r="GM20" s="7">
        <v>4609.1450999999997</v>
      </c>
      <c r="GN20" s="7">
        <v>5244.3</v>
      </c>
      <c r="GO20" s="7">
        <v>4100.8</v>
      </c>
      <c r="GP20" s="7">
        <v>3780.0949999999998</v>
      </c>
      <c r="GQ20" s="7">
        <v>3742.1727999999998</v>
      </c>
      <c r="GR20" s="7">
        <v>3530</v>
      </c>
      <c r="GS20" s="7">
        <v>2594.3000000000002</v>
      </c>
      <c r="GT20" s="7">
        <v>2990.5</v>
      </c>
      <c r="GU20" s="7">
        <v>2854.0443</v>
      </c>
      <c r="GV20" s="7">
        <v>3058.2</v>
      </c>
      <c r="GW20" s="7">
        <v>2594.3000000000002</v>
      </c>
      <c r="GX20" s="7" t="s">
        <v>72</v>
      </c>
      <c r="GY20" s="7"/>
      <c r="GZ20" s="7" t="s">
        <v>72</v>
      </c>
      <c r="HA20" s="7">
        <v>359.4</v>
      </c>
      <c r="HB20" s="7">
        <v>645.79999999999995</v>
      </c>
      <c r="HC20" s="7">
        <v>364</v>
      </c>
      <c r="HD20" s="7">
        <v>232.37540000000001</v>
      </c>
      <c r="HE20" s="7">
        <v>345.3</v>
      </c>
      <c r="HF20" s="7">
        <v>628.20000000000005</v>
      </c>
      <c r="HG20" s="7">
        <v>639.9</v>
      </c>
      <c r="HH20" s="7">
        <v>516.26620000000003</v>
      </c>
      <c r="HI20" s="7">
        <v>556</v>
      </c>
      <c r="HJ20" s="7">
        <v>553.9</v>
      </c>
      <c r="HK20" s="7">
        <v>574</v>
      </c>
      <c r="HL20" s="7">
        <v>524.03210000000001</v>
      </c>
      <c r="HM20" s="7">
        <v>513.70000000000005</v>
      </c>
      <c r="HN20" s="7">
        <v>478.3</v>
      </c>
      <c r="HO20" s="7" t="s">
        <v>72</v>
      </c>
      <c r="HP20" s="7"/>
      <c r="HQ20" s="216">
        <v>7.4585999999999997</v>
      </c>
      <c r="HR20" s="216">
        <v>7.2892999999999999</v>
      </c>
      <c r="HS20" s="216">
        <v>8.7288999999999994</v>
      </c>
      <c r="HT20" s="216">
        <v>8.5761000000000003</v>
      </c>
      <c r="HU20" s="216">
        <v>7.1652000000000005</v>
      </c>
      <c r="HV20" s="216">
        <v>6.6730999999999998</v>
      </c>
      <c r="HW20" s="216">
        <v>6.5318000000000005</v>
      </c>
      <c r="HX20" s="216">
        <v>5.6299000000000001</v>
      </c>
      <c r="HY20" s="216">
        <v>6.4733000000000001</v>
      </c>
      <c r="HZ20" s="216">
        <v>6.7033000000000005</v>
      </c>
      <c r="IA20" s="216">
        <v>6.7747999999999999</v>
      </c>
      <c r="IB20" s="216">
        <v>6.3288000000000002</v>
      </c>
      <c r="IC20" s="216">
        <v>6.0407000000000002</v>
      </c>
      <c r="ID20" s="216">
        <v>6.0693000000000001</v>
      </c>
      <c r="IE20" s="216">
        <v>7.3448000000000002</v>
      </c>
      <c r="IF20" s="216" t="s">
        <v>72</v>
      </c>
      <c r="IG20" s="7"/>
    </row>
    <row r="21" spans="1:241">
      <c r="A21" s="11" t="s">
        <v>32</v>
      </c>
      <c r="B21" s="7" t="s">
        <v>11</v>
      </c>
      <c r="C21" s="7"/>
      <c r="D21" s="7">
        <v>10465.753500000001</v>
      </c>
      <c r="E21" s="7">
        <v>10099.3703</v>
      </c>
      <c r="F21" s="7">
        <v>10604.7464</v>
      </c>
      <c r="G21" s="7">
        <v>10863.397999999999</v>
      </c>
      <c r="H21" s="7">
        <v>14030.8213</v>
      </c>
      <c r="I21" s="7">
        <v>15128.6774</v>
      </c>
      <c r="J21" s="7">
        <v>16424.7225</v>
      </c>
      <c r="K21" s="7">
        <v>13502.830099999999</v>
      </c>
      <c r="L21" s="7">
        <v>14841.9691</v>
      </c>
      <c r="M21" s="7">
        <v>17623.490000000002</v>
      </c>
      <c r="N21" s="7">
        <v>16467.780999999999</v>
      </c>
      <c r="O21" s="7">
        <v>18168.755399999998</v>
      </c>
      <c r="P21" s="7">
        <v>18194.743299999998</v>
      </c>
      <c r="Q21" s="7">
        <v>21907.0311</v>
      </c>
      <c r="R21" s="7">
        <v>24369.8577</v>
      </c>
      <c r="S21" s="7" t="s">
        <v>72</v>
      </c>
      <c r="T21" s="7"/>
      <c r="U21" s="7">
        <v>11412</v>
      </c>
      <c r="V21" s="7">
        <v>10933</v>
      </c>
      <c r="W21" s="7">
        <v>10229</v>
      </c>
      <c r="X21" s="7">
        <v>10110</v>
      </c>
      <c r="Y21" s="7">
        <v>9542</v>
      </c>
      <c r="Z21" s="7">
        <v>9486</v>
      </c>
      <c r="AA21" s="7" t="e">
        <v>#NAME?</v>
      </c>
      <c r="AB21" s="7">
        <v>9028</v>
      </c>
      <c r="AC21" s="7">
        <v>8362</v>
      </c>
      <c r="AD21" s="7">
        <v>9642</v>
      </c>
      <c r="AE21" s="7">
        <v>9666</v>
      </c>
      <c r="AF21" s="7">
        <v>9415</v>
      </c>
      <c r="AG21" s="7">
        <v>8515</v>
      </c>
      <c r="AH21" s="7">
        <v>8558</v>
      </c>
      <c r="AI21" s="7">
        <v>8743</v>
      </c>
      <c r="AJ21" s="7" t="s">
        <v>72</v>
      </c>
      <c r="AK21" s="7"/>
      <c r="AL21" s="7" t="s">
        <v>72</v>
      </c>
      <c r="AM21" s="7">
        <v>7687</v>
      </c>
      <c r="AN21" s="7" t="s">
        <v>72</v>
      </c>
      <c r="AO21" s="7" t="s">
        <v>72</v>
      </c>
      <c r="AP21" s="7" t="s">
        <v>72</v>
      </c>
      <c r="AQ21" s="7">
        <v>7192</v>
      </c>
      <c r="AR21" s="7" t="s">
        <v>72</v>
      </c>
      <c r="AS21" s="7" t="s">
        <v>72</v>
      </c>
      <c r="AT21" s="7" t="s">
        <v>72</v>
      </c>
      <c r="AU21" s="7">
        <v>7593</v>
      </c>
      <c r="AV21" s="7" t="s">
        <v>72</v>
      </c>
      <c r="AW21" s="7" t="s">
        <v>72</v>
      </c>
      <c r="AX21" s="7" t="s">
        <v>72</v>
      </c>
      <c r="AY21" s="7">
        <v>7182</v>
      </c>
      <c r="AZ21" s="7" t="s">
        <v>72</v>
      </c>
      <c r="BA21" s="7" t="s">
        <v>72</v>
      </c>
      <c r="BB21" s="7"/>
      <c r="BC21" s="7">
        <v>0.80820000000000003</v>
      </c>
      <c r="BD21" s="7">
        <v>0.98980000000000001</v>
      </c>
      <c r="BE21" s="7">
        <v>2.9003999999999999</v>
      </c>
      <c r="BF21" s="7">
        <v>3.1497999999999999</v>
      </c>
      <c r="BG21" s="7">
        <v>3.1324999999999998</v>
      </c>
      <c r="BH21" s="7">
        <v>4.1967999999999996</v>
      </c>
      <c r="BI21" s="7">
        <v>4.0759999999999996</v>
      </c>
      <c r="BJ21" s="7">
        <v>4.24</v>
      </c>
      <c r="BK21" s="7">
        <v>4.6745999999999999</v>
      </c>
      <c r="BL21" s="7">
        <v>2.4355000000000002</v>
      </c>
      <c r="BM21" s="7">
        <v>4.2384000000000004</v>
      </c>
      <c r="BN21" s="7">
        <v>3.9655</v>
      </c>
      <c r="BO21" s="7">
        <v>4.0888</v>
      </c>
      <c r="BP21" s="7">
        <v>6.4966999999999997</v>
      </c>
      <c r="BQ21" s="7">
        <v>4.9866000000000001</v>
      </c>
      <c r="BR21" s="7" t="s">
        <v>72</v>
      </c>
      <c r="BS21" s="7"/>
      <c r="BT21" s="7">
        <v>2.8452000000000002</v>
      </c>
      <c r="BU21" s="7">
        <v>1.9569000000000001</v>
      </c>
      <c r="BV21" s="7">
        <v>1.8071999999999999</v>
      </c>
      <c r="BW21" s="7">
        <v>1.7422</v>
      </c>
      <c r="BX21" s="7">
        <v>1.617</v>
      </c>
      <c r="BY21" s="7">
        <v>1.6116000000000001</v>
      </c>
      <c r="BZ21" s="7">
        <v>1.5663</v>
      </c>
      <c r="CA21" s="7">
        <v>1.5131999999999999</v>
      </c>
      <c r="CB21" s="7">
        <v>1.3923000000000001</v>
      </c>
      <c r="CC21" s="7">
        <v>1.7053</v>
      </c>
      <c r="CD21" s="7">
        <v>1.7048000000000001</v>
      </c>
      <c r="CE21" s="7">
        <v>1.6852</v>
      </c>
      <c r="CF21" s="7">
        <v>1.5594999999999999</v>
      </c>
      <c r="CG21" s="7">
        <v>1.4421999999999999</v>
      </c>
      <c r="CH21" s="7">
        <v>1.4763999999999999</v>
      </c>
      <c r="CI21" s="7" t="s">
        <v>72</v>
      </c>
      <c r="CJ21"/>
      <c r="CK21" s="7">
        <v>21900.753499999999</v>
      </c>
      <c r="CL21" s="7">
        <v>21056.370299999999</v>
      </c>
      <c r="CM21" s="7">
        <v>20852.7464</v>
      </c>
      <c r="CN21" s="7">
        <v>20997.398000000001</v>
      </c>
      <c r="CO21" s="7">
        <v>23596.8213</v>
      </c>
      <c r="CP21" s="7">
        <v>24640.6774</v>
      </c>
      <c r="CQ21" s="7">
        <v>25728.7225</v>
      </c>
      <c r="CR21" s="7">
        <v>22542.830099999999</v>
      </c>
      <c r="CS21" s="7">
        <v>23213.969099999998</v>
      </c>
      <c r="CT21" s="7">
        <v>27265.49</v>
      </c>
      <c r="CU21" s="7">
        <v>26133.780999999999</v>
      </c>
      <c r="CV21" s="7">
        <v>27593.755399999998</v>
      </c>
      <c r="CW21" s="7">
        <v>26719.743299999998</v>
      </c>
      <c r="CX21" s="7">
        <v>30465.0311</v>
      </c>
      <c r="CY21" s="7">
        <v>33112.8577</v>
      </c>
      <c r="CZ21" s="7" t="s">
        <v>72</v>
      </c>
      <c r="DA21" s="7"/>
      <c r="DB21" s="7">
        <v>5.4602000000000004</v>
      </c>
      <c r="DC21" s="7">
        <v>3.7688000000000001</v>
      </c>
      <c r="DD21" s="7">
        <v>3.6842000000000001</v>
      </c>
      <c r="DE21" s="7">
        <v>3.6183999999999998</v>
      </c>
      <c r="DF21" s="7">
        <v>3.9988000000000001</v>
      </c>
      <c r="DG21" s="7">
        <v>4.1863000000000001</v>
      </c>
      <c r="DH21" s="7">
        <v>4.3438999999999997</v>
      </c>
      <c r="DI21" s="7">
        <v>3.7786</v>
      </c>
      <c r="DJ21" s="7">
        <v>3.8651</v>
      </c>
      <c r="DK21" s="7">
        <v>4.8223000000000003</v>
      </c>
      <c r="DL21" s="7">
        <v>4.6090999999999998</v>
      </c>
      <c r="DM21" s="7">
        <v>4.9389000000000003</v>
      </c>
      <c r="DN21" s="7">
        <v>4.8936999999999999</v>
      </c>
      <c r="DO21" s="7">
        <v>5.1340000000000003</v>
      </c>
      <c r="DP21" s="7">
        <v>5.5914999999999999</v>
      </c>
      <c r="DQ21" s="7" t="s">
        <v>72</v>
      </c>
      <c r="DR21" s="7"/>
      <c r="DS21" s="7">
        <v>1.0441</v>
      </c>
      <c r="DT21" s="7">
        <v>1.0069999999999999</v>
      </c>
      <c r="DU21" s="7">
        <v>1.0083</v>
      </c>
      <c r="DV21" s="7">
        <v>1.0198</v>
      </c>
      <c r="DW21" s="7">
        <v>1.1551</v>
      </c>
      <c r="DX21" s="7">
        <v>1.2274</v>
      </c>
      <c r="DY21" s="7">
        <v>1.2972000000000001</v>
      </c>
      <c r="DZ21" s="7">
        <v>1.1414</v>
      </c>
      <c r="EA21" s="7">
        <v>1.1913</v>
      </c>
      <c r="EB21" s="7">
        <v>1.4121999999999999</v>
      </c>
      <c r="EC21" s="7">
        <v>1.3721000000000001</v>
      </c>
      <c r="ED21" s="7">
        <v>1.4882</v>
      </c>
      <c r="EE21" s="7">
        <v>1.474</v>
      </c>
      <c r="EF21" s="7">
        <v>1.6890000000000001</v>
      </c>
      <c r="EG21" s="7">
        <v>1.8414000000000001</v>
      </c>
      <c r="EH21" s="7" t="s">
        <v>72</v>
      </c>
      <c r="EI21" s="7"/>
      <c r="EJ21" s="7" t="s">
        <v>72</v>
      </c>
      <c r="EK21" s="7">
        <v>9.3285999999999998</v>
      </c>
      <c r="EL21" s="7">
        <v>9.1522000000000006</v>
      </c>
      <c r="EM21" s="7">
        <v>10.1562</v>
      </c>
      <c r="EN21" s="7">
        <v>11.3108</v>
      </c>
      <c r="EO21" s="7">
        <v>9.5765999999999991</v>
      </c>
      <c r="EP21" s="7">
        <v>9.7433999999999994</v>
      </c>
      <c r="EQ21" s="7">
        <v>7.9024000000000001</v>
      </c>
      <c r="ER21" s="7" t="s">
        <v>72</v>
      </c>
      <c r="ES21" s="7" t="s">
        <v>72</v>
      </c>
      <c r="ET21" s="7" t="s">
        <v>72</v>
      </c>
      <c r="EU21" s="7" t="s">
        <v>72</v>
      </c>
      <c r="EV21" s="7">
        <v>8.6373999999999995</v>
      </c>
      <c r="EW21" s="7" t="s">
        <v>72</v>
      </c>
      <c r="EX21" s="7" t="s">
        <v>72</v>
      </c>
      <c r="EY21" s="7" t="s">
        <v>72</v>
      </c>
      <c r="EZ21" s="7"/>
      <c r="FA21" s="7" t="s">
        <v>72</v>
      </c>
      <c r="FB21" s="7" t="s">
        <v>72</v>
      </c>
      <c r="FC21" s="7" t="s">
        <v>72</v>
      </c>
      <c r="FD21" s="7" t="s">
        <v>72</v>
      </c>
      <c r="FE21" s="7">
        <v>26.523299999999999</v>
      </c>
      <c r="FF21" s="7">
        <v>7.8590999999999998</v>
      </c>
      <c r="FG21" s="7">
        <v>8.3459000000000003</v>
      </c>
      <c r="FH21" s="7">
        <v>9.1793999999999993</v>
      </c>
      <c r="FI21" s="7" t="s">
        <v>72</v>
      </c>
      <c r="FJ21" s="7" t="s">
        <v>72</v>
      </c>
      <c r="FK21" s="7" t="s">
        <v>72</v>
      </c>
      <c r="FL21" s="7" t="s">
        <v>72</v>
      </c>
      <c r="FM21" s="7" t="s">
        <v>72</v>
      </c>
      <c r="FN21" s="7" t="s">
        <v>72</v>
      </c>
      <c r="FO21" s="7" t="s">
        <v>72</v>
      </c>
      <c r="FP21" s="7">
        <v>43.880600000000001</v>
      </c>
      <c r="FQ21" s="7"/>
      <c r="FR21" s="7">
        <v>305</v>
      </c>
      <c r="FS21" s="7">
        <v>1452</v>
      </c>
      <c r="FT21" s="7">
        <v>242</v>
      </c>
      <c r="FU21" s="7">
        <v>274</v>
      </c>
      <c r="FV21" s="7">
        <v>266</v>
      </c>
      <c r="FW21" s="7">
        <v>351</v>
      </c>
      <c r="FX21" s="7">
        <v>231</v>
      </c>
      <c r="FY21" s="7">
        <v>350</v>
      </c>
      <c r="FZ21" s="7">
        <v>283</v>
      </c>
      <c r="GA21" s="7">
        <v>331</v>
      </c>
      <c r="GB21" s="7">
        <v>334</v>
      </c>
      <c r="GC21" s="7">
        <v>311</v>
      </c>
      <c r="GD21" s="7">
        <v>540</v>
      </c>
      <c r="GE21" s="7">
        <v>924</v>
      </c>
      <c r="GF21" s="7">
        <v>353</v>
      </c>
      <c r="GG21" s="7" t="s">
        <v>72</v>
      </c>
      <c r="GH21" s="7"/>
      <c r="GI21" s="7">
        <v>-3594</v>
      </c>
      <c r="GJ21" s="7">
        <v>-2626</v>
      </c>
      <c r="GK21" s="7">
        <v>-2258</v>
      </c>
      <c r="GL21" s="7">
        <v>-318</v>
      </c>
      <c r="GM21" s="7">
        <v>553</v>
      </c>
      <c r="GN21" s="7">
        <v>1951</v>
      </c>
      <c r="GO21" s="7">
        <v>1995</v>
      </c>
      <c r="GP21" s="7">
        <v>1483</v>
      </c>
      <c r="GQ21" s="7">
        <v>323</v>
      </c>
      <c r="GR21" s="7">
        <v>1308</v>
      </c>
      <c r="GS21" s="7">
        <v>1718</v>
      </c>
      <c r="GT21" s="7">
        <v>577</v>
      </c>
      <c r="GU21" s="7">
        <v>-228</v>
      </c>
      <c r="GV21" s="7">
        <v>-262</v>
      </c>
      <c r="GW21" s="7">
        <v>615</v>
      </c>
      <c r="GX21" s="7" t="s">
        <v>72</v>
      </c>
      <c r="GY21" s="7"/>
      <c r="GZ21" s="7">
        <v>1386</v>
      </c>
      <c r="HA21" s="7">
        <v>1566</v>
      </c>
      <c r="HB21" s="7">
        <v>1399</v>
      </c>
      <c r="HC21" s="7">
        <v>1452</v>
      </c>
      <c r="HD21" s="7">
        <v>1484</v>
      </c>
      <c r="HE21" s="7">
        <v>1551</v>
      </c>
      <c r="HF21" s="7">
        <v>1436</v>
      </c>
      <c r="HG21" s="7">
        <v>1495</v>
      </c>
      <c r="HH21" s="7">
        <v>1524</v>
      </c>
      <c r="HI21" s="7">
        <v>1199</v>
      </c>
      <c r="HJ21" s="7">
        <v>1452</v>
      </c>
      <c r="HK21" s="7">
        <v>1412</v>
      </c>
      <c r="HL21" s="7">
        <v>1397</v>
      </c>
      <c r="HM21" s="7">
        <v>1673</v>
      </c>
      <c r="HN21" s="7">
        <v>1440</v>
      </c>
      <c r="HO21" s="7" t="s">
        <v>72</v>
      </c>
      <c r="HP21" s="7"/>
      <c r="HQ21" s="216">
        <v>6.2939999999999996</v>
      </c>
      <c r="HR21" s="216">
        <v>7.6182999999999996</v>
      </c>
      <c r="HS21" s="216">
        <v>9.3204999999999991</v>
      </c>
      <c r="HT21" s="216">
        <v>8.7264999999999997</v>
      </c>
      <c r="HU21" s="216">
        <v>12.158099999999999</v>
      </c>
      <c r="HV21" s="216">
        <v>11.8354</v>
      </c>
      <c r="HW21" s="216">
        <v>10.957000000000001</v>
      </c>
      <c r="HX21" s="216">
        <v>9.4048999999999996</v>
      </c>
      <c r="HY21" s="216">
        <v>7.9688999999999997</v>
      </c>
      <c r="HZ21" s="216">
        <v>8.4113000000000007</v>
      </c>
      <c r="IA21" s="216">
        <v>7.0164</v>
      </c>
      <c r="IB21" s="216">
        <v>7.1776</v>
      </c>
      <c r="IC21" s="216">
        <v>7.0678999999999998</v>
      </c>
      <c r="ID21" s="216">
        <v>7.6516000000000002</v>
      </c>
      <c r="IE21" s="216">
        <v>8.2772000000000006</v>
      </c>
      <c r="IF21" s="216" t="s">
        <v>72</v>
      </c>
      <c r="IG21" s="7"/>
    </row>
    <row r="22" spans="1:241">
      <c r="A22" s="11" t="s">
        <v>32</v>
      </c>
      <c r="B22" s="7" t="s">
        <v>17</v>
      </c>
      <c r="C22" s="7"/>
      <c r="D22" s="7" t="s">
        <v>72</v>
      </c>
      <c r="E22" s="7">
        <v>80047.964600000007</v>
      </c>
      <c r="F22" s="7" t="s">
        <v>72</v>
      </c>
      <c r="G22" s="7">
        <v>82452.159799999994</v>
      </c>
      <c r="H22" s="7" t="s">
        <v>72</v>
      </c>
      <c r="I22" s="7">
        <v>91034.333100000003</v>
      </c>
      <c r="J22" s="7" t="s">
        <v>72</v>
      </c>
      <c r="K22" s="7">
        <v>83849.051999999996</v>
      </c>
      <c r="L22" s="7" t="s">
        <v>72</v>
      </c>
      <c r="M22" s="7">
        <v>85490.308999999994</v>
      </c>
      <c r="N22" s="7" t="s">
        <v>72</v>
      </c>
      <c r="O22" s="7">
        <v>86431.844700000001</v>
      </c>
      <c r="P22" s="7" t="s">
        <v>72</v>
      </c>
      <c r="Q22" s="7">
        <v>91282.142099999997</v>
      </c>
      <c r="R22" s="7" t="s">
        <v>72</v>
      </c>
      <c r="S22" s="7" t="s">
        <v>72</v>
      </c>
      <c r="T22" s="7"/>
      <c r="U22" s="7" t="s">
        <v>72</v>
      </c>
      <c r="V22" s="7">
        <v>32421</v>
      </c>
      <c r="W22" s="7" t="s">
        <v>72</v>
      </c>
      <c r="X22" s="7">
        <v>32473</v>
      </c>
      <c r="Y22" s="7" t="s">
        <v>72</v>
      </c>
      <c r="Z22" s="7">
        <v>31420</v>
      </c>
      <c r="AA22" s="7" t="s">
        <v>72</v>
      </c>
      <c r="AB22" s="7">
        <v>28390</v>
      </c>
      <c r="AC22" s="7" t="s">
        <v>72</v>
      </c>
      <c r="AD22" s="7">
        <v>26245</v>
      </c>
      <c r="AE22" s="7" t="s">
        <v>72</v>
      </c>
      <c r="AF22" s="7">
        <v>21017</v>
      </c>
      <c r="AG22" s="7" t="s">
        <v>72</v>
      </c>
      <c r="AH22" s="7">
        <v>28556</v>
      </c>
      <c r="AI22" s="7" t="s">
        <v>72</v>
      </c>
      <c r="AJ22" s="7" t="s">
        <v>72</v>
      </c>
      <c r="AK22" s="7"/>
      <c r="AL22" s="7" t="s">
        <v>72</v>
      </c>
      <c r="AM22" s="7">
        <v>6243</v>
      </c>
      <c r="AN22" s="7" t="s">
        <v>72</v>
      </c>
      <c r="AO22" s="7" t="s">
        <v>72</v>
      </c>
      <c r="AP22" s="7" t="s">
        <v>72</v>
      </c>
      <c r="AQ22" s="7">
        <v>6513</v>
      </c>
      <c r="AR22" s="7" t="s">
        <v>72</v>
      </c>
      <c r="AS22" s="7" t="s">
        <v>72</v>
      </c>
      <c r="AT22" s="7" t="s">
        <v>72</v>
      </c>
      <c r="AU22" s="7">
        <v>6141</v>
      </c>
      <c r="AV22" s="7" t="s">
        <v>72</v>
      </c>
      <c r="AW22" s="7" t="s">
        <v>72</v>
      </c>
      <c r="AX22" s="7" t="s">
        <v>72</v>
      </c>
      <c r="AY22" s="7">
        <v>6640</v>
      </c>
      <c r="AZ22" s="7" t="s">
        <v>72</v>
      </c>
      <c r="BA22" s="7" t="s">
        <v>72</v>
      </c>
      <c r="BB22" s="7"/>
      <c r="BC22" s="7" t="s">
        <v>72</v>
      </c>
      <c r="BD22" s="7">
        <v>5.6098999999999997</v>
      </c>
      <c r="BE22" s="7" t="s">
        <v>72</v>
      </c>
      <c r="BF22" s="7">
        <v>4.4699</v>
      </c>
      <c r="BG22" s="7" t="s">
        <v>72</v>
      </c>
      <c r="BH22" s="7" t="s">
        <v>72</v>
      </c>
      <c r="BI22" s="7" t="s">
        <v>72</v>
      </c>
      <c r="BJ22" s="7">
        <v>6.5792999999999999</v>
      </c>
      <c r="BK22" s="7" t="s">
        <v>72</v>
      </c>
      <c r="BL22" s="7">
        <v>3.8986999999999998</v>
      </c>
      <c r="BM22" s="7" t="s">
        <v>72</v>
      </c>
      <c r="BN22" s="7">
        <v>3.0954000000000002</v>
      </c>
      <c r="BO22" s="7" t="s">
        <v>72</v>
      </c>
      <c r="BP22" s="7">
        <v>3.7313999999999998</v>
      </c>
      <c r="BQ22" s="7" t="s">
        <v>72</v>
      </c>
      <c r="BR22" s="7" t="s">
        <v>72</v>
      </c>
      <c r="BS22" s="7"/>
      <c r="BT22" s="7" t="s">
        <v>72</v>
      </c>
      <c r="BU22" s="7">
        <v>2.1877</v>
      </c>
      <c r="BV22" s="7" t="s">
        <v>72</v>
      </c>
      <c r="BW22" s="7">
        <v>2.2252000000000001</v>
      </c>
      <c r="BX22" s="7" t="s">
        <v>72</v>
      </c>
      <c r="BY22" s="7">
        <v>2.1421000000000001</v>
      </c>
      <c r="BZ22" s="7" t="s">
        <v>72</v>
      </c>
      <c r="CA22" s="7">
        <v>1.5554999999999999</v>
      </c>
      <c r="CB22" s="7" t="s">
        <v>72</v>
      </c>
      <c r="CC22" s="7">
        <v>1.4409000000000001</v>
      </c>
      <c r="CD22" s="7" t="s">
        <v>72</v>
      </c>
      <c r="CE22" s="7">
        <v>1.5112999999999999</v>
      </c>
      <c r="CF22" s="7" t="s">
        <v>72</v>
      </c>
      <c r="CG22" s="7">
        <v>2.0745</v>
      </c>
      <c r="CH22" s="7" t="s">
        <v>72</v>
      </c>
      <c r="CI22" s="7" t="s">
        <v>72</v>
      </c>
      <c r="CJ22"/>
      <c r="CK22" s="7" t="s">
        <v>72</v>
      </c>
      <c r="CL22" s="7">
        <v>112897.96460000001</v>
      </c>
      <c r="CM22" s="7" t="s">
        <v>72</v>
      </c>
      <c r="CN22" s="7">
        <v>115101.15979999999</v>
      </c>
      <c r="CO22" s="7" t="s">
        <v>72</v>
      </c>
      <c r="CP22" s="7">
        <v>122460.3331</v>
      </c>
      <c r="CQ22" s="7" t="s">
        <v>72</v>
      </c>
      <c r="CR22" s="7">
        <v>113603.052</v>
      </c>
      <c r="CS22" s="7" t="s">
        <v>72</v>
      </c>
      <c r="CT22" s="7">
        <v>113002.30899999999</v>
      </c>
      <c r="CU22" s="7" t="s">
        <v>72</v>
      </c>
      <c r="CV22" s="7">
        <v>108485.8447</v>
      </c>
      <c r="CW22" s="7" t="s">
        <v>72</v>
      </c>
      <c r="CX22" s="7">
        <v>120849.1421</v>
      </c>
      <c r="CY22" s="7" t="s">
        <v>72</v>
      </c>
      <c r="CZ22" s="7" t="s">
        <v>72</v>
      </c>
      <c r="DA22" s="7"/>
      <c r="DB22" s="7" t="s">
        <v>72</v>
      </c>
      <c r="DC22" s="7">
        <v>7.6178999999999997</v>
      </c>
      <c r="DD22" s="7" t="s">
        <v>72</v>
      </c>
      <c r="DE22" s="7">
        <v>7.8873999999999995</v>
      </c>
      <c r="DF22" s="7" t="s">
        <v>72</v>
      </c>
      <c r="DG22" s="7">
        <v>8.3488000000000007</v>
      </c>
      <c r="DH22" s="7" t="s">
        <v>72</v>
      </c>
      <c r="DI22" s="7">
        <v>6.2244999999999999</v>
      </c>
      <c r="DJ22" s="7" t="s">
        <v>72</v>
      </c>
      <c r="DK22" s="7">
        <v>6.2041000000000004</v>
      </c>
      <c r="DL22" s="7" t="s">
        <v>72</v>
      </c>
      <c r="DM22" s="7">
        <v>7.8007999999999997</v>
      </c>
      <c r="DN22" s="7" t="s">
        <v>72</v>
      </c>
      <c r="DO22" s="7">
        <v>8.7795000000000005</v>
      </c>
      <c r="DP22" s="7" t="s">
        <v>72</v>
      </c>
      <c r="DQ22" s="7" t="s">
        <v>72</v>
      </c>
      <c r="DR22" s="7"/>
      <c r="DS22" s="7" t="s">
        <v>72</v>
      </c>
      <c r="DT22" s="7">
        <v>2.5385999999999997</v>
      </c>
      <c r="DU22" s="7" t="s">
        <v>72</v>
      </c>
      <c r="DV22" s="7">
        <v>2.5400999999999998</v>
      </c>
      <c r="DW22" s="7" t="s">
        <v>72</v>
      </c>
      <c r="DX22" s="7">
        <v>2.6688999999999998</v>
      </c>
      <c r="DY22" s="7" t="s">
        <v>72</v>
      </c>
      <c r="DZ22" s="7">
        <v>2.4274</v>
      </c>
      <c r="EA22" s="7" t="s">
        <v>72</v>
      </c>
      <c r="EB22" s="7">
        <v>2.4344999999999999</v>
      </c>
      <c r="EC22" s="7" t="s">
        <v>72</v>
      </c>
      <c r="ED22" s="7">
        <v>2.4281999999999999</v>
      </c>
      <c r="EE22" s="7" t="s">
        <v>72</v>
      </c>
      <c r="EF22" s="7">
        <v>2.7191000000000001</v>
      </c>
      <c r="EG22" s="7" t="s">
        <v>72</v>
      </c>
      <c r="EH22" s="7" t="s">
        <v>72</v>
      </c>
      <c r="EI22" s="7"/>
      <c r="EJ22" s="7">
        <v>12.8028</v>
      </c>
      <c r="EK22" s="7">
        <v>9.0373999999999999</v>
      </c>
      <c r="EL22" s="7">
        <v>8.2734000000000005</v>
      </c>
      <c r="EM22" s="7">
        <v>7.1159999999999997</v>
      </c>
      <c r="EN22" s="7">
        <v>7.5100999999999996</v>
      </c>
      <c r="EO22" s="7">
        <v>11.3474</v>
      </c>
      <c r="EP22" s="7">
        <v>10.6273</v>
      </c>
      <c r="EQ22" s="7">
        <v>11.6447</v>
      </c>
      <c r="ER22" s="7" t="s">
        <v>72</v>
      </c>
      <c r="ES22" s="7" t="s">
        <v>72</v>
      </c>
      <c r="ET22" s="7" t="s">
        <v>72</v>
      </c>
      <c r="EU22" s="7" t="s">
        <v>72</v>
      </c>
      <c r="EV22" s="7" t="s">
        <v>72</v>
      </c>
      <c r="EW22" s="7" t="s">
        <v>72</v>
      </c>
      <c r="EX22" s="7" t="s">
        <v>72</v>
      </c>
      <c r="EY22" s="7" t="s">
        <v>72</v>
      </c>
      <c r="EZ22" s="7"/>
      <c r="FA22" s="7">
        <v>0.84160000000000001</v>
      </c>
      <c r="FB22" s="7">
        <v>0.86570000000000003</v>
      </c>
      <c r="FC22" s="7">
        <v>0.79249999999999998</v>
      </c>
      <c r="FD22" s="7">
        <v>0.89190000000000003</v>
      </c>
      <c r="FE22" s="7">
        <v>0.94120000000000004</v>
      </c>
      <c r="FF22" s="7">
        <v>1.0163</v>
      </c>
      <c r="FG22" s="7">
        <v>0.95179999999999998</v>
      </c>
      <c r="FH22" s="7">
        <v>0.9768</v>
      </c>
      <c r="FI22" s="7" t="s">
        <v>72</v>
      </c>
      <c r="FJ22" s="7" t="s">
        <v>72</v>
      </c>
      <c r="FK22" s="7" t="s">
        <v>72</v>
      </c>
      <c r="FL22" s="7" t="s">
        <v>72</v>
      </c>
      <c r="FM22" s="7">
        <v>1.0939000000000001</v>
      </c>
      <c r="FN22" s="7" t="s">
        <v>72</v>
      </c>
      <c r="FO22" s="7" t="s">
        <v>72</v>
      </c>
      <c r="FP22" s="7">
        <v>1.4782999999999999</v>
      </c>
      <c r="FQ22" s="7"/>
      <c r="FR22" s="7" t="s">
        <v>72</v>
      </c>
      <c r="FS22" s="7">
        <v>4423</v>
      </c>
      <c r="FT22" s="7" t="s">
        <v>72</v>
      </c>
      <c r="FU22" s="7">
        <v>9113</v>
      </c>
      <c r="FV22" s="7" t="s">
        <v>72</v>
      </c>
      <c r="FW22" s="7">
        <v>6252</v>
      </c>
      <c r="FX22" s="7" t="s">
        <v>72</v>
      </c>
      <c r="FY22" s="7">
        <v>6975</v>
      </c>
      <c r="FZ22" s="7" t="s">
        <v>72</v>
      </c>
      <c r="GA22" s="7">
        <v>7138</v>
      </c>
      <c r="GB22" s="7" t="s">
        <v>72</v>
      </c>
      <c r="GC22" s="7">
        <v>4293</v>
      </c>
      <c r="GD22" s="7" t="s">
        <v>72</v>
      </c>
      <c r="GE22" s="7">
        <v>7623</v>
      </c>
      <c r="GF22" s="7" t="s">
        <v>72</v>
      </c>
      <c r="GG22" s="7" t="s">
        <v>72</v>
      </c>
      <c r="GH22" s="7"/>
      <c r="GI22" s="7" t="s">
        <v>72</v>
      </c>
      <c r="GJ22" s="7">
        <v>90810</v>
      </c>
      <c r="GK22" s="7" t="s">
        <v>72</v>
      </c>
      <c r="GL22" s="7">
        <v>90543</v>
      </c>
      <c r="GM22" s="7" t="s">
        <v>72</v>
      </c>
      <c r="GN22" s="7">
        <v>87561</v>
      </c>
      <c r="GO22" s="7" t="s">
        <v>72</v>
      </c>
      <c r="GP22" s="7">
        <v>85272</v>
      </c>
      <c r="GQ22" s="7" t="s">
        <v>72</v>
      </c>
      <c r="GR22" s="7">
        <v>78202</v>
      </c>
      <c r="GS22" s="7" t="s">
        <v>72</v>
      </c>
      <c r="GT22" s="7">
        <v>70472</v>
      </c>
      <c r="GU22" s="7" t="s">
        <v>72</v>
      </c>
      <c r="GV22" s="7">
        <v>72488</v>
      </c>
      <c r="GW22" s="7" t="s">
        <v>72</v>
      </c>
      <c r="GX22" s="7" t="s">
        <v>72</v>
      </c>
      <c r="GY22" s="7"/>
      <c r="GZ22" s="7" t="s">
        <v>72</v>
      </c>
      <c r="HA22" s="7">
        <v>7248</v>
      </c>
      <c r="HB22" s="7" t="s">
        <v>72</v>
      </c>
      <c r="HC22" s="7">
        <v>7345</v>
      </c>
      <c r="HD22" s="7" t="s">
        <v>72</v>
      </c>
      <c r="HE22" s="7">
        <v>7323</v>
      </c>
      <c r="HF22" s="7" t="s">
        <v>72</v>
      </c>
      <c r="HG22" s="7">
        <v>10928</v>
      </c>
      <c r="HH22" s="7" t="s">
        <v>72</v>
      </c>
      <c r="HI22" s="7">
        <v>7286</v>
      </c>
      <c r="HJ22" s="7" t="s">
        <v>72</v>
      </c>
      <c r="HK22" s="7">
        <v>6621</v>
      </c>
      <c r="HL22" s="7" t="s">
        <v>72</v>
      </c>
      <c r="HM22" s="7">
        <v>7144</v>
      </c>
      <c r="HN22" s="7" t="s">
        <v>72</v>
      </c>
      <c r="HO22" s="7" t="s">
        <v>72</v>
      </c>
      <c r="HP22" s="7"/>
      <c r="HQ22" s="216" t="s">
        <v>72</v>
      </c>
      <c r="HR22" s="216">
        <v>9.7568999999999999</v>
      </c>
      <c r="HS22" s="216" t="s">
        <v>72</v>
      </c>
      <c r="HT22" s="216">
        <v>10.6075</v>
      </c>
      <c r="HU22" s="216" t="s">
        <v>72</v>
      </c>
      <c r="HV22" s="216">
        <v>9.4242000000000008</v>
      </c>
      <c r="HW22" s="216" t="s">
        <v>72</v>
      </c>
      <c r="HX22" s="216">
        <v>8.0288000000000004</v>
      </c>
      <c r="HY22" s="216" t="s">
        <v>72</v>
      </c>
      <c r="HZ22" s="216">
        <v>7.2835999999999999</v>
      </c>
      <c r="IA22" s="216" t="s">
        <v>72</v>
      </c>
      <c r="IB22" s="216">
        <v>6.5715000000000003</v>
      </c>
      <c r="IC22" s="216" t="s">
        <v>72</v>
      </c>
      <c r="ID22" s="216">
        <v>6.1025999999999998</v>
      </c>
      <c r="IE22" s="216" t="s">
        <v>72</v>
      </c>
      <c r="IF22" s="216" t="s">
        <v>72</v>
      </c>
      <c r="IG22" s="7"/>
    </row>
    <row r="23" spans="1:241">
      <c r="A23" s="11" t="s">
        <v>503</v>
      </c>
      <c r="B23" s="7" t="s">
        <v>10</v>
      </c>
      <c r="C23" s="7"/>
      <c r="D23" s="7">
        <v>232830.2065</v>
      </c>
      <c r="E23" s="7">
        <v>230135.92129999999</v>
      </c>
      <c r="F23" s="7">
        <v>226094.51</v>
      </c>
      <c r="G23" s="7">
        <v>245178.9522</v>
      </c>
      <c r="H23" s="7">
        <v>239341.3695</v>
      </c>
      <c r="I23" s="7">
        <v>236206.1367</v>
      </c>
      <c r="J23" s="7">
        <v>200915.94399999999</v>
      </c>
      <c r="K23" s="7">
        <v>197625.07939999999</v>
      </c>
      <c r="L23" s="7">
        <v>202518.06520000001</v>
      </c>
      <c r="M23" s="7">
        <v>199790.1219</v>
      </c>
      <c r="N23" s="7">
        <v>191043.35019999999</v>
      </c>
      <c r="O23" s="7">
        <v>204726.41880000001</v>
      </c>
      <c r="P23" s="7">
        <v>190783.5355</v>
      </c>
      <c r="Q23" s="7">
        <v>201478.85509999999</v>
      </c>
      <c r="R23" s="7">
        <v>189354.6171</v>
      </c>
      <c r="S23" s="7" t="s">
        <v>72</v>
      </c>
      <c r="T23" s="7"/>
      <c r="U23" s="7">
        <v>49345</v>
      </c>
      <c r="V23" s="7">
        <v>47789</v>
      </c>
      <c r="W23" s="7">
        <v>54688</v>
      </c>
      <c r="X23" s="7">
        <v>49670</v>
      </c>
      <c r="Y23" s="7">
        <v>50092</v>
      </c>
      <c r="Z23" s="7">
        <v>46397</v>
      </c>
      <c r="AA23" s="7">
        <v>69633</v>
      </c>
      <c r="AB23" s="7">
        <v>67997</v>
      </c>
      <c r="AC23" s="7">
        <v>67211</v>
      </c>
      <c r="AD23" s="7">
        <v>76173</v>
      </c>
      <c r="AE23" s="7">
        <v>75552</v>
      </c>
      <c r="AF23" s="7">
        <v>73064</v>
      </c>
      <c r="AG23" s="7">
        <v>61782</v>
      </c>
      <c r="AH23" s="7">
        <v>57715</v>
      </c>
      <c r="AI23" s="7">
        <v>68359</v>
      </c>
      <c r="AJ23" s="7" t="s">
        <v>72</v>
      </c>
      <c r="AK23" s="7"/>
      <c r="AL23" s="7">
        <v>8924</v>
      </c>
      <c r="AM23" s="7" t="s">
        <v>72</v>
      </c>
      <c r="AN23" s="7" t="s">
        <v>72</v>
      </c>
      <c r="AO23" s="7" t="s">
        <v>72</v>
      </c>
      <c r="AP23" s="7">
        <v>7985</v>
      </c>
      <c r="AQ23" s="7" t="s">
        <v>72</v>
      </c>
      <c r="AR23" s="7" t="s">
        <v>72</v>
      </c>
      <c r="AS23" s="7" t="s">
        <v>72</v>
      </c>
      <c r="AT23" s="7" t="s">
        <v>72</v>
      </c>
      <c r="AU23" s="7" t="s">
        <v>72</v>
      </c>
      <c r="AV23" s="7" t="s">
        <v>72</v>
      </c>
      <c r="AW23" s="7" t="s">
        <v>72</v>
      </c>
      <c r="AX23" s="7">
        <v>7618</v>
      </c>
      <c r="AY23" s="7" t="s">
        <v>72</v>
      </c>
      <c r="AZ23" s="7" t="s">
        <v>72</v>
      </c>
      <c r="BA23" s="7" t="s">
        <v>72</v>
      </c>
      <c r="BB23" s="7"/>
      <c r="BC23" s="7" t="s">
        <v>72</v>
      </c>
      <c r="BD23" s="7" t="s">
        <v>72</v>
      </c>
      <c r="BE23" s="7" t="s">
        <v>72</v>
      </c>
      <c r="BF23" s="7" t="s">
        <v>72</v>
      </c>
      <c r="BG23" s="7" t="s">
        <v>72</v>
      </c>
      <c r="BH23" s="7" t="s">
        <v>72</v>
      </c>
      <c r="BI23" s="7" t="s">
        <v>72</v>
      </c>
      <c r="BJ23" s="7" t="s">
        <v>72</v>
      </c>
      <c r="BK23" s="7" t="s">
        <v>72</v>
      </c>
      <c r="BL23" s="7" t="s">
        <v>72</v>
      </c>
      <c r="BM23" s="7" t="s">
        <v>72</v>
      </c>
      <c r="BN23" s="7" t="s">
        <v>72</v>
      </c>
      <c r="BO23" s="7" t="s">
        <v>72</v>
      </c>
      <c r="BP23" s="7" t="s">
        <v>72</v>
      </c>
      <c r="BQ23" s="7" t="s">
        <v>72</v>
      </c>
      <c r="BR23" s="7" t="s">
        <v>72</v>
      </c>
      <c r="BS23" s="7"/>
      <c r="BT23" s="7">
        <v>1.3336000000000001</v>
      </c>
      <c r="BU23" s="7">
        <v>1.2883</v>
      </c>
      <c r="BV23" s="7">
        <v>1.4367000000000001</v>
      </c>
      <c r="BW23" s="7">
        <v>1.2676000000000001</v>
      </c>
      <c r="BX23" s="7">
        <v>1.3294999999999999</v>
      </c>
      <c r="BY23" s="7">
        <v>1.2270000000000001</v>
      </c>
      <c r="BZ23" s="7">
        <v>1.8675999999999999</v>
      </c>
      <c r="CA23" s="7">
        <v>1.8538999999999999</v>
      </c>
      <c r="CB23" s="7">
        <v>1.8115000000000001</v>
      </c>
      <c r="CC23" s="7">
        <v>2.0587</v>
      </c>
      <c r="CD23" s="7">
        <v>2.0291000000000001</v>
      </c>
      <c r="CE23" s="7">
        <v>2.0057</v>
      </c>
      <c r="CF23" s="7">
        <v>1.7643</v>
      </c>
      <c r="CG23" s="7">
        <v>1.6646000000000001</v>
      </c>
      <c r="CH23" s="7">
        <v>2.0158</v>
      </c>
      <c r="CI23" s="7" t="s">
        <v>72</v>
      </c>
      <c r="CJ23"/>
      <c r="CK23" s="7">
        <v>289302.20649999997</v>
      </c>
      <c r="CL23" s="7">
        <v>285527.92129999999</v>
      </c>
      <c r="CM23" s="7">
        <v>288184.51</v>
      </c>
      <c r="CN23" s="7">
        <v>302050.9522</v>
      </c>
      <c r="CO23" s="7">
        <v>296191.36949999997</v>
      </c>
      <c r="CP23" s="7">
        <v>289051.13669999997</v>
      </c>
      <c r="CQ23" s="7">
        <v>277424.94400000002</v>
      </c>
      <c r="CR23" s="7">
        <v>273475.07939999999</v>
      </c>
      <c r="CS23" s="7">
        <v>277082.06520000001</v>
      </c>
      <c r="CT23" s="7">
        <v>280641.12190000003</v>
      </c>
      <c r="CU23" s="7">
        <v>270718.35019999999</v>
      </c>
      <c r="CV23" s="7">
        <v>281597.41879999998</v>
      </c>
      <c r="CW23" s="7">
        <v>256521.5355</v>
      </c>
      <c r="CX23" s="7">
        <v>263536.85509999999</v>
      </c>
      <c r="CY23" s="7">
        <v>261752.6171</v>
      </c>
      <c r="CZ23" s="7" t="s">
        <v>72</v>
      </c>
      <c r="DA23" s="7"/>
      <c r="DB23" s="7">
        <v>7.819</v>
      </c>
      <c r="DC23" s="7">
        <v>7.6972000000000005</v>
      </c>
      <c r="DD23" s="7">
        <v>7.5711000000000004</v>
      </c>
      <c r="DE23" s="7">
        <v>7.7084999999999999</v>
      </c>
      <c r="DF23" s="7">
        <v>7.8613</v>
      </c>
      <c r="DG23" s="7">
        <v>7.6444000000000001</v>
      </c>
      <c r="DH23" s="7">
        <v>7.4409000000000001</v>
      </c>
      <c r="DI23" s="7">
        <v>7.4561000000000002</v>
      </c>
      <c r="DJ23" s="7">
        <v>7.4679000000000002</v>
      </c>
      <c r="DK23" s="7">
        <v>7.5846999999999998</v>
      </c>
      <c r="DL23" s="7">
        <v>7.2706999999999997</v>
      </c>
      <c r="DM23" s="7">
        <v>7.73</v>
      </c>
      <c r="DN23" s="7">
        <v>7.3254000000000001</v>
      </c>
      <c r="DO23" s="7">
        <v>7.6009000000000002</v>
      </c>
      <c r="DP23" s="7">
        <v>7.7187999999999999</v>
      </c>
      <c r="DQ23" s="7" t="s">
        <v>72</v>
      </c>
      <c r="DR23" s="7"/>
      <c r="DS23" s="7">
        <v>2.6501999999999999</v>
      </c>
      <c r="DT23" s="7">
        <v>2.6402000000000001</v>
      </c>
      <c r="DU23" s="7">
        <v>2.6749999999999998</v>
      </c>
      <c r="DV23" s="7">
        <v>2.8087999999999997</v>
      </c>
      <c r="DW23" s="7">
        <v>2.7686999999999999</v>
      </c>
      <c r="DX23" s="7">
        <v>2.7395</v>
      </c>
      <c r="DY23" s="7">
        <v>2.6560000000000001</v>
      </c>
      <c r="DZ23" s="7">
        <v>2.6223999999999998</v>
      </c>
      <c r="EA23" s="7">
        <v>2.6465999999999998</v>
      </c>
      <c r="EB23" s="7">
        <v>2.6560000000000001</v>
      </c>
      <c r="EC23" s="7">
        <v>2.5550999999999999</v>
      </c>
      <c r="ED23" s="7">
        <v>2.6795999999999998</v>
      </c>
      <c r="EE23" s="7">
        <v>2.4454000000000002</v>
      </c>
      <c r="EF23" s="7">
        <v>2.5402</v>
      </c>
      <c r="EG23" s="7">
        <v>2.548</v>
      </c>
      <c r="EH23" s="7" t="s">
        <v>72</v>
      </c>
      <c r="EI23" s="7"/>
      <c r="EJ23" s="7" t="s">
        <v>72</v>
      </c>
      <c r="EK23" s="7">
        <v>11.6625</v>
      </c>
      <c r="EL23" s="7">
        <v>11.027900000000001</v>
      </c>
      <c r="EM23" s="7">
        <v>11.431900000000001</v>
      </c>
      <c r="EN23" s="7" t="s">
        <v>72</v>
      </c>
      <c r="EO23" s="7">
        <v>11.608499999999999</v>
      </c>
      <c r="EP23" s="7">
        <v>10.5486</v>
      </c>
      <c r="EQ23" s="7">
        <v>10.8781</v>
      </c>
      <c r="ER23" s="7" t="s">
        <v>72</v>
      </c>
      <c r="ES23" s="7" t="s">
        <v>72</v>
      </c>
      <c r="ET23" s="7" t="s">
        <v>72</v>
      </c>
      <c r="EU23" s="7" t="s">
        <v>72</v>
      </c>
      <c r="EV23" s="7" t="s">
        <v>72</v>
      </c>
      <c r="EW23" s="7" t="s">
        <v>72</v>
      </c>
      <c r="EX23" s="7" t="s">
        <v>72</v>
      </c>
      <c r="EY23" s="7" t="s">
        <v>72</v>
      </c>
      <c r="EZ23" s="7"/>
      <c r="FA23" s="7" t="s">
        <v>72</v>
      </c>
      <c r="FB23" s="7">
        <v>1.7153</v>
      </c>
      <c r="FC23" s="7">
        <v>1.7587999999999999</v>
      </c>
      <c r="FD23" s="7">
        <v>1.9713000000000001</v>
      </c>
      <c r="FE23" s="7" t="s">
        <v>72</v>
      </c>
      <c r="FF23" s="7">
        <v>2.0173999999999999</v>
      </c>
      <c r="FG23" s="7">
        <v>1.8243</v>
      </c>
      <c r="FH23" s="7">
        <v>1.7238</v>
      </c>
      <c r="FI23" s="7" t="s">
        <v>72</v>
      </c>
      <c r="FJ23" s="7" t="s">
        <v>72</v>
      </c>
      <c r="FK23" s="7" t="s">
        <v>72</v>
      </c>
      <c r="FL23" s="7" t="s">
        <v>72</v>
      </c>
      <c r="FM23" s="7" t="s">
        <v>72</v>
      </c>
      <c r="FN23" s="7" t="s">
        <v>72</v>
      </c>
      <c r="FO23" s="7" t="s">
        <v>72</v>
      </c>
      <c r="FP23" s="7">
        <v>2.0817999999999999</v>
      </c>
      <c r="FQ23" s="7"/>
      <c r="FR23" s="7">
        <v>11584</v>
      </c>
      <c r="FS23" s="7">
        <v>16928</v>
      </c>
      <c r="FT23" s="7">
        <v>11373</v>
      </c>
      <c r="FU23" s="7">
        <v>12787</v>
      </c>
      <c r="FV23" s="7">
        <v>15344</v>
      </c>
      <c r="FW23" s="7">
        <v>25660</v>
      </c>
      <c r="FX23" s="7">
        <v>5669</v>
      </c>
      <c r="FY23" s="7">
        <v>14912</v>
      </c>
      <c r="FZ23" s="7">
        <v>5035</v>
      </c>
      <c r="GA23" s="7">
        <v>18884</v>
      </c>
      <c r="GB23" s="7">
        <v>10110</v>
      </c>
      <c r="GC23" s="7">
        <v>11289</v>
      </c>
      <c r="GD23" s="7">
        <v>4043</v>
      </c>
      <c r="GE23" s="7">
        <v>25900</v>
      </c>
      <c r="GF23" s="7">
        <v>18128</v>
      </c>
      <c r="GG23" s="7" t="s">
        <v>72</v>
      </c>
      <c r="GH23" s="7"/>
      <c r="GI23" s="7">
        <v>142499</v>
      </c>
      <c r="GJ23" s="7">
        <v>141772</v>
      </c>
      <c r="GK23" s="7">
        <v>135952</v>
      </c>
      <c r="GL23" s="7">
        <v>131577</v>
      </c>
      <c r="GM23" s="7">
        <v>132665</v>
      </c>
      <c r="GN23" s="7">
        <v>123530</v>
      </c>
      <c r="GO23" s="7">
        <v>117010</v>
      </c>
      <c r="GP23" s="7">
        <v>122498</v>
      </c>
      <c r="GQ23" s="7">
        <v>122942</v>
      </c>
      <c r="GR23" s="7">
        <v>116086</v>
      </c>
      <c r="GS23" s="7">
        <v>106011</v>
      </c>
      <c r="GT23" s="7">
        <v>105817</v>
      </c>
      <c r="GU23" s="7">
        <v>113396</v>
      </c>
      <c r="GV23" s="7">
        <v>111816</v>
      </c>
      <c r="GW23" s="7">
        <v>106459</v>
      </c>
      <c r="GX23" s="7" t="s">
        <v>72</v>
      </c>
      <c r="GY23" s="7"/>
      <c r="GZ23" s="7">
        <v>10745</v>
      </c>
      <c r="HA23" s="7">
        <v>8706</v>
      </c>
      <c r="HB23" s="7">
        <v>9182</v>
      </c>
      <c r="HC23" s="7">
        <v>10551</v>
      </c>
      <c r="HD23" s="7">
        <v>9238</v>
      </c>
      <c r="HE23" s="7">
        <v>8841</v>
      </c>
      <c r="HF23" s="7">
        <v>8654</v>
      </c>
      <c r="HG23" s="7">
        <v>9945</v>
      </c>
      <c r="HH23" s="7">
        <v>9663</v>
      </c>
      <c r="HI23" s="7">
        <v>8739</v>
      </c>
      <c r="HJ23" s="7">
        <v>8887</v>
      </c>
      <c r="HK23" s="7">
        <v>9140</v>
      </c>
      <c r="HL23" s="7">
        <v>8252</v>
      </c>
      <c r="HM23" s="7">
        <v>8393</v>
      </c>
      <c r="HN23" s="7">
        <v>8126</v>
      </c>
      <c r="HO23" s="7" t="s">
        <v>72</v>
      </c>
      <c r="HP23" s="7"/>
      <c r="HQ23" s="216">
        <v>6.8726000000000003</v>
      </c>
      <c r="HR23" s="216">
        <v>7.2943999999999996</v>
      </c>
      <c r="HS23" s="216">
        <v>8.4779</v>
      </c>
      <c r="HT23" s="216">
        <v>8.6692999999999998</v>
      </c>
      <c r="HU23" s="216">
        <v>9.4322999999999997</v>
      </c>
      <c r="HV23" s="216">
        <v>9.8923000000000005</v>
      </c>
      <c r="HW23" s="216">
        <v>9.0198</v>
      </c>
      <c r="HX23" s="216">
        <v>7.8665000000000003</v>
      </c>
      <c r="HY23" s="216">
        <v>6.7896999999999998</v>
      </c>
      <c r="HZ23" s="216">
        <v>6.6597999999999997</v>
      </c>
      <c r="IA23" s="216">
        <v>6.8837000000000002</v>
      </c>
      <c r="IB23" s="216">
        <v>6.6165000000000003</v>
      </c>
      <c r="IC23" s="216">
        <v>6.4081999999999999</v>
      </c>
      <c r="ID23" s="216">
        <v>7.3038999999999996</v>
      </c>
      <c r="IE23" s="216">
        <v>7.8311999999999999</v>
      </c>
      <c r="IF23" s="216" t="s">
        <v>72</v>
      </c>
      <c r="IG23" s="7"/>
    </row>
    <row r="24" spans="1:241">
      <c r="A24" s="11" t="s">
        <v>503</v>
      </c>
      <c r="B24" s="7" t="s">
        <v>15</v>
      </c>
      <c r="C24" s="7"/>
      <c r="D24" s="7">
        <v>48530.0245</v>
      </c>
      <c r="E24" s="7">
        <v>52369.7016</v>
      </c>
      <c r="F24" s="7">
        <v>51000.791700000002</v>
      </c>
      <c r="G24" s="7">
        <v>61871.630499999999</v>
      </c>
      <c r="H24" s="7">
        <v>61362.762900000002</v>
      </c>
      <c r="I24" s="7">
        <v>65371.185700000002</v>
      </c>
      <c r="J24" s="7">
        <v>55514.744899999998</v>
      </c>
      <c r="K24" s="7">
        <v>55673.455499999996</v>
      </c>
      <c r="L24" s="7">
        <v>59471.679499999998</v>
      </c>
      <c r="M24" s="7">
        <v>59344.728199999998</v>
      </c>
      <c r="N24" s="7">
        <v>47489.817300000002</v>
      </c>
      <c r="O24" s="7">
        <v>52512.258699999998</v>
      </c>
      <c r="P24" s="7">
        <v>52069.827799999999</v>
      </c>
      <c r="Q24" s="7">
        <v>49957.131999999998</v>
      </c>
      <c r="R24" s="7">
        <v>35082.936000000002</v>
      </c>
      <c r="S24" s="7" t="s">
        <v>72</v>
      </c>
      <c r="T24" s="7"/>
      <c r="U24" s="7">
        <v>1823</v>
      </c>
      <c r="V24" s="7">
        <v>3232</v>
      </c>
      <c r="W24" s="7">
        <v>4251</v>
      </c>
      <c r="X24" s="7">
        <v>2342</v>
      </c>
      <c r="Y24" s="7">
        <v>1680</v>
      </c>
      <c r="Z24" s="7">
        <v>789</v>
      </c>
      <c r="AA24" s="7">
        <v>13587</v>
      </c>
      <c r="AB24" s="7">
        <v>12187</v>
      </c>
      <c r="AC24" s="7">
        <v>13099</v>
      </c>
      <c r="AD24" s="7">
        <v>12741</v>
      </c>
      <c r="AE24" s="7">
        <v>17647</v>
      </c>
      <c r="AF24" s="7">
        <v>16006</v>
      </c>
      <c r="AG24" s="7">
        <v>15221</v>
      </c>
      <c r="AH24" s="7">
        <v>10937</v>
      </c>
      <c r="AI24" s="7">
        <v>8893</v>
      </c>
      <c r="AJ24" s="7" t="s">
        <v>72</v>
      </c>
      <c r="AK24" s="7"/>
      <c r="AL24" s="7">
        <v>6451</v>
      </c>
      <c r="AM24" s="7" t="s">
        <v>72</v>
      </c>
      <c r="AN24" s="7" t="s">
        <v>72</v>
      </c>
      <c r="AO24" s="7" t="s">
        <v>72</v>
      </c>
      <c r="AP24" s="7">
        <v>5452</v>
      </c>
      <c r="AQ24" s="7">
        <v>0</v>
      </c>
      <c r="AR24" s="7" t="s">
        <v>72</v>
      </c>
      <c r="AS24" s="7" t="s">
        <v>72</v>
      </c>
      <c r="AT24" s="7">
        <v>4534</v>
      </c>
      <c r="AU24" s="7" t="s">
        <v>72</v>
      </c>
      <c r="AV24" s="7" t="s">
        <v>72</v>
      </c>
      <c r="AW24" s="7" t="s">
        <v>72</v>
      </c>
      <c r="AX24" s="7">
        <v>5980</v>
      </c>
      <c r="AY24" s="7" t="s">
        <v>72</v>
      </c>
      <c r="AZ24" s="7" t="s">
        <v>72</v>
      </c>
      <c r="BA24" s="7" t="s">
        <v>72</v>
      </c>
      <c r="BB24" s="7"/>
      <c r="BC24" s="7">
        <v>5.6833</v>
      </c>
      <c r="BD24" s="7">
        <v>19.896100000000001</v>
      </c>
      <c r="BE24" s="7">
        <v>16.1206</v>
      </c>
      <c r="BF24" s="7">
        <v>20.809000000000001</v>
      </c>
      <c r="BG24" s="7">
        <v>7.3872999999999998</v>
      </c>
      <c r="BH24" s="7">
        <v>56.862099999999998</v>
      </c>
      <c r="BI24" s="7">
        <v>19.965499999999999</v>
      </c>
      <c r="BJ24" s="7">
        <v>10.9833</v>
      </c>
      <c r="BK24" s="7">
        <v>7.8056000000000001</v>
      </c>
      <c r="BL24" s="7">
        <v>5.6978999999999997</v>
      </c>
      <c r="BM24" s="7">
        <v>3.4459</v>
      </c>
      <c r="BN24" s="7">
        <v>5.0849000000000002</v>
      </c>
      <c r="BO24" s="7">
        <v>6.17</v>
      </c>
      <c r="BP24" s="7">
        <v>5.2077</v>
      </c>
      <c r="BQ24" s="7">
        <v>14.895799999999999</v>
      </c>
      <c r="BR24" s="7" t="s">
        <v>72</v>
      </c>
      <c r="BS24" s="7"/>
      <c r="BT24" s="7">
        <v>0.19839999999999999</v>
      </c>
      <c r="BU24" s="7">
        <v>0.34749999999999998</v>
      </c>
      <c r="BV24" s="7">
        <v>0.41970000000000002</v>
      </c>
      <c r="BW24" s="7">
        <v>0.22489999999999999</v>
      </c>
      <c r="BX24" s="7">
        <v>0.15609999999999999</v>
      </c>
      <c r="BY24" s="7">
        <v>7.1999999999999995E-2</v>
      </c>
      <c r="BZ24" s="7">
        <v>1.2939000000000001</v>
      </c>
      <c r="CA24" s="7">
        <v>1.1357999999999999</v>
      </c>
      <c r="CB24" s="7">
        <v>1.1818</v>
      </c>
      <c r="CC24" s="7">
        <v>1.2697000000000001</v>
      </c>
      <c r="CD24" s="7">
        <v>2.0091999999999999</v>
      </c>
      <c r="CE24" s="7">
        <v>1.9338</v>
      </c>
      <c r="CF24" s="7">
        <v>1.8782000000000001</v>
      </c>
      <c r="CG24" s="7">
        <v>1.3524</v>
      </c>
      <c r="CH24" s="7">
        <v>1.097</v>
      </c>
      <c r="CI24" s="7" t="s">
        <v>72</v>
      </c>
      <c r="CJ24"/>
      <c r="CK24" s="7">
        <v>50416.0245</v>
      </c>
      <c r="CL24" s="7">
        <v>55604.7016</v>
      </c>
      <c r="CM24" s="7">
        <v>55255.791700000002</v>
      </c>
      <c r="CN24" s="7">
        <v>64217.630499999999</v>
      </c>
      <c r="CO24" s="7">
        <v>63045.762900000002</v>
      </c>
      <c r="CP24" s="7">
        <v>66163.185700000002</v>
      </c>
      <c r="CQ24" s="7">
        <v>69104.744900000005</v>
      </c>
      <c r="CR24" s="7">
        <v>67863.455499999996</v>
      </c>
      <c r="CS24" s="7">
        <v>72573.679499999998</v>
      </c>
      <c r="CT24" s="7">
        <v>72088.728199999998</v>
      </c>
      <c r="CU24" s="7">
        <v>65139.817300000002</v>
      </c>
      <c r="CV24" s="7">
        <v>68521.258700000006</v>
      </c>
      <c r="CW24" s="7">
        <v>67293.827799999999</v>
      </c>
      <c r="CX24" s="7">
        <v>60896.131999999998</v>
      </c>
      <c r="CY24" s="7">
        <v>43977.936000000002</v>
      </c>
      <c r="CZ24" s="7" t="s">
        <v>72</v>
      </c>
      <c r="DA24" s="7"/>
      <c r="DB24" s="7">
        <v>5.4878</v>
      </c>
      <c r="DC24" s="7">
        <v>5.9777000000000005</v>
      </c>
      <c r="DD24" s="7">
        <v>5.4551999999999996</v>
      </c>
      <c r="DE24" s="7">
        <v>6.1658999999999997</v>
      </c>
      <c r="DF24" s="7">
        <v>5.8586999999999998</v>
      </c>
      <c r="DG24" s="7">
        <v>6.0357000000000003</v>
      </c>
      <c r="DH24" s="7">
        <v>6.5808</v>
      </c>
      <c r="DI24" s="7">
        <v>6.3246000000000002</v>
      </c>
      <c r="DJ24" s="7">
        <v>6.5476000000000001</v>
      </c>
      <c r="DK24" s="7">
        <v>7.1837</v>
      </c>
      <c r="DL24" s="7">
        <v>7.4165999999999999</v>
      </c>
      <c r="DM24" s="7">
        <v>8.2784999999999993</v>
      </c>
      <c r="DN24" s="7">
        <v>8.3038000000000007</v>
      </c>
      <c r="DO24" s="7">
        <v>7.5301</v>
      </c>
      <c r="DP24" s="7">
        <v>5.4246999999999996</v>
      </c>
      <c r="DQ24" s="7" t="s">
        <v>72</v>
      </c>
      <c r="DR24" s="7"/>
      <c r="DS24" s="7">
        <v>1.3028999999999999</v>
      </c>
      <c r="DT24" s="7">
        <v>1.4479</v>
      </c>
      <c r="DU24" s="7">
        <v>1.413</v>
      </c>
      <c r="DV24" s="7">
        <v>1.6324000000000001</v>
      </c>
      <c r="DW24" s="7">
        <v>1.5697000000000001</v>
      </c>
      <c r="DX24" s="7">
        <v>1.6457999999999999</v>
      </c>
      <c r="DY24" s="7">
        <v>1.7396</v>
      </c>
      <c r="DZ24" s="7">
        <v>1.69</v>
      </c>
      <c r="EA24" s="7">
        <v>1.77</v>
      </c>
      <c r="EB24" s="7">
        <v>1.855</v>
      </c>
      <c r="EC24" s="7">
        <v>1.7812000000000001</v>
      </c>
      <c r="ED24" s="7">
        <v>1.8496000000000001</v>
      </c>
      <c r="EE24" s="7">
        <v>1.7993000000000001</v>
      </c>
      <c r="EF24" s="7">
        <v>1.6341000000000001</v>
      </c>
      <c r="EG24" s="7">
        <v>1.19</v>
      </c>
      <c r="EH24" s="7" t="s">
        <v>72</v>
      </c>
      <c r="EI24" s="7"/>
      <c r="EJ24" s="7" t="s">
        <v>72</v>
      </c>
      <c r="EK24" s="7">
        <v>5.8739999999999997</v>
      </c>
      <c r="EL24" s="7">
        <v>5.2869000000000002</v>
      </c>
      <c r="EM24" s="7">
        <v>6.0690999999999997</v>
      </c>
      <c r="EN24" s="7" t="s">
        <v>72</v>
      </c>
      <c r="EO24" s="7">
        <v>6.0021000000000004</v>
      </c>
      <c r="EP24" s="7">
        <v>6.5640000000000001</v>
      </c>
      <c r="EQ24" s="7">
        <v>8.3751999999999995</v>
      </c>
      <c r="ER24" s="7" t="s">
        <v>72</v>
      </c>
      <c r="ES24" s="7" t="s">
        <v>72</v>
      </c>
      <c r="ET24" s="7" t="s">
        <v>72</v>
      </c>
      <c r="EU24" s="7" t="s">
        <v>72</v>
      </c>
      <c r="EV24" s="7" t="s">
        <v>72</v>
      </c>
      <c r="EW24" s="7" t="s">
        <v>72</v>
      </c>
      <c r="EX24" s="7" t="s">
        <v>72</v>
      </c>
      <c r="EY24" s="7" t="s">
        <v>72</v>
      </c>
      <c r="EZ24" s="7"/>
      <c r="FA24" s="7" t="s">
        <v>72</v>
      </c>
      <c r="FB24" s="7">
        <v>1.0947</v>
      </c>
      <c r="FC24" s="7">
        <v>1.1429</v>
      </c>
      <c r="FD24" s="7">
        <v>1.3481000000000001</v>
      </c>
      <c r="FE24" s="7" t="s">
        <v>72</v>
      </c>
      <c r="FF24" s="7">
        <v>1.2877000000000001</v>
      </c>
      <c r="FG24" s="7">
        <v>1.9668000000000001</v>
      </c>
      <c r="FH24" s="7">
        <v>1.8469</v>
      </c>
      <c r="FI24" s="7" t="s">
        <v>72</v>
      </c>
      <c r="FJ24" s="7" t="s">
        <v>72</v>
      </c>
      <c r="FK24" s="7" t="s">
        <v>72</v>
      </c>
      <c r="FL24" s="7" t="s">
        <v>72</v>
      </c>
      <c r="FM24" s="7" t="s">
        <v>72</v>
      </c>
      <c r="FN24" s="7" t="s">
        <v>72</v>
      </c>
      <c r="FO24" s="7" t="s">
        <v>72</v>
      </c>
      <c r="FP24" s="7">
        <v>1.72</v>
      </c>
      <c r="FQ24" s="7"/>
      <c r="FR24" s="7">
        <v>1312</v>
      </c>
      <c r="FS24" s="7">
        <v>993</v>
      </c>
      <c r="FT24" s="7">
        <v>1072</v>
      </c>
      <c r="FU24" s="7">
        <v>1513</v>
      </c>
      <c r="FV24" s="7">
        <v>834</v>
      </c>
      <c r="FW24" s="7">
        <v>1443</v>
      </c>
      <c r="FX24" s="7">
        <v>1978</v>
      </c>
      <c r="FY24" s="7">
        <v>2812</v>
      </c>
      <c r="FZ24" s="7">
        <v>1026</v>
      </c>
      <c r="GA24" s="7">
        <v>546</v>
      </c>
      <c r="GB24" s="7">
        <v>1147</v>
      </c>
      <c r="GC24" s="7">
        <v>632</v>
      </c>
      <c r="GD24" s="7">
        <v>1673</v>
      </c>
      <c r="GE24" s="7">
        <v>386</v>
      </c>
      <c r="GF24" s="7">
        <v>740</v>
      </c>
      <c r="GG24" s="7" t="s">
        <v>72</v>
      </c>
      <c r="GH24" s="7"/>
      <c r="GI24" s="7">
        <v>28465</v>
      </c>
      <c r="GJ24" s="7">
        <v>28317</v>
      </c>
      <c r="GK24" s="7">
        <v>26859</v>
      </c>
      <c r="GL24" s="7">
        <v>27624</v>
      </c>
      <c r="GM24" s="7">
        <v>28875</v>
      </c>
      <c r="GN24" s="7">
        <v>29988</v>
      </c>
      <c r="GO24" s="7">
        <v>19830</v>
      </c>
      <c r="GP24" s="7">
        <v>21178</v>
      </c>
      <c r="GQ24" s="7">
        <v>21452</v>
      </c>
      <c r="GR24" s="7">
        <v>22271</v>
      </c>
      <c r="GS24" s="7">
        <v>16986</v>
      </c>
      <c r="GT24" s="7">
        <v>16930</v>
      </c>
      <c r="GU24" s="7">
        <v>20429</v>
      </c>
      <c r="GV24" s="7">
        <v>20825</v>
      </c>
      <c r="GW24" s="7">
        <v>21293</v>
      </c>
      <c r="GX24" s="7" t="s">
        <v>72</v>
      </c>
      <c r="GY24" s="7"/>
      <c r="GZ24" s="7">
        <v>2109</v>
      </c>
      <c r="HA24" s="7">
        <v>2355</v>
      </c>
      <c r="HB24" s="7">
        <v>3214</v>
      </c>
      <c r="HC24" s="7">
        <v>2737</v>
      </c>
      <c r="HD24" s="7">
        <v>2455</v>
      </c>
      <c r="HE24" s="7">
        <v>2556</v>
      </c>
      <c r="HF24" s="7">
        <v>2753</v>
      </c>
      <c r="HG24" s="7">
        <v>2966</v>
      </c>
      <c r="HH24" s="7">
        <v>2809</v>
      </c>
      <c r="HI24" s="7">
        <v>1507</v>
      </c>
      <c r="HJ24" s="7">
        <v>1501</v>
      </c>
      <c r="HK24" s="7">
        <v>2460</v>
      </c>
      <c r="HL24" s="7">
        <v>2636</v>
      </c>
      <c r="HM24" s="7">
        <v>1490</v>
      </c>
      <c r="HN24" s="7">
        <v>1521</v>
      </c>
      <c r="HO24" s="7" t="s">
        <v>72</v>
      </c>
      <c r="HP24" s="7"/>
      <c r="HQ24" s="216">
        <v>8.3986999999999998</v>
      </c>
      <c r="HR24" s="216">
        <v>9.0451999999999995</v>
      </c>
      <c r="HS24" s="216">
        <v>10.833600000000001</v>
      </c>
      <c r="HT24" s="216">
        <v>11.3103</v>
      </c>
      <c r="HU24" s="216">
        <v>12.945600000000001</v>
      </c>
      <c r="HV24" s="216">
        <v>12.838699999999999</v>
      </c>
      <c r="HW24" s="216">
        <v>10.1486</v>
      </c>
      <c r="HX24" s="216">
        <v>7.8585000000000003</v>
      </c>
      <c r="HY24" s="216">
        <v>6.5148999999999999</v>
      </c>
      <c r="HZ24" s="216">
        <v>6.5583</v>
      </c>
      <c r="IA24" s="216">
        <v>5.6955</v>
      </c>
      <c r="IB24" s="216">
        <v>5.7134</v>
      </c>
      <c r="IC24" s="216">
        <v>5.6101999999999999</v>
      </c>
      <c r="ID24" s="216">
        <v>6.6901999999999999</v>
      </c>
      <c r="IE24" s="216">
        <v>6.7249999999999996</v>
      </c>
      <c r="IF24" s="216" t="s">
        <v>72</v>
      </c>
      <c r="IG24" s="7"/>
    </row>
    <row r="25" spans="1:241">
      <c r="A25" s="11" t="s">
        <v>504</v>
      </c>
      <c r="B25" s="7" t="s">
        <v>12</v>
      </c>
      <c r="C25" s="7"/>
      <c r="D25" s="7">
        <v>20491.332699999999</v>
      </c>
      <c r="E25" s="7">
        <v>19933.409599999999</v>
      </c>
      <c r="F25" s="7">
        <v>19006.132900000001</v>
      </c>
      <c r="G25" s="7" t="e">
        <v>#NAME?</v>
      </c>
      <c r="H25" s="7">
        <v>21294.192299999999</v>
      </c>
      <c r="I25" s="7">
        <v>21208.824000000001</v>
      </c>
      <c r="J25" s="7">
        <v>19969.649000000001</v>
      </c>
      <c r="K25" s="7">
        <v>19208.160500000002</v>
      </c>
      <c r="L25" s="7">
        <v>18436.1567</v>
      </c>
      <c r="M25" s="7">
        <v>18902.549800000001</v>
      </c>
      <c r="N25" s="7">
        <v>19746.922399999999</v>
      </c>
      <c r="O25" s="7">
        <v>19581.155999999999</v>
      </c>
      <c r="P25" s="7">
        <v>20399.429499999998</v>
      </c>
      <c r="Q25" s="7">
        <v>22751.413400000001</v>
      </c>
      <c r="R25" s="7">
        <v>21425.307199999999</v>
      </c>
      <c r="S25" s="7" t="s">
        <v>72</v>
      </c>
      <c r="T25" s="7"/>
      <c r="U25" s="7">
        <v>9509</v>
      </c>
      <c r="V25" s="7">
        <v>8919</v>
      </c>
      <c r="W25" s="7">
        <v>9615</v>
      </c>
      <c r="X25" s="7">
        <v>9139</v>
      </c>
      <c r="Y25" s="7">
        <v>9167</v>
      </c>
      <c r="Z25" s="7">
        <v>8869</v>
      </c>
      <c r="AA25" s="7">
        <v>9638</v>
      </c>
      <c r="AB25" s="7">
        <v>9091</v>
      </c>
      <c r="AC25" s="7">
        <v>8444</v>
      </c>
      <c r="AD25" s="7">
        <v>8444</v>
      </c>
      <c r="AE25" s="7">
        <v>8924</v>
      </c>
      <c r="AF25" s="7">
        <v>8758</v>
      </c>
      <c r="AG25" s="7">
        <v>8205</v>
      </c>
      <c r="AH25" s="7">
        <v>8070</v>
      </c>
      <c r="AI25" s="7">
        <v>8759</v>
      </c>
      <c r="AJ25" s="7" t="s">
        <v>72</v>
      </c>
      <c r="AK25" s="7"/>
      <c r="AL25" s="7">
        <v>852</v>
      </c>
      <c r="AM25" s="7" t="s">
        <v>72</v>
      </c>
      <c r="AN25" s="7" t="s">
        <v>72</v>
      </c>
      <c r="AO25" s="7" t="s">
        <v>72</v>
      </c>
      <c r="AP25" s="7">
        <v>732</v>
      </c>
      <c r="AQ25" s="7" t="s">
        <v>72</v>
      </c>
      <c r="AR25" s="7" t="s">
        <v>72</v>
      </c>
      <c r="AS25" s="7" t="s">
        <v>72</v>
      </c>
      <c r="AT25" s="7">
        <v>627</v>
      </c>
      <c r="AU25" s="7" t="s">
        <v>72</v>
      </c>
      <c r="AV25" s="7" t="s">
        <v>72</v>
      </c>
      <c r="AW25" s="7" t="s">
        <v>72</v>
      </c>
      <c r="AX25" s="7">
        <v>695</v>
      </c>
      <c r="AY25" s="7" t="s">
        <v>72</v>
      </c>
      <c r="AZ25" s="7" t="s">
        <v>72</v>
      </c>
      <c r="BA25" s="7" t="s">
        <v>72</v>
      </c>
      <c r="BB25" s="7"/>
      <c r="BC25" s="7">
        <v>1.2405999999999999</v>
      </c>
      <c r="BD25" s="7">
        <v>7.5270000000000001</v>
      </c>
      <c r="BE25" s="7">
        <v>9.75</v>
      </c>
      <c r="BF25" s="7">
        <v>10.4054</v>
      </c>
      <c r="BG25" s="7">
        <v>3.7107999999999999</v>
      </c>
      <c r="BH25" s="7">
        <v>9.6715999999999998</v>
      </c>
      <c r="BI25" s="7">
        <v>9.9705999999999992</v>
      </c>
      <c r="BJ25" s="7">
        <v>9.1882000000000001</v>
      </c>
      <c r="BK25" s="7">
        <v>3.6709000000000001</v>
      </c>
      <c r="BL25" s="7">
        <v>9.6405999999999992</v>
      </c>
      <c r="BM25" s="7">
        <v>9.3332999999999995</v>
      </c>
      <c r="BN25" s="7">
        <v>9.2173999999999996</v>
      </c>
      <c r="BO25" s="7">
        <v>3.8153999999999999</v>
      </c>
      <c r="BP25" s="7">
        <v>8.0596999999999994</v>
      </c>
      <c r="BQ25" s="7">
        <v>9.0475999999999992</v>
      </c>
      <c r="BR25" s="7" t="s">
        <v>72</v>
      </c>
      <c r="BS25" s="7"/>
      <c r="BT25" s="7">
        <v>2.0301</v>
      </c>
      <c r="BU25" s="7">
        <v>1.9376</v>
      </c>
      <c r="BV25" s="7">
        <v>2.0771000000000002</v>
      </c>
      <c r="BW25" s="7">
        <v>1.9691999999999998</v>
      </c>
      <c r="BX25" s="7">
        <v>2.1082999999999998</v>
      </c>
      <c r="BY25" s="7">
        <v>2.0084</v>
      </c>
      <c r="BZ25" s="7">
        <v>2.2259000000000002</v>
      </c>
      <c r="CA25" s="7">
        <v>2.1034000000000002</v>
      </c>
      <c r="CB25" s="7">
        <v>1.9637</v>
      </c>
      <c r="CC25" s="7">
        <v>1.9765999999999999</v>
      </c>
      <c r="CD25" s="7">
        <v>2.0977999999999999</v>
      </c>
      <c r="CE25" s="7">
        <v>2.1200999999999999</v>
      </c>
      <c r="CF25" s="7">
        <v>2.0036999999999998</v>
      </c>
      <c r="CG25" s="7">
        <v>2.0034999999999998</v>
      </c>
      <c r="CH25" s="7">
        <v>2.2046000000000001</v>
      </c>
      <c r="CI25" s="7" t="s">
        <v>72</v>
      </c>
      <c r="CJ25"/>
      <c r="CK25" s="7">
        <v>30319.332699999999</v>
      </c>
      <c r="CL25" s="7">
        <v>29143.409599999999</v>
      </c>
      <c r="CM25" s="7">
        <v>28889.132900000001</v>
      </c>
      <c r="CN25" s="7">
        <v>29934.132600000001</v>
      </c>
      <c r="CO25" s="7">
        <v>30481.192299999999</v>
      </c>
      <c r="CP25" s="7">
        <v>30111.824000000001</v>
      </c>
      <c r="CQ25" s="7">
        <v>29628.649000000001</v>
      </c>
      <c r="CR25" s="7">
        <v>28322.160500000002</v>
      </c>
      <c r="CS25" s="7">
        <v>26904.1567</v>
      </c>
      <c r="CT25" s="7">
        <v>27373.549800000001</v>
      </c>
      <c r="CU25" s="7">
        <v>28684.922399999999</v>
      </c>
      <c r="CV25" s="7">
        <v>28354.155999999999</v>
      </c>
      <c r="CW25" s="7">
        <v>28628.429499999998</v>
      </c>
      <c r="CX25" s="7">
        <v>30850.413400000001</v>
      </c>
      <c r="CY25" s="7">
        <v>30200.307199999999</v>
      </c>
      <c r="CZ25" s="7" t="s">
        <v>72</v>
      </c>
      <c r="DA25" s="7"/>
      <c r="DB25" s="7">
        <v>6.4729999999999999</v>
      </c>
      <c r="DC25" s="7">
        <v>6.3314000000000004</v>
      </c>
      <c r="DD25" s="7">
        <v>6.2408999999999999</v>
      </c>
      <c r="DE25" s="7">
        <v>6.4499000000000004</v>
      </c>
      <c r="DF25" s="7">
        <v>7.0103999999999997</v>
      </c>
      <c r="DG25" s="7">
        <v>6.8187999999999995</v>
      </c>
      <c r="DH25" s="7">
        <v>6.8426</v>
      </c>
      <c r="DI25" s="7">
        <v>6.5529999999999999</v>
      </c>
      <c r="DJ25" s="7">
        <v>6.2568000000000001</v>
      </c>
      <c r="DK25" s="7">
        <v>6.4077000000000002</v>
      </c>
      <c r="DL25" s="7">
        <v>6.7430000000000003</v>
      </c>
      <c r="DM25" s="7">
        <v>6.8638000000000003</v>
      </c>
      <c r="DN25" s="7">
        <v>6.9911000000000003</v>
      </c>
      <c r="DO25" s="7">
        <v>7.6589999999999998</v>
      </c>
      <c r="DP25" s="7">
        <v>7.6013999999999999</v>
      </c>
      <c r="DQ25" s="7" t="s">
        <v>72</v>
      </c>
      <c r="DR25" s="7"/>
      <c r="DS25" s="7">
        <v>2.5263999999999998</v>
      </c>
      <c r="DT25" s="7">
        <v>2.4209999999999998</v>
      </c>
      <c r="DU25" s="7">
        <v>2.4013999999999998</v>
      </c>
      <c r="DV25" s="7">
        <v>2.4836999999999998</v>
      </c>
      <c r="DW25" s="7">
        <v>2.5426000000000002</v>
      </c>
      <c r="DX25" s="7">
        <v>2.5310000000000001</v>
      </c>
      <c r="DY25" s="7">
        <v>2.5186000000000002</v>
      </c>
      <c r="DZ25" s="7">
        <v>2.4521000000000002</v>
      </c>
      <c r="EA25" s="7">
        <v>2.3462000000000001</v>
      </c>
      <c r="EB25" s="7">
        <v>2.3997000000000002</v>
      </c>
      <c r="EC25" s="7">
        <v>2.5236999999999998</v>
      </c>
      <c r="ED25" s="7">
        <v>2.4967999999999999</v>
      </c>
      <c r="EE25" s="7">
        <v>2.5148000000000001</v>
      </c>
      <c r="EF25" s="7">
        <v>2.7263000000000002</v>
      </c>
      <c r="EG25" s="7">
        <v>2.6587000000000001</v>
      </c>
      <c r="EH25" s="7" t="s">
        <v>72</v>
      </c>
      <c r="EI25" s="7"/>
      <c r="EJ25" s="7" t="s">
        <v>72</v>
      </c>
      <c r="EK25" s="7">
        <v>10.6167</v>
      </c>
      <c r="EL25" s="7">
        <v>10.3238</v>
      </c>
      <c r="EM25" s="7">
        <v>11.0023</v>
      </c>
      <c r="EN25" s="7" t="s">
        <v>72</v>
      </c>
      <c r="EO25" s="7">
        <v>10.991300000000001</v>
      </c>
      <c r="EP25" s="7">
        <v>10.631499999999999</v>
      </c>
      <c r="EQ25" s="7">
        <v>10.0761</v>
      </c>
      <c r="ER25" s="7" t="s">
        <v>72</v>
      </c>
      <c r="ES25" s="7" t="s">
        <v>72</v>
      </c>
      <c r="ET25" s="7" t="s">
        <v>72</v>
      </c>
      <c r="EU25" s="7" t="s">
        <v>72</v>
      </c>
      <c r="EV25" s="7" t="s">
        <v>72</v>
      </c>
      <c r="EW25" s="7" t="s">
        <v>72</v>
      </c>
      <c r="EX25" s="7" t="s">
        <v>72</v>
      </c>
      <c r="EY25" s="7" t="s">
        <v>72</v>
      </c>
      <c r="EZ25" s="7"/>
      <c r="FA25" s="7" t="s">
        <v>72</v>
      </c>
      <c r="FB25" s="7">
        <v>3.0236000000000001</v>
      </c>
      <c r="FC25" s="7">
        <v>3.3891</v>
      </c>
      <c r="FD25" s="7">
        <v>3.3161</v>
      </c>
      <c r="FE25" s="7" t="s">
        <v>72</v>
      </c>
      <c r="FF25" s="7">
        <v>3.3447</v>
      </c>
      <c r="FG25" s="7">
        <v>3.8843999999999999</v>
      </c>
      <c r="FH25" s="7">
        <v>3.7968000000000002</v>
      </c>
      <c r="FI25" s="7" t="s">
        <v>72</v>
      </c>
      <c r="FJ25" s="7" t="s">
        <v>72</v>
      </c>
      <c r="FK25" s="7" t="s">
        <v>72</v>
      </c>
      <c r="FL25" s="7" t="s">
        <v>72</v>
      </c>
      <c r="FM25" s="7" t="s">
        <v>72</v>
      </c>
      <c r="FN25" s="7" t="s">
        <v>72</v>
      </c>
      <c r="FO25" s="7" t="s">
        <v>72</v>
      </c>
      <c r="FP25" s="7">
        <v>4.8217999999999996</v>
      </c>
      <c r="FQ25" s="7"/>
      <c r="FR25" s="7">
        <v>532</v>
      </c>
      <c r="FS25" s="7">
        <v>866</v>
      </c>
      <c r="FT25" s="7">
        <v>535</v>
      </c>
      <c r="FU25" s="7">
        <v>559</v>
      </c>
      <c r="FV25" s="7">
        <v>483</v>
      </c>
      <c r="FW25" s="7">
        <v>484</v>
      </c>
      <c r="FX25" s="7">
        <v>271</v>
      </c>
      <c r="FY25" s="7">
        <v>305</v>
      </c>
      <c r="FZ25" s="7">
        <v>314</v>
      </c>
      <c r="GA25" s="7">
        <v>314</v>
      </c>
      <c r="GB25" s="7">
        <v>189</v>
      </c>
      <c r="GC25" s="7">
        <v>156</v>
      </c>
      <c r="GD25" s="7">
        <v>538</v>
      </c>
      <c r="GE25" s="7">
        <v>685</v>
      </c>
      <c r="GF25" s="7">
        <v>173</v>
      </c>
      <c r="GG25" s="7" t="s">
        <v>72</v>
      </c>
      <c r="GH25" s="7"/>
      <c r="GI25" s="7">
        <v>6610</v>
      </c>
      <c r="GJ25" s="7">
        <v>6739</v>
      </c>
      <c r="GK25" s="7">
        <v>5753</v>
      </c>
      <c r="GL25" s="7">
        <v>6321</v>
      </c>
      <c r="GM25" s="7">
        <v>5350</v>
      </c>
      <c r="GN25" s="7">
        <v>6236</v>
      </c>
      <c r="GO25" s="7">
        <v>5162</v>
      </c>
      <c r="GP25" s="7">
        <v>5082</v>
      </c>
      <c r="GQ25" s="7">
        <v>4296</v>
      </c>
      <c r="GR25" s="7">
        <v>4693</v>
      </c>
      <c r="GS25" s="7">
        <v>3957</v>
      </c>
      <c r="GT25" s="7">
        <v>4258</v>
      </c>
      <c r="GU25" s="7">
        <v>4156</v>
      </c>
      <c r="GV25" s="7">
        <v>5191</v>
      </c>
      <c r="GW25" s="7">
        <v>4685</v>
      </c>
      <c r="GX25" s="7" t="s">
        <v>72</v>
      </c>
      <c r="GY25" s="7"/>
      <c r="GZ25" s="7">
        <v>1095</v>
      </c>
      <c r="HA25" s="7">
        <v>1058</v>
      </c>
      <c r="HB25" s="7">
        <v>1230</v>
      </c>
      <c r="HC25" s="7">
        <v>1258</v>
      </c>
      <c r="HD25" s="7">
        <v>802</v>
      </c>
      <c r="HE25" s="7">
        <v>1126</v>
      </c>
      <c r="HF25" s="7">
        <v>1144</v>
      </c>
      <c r="HG25" s="7">
        <v>1250</v>
      </c>
      <c r="HH25" s="7">
        <v>780</v>
      </c>
      <c r="HI25" s="7">
        <v>1098</v>
      </c>
      <c r="HJ25" s="7">
        <v>1126</v>
      </c>
      <c r="HK25" s="7">
        <v>1127</v>
      </c>
      <c r="HL25" s="7">
        <v>744</v>
      </c>
      <c r="HM25" s="7">
        <v>1031</v>
      </c>
      <c r="HN25" s="7">
        <v>1071</v>
      </c>
      <c r="HO25" s="7" t="s">
        <v>72</v>
      </c>
      <c r="HP25" s="7"/>
      <c r="HQ25" s="216">
        <v>5.6532</v>
      </c>
      <c r="HR25" s="216">
        <v>6.0940000000000003</v>
      </c>
      <c r="HS25" s="216">
        <v>5.8245000000000005</v>
      </c>
      <c r="HT25" s="216">
        <v>5.7889999999999997</v>
      </c>
      <c r="HU25" s="216">
        <v>6.0361000000000002</v>
      </c>
      <c r="HV25" s="216">
        <v>5.7984999999999998</v>
      </c>
      <c r="HW25" s="216">
        <v>5.6901999999999999</v>
      </c>
      <c r="HX25" s="216">
        <v>5.4062999999999999</v>
      </c>
      <c r="HY25" s="216">
        <v>4.9265999999999996</v>
      </c>
      <c r="HZ25" s="216">
        <v>5.056</v>
      </c>
      <c r="IA25" s="216">
        <v>5.4055999999999997</v>
      </c>
      <c r="IB25" s="216">
        <v>5.0545</v>
      </c>
      <c r="IC25" s="216">
        <v>5.1757999999999997</v>
      </c>
      <c r="ID25" s="216">
        <v>4.9328000000000003</v>
      </c>
      <c r="IE25" s="216">
        <v>5.4858000000000002</v>
      </c>
      <c r="IF25" s="216" t="s">
        <v>72</v>
      </c>
      <c r="IG25" s="7"/>
    </row>
    <row r="26" spans="1:241">
      <c r="A26" s="11" t="s">
        <v>27</v>
      </c>
      <c r="B26" s="7" t="s">
        <v>339</v>
      </c>
      <c r="C26" s="7"/>
      <c r="D26" s="7">
        <v>693.7373</v>
      </c>
      <c r="E26" s="7">
        <v>585.2627</v>
      </c>
      <c r="F26" s="7">
        <v>505.78710000000001</v>
      </c>
      <c r="G26" s="7" t="e">
        <v>#NAME?</v>
      </c>
      <c r="H26" s="7">
        <v>481.93720000000002</v>
      </c>
      <c r="I26" s="7">
        <v>539.84789999999998</v>
      </c>
      <c r="J26" s="7">
        <v>541.87490000000003</v>
      </c>
      <c r="K26" s="7">
        <v>413.1266</v>
      </c>
      <c r="L26" s="7">
        <v>434</v>
      </c>
      <c r="M26" s="7">
        <v>438.89</v>
      </c>
      <c r="N26" s="7">
        <v>469.67329999999998</v>
      </c>
      <c r="O26" s="7">
        <v>495.37099999999998</v>
      </c>
      <c r="P26" s="7">
        <v>536.01220000000001</v>
      </c>
      <c r="Q26" s="7">
        <v>608.17600000000004</v>
      </c>
      <c r="R26" s="7">
        <v>562.64409999999998</v>
      </c>
      <c r="S26" s="7" t="s">
        <v>72</v>
      </c>
      <c r="T26" s="7"/>
      <c r="U26" s="7">
        <v>298.52800000000002</v>
      </c>
      <c r="V26" s="7">
        <v>273.8</v>
      </c>
      <c r="W26" s="7">
        <v>270.2</v>
      </c>
      <c r="X26" s="7">
        <v>267.7</v>
      </c>
      <c r="Y26" s="7">
        <v>288.82740000000001</v>
      </c>
      <c r="Z26" s="7">
        <v>303.5</v>
      </c>
      <c r="AA26" s="7">
        <v>295.07619999999997</v>
      </c>
      <c r="AB26" s="7">
        <v>258</v>
      </c>
      <c r="AC26" s="7">
        <v>269.86790000000002</v>
      </c>
      <c r="AD26" s="7">
        <v>333</v>
      </c>
      <c r="AE26" s="7">
        <v>344.8</v>
      </c>
      <c r="AF26" s="7">
        <v>326.8</v>
      </c>
      <c r="AG26" s="7">
        <v>343.75020000000001</v>
      </c>
      <c r="AH26" s="7">
        <v>355.21409999999997</v>
      </c>
      <c r="AI26" s="7">
        <v>366.5</v>
      </c>
      <c r="AJ26" s="7" t="s">
        <v>72</v>
      </c>
      <c r="AK26" s="7"/>
      <c r="AL26" s="7">
        <v>211.43430000000001</v>
      </c>
      <c r="AM26" s="7" t="s">
        <v>72</v>
      </c>
      <c r="AN26" s="7" t="s">
        <v>72</v>
      </c>
      <c r="AO26" s="7" t="s">
        <v>72</v>
      </c>
      <c r="AP26" s="7">
        <v>234.34620000000001</v>
      </c>
      <c r="AQ26" s="7" t="s">
        <v>72</v>
      </c>
      <c r="AR26" s="7">
        <v>250.26519999999999</v>
      </c>
      <c r="AS26" s="7" t="s">
        <v>72</v>
      </c>
      <c r="AT26" s="7">
        <v>220.49350000000001</v>
      </c>
      <c r="AU26" s="7" t="s">
        <v>72</v>
      </c>
      <c r="AV26" s="7" t="s">
        <v>72</v>
      </c>
      <c r="AW26" s="7" t="s">
        <v>72</v>
      </c>
      <c r="AX26" s="7">
        <v>170.7689</v>
      </c>
      <c r="AY26" s="7">
        <v>155.17449999999999</v>
      </c>
      <c r="AZ26" s="7" t="s">
        <v>72</v>
      </c>
      <c r="BA26" s="7" t="s">
        <v>72</v>
      </c>
      <c r="BB26" s="7"/>
      <c r="BC26" s="7" t="s">
        <v>72</v>
      </c>
      <c r="BD26" s="7" t="s">
        <v>72</v>
      </c>
      <c r="BE26" s="7" t="s">
        <v>72</v>
      </c>
      <c r="BF26" s="7" t="s">
        <v>72</v>
      </c>
      <c r="BG26" s="7" t="s">
        <v>72</v>
      </c>
      <c r="BH26" s="7" t="s">
        <v>72</v>
      </c>
      <c r="BI26" s="7" t="s">
        <v>72</v>
      </c>
      <c r="BJ26" s="7" t="s">
        <v>72</v>
      </c>
      <c r="BK26" s="7" t="s">
        <v>72</v>
      </c>
      <c r="BL26" s="7" t="s">
        <v>72</v>
      </c>
      <c r="BM26" s="7" t="s">
        <v>72</v>
      </c>
      <c r="BN26" s="7" t="s">
        <v>72</v>
      </c>
      <c r="BO26" s="7" t="s">
        <v>72</v>
      </c>
      <c r="BP26" s="7">
        <v>6.7881999999999998</v>
      </c>
      <c r="BQ26" s="7" t="s">
        <v>72</v>
      </c>
      <c r="BR26" s="7" t="s">
        <v>72</v>
      </c>
      <c r="BS26" s="7"/>
      <c r="BT26" s="7">
        <v>1.6985999999999999</v>
      </c>
      <c r="BU26" s="7">
        <v>1.5369000000000002</v>
      </c>
      <c r="BV26" s="7">
        <v>1.4713000000000001</v>
      </c>
      <c r="BW26" s="7">
        <v>1.4243999999999999</v>
      </c>
      <c r="BX26" s="7">
        <v>1.4902</v>
      </c>
      <c r="BY26" s="7">
        <v>1.506</v>
      </c>
      <c r="BZ26" s="7">
        <v>1.4288000000000001</v>
      </c>
      <c r="CA26" s="7">
        <v>1.2021999999999999</v>
      </c>
      <c r="CB26" s="7">
        <v>1.1177999999999999</v>
      </c>
      <c r="CC26" s="7">
        <v>1.3524</v>
      </c>
      <c r="CD26" s="7">
        <v>1.3584000000000001</v>
      </c>
      <c r="CE26" s="7">
        <v>1.2434000000000001</v>
      </c>
      <c r="CF26" s="7">
        <v>1.3980000000000001</v>
      </c>
      <c r="CG26" s="7">
        <v>1.4369000000000001</v>
      </c>
      <c r="CH26" s="7">
        <v>1.4777</v>
      </c>
      <c r="CI26" s="7" t="s">
        <v>72</v>
      </c>
      <c r="CJ26"/>
      <c r="CK26" s="7">
        <v>992.77350000000001</v>
      </c>
      <c r="CL26" s="7">
        <v>859.46270000000004</v>
      </c>
      <c r="CM26" s="7">
        <v>776.48710000000005</v>
      </c>
      <c r="CN26" s="7">
        <v>786.9058</v>
      </c>
      <c r="CO26" s="7">
        <v>771.35829999999999</v>
      </c>
      <c r="CP26" s="7">
        <v>843.84789999999998</v>
      </c>
      <c r="CQ26" s="7">
        <v>837.41330000000005</v>
      </c>
      <c r="CR26" s="7">
        <v>671.62660000000005</v>
      </c>
      <c r="CS26" s="7">
        <v>704.38350000000003</v>
      </c>
      <c r="CT26" s="7">
        <v>772.29</v>
      </c>
      <c r="CU26" s="7">
        <v>814.87329999999997</v>
      </c>
      <c r="CV26" s="7">
        <v>822.57100000000003</v>
      </c>
      <c r="CW26" s="7">
        <v>880.1499</v>
      </c>
      <c r="CX26" s="7">
        <v>963.75829999999996</v>
      </c>
      <c r="CY26" s="7">
        <v>929.54409999999996</v>
      </c>
      <c r="CZ26" s="7" t="s">
        <v>72</v>
      </c>
      <c r="DA26" s="7"/>
      <c r="DB26" s="7">
        <v>5.6487999999999996</v>
      </c>
      <c r="DC26" s="7">
        <v>4.8243999999999998</v>
      </c>
      <c r="DD26" s="7">
        <v>4.2282999999999999</v>
      </c>
      <c r="DE26" s="7">
        <v>4.1868999999999996</v>
      </c>
      <c r="DF26" s="7">
        <v>3.9797000000000002</v>
      </c>
      <c r="DG26" s="7">
        <v>4.1874000000000002</v>
      </c>
      <c r="DH26" s="7">
        <v>4.0549999999999997</v>
      </c>
      <c r="DI26" s="7">
        <v>3.1294</v>
      </c>
      <c r="DJ26" s="7">
        <v>2.9176000000000002</v>
      </c>
      <c r="DK26" s="7">
        <v>3.1364999999999998</v>
      </c>
      <c r="DL26" s="7">
        <v>3.2101999999999999</v>
      </c>
      <c r="DM26" s="7">
        <v>3.1295999999999999</v>
      </c>
      <c r="DN26" s="7">
        <v>3.5794000000000001</v>
      </c>
      <c r="DO26" s="7">
        <v>3.8984000000000001</v>
      </c>
      <c r="DP26" s="7">
        <v>3.7479</v>
      </c>
      <c r="DQ26" s="7" t="s">
        <v>72</v>
      </c>
      <c r="DR26" s="7"/>
      <c r="DS26" s="7">
        <v>1.0457000000000001</v>
      </c>
      <c r="DT26" s="7">
        <v>0.92290000000000005</v>
      </c>
      <c r="DU26" s="7">
        <v>0.84570000000000001</v>
      </c>
      <c r="DV26" s="7">
        <v>0.85809999999999997</v>
      </c>
      <c r="DW26" s="7">
        <v>0.8377</v>
      </c>
      <c r="DX26" s="7">
        <v>0.92349999999999999</v>
      </c>
      <c r="DY26" s="7">
        <v>0.93479999999999996</v>
      </c>
      <c r="DZ26" s="7">
        <v>0.75729999999999997</v>
      </c>
      <c r="EA26" s="7">
        <v>0.81559999999999999</v>
      </c>
      <c r="EB26" s="7">
        <v>0.90820000000000001</v>
      </c>
      <c r="EC26" s="7">
        <v>0.96409999999999996</v>
      </c>
      <c r="ED26" s="7">
        <v>0.99050000000000005</v>
      </c>
      <c r="EE26" s="7">
        <v>1.0661</v>
      </c>
      <c r="EF26" s="7">
        <v>1.1793</v>
      </c>
      <c r="EG26" s="7">
        <v>1.1364000000000001</v>
      </c>
      <c r="EH26" s="7" t="s">
        <v>72</v>
      </c>
      <c r="EI26" s="7"/>
      <c r="EJ26" s="7">
        <v>111.2647</v>
      </c>
      <c r="EK26" s="7">
        <v>40.758000000000003</v>
      </c>
      <c r="EL26" s="7">
        <v>20.508500000000002</v>
      </c>
      <c r="EM26" s="7">
        <v>15.4983</v>
      </c>
      <c r="EN26" s="7">
        <v>12.122299999999999</v>
      </c>
      <c r="EO26" s="7">
        <v>11.6631</v>
      </c>
      <c r="EP26" s="7">
        <v>10.396599999999999</v>
      </c>
      <c r="EQ26" s="7">
        <v>6.0274999999999999</v>
      </c>
      <c r="ER26" s="7" t="s">
        <v>72</v>
      </c>
      <c r="ES26" s="7" t="s">
        <v>72</v>
      </c>
      <c r="ET26" s="7" t="s">
        <v>72</v>
      </c>
      <c r="EU26" s="7" t="s">
        <v>72</v>
      </c>
      <c r="EV26" s="7">
        <v>7.2107000000000001</v>
      </c>
      <c r="EW26" s="7" t="s">
        <v>72</v>
      </c>
      <c r="EX26" s="7" t="s">
        <v>72</v>
      </c>
      <c r="EY26" s="7" t="s">
        <v>72</v>
      </c>
      <c r="EZ26" s="7"/>
      <c r="FA26" s="7">
        <v>0.7419</v>
      </c>
      <c r="FB26" s="7">
        <v>0.62190000000000001</v>
      </c>
      <c r="FC26" s="7">
        <v>0.53069999999999995</v>
      </c>
      <c r="FD26" s="7">
        <v>0.53810000000000002</v>
      </c>
      <c r="FE26" s="7">
        <v>0.4945</v>
      </c>
      <c r="FF26" s="7">
        <v>0.53959999999999997</v>
      </c>
      <c r="FG26" s="7">
        <v>0.54790000000000005</v>
      </c>
      <c r="FH26" s="7">
        <v>0.40710000000000002</v>
      </c>
      <c r="FI26" s="7" t="s">
        <v>72</v>
      </c>
      <c r="FJ26" s="7" t="s">
        <v>72</v>
      </c>
      <c r="FK26" s="7" t="s">
        <v>72</v>
      </c>
      <c r="FL26" s="7" t="s">
        <v>72</v>
      </c>
      <c r="FM26" s="7">
        <v>0.495</v>
      </c>
      <c r="FN26" s="7" t="s">
        <v>72</v>
      </c>
      <c r="FO26" s="7" t="s">
        <v>72</v>
      </c>
      <c r="FP26" s="7">
        <v>0.68810000000000004</v>
      </c>
      <c r="FQ26" s="7"/>
      <c r="FR26" s="7">
        <v>83.629400000000004</v>
      </c>
      <c r="FS26" s="7">
        <v>76.3</v>
      </c>
      <c r="FT26" s="7">
        <v>76.099999999999994</v>
      </c>
      <c r="FU26" s="7">
        <v>93.4</v>
      </c>
      <c r="FV26" s="7">
        <v>68.5779</v>
      </c>
      <c r="FW26" s="7">
        <v>100.8</v>
      </c>
      <c r="FX26" s="7">
        <v>126.142</v>
      </c>
      <c r="FY26" s="7">
        <v>183</v>
      </c>
      <c r="FZ26" s="7">
        <v>189.3501</v>
      </c>
      <c r="GA26" s="7">
        <v>99.9</v>
      </c>
      <c r="GB26" s="7">
        <v>109</v>
      </c>
      <c r="GC26" s="7">
        <v>69</v>
      </c>
      <c r="GD26" s="7">
        <v>62.418999999999997</v>
      </c>
      <c r="GE26" s="7">
        <v>32.2956</v>
      </c>
      <c r="GF26" s="7">
        <v>18.7</v>
      </c>
      <c r="GG26" s="7" t="s">
        <v>72</v>
      </c>
      <c r="GH26" s="7"/>
      <c r="GI26" s="7">
        <v>935.64059999999995</v>
      </c>
      <c r="GJ26" s="7">
        <v>941.5</v>
      </c>
      <c r="GK26" s="7">
        <v>953.5</v>
      </c>
      <c r="GL26" s="7">
        <v>964.3</v>
      </c>
      <c r="GM26" s="7">
        <v>975.25199999999995</v>
      </c>
      <c r="GN26" s="7">
        <v>1001</v>
      </c>
      <c r="GO26" s="7">
        <v>989.37559999999996</v>
      </c>
      <c r="GP26" s="7">
        <v>1015.2</v>
      </c>
      <c r="GQ26" s="7">
        <v>1034.4010000000001</v>
      </c>
      <c r="GR26" s="7">
        <v>1052.8</v>
      </c>
      <c r="GS26" s="7">
        <v>1046.9000000000001</v>
      </c>
      <c r="GT26" s="7">
        <v>1070</v>
      </c>
      <c r="GU26" s="7">
        <v>1083.2429999999999</v>
      </c>
      <c r="GV26" s="7">
        <v>1101.1855</v>
      </c>
      <c r="GW26" s="7">
        <v>1079.0999999999999</v>
      </c>
      <c r="GX26" s="7" t="s">
        <v>72</v>
      </c>
      <c r="GY26" s="7"/>
      <c r="GZ26" s="7">
        <v>39.142499999999998</v>
      </c>
      <c r="HA26" s="7">
        <v>47.8</v>
      </c>
      <c r="HB26" s="7">
        <v>51.6</v>
      </c>
      <c r="HC26" s="7">
        <v>49.4</v>
      </c>
      <c r="HD26" s="7">
        <v>45.023000000000003</v>
      </c>
      <c r="HE26" s="7">
        <v>55.5</v>
      </c>
      <c r="HF26" s="7">
        <v>56.592199999999998</v>
      </c>
      <c r="HG26" s="7">
        <v>57.5</v>
      </c>
      <c r="HH26" s="7">
        <v>71.836500000000001</v>
      </c>
      <c r="HI26" s="7">
        <v>60.3</v>
      </c>
      <c r="HJ26" s="7">
        <v>64.2</v>
      </c>
      <c r="HK26" s="7">
        <v>66.5</v>
      </c>
      <c r="HL26" s="7">
        <v>54.892099999999999</v>
      </c>
      <c r="HM26" s="7">
        <v>61.623699999999999</v>
      </c>
      <c r="HN26" s="7">
        <v>65</v>
      </c>
      <c r="HO26" s="7" t="s">
        <v>72</v>
      </c>
      <c r="HP26" s="7"/>
      <c r="HQ26" s="216">
        <v>8.6603999999999992</v>
      </c>
      <c r="HR26" s="216">
        <v>8.9451000000000001</v>
      </c>
      <c r="HS26" s="216">
        <v>10.679</v>
      </c>
      <c r="HT26" s="216">
        <v>10.1425</v>
      </c>
      <c r="HU26" s="216">
        <v>9.3558000000000003</v>
      </c>
      <c r="HV26" s="216">
        <v>10.410600000000001</v>
      </c>
      <c r="HW26" s="216">
        <v>12.5008</v>
      </c>
      <c r="HX26" s="216">
        <v>13.6037</v>
      </c>
      <c r="HY26" s="216">
        <v>15.7218</v>
      </c>
      <c r="HZ26" s="216">
        <v>12.0525</v>
      </c>
      <c r="IA26" s="216">
        <v>12.172800000000001</v>
      </c>
      <c r="IB26" s="216">
        <v>10.081899999999999</v>
      </c>
      <c r="IC26" s="216">
        <v>12.0137</v>
      </c>
      <c r="ID26" s="216">
        <v>10.7751</v>
      </c>
      <c r="IE26" s="216">
        <v>11.8957</v>
      </c>
      <c r="IF26" s="216" t="s">
        <v>72</v>
      </c>
      <c r="IG26" s="7"/>
    </row>
    <row r="27" spans="1:241">
      <c r="A27" s="11" t="s">
        <v>712</v>
      </c>
      <c r="B27" s="7" t="s">
        <v>341</v>
      </c>
      <c r="C27" s="7"/>
      <c r="D27" s="7">
        <v>878.23950000000002</v>
      </c>
      <c r="E27" s="7">
        <v>806.67930000000001</v>
      </c>
      <c r="F27" s="7">
        <v>637.53679999999997</v>
      </c>
      <c r="G27" s="7" t="e">
        <v>#NAME?</v>
      </c>
      <c r="H27" s="7">
        <v>559.47109999999998</v>
      </c>
      <c r="I27" s="7">
        <v>526.94370000000004</v>
      </c>
      <c r="J27" s="7">
        <v>455.38350000000003</v>
      </c>
      <c r="K27" s="7">
        <v>400.08690000000001</v>
      </c>
      <c r="L27" s="7">
        <v>409.71499999999997</v>
      </c>
      <c r="M27" s="7">
        <v>449.52850000000001</v>
      </c>
      <c r="N27" s="7">
        <v>396.83420000000001</v>
      </c>
      <c r="O27" s="7">
        <v>497.73410000000001</v>
      </c>
      <c r="P27" s="7">
        <v>621.59839999999997</v>
      </c>
      <c r="Q27" s="7">
        <v>539.9547</v>
      </c>
      <c r="R27" s="7" t="s">
        <v>72</v>
      </c>
      <c r="S27" s="7" t="s">
        <v>72</v>
      </c>
      <c r="T27" s="7"/>
      <c r="U27" s="7">
        <v>617.56399999999996</v>
      </c>
      <c r="V27" s="7">
        <v>621.42999999999995</v>
      </c>
      <c r="W27" s="7">
        <v>561.19200000000001</v>
      </c>
      <c r="X27" s="7">
        <v>233.90899999999999</v>
      </c>
      <c r="Y27" s="7">
        <v>523.62800000000004</v>
      </c>
      <c r="Z27" s="7">
        <v>478.834</v>
      </c>
      <c r="AA27" s="7">
        <v>443.05200000000002</v>
      </c>
      <c r="AB27" s="7">
        <v>392.66300000000001</v>
      </c>
      <c r="AC27" s="7">
        <v>399.57600000000002</v>
      </c>
      <c r="AD27" s="7">
        <v>357.245</v>
      </c>
      <c r="AE27" s="7">
        <v>317.46899999999999</v>
      </c>
      <c r="AF27" s="7">
        <v>336.30099999999999</v>
      </c>
      <c r="AG27" s="7">
        <v>337.21499999999997</v>
      </c>
      <c r="AH27" s="7">
        <v>374.04899999999998</v>
      </c>
      <c r="AI27" s="7" t="s">
        <v>72</v>
      </c>
      <c r="AJ27" s="7" t="s">
        <v>72</v>
      </c>
      <c r="AK27" s="7"/>
      <c r="AL27" s="7">
        <v>59.494</v>
      </c>
      <c r="AM27" s="7" t="s">
        <v>72</v>
      </c>
      <c r="AN27" s="7" t="s">
        <v>72</v>
      </c>
      <c r="AO27" s="7" t="s">
        <v>72</v>
      </c>
      <c r="AP27" s="7">
        <v>66.087000000000003</v>
      </c>
      <c r="AQ27" s="7" t="s">
        <v>72</v>
      </c>
      <c r="AR27" s="7" t="s">
        <v>72</v>
      </c>
      <c r="AS27" s="7" t="s">
        <v>72</v>
      </c>
      <c r="AT27" s="7" t="s">
        <v>72</v>
      </c>
      <c r="AU27" s="7" t="s">
        <v>72</v>
      </c>
      <c r="AV27" s="7" t="s">
        <v>72</v>
      </c>
      <c r="AW27" s="7" t="s">
        <v>72</v>
      </c>
      <c r="AX27" s="7">
        <v>146.31200000000001</v>
      </c>
      <c r="AY27" s="7">
        <v>0</v>
      </c>
      <c r="AZ27" s="7" t="s">
        <v>72</v>
      </c>
      <c r="BA27" s="7" t="s">
        <v>72</v>
      </c>
      <c r="BB27" s="7"/>
      <c r="BC27" s="7">
        <v>1.6735</v>
      </c>
      <c r="BD27" s="7">
        <v>1.0636000000000001</v>
      </c>
      <c r="BE27" s="7">
        <v>2.4883999999999999</v>
      </c>
      <c r="BF27" s="7">
        <v>1.6677999999999999</v>
      </c>
      <c r="BG27" s="7">
        <v>29.245999999999999</v>
      </c>
      <c r="BH27" s="7">
        <v>4.0086000000000004</v>
      </c>
      <c r="BI27" s="7">
        <v>2.8546</v>
      </c>
      <c r="BJ27" s="7">
        <v>2.9214000000000002</v>
      </c>
      <c r="BK27" s="7">
        <v>-0.38990000000000002</v>
      </c>
      <c r="BL27" s="7">
        <v>4.2637999999999998</v>
      </c>
      <c r="BM27" s="7">
        <v>3.4512</v>
      </c>
      <c r="BN27" s="7">
        <v>3.8923999999999999</v>
      </c>
      <c r="BO27" s="7" t="s">
        <v>72</v>
      </c>
      <c r="BP27" s="7">
        <v>3.4032999999999998</v>
      </c>
      <c r="BQ27" s="7" t="s">
        <v>72</v>
      </c>
      <c r="BR27" s="7" t="s">
        <v>72</v>
      </c>
      <c r="BS27" s="7"/>
      <c r="BT27" s="7">
        <v>2.2271999999999998</v>
      </c>
      <c r="BU27" s="7">
        <v>2.2827999999999999</v>
      </c>
      <c r="BV27" s="7">
        <v>2.0785999999999998</v>
      </c>
      <c r="BW27" s="7">
        <v>0.88419999999999999</v>
      </c>
      <c r="BX27" s="7">
        <v>1.8380000000000001</v>
      </c>
      <c r="BY27" s="7">
        <v>1.6411</v>
      </c>
      <c r="BZ27" s="7">
        <v>1.5246</v>
      </c>
      <c r="CA27" s="7">
        <v>1.3210999999999999</v>
      </c>
      <c r="CB27" s="7">
        <v>1.5941000000000001</v>
      </c>
      <c r="CC27" s="7">
        <v>1.4478</v>
      </c>
      <c r="CD27" s="7">
        <v>1.3004</v>
      </c>
      <c r="CE27" s="7">
        <v>1.4116</v>
      </c>
      <c r="CF27" s="7">
        <v>1.4786999999999999</v>
      </c>
      <c r="CG27" s="7">
        <v>1.6193</v>
      </c>
      <c r="CH27" s="7" t="s">
        <v>72</v>
      </c>
      <c r="CI27" s="7" t="s">
        <v>72</v>
      </c>
      <c r="CJ27"/>
      <c r="CK27" s="7">
        <v>1495.8035</v>
      </c>
      <c r="CL27" s="7">
        <v>1428.1093000000001</v>
      </c>
      <c r="CM27" s="7">
        <v>1198.7288000000001</v>
      </c>
      <c r="CN27" s="7">
        <v>817.38530000000003</v>
      </c>
      <c r="CO27" s="7">
        <v>1083.0990999999999</v>
      </c>
      <c r="CP27" s="7">
        <v>1005.7777</v>
      </c>
      <c r="CQ27" s="7">
        <v>898.43550000000005</v>
      </c>
      <c r="CR27" s="7">
        <v>792.74990000000003</v>
      </c>
      <c r="CS27" s="7">
        <v>809.29100000000005</v>
      </c>
      <c r="CT27" s="7">
        <v>806.77350000000001</v>
      </c>
      <c r="CU27" s="7">
        <v>714.30319999999995</v>
      </c>
      <c r="CV27" s="7">
        <v>834.03510000000006</v>
      </c>
      <c r="CW27" s="7">
        <v>958.8134</v>
      </c>
      <c r="CX27" s="7">
        <v>914.00369999999998</v>
      </c>
      <c r="CY27" s="7" t="s">
        <v>72</v>
      </c>
      <c r="CZ27" s="7" t="s">
        <v>72</v>
      </c>
      <c r="DA27" s="7"/>
      <c r="DB27" s="7">
        <v>5.3945999999999996</v>
      </c>
      <c r="DC27" s="7">
        <v>5.2461000000000002</v>
      </c>
      <c r="DD27" s="7">
        <v>4.4398999999999997</v>
      </c>
      <c r="DE27" s="7">
        <v>3.0899000000000001</v>
      </c>
      <c r="DF27" s="7">
        <v>3.8018000000000001</v>
      </c>
      <c r="DG27" s="7">
        <v>3.4470000000000001</v>
      </c>
      <c r="DH27" s="7">
        <v>3.0916000000000001</v>
      </c>
      <c r="DI27" s="7">
        <v>2.6672000000000002</v>
      </c>
      <c r="DJ27" s="7">
        <v>3.2286999999999999</v>
      </c>
      <c r="DK27" s="7">
        <v>3.2694999999999999</v>
      </c>
      <c r="DL27" s="7">
        <v>2.9258999999999999</v>
      </c>
      <c r="DM27" s="7">
        <v>3.5007000000000001</v>
      </c>
      <c r="DN27" s="7">
        <v>4.0498000000000003</v>
      </c>
      <c r="DO27" s="7">
        <v>3.9569999999999999</v>
      </c>
      <c r="DP27" s="7" t="s">
        <v>72</v>
      </c>
      <c r="DQ27" s="7" t="s">
        <v>72</v>
      </c>
      <c r="DR27" s="7"/>
      <c r="DS27" s="7">
        <v>1.7648999999999999</v>
      </c>
      <c r="DT27" s="7">
        <v>1.6725000000000001</v>
      </c>
      <c r="DU27" s="7">
        <v>1.4028</v>
      </c>
      <c r="DV27" s="7">
        <v>0.96450000000000002</v>
      </c>
      <c r="DW27" s="7">
        <v>1.2904</v>
      </c>
      <c r="DX27" s="7">
        <v>1.2109000000000001</v>
      </c>
      <c r="DY27" s="7">
        <v>1.0904</v>
      </c>
      <c r="DZ27" s="7">
        <v>0.96389999999999998</v>
      </c>
      <c r="EA27" s="7">
        <v>0.9929</v>
      </c>
      <c r="EB27" s="7">
        <v>0.99219999999999997</v>
      </c>
      <c r="EC27" s="7">
        <v>0.88700000000000001</v>
      </c>
      <c r="ED27" s="7">
        <v>1.054</v>
      </c>
      <c r="EE27" s="7">
        <v>1.2212000000000001</v>
      </c>
      <c r="EF27" s="7">
        <v>1.1726000000000001</v>
      </c>
      <c r="EG27" s="7" t="s">
        <v>72</v>
      </c>
      <c r="EH27" s="7" t="s">
        <v>72</v>
      </c>
      <c r="EI27" s="7"/>
      <c r="EJ27" s="7" t="s">
        <v>72</v>
      </c>
      <c r="EK27" s="7">
        <v>54.479599999999998</v>
      </c>
      <c r="EL27" s="7">
        <v>125.79649999999999</v>
      </c>
      <c r="EM27" s="7" t="s">
        <v>72</v>
      </c>
      <c r="EN27" s="7" t="s">
        <v>72</v>
      </c>
      <c r="EO27" s="7" t="s">
        <v>72</v>
      </c>
      <c r="EP27" s="7" t="s">
        <v>72</v>
      </c>
      <c r="EQ27" s="7" t="s">
        <v>72</v>
      </c>
      <c r="ER27" s="7" t="s">
        <v>72</v>
      </c>
      <c r="ES27" s="7" t="s">
        <v>72</v>
      </c>
      <c r="ET27" s="7" t="s">
        <v>72</v>
      </c>
      <c r="EU27" s="7" t="s">
        <v>72</v>
      </c>
      <c r="EV27" s="7" t="s">
        <v>72</v>
      </c>
      <c r="EW27" s="7" t="s">
        <v>72</v>
      </c>
      <c r="EX27" s="7" t="s">
        <v>72</v>
      </c>
      <c r="EY27" s="7" t="s">
        <v>72</v>
      </c>
      <c r="EZ27" s="7"/>
      <c r="FA27" s="7" t="s">
        <v>72</v>
      </c>
      <c r="FB27" s="7">
        <v>0.77990000000000004</v>
      </c>
      <c r="FC27" s="7">
        <v>0.61350000000000005</v>
      </c>
      <c r="FD27" s="7">
        <v>0.57099999999999995</v>
      </c>
      <c r="FE27" s="7" t="s">
        <v>72</v>
      </c>
      <c r="FF27" s="7">
        <v>0.64349999999999996</v>
      </c>
      <c r="FG27" s="7">
        <v>0.54879999999999995</v>
      </c>
      <c r="FH27" s="7">
        <v>0.48759999999999998</v>
      </c>
      <c r="FI27" s="7" t="s">
        <v>72</v>
      </c>
      <c r="FJ27" s="7" t="s">
        <v>72</v>
      </c>
      <c r="FK27" s="7" t="s">
        <v>72</v>
      </c>
      <c r="FL27" s="7" t="s">
        <v>72</v>
      </c>
      <c r="FM27" s="7" t="s">
        <v>72</v>
      </c>
      <c r="FN27" s="7" t="s">
        <v>72</v>
      </c>
      <c r="FO27" s="7" t="s">
        <v>72</v>
      </c>
      <c r="FP27" s="7">
        <v>0.86570000000000003</v>
      </c>
      <c r="FQ27" s="7"/>
      <c r="FR27" s="7">
        <v>21.21</v>
      </c>
      <c r="FS27" s="7">
        <v>10.177</v>
      </c>
      <c r="FT27" s="7">
        <v>43.780999999999999</v>
      </c>
      <c r="FU27" s="7">
        <v>36.402000000000001</v>
      </c>
      <c r="FV27" s="7">
        <v>46.725999999999999</v>
      </c>
      <c r="FW27" s="7">
        <v>41.994999999999997</v>
      </c>
      <c r="FX27" s="7">
        <v>62.015999999999998</v>
      </c>
      <c r="FY27" s="7">
        <v>62.534999999999997</v>
      </c>
      <c r="FZ27" s="7">
        <v>61.265000000000001</v>
      </c>
      <c r="GA27" s="7">
        <v>23.632000000000001</v>
      </c>
      <c r="GB27" s="7">
        <v>50.41</v>
      </c>
      <c r="GC27" s="7">
        <v>37.731999999999999</v>
      </c>
      <c r="GD27" s="7">
        <v>44.073999999999998</v>
      </c>
      <c r="GE27" s="7">
        <v>55.313000000000002</v>
      </c>
      <c r="GF27" s="7" t="s">
        <v>72</v>
      </c>
      <c r="GG27" s="7" t="s">
        <v>72</v>
      </c>
      <c r="GH27" s="7"/>
      <c r="GI27" s="7">
        <v>1001.566</v>
      </c>
      <c r="GJ27" s="7">
        <v>1034.377</v>
      </c>
      <c r="GK27" s="7">
        <v>1039.26</v>
      </c>
      <c r="GL27" s="7">
        <v>1021.796</v>
      </c>
      <c r="GM27" s="7">
        <v>807.81200000000001</v>
      </c>
      <c r="GN27" s="7">
        <v>818.87099999999998</v>
      </c>
      <c r="GO27" s="7">
        <v>829.74199999999996</v>
      </c>
      <c r="GP27" s="7">
        <v>820.47900000000004</v>
      </c>
      <c r="GQ27" s="7">
        <v>815.27499999999998</v>
      </c>
      <c r="GR27" s="7">
        <v>831.09400000000005</v>
      </c>
      <c r="GS27" s="7">
        <v>799.09199999999998</v>
      </c>
      <c r="GT27" s="7">
        <v>812.60900000000004</v>
      </c>
      <c r="GU27" s="7">
        <v>814.71699999999998</v>
      </c>
      <c r="GV27" s="7">
        <v>804.07899999999995</v>
      </c>
      <c r="GW27" s="7" t="s">
        <v>72</v>
      </c>
      <c r="GX27" s="7" t="s">
        <v>72</v>
      </c>
      <c r="GY27" s="7"/>
      <c r="GZ27" s="7">
        <v>69.912000000000006</v>
      </c>
      <c r="HA27" s="7">
        <v>64.497</v>
      </c>
      <c r="HB27" s="7">
        <v>66.004999999999995</v>
      </c>
      <c r="HC27" s="7">
        <v>64.119</v>
      </c>
      <c r="HD27" s="7">
        <v>90.272000000000006</v>
      </c>
      <c r="HE27" s="7">
        <v>71.385000000000005</v>
      </c>
      <c r="HF27" s="7">
        <v>64.826999999999998</v>
      </c>
      <c r="HG27" s="7">
        <v>70.739000000000004</v>
      </c>
      <c r="HH27" s="7">
        <v>43.701000000000001</v>
      </c>
      <c r="HI27" s="7">
        <v>67.489000000000004</v>
      </c>
      <c r="HJ27" s="7">
        <v>62.203000000000003</v>
      </c>
      <c r="HK27" s="7">
        <v>64.852999999999994</v>
      </c>
      <c r="HL27" s="7">
        <v>42.212000000000003</v>
      </c>
      <c r="HM27" s="7">
        <v>61.718000000000004</v>
      </c>
      <c r="HN27" s="7" t="s">
        <v>72</v>
      </c>
      <c r="HO27" s="7" t="s">
        <v>72</v>
      </c>
      <c r="HP27" s="7"/>
      <c r="HQ27" s="216">
        <v>6.0853000000000002</v>
      </c>
      <c r="HR27" s="216">
        <v>5.8943000000000003</v>
      </c>
      <c r="HS27" s="216">
        <v>6.2850999999999999</v>
      </c>
      <c r="HT27" s="216">
        <v>9.8435000000000006</v>
      </c>
      <c r="HU27" s="216">
        <v>6.6367000000000003</v>
      </c>
      <c r="HV27" s="216">
        <v>6.2824999999999998</v>
      </c>
      <c r="HW27" s="216">
        <v>6.0678000000000001</v>
      </c>
      <c r="HX27" s="216">
        <v>5.6652000000000005</v>
      </c>
      <c r="HY27" s="216">
        <v>7.8646000000000003</v>
      </c>
      <c r="HZ27" s="216">
        <v>10.9094</v>
      </c>
      <c r="IA27" s="216">
        <v>8.6117000000000008</v>
      </c>
      <c r="IB27" s="216">
        <v>6.3845999999999998</v>
      </c>
      <c r="IC27" s="216">
        <v>10.125500000000001</v>
      </c>
      <c r="ID27" s="216">
        <v>9.4055999999999997</v>
      </c>
      <c r="IE27" s="216" t="s">
        <v>72</v>
      </c>
      <c r="IF27" s="216" t="s">
        <v>72</v>
      </c>
      <c r="IG27" s="7"/>
    </row>
    <row r="28" spans="1:241">
      <c r="A28" s="11"/>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c r="FB28"/>
      <c r="FC28"/>
      <c r="FD28"/>
      <c r="FE28"/>
      <c r="FF28"/>
      <c r="FG28"/>
      <c r="FH28"/>
      <c r="FI28"/>
      <c r="FJ28"/>
      <c r="FK28"/>
      <c r="FL28"/>
      <c r="FM28"/>
      <c r="FN28"/>
      <c r="FO28"/>
      <c r="FP28"/>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216"/>
      <c r="HR28" s="216"/>
      <c r="HS28" s="216"/>
      <c r="HT28" s="216"/>
      <c r="HU28" s="216"/>
      <c r="HV28" s="216"/>
      <c r="HW28" s="216"/>
      <c r="HX28" s="216"/>
      <c r="HY28" s="216"/>
      <c r="HZ28" s="216"/>
      <c r="IA28" s="216"/>
      <c r="IB28" s="216"/>
      <c r="IC28" s="216"/>
      <c r="ID28" s="216"/>
      <c r="IE28" s="216"/>
      <c r="IF28" s="216"/>
      <c r="IG28" s="7"/>
    </row>
    <row r="29" spans="1:241">
      <c r="A29" s="11"/>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c r="CK29" s="7"/>
      <c r="CL29" s="7"/>
      <c r="CM29" s="7"/>
      <c r="CN29" s="7"/>
      <c r="CO29" s="7"/>
      <c r="CP29" s="7"/>
      <c r="CQ29" s="7"/>
      <c r="CR29" s="7"/>
      <c r="CS29" s="7"/>
      <c r="CT29" s="7"/>
      <c r="CU29" s="7"/>
      <c r="CV29" s="7"/>
      <c r="CW29" s="7"/>
      <c r="CX29" s="7"/>
      <c r="CY29" s="7"/>
      <c r="CZ29" s="7"/>
      <c r="DA29" s="7"/>
      <c r="DB29" s="7" t="s">
        <v>495</v>
      </c>
      <c r="DC29" s="7" t="s">
        <v>495</v>
      </c>
      <c r="DD29" s="7" t="s">
        <v>495</v>
      </c>
      <c r="DE29" s="7" t="s">
        <v>495</v>
      </c>
      <c r="DF29" s="7" t="s">
        <v>495</v>
      </c>
      <c r="DG29" s="7" t="s">
        <v>495</v>
      </c>
      <c r="DH29" s="7" t="s">
        <v>495</v>
      </c>
      <c r="DI29" s="7" t="s">
        <v>495</v>
      </c>
      <c r="DJ29" s="7" t="s">
        <v>495</v>
      </c>
      <c r="DK29" s="7" t="s">
        <v>495</v>
      </c>
      <c r="DL29" s="7" t="s">
        <v>495</v>
      </c>
      <c r="DM29" s="7" t="s">
        <v>495</v>
      </c>
      <c r="DN29" s="7" t="s">
        <v>495</v>
      </c>
      <c r="DO29" s="7" t="s">
        <v>495</v>
      </c>
      <c r="DP29" s="7" t="s">
        <v>495</v>
      </c>
      <c r="DQ29" s="7" t="s">
        <v>495</v>
      </c>
      <c r="DR29" s="7"/>
      <c r="DS29" s="7"/>
      <c r="DT29" s="7"/>
      <c r="DU29" s="7"/>
      <c r="DV29" s="7"/>
      <c r="DW29" s="7"/>
      <c r="DX29" s="7"/>
      <c r="DY29" s="7"/>
      <c r="DZ29" s="7"/>
      <c r="EA29" s="7"/>
      <c r="EB29" s="7"/>
      <c r="EC29" s="7"/>
      <c r="ED29" s="7"/>
      <c r="EE29" s="7"/>
      <c r="EF29" s="7"/>
      <c r="EG29" s="7"/>
      <c r="EH29" s="7"/>
      <c r="EI29" s="7"/>
      <c r="EJ29" s="7" t="s">
        <v>496</v>
      </c>
      <c r="EK29" s="7" t="s">
        <v>496</v>
      </c>
      <c r="EL29" s="7" t="s">
        <v>496</v>
      </c>
      <c r="EM29" s="7" t="s">
        <v>496</v>
      </c>
      <c r="EN29" s="7" t="s">
        <v>496</v>
      </c>
      <c r="EO29" s="7" t="s">
        <v>496</v>
      </c>
      <c r="EP29" s="7" t="s">
        <v>496</v>
      </c>
      <c r="EQ29" s="7" t="s">
        <v>496</v>
      </c>
      <c r="ER29" s="7" t="s">
        <v>496</v>
      </c>
      <c r="ES29" s="7" t="s">
        <v>496</v>
      </c>
      <c r="ET29" s="7" t="s">
        <v>496</v>
      </c>
      <c r="EU29" s="7" t="s">
        <v>496</v>
      </c>
      <c r="EV29" s="7" t="s">
        <v>496</v>
      </c>
      <c r="EW29" s="7" t="s">
        <v>496</v>
      </c>
      <c r="EX29" s="7" t="s">
        <v>496</v>
      </c>
      <c r="EY29" s="7" t="s">
        <v>496</v>
      </c>
      <c r="EZ29" s="7"/>
      <c r="FA29" s="7" t="s">
        <v>497</v>
      </c>
      <c r="FB29" s="7" t="s">
        <v>497</v>
      </c>
      <c r="FC29" s="7" t="s">
        <v>497</v>
      </c>
      <c r="FD29" s="7" t="s">
        <v>497</v>
      </c>
      <c r="FE29" s="7" t="s">
        <v>497</v>
      </c>
      <c r="FF29" s="7" t="s">
        <v>497</v>
      </c>
      <c r="FG29" s="7" t="s">
        <v>497</v>
      </c>
      <c r="FH29" s="7" t="s">
        <v>497</v>
      </c>
      <c r="FI29" s="7" t="s">
        <v>497</v>
      </c>
      <c r="FJ29" s="7" t="s">
        <v>497</v>
      </c>
      <c r="FK29" s="7" t="s">
        <v>497</v>
      </c>
      <c r="FL29" s="7" t="s">
        <v>497</v>
      </c>
      <c r="FM29" s="7" t="s">
        <v>497</v>
      </c>
      <c r="FN29" s="7" t="s">
        <v>497</v>
      </c>
      <c r="FO29" s="7" t="s">
        <v>497</v>
      </c>
      <c r="FP29" s="7" t="s">
        <v>497</v>
      </c>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11"/>
      <c r="HA29" s="7"/>
      <c r="HB29" s="7"/>
      <c r="HC29" s="7"/>
      <c r="HD29" s="7"/>
      <c r="HE29" s="7"/>
      <c r="HF29" s="7"/>
      <c r="HG29" s="7"/>
      <c r="HH29" s="7"/>
      <c r="HI29" s="7"/>
      <c r="HJ29" s="7"/>
      <c r="HK29" s="7"/>
      <c r="HL29" s="7"/>
      <c r="HM29" s="7"/>
      <c r="HN29" s="7"/>
      <c r="HO29" s="7"/>
      <c r="HP29" s="7"/>
      <c r="HQ29" s="216"/>
      <c r="HR29" s="216"/>
      <c r="HS29" s="216"/>
      <c r="HT29" s="216"/>
      <c r="HU29" s="216"/>
      <c r="HV29" s="216"/>
      <c r="HW29" s="216"/>
      <c r="HX29" s="216"/>
      <c r="HY29" s="216"/>
      <c r="HZ29" s="216"/>
      <c r="IA29" s="216"/>
      <c r="IB29" s="216"/>
      <c r="IC29" s="216"/>
      <c r="ID29" s="216"/>
      <c r="IE29" s="216"/>
      <c r="IF29" s="216"/>
      <c r="IG29" s="7"/>
    </row>
    <row r="30" spans="1:241">
      <c r="A30" s="11"/>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f>GF8+AI8</f>
        <v>484.4</v>
      </c>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216"/>
      <c r="HR30" s="216"/>
      <c r="HS30" s="216"/>
      <c r="HT30" s="216"/>
      <c r="HU30" s="216"/>
      <c r="HV30" s="216"/>
      <c r="HW30" s="216"/>
      <c r="HX30" s="216"/>
      <c r="HY30" s="216"/>
      <c r="HZ30" s="216"/>
      <c r="IA30" s="216"/>
      <c r="IB30" s="216"/>
      <c r="IC30" s="216"/>
      <c r="ID30" s="216"/>
      <c r="IE30" s="216"/>
      <c r="IF30" s="216"/>
      <c r="IG30" s="7"/>
    </row>
    <row r="31" spans="1:241">
      <c r="A31" s="11" t="s">
        <v>481</v>
      </c>
      <c r="B31" s="7" t="s">
        <v>482</v>
      </c>
      <c r="C31" s="7"/>
      <c r="D31" s="11"/>
      <c r="E31" s="95"/>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c r="CK31" s="7"/>
      <c r="CL31" s="7"/>
      <c r="CM31" s="7"/>
      <c r="CN31" s="7"/>
      <c r="CO31" s="7"/>
      <c r="CP31" s="7"/>
      <c r="CQ31" s="7"/>
      <c r="CR31" s="7"/>
      <c r="CS31" s="7"/>
      <c r="CT31" s="7"/>
      <c r="CU31" s="7"/>
      <c r="CV31" s="7"/>
      <c r="CW31" s="7"/>
      <c r="CX31" s="7"/>
      <c r="CY31" s="7"/>
      <c r="CZ31" s="7"/>
      <c r="DA31" s="7"/>
      <c r="DB31" s="7">
        <v>5.6085000000000003</v>
      </c>
      <c r="DC31" s="7">
        <v>5.6410999999999998</v>
      </c>
      <c r="DD31" s="7">
        <v>5.4523999999999999</v>
      </c>
      <c r="DE31" s="7">
        <v>5.8440000000000003</v>
      </c>
      <c r="DF31" s="7">
        <v>5.6459000000000001</v>
      </c>
      <c r="DG31" s="7">
        <v>5.8033000000000001</v>
      </c>
      <c r="DH31" s="7">
        <v>5.6826999999999996</v>
      </c>
      <c r="DI31" s="7">
        <v>5.4458000000000002</v>
      </c>
      <c r="DJ31" s="7" t="s">
        <v>72</v>
      </c>
      <c r="DK31" s="7" t="s">
        <v>72</v>
      </c>
      <c r="DL31" s="7" t="s">
        <v>72</v>
      </c>
      <c r="DM31" s="7" t="s">
        <v>72</v>
      </c>
      <c r="DN31" s="7">
        <v>5.1204000000000001</v>
      </c>
      <c r="DO31" s="7" t="s">
        <v>72</v>
      </c>
      <c r="DP31" s="7" t="s">
        <v>72</v>
      </c>
      <c r="DQ31" s="7">
        <v>6.3052000000000001</v>
      </c>
      <c r="DR31" s="7"/>
      <c r="DS31" s="7"/>
      <c r="DT31" s="7"/>
      <c r="DU31" s="7"/>
      <c r="DV31" s="7"/>
      <c r="DW31" s="7"/>
      <c r="DX31" s="7"/>
      <c r="DY31" s="7"/>
      <c r="DZ31" s="7"/>
      <c r="EA31" s="7"/>
      <c r="EB31" s="7"/>
      <c r="EC31" s="7"/>
      <c r="ED31" s="7"/>
      <c r="EE31" s="7"/>
      <c r="EF31" s="7"/>
      <c r="EG31" s="7"/>
      <c r="EH31" s="7"/>
      <c r="EI31" s="7"/>
      <c r="EJ31" s="7">
        <v>13.9069</v>
      </c>
      <c r="EK31" s="7">
        <v>10.9459</v>
      </c>
      <c r="EL31" s="7">
        <v>9.6668000000000003</v>
      </c>
      <c r="EM31" s="7">
        <v>8.9400999999999993</v>
      </c>
      <c r="EN31" s="7">
        <v>9.0245999999999995</v>
      </c>
      <c r="EO31" s="7">
        <v>10.416700000000001</v>
      </c>
      <c r="EP31" s="7">
        <v>11.169499999999999</v>
      </c>
      <c r="EQ31" s="7">
        <v>13.183400000000001</v>
      </c>
      <c r="ER31" s="7" t="s">
        <v>72</v>
      </c>
      <c r="ES31" s="7" t="s">
        <v>72</v>
      </c>
      <c r="ET31" s="7" t="s">
        <v>72</v>
      </c>
      <c r="EU31" s="7" t="s">
        <v>72</v>
      </c>
      <c r="EV31" s="7">
        <v>82.981700000000004</v>
      </c>
      <c r="EW31" s="7" t="s">
        <v>72</v>
      </c>
      <c r="EX31" s="7" t="s">
        <v>72</v>
      </c>
      <c r="EY31" s="7">
        <v>127.8652</v>
      </c>
      <c r="EZ31" s="7"/>
      <c r="FA31" s="7">
        <v>1.6254999999999999</v>
      </c>
      <c r="FB31" s="7">
        <v>1.522</v>
      </c>
      <c r="FC31" s="7">
        <v>1.4018999999999999</v>
      </c>
      <c r="FD31" s="7">
        <v>1.4748000000000001</v>
      </c>
      <c r="FE31" s="7">
        <v>1.4508000000000001</v>
      </c>
      <c r="FF31" s="7">
        <v>1.5234000000000001</v>
      </c>
      <c r="FG31" s="7">
        <v>1.5146999999999999</v>
      </c>
      <c r="FH31" s="7">
        <v>1.4112</v>
      </c>
      <c r="FI31" s="7" t="s">
        <v>72</v>
      </c>
      <c r="FJ31" s="7" t="s">
        <v>72</v>
      </c>
      <c r="FK31" s="7" t="s">
        <v>72</v>
      </c>
      <c r="FL31" s="7" t="s">
        <v>72</v>
      </c>
      <c r="FM31" s="7">
        <v>1.4338</v>
      </c>
      <c r="FN31" s="7" t="s">
        <v>72</v>
      </c>
      <c r="FO31" s="7" t="s">
        <v>72</v>
      </c>
      <c r="FP31" s="7">
        <v>1.8331</v>
      </c>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216"/>
      <c r="HR31" s="216"/>
      <c r="HS31" s="216"/>
      <c r="HT31" s="216"/>
      <c r="HU31" s="216"/>
      <c r="HV31" s="216"/>
      <c r="HW31" s="216"/>
      <c r="HX31" s="216"/>
      <c r="HY31" s="216"/>
      <c r="HZ31" s="216"/>
      <c r="IA31" s="216"/>
      <c r="IB31" s="216"/>
      <c r="IC31" s="216"/>
      <c r="ID31" s="216"/>
      <c r="IE31" s="216"/>
      <c r="IF31" s="216"/>
      <c r="IG31" s="7"/>
    </row>
    <row r="32" spans="1:241">
      <c r="A32" s="11" t="s">
        <v>483</v>
      </c>
      <c r="B32" s="7" t="s">
        <v>490</v>
      </c>
      <c r="C32" s="7"/>
      <c r="D32" s="11"/>
      <c r="E32" s="95"/>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c r="CK32" s="7"/>
      <c r="CL32" s="7"/>
      <c r="CM32" s="7"/>
      <c r="CN32" s="7"/>
      <c r="CO32" s="7"/>
      <c r="CP32" s="7"/>
      <c r="CQ32" s="7"/>
      <c r="CR32" s="7"/>
      <c r="CS32" s="7"/>
      <c r="CT32" s="7"/>
      <c r="CU32" s="7"/>
      <c r="CV32" s="7"/>
      <c r="CW32" s="7"/>
      <c r="CX32" s="7"/>
      <c r="CY32" s="7"/>
      <c r="CZ32" s="7"/>
      <c r="DA32" s="7"/>
      <c r="DB32" s="7">
        <v>5.6085000000000003</v>
      </c>
      <c r="DC32" s="7">
        <v>5.6410999999999998</v>
      </c>
      <c r="DD32" s="7">
        <v>5.4523999999999999</v>
      </c>
      <c r="DE32" s="7">
        <v>5.8440000000000003</v>
      </c>
      <c r="DF32" s="7">
        <v>5.6459000000000001</v>
      </c>
      <c r="DG32" s="7">
        <v>5.8033000000000001</v>
      </c>
      <c r="DH32" s="7">
        <v>5.6826999999999996</v>
      </c>
      <c r="DI32" s="7">
        <v>5.4458000000000002</v>
      </c>
      <c r="DJ32" s="7" t="s">
        <v>72</v>
      </c>
      <c r="DK32" s="7" t="s">
        <v>72</v>
      </c>
      <c r="DL32" s="7" t="s">
        <v>72</v>
      </c>
      <c r="DM32" s="7" t="s">
        <v>72</v>
      </c>
      <c r="DN32" s="7">
        <v>5.1204000000000001</v>
      </c>
      <c r="DO32" s="7" t="s">
        <v>72</v>
      </c>
      <c r="DP32" s="7" t="s">
        <v>72</v>
      </c>
      <c r="DQ32" s="7">
        <v>6.3052000000000001</v>
      </c>
      <c r="DR32" s="7"/>
      <c r="DS32" s="7"/>
      <c r="DT32" s="7"/>
      <c r="DU32" s="7"/>
      <c r="DV32" s="7"/>
      <c r="DW32" s="7"/>
      <c r="DX32" s="7"/>
      <c r="DY32" s="7"/>
      <c r="DZ32" s="7"/>
      <c r="EA32" s="7"/>
      <c r="EB32" s="7"/>
      <c r="EC32" s="7"/>
      <c r="ED32" s="7"/>
      <c r="EE32" s="7"/>
      <c r="EF32" s="7"/>
      <c r="EG32" s="7"/>
      <c r="EH32" s="7"/>
      <c r="EI32" s="7"/>
      <c r="EJ32" s="7">
        <v>14.3628</v>
      </c>
      <c r="EK32" s="7">
        <v>11.3551</v>
      </c>
      <c r="EL32" s="7">
        <v>10.0464</v>
      </c>
      <c r="EM32" s="7">
        <v>9.3047000000000004</v>
      </c>
      <c r="EN32" s="7">
        <v>9.4166000000000007</v>
      </c>
      <c r="EO32" s="7">
        <v>10.9314</v>
      </c>
      <c r="EP32" s="7">
        <v>11.9383</v>
      </c>
      <c r="EQ32" s="7">
        <v>14.0906</v>
      </c>
      <c r="ER32" s="7" t="s">
        <v>72</v>
      </c>
      <c r="ES32" s="7" t="s">
        <v>72</v>
      </c>
      <c r="ET32" s="7" t="s">
        <v>72</v>
      </c>
      <c r="EU32" s="7" t="s">
        <v>72</v>
      </c>
      <c r="EV32" s="7">
        <v>92.537999999999997</v>
      </c>
      <c r="EW32" s="7" t="s">
        <v>72</v>
      </c>
      <c r="EX32" s="7" t="s">
        <v>72</v>
      </c>
      <c r="EY32" s="7">
        <v>127.7289</v>
      </c>
      <c r="EZ32" s="7"/>
      <c r="FA32" s="7">
        <v>1.6787000000000001</v>
      </c>
      <c r="FB32" s="7">
        <v>1.5789</v>
      </c>
      <c r="FC32" s="7">
        <v>1.4570000000000001</v>
      </c>
      <c r="FD32" s="7">
        <v>1.5349999999999999</v>
      </c>
      <c r="FE32" s="7">
        <v>1.5138</v>
      </c>
      <c r="FF32" s="7">
        <v>1.5987</v>
      </c>
      <c r="FG32" s="7">
        <v>1.6189</v>
      </c>
      <c r="FH32" s="7">
        <v>1.5083</v>
      </c>
      <c r="FI32" s="7" t="s">
        <v>72</v>
      </c>
      <c r="FJ32" s="7" t="s">
        <v>72</v>
      </c>
      <c r="FK32" s="7" t="s">
        <v>72</v>
      </c>
      <c r="FL32" s="7" t="s">
        <v>72</v>
      </c>
      <c r="FM32" s="7">
        <v>1.5989</v>
      </c>
      <c r="FN32" s="7" t="s">
        <v>72</v>
      </c>
      <c r="FO32" s="7" t="s">
        <v>72</v>
      </c>
      <c r="FP32" s="7">
        <v>1.8310999999999999</v>
      </c>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216"/>
      <c r="HR32" s="216"/>
      <c r="HS32" s="216"/>
      <c r="HT32" s="216"/>
      <c r="HU32" s="216"/>
      <c r="HV32" s="216"/>
      <c r="HW32" s="216"/>
      <c r="HX32" s="216"/>
      <c r="HY32" s="216"/>
      <c r="HZ32" s="216"/>
      <c r="IA32" s="216"/>
      <c r="IB32" s="216"/>
      <c r="IC32" s="216"/>
      <c r="ID32" s="216"/>
      <c r="IE32" s="216"/>
      <c r="IF32" s="216"/>
      <c r="IG32" s="7"/>
    </row>
    <row r="33" spans="1:241">
      <c r="A33" s="11" t="s">
        <v>485</v>
      </c>
      <c r="B33" s="7" t="s">
        <v>484</v>
      </c>
      <c r="C33" s="7"/>
      <c r="D33" s="11"/>
      <c r="E33" s="95"/>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c r="CK33" s="7"/>
      <c r="CL33" s="7"/>
      <c r="CM33" s="7"/>
      <c r="CN33" s="7"/>
      <c r="CO33" s="7"/>
      <c r="CP33" s="7"/>
      <c r="CQ33" s="7"/>
      <c r="CR33" s="7"/>
      <c r="CS33" s="7"/>
      <c r="CT33" s="7"/>
      <c r="CU33" s="7"/>
      <c r="CV33" s="7"/>
      <c r="CW33" s="7"/>
      <c r="CX33" s="7"/>
      <c r="CY33" s="7"/>
      <c r="CZ33" s="7"/>
      <c r="DA33" s="7"/>
      <c r="DB33" s="7">
        <v>4.7956000000000003</v>
      </c>
      <c r="DC33" s="7">
        <v>4.7956000000000003</v>
      </c>
      <c r="DD33" s="7">
        <v>4.7956000000000003</v>
      </c>
      <c r="DE33" s="7">
        <v>4.7956000000000003</v>
      </c>
      <c r="DF33" s="7">
        <v>4.7956000000000003</v>
      </c>
      <c r="DG33" s="7">
        <v>4.7956000000000003</v>
      </c>
      <c r="DH33" s="7">
        <v>4.7956000000000003</v>
      </c>
      <c r="DI33" s="7">
        <v>4.7956000000000003</v>
      </c>
      <c r="DJ33" s="7">
        <v>4.7956000000000003</v>
      </c>
      <c r="DK33" s="7">
        <v>4.7956000000000003</v>
      </c>
      <c r="DL33" s="7">
        <v>4.7956000000000003</v>
      </c>
      <c r="DM33" s="7">
        <v>4.7956000000000003</v>
      </c>
      <c r="DN33" s="7">
        <v>4.7956000000000003</v>
      </c>
      <c r="DO33" s="7">
        <v>4.7956000000000003</v>
      </c>
      <c r="DP33" s="7">
        <v>4.7956000000000003</v>
      </c>
      <c r="DQ33" s="7">
        <v>5.1307999999999998</v>
      </c>
      <c r="DR33" s="7"/>
      <c r="DS33" s="7"/>
      <c r="DT33" s="7"/>
      <c r="DU33" s="7"/>
      <c r="DV33" s="7"/>
      <c r="DW33" s="7"/>
      <c r="DX33" s="7"/>
      <c r="DY33" s="7"/>
      <c r="DZ33" s="7"/>
      <c r="EA33" s="7"/>
      <c r="EB33" s="7"/>
      <c r="EC33" s="7"/>
      <c r="ED33" s="7"/>
      <c r="EE33" s="7"/>
      <c r="EF33" s="7"/>
      <c r="EG33" s="7"/>
      <c r="EH33" s="7"/>
      <c r="EI33" s="7"/>
      <c r="EJ33" s="7" t="s">
        <v>72</v>
      </c>
      <c r="EK33" s="7" t="s">
        <v>72</v>
      </c>
      <c r="EL33" s="7" t="s">
        <v>72</v>
      </c>
      <c r="EM33" s="7" t="s">
        <v>72</v>
      </c>
      <c r="EN33" s="7" t="s">
        <v>72</v>
      </c>
      <c r="EO33" s="7" t="s">
        <v>72</v>
      </c>
      <c r="EP33" s="7" t="s">
        <v>72</v>
      </c>
      <c r="EQ33" s="7" t="s">
        <v>72</v>
      </c>
      <c r="ER33" s="7" t="s">
        <v>72</v>
      </c>
      <c r="ES33" s="7" t="s">
        <v>72</v>
      </c>
      <c r="ET33" s="7" t="s">
        <v>72</v>
      </c>
      <c r="EU33" s="7" t="s">
        <v>72</v>
      </c>
      <c r="EV33" s="7" t="s">
        <v>72</v>
      </c>
      <c r="EW33" s="7" t="s">
        <v>72</v>
      </c>
      <c r="EX33" s="7" t="s">
        <v>72</v>
      </c>
      <c r="EY33" s="7" t="s">
        <v>72</v>
      </c>
      <c r="EZ33" s="7"/>
      <c r="FA33" s="7" t="s">
        <v>72</v>
      </c>
      <c r="FB33" s="7" t="s">
        <v>72</v>
      </c>
      <c r="FC33" s="7" t="s">
        <v>72</v>
      </c>
      <c r="FD33" s="7" t="s">
        <v>72</v>
      </c>
      <c r="FE33" s="7" t="s">
        <v>72</v>
      </c>
      <c r="FF33" s="7" t="s">
        <v>72</v>
      </c>
      <c r="FG33" s="7" t="s">
        <v>72</v>
      </c>
      <c r="FH33" s="7" t="s">
        <v>72</v>
      </c>
      <c r="FI33" s="7" t="s">
        <v>72</v>
      </c>
      <c r="FJ33" s="7" t="s">
        <v>72</v>
      </c>
      <c r="FK33" s="7" t="s">
        <v>72</v>
      </c>
      <c r="FL33" s="7" t="s">
        <v>72</v>
      </c>
      <c r="FM33" s="7" t="s">
        <v>72</v>
      </c>
      <c r="FN33" s="7" t="s">
        <v>72</v>
      </c>
      <c r="FO33" s="7" t="s">
        <v>72</v>
      </c>
      <c r="FP33" s="7">
        <v>1.6516999999999999</v>
      </c>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216"/>
      <c r="HR33" s="216"/>
      <c r="HS33" s="216"/>
      <c r="HT33" s="216"/>
      <c r="HU33" s="216"/>
      <c r="HV33" s="216"/>
      <c r="HW33" s="216"/>
      <c r="HX33" s="216"/>
      <c r="HY33" s="216"/>
      <c r="HZ33" s="216"/>
      <c r="IA33" s="216"/>
      <c r="IB33" s="216"/>
      <c r="IC33" s="216"/>
      <c r="ID33" s="216"/>
      <c r="IE33" s="216"/>
      <c r="IF33" s="216"/>
      <c r="IG33" s="7"/>
    </row>
    <row r="34" spans="1:241">
      <c r="A34" s="11" t="s">
        <v>489</v>
      </c>
      <c r="B34" s="7" t="s">
        <v>486</v>
      </c>
      <c r="C34" s="7"/>
      <c r="D34" s="11"/>
      <c r="E34" s="95"/>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c r="CK34" s="7"/>
      <c r="CL34" s="7"/>
      <c r="CM34" s="7"/>
      <c r="CN34" s="7"/>
      <c r="CO34" s="7"/>
      <c r="CP34" s="7"/>
      <c r="CQ34" s="7"/>
      <c r="CR34" s="7"/>
      <c r="CS34" s="7"/>
      <c r="CT34" s="7"/>
      <c r="CU34" s="7"/>
      <c r="CV34" s="7"/>
      <c r="CW34" s="7"/>
      <c r="CX34" s="7"/>
      <c r="CY34" s="7"/>
      <c r="CZ34" s="7"/>
      <c r="DA34" s="7"/>
      <c r="DB34" s="7">
        <v>6.1997</v>
      </c>
      <c r="DC34" s="7">
        <v>6.2983000000000002</v>
      </c>
      <c r="DD34" s="7">
        <v>6.1234000000000002</v>
      </c>
      <c r="DE34" s="7">
        <v>6.5911999999999997</v>
      </c>
      <c r="DF34" s="7">
        <v>6.6402000000000001</v>
      </c>
      <c r="DG34" s="7">
        <v>6.8207000000000004</v>
      </c>
      <c r="DH34" s="7">
        <v>6.6776999999999997</v>
      </c>
      <c r="DI34" s="7">
        <v>6.476</v>
      </c>
      <c r="DJ34" s="7" t="s">
        <v>72</v>
      </c>
      <c r="DK34" s="7" t="s">
        <v>72</v>
      </c>
      <c r="DL34" s="7" t="s">
        <v>72</v>
      </c>
      <c r="DM34" s="7" t="s">
        <v>72</v>
      </c>
      <c r="DN34" s="7">
        <v>6.1662999999999997</v>
      </c>
      <c r="DO34" s="7" t="s">
        <v>72</v>
      </c>
      <c r="DP34" s="7" t="s">
        <v>72</v>
      </c>
      <c r="DQ34" s="7">
        <v>8.1677999999999997</v>
      </c>
      <c r="DR34" s="7"/>
      <c r="DS34" s="7"/>
      <c r="DT34" s="7"/>
      <c r="DU34" s="7"/>
      <c r="DV34" s="7"/>
      <c r="DW34" s="7"/>
      <c r="DX34" s="7"/>
      <c r="DY34" s="7"/>
      <c r="DZ34" s="7"/>
      <c r="EA34" s="7"/>
      <c r="EB34" s="7"/>
      <c r="EC34" s="7"/>
      <c r="ED34" s="7"/>
      <c r="EE34" s="7"/>
      <c r="EF34" s="7"/>
      <c r="EG34" s="7"/>
      <c r="EH34" s="7"/>
      <c r="EI34" s="7"/>
      <c r="EJ34" s="7">
        <v>16.6341</v>
      </c>
      <c r="EK34" s="7">
        <v>11.0204</v>
      </c>
      <c r="EL34" s="7">
        <v>10.469799999999999</v>
      </c>
      <c r="EM34" s="7">
        <v>8.9239999999999995</v>
      </c>
      <c r="EN34" s="7">
        <v>9.4634999999999998</v>
      </c>
      <c r="EO34" s="7">
        <v>12.786200000000001</v>
      </c>
      <c r="EP34" s="7">
        <v>12.34</v>
      </c>
      <c r="EQ34" s="7">
        <v>13.475199999999999</v>
      </c>
      <c r="ER34" s="7" t="s">
        <v>72</v>
      </c>
      <c r="ES34" s="7" t="s">
        <v>72</v>
      </c>
      <c r="ET34" s="7" t="s">
        <v>72</v>
      </c>
      <c r="EU34" s="7" t="s">
        <v>72</v>
      </c>
      <c r="EV34" s="7" t="s">
        <v>72</v>
      </c>
      <c r="EW34" s="7" t="s">
        <v>72</v>
      </c>
      <c r="EX34" s="7" t="s">
        <v>72</v>
      </c>
      <c r="EY34" s="7" t="s">
        <v>72</v>
      </c>
      <c r="EZ34" s="7"/>
      <c r="FA34" s="7">
        <v>1.028</v>
      </c>
      <c r="FB34" s="7">
        <v>1.0049999999999999</v>
      </c>
      <c r="FC34" s="7">
        <v>0.98580000000000001</v>
      </c>
      <c r="FD34" s="7">
        <v>1.0396000000000001</v>
      </c>
      <c r="FE34" s="7">
        <v>1.0711999999999999</v>
      </c>
      <c r="FF34" s="7">
        <v>1.1758999999999999</v>
      </c>
      <c r="FG34" s="7">
        <v>1.1246</v>
      </c>
      <c r="FH34" s="7">
        <v>1.0964</v>
      </c>
      <c r="FI34" s="7" t="s">
        <v>72</v>
      </c>
      <c r="FJ34" s="7" t="s">
        <v>72</v>
      </c>
      <c r="FK34" s="7" t="s">
        <v>72</v>
      </c>
      <c r="FL34" s="7" t="s">
        <v>72</v>
      </c>
      <c r="FM34" s="7">
        <v>1.2490999999999999</v>
      </c>
      <c r="FN34" s="7" t="s">
        <v>72</v>
      </c>
      <c r="FO34" s="7" t="s">
        <v>72</v>
      </c>
      <c r="FP34" s="7">
        <v>1.6413</v>
      </c>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216"/>
      <c r="HR34" s="216"/>
      <c r="HS34" s="216"/>
      <c r="HT34" s="216"/>
      <c r="HU34" s="216"/>
      <c r="HV34" s="216"/>
      <c r="HW34" s="216"/>
      <c r="HX34" s="216"/>
      <c r="HY34" s="216"/>
      <c r="HZ34" s="216"/>
      <c r="IA34" s="216"/>
      <c r="IB34" s="216"/>
      <c r="IC34" s="216"/>
      <c r="ID34" s="216"/>
      <c r="IE34" s="216"/>
      <c r="IF34" s="216"/>
      <c r="IG34" s="7"/>
    </row>
    <row r="35" spans="1:241">
      <c r="A35" s="11" t="s">
        <v>487</v>
      </c>
      <c r="B35" s="7" t="s">
        <v>488</v>
      </c>
      <c r="C35" s="7"/>
      <c r="D35" s="11"/>
      <c r="E35" s="11"/>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c r="CK35" s="7"/>
      <c r="CL35" s="7"/>
      <c r="CM35" s="7"/>
      <c r="CN35" s="7"/>
      <c r="CO35" s="7"/>
      <c r="CP35" s="7"/>
      <c r="CQ35" s="7"/>
      <c r="CR35" s="7"/>
      <c r="CS35" s="7"/>
      <c r="CT35" s="7"/>
      <c r="CU35" s="7"/>
      <c r="CV35" s="7"/>
      <c r="CW35" s="7"/>
      <c r="CX35" s="7"/>
      <c r="CY35" s="7"/>
      <c r="CZ35" s="7"/>
      <c r="DA35" s="7"/>
      <c r="DB35" s="7">
        <v>5.3141999999999996</v>
      </c>
      <c r="DC35" s="7">
        <v>5.3106</v>
      </c>
      <c r="DD35" s="7">
        <v>5.0982000000000003</v>
      </c>
      <c r="DE35" s="7">
        <v>5.4623999999999997</v>
      </c>
      <c r="DF35" s="7">
        <v>5.1510999999999996</v>
      </c>
      <c r="DG35" s="7">
        <v>5.2797999999999998</v>
      </c>
      <c r="DH35" s="7">
        <v>5.1737000000000002</v>
      </c>
      <c r="DI35" s="7">
        <v>4.8963999999999999</v>
      </c>
      <c r="DJ35" s="7" t="s">
        <v>72</v>
      </c>
      <c r="DK35" s="7" t="s">
        <v>72</v>
      </c>
      <c r="DL35" s="7" t="s">
        <v>72</v>
      </c>
      <c r="DM35" s="7" t="s">
        <v>72</v>
      </c>
      <c r="DN35" s="7">
        <v>4.5118</v>
      </c>
      <c r="DO35" s="7" t="s">
        <v>72</v>
      </c>
      <c r="DP35" s="7" t="s">
        <v>72</v>
      </c>
      <c r="DQ35" s="7">
        <v>5.1750999999999996</v>
      </c>
      <c r="DR35" s="7"/>
      <c r="DS35" s="7"/>
      <c r="DT35" s="7"/>
      <c r="DU35" s="7"/>
      <c r="DV35" s="7"/>
      <c r="DW35" s="7"/>
      <c r="DX35" s="7"/>
      <c r="DY35" s="7"/>
      <c r="DZ35" s="7"/>
      <c r="EA35" s="7"/>
      <c r="EB35" s="7"/>
      <c r="EC35" s="7"/>
      <c r="ED35" s="7"/>
      <c r="EE35" s="7"/>
      <c r="EF35" s="7"/>
      <c r="EG35" s="7"/>
      <c r="EH35" s="7"/>
      <c r="EI35" s="7"/>
      <c r="EJ35" s="7">
        <v>12.514799999999999</v>
      </c>
      <c r="EK35" s="7">
        <v>10.891500000000001</v>
      </c>
      <c r="EL35" s="7">
        <v>9.0869</v>
      </c>
      <c r="EM35" s="7">
        <v>8.9527000000000001</v>
      </c>
      <c r="EN35" s="7">
        <v>8.6904000000000003</v>
      </c>
      <c r="EO35" s="7">
        <v>8.9420999999999999</v>
      </c>
      <c r="EP35" s="7">
        <v>10.296099999999999</v>
      </c>
      <c r="EQ35" s="7">
        <v>12.899900000000001</v>
      </c>
      <c r="ER35" s="7" t="s">
        <v>72</v>
      </c>
      <c r="ES35" s="7" t="s">
        <v>72</v>
      </c>
      <c r="ET35" s="7" t="s">
        <v>72</v>
      </c>
      <c r="EU35" s="7" t="s">
        <v>72</v>
      </c>
      <c r="EV35" s="7">
        <v>15.9001</v>
      </c>
      <c r="EW35" s="7" t="s">
        <v>72</v>
      </c>
      <c r="EX35" s="7" t="s">
        <v>72</v>
      </c>
      <c r="EY35" s="7">
        <v>33.124499999999998</v>
      </c>
      <c r="EZ35" s="7"/>
      <c r="FA35" s="7">
        <v>2.6835</v>
      </c>
      <c r="FB35" s="7">
        <v>2.4567999999999999</v>
      </c>
      <c r="FC35" s="7">
        <v>2.1610999999999998</v>
      </c>
      <c r="FD35" s="7">
        <v>2.19</v>
      </c>
      <c r="FE35" s="7">
        <v>2.0546000000000002</v>
      </c>
      <c r="FF35" s="7">
        <v>2.0670000000000002</v>
      </c>
      <c r="FG35" s="7">
        <v>2.1957</v>
      </c>
      <c r="FH35" s="7">
        <v>1.9914000000000001</v>
      </c>
      <c r="FI35" s="7" t="s">
        <v>72</v>
      </c>
      <c r="FJ35" s="7" t="s">
        <v>72</v>
      </c>
      <c r="FK35" s="7" t="s">
        <v>72</v>
      </c>
      <c r="FL35" s="7" t="s">
        <v>72</v>
      </c>
      <c r="FM35" s="7">
        <v>1.7867</v>
      </c>
      <c r="FN35" s="7" t="s">
        <v>72</v>
      </c>
      <c r="FO35" s="7" t="s">
        <v>72</v>
      </c>
      <c r="FP35" s="7">
        <v>2.2181999999999999</v>
      </c>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216"/>
      <c r="HR35" s="216"/>
      <c r="HS35" s="216"/>
      <c r="HT35" s="216"/>
      <c r="HU35" s="216"/>
      <c r="HV35" s="216"/>
      <c r="HW35" s="216"/>
      <c r="HX35" s="216"/>
      <c r="HY35" s="216"/>
      <c r="HZ35" s="216"/>
      <c r="IA35" s="216"/>
      <c r="IB35" s="216"/>
      <c r="IC35" s="216"/>
      <c r="ID35" s="216"/>
      <c r="IE35" s="216"/>
      <c r="IF35" s="216"/>
      <c r="IG35" s="7"/>
    </row>
    <row r="36" spans="1:241">
      <c r="A36" s="11" t="s">
        <v>491</v>
      </c>
      <c r="B36" s="7" t="s">
        <v>492</v>
      </c>
      <c r="C36" s="7"/>
      <c r="D36" s="11"/>
      <c r="E36" s="99"/>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c r="CK36" s="7"/>
      <c r="CL36" s="7"/>
      <c r="CM36" s="7"/>
      <c r="CN36" s="7"/>
      <c r="CO36" s="7"/>
      <c r="CP36" s="7"/>
      <c r="CQ36" s="7"/>
      <c r="CR36" s="7"/>
      <c r="CS36" s="7"/>
      <c r="CT36" s="7"/>
      <c r="CU36" s="7"/>
      <c r="CV36" s="7"/>
      <c r="CW36" s="7"/>
      <c r="CX36" s="7"/>
      <c r="CY36" s="7"/>
      <c r="CZ36" s="7"/>
      <c r="DA36" s="7"/>
      <c r="DB36" s="7">
        <v>7.6870000000000003</v>
      </c>
      <c r="DC36" s="7">
        <v>7.2636000000000003</v>
      </c>
      <c r="DD36" s="7">
        <v>6.7767999999999997</v>
      </c>
      <c r="DE36" s="7">
        <v>6.9335000000000004</v>
      </c>
      <c r="DF36" s="7">
        <v>6.8560999999999996</v>
      </c>
      <c r="DG36" s="7">
        <v>7.0479000000000003</v>
      </c>
      <c r="DH36" s="7">
        <v>6.8548999999999998</v>
      </c>
      <c r="DI36" s="7">
        <v>6.6774000000000004</v>
      </c>
      <c r="DJ36" s="7" t="s">
        <v>72</v>
      </c>
      <c r="DK36" s="7" t="s">
        <v>72</v>
      </c>
      <c r="DL36" s="7" t="s">
        <v>72</v>
      </c>
      <c r="DM36" s="7" t="s">
        <v>72</v>
      </c>
      <c r="DN36" s="7">
        <v>6.2523</v>
      </c>
      <c r="DO36" s="7" t="s">
        <v>72</v>
      </c>
      <c r="DP36" s="7" t="s">
        <v>72</v>
      </c>
      <c r="DQ36" s="7">
        <v>6.7336999999999998</v>
      </c>
      <c r="DR36" s="7"/>
      <c r="DS36" s="7"/>
      <c r="DT36" s="7"/>
      <c r="DU36" s="7"/>
      <c r="DV36" s="7"/>
      <c r="DW36" s="7"/>
      <c r="DX36" s="7"/>
      <c r="DY36" s="7"/>
      <c r="DZ36" s="7"/>
      <c r="EA36" s="7"/>
      <c r="EB36" s="7"/>
      <c r="EC36" s="7"/>
      <c r="ED36" s="7"/>
      <c r="EE36" s="7"/>
      <c r="EF36" s="7"/>
      <c r="EG36" s="7"/>
      <c r="EH36" s="7"/>
      <c r="EI36" s="7"/>
      <c r="EJ36" s="7">
        <v>10.563800000000001</v>
      </c>
      <c r="EK36" s="7">
        <v>10.401400000000001</v>
      </c>
      <c r="EL36" s="7">
        <v>8.9009999999999998</v>
      </c>
      <c r="EM36" s="7">
        <v>10.0366</v>
      </c>
      <c r="EN36" s="7">
        <v>10.5868</v>
      </c>
      <c r="EO36" s="7">
        <v>10.329800000000001</v>
      </c>
      <c r="EP36" s="7">
        <v>12.573399999999999</v>
      </c>
      <c r="EQ36" s="7">
        <v>11.691800000000001</v>
      </c>
      <c r="ER36" s="7" t="s">
        <v>72</v>
      </c>
      <c r="ES36" s="7" t="s">
        <v>72</v>
      </c>
      <c r="ET36" s="7" t="s">
        <v>72</v>
      </c>
      <c r="EU36" s="7" t="s">
        <v>72</v>
      </c>
      <c r="EV36" s="7">
        <v>14.7819</v>
      </c>
      <c r="EW36" s="7" t="s">
        <v>72</v>
      </c>
      <c r="EX36" s="7" t="s">
        <v>72</v>
      </c>
      <c r="EY36" s="7">
        <v>15.0055</v>
      </c>
      <c r="EZ36" s="7"/>
      <c r="FA36" s="7">
        <v>1.6503000000000001</v>
      </c>
      <c r="FB36" s="7">
        <v>1.5335999999999999</v>
      </c>
      <c r="FC36" s="7">
        <v>1.3122</v>
      </c>
      <c r="FD36" s="7">
        <v>1.3708</v>
      </c>
      <c r="FE36" s="7">
        <v>1.3264</v>
      </c>
      <c r="FF36" s="7">
        <v>1.3075000000000001</v>
      </c>
      <c r="FG36" s="7">
        <v>1.3391</v>
      </c>
      <c r="FH36" s="7">
        <v>1.1859</v>
      </c>
      <c r="FI36" s="7" t="s">
        <v>72</v>
      </c>
      <c r="FJ36" s="7" t="s">
        <v>72</v>
      </c>
      <c r="FK36" s="7" t="s">
        <v>72</v>
      </c>
      <c r="FL36" s="7" t="s">
        <v>72</v>
      </c>
      <c r="FM36" s="7">
        <v>1.1829000000000001</v>
      </c>
      <c r="FN36" s="7" t="s">
        <v>72</v>
      </c>
      <c r="FO36" s="7" t="s">
        <v>72</v>
      </c>
      <c r="FP36" s="7">
        <v>1.2121</v>
      </c>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216"/>
      <c r="HR36" s="216"/>
      <c r="HS36" s="216"/>
      <c r="HT36" s="216"/>
      <c r="HU36" s="216"/>
      <c r="HV36" s="216"/>
      <c r="HW36" s="216"/>
      <c r="HX36" s="216"/>
      <c r="HY36" s="216"/>
      <c r="HZ36" s="216"/>
      <c r="IA36" s="216"/>
      <c r="IB36" s="216"/>
      <c r="IC36" s="216"/>
      <c r="ID36" s="216"/>
      <c r="IE36" s="216"/>
      <c r="IF36" s="216"/>
      <c r="IG36" s="7"/>
    </row>
    <row r="37" spans="1:241">
      <c r="A37" s="11" t="s">
        <v>493</v>
      </c>
      <c r="B37" s="7" t="s">
        <v>494</v>
      </c>
      <c r="C37" s="7"/>
      <c r="D37" s="11"/>
      <c r="E37" s="95"/>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c r="CK37" s="7"/>
      <c r="CL37" s="7"/>
      <c r="CM37" s="7"/>
      <c r="CN37" s="7"/>
      <c r="CO37" s="7"/>
      <c r="CP37" s="7"/>
      <c r="CQ37" s="7"/>
      <c r="CR37" s="7"/>
      <c r="CS37" s="7"/>
      <c r="CT37" s="7"/>
      <c r="CU37" s="7"/>
      <c r="CV37" s="7"/>
      <c r="CW37" s="7"/>
      <c r="CX37" s="7"/>
      <c r="CY37" s="7"/>
      <c r="CZ37" s="7"/>
      <c r="DA37" s="7"/>
      <c r="DB37" s="7">
        <v>6.1516999999999999</v>
      </c>
      <c r="DC37" s="7">
        <v>6.1516999999999999</v>
      </c>
      <c r="DD37" s="7">
        <v>6.1516999999999999</v>
      </c>
      <c r="DE37" s="7">
        <v>6.1516999999999999</v>
      </c>
      <c r="DF37" s="7">
        <v>6.1516999999999999</v>
      </c>
      <c r="DG37" s="7">
        <v>6.1516999999999999</v>
      </c>
      <c r="DH37" s="7">
        <v>6.1516999999999999</v>
      </c>
      <c r="DI37" s="7">
        <v>6.1516999999999999</v>
      </c>
      <c r="DJ37" s="7">
        <v>6.1516999999999999</v>
      </c>
      <c r="DK37" s="7">
        <v>6.1516999999999999</v>
      </c>
      <c r="DL37" s="7">
        <v>6.1516999999999999</v>
      </c>
      <c r="DM37" s="7">
        <v>6.1516999999999999</v>
      </c>
      <c r="DN37" s="7">
        <v>6.1516999999999999</v>
      </c>
      <c r="DO37" s="7">
        <v>6.1516999999999999</v>
      </c>
      <c r="DP37" s="7">
        <v>6.1516999999999999</v>
      </c>
      <c r="DQ37" s="7">
        <v>6.3365</v>
      </c>
      <c r="DR37" s="7"/>
      <c r="DS37" s="7"/>
      <c r="DT37" s="7"/>
      <c r="DU37" s="7"/>
      <c r="DV37" s="7"/>
      <c r="DW37" s="7"/>
      <c r="DX37" s="7"/>
      <c r="DY37" s="7"/>
      <c r="DZ37" s="7"/>
      <c r="EA37" s="7"/>
      <c r="EB37" s="7"/>
      <c r="EC37" s="7"/>
      <c r="ED37" s="7"/>
      <c r="EE37" s="7"/>
      <c r="EF37" s="7"/>
      <c r="EG37" s="7"/>
      <c r="EH37" s="7"/>
      <c r="EI37" s="7"/>
      <c r="EJ37" s="7" t="s">
        <v>72</v>
      </c>
      <c r="EK37" s="7" t="s">
        <v>72</v>
      </c>
      <c r="EL37" s="7" t="s">
        <v>72</v>
      </c>
      <c r="EM37" s="7" t="s">
        <v>72</v>
      </c>
      <c r="EN37" s="7" t="s">
        <v>72</v>
      </c>
      <c r="EO37" s="7" t="s">
        <v>72</v>
      </c>
      <c r="EP37" s="7" t="s">
        <v>72</v>
      </c>
      <c r="EQ37" s="7" t="s">
        <v>72</v>
      </c>
      <c r="ER37" s="7" t="s">
        <v>72</v>
      </c>
      <c r="ES37" s="7" t="s">
        <v>72</v>
      </c>
      <c r="ET37" s="7" t="s">
        <v>72</v>
      </c>
      <c r="EU37" s="7" t="s">
        <v>72</v>
      </c>
      <c r="EV37" s="7" t="s">
        <v>72</v>
      </c>
      <c r="EW37" s="7" t="s">
        <v>72</v>
      </c>
      <c r="EX37" s="7" t="s">
        <v>72</v>
      </c>
      <c r="EY37" s="7">
        <v>14.7461</v>
      </c>
      <c r="EZ37" s="7"/>
      <c r="FA37" s="7" t="s">
        <v>72</v>
      </c>
      <c r="FB37" s="7" t="s">
        <v>72</v>
      </c>
      <c r="FC37" s="7" t="s">
        <v>72</v>
      </c>
      <c r="FD37" s="7" t="s">
        <v>72</v>
      </c>
      <c r="FE37" s="7" t="s">
        <v>72</v>
      </c>
      <c r="FF37" s="7" t="s">
        <v>72</v>
      </c>
      <c r="FG37" s="7" t="s">
        <v>72</v>
      </c>
      <c r="FH37" s="7" t="s">
        <v>72</v>
      </c>
      <c r="FI37" s="7" t="s">
        <v>72</v>
      </c>
      <c r="FJ37" s="7" t="s">
        <v>72</v>
      </c>
      <c r="FK37" s="7" t="s">
        <v>72</v>
      </c>
      <c r="FL37" s="7" t="s">
        <v>72</v>
      </c>
      <c r="FM37" s="7" t="s">
        <v>72</v>
      </c>
      <c r="FN37" s="7" t="s">
        <v>72</v>
      </c>
      <c r="FO37" s="7" t="s">
        <v>72</v>
      </c>
      <c r="FP37" s="7">
        <v>0.92959999999999998</v>
      </c>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216"/>
      <c r="HR37" s="216"/>
      <c r="HS37" s="216"/>
      <c r="HT37" s="216"/>
      <c r="HU37" s="216"/>
      <c r="HV37" s="216"/>
      <c r="HW37" s="216"/>
      <c r="HX37" s="216"/>
      <c r="HY37" s="216"/>
      <c r="HZ37" s="216"/>
      <c r="IA37" s="216"/>
      <c r="IB37" s="216"/>
      <c r="IC37" s="216"/>
      <c r="ID37" s="216"/>
      <c r="IE37" s="216"/>
      <c r="IF37" s="216"/>
      <c r="IG37" s="7"/>
    </row>
    <row r="38" spans="1:241">
      <c r="A38" s="11"/>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216"/>
      <c r="HR38" s="216"/>
      <c r="HS38" s="216"/>
      <c r="HT38" s="216"/>
      <c r="HU38" s="216"/>
      <c r="HV38" s="216"/>
      <c r="HW38" s="216"/>
      <c r="HX38" s="216"/>
      <c r="HY38" s="216"/>
      <c r="HZ38" s="216"/>
      <c r="IA38" s="216"/>
      <c r="IB38" s="216"/>
      <c r="IC38" s="216"/>
      <c r="ID38" s="216"/>
      <c r="IE38" s="216"/>
      <c r="IF38" s="216"/>
      <c r="IG38" s="7"/>
    </row>
    <row r="39" spans="1:241">
      <c r="A39" s="11"/>
      <c r="B39" s="7"/>
      <c r="C39" s="7"/>
      <c r="D39" s="7" t="s">
        <v>345</v>
      </c>
      <c r="E39" s="7" t="s">
        <v>345</v>
      </c>
      <c r="F39" s="7" t="s">
        <v>345</v>
      </c>
      <c r="G39" s="7" t="s">
        <v>345</v>
      </c>
      <c r="H39" s="7" t="s">
        <v>345</v>
      </c>
      <c r="I39" s="7" t="s">
        <v>345</v>
      </c>
      <c r="J39" s="7" t="s">
        <v>345</v>
      </c>
      <c r="K39" s="7" t="s">
        <v>345</v>
      </c>
      <c r="L39" s="7" t="s">
        <v>345</v>
      </c>
      <c r="M39" s="7" t="s">
        <v>345</v>
      </c>
      <c r="N39" s="7" t="s">
        <v>345</v>
      </c>
      <c r="O39" s="7" t="s">
        <v>345</v>
      </c>
      <c r="P39" s="7" t="s">
        <v>345</v>
      </c>
      <c r="Q39" s="7" t="s">
        <v>345</v>
      </c>
      <c r="R39" s="7" t="s">
        <v>345</v>
      </c>
      <c r="S39" s="7" t="s">
        <v>345</v>
      </c>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216"/>
      <c r="HR39" s="216"/>
      <c r="HS39" s="216"/>
      <c r="HT39" s="216"/>
      <c r="HU39" s="216"/>
      <c r="HV39" s="216"/>
      <c r="HW39" s="216"/>
      <c r="HX39" s="216"/>
      <c r="HY39" s="216"/>
      <c r="HZ39" s="216"/>
      <c r="IA39" s="216"/>
      <c r="IB39" s="216"/>
      <c r="IC39" s="216"/>
      <c r="ID39" s="216"/>
      <c r="IE39" s="216"/>
      <c r="IF39" s="216"/>
      <c r="IG39" s="7"/>
    </row>
    <row r="40" spans="1:241">
      <c r="A40" s="11"/>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216"/>
      <c r="HR40" s="216"/>
      <c r="HS40" s="216"/>
      <c r="HT40" s="216"/>
      <c r="HU40" s="216"/>
      <c r="HV40" s="216"/>
      <c r="HW40" s="216"/>
      <c r="HX40" s="216"/>
      <c r="HY40" s="216"/>
      <c r="HZ40" s="216"/>
      <c r="IA40" s="216"/>
      <c r="IB40" s="216"/>
      <c r="IC40" s="216"/>
      <c r="ID40" s="216"/>
      <c r="IE40" s="216"/>
      <c r="IF40" s="216"/>
      <c r="IG40" s="7"/>
    </row>
    <row r="41" spans="1:241">
      <c r="A41" s="11" t="s">
        <v>299</v>
      </c>
      <c r="B41" s="7" t="s">
        <v>346</v>
      </c>
      <c r="C41" s="7"/>
      <c r="D41" s="7">
        <v>0.13439999999999999</v>
      </c>
      <c r="E41" s="7">
        <v>0.1343</v>
      </c>
      <c r="F41" s="7">
        <v>0.13420000000000001</v>
      </c>
      <c r="G41" s="7">
        <v>0.13420000000000001</v>
      </c>
      <c r="H41" s="7">
        <v>0.13420000000000001</v>
      </c>
      <c r="I41" s="7">
        <v>0.1341</v>
      </c>
      <c r="J41" s="7">
        <v>0.1341</v>
      </c>
      <c r="K41" s="7">
        <v>0.13439999999999999</v>
      </c>
      <c r="L41" s="7" t="s">
        <v>72</v>
      </c>
      <c r="M41" s="7" t="s">
        <v>72</v>
      </c>
      <c r="N41" s="7" t="s">
        <v>72</v>
      </c>
      <c r="O41" s="7" t="s">
        <v>72</v>
      </c>
      <c r="P41" s="7">
        <v>0.13400000000000001</v>
      </c>
      <c r="Q41" s="7" t="s">
        <v>72</v>
      </c>
      <c r="R41" s="7" t="s">
        <v>72</v>
      </c>
      <c r="S41" s="7">
        <v>0.1341</v>
      </c>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216"/>
      <c r="HR41" s="216"/>
      <c r="HS41" s="216"/>
      <c r="HT41" s="216"/>
      <c r="HU41" s="216"/>
      <c r="HV41" s="216"/>
      <c r="HW41" s="216"/>
      <c r="HX41" s="216"/>
      <c r="HY41" s="216"/>
      <c r="HZ41" s="216"/>
      <c r="IA41" s="216"/>
      <c r="IB41" s="216"/>
      <c r="IC41" s="216"/>
      <c r="ID41" s="216"/>
      <c r="IE41" s="216"/>
      <c r="IF41" s="216"/>
      <c r="IG41" s="7"/>
    </row>
    <row r="42" spans="1:241">
      <c r="A42" s="11" t="s">
        <v>89</v>
      </c>
      <c r="B42" s="7" t="s">
        <v>347</v>
      </c>
      <c r="C42" s="7"/>
      <c r="D42" s="7">
        <v>0.1205</v>
      </c>
      <c r="E42" s="7">
        <v>0.1246</v>
      </c>
      <c r="F42" s="7">
        <v>0.12570000000000001</v>
      </c>
      <c r="G42" s="7">
        <v>0.12479999999999999</v>
      </c>
      <c r="H42" s="7">
        <v>0.1283</v>
      </c>
      <c r="I42" s="7">
        <v>0.1275</v>
      </c>
      <c r="J42" s="7">
        <v>0.128</v>
      </c>
      <c r="K42" s="7">
        <v>0.1273</v>
      </c>
      <c r="L42" s="7" t="s">
        <v>72</v>
      </c>
      <c r="M42" s="7" t="s">
        <v>72</v>
      </c>
      <c r="N42" s="7" t="s">
        <v>72</v>
      </c>
      <c r="O42" s="7" t="s">
        <v>72</v>
      </c>
      <c r="P42" s="7">
        <v>0.13619999999999999</v>
      </c>
      <c r="Q42" s="7" t="s">
        <v>72</v>
      </c>
      <c r="R42" s="7" t="s">
        <v>72</v>
      </c>
      <c r="S42" s="7">
        <v>0.1229</v>
      </c>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216"/>
      <c r="HR42" s="216"/>
      <c r="HS42" s="216"/>
      <c r="HT42" s="216"/>
      <c r="HU42" s="216"/>
      <c r="HV42" s="216"/>
      <c r="HW42" s="216"/>
      <c r="HX42" s="216"/>
      <c r="HY42" s="216"/>
      <c r="HZ42" s="216"/>
      <c r="IA42" s="216"/>
      <c r="IB42" s="216"/>
      <c r="IC42" s="216"/>
      <c r="ID42" s="216"/>
      <c r="IE42" s="216"/>
      <c r="IF42" s="216"/>
      <c r="IG42" s="7"/>
    </row>
    <row r="43" spans="1:241">
      <c r="A43" s="11" t="s">
        <v>90</v>
      </c>
      <c r="B43" s="7" t="s">
        <v>348</v>
      </c>
      <c r="C43" s="7"/>
      <c r="D43" s="7">
        <v>0.24392</v>
      </c>
      <c r="E43" s="7">
        <v>0.25905</v>
      </c>
      <c r="F43" s="7">
        <v>0.24115</v>
      </c>
      <c r="G43" s="7">
        <v>0.25220999999999999</v>
      </c>
      <c r="H43" s="7">
        <v>0.25224000000000002</v>
      </c>
      <c r="I43" s="7">
        <v>0.24845999999999999</v>
      </c>
      <c r="J43" s="7">
        <v>0.25142999999999999</v>
      </c>
      <c r="K43" s="7">
        <v>0.22625000000000001</v>
      </c>
      <c r="L43" s="7" t="s">
        <v>72</v>
      </c>
      <c r="M43" s="7" t="s">
        <v>72</v>
      </c>
      <c r="N43" s="7" t="s">
        <v>72</v>
      </c>
      <c r="O43" s="7" t="s">
        <v>72</v>
      </c>
      <c r="P43" s="7">
        <v>0.24504000000000001</v>
      </c>
      <c r="Q43" s="7" t="s">
        <v>72</v>
      </c>
      <c r="R43" s="7" t="s">
        <v>72</v>
      </c>
      <c r="S43" s="7">
        <v>0.23685999999999999</v>
      </c>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216"/>
      <c r="HR43" s="216"/>
      <c r="HS43" s="216"/>
      <c r="HT43" s="216"/>
      <c r="HU43" s="216"/>
      <c r="HV43" s="216"/>
      <c r="HW43" s="216"/>
      <c r="HX43" s="216"/>
      <c r="HY43" s="216"/>
      <c r="HZ43" s="216"/>
      <c r="IA43" s="216"/>
      <c r="IB43" s="216"/>
      <c r="IC43" s="216"/>
      <c r="ID43" s="216"/>
      <c r="IE43" s="216"/>
      <c r="IF43" s="216"/>
      <c r="IG43" s="7"/>
    </row>
    <row r="44" spans="1:241">
      <c r="A44" s="11" t="s">
        <v>91</v>
      </c>
      <c r="B44" s="7" t="s">
        <v>349</v>
      </c>
      <c r="C44" s="7"/>
      <c r="D44" s="7">
        <v>1.1274999999999999</v>
      </c>
      <c r="E44" s="7">
        <v>1.1238999999999999</v>
      </c>
      <c r="F44" s="7">
        <v>1.2215</v>
      </c>
      <c r="G44" s="7">
        <v>1.1524000000000001</v>
      </c>
      <c r="H44" s="7">
        <v>1.1663999999999999</v>
      </c>
      <c r="I44" s="7">
        <v>1.1320999999999999</v>
      </c>
      <c r="J44" s="7">
        <v>1.107</v>
      </c>
      <c r="K44" s="7">
        <v>1.1639999999999999</v>
      </c>
      <c r="L44" s="7" t="s">
        <v>72</v>
      </c>
      <c r="M44" s="7" t="s">
        <v>72</v>
      </c>
      <c r="N44" s="7" t="s">
        <v>72</v>
      </c>
      <c r="O44" s="7" t="s">
        <v>72</v>
      </c>
      <c r="P44" s="7">
        <v>1.2317</v>
      </c>
      <c r="Q44" s="7" t="s">
        <v>72</v>
      </c>
      <c r="R44" s="7" t="s">
        <v>72</v>
      </c>
      <c r="S44" s="7">
        <v>1.1963999999999999</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216"/>
      <c r="HR44" s="216"/>
      <c r="HS44" s="216"/>
      <c r="HT44" s="216"/>
      <c r="HU44" s="216"/>
      <c r="HV44" s="216"/>
      <c r="HW44" s="216"/>
      <c r="HX44" s="216"/>
      <c r="HY44" s="216"/>
      <c r="HZ44" s="216"/>
      <c r="IA44" s="216"/>
      <c r="IB44" s="216"/>
      <c r="IC44" s="216"/>
      <c r="ID44" s="216"/>
      <c r="IE44" s="216"/>
      <c r="IF44" s="216"/>
      <c r="IG44" s="7"/>
    </row>
    <row r="45" spans="1:241">
      <c r="A45" s="11" t="s">
        <v>92</v>
      </c>
      <c r="B45" s="7" t="s">
        <v>350</v>
      </c>
      <c r="C45" s="7"/>
      <c r="D45" s="7">
        <v>9.7509999999999999E-2</v>
      </c>
      <c r="E45" s="7">
        <v>0.10254000000000001</v>
      </c>
      <c r="F45" s="7">
        <v>0.10485</v>
      </c>
      <c r="G45" s="7">
        <v>0.10881</v>
      </c>
      <c r="H45" s="7">
        <v>0.11133</v>
      </c>
      <c r="I45" s="7">
        <v>0.11169999999999999</v>
      </c>
      <c r="J45" s="7">
        <v>0.10896</v>
      </c>
      <c r="K45" s="7">
        <v>0.10867</v>
      </c>
      <c r="L45" s="7" t="s">
        <v>72</v>
      </c>
      <c r="M45" s="7" t="s">
        <v>72</v>
      </c>
      <c r="N45" s="7" t="s">
        <v>72</v>
      </c>
      <c r="O45" s="7" t="s">
        <v>72</v>
      </c>
      <c r="P45" s="7">
        <v>0.11656</v>
      </c>
      <c r="Q45" s="7" t="s">
        <v>72</v>
      </c>
      <c r="R45" s="7" t="s">
        <v>72</v>
      </c>
      <c r="S45" s="7">
        <v>0.11498999999999999</v>
      </c>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216"/>
      <c r="HR45" s="216"/>
      <c r="HS45" s="216"/>
      <c r="HT45" s="216"/>
      <c r="HU45" s="216"/>
      <c r="HV45" s="216"/>
      <c r="HW45" s="216"/>
      <c r="HX45" s="216"/>
      <c r="HY45" s="216"/>
      <c r="HZ45" s="216"/>
      <c r="IA45" s="216"/>
      <c r="IB45" s="216"/>
      <c r="IC45" s="216"/>
      <c r="ID45" s="216"/>
      <c r="IE45" s="216"/>
      <c r="IF45" s="216"/>
      <c r="IG45" s="7"/>
    </row>
    <row r="46" spans="1:241">
      <c r="A46" s="11" t="s">
        <v>93</v>
      </c>
      <c r="B46" s="7" t="s">
        <v>351</v>
      </c>
      <c r="C46" s="7"/>
      <c r="D46" s="7">
        <v>0.67430000000000001</v>
      </c>
      <c r="E46" s="7">
        <v>0.70230000000000004</v>
      </c>
      <c r="F46" s="7">
        <v>0.75849999999999995</v>
      </c>
      <c r="G46" s="7">
        <v>0.74650000000000005</v>
      </c>
      <c r="H46" s="7">
        <v>0.7994</v>
      </c>
      <c r="I46" s="7">
        <v>0.76859999999999995</v>
      </c>
      <c r="J46" s="7">
        <v>0.82040000000000002</v>
      </c>
      <c r="K46" s="7">
        <v>0.8226</v>
      </c>
      <c r="L46" s="7" t="s">
        <v>72</v>
      </c>
      <c r="M46" s="7" t="s">
        <v>72</v>
      </c>
      <c r="N46" s="7" t="s">
        <v>72</v>
      </c>
      <c r="O46" s="7" t="s">
        <v>72</v>
      </c>
      <c r="P46" s="7">
        <v>0.82809999999999995</v>
      </c>
      <c r="Q46" s="7" t="s">
        <v>72</v>
      </c>
      <c r="R46" s="7" t="s">
        <v>72</v>
      </c>
      <c r="S46" s="7">
        <v>0.81699999999999995</v>
      </c>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216"/>
      <c r="HR46" s="216"/>
      <c r="HS46" s="216"/>
      <c r="HT46" s="216"/>
      <c r="HU46" s="216"/>
      <c r="HV46" s="216"/>
      <c r="HW46" s="216"/>
      <c r="HX46" s="216"/>
      <c r="HY46" s="216"/>
      <c r="HZ46" s="216"/>
      <c r="IA46" s="216"/>
      <c r="IB46" s="216"/>
      <c r="IC46" s="216"/>
      <c r="ID46" s="216"/>
      <c r="IE46" s="216"/>
      <c r="IF46" s="216"/>
      <c r="IG46" s="7"/>
    </row>
    <row r="47" spans="1:241">
      <c r="A47" s="11"/>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216"/>
      <c r="HR47" s="216"/>
      <c r="HS47" s="216"/>
      <c r="HT47" s="216"/>
      <c r="HU47" s="216"/>
      <c r="HV47" s="216"/>
      <c r="HW47" s="216"/>
      <c r="HX47" s="216"/>
      <c r="HY47" s="216"/>
      <c r="HZ47" s="216"/>
      <c r="IA47" s="216"/>
      <c r="IB47" s="216"/>
      <c r="IC47" s="216"/>
      <c r="ID47" s="216"/>
      <c r="IE47" s="216"/>
      <c r="IF47" s="216"/>
      <c r="IG47" s="7"/>
    </row>
    <row r="48" spans="1:241">
      <c r="A48" s="1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216"/>
      <c r="HR48" s="216"/>
      <c r="HS48" s="216"/>
      <c r="HT48" s="216"/>
      <c r="HU48" s="216"/>
      <c r="HV48" s="216"/>
      <c r="HW48" s="216"/>
      <c r="HX48" s="216"/>
      <c r="HY48" s="216"/>
      <c r="HZ48" s="216"/>
      <c r="IA48" s="216"/>
      <c r="IB48" s="216"/>
      <c r="IC48" s="216"/>
      <c r="ID48" s="216"/>
      <c r="IE48" s="216"/>
      <c r="IF48" s="216"/>
      <c r="IG48" s="7"/>
    </row>
    <row r="49" spans="1:172" s="2286" customFormat="1">
      <c r="A49" s="2290"/>
      <c r="CJ49" s="2291"/>
    </row>
    <row r="50" spans="1:172">
      <c r="FA50" s="2288"/>
      <c r="FB50" s="2288"/>
      <c r="FC50" s="2288"/>
      <c r="FD50" s="2288"/>
      <c r="FE50" s="2288"/>
      <c r="FF50" s="2288"/>
      <c r="FG50" s="2288"/>
      <c r="FH50" s="2288"/>
      <c r="FI50" s="2288"/>
      <c r="FJ50" s="2288"/>
      <c r="FK50" s="2288"/>
      <c r="FL50" s="2288"/>
      <c r="FM50" s="2288"/>
      <c r="FN50" s="2288"/>
      <c r="FO50" s="2288"/>
      <c r="FP50" s="2288"/>
    </row>
    <row r="51" spans="1:172">
      <c r="FA51" s="2288"/>
      <c r="FB51" s="2288"/>
      <c r="FC51" s="2288"/>
      <c r="FD51" s="2288"/>
      <c r="FE51" s="2288"/>
      <c r="FF51" s="2288"/>
      <c r="FG51" s="2288"/>
      <c r="FH51" s="2288"/>
      <c r="FI51" s="2288"/>
      <c r="FJ51" s="2288"/>
      <c r="FK51" s="2288"/>
      <c r="FL51" s="2288"/>
      <c r="FM51" s="2288"/>
      <c r="FN51" s="2288"/>
      <c r="FO51" s="2288"/>
      <c r="FP51" s="2288"/>
    </row>
    <row r="52" spans="1:172">
      <c r="FA52" s="2288"/>
      <c r="FB52" s="2288"/>
      <c r="FC52" s="2288"/>
      <c r="FD52" s="2288"/>
      <c r="FE52" s="2288"/>
      <c r="FF52" s="2288"/>
      <c r="FG52" s="2288"/>
      <c r="FH52" s="2288"/>
      <c r="FI52" s="2288"/>
      <c r="FJ52" s="2288"/>
      <c r="FK52" s="2288"/>
      <c r="FL52" s="2288"/>
      <c r="FM52" s="2288"/>
      <c r="FN52" s="2288"/>
      <c r="FO52" s="2288"/>
      <c r="FP52" s="2288"/>
    </row>
    <row r="53" spans="1:172">
      <c r="FA53" s="2288"/>
      <c r="FB53" s="2288"/>
      <c r="FC53" s="2288"/>
      <c r="FD53" s="2288"/>
      <c r="FE53" s="2288"/>
      <c r="FF53" s="2288"/>
      <c r="FG53" s="2288"/>
      <c r="FH53" s="2288"/>
      <c r="FI53" s="2288"/>
      <c r="FJ53" s="2288"/>
      <c r="FK53" s="2288"/>
      <c r="FL53" s="2288"/>
      <c r="FM53" s="2288"/>
      <c r="FN53" s="2288"/>
      <c r="FO53" s="2288"/>
      <c r="FP53" s="2288"/>
    </row>
    <row r="54" spans="1:172">
      <c r="FA54" s="2288"/>
      <c r="FB54" s="2288"/>
      <c r="FC54" s="2288"/>
      <c r="FD54" s="2288"/>
      <c r="FE54" s="2288"/>
      <c r="FF54" s="2288"/>
      <c r="FG54" s="2288"/>
      <c r="FH54" s="2288"/>
      <c r="FI54" s="2288"/>
      <c r="FJ54" s="2288"/>
      <c r="FK54" s="2288"/>
      <c r="FL54" s="2288"/>
      <c r="FM54" s="2288"/>
      <c r="FN54" s="2288"/>
      <c r="FO54" s="2288"/>
      <c r="FP54" s="2288"/>
    </row>
    <row r="55" spans="1:172">
      <c r="FA55" s="2288"/>
      <c r="FB55" s="2288"/>
      <c r="FC55" s="2288"/>
      <c r="FD55" s="2288"/>
      <c r="FE55" s="2288"/>
      <c r="FF55" s="2288"/>
      <c r="FG55" s="2288"/>
      <c r="FH55" s="2288"/>
      <c r="FI55" s="2288"/>
      <c r="FJ55" s="2288"/>
      <c r="FK55" s="2288"/>
      <c r="FL55" s="2288"/>
      <c r="FM55" s="2288"/>
      <c r="FN55" s="2288"/>
      <c r="FO55" s="2288"/>
      <c r="FP55" s="228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0"/>
  <sheetViews>
    <sheetView showGridLines="0" zoomScale="80" zoomScaleNormal="80" workbookViewId="0">
      <pane xSplit="2" ySplit="3" topLeftCell="C4" activePane="bottomRight" state="frozen"/>
      <selection pane="topRight" activeCell="C1" sqref="C1"/>
      <selection pane="bottomLeft" activeCell="A3" sqref="A3"/>
      <selection pane="bottomRight" activeCell="X32" sqref="X32"/>
    </sheetView>
  </sheetViews>
  <sheetFormatPr defaultColWidth="11.42578125" defaultRowHeight="12.75"/>
  <cols>
    <col min="1" max="1" width="13.42578125" style="2287" customWidth="1"/>
    <col min="2" max="2" width="17" style="2288" customWidth="1"/>
    <col min="3" max="3" width="6.85546875" style="2288" customWidth="1"/>
    <col min="4" max="16384" width="11.42578125" style="2288"/>
  </cols>
  <sheetData>
    <row r="1" spans="1:54">
      <c r="A1" s="2183" t="s">
        <v>1774</v>
      </c>
      <c r="B1" s="2184"/>
      <c r="C1" s="7"/>
      <c r="D1" s="11" t="s">
        <v>1767</v>
      </c>
      <c r="E1" s="7"/>
      <c r="F1" s="7"/>
      <c r="G1" s="7"/>
      <c r="H1" s="7"/>
      <c r="I1" s="7"/>
      <c r="J1" s="7"/>
      <c r="K1" s="7"/>
      <c r="L1" s="7"/>
      <c r="M1" s="7"/>
      <c r="N1" s="7"/>
      <c r="O1" s="7"/>
      <c r="P1" s="7"/>
      <c r="Q1" s="7"/>
      <c r="R1" s="7"/>
      <c r="S1" s="7"/>
      <c r="T1" s="7"/>
      <c r="U1" s="11" t="s">
        <v>1766</v>
      </c>
      <c r="V1" s="7"/>
      <c r="W1" s="7"/>
      <c r="X1" s="7"/>
      <c r="Y1" s="7"/>
      <c r="Z1" s="7"/>
      <c r="AA1" s="7"/>
      <c r="AB1" s="7"/>
      <c r="AC1" s="7"/>
      <c r="AD1" s="7"/>
      <c r="AE1" s="7"/>
      <c r="AF1" s="7"/>
      <c r="AG1" s="7"/>
      <c r="AH1" s="7"/>
      <c r="AI1" s="7"/>
      <c r="AJ1" s="7"/>
      <c r="AK1" s="7"/>
      <c r="AL1" s="11" t="s">
        <v>1768</v>
      </c>
      <c r="AM1" s="7"/>
      <c r="AN1" s="7"/>
      <c r="AO1" s="7"/>
      <c r="AP1" s="7"/>
      <c r="AQ1" s="7"/>
      <c r="AR1" s="7"/>
      <c r="AS1" s="7"/>
      <c r="AT1" s="7"/>
      <c r="AU1" s="7"/>
      <c r="AV1" s="7"/>
      <c r="AW1" s="7"/>
      <c r="AX1" s="7"/>
      <c r="AY1" s="7"/>
      <c r="AZ1" s="7"/>
      <c r="BA1" s="7"/>
      <c r="BB1" s="7"/>
    </row>
    <row r="2" spans="1:54" s="2289" customFormat="1">
      <c r="A2" s="2179"/>
      <c r="B2" s="2179"/>
      <c r="C2" s="5"/>
      <c r="D2" s="2180">
        <v>40178</v>
      </c>
      <c r="E2" s="2180">
        <v>40268</v>
      </c>
      <c r="F2" s="2180">
        <v>40359</v>
      </c>
      <c r="G2" s="2180">
        <v>40451</v>
      </c>
      <c r="H2" s="2180">
        <v>40543</v>
      </c>
      <c r="I2" s="2180">
        <v>40633</v>
      </c>
      <c r="J2" s="2180">
        <v>40724</v>
      </c>
      <c r="K2" s="2180">
        <v>40816</v>
      </c>
      <c r="L2" s="2180">
        <v>40908</v>
      </c>
      <c r="M2" s="2180">
        <v>40999</v>
      </c>
      <c r="N2" s="2180">
        <v>41090</v>
      </c>
      <c r="O2" s="2180">
        <v>41182</v>
      </c>
      <c r="P2" s="2180">
        <v>41274</v>
      </c>
      <c r="Q2" s="2180">
        <v>41364</v>
      </c>
      <c r="R2" s="2180">
        <v>41455</v>
      </c>
      <c r="S2" s="2180">
        <v>41547</v>
      </c>
      <c r="T2" s="5"/>
      <c r="U2" s="2180">
        <v>40178</v>
      </c>
      <c r="V2" s="2180">
        <v>40268</v>
      </c>
      <c r="W2" s="2180">
        <v>40359</v>
      </c>
      <c r="X2" s="2180">
        <v>40451</v>
      </c>
      <c r="Y2" s="2180">
        <v>40543</v>
      </c>
      <c r="Z2" s="2180">
        <v>40633</v>
      </c>
      <c r="AA2" s="2180">
        <v>40724</v>
      </c>
      <c r="AB2" s="2180">
        <v>40816</v>
      </c>
      <c r="AC2" s="2180">
        <v>40908</v>
      </c>
      <c r="AD2" s="2180">
        <v>40999</v>
      </c>
      <c r="AE2" s="2180">
        <v>41090</v>
      </c>
      <c r="AF2" s="2180">
        <v>41182</v>
      </c>
      <c r="AG2" s="2180">
        <v>41274</v>
      </c>
      <c r="AH2" s="2180">
        <v>41364</v>
      </c>
      <c r="AI2" s="2180">
        <v>41455</v>
      </c>
      <c r="AJ2" s="2180">
        <v>41547</v>
      </c>
      <c r="AK2" s="5"/>
      <c r="AL2" s="2180">
        <v>40178</v>
      </c>
      <c r="AM2" s="2180">
        <v>40268</v>
      </c>
      <c r="AN2" s="2180">
        <v>40359</v>
      </c>
      <c r="AO2" s="2180">
        <v>40451</v>
      </c>
      <c r="AP2" s="2180">
        <v>40543</v>
      </c>
      <c r="AQ2" s="2180">
        <v>40633</v>
      </c>
      <c r="AR2" s="2180">
        <v>40724</v>
      </c>
      <c r="AS2" s="2180">
        <v>40816</v>
      </c>
      <c r="AT2" s="2180">
        <v>40908</v>
      </c>
      <c r="AU2" s="2180">
        <v>40999</v>
      </c>
      <c r="AV2" s="2180">
        <v>41090</v>
      </c>
      <c r="AW2" s="2180">
        <v>41182</v>
      </c>
      <c r="AX2" s="2180">
        <v>41274</v>
      </c>
      <c r="AY2" s="2180">
        <v>41364</v>
      </c>
      <c r="AZ2" s="2180">
        <v>41455</v>
      </c>
      <c r="BA2" s="2180">
        <v>41547</v>
      </c>
      <c r="BB2" s="5"/>
    </row>
    <row r="3" spans="1:54">
      <c r="A3" s="124"/>
      <c r="B3" s="124"/>
      <c r="C3" s="7"/>
      <c r="D3" s="224" t="s">
        <v>452</v>
      </c>
      <c r="E3" s="224" t="s">
        <v>452</v>
      </c>
      <c r="F3" s="224" t="s">
        <v>452</v>
      </c>
      <c r="G3" s="224" t="s">
        <v>452</v>
      </c>
      <c r="H3" s="224" t="s">
        <v>452</v>
      </c>
      <c r="I3" s="224" t="s">
        <v>452</v>
      </c>
      <c r="J3" s="224" t="s">
        <v>452</v>
      </c>
      <c r="K3" s="224" t="s">
        <v>452</v>
      </c>
      <c r="L3" s="224" t="s">
        <v>452</v>
      </c>
      <c r="M3" s="224" t="s">
        <v>452</v>
      </c>
      <c r="N3" s="224" t="s">
        <v>452</v>
      </c>
      <c r="O3" s="224" t="s">
        <v>452</v>
      </c>
      <c r="P3" s="224" t="s">
        <v>452</v>
      </c>
      <c r="Q3" s="224" t="s">
        <v>452</v>
      </c>
      <c r="R3" s="224" t="s">
        <v>452</v>
      </c>
      <c r="S3" s="224" t="s">
        <v>452</v>
      </c>
      <c r="T3" s="7"/>
      <c r="U3" s="224" t="s">
        <v>344</v>
      </c>
      <c r="V3" s="224" t="s">
        <v>344</v>
      </c>
      <c r="W3" s="224" t="s">
        <v>344</v>
      </c>
      <c r="X3" s="224" t="s">
        <v>344</v>
      </c>
      <c r="Y3" s="224" t="s">
        <v>344</v>
      </c>
      <c r="Z3" s="224" t="s">
        <v>344</v>
      </c>
      <c r="AA3" s="224" t="s">
        <v>344</v>
      </c>
      <c r="AB3" s="224" t="s">
        <v>344</v>
      </c>
      <c r="AC3" s="224" t="s">
        <v>344</v>
      </c>
      <c r="AD3" s="224" t="s">
        <v>344</v>
      </c>
      <c r="AE3" s="224" t="s">
        <v>344</v>
      </c>
      <c r="AF3" s="224" t="s">
        <v>344</v>
      </c>
      <c r="AG3" s="224" t="s">
        <v>344</v>
      </c>
      <c r="AH3" s="224" t="s">
        <v>344</v>
      </c>
      <c r="AI3" s="224" t="s">
        <v>344</v>
      </c>
      <c r="AJ3" s="224" t="s">
        <v>344</v>
      </c>
      <c r="AK3" s="7"/>
      <c r="AL3" s="224" t="s">
        <v>476</v>
      </c>
      <c r="AM3" s="224" t="s">
        <v>476</v>
      </c>
      <c r="AN3" s="224" t="s">
        <v>476</v>
      </c>
      <c r="AO3" s="224" t="s">
        <v>476</v>
      </c>
      <c r="AP3" s="224" t="s">
        <v>476</v>
      </c>
      <c r="AQ3" s="224" t="s">
        <v>476</v>
      </c>
      <c r="AR3" s="224" t="s">
        <v>476</v>
      </c>
      <c r="AS3" s="224" t="s">
        <v>476</v>
      </c>
      <c r="AT3" s="224" t="s">
        <v>476</v>
      </c>
      <c r="AU3" s="224" t="s">
        <v>476</v>
      </c>
      <c r="AV3" s="224" t="s">
        <v>476</v>
      </c>
      <c r="AW3" s="224" t="s">
        <v>476</v>
      </c>
      <c r="AX3" s="224" t="s">
        <v>476</v>
      </c>
      <c r="AY3" s="224" t="s">
        <v>476</v>
      </c>
      <c r="AZ3" s="224" t="s">
        <v>476</v>
      </c>
      <c r="BA3" s="224" t="s">
        <v>476</v>
      </c>
      <c r="BB3" s="7"/>
    </row>
    <row r="4" spans="1:54">
      <c r="A4" s="11"/>
      <c r="B4" s="7"/>
      <c r="C4" s="7"/>
      <c r="D4" s="224"/>
      <c r="E4" s="224"/>
      <c r="F4" s="224"/>
      <c r="G4" s="224"/>
      <c r="H4" s="224"/>
      <c r="I4" s="224"/>
      <c r="J4" s="224"/>
      <c r="K4" s="224"/>
      <c r="L4" s="224"/>
      <c r="M4" s="224"/>
      <c r="N4" s="224"/>
      <c r="O4" s="224"/>
      <c r="P4" s="224"/>
      <c r="Q4" s="224"/>
      <c r="R4" s="224"/>
      <c r="S4" s="224"/>
      <c r="T4" s="7"/>
      <c r="U4" s="224"/>
      <c r="V4" s="224"/>
      <c r="W4" s="224"/>
      <c r="X4" s="224"/>
      <c r="Y4" s="224"/>
      <c r="Z4" s="224"/>
      <c r="AA4" s="224"/>
      <c r="AB4" s="224"/>
      <c r="AC4" s="224"/>
      <c r="AD4" s="224"/>
      <c r="AE4" s="224"/>
      <c r="AF4" s="224"/>
      <c r="AG4" s="224"/>
      <c r="AH4" s="224"/>
      <c r="AI4" s="224"/>
      <c r="AJ4" s="224"/>
      <c r="AK4" s="7"/>
      <c r="AL4" s="224"/>
      <c r="AM4" s="224"/>
      <c r="AN4" s="224"/>
      <c r="AO4" s="224"/>
      <c r="AP4" s="224"/>
      <c r="AQ4" s="224"/>
      <c r="AR4" s="224"/>
      <c r="AS4" s="224"/>
      <c r="AT4" s="224"/>
      <c r="AU4" s="224"/>
      <c r="AV4" s="224"/>
      <c r="AW4" s="224"/>
      <c r="AX4" s="224"/>
      <c r="AY4" s="224"/>
      <c r="AZ4" s="224"/>
      <c r="BA4" s="224"/>
      <c r="BB4" s="7"/>
    </row>
    <row r="5" spans="1:54">
      <c r="A5" s="11" t="s">
        <v>23</v>
      </c>
      <c r="B5" s="7" t="s">
        <v>4</v>
      </c>
      <c r="C5" s="7"/>
      <c r="D5" s="224">
        <v>67.118600000000001</v>
      </c>
      <c r="E5" s="224">
        <v>40.407400000000003</v>
      </c>
      <c r="F5" s="224">
        <v>43.438400000000001</v>
      </c>
      <c r="G5" s="224">
        <v>37.596899999999998</v>
      </c>
      <c r="H5" s="224">
        <v>34.693899999999999</v>
      </c>
      <c r="I5" s="224">
        <v>37.684800000000003</v>
      </c>
      <c r="J5" s="224">
        <v>34.2883</v>
      </c>
      <c r="K5" s="224">
        <v>46.813200000000002</v>
      </c>
      <c r="L5" s="224">
        <v>77.807199999999995</v>
      </c>
      <c r="M5" s="224">
        <v>72.294499999999999</v>
      </c>
      <c r="N5" s="224">
        <v>66.963700000000003</v>
      </c>
      <c r="O5" s="224" t="s">
        <v>72</v>
      </c>
      <c r="P5" s="224" t="s">
        <v>72</v>
      </c>
      <c r="Q5" s="224" t="s">
        <v>72</v>
      </c>
      <c r="R5" s="224" t="s">
        <v>72</v>
      </c>
      <c r="S5" s="224" t="s">
        <v>72</v>
      </c>
      <c r="T5" s="7"/>
      <c r="U5" s="224">
        <v>87.826099999999997</v>
      </c>
      <c r="V5" s="224">
        <v>34.170499999999997</v>
      </c>
      <c r="W5" s="224">
        <v>53.738799999999998</v>
      </c>
      <c r="X5" s="224">
        <v>11.8431</v>
      </c>
      <c r="Y5" s="224" t="s">
        <v>72</v>
      </c>
      <c r="Z5" s="224">
        <v>41.176499999999997</v>
      </c>
      <c r="AA5" s="224">
        <v>48.024000000000001</v>
      </c>
      <c r="AB5" s="224">
        <v>36.344299999999997</v>
      </c>
      <c r="AC5" s="224" t="s">
        <v>72</v>
      </c>
      <c r="AD5" s="224">
        <v>29.964199999999998</v>
      </c>
      <c r="AE5" s="224">
        <v>27.4818</v>
      </c>
      <c r="AF5" s="224" t="s">
        <v>72</v>
      </c>
      <c r="AG5" s="224">
        <v>40.627400000000002</v>
      </c>
      <c r="AH5" s="224">
        <v>38.636400000000002</v>
      </c>
      <c r="AI5" s="224">
        <v>25.463000000000001</v>
      </c>
      <c r="AJ5" s="224" t="s">
        <v>72</v>
      </c>
      <c r="AK5" s="7"/>
      <c r="AL5" s="224" t="e">
        <v>#NAME?</v>
      </c>
      <c r="AM5" s="224">
        <v>6371</v>
      </c>
      <c r="AN5" s="224">
        <v>6527</v>
      </c>
      <c r="AO5" s="224">
        <v>6871</v>
      </c>
      <c r="AP5" s="224">
        <v>6373</v>
      </c>
      <c r="AQ5" s="224">
        <v>6038</v>
      </c>
      <c r="AR5" s="224">
        <v>6102</v>
      </c>
      <c r="AS5" s="224">
        <v>6431</v>
      </c>
      <c r="AT5" s="224">
        <v>6095</v>
      </c>
      <c r="AU5" s="224">
        <v>6401</v>
      </c>
      <c r="AV5" s="224">
        <v>7282</v>
      </c>
      <c r="AW5" s="224">
        <v>7820</v>
      </c>
      <c r="AX5" s="224">
        <v>7280</v>
      </c>
      <c r="AY5" s="224">
        <v>7113</v>
      </c>
      <c r="AZ5" s="224">
        <v>7131</v>
      </c>
      <c r="BA5" s="224" t="s">
        <v>72</v>
      </c>
      <c r="BB5" s="7"/>
    </row>
    <row r="6" spans="1:54">
      <c r="A6" s="11" t="s">
        <v>21</v>
      </c>
      <c r="B6" s="7" t="s">
        <v>3</v>
      </c>
      <c r="C6" s="7"/>
      <c r="D6" s="224">
        <v>10.728999999999999</v>
      </c>
      <c r="E6" s="224">
        <v>11.5832</v>
      </c>
      <c r="F6" s="224">
        <v>6.343</v>
      </c>
      <c r="G6" s="224">
        <v>18.922000000000001</v>
      </c>
      <c r="H6" s="224">
        <v>19.229199999999999</v>
      </c>
      <c r="I6" s="224">
        <v>13.4961</v>
      </c>
      <c r="J6" s="224" t="s">
        <v>72</v>
      </c>
      <c r="K6" s="224" t="s">
        <v>72</v>
      </c>
      <c r="L6" s="224" t="s">
        <v>72</v>
      </c>
      <c r="M6" s="224" t="s">
        <v>72</v>
      </c>
      <c r="N6" s="224" t="s">
        <v>72</v>
      </c>
      <c r="O6" s="224" t="s">
        <v>72</v>
      </c>
      <c r="P6" s="224">
        <v>57.476399999999998</v>
      </c>
      <c r="Q6" s="224">
        <v>55.660699999999999</v>
      </c>
      <c r="R6" s="224">
        <v>51.947099999999999</v>
      </c>
      <c r="S6" s="224" t="s">
        <v>72</v>
      </c>
      <c r="T6" s="7"/>
      <c r="U6" s="224">
        <v>8.7591000000000001</v>
      </c>
      <c r="V6" s="224">
        <v>22.1843</v>
      </c>
      <c r="W6" s="224">
        <v>21.305800000000001</v>
      </c>
      <c r="X6" s="224">
        <v>19.900500000000001</v>
      </c>
      <c r="Y6" s="224" t="s">
        <v>72</v>
      </c>
      <c r="Z6" s="224" t="s">
        <v>72</v>
      </c>
      <c r="AA6" s="224">
        <v>36.305700000000002</v>
      </c>
      <c r="AB6" s="224" t="s">
        <v>72</v>
      </c>
      <c r="AC6" s="224" t="s">
        <v>72</v>
      </c>
      <c r="AD6" s="224">
        <v>22.607299999999999</v>
      </c>
      <c r="AE6" s="224">
        <v>22.5</v>
      </c>
      <c r="AF6" s="224">
        <v>19.299700000000001</v>
      </c>
      <c r="AG6" s="224">
        <v>556.88620000000003</v>
      </c>
      <c r="AH6" s="224">
        <v>20.714300000000001</v>
      </c>
      <c r="AI6" s="224">
        <v>16.267900000000001</v>
      </c>
      <c r="AJ6" s="224" t="s">
        <v>72</v>
      </c>
      <c r="AK6" s="7"/>
      <c r="AL6" s="224">
        <v>123.732</v>
      </c>
      <c r="AM6" s="224">
        <v>125.2</v>
      </c>
      <c r="AN6" s="224">
        <v>127.2</v>
      </c>
      <c r="AO6" s="224">
        <v>129.4</v>
      </c>
      <c r="AP6" s="224">
        <v>131.57599999999999</v>
      </c>
      <c r="AQ6" s="224">
        <v>131</v>
      </c>
      <c r="AR6" s="224">
        <v>132.19999999999999</v>
      </c>
      <c r="AS6" s="224">
        <v>128.30000000000001</v>
      </c>
      <c r="AT6" s="224">
        <v>128.976</v>
      </c>
      <c r="AU6" s="224">
        <v>132.19999999999999</v>
      </c>
      <c r="AV6" s="224">
        <v>134.5</v>
      </c>
      <c r="AW6" s="224">
        <v>133.30000000000001</v>
      </c>
      <c r="AX6" s="224">
        <v>138.96600000000001</v>
      </c>
      <c r="AY6" s="224">
        <v>164.4</v>
      </c>
      <c r="AZ6" s="224">
        <v>168.3</v>
      </c>
      <c r="BA6" s="224" t="s">
        <v>72</v>
      </c>
      <c r="BB6" s="7"/>
    </row>
    <row r="7" spans="1:54">
      <c r="A7" s="690" t="s">
        <v>20</v>
      </c>
      <c r="B7" s="692" t="s">
        <v>16</v>
      </c>
      <c r="C7" s="692"/>
      <c r="D7" s="693">
        <v>21.066400000000002</v>
      </c>
      <c r="E7" s="693">
        <v>15.276899999999999</v>
      </c>
      <c r="F7" s="693">
        <v>15.7829</v>
      </c>
      <c r="G7" s="693">
        <v>15.041399999999999</v>
      </c>
      <c r="H7" s="693">
        <v>15.369400000000001</v>
      </c>
      <c r="I7" s="693">
        <v>21.240600000000001</v>
      </c>
      <c r="J7" s="693">
        <v>22.003699999999998</v>
      </c>
      <c r="K7" s="693">
        <v>21.702500000000001</v>
      </c>
      <c r="L7" s="693">
        <v>25.2896</v>
      </c>
      <c r="M7" s="693">
        <v>25.405899999999999</v>
      </c>
      <c r="N7" s="693">
        <v>24.4422</v>
      </c>
      <c r="O7" s="693">
        <v>22.808900000000001</v>
      </c>
      <c r="P7" s="693">
        <v>19.514900000000001</v>
      </c>
      <c r="Q7" s="693">
        <v>18.893999999999998</v>
      </c>
      <c r="R7" s="693">
        <v>18.626300000000001</v>
      </c>
      <c r="S7" s="693" t="s">
        <v>72</v>
      </c>
      <c r="T7" s="692"/>
      <c r="U7" s="693">
        <v>12.766</v>
      </c>
      <c r="V7" s="693">
        <v>9.6044999999999998</v>
      </c>
      <c r="W7" s="693">
        <v>23.616199999999999</v>
      </c>
      <c r="X7" s="693">
        <v>23.754799999999999</v>
      </c>
      <c r="Y7" s="693">
        <v>14.1304</v>
      </c>
      <c r="Z7" s="693">
        <v>23.828099999999999</v>
      </c>
      <c r="AA7" s="693">
        <v>26.545500000000001</v>
      </c>
      <c r="AB7" s="693">
        <v>22.519100000000002</v>
      </c>
      <c r="AC7" s="693">
        <v>28.395099999999999</v>
      </c>
      <c r="AD7" s="693">
        <v>24.3446</v>
      </c>
      <c r="AE7" s="693">
        <v>22.4299</v>
      </c>
      <c r="AF7" s="693">
        <v>15.246600000000001</v>
      </c>
      <c r="AG7" s="693">
        <v>14.7783</v>
      </c>
      <c r="AH7" s="693">
        <v>22.806999999999999</v>
      </c>
      <c r="AI7" s="693">
        <v>21.4634</v>
      </c>
      <c r="AJ7" s="693" t="s">
        <v>72</v>
      </c>
      <c r="AK7" s="692"/>
      <c r="AL7" s="693">
        <v>677</v>
      </c>
      <c r="AM7" s="693">
        <v>654</v>
      </c>
      <c r="AN7" s="693">
        <v>629</v>
      </c>
      <c r="AO7" s="693">
        <v>599</v>
      </c>
      <c r="AP7" s="693">
        <v>565</v>
      </c>
      <c r="AQ7" s="693">
        <v>540</v>
      </c>
      <c r="AR7" s="693">
        <v>513</v>
      </c>
      <c r="AS7" s="693">
        <v>491</v>
      </c>
      <c r="AT7" s="693">
        <v>479</v>
      </c>
      <c r="AU7" s="693">
        <v>454</v>
      </c>
      <c r="AV7" s="693">
        <v>437</v>
      </c>
      <c r="AW7" s="693">
        <v>420</v>
      </c>
      <c r="AX7" s="693">
        <v>402</v>
      </c>
      <c r="AY7" s="693">
        <v>548</v>
      </c>
      <c r="AZ7" s="693">
        <v>528</v>
      </c>
      <c r="BA7" s="693" t="s">
        <v>72</v>
      </c>
      <c r="BB7" s="692"/>
    </row>
    <row r="8" spans="1:54">
      <c r="A8" s="690" t="s">
        <v>20</v>
      </c>
      <c r="B8" s="692" t="s">
        <v>2</v>
      </c>
      <c r="C8" s="692"/>
      <c r="D8" s="693">
        <v>34.598799999999997</v>
      </c>
      <c r="E8" s="693" t="s">
        <v>72</v>
      </c>
      <c r="F8" s="693">
        <v>33.818399999999997</v>
      </c>
      <c r="G8" s="693" t="s">
        <v>72</v>
      </c>
      <c r="H8" s="693">
        <v>29.442399999999999</v>
      </c>
      <c r="I8" s="693" t="s">
        <v>72</v>
      </c>
      <c r="J8" s="693">
        <v>30.2895</v>
      </c>
      <c r="K8" s="693" t="s">
        <v>72</v>
      </c>
      <c r="L8" s="693">
        <v>32.794400000000003</v>
      </c>
      <c r="M8" s="693" t="s">
        <v>72</v>
      </c>
      <c r="N8" s="693">
        <v>32.5931</v>
      </c>
      <c r="O8" s="693" t="s">
        <v>72</v>
      </c>
      <c r="P8" s="693">
        <v>30.233000000000001</v>
      </c>
      <c r="Q8" s="693" t="s">
        <v>72</v>
      </c>
      <c r="R8" s="693">
        <v>29.268999999999998</v>
      </c>
      <c r="S8" s="693" t="s">
        <v>72</v>
      </c>
      <c r="T8" s="692"/>
      <c r="U8" s="693">
        <v>35.139499999999998</v>
      </c>
      <c r="V8" s="693" t="s">
        <v>72</v>
      </c>
      <c r="W8" s="693">
        <v>32.448999999999998</v>
      </c>
      <c r="X8" s="693" t="s">
        <v>72</v>
      </c>
      <c r="Y8" s="693">
        <v>26.122900000000001</v>
      </c>
      <c r="Z8" s="693" t="s">
        <v>72</v>
      </c>
      <c r="AA8" s="693">
        <v>34.461399999999998</v>
      </c>
      <c r="AB8" s="693" t="s">
        <v>72</v>
      </c>
      <c r="AC8" s="693">
        <v>30.8445</v>
      </c>
      <c r="AD8" s="693" t="s">
        <v>72</v>
      </c>
      <c r="AE8" s="693">
        <v>34.460900000000002</v>
      </c>
      <c r="AF8" s="693" t="s">
        <v>72</v>
      </c>
      <c r="AG8" s="693">
        <v>25.404399999999999</v>
      </c>
      <c r="AH8" s="693" t="s">
        <v>72</v>
      </c>
      <c r="AI8" s="693">
        <v>34.738</v>
      </c>
      <c r="AJ8" s="693" t="s">
        <v>72</v>
      </c>
      <c r="AK8" s="692"/>
      <c r="AL8" s="693" t="s">
        <v>72</v>
      </c>
      <c r="AM8" s="693" t="s">
        <v>72</v>
      </c>
      <c r="AN8" s="693" t="s">
        <v>72</v>
      </c>
      <c r="AO8" s="693" t="s">
        <v>72</v>
      </c>
      <c r="AP8" s="693" t="s">
        <v>72</v>
      </c>
      <c r="AQ8" s="693" t="s">
        <v>72</v>
      </c>
      <c r="AR8" s="693" t="s">
        <v>72</v>
      </c>
      <c r="AS8" s="693" t="s">
        <v>72</v>
      </c>
      <c r="AT8" s="693" t="s">
        <v>72</v>
      </c>
      <c r="AU8" s="693" t="s">
        <v>72</v>
      </c>
      <c r="AV8" s="693" t="s">
        <v>72</v>
      </c>
      <c r="AW8" s="693" t="s">
        <v>72</v>
      </c>
      <c r="AX8" s="693" t="s">
        <v>72</v>
      </c>
      <c r="AY8" s="693" t="s">
        <v>72</v>
      </c>
      <c r="AZ8" s="693" t="s">
        <v>72</v>
      </c>
      <c r="BA8" s="693" t="s">
        <v>72</v>
      </c>
      <c r="BB8" s="692"/>
    </row>
    <row r="9" spans="1:54">
      <c r="A9" s="690" t="s">
        <v>20</v>
      </c>
      <c r="B9" s="692" t="s">
        <v>18</v>
      </c>
      <c r="C9" s="692"/>
      <c r="D9" s="693" t="s">
        <v>72</v>
      </c>
      <c r="E9" s="693" t="s">
        <v>72</v>
      </c>
      <c r="F9" s="693" t="s">
        <v>72</v>
      </c>
      <c r="G9" s="693" t="s">
        <v>72</v>
      </c>
      <c r="H9" s="693">
        <v>39.032200000000003</v>
      </c>
      <c r="I9" s="693">
        <v>40.9163</v>
      </c>
      <c r="J9" s="693">
        <v>39.574100000000001</v>
      </c>
      <c r="K9" s="693">
        <v>42.3902</v>
      </c>
      <c r="L9" s="693">
        <v>68.696200000000005</v>
      </c>
      <c r="M9" s="693">
        <v>348.63740000000001</v>
      </c>
      <c r="N9" s="693">
        <v>30370.909100000001</v>
      </c>
      <c r="O9" s="693">
        <v>56.3812</v>
      </c>
      <c r="P9" s="693">
        <v>50.668599999999998</v>
      </c>
      <c r="Q9" s="693">
        <v>39.201599999999999</v>
      </c>
      <c r="R9" s="693">
        <v>34.442599999999999</v>
      </c>
      <c r="S9" s="693" t="s">
        <v>72</v>
      </c>
      <c r="T9" s="692"/>
      <c r="U9" s="693" t="s">
        <v>72</v>
      </c>
      <c r="V9" s="693">
        <v>27.717400000000001</v>
      </c>
      <c r="W9" s="693">
        <v>61.9161</v>
      </c>
      <c r="X9" s="693">
        <v>48.1633</v>
      </c>
      <c r="Y9" s="693">
        <v>25.8795</v>
      </c>
      <c r="Z9" s="693">
        <v>41.369900000000001</v>
      </c>
      <c r="AA9" s="693">
        <v>47.2074</v>
      </c>
      <c r="AB9" s="693" t="s">
        <v>72</v>
      </c>
      <c r="AC9" s="693">
        <v>68.7012</v>
      </c>
      <c r="AD9" s="693">
        <v>50.8065</v>
      </c>
      <c r="AE9" s="693">
        <v>47.107399999999998</v>
      </c>
      <c r="AF9" s="693">
        <v>64.534899999999993</v>
      </c>
      <c r="AG9" s="693" t="s">
        <v>72</v>
      </c>
      <c r="AH9" s="693">
        <v>30.434799999999999</v>
      </c>
      <c r="AI9" s="693">
        <v>32.958799999999997</v>
      </c>
      <c r="AJ9" s="693" t="s">
        <v>72</v>
      </c>
      <c r="AK9" s="692"/>
      <c r="AL9" s="693">
        <v>10.774000000000001</v>
      </c>
      <c r="AM9" s="693" t="s">
        <v>72</v>
      </c>
      <c r="AN9" s="693" t="s">
        <v>72</v>
      </c>
      <c r="AO9" s="693" t="s">
        <v>72</v>
      </c>
      <c r="AP9" s="693">
        <v>9.4380000000000006</v>
      </c>
      <c r="AQ9" s="693" t="s">
        <v>72</v>
      </c>
      <c r="AR9" s="693">
        <v>9.14</v>
      </c>
      <c r="AS9" s="693" t="s">
        <v>72</v>
      </c>
      <c r="AT9" s="693">
        <v>10.62</v>
      </c>
      <c r="AU9" s="693" t="s">
        <v>72</v>
      </c>
      <c r="AV9" s="693">
        <v>9.93</v>
      </c>
      <c r="AW9" s="693" t="s">
        <v>72</v>
      </c>
      <c r="AX9" s="693">
        <v>7.6820000000000004</v>
      </c>
      <c r="AY9" s="693" t="s">
        <v>72</v>
      </c>
      <c r="AZ9" s="693">
        <v>14.223000000000001</v>
      </c>
      <c r="BA9" s="693" t="e">
        <v>#NAME?</v>
      </c>
      <c r="BB9" s="692"/>
    </row>
    <row r="10" spans="1:54">
      <c r="A10" s="11" t="s">
        <v>22</v>
      </c>
      <c r="B10" s="7" t="s">
        <v>13</v>
      </c>
      <c r="C10" s="7"/>
      <c r="D10" s="224">
        <v>29.2058</v>
      </c>
      <c r="E10" s="224">
        <v>28.5352</v>
      </c>
      <c r="F10" s="224">
        <v>28.921099999999999</v>
      </c>
      <c r="G10" s="224">
        <v>29.731100000000001</v>
      </c>
      <c r="H10" s="224">
        <v>30.239799999999999</v>
      </c>
      <c r="I10" s="224">
        <v>33.165300000000002</v>
      </c>
      <c r="J10" s="224">
        <v>31.558</v>
      </c>
      <c r="K10" s="224">
        <v>29.662800000000001</v>
      </c>
      <c r="L10" s="224">
        <v>28.676500000000001</v>
      </c>
      <c r="M10" s="224">
        <v>23.600300000000001</v>
      </c>
      <c r="N10" s="224">
        <v>24.126100000000001</v>
      </c>
      <c r="O10" s="224">
        <v>14.92</v>
      </c>
      <c r="P10" s="224">
        <v>13.3866</v>
      </c>
      <c r="Q10" s="224">
        <v>16.2273</v>
      </c>
      <c r="R10" s="224">
        <v>1.7166999999999999</v>
      </c>
      <c r="S10" s="224" t="s">
        <v>72</v>
      </c>
      <c r="T10" s="7"/>
      <c r="U10" s="224" t="s">
        <v>72</v>
      </c>
      <c r="V10" s="224">
        <v>14.2149</v>
      </c>
      <c r="W10" s="224">
        <v>35.398200000000003</v>
      </c>
      <c r="X10" s="224">
        <v>36.134500000000003</v>
      </c>
      <c r="Y10" s="224">
        <v>32.7913</v>
      </c>
      <c r="Z10" s="224">
        <v>29.246200000000002</v>
      </c>
      <c r="AA10" s="224">
        <v>30.4619</v>
      </c>
      <c r="AB10" s="224">
        <v>28.499199999999998</v>
      </c>
      <c r="AC10" s="224">
        <v>26.819099999999999</v>
      </c>
      <c r="AD10" s="224">
        <v>14.2112</v>
      </c>
      <c r="AE10" s="224">
        <v>31.702300000000001</v>
      </c>
      <c r="AF10" s="224" t="s">
        <v>72</v>
      </c>
      <c r="AG10" s="224">
        <v>21.200500000000002</v>
      </c>
      <c r="AH10" s="224">
        <v>26.0349</v>
      </c>
      <c r="AI10" s="224" t="s">
        <v>72</v>
      </c>
      <c r="AJ10" s="224" t="s">
        <v>72</v>
      </c>
      <c r="AK10" s="7"/>
      <c r="AL10" s="224">
        <v>244</v>
      </c>
      <c r="AM10" s="224">
        <v>258</v>
      </c>
      <c r="AN10" s="224">
        <v>342</v>
      </c>
      <c r="AO10" s="224">
        <v>47</v>
      </c>
      <c r="AP10" s="224">
        <v>73</v>
      </c>
      <c r="AQ10" s="224">
        <v>72</v>
      </c>
      <c r="AR10" s="224">
        <v>72</v>
      </c>
      <c r="AS10" s="224">
        <v>72</v>
      </c>
      <c r="AT10" s="224">
        <v>99</v>
      </c>
      <c r="AU10" s="224">
        <v>102</v>
      </c>
      <c r="AV10" s="224">
        <v>94</v>
      </c>
      <c r="AW10" s="224">
        <v>93</v>
      </c>
      <c r="AX10" s="224">
        <v>99</v>
      </c>
      <c r="AY10" s="224">
        <v>85</v>
      </c>
      <c r="AZ10" s="224">
        <v>76</v>
      </c>
      <c r="BA10" s="224" t="s">
        <v>72</v>
      </c>
      <c r="BB10" s="7"/>
    </row>
    <row r="11" spans="1:54">
      <c r="A11" s="12" t="s">
        <v>28</v>
      </c>
      <c r="B11" s="7" t="s">
        <v>9</v>
      </c>
      <c r="C11" s="7"/>
      <c r="D11" s="224">
        <v>23.589300000000001</v>
      </c>
      <c r="E11" s="224">
        <v>23.463100000000001</v>
      </c>
      <c r="F11" s="224">
        <v>22.255299999999998</v>
      </c>
      <c r="G11" s="224">
        <v>20.499500000000001</v>
      </c>
      <c r="H11" s="224">
        <v>27.544799999999999</v>
      </c>
      <c r="I11" s="224">
        <v>27.508900000000001</v>
      </c>
      <c r="J11" s="224">
        <v>27.6586</v>
      </c>
      <c r="K11" s="224">
        <v>34.465600000000002</v>
      </c>
      <c r="L11" s="224">
        <v>4.6375000000000002</v>
      </c>
      <c r="M11" s="224" t="s">
        <v>72</v>
      </c>
      <c r="N11" s="224" t="s">
        <v>72</v>
      </c>
      <c r="O11" s="224">
        <v>7.7481999999999998</v>
      </c>
      <c r="P11" s="224">
        <v>24.9147</v>
      </c>
      <c r="Q11" s="224">
        <v>24.925799999999999</v>
      </c>
      <c r="R11" s="224">
        <v>22.389099999999999</v>
      </c>
      <c r="S11" s="224" t="s">
        <v>72</v>
      </c>
      <c r="T11" s="7"/>
      <c r="U11" s="224">
        <v>6.6947000000000001</v>
      </c>
      <c r="V11" s="224">
        <v>29.837</v>
      </c>
      <c r="W11" s="224">
        <v>24.783100000000001</v>
      </c>
      <c r="X11" s="224">
        <v>20.204799999999999</v>
      </c>
      <c r="Y11" s="224">
        <v>50.343600000000002</v>
      </c>
      <c r="Z11" s="224">
        <v>29.569500000000001</v>
      </c>
      <c r="AA11" s="224">
        <v>24.8262</v>
      </c>
      <c r="AB11" s="224" t="s">
        <v>72</v>
      </c>
      <c r="AC11" s="224" t="s">
        <v>72</v>
      </c>
      <c r="AD11" s="224">
        <v>33.085799999999999</v>
      </c>
      <c r="AE11" s="224">
        <v>27.880299999999998</v>
      </c>
      <c r="AF11" s="224">
        <v>21.091699999999999</v>
      </c>
      <c r="AG11" s="224">
        <v>13.5526</v>
      </c>
      <c r="AH11" s="224">
        <v>31.985800000000001</v>
      </c>
      <c r="AI11" s="224">
        <v>19.544</v>
      </c>
      <c r="AJ11" s="224" t="s">
        <v>72</v>
      </c>
      <c r="AK11" s="7"/>
      <c r="AL11" s="224">
        <v>4261</v>
      </c>
      <c r="AM11" s="224" t="s">
        <v>72</v>
      </c>
      <c r="AN11" s="224" t="s">
        <v>72</v>
      </c>
      <c r="AO11" s="224" t="s">
        <v>72</v>
      </c>
      <c r="AP11" s="224">
        <v>3890</v>
      </c>
      <c r="AQ11" s="224" t="s">
        <v>72</v>
      </c>
      <c r="AR11" s="224" t="s">
        <v>72</v>
      </c>
      <c r="AS11" s="224" t="s">
        <v>72</v>
      </c>
      <c r="AT11" s="224">
        <v>5806</v>
      </c>
      <c r="AU11" s="224" t="s">
        <v>72</v>
      </c>
      <c r="AV11" s="224" t="s">
        <v>72</v>
      </c>
      <c r="AW11" s="224" t="s">
        <v>72</v>
      </c>
      <c r="AX11" s="224">
        <v>894</v>
      </c>
      <c r="AY11" s="224" t="s">
        <v>72</v>
      </c>
      <c r="AZ11" s="224" t="s">
        <v>72</v>
      </c>
      <c r="BA11" s="224" t="s">
        <v>72</v>
      </c>
      <c r="BB11" s="7"/>
    </row>
    <row r="12" spans="1:54">
      <c r="A12" s="11" t="s">
        <v>73</v>
      </c>
      <c r="B12" s="11" t="s">
        <v>84</v>
      </c>
      <c r="C12" s="7"/>
      <c r="D12" s="224">
        <v>24.648800000000001</v>
      </c>
      <c r="E12" s="224">
        <v>24.633900000000001</v>
      </c>
      <c r="F12" s="224">
        <v>24.9071</v>
      </c>
      <c r="G12" s="224">
        <v>25.267700000000001</v>
      </c>
      <c r="H12" s="224">
        <v>23.642800000000001</v>
      </c>
      <c r="I12" s="224">
        <v>24.592199999999998</v>
      </c>
      <c r="J12" s="224">
        <v>24.743500000000001</v>
      </c>
      <c r="K12" s="224">
        <v>24.354500000000002</v>
      </c>
      <c r="L12" s="224">
        <v>24.085899999999999</v>
      </c>
      <c r="M12" s="224">
        <v>23.119900000000001</v>
      </c>
      <c r="N12" s="224">
        <v>22.547599999999999</v>
      </c>
      <c r="O12" s="224">
        <v>22.2944</v>
      </c>
      <c r="P12" s="224">
        <v>22.4619</v>
      </c>
      <c r="Q12" s="224">
        <v>23.0946</v>
      </c>
      <c r="R12" s="224">
        <v>23.4635</v>
      </c>
      <c r="S12" s="224" t="s">
        <v>72</v>
      </c>
      <c r="T12" s="7"/>
      <c r="U12" s="224">
        <v>27.0945</v>
      </c>
      <c r="V12" s="224">
        <v>14.433</v>
      </c>
      <c r="W12" s="224">
        <v>25.1418</v>
      </c>
      <c r="X12" s="224">
        <v>25.4038</v>
      </c>
      <c r="Y12" s="224">
        <v>21.988</v>
      </c>
      <c r="Z12" s="224">
        <v>26.124600000000001</v>
      </c>
      <c r="AA12" s="224">
        <v>25.695599999999999</v>
      </c>
      <c r="AB12" s="224">
        <v>23.9892</v>
      </c>
      <c r="AC12" s="224">
        <v>21.191099999999999</v>
      </c>
      <c r="AD12" s="224">
        <v>21.767600000000002</v>
      </c>
      <c r="AE12" s="224">
        <v>23.1355</v>
      </c>
      <c r="AF12" s="224">
        <v>23.017900000000001</v>
      </c>
      <c r="AG12" s="224">
        <v>21.752700000000001</v>
      </c>
      <c r="AH12" s="224">
        <v>24.765499999999999</v>
      </c>
      <c r="AI12" s="224">
        <v>24.644500000000001</v>
      </c>
      <c r="AJ12" s="224" t="s">
        <v>72</v>
      </c>
      <c r="AK12" s="7"/>
      <c r="AL12" s="224">
        <v>0.8</v>
      </c>
      <c r="AM12" s="224" t="s">
        <v>72</v>
      </c>
      <c r="AN12" s="224">
        <v>0.7</v>
      </c>
      <c r="AO12" s="224">
        <v>0.7</v>
      </c>
      <c r="AP12" s="224">
        <v>1.2</v>
      </c>
      <c r="AQ12" s="224">
        <v>1.2</v>
      </c>
      <c r="AR12" s="224">
        <v>1.2</v>
      </c>
      <c r="AS12" s="224">
        <v>1.2</v>
      </c>
      <c r="AT12" s="224">
        <v>1.2</v>
      </c>
      <c r="AU12" s="224">
        <v>1.2</v>
      </c>
      <c r="AV12" s="224">
        <v>1.2</v>
      </c>
      <c r="AW12" s="224">
        <v>1.2</v>
      </c>
      <c r="AX12" s="224">
        <v>1.2</v>
      </c>
      <c r="AY12" s="224">
        <v>7.3</v>
      </c>
      <c r="AZ12" s="224">
        <v>7.5</v>
      </c>
      <c r="BA12" s="224" t="s">
        <v>72</v>
      </c>
      <c r="BB12" s="7"/>
    </row>
    <row r="13" spans="1:54">
      <c r="A13" s="11" t="s">
        <v>19</v>
      </c>
      <c r="B13" s="7" t="s">
        <v>33</v>
      </c>
      <c r="C13" s="7"/>
      <c r="D13" s="224">
        <v>38.398400000000002</v>
      </c>
      <c r="E13" s="224" t="s">
        <v>72</v>
      </c>
      <c r="F13" s="224">
        <v>38.638300000000001</v>
      </c>
      <c r="G13" s="224" t="s">
        <v>72</v>
      </c>
      <c r="H13" s="224">
        <v>36.0169</v>
      </c>
      <c r="I13" s="224" t="s">
        <v>72</v>
      </c>
      <c r="J13" s="224">
        <v>35.371899999999997</v>
      </c>
      <c r="K13" s="224" t="s">
        <v>72</v>
      </c>
      <c r="L13" s="224">
        <v>38.993299999999998</v>
      </c>
      <c r="M13" s="224" t="s">
        <v>72</v>
      </c>
      <c r="N13" s="224">
        <v>41.3825</v>
      </c>
      <c r="O13" s="224" t="s">
        <v>72</v>
      </c>
      <c r="P13" s="224">
        <v>41.011200000000002</v>
      </c>
      <c r="Q13" s="224" t="s">
        <v>72</v>
      </c>
      <c r="R13" s="224">
        <v>40.208599999999997</v>
      </c>
      <c r="S13" s="224" t="s">
        <v>72</v>
      </c>
      <c r="T13" s="7"/>
      <c r="U13" s="224">
        <v>40.664700000000003</v>
      </c>
      <c r="V13" s="224" t="s">
        <v>72</v>
      </c>
      <c r="W13" s="224">
        <v>37.341000000000001</v>
      </c>
      <c r="X13" s="224" t="s">
        <v>72</v>
      </c>
      <c r="Y13" s="224">
        <v>34.339199999999998</v>
      </c>
      <c r="Z13" s="224" t="s">
        <v>72</v>
      </c>
      <c r="AA13" s="224">
        <v>36.346899999999998</v>
      </c>
      <c r="AB13" s="224" t="s">
        <v>72</v>
      </c>
      <c r="AC13" s="224">
        <v>42.28</v>
      </c>
      <c r="AD13" s="224" t="s">
        <v>72</v>
      </c>
      <c r="AE13" s="224">
        <v>40.139499999999998</v>
      </c>
      <c r="AF13" s="224" t="s">
        <v>72</v>
      </c>
      <c r="AG13" s="224">
        <v>41.660400000000003</v>
      </c>
      <c r="AH13" s="224" t="s">
        <v>72</v>
      </c>
      <c r="AI13" s="224">
        <v>39.095399999999998</v>
      </c>
      <c r="AJ13" s="224" t="s">
        <v>72</v>
      </c>
      <c r="AK13" s="7"/>
      <c r="AL13" s="224">
        <v>1.256</v>
      </c>
      <c r="AM13" s="224" t="s">
        <v>72</v>
      </c>
      <c r="AN13" s="224" t="s">
        <v>72</v>
      </c>
      <c r="AO13" s="224" t="s">
        <v>72</v>
      </c>
      <c r="AP13" s="224">
        <v>1.8740000000000001</v>
      </c>
      <c r="AQ13" s="224" t="s">
        <v>72</v>
      </c>
      <c r="AR13" s="224" t="s">
        <v>72</v>
      </c>
      <c r="AS13" s="224" t="s">
        <v>72</v>
      </c>
      <c r="AT13" s="224">
        <v>2.62</v>
      </c>
      <c r="AU13" s="224" t="s">
        <v>72</v>
      </c>
      <c r="AV13" s="224" t="s">
        <v>72</v>
      </c>
      <c r="AW13" s="224" t="s">
        <v>72</v>
      </c>
      <c r="AX13" s="224">
        <v>4.4219999999999997</v>
      </c>
      <c r="AY13" s="224" t="s">
        <v>72</v>
      </c>
      <c r="AZ13" s="224" t="s">
        <v>72</v>
      </c>
      <c r="BA13" s="224" t="s">
        <v>72</v>
      </c>
      <c r="BB13" s="7"/>
    </row>
    <row r="14" spans="1:54">
      <c r="A14" s="11" t="s">
        <v>19</v>
      </c>
      <c r="B14" s="7" t="s">
        <v>74</v>
      </c>
      <c r="C14" s="7"/>
      <c r="D14" s="224">
        <v>41.183</v>
      </c>
      <c r="E14" s="224" t="s">
        <v>72</v>
      </c>
      <c r="F14" s="224">
        <v>36.009900000000002</v>
      </c>
      <c r="G14" s="224" t="s">
        <v>72</v>
      </c>
      <c r="H14" s="224">
        <v>31.5534</v>
      </c>
      <c r="I14" s="224" t="s">
        <v>72</v>
      </c>
      <c r="J14" s="224">
        <v>39.255299999999998</v>
      </c>
      <c r="K14" s="224" t="s">
        <v>72</v>
      </c>
      <c r="L14" s="224">
        <v>35.283200000000001</v>
      </c>
      <c r="M14" s="224" t="s">
        <v>72</v>
      </c>
      <c r="N14" s="224">
        <v>33.455100000000002</v>
      </c>
      <c r="O14" s="224" t="s">
        <v>72</v>
      </c>
      <c r="P14" s="224">
        <v>52.719499999999996</v>
      </c>
      <c r="Q14" s="224" t="s">
        <v>72</v>
      </c>
      <c r="R14" s="224">
        <v>75.779399999999995</v>
      </c>
      <c r="S14" s="224" t="s">
        <v>72</v>
      </c>
      <c r="T14" s="7"/>
      <c r="U14" s="224">
        <v>64.783199999999994</v>
      </c>
      <c r="V14" s="224" t="s">
        <v>72</v>
      </c>
      <c r="W14" s="224">
        <v>24.319299999999998</v>
      </c>
      <c r="X14" s="224" t="s">
        <v>72</v>
      </c>
      <c r="Y14" s="224">
        <v>46.4758</v>
      </c>
      <c r="Z14" s="224" t="s">
        <v>72</v>
      </c>
      <c r="AA14" s="224">
        <v>35.1995</v>
      </c>
      <c r="AB14" s="224" t="s">
        <v>72</v>
      </c>
      <c r="AC14" s="224">
        <v>35.384</v>
      </c>
      <c r="AD14" s="224" t="s">
        <v>72</v>
      </c>
      <c r="AE14" s="224">
        <v>31.601600000000001</v>
      </c>
      <c r="AF14" s="224" t="s">
        <v>72</v>
      </c>
      <c r="AG14" s="224" t="s">
        <v>72</v>
      </c>
      <c r="AH14" s="224" t="s">
        <v>72</v>
      </c>
      <c r="AI14" s="224">
        <v>43.079099999999997</v>
      </c>
      <c r="AJ14" s="224" t="s">
        <v>72</v>
      </c>
      <c r="AK14" s="7"/>
      <c r="AL14" s="224">
        <v>1228</v>
      </c>
      <c r="AM14" s="224" t="s">
        <v>72</v>
      </c>
      <c r="AN14" s="224">
        <v>1349</v>
      </c>
      <c r="AO14" s="224" t="s">
        <v>72</v>
      </c>
      <c r="AP14" s="224">
        <v>1830</v>
      </c>
      <c r="AQ14" s="224" t="s">
        <v>72</v>
      </c>
      <c r="AR14" s="224">
        <v>1786</v>
      </c>
      <c r="AS14" s="224" t="s">
        <v>72</v>
      </c>
      <c r="AT14" s="224">
        <v>1702</v>
      </c>
      <c r="AU14" s="224" t="s">
        <v>72</v>
      </c>
      <c r="AV14" s="224">
        <v>1855</v>
      </c>
      <c r="AW14" s="224" t="s">
        <v>72</v>
      </c>
      <c r="AX14" s="224">
        <v>2989</v>
      </c>
      <c r="AY14" s="224" t="s">
        <v>72</v>
      </c>
      <c r="AZ14" s="224">
        <v>2971</v>
      </c>
      <c r="BA14" s="224" t="s">
        <v>72</v>
      </c>
      <c r="BB14" s="7"/>
    </row>
    <row r="15" spans="1:54">
      <c r="A15" s="11" t="s">
        <v>24</v>
      </c>
      <c r="B15" s="7" t="s">
        <v>5</v>
      </c>
      <c r="C15" s="7"/>
      <c r="D15" s="224">
        <v>48.405099999999997</v>
      </c>
      <c r="E15" s="224">
        <v>63.938800000000001</v>
      </c>
      <c r="F15" s="224">
        <v>82.167100000000005</v>
      </c>
      <c r="G15" s="224">
        <v>88.310699999999997</v>
      </c>
      <c r="H15" s="224">
        <v>239.13919999999999</v>
      </c>
      <c r="I15" s="224">
        <v>659.50170000000003</v>
      </c>
      <c r="J15" s="224">
        <v>194.38200000000001</v>
      </c>
      <c r="K15" s="224">
        <v>3205.8824</v>
      </c>
      <c r="L15" s="224">
        <v>111.8158</v>
      </c>
      <c r="M15" s="224">
        <v>30.796199999999999</v>
      </c>
      <c r="N15" s="224">
        <v>27.926300000000001</v>
      </c>
      <c r="O15" s="224">
        <v>26.947400000000002</v>
      </c>
      <c r="P15" s="224">
        <v>17.854800000000001</v>
      </c>
      <c r="Q15" s="224">
        <v>10.2584</v>
      </c>
      <c r="R15" s="224">
        <v>11.031700000000001</v>
      </c>
      <c r="S15" s="224" t="s">
        <v>72</v>
      </c>
      <c r="T15" s="7"/>
      <c r="U15" s="224">
        <v>126.55249999999999</v>
      </c>
      <c r="V15" s="224">
        <v>53.470300000000002</v>
      </c>
      <c r="W15" s="224">
        <v>213.08179999999999</v>
      </c>
      <c r="X15" s="224">
        <v>27.240600000000001</v>
      </c>
      <c r="Y15" s="224" t="s">
        <v>72</v>
      </c>
      <c r="Z15" s="224">
        <v>65.803799999999995</v>
      </c>
      <c r="AA15" s="224">
        <v>32.409599999999998</v>
      </c>
      <c r="AB15" s="224">
        <v>23.213000000000001</v>
      </c>
      <c r="AC15" s="224" t="s">
        <v>72</v>
      </c>
      <c r="AD15" s="224">
        <v>11.9094</v>
      </c>
      <c r="AE15" s="224">
        <v>21.9114</v>
      </c>
      <c r="AF15" s="224">
        <v>20.617899999999999</v>
      </c>
      <c r="AG15" s="224" t="s">
        <v>72</v>
      </c>
      <c r="AH15" s="224" t="s">
        <v>72</v>
      </c>
      <c r="AI15" s="224">
        <v>30.444700000000001</v>
      </c>
      <c r="AJ15" s="224" t="s">
        <v>72</v>
      </c>
      <c r="AK15" s="7"/>
      <c r="AL15" s="224">
        <v>788.6</v>
      </c>
      <c r="AM15" s="224">
        <v>432.9</v>
      </c>
      <c r="AN15" s="224">
        <v>401.5</v>
      </c>
      <c r="AO15" s="224">
        <v>382</v>
      </c>
      <c r="AP15" s="224">
        <v>637.9</v>
      </c>
      <c r="AQ15" s="224">
        <v>612</v>
      </c>
      <c r="AR15" s="224">
        <v>603.29999999999995</v>
      </c>
      <c r="AS15" s="224">
        <v>588.4</v>
      </c>
      <c r="AT15" s="224">
        <v>525.70000000000005</v>
      </c>
      <c r="AU15" s="224">
        <v>535.79999999999995</v>
      </c>
      <c r="AV15" s="224">
        <v>561</v>
      </c>
      <c r="AW15" s="224">
        <v>576.29999999999995</v>
      </c>
      <c r="AX15" s="224">
        <v>448.4</v>
      </c>
      <c r="AY15" s="224">
        <v>475.8</v>
      </c>
      <c r="AZ15" s="224">
        <v>469.1</v>
      </c>
      <c r="BA15" s="224" t="s">
        <v>72</v>
      </c>
      <c r="BB15" s="7"/>
    </row>
    <row r="16" spans="1:54">
      <c r="A16" s="11" t="s">
        <v>25</v>
      </c>
      <c r="B16" s="7" t="s">
        <v>6</v>
      </c>
      <c r="C16" s="7"/>
      <c r="D16" s="224">
        <v>33.4925</v>
      </c>
      <c r="E16" s="224">
        <v>32.2727</v>
      </c>
      <c r="F16" s="224">
        <v>31.508700000000001</v>
      </c>
      <c r="G16" s="224">
        <v>30.186499999999999</v>
      </c>
      <c r="H16" s="224">
        <v>13.2784</v>
      </c>
      <c r="I16" s="224">
        <v>13.9496</v>
      </c>
      <c r="J16" s="224">
        <v>54.647199999999998</v>
      </c>
      <c r="K16" s="224">
        <v>52.682299999999998</v>
      </c>
      <c r="L16" s="224" t="s">
        <v>72</v>
      </c>
      <c r="M16" s="224" t="s">
        <v>72</v>
      </c>
      <c r="N16" s="224">
        <v>286.08249999999998</v>
      </c>
      <c r="O16" s="224">
        <v>392.7885</v>
      </c>
      <c r="P16" s="224" t="s">
        <v>72</v>
      </c>
      <c r="Q16" s="224" t="s">
        <v>72</v>
      </c>
      <c r="R16" s="224" t="s">
        <v>72</v>
      </c>
      <c r="S16" s="224" t="s">
        <v>72</v>
      </c>
      <c r="T16" s="7"/>
      <c r="U16" s="224">
        <v>22.434000000000001</v>
      </c>
      <c r="V16" s="224">
        <v>36.9407</v>
      </c>
      <c r="W16" s="224">
        <v>33.956400000000002</v>
      </c>
      <c r="X16" s="224">
        <v>24.687100000000001</v>
      </c>
      <c r="Y16" s="224" t="s">
        <v>72</v>
      </c>
      <c r="Z16" s="224">
        <v>37.811900000000001</v>
      </c>
      <c r="AA16" s="224" t="s">
        <v>72</v>
      </c>
      <c r="AB16" s="224">
        <v>33.139499999999998</v>
      </c>
      <c r="AC16" s="224" t="s">
        <v>72</v>
      </c>
      <c r="AD16" s="224">
        <v>38.827500000000001</v>
      </c>
      <c r="AE16" s="224">
        <v>33.152700000000003</v>
      </c>
      <c r="AF16" s="224">
        <v>35.124000000000002</v>
      </c>
      <c r="AG16" s="224" t="s">
        <v>72</v>
      </c>
      <c r="AH16" s="224">
        <v>43.3628</v>
      </c>
      <c r="AI16" s="224" t="s">
        <v>72</v>
      </c>
      <c r="AJ16" s="224" t="s">
        <v>72</v>
      </c>
      <c r="AK16" s="7"/>
      <c r="AL16" s="224">
        <v>1075</v>
      </c>
      <c r="AM16" s="224">
        <v>1081</v>
      </c>
      <c r="AN16" s="224">
        <v>1082</v>
      </c>
      <c r="AO16" s="224">
        <v>1160</v>
      </c>
      <c r="AP16" s="224">
        <v>1129</v>
      </c>
      <c r="AQ16" s="224">
        <v>1132</v>
      </c>
      <c r="AR16" s="224">
        <v>1068</v>
      </c>
      <c r="AS16" s="224">
        <v>1041</v>
      </c>
      <c r="AT16" s="224">
        <v>850</v>
      </c>
      <c r="AU16" s="224">
        <v>856</v>
      </c>
      <c r="AV16" s="224">
        <v>870</v>
      </c>
      <c r="AW16" s="224">
        <v>874</v>
      </c>
      <c r="AX16" s="224">
        <v>872</v>
      </c>
      <c r="AY16" s="224">
        <v>876</v>
      </c>
      <c r="AZ16" s="224">
        <v>862</v>
      </c>
      <c r="BA16" s="224" t="s">
        <v>72</v>
      </c>
      <c r="BB16" s="7"/>
    </row>
    <row r="17" spans="1:54">
      <c r="A17" s="11" t="s">
        <v>31</v>
      </c>
      <c r="B17" s="7" t="s">
        <v>14</v>
      </c>
      <c r="C17" s="7"/>
      <c r="D17" s="224">
        <v>27.705300000000001</v>
      </c>
      <c r="E17" s="224">
        <v>28.492100000000001</v>
      </c>
      <c r="F17" s="224">
        <v>15.2392</v>
      </c>
      <c r="G17" s="224">
        <v>20.657900000000001</v>
      </c>
      <c r="H17" s="224">
        <v>24.396100000000001</v>
      </c>
      <c r="I17" s="224">
        <v>24.289899999999999</v>
      </c>
      <c r="J17" s="224">
        <v>34.534799999999997</v>
      </c>
      <c r="K17" s="224">
        <v>31.154</v>
      </c>
      <c r="L17" s="224">
        <v>40.167700000000004</v>
      </c>
      <c r="M17" s="224">
        <v>53.485100000000003</v>
      </c>
      <c r="N17" s="224">
        <v>68.915400000000005</v>
      </c>
      <c r="O17" s="224">
        <v>59.081499999999998</v>
      </c>
      <c r="P17" s="224">
        <v>15.164199999999999</v>
      </c>
      <c r="Q17" s="224">
        <v>10.9742</v>
      </c>
      <c r="R17" s="224">
        <v>9.8732000000000006</v>
      </c>
      <c r="S17" s="224" t="s">
        <v>72</v>
      </c>
      <c r="T17" s="7"/>
      <c r="U17" s="224">
        <v>10.9504</v>
      </c>
      <c r="V17" s="224">
        <v>41.048200000000001</v>
      </c>
      <c r="W17" s="224">
        <v>5.4585999999999997</v>
      </c>
      <c r="X17" s="224">
        <v>52.8857</v>
      </c>
      <c r="Y17" s="224">
        <v>33.749299999999998</v>
      </c>
      <c r="Z17" s="224">
        <v>31.9819</v>
      </c>
      <c r="AA17" s="224">
        <v>23.643599999999999</v>
      </c>
      <c r="AB17" s="224">
        <v>37.993600000000001</v>
      </c>
      <c r="AC17" s="224" t="s">
        <v>72</v>
      </c>
      <c r="AD17" s="224">
        <v>141.12049999999999</v>
      </c>
      <c r="AE17" s="224">
        <v>38.251800000000003</v>
      </c>
      <c r="AF17" s="224">
        <v>27.8461</v>
      </c>
      <c r="AG17" s="224" t="s">
        <v>72</v>
      </c>
      <c r="AH17" s="224">
        <v>24.461600000000001</v>
      </c>
      <c r="AI17" s="224">
        <v>27.6084</v>
      </c>
      <c r="AJ17" s="224" t="s">
        <v>72</v>
      </c>
      <c r="AK17" s="7"/>
      <c r="AL17" s="224">
        <v>2089</v>
      </c>
      <c r="AM17" s="224">
        <v>2203</v>
      </c>
      <c r="AN17" s="224">
        <v>2118</v>
      </c>
      <c r="AO17" s="224">
        <v>1978</v>
      </c>
      <c r="AP17" s="224">
        <v>1918</v>
      </c>
      <c r="AQ17" s="224">
        <v>1854</v>
      </c>
      <c r="AR17" s="224">
        <v>1884</v>
      </c>
      <c r="AS17" s="224">
        <v>1980</v>
      </c>
      <c r="AT17" s="224">
        <v>1933</v>
      </c>
      <c r="AU17" s="224">
        <v>3187</v>
      </c>
      <c r="AV17" s="224">
        <v>3234</v>
      </c>
      <c r="AW17" s="224">
        <v>2212</v>
      </c>
      <c r="AX17" s="224">
        <v>2169</v>
      </c>
      <c r="AY17" s="224">
        <v>1479</v>
      </c>
      <c r="AZ17" s="224">
        <v>2045</v>
      </c>
      <c r="BA17" s="224" t="s">
        <v>72</v>
      </c>
      <c r="BB17" s="7"/>
    </row>
    <row r="18" spans="1:54">
      <c r="A18" s="11" t="s">
        <v>26</v>
      </c>
      <c r="B18" s="7" t="s">
        <v>7</v>
      </c>
      <c r="C18" s="7"/>
      <c r="D18" s="224" t="s">
        <v>72</v>
      </c>
      <c r="E18" s="224" t="s">
        <v>72</v>
      </c>
      <c r="F18" s="224" t="s">
        <v>72</v>
      </c>
      <c r="G18" s="224" t="s">
        <v>72</v>
      </c>
      <c r="H18" s="224">
        <v>22.058199999999999</v>
      </c>
      <c r="I18" s="224">
        <v>14.669599999999999</v>
      </c>
      <c r="J18" s="224">
        <v>13.8026</v>
      </c>
      <c r="K18" s="224">
        <v>12.8302</v>
      </c>
      <c r="L18" s="224">
        <v>12.535299999999999</v>
      </c>
      <c r="M18" s="224">
        <v>21.1478</v>
      </c>
      <c r="N18" s="224">
        <v>19.783200000000001</v>
      </c>
      <c r="O18" s="224">
        <v>20.8612</v>
      </c>
      <c r="P18" s="224">
        <v>27</v>
      </c>
      <c r="Q18" s="224">
        <v>28.152899999999999</v>
      </c>
      <c r="R18" s="224">
        <v>22.831099999999999</v>
      </c>
      <c r="S18" s="224" t="s">
        <v>72</v>
      </c>
      <c r="T18" s="7"/>
      <c r="U18" s="224" t="s">
        <v>72</v>
      </c>
      <c r="V18" s="224">
        <v>24.027100000000001</v>
      </c>
      <c r="W18" s="224">
        <v>26.656199999999998</v>
      </c>
      <c r="X18" s="224">
        <v>21.923100000000002</v>
      </c>
      <c r="Y18" s="224">
        <v>14.874600000000001</v>
      </c>
      <c r="Z18" s="224" t="s">
        <v>72</v>
      </c>
      <c r="AA18" s="224">
        <v>25</v>
      </c>
      <c r="AB18" s="224">
        <v>18.584099999999999</v>
      </c>
      <c r="AC18" s="224">
        <v>15.7895</v>
      </c>
      <c r="AD18" s="224">
        <v>21.538499999999999</v>
      </c>
      <c r="AE18" s="224">
        <v>21.411799999999999</v>
      </c>
      <c r="AF18" s="224">
        <v>22.6006</v>
      </c>
      <c r="AG18" s="224" t="s">
        <v>72</v>
      </c>
      <c r="AH18" s="224">
        <v>20</v>
      </c>
      <c r="AI18" s="224" t="s">
        <v>72</v>
      </c>
      <c r="AJ18" s="224" t="s">
        <v>72</v>
      </c>
      <c r="AK18" s="7"/>
      <c r="AL18" s="224">
        <v>717</v>
      </c>
      <c r="AM18" s="224">
        <v>689</v>
      </c>
      <c r="AN18" s="224">
        <v>670</v>
      </c>
      <c r="AO18" s="224">
        <v>642</v>
      </c>
      <c r="AP18" s="224">
        <v>608</v>
      </c>
      <c r="AQ18" s="224">
        <v>518</v>
      </c>
      <c r="AR18" s="224">
        <v>481</v>
      </c>
      <c r="AS18" s="224">
        <v>463</v>
      </c>
      <c r="AT18" s="224">
        <v>441</v>
      </c>
      <c r="AU18" s="224">
        <v>400</v>
      </c>
      <c r="AV18" s="224">
        <v>392</v>
      </c>
      <c r="AW18" s="224">
        <v>375</v>
      </c>
      <c r="AX18" s="224">
        <v>314</v>
      </c>
      <c r="AY18" s="224">
        <v>1702</v>
      </c>
      <c r="AZ18" s="224">
        <v>1423</v>
      </c>
      <c r="BA18" s="224" t="s">
        <v>72</v>
      </c>
      <c r="BB18" s="7"/>
    </row>
    <row r="19" spans="1:54">
      <c r="A19" s="11" t="s">
        <v>75</v>
      </c>
      <c r="B19" s="7" t="s">
        <v>76</v>
      </c>
      <c r="C19" s="7"/>
      <c r="D19" s="224">
        <v>19.7121</v>
      </c>
      <c r="E19" s="224">
        <v>19.792999999999999</v>
      </c>
      <c r="F19" s="224">
        <v>21.724799999999998</v>
      </c>
      <c r="G19" s="224">
        <v>69.593100000000007</v>
      </c>
      <c r="H19" s="224">
        <v>75.9465</v>
      </c>
      <c r="I19" s="224">
        <v>96.319000000000003</v>
      </c>
      <c r="J19" s="224">
        <v>30.3371</v>
      </c>
      <c r="K19" s="224">
        <v>11.0555</v>
      </c>
      <c r="L19" s="224" t="s">
        <v>72</v>
      </c>
      <c r="M19" s="224" t="s">
        <v>72</v>
      </c>
      <c r="N19" s="224" t="s">
        <v>72</v>
      </c>
      <c r="O19" s="224" t="s">
        <v>72</v>
      </c>
      <c r="P19" s="224">
        <v>15.9292</v>
      </c>
      <c r="Q19" s="224">
        <v>16.183599999999998</v>
      </c>
      <c r="R19" s="224">
        <v>15.156499999999999</v>
      </c>
      <c r="S19" s="224" t="s">
        <v>72</v>
      </c>
      <c r="T19" s="7"/>
      <c r="U19" s="224">
        <v>23.636399999999998</v>
      </c>
      <c r="V19" s="224">
        <v>20.6128</v>
      </c>
      <c r="W19" s="224">
        <v>20.5379</v>
      </c>
      <c r="X19" s="224" t="s">
        <v>72</v>
      </c>
      <c r="Y19" s="224">
        <v>30.1282</v>
      </c>
      <c r="Z19" s="224">
        <v>19.915299999999998</v>
      </c>
      <c r="AA19" s="224">
        <v>6.3089000000000004</v>
      </c>
      <c r="AB19" s="224">
        <v>3.3418999999999999</v>
      </c>
      <c r="AC19" s="224" t="s">
        <v>72</v>
      </c>
      <c r="AD19" s="224">
        <v>18.243200000000002</v>
      </c>
      <c r="AE19" s="224">
        <v>22.960699999999999</v>
      </c>
      <c r="AF19" s="224">
        <v>18.567599999999999</v>
      </c>
      <c r="AG19" s="224" t="s">
        <v>72</v>
      </c>
      <c r="AH19" s="224">
        <v>24.299099999999999</v>
      </c>
      <c r="AI19" s="224">
        <v>30.909099999999999</v>
      </c>
      <c r="AJ19" s="224" t="s">
        <v>72</v>
      </c>
      <c r="AK19" s="7"/>
      <c r="AL19" s="224">
        <v>283</v>
      </c>
      <c r="AM19" s="224">
        <v>243</v>
      </c>
      <c r="AN19" s="224">
        <v>296</v>
      </c>
      <c r="AO19" s="224">
        <v>330</v>
      </c>
      <c r="AP19" s="224">
        <v>342</v>
      </c>
      <c r="AQ19" s="224">
        <v>306</v>
      </c>
      <c r="AR19" s="224">
        <v>310</v>
      </c>
      <c r="AS19" s="224">
        <v>311</v>
      </c>
      <c r="AT19" s="224">
        <v>285</v>
      </c>
      <c r="AU19" s="224">
        <v>294</v>
      </c>
      <c r="AV19" s="224">
        <v>303</v>
      </c>
      <c r="AW19" s="224">
        <v>326</v>
      </c>
      <c r="AX19" s="224">
        <v>374</v>
      </c>
      <c r="AY19" s="224">
        <v>383</v>
      </c>
      <c r="AZ19" s="224">
        <v>384</v>
      </c>
      <c r="BA19" s="224" t="s">
        <v>72</v>
      </c>
      <c r="BB19" s="7"/>
    </row>
    <row r="20" spans="1:54">
      <c r="A20" s="11" t="s">
        <v>27</v>
      </c>
      <c r="B20" s="7" t="s">
        <v>8</v>
      </c>
      <c r="C20" s="7"/>
      <c r="D20" s="224">
        <v>20.8231</v>
      </c>
      <c r="E20" s="224">
        <v>20.813400000000001</v>
      </c>
      <c r="F20" s="224">
        <v>14.2943</v>
      </c>
      <c r="G20" s="224">
        <v>15.739800000000001</v>
      </c>
      <c r="H20" s="224">
        <v>25.221</v>
      </c>
      <c r="I20" s="224">
        <v>24.782900000000001</v>
      </c>
      <c r="J20" s="224">
        <v>37.6569</v>
      </c>
      <c r="K20" s="224">
        <v>26.1919</v>
      </c>
      <c r="L20" s="224">
        <v>20.3719</v>
      </c>
      <c r="M20" s="224">
        <v>18.869399999999999</v>
      </c>
      <c r="N20" s="224">
        <v>23.335999999999999</v>
      </c>
      <c r="O20" s="224">
        <v>21.222799999999999</v>
      </c>
      <c r="P20" s="224">
        <v>31.331800000000001</v>
      </c>
      <c r="Q20" s="224">
        <v>35.875799999999998</v>
      </c>
      <c r="R20" s="224">
        <v>10.472099999999999</v>
      </c>
      <c r="S20" s="224" t="s">
        <v>72</v>
      </c>
      <c r="T20" s="7"/>
      <c r="U20" s="224">
        <v>1.4248000000000001</v>
      </c>
      <c r="V20" s="224">
        <v>25.376999999999999</v>
      </c>
      <c r="W20" s="224">
        <v>7.2687999999999997</v>
      </c>
      <c r="X20" s="224" t="s">
        <v>72</v>
      </c>
      <c r="Y20" s="224">
        <v>18.5015</v>
      </c>
      <c r="Z20" s="224">
        <v>24.303799999999999</v>
      </c>
      <c r="AA20" s="224">
        <v>30.957000000000001</v>
      </c>
      <c r="AB20" s="224">
        <v>27.2727</v>
      </c>
      <c r="AC20" s="224" t="s">
        <v>72</v>
      </c>
      <c r="AD20" s="224">
        <v>21.5686</v>
      </c>
      <c r="AE20" s="224">
        <v>43.997399999999999</v>
      </c>
      <c r="AF20" s="224">
        <v>22.433800000000002</v>
      </c>
      <c r="AG20" s="224">
        <v>32.884099999999997</v>
      </c>
      <c r="AH20" s="224">
        <v>45.493000000000002</v>
      </c>
      <c r="AI20" s="224" t="s">
        <v>72</v>
      </c>
      <c r="AJ20" s="224" t="s">
        <v>72</v>
      </c>
      <c r="AK20" s="7"/>
      <c r="AL20" s="224">
        <v>1558.3415</v>
      </c>
      <c r="AM20" s="224">
        <v>1550.5</v>
      </c>
      <c r="AN20" s="224">
        <v>1646.5</v>
      </c>
      <c r="AO20" s="224">
        <v>1544.3</v>
      </c>
      <c r="AP20" s="224">
        <v>968.79259999999999</v>
      </c>
      <c r="AQ20" s="224">
        <v>1023.7</v>
      </c>
      <c r="AR20" s="224">
        <v>974.9</v>
      </c>
      <c r="AS20" s="224">
        <v>957.80219999999997</v>
      </c>
      <c r="AT20" s="224">
        <v>1004.0656</v>
      </c>
      <c r="AU20" s="224">
        <v>984</v>
      </c>
      <c r="AV20" s="224">
        <v>998.1</v>
      </c>
      <c r="AW20" s="224">
        <v>901.1</v>
      </c>
      <c r="AX20" s="224">
        <v>932.8356</v>
      </c>
      <c r="AY20" s="224">
        <v>883.5</v>
      </c>
      <c r="AZ20" s="224">
        <v>998.1</v>
      </c>
      <c r="BA20" s="224" t="s">
        <v>72</v>
      </c>
      <c r="BB20" s="7"/>
    </row>
    <row r="21" spans="1:54">
      <c r="A21" s="11" t="s">
        <v>79</v>
      </c>
      <c r="B21" s="7" t="s">
        <v>11</v>
      </c>
      <c r="C21" s="7"/>
      <c r="D21" s="224" t="s">
        <v>72</v>
      </c>
      <c r="E21" s="224" t="s">
        <v>72</v>
      </c>
      <c r="F21" s="224">
        <v>0.99099999999999999</v>
      </c>
      <c r="G21" s="224">
        <v>13.698600000000001</v>
      </c>
      <c r="H21" s="224">
        <v>15.818099999999999</v>
      </c>
      <c r="I21" s="224">
        <v>12.4054</v>
      </c>
      <c r="J21" s="224">
        <v>13.6633</v>
      </c>
      <c r="K21" s="224">
        <v>15.212</v>
      </c>
      <c r="L21" s="224">
        <v>16.741900000000001</v>
      </c>
      <c r="M21" s="224">
        <v>18.0777</v>
      </c>
      <c r="N21" s="224">
        <v>17.525400000000001</v>
      </c>
      <c r="O21" s="224">
        <v>16.381699999999999</v>
      </c>
      <c r="P21" s="224">
        <v>15.8972</v>
      </c>
      <c r="Q21" s="224">
        <v>16.2592</v>
      </c>
      <c r="R21" s="224">
        <v>16.0609</v>
      </c>
      <c r="S21" s="224" t="s">
        <v>72</v>
      </c>
      <c r="T21" s="7"/>
      <c r="U21" s="224">
        <v>14.8325</v>
      </c>
      <c r="V21" s="224">
        <v>16.7331</v>
      </c>
      <c r="W21" s="224">
        <v>24.2667</v>
      </c>
      <c r="X21" s="224">
        <v>1.4778</v>
      </c>
      <c r="Y21" s="224">
        <v>21.315200000000001</v>
      </c>
      <c r="Z21" s="224">
        <v>4.4443999999999999</v>
      </c>
      <c r="AA21" s="224">
        <v>25.5319</v>
      </c>
      <c r="AB21" s="224">
        <v>10.3261</v>
      </c>
      <c r="AC21" s="224">
        <v>24.539899999999999</v>
      </c>
      <c r="AD21" s="224">
        <v>12.8453</v>
      </c>
      <c r="AE21" s="224">
        <v>22.718800000000002</v>
      </c>
      <c r="AF21" s="224">
        <v>6.1462000000000003</v>
      </c>
      <c r="AG21" s="224">
        <v>22.9299</v>
      </c>
      <c r="AH21" s="224">
        <v>13.973800000000001</v>
      </c>
      <c r="AI21" s="224">
        <v>22.939900000000002</v>
      </c>
      <c r="AJ21" s="224" t="s">
        <v>72</v>
      </c>
      <c r="AK21" s="7"/>
      <c r="AL21" s="224">
        <v>8833</v>
      </c>
      <c r="AM21" s="224">
        <v>7864</v>
      </c>
      <c r="AN21" s="224">
        <v>7944</v>
      </c>
      <c r="AO21" s="224">
        <v>5187</v>
      </c>
      <c r="AP21" s="224">
        <v>3742</v>
      </c>
      <c r="AQ21" s="224">
        <v>1830</v>
      </c>
      <c r="AR21" s="224">
        <v>2382</v>
      </c>
      <c r="AS21" s="224">
        <v>3349</v>
      </c>
      <c r="AT21" s="224">
        <v>5435</v>
      </c>
      <c r="AU21" s="224">
        <v>2448</v>
      </c>
      <c r="AV21" s="224">
        <v>2462</v>
      </c>
      <c r="AW21" s="224">
        <v>4001</v>
      </c>
      <c r="AX21" s="224">
        <v>5492</v>
      </c>
      <c r="AY21" s="224">
        <v>5856</v>
      </c>
      <c r="AZ21" s="224">
        <v>5196</v>
      </c>
      <c r="BA21" s="224" t="s">
        <v>72</v>
      </c>
      <c r="BB21" s="7"/>
    </row>
    <row r="22" spans="1:54">
      <c r="A22" s="11" t="s">
        <v>79</v>
      </c>
      <c r="B22" s="7" t="s">
        <v>17</v>
      </c>
      <c r="C22" s="7"/>
      <c r="D22" s="224" t="s">
        <v>72</v>
      </c>
      <c r="E22" s="224">
        <v>0.64559999999999995</v>
      </c>
      <c r="F22" s="224" t="s">
        <v>72</v>
      </c>
      <c r="G22" s="224" t="s">
        <v>72</v>
      </c>
      <c r="H22" s="224" t="s">
        <v>72</v>
      </c>
      <c r="I22" s="224">
        <v>17.140499999999999</v>
      </c>
      <c r="J22" s="224" t="s">
        <v>72</v>
      </c>
      <c r="K22" s="224">
        <v>24.371600000000001</v>
      </c>
      <c r="L22" s="224" t="s">
        <v>72</v>
      </c>
      <c r="M22" s="224">
        <v>26.662500000000001</v>
      </c>
      <c r="N22" s="224" t="s">
        <v>72</v>
      </c>
      <c r="O22" s="224">
        <v>245.9847</v>
      </c>
      <c r="P22" s="224" t="s">
        <v>72</v>
      </c>
      <c r="Q22" s="224">
        <v>79.324100000000001</v>
      </c>
      <c r="R22" s="224" t="s">
        <v>72</v>
      </c>
      <c r="S22" s="224" t="s">
        <v>72</v>
      </c>
      <c r="T22" s="7"/>
      <c r="U22" s="224" t="s">
        <v>72</v>
      </c>
      <c r="V22" s="224" t="s">
        <v>72</v>
      </c>
      <c r="W22" s="224" t="s">
        <v>72</v>
      </c>
      <c r="X22" s="224">
        <v>8.9320000000000004</v>
      </c>
      <c r="Y22" s="224" t="s">
        <v>72</v>
      </c>
      <c r="Z22" s="224">
        <v>70.906199999999998</v>
      </c>
      <c r="AA22" s="224" t="s">
        <v>72</v>
      </c>
      <c r="AB22" s="224">
        <v>17.064</v>
      </c>
      <c r="AC22" s="224" t="s">
        <v>72</v>
      </c>
      <c r="AD22" s="224">
        <v>76.658000000000001</v>
      </c>
      <c r="AE22" s="224" t="s">
        <v>72</v>
      </c>
      <c r="AF22" s="224" t="s">
        <v>72</v>
      </c>
      <c r="AG22" s="224" t="s">
        <v>72</v>
      </c>
      <c r="AH22" s="224">
        <v>31.705400000000001</v>
      </c>
      <c r="AI22" s="224" t="s">
        <v>72</v>
      </c>
      <c r="AJ22" s="224" t="s">
        <v>72</v>
      </c>
      <c r="AK22" s="7"/>
      <c r="AL22" s="224" t="s">
        <v>72</v>
      </c>
      <c r="AM22" s="224">
        <v>237</v>
      </c>
      <c r="AN22" s="224" t="s">
        <v>72</v>
      </c>
      <c r="AO22" s="224">
        <v>351</v>
      </c>
      <c r="AP22" s="224" t="s">
        <v>72</v>
      </c>
      <c r="AQ22" s="224">
        <v>87</v>
      </c>
      <c r="AR22" s="224" t="s">
        <v>72</v>
      </c>
      <c r="AS22" s="224">
        <v>312</v>
      </c>
      <c r="AT22" s="224" t="s">
        <v>72</v>
      </c>
      <c r="AU22" s="224">
        <v>337</v>
      </c>
      <c r="AV22" s="224" t="s">
        <v>72</v>
      </c>
      <c r="AW22" s="224">
        <v>333</v>
      </c>
      <c r="AX22" s="224" t="s">
        <v>72</v>
      </c>
      <c r="AY22" s="224">
        <v>629</v>
      </c>
      <c r="AZ22" s="224" t="s">
        <v>72</v>
      </c>
      <c r="BA22" s="224" t="s">
        <v>72</v>
      </c>
      <c r="BB22" s="7"/>
    </row>
    <row r="23" spans="1:54">
      <c r="A23" s="11" t="s">
        <v>29</v>
      </c>
      <c r="B23" s="7" t="s">
        <v>10</v>
      </c>
      <c r="C23" s="7"/>
      <c r="D23" s="224">
        <v>22.9376</v>
      </c>
      <c r="E23" s="224">
        <v>23.075800000000001</v>
      </c>
      <c r="F23" s="224">
        <v>22.0642</v>
      </c>
      <c r="G23" s="224">
        <v>21.174099999999999</v>
      </c>
      <c r="H23" s="224">
        <v>21.292100000000001</v>
      </c>
      <c r="I23" s="224">
        <v>21.1312</v>
      </c>
      <c r="J23" s="224">
        <v>21.768799999999999</v>
      </c>
      <c r="K23" s="224">
        <v>22.041399999999999</v>
      </c>
      <c r="L23" s="224">
        <v>21.213000000000001</v>
      </c>
      <c r="M23" s="224">
        <v>20.845099999999999</v>
      </c>
      <c r="N23" s="224">
        <v>19.125499999999999</v>
      </c>
      <c r="O23" s="224">
        <v>19.032599999999999</v>
      </c>
      <c r="P23" s="224">
        <v>13.311999999999999</v>
      </c>
      <c r="Q23" s="224">
        <v>13.4505</v>
      </c>
      <c r="R23" s="224">
        <v>14.4095</v>
      </c>
      <c r="S23" s="224" t="s">
        <v>72</v>
      </c>
      <c r="T23" s="7"/>
      <c r="U23" s="224">
        <v>21.2516</v>
      </c>
      <c r="V23" s="224">
        <v>22.141300000000001</v>
      </c>
      <c r="W23" s="224">
        <v>19.8202</v>
      </c>
      <c r="X23" s="224">
        <v>21.524699999999999</v>
      </c>
      <c r="Y23" s="224">
        <v>21.7089</v>
      </c>
      <c r="Z23" s="224">
        <v>21.427499999999998</v>
      </c>
      <c r="AA23" s="224">
        <v>22.578399999999998</v>
      </c>
      <c r="AB23" s="224">
        <v>22.521000000000001</v>
      </c>
      <c r="AC23" s="224">
        <v>18.556999999999999</v>
      </c>
      <c r="AD23" s="224">
        <v>19.7761</v>
      </c>
      <c r="AE23" s="224">
        <v>15.1174</v>
      </c>
      <c r="AF23" s="224">
        <v>22.492799999999999</v>
      </c>
      <c r="AG23" s="224" t="s">
        <v>72</v>
      </c>
      <c r="AH23" s="224">
        <v>20.371700000000001</v>
      </c>
      <c r="AI23" s="224">
        <v>19.5869</v>
      </c>
      <c r="AJ23" s="224" t="s">
        <v>72</v>
      </c>
      <c r="AK23" s="7"/>
      <c r="AL23" s="224">
        <v>680</v>
      </c>
      <c r="AM23" s="224" t="s">
        <v>72</v>
      </c>
      <c r="AN23" s="224" t="s">
        <v>72</v>
      </c>
      <c r="AO23" s="224" t="s">
        <v>72</v>
      </c>
      <c r="AP23" s="224">
        <v>757</v>
      </c>
      <c r="AQ23" s="224" t="s">
        <v>72</v>
      </c>
      <c r="AR23" s="224" t="s">
        <v>72</v>
      </c>
      <c r="AS23" s="224" t="s">
        <v>72</v>
      </c>
      <c r="AT23" s="224">
        <v>1030</v>
      </c>
      <c r="AU23" s="224" t="s">
        <v>72</v>
      </c>
      <c r="AV23" s="224" t="s">
        <v>72</v>
      </c>
      <c r="AW23" s="224" t="s">
        <v>72</v>
      </c>
      <c r="AX23" s="224">
        <v>1209</v>
      </c>
      <c r="AY23" s="224" t="s">
        <v>72</v>
      </c>
      <c r="AZ23" s="224" t="s">
        <v>72</v>
      </c>
      <c r="BA23" s="224" t="s">
        <v>72</v>
      </c>
      <c r="BB23" s="7"/>
    </row>
    <row r="24" spans="1:54">
      <c r="A24" s="11" t="s">
        <v>29</v>
      </c>
      <c r="B24" s="7" t="s">
        <v>15</v>
      </c>
      <c r="C24" s="7"/>
      <c r="D24" s="224">
        <v>8.8042999999999996</v>
      </c>
      <c r="E24" s="224">
        <v>8.5432000000000006</v>
      </c>
      <c r="F24" s="224">
        <v>9.0838999999999999</v>
      </c>
      <c r="G24" s="224">
        <v>6.0510000000000002</v>
      </c>
      <c r="H24" s="224">
        <v>3.7713000000000001</v>
      </c>
      <c r="I24" s="224">
        <v>4.2408000000000001</v>
      </c>
      <c r="J24" s="224">
        <v>4.2712000000000003</v>
      </c>
      <c r="K24" s="224">
        <v>21.7348</v>
      </c>
      <c r="L24" s="224">
        <v>25.4862</v>
      </c>
      <c r="M24" s="224">
        <v>27.704599999999999</v>
      </c>
      <c r="N24" s="224">
        <v>28.859400000000001</v>
      </c>
      <c r="O24" s="224">
        <v>24.7699</v>
      </c>
      <c r="P24" s="224">
        <v>33.878399999999999</v>
      </c>
      <c r="Q24" s="224">
        <v>32.962800000000001</v>
      </c>
      <c r="R24" s="224">
        <v>34.093600000000002</v>
      </c>
      <c r="S24" s="224" t="s">
        <v>72</v>
      </c>
      <c r="T24" s="7"/>
      <c r="U24" s="224">
        <v>23.3019</v>
      </c>
      <c r="V24" s="224">
        <v>21.3476</v>
      </c>
      <c r="W24" s="224">
        <v>20.338200000000001</v>
      </c>
      <c r="X24" s="224" t="s">
        <v>72</v>
      </c>
      <c r="Y24" s="224">
        <v>8.4929000000000006</v>
      </c>
      <c r="Z24" s="224">
        <v>23.231100000000001</v>
      </c>
      <c r="AA24" s="224">
        <v>26.476400000000002</v>
      </c>
      <c r="AB24" s="224">
        <v>25.503</v>
      </c>
      <c r="AC24" s="224">
        <v>26.801500000000001</v>
      </c>
      <c r="AD24" s="224">
        <v>42.857100000000003</v>
      </c>
      <c r="AE24" s="224">
        <v>36.227499999999999</v>
      </c>
      <c r="AF24" s="224">
        <v>10.7468</v>
      </c>
      <c r="AG24" s="224">
        <v>51.460500000000003</v>
      </c>
      <c r="AH24" s="224">
        <v>36.166400000000003</v>
      </c>
      <c r="AI24" s="224">
        <v>41.711199999999998</v>
      </c>
      <c r="AJ24" s="224" t="s">
        <v>72</v>
      </c>
      <c r="AK24" s="7"/>
      <c r="AL24" s="224" t="s">
        <v>72</v>
      </c>
      <c r="AM24" s="224" t="s">
        <v>72</v>
      </c>
      <c r="AN24" s="224" t="s">
        <v>72</v>
      </c>
      <c r="AO24" s="224" t="s">
        <v>72</v>
      </c>
      <c r="AP24" s="224" t="s">
        <v>72</v>
      </c>
      <c r="AQ24" s="224">
        <v>0</v>
      </c>
      <c r="AR24" s="224" t="s">
        <v>72</v>
      </c>
      <c r="AS24" s="224" t="s">
        <v>72</v>
      </c>
      <c r="AT24" s="224" t="s">
        <v>72</v>
      </c>
      <c r="AU24" s="224" t="s">
        <v>72</v>
      </c>
      <c r="AV24" s="224" t="s">
        <v>72</v>
      </c>
      <c r="AW24" s="224" t="s">
        <v>72</v>
      </c>
      <c r="AX24" s="224" t="s">
        <v>72</v>
      </c>
      <c r="AY24" s="224" t="s">
        <v>72</v>
      </c>
      <c r="AZ24" s="224" t="s">
        <v>72</v>
      </c>
      <c r="BA24" s="224" t="s">
        <v>72</v>
      </c>
      <c r="BB24" s="7"/>
    </row>
    <row r="25" spans="1:54">
      <c r="A25" s="11" t="s">
        <v>30</v>
      </c>
      <c r="B25" s="7" t="s">
        <v>12</v>
      </c>
      <c r="C25" s="7"/>
      <c r="D25" s="224">
        <v>19.3034</v>
      </c>
      <c r="E25" s="224">
        <v>20.105599999999999</v>
      </c>
      <c r="F25" s="224">
        <v>21.057300000000001</v>
      </c>
      <c r="G25" s="224">
        <v>20.923100000000002</v>
      </c>
      <c r="H25" s="224">
        <v>21.921399999999998</v>
      </c>
      <c r="I25" s="224">
        <v>21.5564</v>
      </c>
      <c r="J25" s="224">
        <v>19.965900000000001</v>
      </c>
      <c r="K25" s="224">
        <v>20.242599999999999</v>
      </c>
      <c r="L25" s="224">
        <v>17.869800000000001</v>
      </c>
      <c r="M25" s="224">
        <v>14.961600000000001</v>
      </c>
      <c r="N25" s="224">
        <v>16.905100000000001</v>
      </c>
      <c r="O25" s="224">
        <v>16.220500000000001</v>
      </c>
      <c r="P25" s="224">
        <v>18.6449</v>
      </c>
      <c r="Q25" s="224">
        <v>18.707799999999999</v>
      </c>
      <c r="R25" s="224">
        <v>18.006</v>
      </c>
      <c r="S25" s="224" t="s">
        <v>72</v>
      </c>
      <c r="T25" s="7"/>
      <c r="U25" s="224">
        <v>16.309000000000001</v>
      </c>
      <c r="V25" s="224">
        <v>24.1449</v>
      </c>
      <c r="W25" s="224">
        <v>23.302499999999998</v>
      </c>
      <c r="X25" s="224">
        <v>19.427700000000002</v>
      </c>
      <c r="Y25" s="224">
        <v>21.2058</v>
      </c>
      <c r="Z25" s="224">
        <v>22.295100000000001</v>
      </c>
      <c r="AA25" s="224">
        <v>17.1477</v>
      </c>
      <c r="AB25" s="224">
        <v>20.393799999999999</v>
      </c>
      <c r="AC25" s="224" t="s">
        <v>72</v>
      </c>
      <c r="AD25" s="224">
        <v>18.647200000000002</v>
      </c>
      <c r="AE25" s="224">
        <v>19.791699999999999</v>
      </c>
      <c r="AF25" s="224">
        <v>20.450600000000001</v>
      </c>
      <c r="AG25" s="224">
        <v>14.7727</v>
      </c>
      <c r="AH25" s="224">
        <v>18.918900000000001</v>
      </c>
      <c r="AI25" s="224">
        <v>17.1815</v>
      </c>
      <c r="AJ25" s="224" t="s">
        <v>72</v>
      </c>
      <c r="AK25" s="7"/>
      <c r="AL25" s="224">
        <v>351</v>
      </c>
      <c r="AM25" s="224">
        <v>342</v>
      </c>
      <c r="AN25" s="224">
        <v>345</v>
      </c>
      <c r="AO25" s="224">
        <v>339</v>
      </c>
      <c r="AP25" s="224">
        <v>1283</v>
      </c>
      <c r="AQ25" s="224">
        <v>896</v>
      </c>
      <c r="AR25" s="224">
        <v>1140</v>
      </c>
      <c r="AS25" s="224">
        <v>1970</v>
      </c>
      <c r="AT25" s="224">
        <v>1977</v>
      </c>
      <c r="AU25" s="224">
        <v>1492</v>
      </c>
      <c r="AV25" s="224">
        <v>2063</v>
      </c>
      <c r="AW25" s="224">
        <v>2279</v>
      </c>
      <c r="AX25" s="224">
        <v>2801</v>
      </c>
      <c r="AY25" s="224">
        <v>2054</v>
      </c>
      <c r="AZ25" s="224">
        <v>1850</v>
      </c>
      <c r="BA25" s="224" t="s">
        <v>72</v>
      </c>
      <c r="BB25" s="7"/>
    </row>
    <row r="26" spans="1:54">
      <c r="A26" s="11" t="s">
        <v>27</v>
      </c>
      <c r="B26" s="7" t="s">
        <v>339</v>
      </c>
      <c r="C26" s="7"/>
      <c r="D26" s="224">
        <v>46.174500000000002</v>
      </c>
      <c r="E26" s="224">
        <v>34.132399999999997</v>
      </c>
      <c r="F26" s="224">
        <v>31.128699999999998</v>
      </c>
      <c r="G26" s="224">
        <v>32.497100000000003</v>
      </c>
      <c r="H26" s="224">
        <v>28.9237</v>
      </c>
      <c r="I26" s="224">
        <v>26.495899999999999</v>
      </c>
      <c r="J26" s="224">
        <v>22.442499999999999</v>
      </c>
      <c r="K26" s="224">
        <v>11.226599999999999</v>
      </c>
      <c r="L26" s="224">
        <v>15.0631</v>
      </c>
      <c r="M26" s="224">
        <v>14.9697</v>
      </c>
      <c r="N26" s="224">
        <v>12.4846</v>
      </c>
      <c r="O26" s="224">
        <v>14.6487</v>
      </c>
      <c r="P26" s="224">
        <v>4.1135000000000002</v>
      </c>
      <c r="Q26" s="224">
        <v>3.7357</v>
      </c>
      <c r="R26" s="224">
        <v>5.7262000000000004</v>
      </c>
      <c r="S26" s="224" t="s">
        <v>72</v>
      </c>
      <c r="T26" s="7"/>
      <c r="U26" s="224">
        <v>30.1417</v>
      </c>
      <c r="V26" s="224">
        <v>31.355899999999998</v>
      </c>
      <c r="W26" s="224">
        <v>32.558100000000003</v>
      </c>
      <c r="X26" s="224">
        <v>33.986899999999999</v>
      </c>
      <c r="Y26" s="224">
        <v>16.689299999999999</v>
      </c>
      <c r="Z26" s="224">
        <v>21.714300000000001</v>
      </c>
      <c r="AA26" s="224">
        <v>18.6586</v>
      </c>
      <c r="AB26" s="224" t="s">
        <v>72</v>
      </c>
      <c r="AC26" s="224">
        <v>46.122999999999998</v>
      </c>
      <c r="AD26" s="224">
        <v>20.187799999999999</v>
      </c>
      <c r="AE26" s="224">
        <v>10.169499999999999</v>
      </c>
      <c r="AF26" s="224">
        <v>1.9011</v>
      </c>
      <c r="AG26" s="224" t="s">
        <v>72</v>
      </c>
      <c r="AH26" s="224">
        <v>18</v>
      </c>
      <c r="AI26" s="224">
        <v>16.078399999999998</v>
      </c>
      <c r="AJ26" s="224" t="s">
        <v>72</v>
      </c>
      <c r="AK26" s="7"/>
      <c r="AL26" s="224" t="s">
        <v>72</v>
      </c>
      <c r="AM26" s="224" t="s">
        <v>72</v>
      </c>
      <c r="AN26" s="224" t="s">
        <v>72</v>
      </c>
      <c r="AO26" s="224">
        <v>0</v>
      </c>
      <c r="AP26" s="224" t="s">
        <v>72</v>
      </c>
      <c r="AQ26" s="224">
        <v>0</v>
      </c>
      <c r="AR26" s="224">
        <v>0</v>
      </c>
      <c r="AS26" s="224">
        <v>0</v>
      </c>
      <c r="AT26" s="224">
        <v>0</v>
      </c>
      <c r="AU26" s="224">
        <v>0</v>
      </c>
      <c r="AV26" s="224">
        <v>0</v>
      </c>
      <c r="AW26" s="224">
        <v>0</v>
      </c>
      <c r="AX26" s="224">
        <v>0</v>
      </c>
      <c r="AY26" s="224">
        <v>0</v>
      </c>
      <c r="AZ26" s="224">
        <v>0</v>
      </c>
      <c r="BA26" s="224" t="s">
        <v>72</v>
      </c>
      <c r="BB26" s="7"/>
    </row>
    <row r="27" spans="1:54">
      <c r="A27" s="11" t="s">
        <v>340</v>
      </c>
      <c r="B27" s="7" t="s">
        <v>341</v>
      </c>
      <c r="C27" s="7"/>
      <c r="D27" s="224">
        <v>31.9239</v>
      </c>
      <c r="E27" s="224">
        <v>44.283200000000001</v>
      </c>
      <c r="F27" s="224">
        <v>69.131200000000007</v>
      </c>
      <c r="G27" s="224">
        <v>120.2799</v>
      </c>
      <c r="H27" s="224" t="s">
        <v>72</v>
      </c>
      <c r="I27" s="224" t="s">
        <v>72</v>
      </c>
      <c r="J27" s="224" t="s">
        <v>72</v>
      </c>
      <c r="K27" s="224" t="s">
        <v>72</v>
      </c>
      <c r="L27" s="224">
        <v>30.331</v>
      </c>
      <c r="M27" s="224">
        <v>28.051400000000001</v>
      </c>
      <c r="N27" s="224">
        <v>28.773900000000001</v>
      </c>
      <c r="O27" s="224">
        <v>27.1736</v>
      </c>
      <c r="P27" s="224">
        <v>5.5661000000000005</v>
      </c>
      <c r="Q27" s="224" t="s">
        <v>72</v>
      </c>
      <c r="R27" s="224" t="s">
        <v>72</v>
      </c>
      <c r="S27" s="224" t="s">
        <v>72</v>
      </c>
      <c r="T27" s="7"/>
      <c r="U27" s="224" t="s">
        <v>72</v>
      </c>
      <c r="V27" s="224">
        <v>126.1354</v>
      </c>
      <c r="W27" s="224">
        <v>47.308700000000002</v>
      </c>
      <c r="X27" s="224">
        <v>66.9131</v>
      </c>
      <c r="Y27" s="224" t="s">
        <v>72</v>
      </c>
      <c r="Z27" s="224">
        <v>26.601500000000001</v>
      </c>
      <c r="AA27" s="224">
        <v>26.230499999999999</v>
      </c>
      <c r="AB27" s="224">
        <v>26.7759</v>
      </c>
      <c r="AC27" s="224" t="s">
        <v>72</v>
      </c>
      <c r="AD27" s="224">
        <v>20.8614</v>
      </c>
      <c r="AE27" s="224">
        <v>28.6663</v>
      </c>
      <c r="AF27" s="224">
        <v>22.8614</v>
      </c>
      <c r="AG27" s="224" t="s">
        <v>72</v>
      </c>
      <c r="AH27" s="224">
        <v>7.6380999999999997</v>
      </c>
      <c r="AI27" s="224" t="s">
        <v>72</v>
      </c>
      <c r="AJ27" s="224" t="s">
        <v>72</v>
      </c>
      <c r="AK27" s="7"/>
      <c r="AL27" s="224">
        <v>8.9190000000000005</v>
      </c>
      <c r="AM27" s="224" t="s">
        <v>72</v>
      </c>
      <c r="AN27" s="224" t="s">
        <v>72</v>
      </c>
      <c r="AO27" s="224" t="s">
        <v>72</v>
      </c>
      <c r="AP27" s="224">
        <v>8.8629999999999995</v>
      </c>
      <c r="AQ27" s="224" t="s">
        <v>72</v>
      </c>
      <c r="AR27" s="224" t="s">
        <v>72</v>
      </c>
      <c r="AS27" s="224" t="s">
        <v>72</v>
      </c>
      <c r="AT27" s="224">
        <v>9.2349999999999994</v>
      </c>
      <c r="AU27" s="224" t="s">
        <v>72</v>
      </c>
      <c r="AV27" s="224" t="s">
        <v>72</v>
      </c>
      <c r="AW27" s="224" t="s">
        <v>72</v>
      </c>
      <c r="AX27" s="224">
        <v>9.3689999999999998</v>
      </c>
      <c r="AY27" s="224" t="s">
        <v>72</v>
      </c>
      <c r="AZ27" s="224" t="s">
        <v>72</v>
      </c>
      <c r="BA27" s="224" t="s">
        <v>72</v>
      </c>
      <c r="BB27" s="7"/>
    </row>
    <row r="28" spans="1:54">
      <c r="A28" s="11"/>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row>
    <row r="29" spans="1:54">
      <c r="A29" s="11"/>
      <c r="B29" s="11" t="s">
        <v>1788</v>
      </c>
      <c r="C29" s="7"/>
      <c r="D29" s="7" t="s">
        <v>446</v>
      </c>
      <c r="E29" s="7"/>
      <c r="F29" s="7"/>
      <c r="G29" s="7"/>
      <c r="H29" s="2001" t="s">
        <v>1789</v>
      </c>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row>
    <row r="30" spans="1:54">
      <c r="A30" s="11"/>
      <c r="B30" s="7"/>
      <c r="C30" s="7"/>
      <c r="D30" s="7" t="s">
        <v>343</v>
      </c>
      <c r="E30" s="7"/>
      <c r="F30" s="7"/>
      <c r="G30" s="7"/>
      <c r="H30" s="2190" t="s">
        <v>1790</v>
      </c>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row>
    <row r="31" spans="1:54">
      <c r="A31" s="11"/>
      <c r="B31" s="7"/>
      <c r="C31" s="7"/>
      <c r="D31" s="7" t="s">
        <v>467</v>
      </c>
      <c r="E31" s="7"/>
      <c r="F31" s="7"/>
      <c r="G31" s="7"/>
      <c r="H31" s="2190" t="s">
        <v>1790</v>
      </c>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row>
    <row r="32" spans="1:54">
      <c r="A32" s="11"/>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row>
    <row r="33" spans="1:54">
      <c r="A33" s="11"/>
      <c r="B33" s="11" t="s">
        <v>1786</v>
      </c>
      <c r="C33" s="7"/>
      <c r="D33" s="11" t="s">
        <v>398</v>
      </c>
      <c r="E33" s="7"/>
      <c r="F33" s="7"/>
      <c r="G33" s="7"/>
      <c r="H33" s="7"/>
      <c r="I33" s="7"/>
      <c r="J33" s="7"/>
      <c r="K33" s="7"/>
      <c r="L33" s="7"/>
      <c r="M33" s="7"/>
      <c r="N33" s="11"/>
      <c r="O33" s="124"/>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row>
    <row r="34" spans="1:54">
      <c r="A34" s="11"/>
      <c r="B34" s="7"/>
      <c r="C34" s="7"/>
      <c r="D34" s="7" t="s">
        <v>400</v>
      </c>
      <c r="E34" s="7"/>
      <c r="F34" s="7"/>
      <c r="G34" s="7"/>
      <c r="H34" s="7"/>
      <c r="I34" s="7"/>
      <c r="J34" s="7"/>
      <c r="K34" s="7"/>
      <c r="L34" s="7"/>
      <c r="M34" s="7"/>
      <c r="N34" s="7"/>
      <c r="O34" s="124"/>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row>
    <row r="35" spans="1:54">
      <c r="A35" s="11"/>
      <c r="B35" s="7"/>
      <c r="C35" s="7"/>
      <c r="D35" s="7" t="s">
        <v>458</v>
      </c>
      <c r="E35" s="7"/>
      <c r="F35" s="7"/>
      <c r="G35" s="7"/>
      <c r="H35" s="11" t="s">
        <v>1771</v>
      </c>
      <c r="I35" s="7"/>
      <c r="J35" s="7"/>
      <c r="K35" s="7"/>
      <c r="L35" s="7"/>
      <c r="M35" s="7"/>
      <c r="N35" s="7"/>
      <c r="O35" s="124"/>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row>
    <row r="36" spans="1:54">
      <c r="A36" s="11"/>
      <c r="B36" s="7"/>
      <c r="C36" s="7"/>
      <c r="D36" s="7" t="s">
        <v>460</v>
      </c>
      <c r="E36" s="7"/>
      <c r="F36" s="7"/>
      <c r="G36" s="7"/>
      <c r="H36" s="11" t="s">
        <v>1770</v>
      </c>
      <c r="I36" s="7"/>
      <c r="J36" s="7"/>
      <c r="K36" s="7"/>
      <c r="L36" s="7"/>
      <c r="M36" s="7"/>
      <c r="N36" s="7"/>
      <c r="O36" s="124"/>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row>
    <row r="37" spans="1:54">
      <c r="A37" s="11"/>
      <c r="B37" s="7"/>
      <c r="C37" s="7"/>
      <c r="D37" s="7" t="s">
        <v>462</v>
      </c>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row>
    <row r="38" spans="1:54">
      <c r="A38" s="11"/>
      <c r="B38" s="7"/>
      <c r="C38" s="7"/>
      <c r="D38" s="7" t="s">
        <v>464</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row>
    <row r="39" spans="1:54">
      <c r="A39" s="11"/>
      <c r="B39" s="7"/>
      <c r="C39" s="7"/>
      <c r="D39" s="7" t="s">
        <v>473</v>
      </c>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row>
    <row r="40" spans="1:54">
      <c r="A40" s="11"/>
      <c r="B40" s="7"/>
      <c r="C40" s="7"/>
      <c r="D40" s="11" t="s">
        <v>474</v>
      </c>
      <c r="E40" s="7"/>
      <c r="F40" s="7"/>
      <c r="G40" s="7"/>
      <c r="H40" s="11" t="s">
        <v>1769</v>
      </c>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row>
    <row r="41" spans="1:54">
      <c r="A41" s="11"/>
      <c r="B41" s="7"/>
      <c r="C41" s="7"/>
      <c r="D41" s="11" t="s">
        <v>478</v>
      </c>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row>
    <row r="42" spans="1:54">
      <c r="A42" s="11"/>
      <c r="B42" s="7"/>
      <c r="C42" s="7"/>
      <c r="D42" s="11"/>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row>
    <row r="43" spans="1:54">
      <c r="A43" s="11"/>
      <c r="B43" s="11" t="s">
        <v>1787</v>
      </c>
      <c r="C43" s="7"/>
      <c r="D43" s="7" t="s">
        <v>453</v>
      </c>
      <c r="E43" s="7"/>
      <c r="F43" s="7"/>
      <c r="G43" s="7"/>
      <c r="H43" s="11" t="s">
        <v>1772</v>
      </c>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row>
    <row r="44" spans="1:54">
      <c r="A44" s="11"/>
      <c r="B44" s="7"/>
      <c r="C44" s="7"/>
      <c r="D44" s="7" t="s">
        <v>454</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row>
    <row r="45" spans="1:54">
      <c r="A45" s="11"/>
      <c r="B45" s="7"/>
      <c r="C45" s="7"/>
      <c r="D45" s="7" t="s">
        <v>468</v>
      </c>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row>
    <row r="46" spans="1:54">
      <c r="A46" s="11"/>
      <c r="B46" s="7"/>
      <c r="C46" s="7"/>
      <c r="D46" s="11" t="s">
        <v>470</v>
      </c>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row>
    <row r="47" spans="1:54">
      <c r="A47" s="11"/>
      <c r="B47" s="7"/>
      <c r="C47" s="7"/>
      <c r="D47" s="7" t="s">
        <v>471</v>
      </c>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row>
    <row r="48" spans="1:54">
      <c r="A48" s="11"/>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row>
    <row r="49" spans="1:54">
      <c r="A49" s="11"/>
      <c r="B49" s="11" t="s">
        <v>451</v>
      </c>
      <c r="C49" s="7"/>
      <c r="D49" s="7" t="s">
        <v>399</v>
      </c>
      <c r="E49" s="7"/>
      <c r="F49" s="7"/>
      <c r="G49" s="7"/>
      <c r="H49" s="11" t="s">
        <v>1773</v>
      </c>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row>
    <row r="50" spans="1:54">
      <c r="A50" s="11"/>
      <c r="B50" s="7"/>
      <c r="C50" s="7"/>
      <c r="D50" s="7" t="s">
        <v>455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row>
    <row r="51" spans="1:54">
      <c r="A51" s="11"/>
      <c r="B51" s="7"/>
      <c r="C51" s="7"/>
      <c r="D51" s="7" t="s">
        <v>456</v>
      </c>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row>
    <row r="52" spans="1:54">
      <c r="A52" s="11"/>
      <c r="B52" s="7"/>
      <c r="C52" s="7"/>
      <c r="D52" s="7" t="s">
        <v>457</v>
      </c>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row>
    <row r="53" spans="1:54">
      <c r="A53" s="11"/>
      <c r="B53" s="7"/>
      <c r="C53" s="7"/>
      <c r="D53" s="7" t="s">
        <v>459</v>
      </c>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row>
    <row r="54" spans="1:54">
      <c r="A54" s="11"/>
      <c r="B54" s="7"/>
      <c r="C54" s="7"/>
      <c r="D54" s="7" t="s">
        <v>461</v>
      </c>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row>
    <row r="55" spans="1:54">
      <c r="A55" s="11"/>
      <c r="B55" s="7"/>
      <c r="C55" s="7"/>
      <c r="D55" s="7" t="s">
        <v>463</v>
      </c>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row>
    <row r="56" spans="1:54">
      <c r="A56" s="11"/>
      <c r="B56" s="7"/>
      <c r="C56" s="7"/>
      <c r="D56" s="7" t="s">
        <v>465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row>
    <row r="57" spans="1:54">
      <c r="A57" s="11"/>
      <c r="B57" s="7"/>
      <c r="C57" s="7"/>
      <c r="D57" s="7" t="s">
        <v>466</v>
      </c>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row>
    <row r="58" spans="1:54">
      <c r="A58" s="11"/>
      <c r="B58" s="7"/>
      <c r="C58" s="7"/>
      <c r="D58" s="7" t="s">
        <v>469</v>
      </c>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row>
    <row r="59" spans="1:54">
      <c r="A59" s="11"/>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row>
    <row r="60" spans="1:54" s="2286" customFormat="1">
      <c r="A60" s="2285"/>
    </row>
  </sheetData>
  <hyperlinks>
    <hyperlink ref="H29" location="'Bloom Cleaner Data'!AO3" display="Cf. here"/>
    <hyperlink ref="H30" location="'Bloom Cleaner Data'!EH3" display="'Bloom Cleaner Data'!EH3"/>
    <hyperlink ref="H31" location="'Bloom Cleaner Data'!FO3" display="Cf. her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sheetPr>
  <dimension ref="B1:R99"/>
  <sheetViews>
    <sheetView showGridLines="0" zoomScaleNormal="100" workbookViewId="0">
      <pane ySplit="2" topLeftCell="A3" activePane="bottomLeft" state="frozen"/>
      <selection pane="bottomLeft" activeCell="Q76" sqref="Q76"/>
    </sheetView>
  </sheetViews>
  <sheetFormatPr defaultColWidth="11.5703125" defaultRowHeight="12.75"/>
  <cols>
    <col min="1" max="1" width="0.7109375" style="1223" customWidth="1"/>
    <col min="2" max="2" width="3.42578125" style="1223" customWidth="1"/>
    <col min="3" max="3" width="13" style="1223" customWidth="1"/>
    <col min="4" max="4" width="14" style="1223" customWidth="1"/>
    <col min="5" max="10" width="11.5703125" style="1223"/>
    <col min="11" max="11" width="12.140625" style="1223" customWidth="1"/>
    <col min="12" max="13" width="11.140625" style="1223" customWidth="1"/>
    <col min="14" max="15" width="11.5703125" style="1223"/>
    <col min="16" max="16" width="12" style="1223" customWidth="1"/>
    <col min="17" max="17" width="14.140625" style="2426" customWidth="1"/>
    <col min="18" max="18" width="3.7109375" style="1223" customWidth="1"/>
    <col min="19" max="16384" width="11.5703125" style="1223"/>
  </cols>
  <sheetData>
    <row r="1" spans="2:18" ht="3" customHeight="1"/>
    <row r="2" spans="2:18" ht="13.9" customHeight="1">
      <c r="B2" s="1224" t="s">
        <v>1114</v>
      </c>
      <c r="C2" s="1225"/>
      <c r="D2" s="1226" t="s">
        <v>1145</v>
      </c>
      <c r="E2" s="3017" t="s">
        <v>2114</v>
      </c>
      <c r="F2" s="3018"/>
      <c r="G2" s="1234"/>
      <c r="H2" s="1234"/>
      <c r="I2" s="1234"/>
      <c r="J2" s="1234"/>
      <c r="K2" s="1234"/>
      <c r="L2" s="1234"/>
      <c r="M2" s="1234"/>
      <c r="N2" s="1234"/>
      <c r="O2" s="1227"/>
      <c r="P2" s="1227"/>
      <c r="Q2" s="2427"/>
      <c r="R2" s="1227"/>
    </row>
    <row r="3" spans="2:18">
      <c r="B3" s="1227"/>
      <c r="C3" s="1227"/>
      <c r="D3" s="1227"/>
      <c r="E3" s="1227"/>
      <c r="F3" s="1227"/>
      <c r="G3" s="1227"/>
      <c r="H3" s="1227"/>
      <c r="I3" s="1227"/>
      <c r="J3" s="1227"/>
      <c r="K3" s="1227"/>
      <c r="L3" s="1227"/>
      <c r="M3" s="1227"/>
      <c r="N3" s="1227"/>
      <c r="O3" s="1227"/>
      <c r="P3" s="1227"/>
      <c r="Q3" s="2427"/>
      <c r="R3" s="1227"/>
    </row>
    <row r="4" spans="2:18">
      <c r="B4" s="1227"/>
      <c r="C4" s="1785" t="s">
        <v>1815</v>
      </c>
      <c r="D4" s="1785"/>
      <c r="E4" s="1786"/>
      <c r="F4" s="1784"/>
      <c r="G4" s="1784"/>
      <c r="H4" s="1784"/>
      <c r="I4" s="1784"/>
      <c r="J4" s="1784"/>
      <c r="K4" s="1784"/>
      <c r="L4" s="1784"/>
      <c r="M4" s="1784"/>
      <c r="N4" s="1784"/>
      <c r="O4" s="1227"/>
      <c r="P4" s="1227"/>
      <c r="Q4" s="2427"/>
      <c r="R4" s="1227"/>
    </row>
    <row r="5" spans="2:18" s="2225" customFormat="1" ht="6.6" customHeight="1">
      <c r="B5" s="2224"/>
      <c r="C5" s="1229"/>
      <c r="D5" s="1229"/>
      <c r="E5" s="1229"/>
      <c r="F5" s="1229"/>
      <c r="G5" s="1229"/>
      <c r="H5" s="1229"/>
      <c r="I5" s="1229"/>
      <c r="J5" s="1229"/>
      <c r="K5" s="1229"/>
      <c r="L5" s="1229"/>
      <c r="M5" s="1229"/>
      <c r="N5" s="1229"/>
      <c r="O5" s="1229"/>
      <c r="P5" s="2224"/>
      <c r="Q5" s="2226"/>
      <c r="R5" s="2343"/>
    </row>
    <row r="6" spans="2:18" s="2225" customFormat="1">
      <c r="B6" s="2224"/>
      <c r="C6" s="1232" t="s">
        <v>1816</v>
      </c>
      <c r="D6" s="1229"/>
      <c r="E6" s="1229"/>
      <c r="F6" s="1229"/>
      <c r="G6" s="1229"/>
      <c r="H6" s="1229"/>
      <c r="I6" s="1229"/>
      <c r="J6" s="1229"/>
      <c r="K6" s="1229"/>
      <c r="L6" s="1229"/>
      <c r="M6" s="1229"/>
      <c r="N6" s="1229"/>
      <c r="O6" s="1229"/>
      <c r="P6" s="2224"/>
      <c r="Q6" s="2226"/>
      <c r="R6" s="2343"/>
    </row>
    <row r="7" spans="2:18" s="2225" customFormat="1">
      <c r="B7" s="2224"/>
      <c r="C7" s="2228" t="s">
        <v>1824</v>
      </c>
      <c r="D7" s="1229"/>
      <c r="E7" s="1229"/>
      <c r="F7" s="1229"/>
      <c r="G7" s="1229"/>
      <c r="H7" s="1229"/>
      <c r="I7" s="1229"/>
      <c r="J7" s="1229"/>
      <c r="K7" s="1229"/>
      <c r="L7" s="1229"/>
      <c r="M7" s="1229"/>
      <c r="N7" s="1229"/>
      <c r="O7" s="1229"/>
      <c r="P7" s="2224"/>
      <c r="Q7" s="2226"/>
      <c r="R7" s="2343"/>
    </row>
    <row r="8" spans="2:18" s="2225" customFormat="1">
      <c r="B8" s="2224"/>
      <c r="C8" s="2228" t="s">
        <v>2121</v>
      </c>
      <c r="D8" s="1229"/>
      <c r="E8" s="1229"/>
      <c r="F8" s="1229"/>
      <c r="G8" s="1229"/>
      <c r="H8" s="1229"/>
      <c r="I8" s="1229"/>
      <c r="J8" s="1229"/>
      <c r="K8" s="1229"/>
      <c r="L8" s="1229"/>
      <c r="M8" s="1229"/>
      <c r="N8" s="1229"/>
      <c r="O8" s="1229"/>
      <c r="P8" s="2224"/>
      <c r="Q8" s="2226"/>
      <c r="R8" s="2343"/>
    </row>
    <row r="9" spans="2:18" s="2225" customFormat="1">
      <c r="B9" s="2224"/>
      <c r="C9" s="2230" t="s">
        <v>1820</v>
      </c>
      <c r="D9" s="2230"/>
      <c r="E9" s="2230"/>
      <c r="F9" s="2230"/>
      <c r="G9" s="2230"/>
      <c r="H9" s="2230"/>
      <c r="I9" s="2230"/>
      <c r="J9" s="2230"/>
      <c r="K9" s="2230"/>
      <c r="L9" s="2233"/>
      <c r="M9" s="2230"/>
      <c r="N9" s="2230"/>
      <c r="O9" s="2230"/>
      <c r="P9" s="2233"/>
      <c r="Q9" s="3009" t="s">
        <v>2106</v>
      </c>
      <c r="R9" s="2343"/>
    </row>
    <row r="10" spans="2:18" s="2225" customFormat="1" ht="13.15" customHeight="1">
      <c r="B10" s="2224"/>
      <c r="C10" s="2231" t="s">
        <v>1817</v>
      </c>
      <c r="D10" s="2230"/>
      <c r="E10" s="2230"/>
      <c r="F10" s="2230"/>
      <c r="G10" s="2230"/>
      <c r="H10" s="2230"/>
      <c r="I10" s="2230"/>
      <c r="J10" s="2230"/>
      <c r="K10" s="2230"/>
      <c r="L10" s="2343"/>
      <c r="M10" s="4010" t="s">
        <v>2113</v>
      </c>
      <c r="N10" s="4010"/>
      <c r="O10" s="4010"/>
      <c r="P10" s="4010"/>
      <c r="Q10" s="4010"/>
      <c r="R10" s="2343"/>
    </row>
    <row r="11" spans="2:18" s="2225" customFormat="1">
      <c r="B11" s="2224"/>
      <c r="C11" s="2231" t="s">
        <v>1818</v>
      </c>
      <c r="D11" s="2230"/>
      <c r="E11" s="2230"/>
      <c r="F11" s="2230"/>
      <c r="G11" s="2230"/>
      <c r="H11" s="2230"/>
      <c r="I11" s="2230"/>
      <c r="J11" s="2230"/>
      <c r="K11" s="2230"/>
      <c r="L11" s="2238"/>
      <c r="M11" s="4010"/>
      <c r="N11" s="4010"/>
      <c r="O11" s="4010"/>
      <c r="P11" s="4010"/>
      <c r="Q11" s="4010"/>
      <c r="R11" s="2343"/>
    </row>
    <row r="12" spans="2:18" s="2225" customFormat="1" ht="5.45" customHeight="1">
      <c r="B12" s="2224"/>
      <c r="C12" s="2231"/>
      <c r="D12" s="2230"/>
      <c r="E12" s="2230"/>
      <c r="F12" s="2230"/>
      <c r="G12" s="2230"/>
      <c r="H12" s="2230"/>
      <c r="I12" s="2230"/>
      <c r="J12" s="2230"/>
      <c r="K12" s="2230"/>
      <c r="L12" s="2235"/>
      <c r="M12" s="2235"/>
      <c r="N12" s="2235"/>
      <c r="O12" s="2235"/>
      <c r="P12" s="2235"/>
      <c r="Q12" s="2428"/>
      <c r="R12" s="2343"/>
    </row>
    <row r="13" spans="2:18" s="2225" customFormat="1">
      <c r="B13" s="2224"/>
      <c r="C13" s="2230" t="s">
        <v>1819</v>
      </c>
      <c r="D13" s="2230"/>
      <c r="E13" s="2230"/>
      <c r="F13" s="2230"/>
      <c r="G13" s="2230"/>
      <c r="H13" s="2230"/>
      <c r="I13" s="2230"/>
      <c r="J13" s="2230"/>
      <c r="K13" s="2230"/>
      <c r="L13" s="1229"/>
      <c r="M13" s="1229"/>
      <c r="N13" s="1229"/>
      <c r="O13" s="1229"/>
      <c r="P13" s="2224"/>
      <c r="Q13" s="2226"/>
      <c r="R13" s="2343"/>
    </row>
    <row r="14" spans="2:18" s="2225" customFormat="1">
      <c r="B14" s="2224"/>
      <c r="C14" s="2228" t="s">
        <v>2091</v>
      </c>
      <c r="D14" s="2230"/>
      <c r="E14" s="2230"/>
      <c r="F14" s="2230"/>
      <c r="G14" s="2230"/>
      <c r="H14" s="2230"/>
      <c r="I14" s="2230"/>
      <c r="J14" s="2230"/>
      <c r="K14" s="2230"/>
      <c r="L14" s="1229"/>
      <c r="M14" s="1229"/>
      <c r="N14" s="1229"/>
      <c r="O14" s="1229"/>
      <c r="P14" s="2224"/>
      <c r="Q14" s="2226"/>
      <c r="R14" s="2343"/>
    </row>
    <row r="15" spans="2:18" s="2225" customFormat="1">
      <c r="B15" s="2224"/>
      <c r="C15" s="2232" t="s">
        <v>2095</v>
      </c>
      <c r="D15" s="2230"/>
      <c r="E15" s="2230"/>
      <c r="F15" s="2230"/>
      <c r="G15" s="2230"/>
      <c r="H15" s="2230"/>
      <c r="I15" s="2230"/>
      <c r="J15" s="2343"/>
      <c r="K15" s="2230"/>
      <c r="L15" s="2230"/>
      <c r="M15" s="2230"/>
      <c r="N15" s="2230"/>
      <c r="O15" s="3009" t="s">
        <v>2108</v>
      </c>
      <c r="P15" s="2343"/>
      <c r="Q15" s="3002" t="s">
        <v>2109</v>
      </c>
      <c r="R15" s="2343"/>
    </row>
    <row r="16" spans="2:18" s="2225" customFormat="1">
      <c r="B16" s="2224"/>
      <c r="C16" s="2229" t="s">
        <v>1901</v>
      </c>
      <c r="D16" s="1229"/>
      <c r="E16" s="1229"/>
      <c r="F16" s="1229"/>
      <c r="G16" s="1229"/>
      <c r="H16" s="1229"/>
      <c r="I16" s="1229"/>
      <c r="J16" s="1229"/>
      <c r="K16" s="1229"/>
      <c r="L16" s="1229"/>
      <c r="M16" s="1229"/>
      <c r="N16" s="1229"/>
      <c r="O16" s="1229"/>
      <c r="P16" s="2226"/>
      <c r="Q16" s="2343"/>
      <c r="R16" s="2343"/>
    </row>
    <row r="17" spans="2:18" s="2225" customFormat="1">
      <c r="B17" s="2224"/>
      <c r="C17" s="4014" t="s">
        <v>2092</v>
      </c>
      <c r="D17" s="4014"/>
      <c r="E17" s="4014"/>
      <c r="F17" s="4014"/>
      <c r="G17" s="4014"/>
      <c r="H17" s="4014"/>
      <c r="I17" s="4014"/>
      <c r="J17" s="4014"/>
      <c r="K17" s="4014"/>
      <c r="L17" s="4014"/>
      <c r="M17" s="4014"/>
      <c r="N17" s="4014"/>
      <c r="O17" s="4014"/>
      <c r="P17" s="4014"/>
      <c r="Q17" s="3008"/>
      <c r="R17" s="2343"/>
    </row>
    <row r="18" spans="2:18" s="2225" customFormat="1">
      <c r="B18" s="2224"/>
      <c r="C18" s="4014"/>
      <c r="D18" s="4014"/>
      <c r="E18" s="4014"/>
      <c r="F18" s="4014"/>
      <c r="G18" s="4014"/>
      <c r="H18" s="4014"/>
      <c r="I18" s="4014"/>
      <c r="J18" s="4014"/>
      <c r="K18" s="4014"/>
      <c r="L18" s="4014"/>
      <c r="M18" s="4014"/>
      <c r="N18" s="4014"/>
      <c r="O18" s="4014"/>
      <c r="P18" s="4014"/>
      <c r="Q18" s="3008"/>
      <c r="R18" s="2343"/>
    </row>
    <row r="19" spans="2:18" s="2225" customFormat="1">
      <c r="B19" s="2343"/>
      <c r="C19" s="2432" t="s">
        <v>2093</v>
      </c>
      <c r="D19" s="2955"/>
      <c r="E19" s="2955"/>
      <c r="F19" s="2955"/>
      <c r="G19" s="2955"/>
      <c r="H19" s="2955"/>
      <c r="I19" s="2955"/>
      <c r="J19" s="2955"/>
      <c r="K19" s="2955"/>
      <c r="L19" s="2955"/>
      <c r="M19" s="2955"/>
      <c r="N19" s="2955"/>
      <c r="O19" s="2955"/>
      <c r="P19" s="2955"/>
      <c r="Q19" s="2955"/>
      <c r="R19" s="2343"/>
    </row>
    <row r="20" spans="2:18" s="2225" customFormat="1" ht="13.15" customHeight="1">
      <c r="B20" s="2224"/>
      <c r="C20" s="1232"/>
      <c r="D20" s="1232"/>
      <c r="E20" s="1232"/>
      <c r="F20" s="1232"/>
      <c r="G20" s="1232"/>
      <c r="H20" s="1232"/>
      <c r="I20" s="1232"/>
      <c r="J20" s="1232"/>
      <c r="K20" s="1232"/>
      <c r="L20" s="1232"/>
      <c r="M20" s="1232"/>
      <c r="N20" s="1232"/>
      <c r="O20" s="1229"/>
      <c r="P20" s="2224"/>
      <c r="Q20" s="2226"/>
      <c r="R20" s="2343"/>
    </row>
    <row r="21" spans="2:18" s="2225" customFormat="1" ht="13.15" customHeight="1">
      <c r="B21" s="2224"/>
      <c r="C21" s="1785" t="s">
        <v>1825</v>
      </c>
      <c r="D21" s="1785"/>
      <c r="E21" s="1786"/>
      <c r="F21" s="1786"/>
      <c r="G21" s="1786"/>
      <c r="H21" s="1786"/>
      <c r="I21" s="1786"/>
      <c r="J21" s="1786"/>
      <c r="K21" s="1786"/>
      <c r="L21" s="1786"/>
      <c r="M21" s="1786"/>
      <c r="N21" s="1786"/>
      <c r="O21" s="1229"/>
      <c r="P21" s="2224"/>
      <c r="Q21" s="2226"/>
      <c r="R21" s="2343"/>
    </row>
    <row r="22" spans="2:18" s="2225" customFormat="1" ht="6.6" customHeight="1">
      <c r="B22" s="2224"/>
      <c r="C22" s="1229"/>
      <c r="D22" s="1229"/>
      <c r="E22" s="1229"/>
      <c r="F22" s="1229"/>
      <c r="G22" s="1229"/>
      <c r="H22" s="1229"/>
      <c r="I22" s="1229"/>
      <c r="J22" s="1229"/>
      <c r="K22" s="1229"/>
      <c r="L22" s="1229"/>
      <c r="M22" s="1229"/>
      <c r="N22" s="1229"/>
      <c r="O22" s="1229"/>
      <c r="P22" s="2224"/>
      <c r="Q22" s="2226"/>
      <c r="R22" s="2343"/>
    </row>
    <row r="23" spans="2:18" s="2225" customFormat="1" ht="13.15" customHeight="1">
      <c r="B23" s="2224"/>
      <c r="C23" s="1232" t="s">
        <v>1838</v>
      </c>
      <c r="D23" s="1232"/>
      <c r="E23" s="1232"/>
      <c r="F23" s="1232"/>
      <c r="G23" s="1232"/>
      <c r="H23" s="1232"/>
      <c r="I23" s="1232"/>
      <c r="J23" s="1232"/>
      <c r="K23" s="1232"/>
      <c r="L23" s="1232"/>
      <c r="M23" s="1232"/>
      <c r="N23" s="1232"/>
      <c r="O23" s="1232"/>
      <c r="P23" s="3009"/>
      <c r="Q23" s="3002" t="s">
        <v>2107</v>
      </c>
      <c r="R23" s="2343"/>
    </row>
    <row r="24" spans="2:18" s="2225" customFormat="1" ht="13.15" customHeight="1">
      <c r="B24" s="2224"/>
      <c r="C24" s="1232" t="s">
        <v>1839</v>
      </c>
      <c r="D24" s="1232"/>
      <c r="E24" s="1232"/>
      <c r="F24" s="1232"/>
      <c r="G24" s="1232"/>
      <c r="H24" s="1232"/>
      <c r="I24" s="1232"/>
      <c r="J24" s="1232"/>
      <c r="K24" s="1232"/>
      <c r="L24" s="1232"/>
      <c r="M24" s="1232"/>
      <c r="N24" s="1232"/>
      <c r="O24" s="1232"/>
      <c r="P24" s="1232"/>
      <c r="Q24" s="2429"/>
      <c r="R24" s="2343"/>
    </row>
    <row r="25" spans="2:18" s="2225" customFormat="1">
      <c r="B25" s="2224"/>
      <c r="C25" s="4015" t="s">
        <v>1498</v>
      </c>
      <c r="D25" s="4015"/>
      <c r="E25" s="4015"/>
      <c r="F25" s="4015"/>
      <c r="G25" s="4015"/>
      <c r="H25" s="4015"/>
      <c r="I25" s="4015"/>
      <c r="J25" s="4015"/>
      <c r="K25" s="4015"/>
      <c r="L25" s="4015"/>
      <c r="M25" s="4015"/>
      <c r="N25" s="4015"/>
      <c r="O25" s="4015"/>
      <c r="P25" s="4015"/>
      <c r="Q25" s="2430"/>
      <c r="R25" s="2343"/>
    </row>
    <row r="26" spans="2:18" s="2225" customFormat="1">
      <c r="B26" s="2224"/>
      <c r="C26" s="4015"/>
      <c r="D26" s="4015"/>
      <c r="E26" s="4015"/>
      <c r="F26" s="4015"/>
      <c r="G26" s="4015"/>
      <c r="H26" s="4015"/>
      <c r="I26" s="4015"/>
      <c r="J26" s="4015"/>
      <c r="K26" s="4015"/>
      <c r="L26" s="4015"/>
      <c r="M26" s="4015"/>
      <c r="N26" s="4015"/>
      <c r="O26" s="4015"/>
      <c r="P26" s="4015"/>
      <c r="Q26" s="2430"/>
      <c r="R26" s="2343"/>
    </row>
    <row r="27" spans="2:18" s="2225" customFormat="1" ht="5.45" customHeight="1">
      <c r="B27" s="2224"/>
      <c r="C27" s="2234"/>
      <c r="D27" s="2234"/>
      <c r="E27" s="2234"/>
      <c r="F27" s="2234"/>
      <c r="G27" s="2234"/>
      <c r="H27" s="2234"/>
      <c r="I27" s="2234"/>
      <c r="J27" s="2234"/>
      <c r="K27" s="2234"/>
      <c r="L27" s="2234"/>
      <c r="M27" s="2234"/>
      <c r="N27" s="2234"/>
      <c r="O27" s="2234"/>
      <c r="P27" s="2234"/>
      <c r="Q27" s="3012"/>
      <c r="R27" s="2343"/>
    </row>
    <row r="28" spans="2:18" s="2225" customFormat="1">
      <c r="B28" s="2224"/>
      <c r="C28" s="1229" t="s">
        <v>2805</v>
      </c>
      <c r="D28" s="2234"/>
      <c r="E28" s="2234"/>
      <c r="F28" s="2234"/>
      <c r="G28" s="2234"/>
      <c r="H28" s="2234"/>
      <c r="I28" s="2234"/>
      <c r="J28" s="2234"/>
      <c r="K28" s="2234"/>
      <c r="L28" s="2224"/>
      <c r="M28" s="2224"/>
      <c r="N28" s="2234"/>
      <c r="O28" s="2234"/>
      <c r="P28" s="2266"/>
      <c r="Q28" s="3013" t="s">
        <v>2097</v>
      </c>
      <c r="R28" s="2343"/>
    </row>
    <row r="29" spans="2:18" s="2225" customFormat="1">
      <c r="B29" s="2224"/>
      <c r="C29" s="2236" t="s">
        <v>2098</v>
      </c>
      <c r="D29" s="2234"/>
      <c r="E29" s="2234"/>
      <c r="F29" s="2234"/>
      <c r="G29" s="2234"/>
      <c r="H29" s="2234"/>
      <c r="I29" s="2234"/>
      <c r="J29" s="2234"/>
      <c r="K29" s="2234"/>
      <c r="L29" s="2234"/>
      <c r="M29" s="2234"/>
      <c r="N29" s="2234"/>
      <c r="O29" s="2234"/>
      <c r="P29" s="2343"/>
      <c r="Q29" s="3014" t="s">
        <v>2100</v>
      </c>
      <c r="R29" s="2343"/>
    </row>
    <row r="30" spans="2:18" s="2225" customFormat="1">
      <c r="B30" s="2343"/>
      <c r="C30" s="2228" t="s">
        <v>2094</v>
      </c>
      <c r="D30" s="1229"/>
      <c r="E30" s="1229"/>
      <c r="F30" s="1229"/>
      <c r="G30" s="1229"/>
      <c r="H30" s="1229"/>
      <c r="I30" s="1229"/>
      <c r="J30" s="1229"/>
      <c r="K30" s="1229"/>
      <c r="L30" s="1229"/>
      <c r="M30" s="1229"/>
      <c r="N30" s="1229"/>
      <c r="O30" s="2234"/>
      <c r="P30" s="3014"/>
      <c r="Q30" s="3014" t="s">
        <v>2099</v>
      </c>
      <c r="R30" s="2343"/>
    </row>
    <row r="31" spans="2:18" s="2225" customFormat="1">
      <c r="B31" s="2343"/>
      <c r="C31" s="2227" t="s">
        <v>2096</v>
      </c>
      <c r="D31" s="1229"/>
      <c r="E31" s="1229"/>
      <c r="F31" s="1229"/>
      <c r="G31" s="1229"/>
      <c r="H31" s="1229"/>
      <c r="I31" s="1229"/>
      <c r="J31" s="1229"/>
      <c r="K31" s="1229"/>
      <c r="L31" s="1229"/>
      <c r="M31" s="1229"/>
      <c r="N31" s="1229"/>
      <c r="O31" s="2234"/>
      <c r="P31" s="3011"/>
      <c r="Q31" s="3011" t="s">
        <v>2101</v>
      </c>
      <c r="R31" s="2343"/>
    </row>
    <row r="32" spans="2:18" s="2225" customFormat="1">
      <c r="B32" s="2224"/>
      <c r="C32" s="1229" t="s">
        <v>1840</v>
      </c>
      <c r="D32" s="1229"/>
      <c r="E32" s="1229"/>
      <c r="F32" s="1229"/>
      <c r="G32" s="1229"/>
      <c r="H32" s="1229"/>
      <c r="I32" s="2224"/>
      <c r="J32" s="2224"/>
      <c r="K32" s="1229"/>
      <c r="L32" s="1229"/>
      <c r="M32" s="2266"/>
      <c r="N32" s="2266"/>
      <c r="O32" s="1229"/>
      <c r="P32" s="2224"/>
      <c r="Q32" s="2343"/>
      <c r="R32" s="2343"/>
    </row>
    <row r="33" spans="2:18" s="2225" customFormat="1">
      <c r="B33" s="2224"/>
      <c r="C33" s="1229"/>
      <c r="D33" s="1229"/>
      <c r="E33" s="1229"/>
      <c r="F33" s="1229"/>
      <c r="G33" s="1229"/>
      <c r="H33" s="1229"/>
      <c r="I33" s="1229"/>
      <c r="J33" s="1229"/>
      <c r="K33" s="1229"/>
      <c r="L33" s="1229"/>
      <c r="M33" s="1229"/>
      <c r="N33" s="1229"/>
      <c r="O33" s="1229"/>
      <c r="P33" s="2224"/>
      <c r="Q33" s="2226"/>
      <c r="R33" s="2343"/>
    </row>
    <row r="34" spans="2:18" s="2225" customFormat="1" ht="13.15" customHeight="1">
      <c r="B34" s="2224"/>
      <c r="C34" s="1785" t="s">
        <v>1115</v>
      </c>
      <c r="D34" s="1785"/>
      <c r="E34" s="1786"/>
      <c r="F34" s="1229"/>
      <c r="G34" s="1229"/>
      <c r="H34" s="1229"/>
      <c r="I34" s="1229"/>
      <c r="J34" s="1229"/>
      <c r="K34" s="1229"/>
      <c r="L34" s="1229"/>
      <c r="M34" s="1229"/>
      <c r="N34" s="1229"/>
      <c r="O34" s="1229"/>
      <c r="P34" s="2343"/>
      <c r="Q34" s="2226"/>
      <c r="R34" s="2343"/>
    </row>
    <row r="35" spans="2:18" s="2225" customFormat="1" ht="6.6" customHeight="1">
      <c r="B35" s="2224"/>
      <c r="C35" s="1229"/>
      <c r="D35" s="1229"/>
      <c r="E35" s="1229"/>
      <c r="F35" s="1229"/>
      <c r="G35" s="1229"/>
      <c r="H35" s="1229"/>
      <c r="I35" s="1229"/>
      <c r="J35" s="1229"/>
      <c r="K35" s="1229"/>
      <c r="L35" s="1229"/>
      <c r="M35" s="1229"/>
      <c r="N35" s="1229"/>
      <c r="O35" s="1229"/>
      <c r="P35" s="2343"/>
      <c r="Q35" s="2226"/>
      <c r="R35" s="2343"/>
    </row>
    <row r="36" spans="2:18" s="2225" customFormat="1">
      <c r="B36" s="2224"/>
      <c r="C36" s="2228" t="s">
        <v>2110</v>
      </c>
      <c r="D36" s="1229"/>
      <c r="E36" s="1229"/>
      <c r="F36" s="1229"/>
      <c r="G36" s="1229"/>
      <c r="H36" s="1229"/>
      <c r="I36" s="1229"/>
      <c r="J36" s="1229"/>
      <c r="K36" s="1229"/>
      <c r="L36" s="1229"/>
      <c r="M36" s="1229"/>
      <c r="N36" s="1229"/>
      <c r="O36" s="2343"/>
      <c r="P36" s="2343"/>
      <c r="Q36" s="3009" t="s">
        <v>2111</v>
      </c>
      <c r="R36" s="2343"/>
    </row>
    <row r="37" spans="2:18" s="2225" customFormat="1">
      <c r="B37" s="2343"/>
      <c r="C37" s="2240" t="s">
        <v>2105</v>
      </c>
      <c r="D37" s="1229"/>
      <c r="E37" s="1229"/>
      <c r="F37" s="1229"/>
      <c r="G37" s="1229"/>
      <c r="H37" s="1229"/>
      <c r="I37" s="1229"/>
      <c r="J37" s="1229"/>
      <c r="K37" s="2343"/>
      <c r="L37" s="2237" t="s">
        <v>2103</v>
      </c>
      <c r="M37" s="2343"/>
      <c r="N37" s="2343"/>
      <c r="O37" s="2343"/>
      <c r="P37" s="2233"/>
      <c r="Q37" s="3009" t="s">
        <v>2102</v>
      </c>
      <c r="R37" s="2343"/>
    </row>
    <row r="38" spans="2:18" s="2225" customFormat="1">
      <c r="B38" s="2343"/>
      <c r="C38" s="2241" t="s">
        <v>1821</v>
      </c>
      <c r="D38" s="1229"/>
      <c r="E38" s="1229"/>
      <c r="F38" s="1229"/>
      <c r="G38" s="1229"/>
      <c r="H38" s="1229"/>
      <c r="I38" s="1229"/>
      <c r="J38" s="1229"/>
      <c r="K38" s="1229"/>
      <c r="L38" s="1229"/>
      <c r="M38" s="2237"/>
      <c r="N38" s="1229"/>
      <c r="O38" s="1229"/>
      <c r="P38" s="2233"/>
      <c r="Q38" s="3009" t="s">
        <v>2112</v>
      </c>
      <c r="R38" s="2233"/>
    </row>
    <row r="39" spans="2:18" s="2225" customFormat="1">
      <c r="B39" s="2224"/>
      <c r="C39" s="2241" t="s">
        <v>2104</v>
      </c>
      <c r="D39" s="2230"/>
      <c r="E39" s="2230"/>
      <c r="F39" s="2233"/>
      <c r="G39" s="2230"/>
      <c r="H39" s="2230"/>
      <c r="I39" s="2230"/>
      <c r="J39" s="2230"/>
      <c r="K39" s="2230"/>
      <c r="L39" s="2230"/>
      <c r="M39" s="2237"/>
      <c r="N39" s="1229"/>
      <c r="O39" s="1229"/>
      <c r="P39" s="2224"/>
      <c r="Q39" s="2343"/>
      <c r="R39" s="2343"/>
    </row>
    <row r="40" spans="2:18" s="3003" customFormat="1">
      <c r="B40" s="1233"/>
      <c r="C40" s="1229"/>
      <c r="D40" s="1233"/>
      <c r="E40" s="1233"/>
      <c r="F40" s="1233"/>
      <c r="G40" s="1233"/>
      <c r="H40" s="1233"/>
      <c r="I40" s="1233"/>
      <c r="J40" s="1233"/>
      <c r="K40" s="1233"/>
      <c r="L40" s="1233"/>
      <c r="M40" s="1229"/>
      <c r="N40" s="1233"/>
      <c r="O40" s="1233"/>
      <c r="P40" s="1229"/>
      <c r="Q40" s="1233"/>
      <c r="R40" s="1229"/>
    </row>
    <row r="41" spans="2:18" s="3003" customFormat="1" ht="3.75" customHeight="1">
      <c r="B41" s="3004"/>
      <c r="D41" s="3004"/>
      <c r="E41" s="3004"/>
      <c r="F41" s="3004"/>
      <c r="G41" s="3004"/>
      <c r="H41" s="3004"/>
      <c r="I41" s="3004"/>
      <c r="J41" s="3004"/>
      <c r="K41" s="3004"/>
      <c r="L41" s="3004"/>
      <c r="N41" s="3004"/>
      <c r="O41" s="3004"/>
      <c r="Q41" s="3004"/>
    </row>
    <row r="42" spans="2:18" s="3003" customFormat="1">
      <c r="B42" s="1233"/>
      <c r="C42" s="1229"/>
      <c r="D42" s="1233"/>
      <c r="E42" s="1233"/>
      <c r="F42" s="1233"/>
      <c r="G42" s="1233"/>
      <c r="H42" s="1233"/>
      <c r="I42" s="1233"/>
      <c r="J42" s="1233"/>
      <c r="K42" s="1233"/>
      <c r="L42" s="1233"/>
      <c r="M42" s="1229"/>
      <c r="N42" s="1233"/>
      <c r="O42" s="1233"/>
      <c r="P42" s="1229"/>
      <c r="Q42" s="1233"/>
      <c r="R42" s="1229"/>
    </row>
    <row r="43" spans="2:18" s="2225" customFormat="1">
      <c r="B43" s="2224"/>
      <c r="C43" s="1785" t="s">
        <v>2115</v>
      </c>
      <c r="D43" s="1785"/>
      <c r="E43" s="3005"/>
      <c r="F43" s="3006"/>
      <c r="G43" s="1229"/>
      <c r="H43" s="1229"/>
      <c r="I43" s="1229"/>
      <c r="J43" s="1229"/>
      <c r="K43" s="1229"/>
      <c r="L43" s="1229"/>
      <c r="M43" s="1229"/>
      <c r="N43" s="1229"/>
      <c r="O43" s="1229"/>
      <c r="P43" s="2224"/>
      <c r="Q43" s="2226"/>
      <c r="R43" s="2343"/>
    </row>
    <row r="44" spans="2:18" s="2225" customFormat="1" ht="6.6" customHeight="1">
      <c r="B44" s="2224"/>
      <c r="C44" s="1229"/>
      <c r="D44" s="1229"/>
      <c r="E44" s="1229"/>
      <c r="F44" s="1229"/>
      <c r="G44" s="1229"/>
      <c r="H44" s="1229"/>
      <c r="I44" s="1229"/>
      <c r="J44" s="1229"/>
      <c r="K44" s="1229"/>
      <c r="L44" s="1229"/>
      <c r="M44" s="1229"/>
      <c r="N44" s="1229"/>
      <c r="O44" s="1229"/>
      <c r="P44" s="2224"/>
      <c r="Q44" s="2226"/>
      <c r="R44" s="2343"/>
    </row>
    <row r="45" spans="2:18" s="2225" customFormat="1">
      <c r="B45" s="2224"/>
      <c r="C45" s="1229" t="s">
        <v>1900</v>
      </c>
      <c r="D45" s="1229"/>
      <c r="E45" s="1229"/>
      <c r="F45" s="1229"/>
      <c r="G45" s="1229"/>
      <c r="H45" s="1229"/>
      <c r="I45" s="1229"/>
      <c r="J45" s="1229"/>
      <c r="K45" s="1229"/>
      <c r="L45" s="1229"/>
      <c r="M45" s="1229"/>
      <c r="N45" s="2224"/>
      <c r="O45" s="1229"/>
      <c r="P45" s="1233"/>
      <c r="Q45" s="2343"/>
      <c r="R45" s="2343"/>
    </row>
    <row r="46" spans="2:18" s="2225" customFormat="1" ht="13.15" customHeight="1">
      <c r="B46" s="2224"/>
      <c r="C46" s="1232" t="s">
        <v>2402</v>
      </c>
      <c r="D46" s="1232"/>
      <c r="E46" s="1232"/>
      <c r="F46" s="1232"/>
      <c r="G46" s="1232"/>
      <c r="H46" s="1232"/>
      <c r="I46" s="1232"/>
      <c r="J46" s="1232"/>
      <c r="K46" s="1232"/>
      <c r="L46" s="1232"/>
      <c r="M46" s="1232"/>
      <c r="N46" s="1232"/>
      <c r="O46" s="1232"/>
      <c r="P46" s="1232"/>
      <c r="Q46" s="2429"/>
      <c r="R46" s="2343"/>
    </row>
    <row r="47" spans="2:18" s="2225" customFormat="1" ht="13.15" customHeight="1">
      <c r="B47" s="2343"/>
      <c r="C47" s="1232" t="s">
        <v>2118</v>
      </c>
      <c r="D47" s="1232"/>
      <c r="E47" s="1232"/>
      <c r="F47" s="1232"/>
      <c r="G47" s="1232"/>
      <c r="H47" s="1232"/>
      <c r="I47" s="1232"/>
      <c r="J47" s="1232"/>
      <c r="K47" s="1232"/>
      <c r="L47" s="1232"/>
      <c r="M47" s="1232"/>
      <c r="N47" s="1232"/>
      <c r="O47" s="1232"/>
      <c r="P47" s="1232"/>
      <c r="Q47" s="2429"/>
      <c r="R47" s="2343"/>
    </row>
    <row r="48" spans="2:18" s="2225" customFormat="1">
      <c r="B48" s="2224"/>
      <c r="C48" s="1232" t="s">
        <v>2117</v>
      </c>
      <c r="D48" s="1232"/>
      <c r="E48" s="1232"/>
      <c r="F48" s="1232"/>
      <c r="G48" s="1232"/>
      <c r="H48" s="1232"/>
      <c r="I48" s="1232"/>
      <c r="J48" s="1232"/>
      <c r="K48" s="1232"/>
      <c r="L48" s="1232"/>
      <c r="M48" s="1232"/>
      <c r="N48" s="1232"/>
      <c r="O48" s="1232"/>
      <c r="P48" s="1232"/>
      <c r="Q48" s="2429"/>
      <c r="R48" s="2343"/>
    </row>
    <row r="49" spans="2:18" s="2225" customFormat="1" ht="6.6" customHeight="1">
      <c r="B49" s="2224"/>
      <c r="C49" s="2239"/>
      <c r="D49" s="2239"/>
      <c r="E49" s="2239"/>
      <c r="F49" s="2239"/>
      <c r="G49" s="2239"/>
      <c r="H49" s="2239"/>
      <c r="I49" s="2239"/>
      <c r="J49" s="2239"/>
      <c r="K49" s="2239"/>
      <c r="L49" s="2239"/>
      <c r="M49" s="2239"/>
      <c r="N49" s="2239"/>
      <c r="O49" s="2239"/>
      <c r="P49" s="2239"/>
      <c r="Q49" s="2431"/>
      <c r="R49" s="2343"/>
    </row>
    <row r="50" spans="2:18" s="2225" customFormat="1" ht="13.15" customHeight="1">
      <c r="B50" s="2224"/>
      <c r="C50" s="1232" t="s">
        <v>1499</v>
      </c>
      <c r="D50" s="1232"/>
      <c r="E50" s="1232"/>
      <c r="F50" s="1232"/>
      <c r="G50" s="1232"/>
      <c r="H50" s="1232"/>
      <c r="I50" s="1232"/>
      <c r="J50" s="1232"/>
      <c r="K50" s="1232"/>
      <c r="L50" s="1232"/>
      <c r="M50" s="1232"/>
      <c r="N50" s="1232"/>
      <c r="O50" s="1232"/>
      <c r="P50" s="1232"/>
      <c r="Q50" s="2429"/>
      <c r="R50" s="2343"/>
    </row>
    <row r="51" spans="2:18" s="2225" customFormat="1">
      <c r="B51" s="2224"/>
      <c r="C51" s="2228" t="s">
        <v>1822</v>
      </c>
      <c r="D51" s="1232"/>
      <c r="E51" s="1232"/>
      <c r="F51" s="1232"/>
      <c r="G51" s="1232"/>
      <c r="H51" s="1232"/>
      <c r="I51" s="1232"/>
      <c r="J51" s="1232"/>
      <c r="K51" s="1232"/>
      <c r="L51" s="1232"/>
      <c r="M51" s="1232"/>
      <c r="N51" s="1232"/>
      <c r="O51" s="1232"/>
      <c r="P51" s="1232"/>
      <c r="Q51" s="2429"/>
      <c r="R51" s="2343"/>
    </row>
    <row r="52" spans="2:18" s="2225" customFormat="1" ht="13.15" customHeight="1">
      <c r="B52" s="2224"/>
      <c r="C52" s="2228" t="s">
        <v>1823</v>
      </c>
      <c r="D52" s="2227"/>
      <c r="E52" s="2227"/>
      <c r="F52" s="2227"/>
      <c r="G52" s="2227"/>
      <c r="H52" s="2227"/>
      <c r="I52" s="2227"/>
      <c r="J52" s="2227"/>
      <c r="K52" s="2227"/>
      <c r="L52" s="2227"/>
      <c r="M52" s="2227"/>
      <c r="N52" s="2227"/>
      <c r="O52" s="2227"/>
      <c r="P52" s="2227"/>
      <c r="Q52" s="2432"/>
      <c r="R52" s="2343"/>
    </row>
    <row r="53" spans="2:18" s="2225" customFormat="1" ht="12.75" customHeight="1">
      <c r="B53" s="2224"/>
      <c r="C53" s="2425" t="s">
        <v>2119</v>
      </c>
      <c r="D53" s="2425"/>
      <c r="E53" s="2425"/>
      <c r="F53" s="2425"/>
      <c r="G53" s="2425"/>
      <c r="H53" s="2425"/>
      <c r="I53" s="2425"/>
      <c r="J53" s="2425"/>
      <c r="K53" s="2425"/>
      <c r="L53" s="2425"/>
      <c r="M53" s="2425"/>
      <c r="N53" s="2425"/>
      <c r="O53" s="2425"/>
      <c r="P53" s="2425"/>
      <c r="Q53" s="2433"/>
      <c r="R53" s="2343"/>
    </row>
    <row r="54" spans="2:18" s="2225" customFormat="1" ht="12.75" customHeight="1">
      <c r="B54" s="2343"/>
      <c r="C54" s="2425" t="s">
        <v>2120</v>
      </c>
      <c r="D54" s="2425"/>
      <c r="E54" s="2425"/>
      <c r="F54" s="2425"/>
      <c r="G54" s="2425"/>
      <c r="H54" s="2425"/>
      <c r="I54" s="2425"/>
      <c r="J54" s="2425"/>
      <c r="K54" s="2425"/>
      <c r="L54" s="2425"/>
      <c r="M54" s="2425"/>
      <c r="N54" s="2425"/>
      <c r="O54" s="2425"/>
      <c r="P54" s="2425"/>
      <c r="Q54" s="2433"/>
      <c r="R54" s="2343"/>
    </row>
    <row r="55" spans="2:18" s="2225" customFormat="1">
      <c r="B55" s="2224"/>
      <c r="C55" s="2425"/>
      <c r="D55" s="2425"/>
      <c r="E55" s="2425"/>
      <c r="F55" s="2425"/>
      <c r="G55" s="2425"/>
      <c r="H55" s="2425"/>
      <c r="I55" s="2425"/>
      <c r="J55" s="2425"/>
      <c r="K55" s="2425"/>
      <c r="L55" s="2425"/>
      <c r="M55" s="2425"/>
      <c r="N55" s="2425"/>
      <c r="O55" s="2425"/>
      <c r="P55" s="2425"/>
      <c r="Q55" s="2433"/>
      <c r="R55" s="2343"/>
    </row>
    <row r="56" spans="2:18" s="2225" customFormat="1">
      <c r="B56" s="2343"/>
      <c r="C56" s="1785" t="s">
        <v>2116</v>
      </c>
      <c r="D56" s="1785"/>
      <c r="E56" s="3005"/>
      <c r="F56" s="3006"/>
      <c r="G56" s="1229"/>
      <c r="H56" s="1229"/>
      <c r="I56" s="1229"/>
      <c r="J56" s="1229"/>
      <c r="K56" s="1229"/>
      <c r="L56" s="1229"/>
      <c r="M56" s="1229"/>
      <c r="N56" s="1229"/>
      <c r="O56" s="1229"/>
      <c r="P56" s="2343"/>
      <c r="Q56" s="2226"/>
      <c r="R56" s="2343"/>
    </row>
    <row r="57" spans="2:18" s="2225" customFormat="1" ht="6.6" customHeight="1">
      <c r="B57" s="2343"/>
      <c r="C57" s="1229"/>
      <c r="D57" s="1229"/>
      <c r="E57" s="1229"/>
      <c r="F57" s="1229"/>
      <c r="G57" s="1229"/>
      <c r="H57" s="1229"/>
      <c r="I57" s="1229"/>
      <c r="J57" s="1229"/>
      <c r="K57" s="1229"/>
      <c r="L57" s="1229"/>
      <c r="M57" s="1229"/>
      <c r="N57" s="1229"/>
      <c r="O57" s="1229"/>
      <c r="P57" s="2343"/>
      <c r="Q57" s="2226"/>
      <c r="R57" s="2343"/>
    </row>
    <row r="58" spans="2:18" s="2225" customFormat="1">
      <c r="B58" s="2343"/>
      <c r="C58" s="1229" t="s">
        <v>2124</v>
      </c>
      <c r="D58" s="1229"/>
      <c r="E58" s="1229"/>
      <c r="F58" s="1229"/>
      <c r="G58" s="1229"/>
      <c r="H58" s="1229"/>
      <c r="I58" s="1229"/>
      <c r="J58" s="1229"/>
      <c r="K58" s="1229"/>
      <c r="L58" s="1229"/>
      <c r="M58" s="1229"/>
      <c r="N58" s="1229"/>
      <c r="O58" s="1229"/>
      <c r="P58" s="2343"/>
      <c r="Q58" s="3011" t="s">
        <v>2342</v>
      </c>
      <c r="R58" s="2343"/>
    </row>
    <row r="59" spans="2:18" s="2225" customFormat="1" ht="6.6" customHeight="1">
      <c r="B59" s="2343"/>
      <c r="C59" s="2239"/>
      <c r="D59" s="2239"/>
      <c r="E59" s="2239"/>
      <c r="F59" s="2239"/>
      <c r="G59" s="2239"/>
      <c r="H59" s="2239"/>
      <c r="I59" s="2239"/>
      <c r="J59" s="2239"/>
      <c r="K59" s="2239"/>
      <c r="L59" s="2239"/>
      <c r="M59" s="2239"/>
      <c r="N59" s="2239"/>
      <c r="O59" s="2239"/>
      <c r="P59" s="2239"/>
      <c r="Q59" s="2431"/>
      <c r="R59" s="2343"/>
    </row>
    <row r="60" spans="2:18" s="2225" customFormat="1" ht="12.75" customHeight="1">
      <c r="B60" s="2343"/>
      <c r="C60" s="3019" t="s">
        <v>2122</v>
      </c>
      <c r="D60" s="3007"/>
      <c r="E60" s="3016"/>
      <c r="F60" s="3016"/>
      <c r="G60" s="1229"/>
      <c r="H60" s="1229"/>
      <c r="I60" s="1229"/>
      <c r="J60" s="1229"/>
      <c r="K60" s="1229"/>
      <c r="L60" s="1229"/>
      <c r="M60" s="1229"/>
      <c r="N60" s="1229"/>
      <c r="O60" s="1229"/>
      <c r="P60" s="2343"/>
      <c r="Q60" s="2226"/>
      <c r="R60" s="2343"/>
    </row>
    <row r="61" spans="2:18" s="2225" customFormat="1" ht="6.6" customHeight="1">
      <c r="B61" s="2343"/>
      <c r="C61" s="2239"/>
      <c r="D61" s="2239"/>
      <c r="E61" s="2239"/>
      <c r="F61" s="2239"/>
      <c r="G61" s="2239"/>
      <c r="H61" s="2239"/>
      <c r="I61" s="2239"/>
      <c r="J61" s="2239"/>
      <c r="K61" s="2239"/>
      <c r="L61" s="2239"/>
      <c r="M61" s="2239"/>
      <c r="N61" s="2239"/>
      <c r="O61" s="2239"/>
      <c r="P61" s="2239"/>
      <c r="Q61" s="2431"/>
      <c r="R61" s="2343"/>
    </row>
    <row r="62" spans="2:18" s="2225" customFormat="1">
      <c r="B62" s="2343"/>
      <c r="C62" s="11" t="s">
        <v>2782</v>
      </c>
      <c r="D62" s="2425"/>
      <c r="E62" s="2425"/>
      <c r="F62" s="2425"/>
      <c r="G62" s="2425"/>
      <c r="H62" s="2425"/>
      <c r="I62" s="2425"/>
      <c r="J62" s="2425"/>
      <c r="K62" s="2425"/>
      <c r="L62" s="2425"/>
      <c r="M62" s="2425"/>
      <c r="N62" s="2425"/>
      <c r="O62" s="2425"/>
      <c r="P62" s="2425"/>
      <c r="Q62" s="2433"/>
      <c r="R62" s="2343"/>
    </row>
    <row r="63" spans="2:18" s="2225" customFormat="1">
      <c r="B63" s="2343"/>
      <c r="C63" s="1229" t="s">
        <v>2783</v>
      </c>
      <c r="D63" s="1802" t="s">
        <v>2781</v>
      </c>
      <c r="E63" s="1229"/>
      <c r="F63" s="2343"/>
      <c r="G63" s="2343"/>
      <c r="H63" s="1229"/>
      <c r="I63" s="1229"/>
      <c r="J63" s="1229"/>
      <c r="K63" s="1229"/>
      <c r="L63" s="1229"/>
      <c r="M63" s="1229"/>
      <c r="N63" s="1229"/>
      <c r="O63" s="1229"/>
      <c r="P63" s="2343"/>
      <c r="Q63" s="2226"/>
      <c r="R63" s="2343"/>
    </row>
    <row r="64" spans="2:18" s="2225" customFormat="1">
      <c r="B64" s="2343"/>
      <c r="C64" s="1229"/>
      <c r="D64" s="1801" t="s">
        <v>2784</v>
      </c>
      <c r="E64" s="1229"/>
      <c r="F64" s="2343"/>
      <c r="G64" s="2343"/>
      <c r="H64" s="1229"/>
      <c r="I64" s="1229"/>
      <c r="J64" s="1229"/>
      <c r="K64" s="1229"/>
      <c r="L64" s="1229"/>
      <c r="M64" s="1229"/>
      <c r="N64" s="1229"/>
      <c r="O64" s="1229"/>
      <c r="P64" s="3398"/>
      <c r="Q64" s="3011" t="s">
        <v>2785</v>
      </c>
      <c r="R64" s="2343"/>
    </row>
    <row r="65" spans="2:18" s="2225" customFormat="1">
      <c r="B65" s="2343"/>
      <c r="C65" s="11" t="s">
        <v>2806</v>
      </c>
      <c r="D65" s="1229"/>
      <c r="E65" s="1229"/>
      <c r="F65" s="1229"/>
      <c r="G65" s="2343"/>
      <c r="H65" s="1229"/>
      <c r="I65" s="1229"/>
      <c r="J65" s="1229"/>
      <c r="K65" s="1229"/>
      <c r="L65" s="1229"/>
      <c r="M65" s="1229"/>
      <c r="N65" s="1229"/>
      <c r="O65" s="1229"/>
      <c r="P65" s="2343"/>
      <c r="Q65" s="3010"/>
      <c r="R65" s="2343"/>
    </row>
    <row r="66" spans="2:18" s="2225" customFormat="1" ht="6.6" customHeight="1">
      <c r="B66" s="2343"/>
      <c r="C66" s="2239"/>
      <c r="D66" s="2239"/>
      <c r="E66" s="2239"/>
      <c r="F66" s="2239"/>
      <c r="G66" s="2239"/>
      <c r="H66" s="2239"/>
      <c r="I66" s="2239"/>
      <c r="J66" s="2239"/>
      <c r="K66" s="2239"/>
      <c r="L66" s="2239"/>
      <c r="M66" s="2239"/>
      <c r="N66" s="2239"/>
      <c r="O66" s="2239"/>
      <c r="P66" s="2239"/>
      <c r="Q66" s="2431"/>
      <c r="R66" s="2343"/>
    </row>
    <row r="67" spans="2:18" s="2225" customFormat="1">
      <c r="B67" s="2343"/>
      <c r="C67" s="3020" t="s">
        <v>2123</v>
      </c>
      <c r="D67" s="3007"/>
      <c r="E67" s="3016"/>
      <c r="F67" s="3016"/>
      <c r="G67" s="1802"/>
      <c r="H67" s="1229"/>
      <c r="I67" s="1229"/>
      <c r="J67" s="1229"/>
      <c r="K67" s="1229"/>
      <c r="L67" s="1229"/>
      <c r="M67" s="1229"/>
      <c r="N67" s="1229"/>
      <c r="O67" s="1229"/>
      <c r="P67" s="2343"/>
      <c r="Q67" s="3010"/>
      <c r="R67" s="2343"/>
    </row>
    <row r="68" spans="2:18" s="3003" customFormat="1">
      <c r="B68" s="1233"/>
      <c r="C68" s="1229"/>
      <c r="D68" s="1233"/>
      <c r="E68" s="1233"/>
      <c r="F68" s="1233"/>
      <c r="G68" s="1233"/>
      <c r="H68" s="1233"/>
      <c r="I68" s="1233"/>
      <c r="J68" s="1233"/>
      <c r="K68" s="1233"/>
      <c r="L68" s="1233"/>
      <c r="M68" s="1229"/>
      <c r="N68" s="1233"/>
      <c r="O68" s="1233"/>
      <c r="P68" s="1229"/>
      <c r="Q68" s="1233"/>
      <c r="R68" s="1229"/>
    </row>
    <row r="69" spans="2:18" s="2225" customFormat="1">
      <c r="B69" s="2343"/>
      <c r="C69" s="1229" t="s">
        <v>2813</v>
      </c>
      <c r="D69" s="1229"/>
      <c r="E69" s="1229"/>
      <c r="F69" s="1229"/>
      <c r="G69" s="1802"/>
      <c r="H69" s="1229"/>
      <c r="I69" s="1229"/>
      <c r="J69" s="1229"/>
      <c r="K69" s="1229"/>
      <c r="L69" s="1229"/>
      <c r="M69" s="1229"/>
      <c r="N69" s="1229"/>
      <c r="O69" s="1229"/>
      <c r="P69" s="2343"/>
      <c r="Q69" s="3010"/>
      <c r="R69" s="2343"/>
    </row>
    <row r="70" spans="2:18" s="2225" customFormat="1" ht="6.6" customHeight="1">
      <c r="B70" s="2343"/>
      <c r="C70" s="2239"/>
      <c r="D70" s="2239"/>
      <c r="E70" s="2239"/>
      <c r="F70" s="2239"/>
      <c r="G70" s="2239"/>
      <c r="H70" s="2239"/>
      <c r="I70" s="2239"/>
      <c r="J70" s="2239"/>
      <c r="K70" s="2239"/>
      <c r="L70" s="2239"/>
      <c r="M70" s="2239"/>
      <c r="N70" s="2239"/>
      <c r="O70" s="2239"/>
      <c r="P70" s="2239"/>
      <c r="Q70" s="2431"/>
      <c r="R70" s="2343"/>
    </row>
    <row r="71" spans="2:18" s="2225" customFormat="1" ht="12.75" customHeight="1">
      <c r="B71" s="2343"/>
      <c r="C71" s="4006" t="s">
        <v>95</v>
      </c>
      <c r="D71" s="4011" t="s">
        <v>2808</v>
      </c>
      <c r="E71" s="4011"/>
      <c r="F71" s="4011"/>
      <c r="G71" s="4011"/>
      <c r="H71" s="4011"/>
      <c r="I71" s="4011"/>
      <c r="J71" s="4011"/>
      <c r="K71" s="4011"/>
      <c r="L71" s="4011"/>
      <c r="M71" s="4011"/>
      <c r="N71" s="4011"/>
      <c r="O71" s="4011"/>
      <c r="P71" s="4011"/>
      <c r="Q71" s="2433"/>
      <c r="R71" s="2343"/>
    </row>
    <row r="72" spans="2:18" s="2225" customFormat="1">
      <c r="B72" s="2343"/>
      <c r="C72" s="1232"/>
      <c r="D72" s="4011"/>
      <c r="E72" s="4011"/>
      <c r="F72" s="4011"/>
      <c r="G72" s="4011"/>
      <c r="H72" s="4011"/>
      <c r="I72" s="4011"/>
      <c r="J72" s="4011"/>
      <c r="K72" s="4011"/>
      <c r="L72" s="4011"/>
      <c r="M72" s="4011"/>
      <c r="N72" s="4011"/>
      <c r="O72" s="4011"/>
      <c r="P72" s="4011"/>
      <c r="Q72" s="2433"/>
      <c r="R72" s="2343"/>
    </row>
    <row r="73" spans="2:18" s="2225" customFormat="1" ht="12.75" customHeight="1">
      <c r="B73" s="2343"/>
      <c r="C73" s="2343"/>
      <c r="D73" s="2228" t="s">
        <v>2809</v>
      </c>
      <c r="E73" s="1229"/>
      <c r="F73" s="1229"/>
      <c r="G73" s="1229"/>
      <c r="H73" s="1229"/>
      <c r="I73" s="1229"/>
      <c r="J73" s="1229"/>
      <c r="K73" s="1229"/>
      <c r="L73" s="1229"/>
      <c r="M73" s="1229"/>
      <c r="N73" s="1229"/>
      <c r="O73" s="1229"/>
      <c r="P73" s="2343"/>
      <c r="Q73" s="3015"/>
      <c r="R73" s="2343"/>
    </row>
    <row r="74" spans="2:18" s="2225" customFormat="1" ht="12.75" customHeight="1">
      <c r="B74" s="2343"/>
      <c r="C74" s="2343"/>
      <c r="D74" s="4012" t="s">
        <v>2810</v>
      </c>
      <c r="E74" s="4012"/>
      <c r="F74" s="4012"/>
      <c r="G74" s="4012"/>
      <c r="H74" s="4012"/>
      <c r="I74" s="4012"/>
      <c r="J74" s="4012"/>
      <c r="K74" s="4012"/>
      <c r="L74" s="4012"/>
      <c r="M74" s="4012"/>
      <c r="N74" s="4012"/>
      <c r="O74" s="4012"/>
      <c r="P74" s="4012"/>
      <c r="Q74" s="3015"/>
      <c r="R74" s="2343"/>
    </row>
    <row r="75" spans="2:18" s="2225" customFormat="1">
      <c r="B75" s="2343"/>
      <c r="C75" s="1229"/>
      <c r="D75" s="4012"/>
      <c r="E75" s="4012"/>
      <c r="F75" s="4012"/>
      <c r="G75" s="4012"/>
      <c r="H75" s="4012"/>
      <c r="I75" s="4012"/>
      <c r="J75" s="4012"/>
      <c r="K75" s="4012"/>
      <c r="L75" s="4012"/>
      <c r="M75" s="4012"/>
      <c r="N75" s="4012"/>
      <c r="O75" s="4012"/>
      <c r="P75" s="4012"/>
      <c r="Q75" s="2226"/>
      <c r="R75" s="2343"/>
    </row>
    <row r="76" spans="2:18" s="2225" customFormat="1">
      <c r="B76" s="2343"/>
      <c r="C76" s="1229"/>
      <c r="D76" s="2228"/>
      <c r="E76" s="1229"/>
      <c r="F76" s="1229"/>
      <c r="G76" s="1229"/>
      <c r="H76" s="1229"/>
      <c r="I76" s="1229"/>
      <c r="J76" s="1229"/>
      <c r="K76" s="1229"/>
      <c r="L76" s="1229"/>
      <c r="M76" s="1229"/>
      <c r="N76" s="1229"/>
      <c r="O76" s="1229"/>
      <c r="P76" s="2343"/>
      <c r="Q76" s="2226"/>
      <c r="R76" s="2343"/>
    </row>
    <row r="77" spans="2:18" s="2225" customFormat="1">
      <c r="B77" s="2343"/>
      <c r="C77" s="4006" t="s">
        <v>87</v>
      </c>
      <c r="D77" s="2228" t="s">
        <v>2807</v>
      </c>
      <c r="E77" s="1229"/>
      <c r="F77" s="1229"/>
      <c r="G77" s="1229"/>
      <c r="H77" s="1229"/>
      <c r="I77" s="1229"/>
      <c r="J77" s="1229"/>
      <c r="K77" s="1229"/>
      <c r="L77" s="1229"/>
      <c r="M77" s="1229"/>
      <c r="N77" s="1229"/>
      <c r="O77" s="1229"/>
      <c r="P77" s="2343"/>
      <c r="Q77" s="2226"/>
      <c r="R77" s="2343"/>
    </row>
    <row r="78" spans="2:18" s="2225" customFormat="1">
      <c r="B78" s="2343"/>
      <c r="C78" s="2343"/>
      <c r="D78" s="4011" t="s">
        <v>2812</v>
      </c>
      <c r="E78" s="4011"/>
      <c r="F78" s="4011"/>
      <c r="G78" s="4011"/>
      <c r="H78" s="4011"/>
      <c r="I78" s="4011"/>
      <c r="J78" s="4011"/>
      <c r="K78" s="4011"/>
      <c r="L78" s="4011"/>
      <c r="M78" s="4011"/>
      <c r="N78" s="4011"/>
      <c r="O78" s="4011"/>
      <c r="P78" s="4011"/>
      <c r="Q78" s="2226"/>
      <c r="R78" s="2343"/>
    </row>
    <row r="79" spans="2:18" s="2225" customFormat="1">
      <c r="B79" s="2343"/>
      <c r="C79" s="2343"/>
      <c r="D79" s="4011"/>
      <c r="E79" s="4011"/>
      <c r="F79" s="4011"/>
      <c r="G79" s="4011"/>
      <c r="H79" s="4011"/>
      <c r="I79" s="4011"/>
      <c r="J79" s="4011"/>
      <c r="K79" s="4011"/>
      <c r="L79" s="4011"/>
      <c r="M79" s="4011"/>
      <c r="N79" s="4011"/>
      <c r="O79" s="4011"/>
      <c r="P79" s="4011"/>
      <c r="Q79" s="2226"/>
      <c r="R79" s="2343"/>
    </row>
    <row r="80" spans="2:18" s="2225" customFormat="1">
      <c r="B80" s="2343"/>
      <c r="C80" s="2343"/>
      <c r="D80" s="4011"/>
      <c r="E80" s="4011"/>
      <c r="F80" s="4011"/>
      <c r="G80" s="4011"/>
      <c r="H80" s="4011"/>
      <c r="I80" s="4011"/>
      <c r="J80" s="4011"/>
      <c r="K80" s="4011"/>
      <c r="L80" s="4011"/>
      <c r="M80" s="4011"/>
      <c r="N80" s="4011"/>
      <c r="O80" s="4011"/>
      <c r="P80" s="4011"/>
      <c r="Q80" s="2226"/>
      <c r="R80" s="2343"/>
    </row>
    <row r="81" spans="2:18" s="2225" customFormat="1">
      <c r="B81" s="2343"/>
      <c r="C81" s="2343"/>
      <c r="D81" s="4011"/>
      <c r="E81" s="4011"/>
      <c r="F81" s="4011"/>
      <c r="G81" s="4011"/>
      <c r="H81" s="4011"/>
      <c r="I81" s="4011"/>
      <c r="J81" s="4011"/>
      <c r="K81" s="4011"/>
      <c r="L81" s="4011"/>
      <c r="M81" s="4011"/>
      <c r="N81" s="4011"/>
      <c r="O81" s="4011"/>
      <c r="P81" s="4011"/>
      <c r="Q81" s="2226"/>
      <c r="R81" s="2343"/>
    </row>
    <row r="82" spans="2:18" s="2225" customFormat="1">
      <c r="B82" s="2343"/>
      <c r="C82" s="2343"/>
      <c r="D82" s="4013" t="s">
        <v>2811</v>
      </c>
      <c r="E82" s="4013"/>
      <c r="F82" s="4013"/>
      <c r="G82" s="4013"/>
      <c r="H82" s="4013"/>
      <c r="I82" s="4013"/>
      <c r="J82" s="4013"/>
      <c r="K82" s="4013"/>
      <c r="L82" s="4013"/>
      <c r="M82" s="4013"/>
      <c r="N82" s="4013"/>
      <c r="O82" s="4013"/>
      <c r="P82" s="4013"/>
      <c r="Q82" s="2226"/>
      <c r="R82" s="2343"/>
    </row>
    <row r="83" spans="2:18" s="2225" customFormat="1">
      <c r="B83" s="2343"/>
      <c r="C83" s="1229"/>
      <c r="D83" s="4013"/>
      <c r="E83" s="4013"/>
      <c r="F83" s="4013"/>
      <c r="G83" s="4013"/>
      <c r="H83" s="4013"/>
      <c r="I83" s="4013"/>
      <c r="J83" s="4013"/>
      <c r="K83" s="4013"/>
      <c r="L83" s="4013"/>
      <c r="M83" s="4013"/>
      <c r="N83" s="4013"/>
      <c r="O83" s="4013"/>
      <c r="P83" s="4013"/>
      <c r="Q83" s="2226"/>
      <c r="R83" s="2343"/>
    </row>
    <row r="84" spans="2:18" s="2225" customFormat="1">
      <c r="B84" s="2343"/>
      <c r="C84" s="2343"/>
      <c r="D84" s="4013"/>
      <c r="E84" s="4013"/>
      <c r="F84" s="4013"/>
      <c r="G84" s="4013"/>
      <c r="H84" s="4013"/>
      <c r="I84" s="4013"/>
      <c r="J84" s="4013"/>
      <c r="K84" s="4013"/>
      <c r="L84" s="4013"/>
      <c r="M84" s="4013"/>
      <c r="N84" s="4013"/>
      <c r="O84" s="4013"/>
      <c r="P84" s="4013"/>
      <c r="Q84" s="2226"/>
      <c r="R84" s="2343"/>
    </row>
    <row r="85" spans="2:18" s="2225" customFormat="1">
      <c r="B85" s="2343"/>
      <c r="C85" s="2660"/>
      <c r="D85" s="1229"/>
      <c r="E85" s="1229"/>
      <c r="F85" s="1229"/>
      <c r="G85" s="1229"/>
      <c r="H85" s="1229"/>
      <c r="I85" s="1229"/>
      <c r="J85" s="1229"/>
      <c r="K85" s="1229"/>
      <c r="L85" s="1229"/>
      <c r="M85" s="1229"/>
      <c r="N85" s="1229"/>
      <c r="O85" s="1229"/>
      <c r="P85" s="2343"/>
      <c r="Q85" s="2226"/>
      <c r="R85" s="2343"/>
    </row>
    <row r="86" spans="2:18" s="2225" customFormat="1" ht="12.75" customHeight="1">
      <c r="B86" s="2343"/>
      <c r="C86" s="4006" t="s">
        <v>1996</v>
      </c>
      <c r="D86" s="4012" t="s">
        <v>2814</v>
      </c>
      <c r="E86" s="4012"/>
      <c r="F86" s="4012"/>
      <c r="G86" s="4012"/>
      <c r="H86" s="4012"/>
      <c r="I86" s="4012"/>
      <c r="J86" s="4012"/>
      <c r="K86" s="4012"/>
      <c r="L86" s="4012"/>
      <c r="M86" s="4012"/>
      <c r="N86" s="4012"/>
      <c r="O86" s="4012"/>
      <c r="P86" s="4012"/>
      <c r="Q86" s="2226"/>
      <c r="R86" s="2343"/>
    </row>
    <row r="87" spans="2:18" s="2225" customFormat="1">
      <c r="B87" s="2343"/>
      <c r="C87" s="2660"/>
      <c r="D87" s="4012"/>
      <c r="E87" s="4012"/>
      <c r="F87" s="4012"/>
      <c r="G87" s="4012"/>
      <c r="H87" s="4012"/>
      <c r="I87" s="4012"/>
      <c r="J87" s="4012"/>
      <c r="K87" s="4012"/>
      <c r="L87" s="4012"/>
      <c r="M87" s="4012"/>
      <c r="N87" s="4012"/>
      <c r="O87" s="4012"/>
      <c r="P87" s="4012"/>
      <c r="Q87" s="2226"/>
      <c r="R87" s="2343"/>
    </row>
    <row r="88" spans="2:18" s="2225" customFormat="1">
      <c r="B88" s="2343"/>
      <c r="C88" s="2660"/>
      <c r="D88" s="4012"/>
      <c r="E88" s="4012"/>
      <c r="F88" s="4012"/>
      <c r="G88" s="4012"/>
      <c r="H88" s="4012"/>
      <c r="I88" s="4012"/>
      <c r="J88" s="4012"/>
      <c r="K88" s="4012"/>
      <c r="L88" s="4012"/>
      <c r="M88" s="4012"/>
      <c r="N88" s="4012"/>
      <c r="O88" s="4012"/>
      <c r="P88" s="4012"/>
      <c r="Q88" s="2226"/>
      <c r="R88" s="2343"/>
    </row>
    <row r="89" spans="2:18" s="2225" customFormat="1">
      <c r="B89" s="2343"/>
      <c r="C89" s="2660"/>
      <c r="D89" s="1229"/>
      <c r="E89" s="1229"/>
      <c r="F89" s="1229"/>
      <c r="G89" s="1229"/>
      <c r="H89" s="1229"/>
      <c r="I89" s="1229"/>
      <c r="J89" s="1229"/>
      <c r="K89" s="1229"/>
      <c r="L89" s="1229"/>
      <c r="M89" s="1229"/>
      <c r="N89" s="1229"/>
      <c r="O89" s="1229"/>
      <c r="P89" s="2343"/>
      <c r="Q89" s="2226"/>
      <c r="R89" s="2343"/>
    </row>
    <row r="90" spans="2:18" s="2225" customFormat="1">
      <c r="B90" s="2343"/>
      <c r="C90" s="1229"/>
      <c r="D90" s="1229"/>
      <c r="E90" s="1229"/>
      <c r="F90" s="1229"/>
      <c r="G90" s="1229"/>
      <c r="H90" s="1229"/>
      <c r="I90" s="1229"/>
      <c r="J90" s="1229"/>
      <c r="K90" s="1229"/>
      <c r="L90" s="1229"/>
      <c r="M90" s="1229"/>
      <c r="N90" s="1229"/>
      <c r="O90" s="1229"/>
      <c r="P90" s="2343"/>
      <c r="Q90" s="2226"/>
      <c r="R90" s="2343"/>
    </row>
    <row r="91" spans="2:18" s="2225" customFormat="1">
      <c r="B91" s="2343"/>
      <c r="C91" s="2733" t="s">
        <v>1308</v>
      </c>
      <c r="D91" s="2733"/>
      <c r="E91" s="1229"/>
      <c r="F91" s="1229"/>
      <c r="G91" s="1229"/>
      <c r="H91" s="1229"/>
      <c r="I91" s="1229"/>
      <c r="J91" s="1229"/>
      <c r="K91" s="1229"/>
      <c r="L91" s="1229"/>
      <c r="M91" s="1229"/>
      <c r="N91" s="1229"/>
      <c r="O91" s="1229"/>
      <c r="P91" s="2343"/>
      <c r="Q91" s="2226"/>
      <c r="R91" s="2343"/>
    </row>
    <row r="92" spans="2:18" s="2225" customFormat="1" ht="5.45" customHeight="1">
      <c r="B92" s="2343"/>
      <c r="C92" s="1229"/>
      <c r="D92" s="1229"/>
      <c r="E92" s="1229"/>
      <c r="F92" s="1229"/>
      <c r="G92" s="1229"/>
      <c r="H92" s="1229"/>
      <c r="I92" s="1229"/>
      <c r="J92" s="1229"/>
      <c r="K92" s="1229"/>
      <c r="L92" s="1229"/>
      <c r="M92" s="1229"/>
      <c r="N92" s="1229"/>
      <c r="O92" s="1229"/>
      <c r="P92" s="2343"/>
      <c r="Q92" s="2226"/>
      <c r="R92" s="2343"/>
    </row>
    <row r="93" spans="2:18" s="2225" customFormat="1">
      <c r="B93" s="2343"/>
      <c r="C93" s="2734"/>
      <c r="D93" s="2734"/>
      <c r="E93" s="2734"/>
      <c r="F93" s="2734"/>
      <c r="G93" s="2734"/>
      <c r="H93" s="2734"/>
      <c r="I93" s="2734"/>
      <c r="J93" s="2734"/>
      <c r="K93" s="2734"/>
      <c r="L93" s="2734"/>
      <c r="M93" s="2734"/>
      <c r="N93" s="2734"/>
      <c r="O93" s="2735"/>
      <c r="P93" s="2736"/>
      <c r="Q93" s="2737"/>
      <c r="R93" s="2343"/>
    </row>
    <row r="94" spans="2:18" s="2225" customFormat="1">
      <c r="B94" s="2343"/>
      <c r="C94" s="2734"/>
      <c r="D94" s="2734"/>
      <c r="E94" s="2734"/>
      <c r="F94" s="2734"/>
      <c r="G94" s="2734"/>
      <c r="H94" s="2734"/>
      <c r="I94" s="2734"/>
      <c r="J94" s="2734"/>
      <c r="K94" s="2734"/>
      <c r="L94" s="2734"/>
      <c r="M94" s="2734"/>
      <c r="N94" s="2734"/>
      <c r="O94" s="2735"/>
      <c r="P94" s="2736"/>
      <c r="Q94" s="2737"/>
      <c r="R94" s="2343"/>
    </row>
    <row r="95" spans="2:18" s="2225" customFormat="1">
      <c r="B95" s="2343"/>
      <c r="C95" s="2734"/>
      <c r="D95" s="2734"/>
      <c r="E95" s="2734"/>
      <c r="F95" s="2734"/>
      <c r="G95" s="2734"/>
      <c r="H95" s="2734"/>
      <c r="I95" s="2734"/>
      <c r="J95" s="2734"/>
      <c r="K95" s="2734"/>
      <c r="L95" s="2734"/>
      <c r="M95" s="2734"/>
      <c r="N95" s="2734"/>
      <c r="O95" s="2735"/>
      <c r="P95" s="2736"/>
      <c r="Q95" s="2737"/>
      <c r="R95" s="2343"/>
    </row>
    <row r="96" spans="2:18" s="2225" customFormat="1">
      <c r="B96" s="2343"/>
      <c r="C96" s="2734"/>
      <c r="D96" s="2734"/>
      <c r="E96" s="2734"/>
      <c r="F96" s="2734"/>
      <c r="G96" s="2734"/>
      <c r="H96" s="2734"/>
      <c r="I96" s="2734"/>
      <c r="J96" s="2734"/>
      <c r="K96" s="2734"/>
      <c r="L96" s="2734"/>
      <c r="M96" s="2734"/>
      <c r="N96" s="2734"/>
      <c r="O96" s="2735"/>
      <c r="P96" s="2736"/>
      <c r="Q96" s="2737"/>
      <c r="R96" s="2343"/>
    </row>
    <row r="97" spans="2:18" s="2225" customFormat="1" ht="13.15" customHeight="1">
      <c r="B97" s="2343"/>
      <c r="C97" s="2738"/>
      <c r="D97" s="2738"/>
      <c r="E97" s="2738"/>
      <c r="F97" s="2738"/>
      <c r="G97" s="2738"/>
      <c r="H97" s="2738"/>
      <c r="I97" s="2738"/>
      <c r="J97" s="2738"/>
      <c r="K97" s="2738"/>
      <c r="L97" s="2738"/>
      <c r="M97" s="2738"/>
      <c r="N97" s="2738"/>
      <c r="O97" s="2735"/>
      <c r="P97" s="2736"/>
      <c r="Q97" s="2737"/>
      <c r="R97" s="2343"/>
    </row>
    <row r="98" spans="2:18" ht="13.15" customHeight="1">
      <c r="B98" s="1227"/>
      <c r="C98" s="1230"/>
      <c r="D98" s="1229"/>
      <c r="E98" s="1228"/>
      <c r="F98" s="1229"/>
      <c r="G98" s="1229"/>
      <c r="H98" s="1229"/>
      <c r="I98" s="1229"/>
      <c r="J98" s="1229"/>
      <c r="K98" s="1229"/>
      <c r="L98" s="1229"/>
      <c r="M98" s="1229"/>
      <c r="N98" s="1229"/>
      <c r="O98" s="1231"/>
      <c r="P98" s="1227"/>
      <c r="Q98" s="2427"/>
      <c r="R98" s="1227"/>
    </row>
    <row r="99" spans="2:18" ht="5.45" customHeight="1">
      <c r="B99" s="1227"/>
      <c r="C99" s="1227"/>
      <c r="D99" s="1227"/>
      <c r="E99" s="1227"/>
      <c r="F99" s="1227"/>
      <c r="G99" s="1227"/>
      <c r="H99" s="1227"/>
      <c r="I99" s="1227"/>
      <c r="J99" s="1227"/>
      <c r="K99" s="1227"/>
      <c r="L99" s="1227"/>
      <c r="M99" s="1227"/>
      <c r="N99" s="1227"/>
      <c r="O99" s="1227"/>
      <c r="P99" s="1227"/>
      <c r="Q99" s="2427"/>
      <c r="R99" s="1227"/>
    </row>
  </sheetData>
  <mergeCells count="8">
    <mergeCell ref="D86:P88"/>
    <mergeCell ref="C17:P18"/>
    <mergeCell ref="C25:P26"/>
    <mergeCell ref="M10:Q11"/>
    <mergeCell ref="D71:P72"/>
    <mergeCell ref="D78:P81"/>
    <mergeCell ref="D74:P75"/>
    <mergeCell ref="D82:P84"/>
  </mergeCells>
  <hyperlinks>
    <hyperlink ref="Q15" r:id="rId1" display="Damodaran's spreadsheets"/>
    <hyperlink ref="Q28" r:id="rId2" display="for Capital Leases.)"/>
    <hyperlink ref="L37" location="'OPERATING LEASES'!AR28" display="present case, and with low interest rates."/>
    <hyperlink ref="Q38" r:id="rId3" display="Brattle for ACM 2012 p.32-34."/>
    <hyperlink ref="Q23" r:id="rId4" display="Investopedia's"/>
    <hyperlink ref="Q31" r:id="rId5" display="Cf. AccountingToday"/>
    <hyperlink ref="Q36" r:id="rId6" display=" D's Market value only 7% lower in this example"/>
    <hyperlink ref="Q58" location="'GEARINGS, Eb&amp;E'!Z26" display="MI/(D+E) £ 2%, here."/>
    <hyperlink ref="Q64" location="'GEARINGS, Eb&amp;E'!A361" display="More about this here."/>
  </hyperlinks>
  <pageMargins left="0.7" right="0.7" top="0.75" bottom="0.75" header="0.3" footer="0.3"/>
  <pageSetup paperSize="9" orientation="portrait"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W588"/>
  <sheetViews>
    <sheetView showGridLines="0" zoomScale="90" zoomScaleNormal="90" workbookViewId="0">
      <pane xSplit="2" ySplit="1" topLeftCell="C2" activePane="bottomRight" state="frozen"/>
      <selection activeCell="Y323" sqref="Y323"/>
      <selection pane="topRight" activeCell="Y323" sqref="Y323"/>
      <selection pane="bottomLeft" activeCell="Y323" sqref="Y323"/>
      <selection pane="bottomRight" activeCell="I64" sqref="I64"/>
    </sheetView>
  </sheetViews>
  <sheetFormatPr defaultColWidth="11.5703125" defaultRowHeight="12.75"/>
  <cols>
    <col min="1" max="1" width="12.42578125" style="2355" customWidth="1"/>
    <col min="2" max="2" width="13" style="2462" customWidth="1"/>
    <col min="3" max="3" width="3.140625" style="2443" customWidth="1"/>
    <col min="4" max="4" width="9.140625" style="2440" customWidth="1"/>
    <col min="5" max="6" width="9.5703125" style="2440" customWidth="1"/>
    <col min="7" max="8" width="9.28515625" style="2440" customWidth="1"/>
    <col min="9" max="9" width="90.140625" style="2466" customWidth="1"/>
    <col min="10" max="10" width="11.7109375" style="2466" customWidth="1"/>
    <col min="11" max="11" width="11.7109375" style="2467" customWidth="1"/>
    <col min="12" max="12" width="13.28515625" style="2468" customWidth="1"/>
    <col min="13" max="13" width="3.140625" style="2437" customWidth="1"/>
    <col min="14" max="14" width="11.42578125" style="2440" customWidth="1"/>
    <col min="15" max="16" width="11.5703125" style="2440" customWidth="1"/>
    <col min="17" max="17" width="12.28515625" style="2440" customWidth="1"/>
    <col min="18" max="18" width="11.5703125" style="2440"/>
    <col min="19" max="19" width="12.28515625" style="2440" customWidth="1"/>
    <col min="20" max="22" width="11.5703125" style="2440"/>
    <col min="23" max="23" width="12.140625" style="2440" customWidth="1"/>
    <col min="24" max="33" width="11.5703125" style="2440"/>
    <col min="34" max="34" width="4.5703125" style="2440" customWidth="1"/>
    <col min="35" max="47" width="11.5703125" style="2440" hidden="1" customWidth="1"/>
    <col min="48" max="48" width="11.5703125" style="2440"/>
    <col min="49" max="49" width="11.5703125" style="2348"/>
    <col min="50" max="16384" width="11.5703125" style="2440"/>
  </cols>
  <sheetData>
    <row r="1" spans="1:48">
      <c r="A1" s="639" t="s">
        <v>1144</v>
      </c>
      <c r="B1" s="2087"/>
      <c r="C1" s="2441"/>
      <c r="D1" s="3031" t="s">
        <v>1155</v>
      </c>
      <c r="E1" s="3032" t="s">
        <v>2129</v>
      </c>
      <c r="F1" s="3033">
        <v>1</v>
      </c>
      <c r="G1" s="996" t="s">
        <v>1154</v>
      </c>
      <c r="H1" s="3034"/>
      <c r="I1" s="3035"/>
      <c r="J1" s="1375"/>
      <c r="K1" s="902"/>
      <c r="L1" s="3031" t="s">
        <v>2311</v>
      </c>
      <c r="M1" s="2876" t="s">
        <v>2003</v>
      </c>
      <c r="N1" s="151"/>
      <c r="O1" s="513"/>
      <c r="P1" s="150"/>
      <c r="Q1" s="151"/>
      <c r="R1" s="151"/>
      <c r="S1" s="151"/>
      <c r="T1" s="151"/>
      <c r="U1" s="151"/>
      <c r="V1" s="151"/>
      <c r="W1" s="151"/>
      <c r="X1" s="1381">
        <v>1</v>
      </c>
      <c r="Y1" s="1381">
        <v>0.5</v>
      </c>
      <c r="Z1" s="1381">
        <v>0</v>
      </c>
      <c r="AA1" s="151"/>
      <c r="AB1" s="151"/>
      <c r="AC1" s="151"/>
      <c r="AD1" s="151"/>
      <c r="AE1" s="151"/>
      <c r="AF1" s="151"/>
      <c r="AG1" s="151"/>
      <c r="AH1" s="2958"/>
      <c r="AI1" s="2495"/>
      <c r="AJ1" s="151"/>
      <c r="AK1" s="151"/>
      <c r="AL1" s="151"/>
      <c r="AM1" s="151"/>
      <c r="AN1" s="151"/>
      <c r="AO1" s="151"/>
      <c r="AP1" s="151"/>
      <c r="AQ1" s="151"/>
      <c r="AR1" s="151"/>
      <c r="AS1" s="151"/>
      <c r="AT1" s="151"/>
      <c r="AU1" s="151"/>
      <c r="AV1" s="2495"/>
    </row>
    <row r="2" spans="1:48">
      <c r="A2" s="2347"/>
      <c r="B2" s="2434"/>
      <c r="C2" s="2435"/>
      <c r="D2" s="2436"/>
      <c r="E2" s="2436"/>
      <c r="F2" s="2436"/>
      <c r="G2" s="2436"/>
      <c r="H2" s="2436"/>
      <c r="I2" s="2437"/>
      <c r="J2" s="2438"/>
      <c r="K2" s="2439"/>
      <c r="L2" s="2347"/>
      <c r="M2" s="2348"/>
    </row>
    <row r="3" spans="1:48">
      <c r="A3" s="2100" t="s">
        <v>1120</v>
      </c>
      <c r="B3" s="2088"/>
      <c r="C3" s="2435"/>
      <c r="D3" s="671"/>
      <c r="E3" s="671"/>
      <c r="F3" s="671"/>
      <c r="G3" s="671"/>
      <c r="H3" s="671"/>
      <c r="I3" s="1001"/>
      <c r="J3" s="672"/>
      <c r="K3" s="648"/>
      <c r="L3" s="647"/>
      <c r="N3" s="2496"/>
      <c r="O3" s="2495"/>
      <c r="P3" s="2495"/>
      <c r="Q3" s="2495"/>
      <c r="R3" s="2495"/>
      <c r="S3" s="2495"/>
      <c r="T3" s="2495"/>
      <c r="U3" s="2495"/>
      <c r="V3" s="2495"/>
      <c r="W3" s="2495"/>
      <c r="X3" s="2495"/>
      <c r="Y3" s="2495"/>
      <c r="Z3" s="2495"/>
      <c r="AA3" s="2495"/>
      <c r="AB3" s="2495"/>
    </row>
    <row r="4" spans="1:48">
      <c r="A4" s="1115"/>
      <c r="B4" s="1236"/>
      <c r="C4" s="2328"/>
      <c r="D4" s="231"/>
      <c r="E4" s="231"/>
      <c r="F4" s="231"/>
      <c r="G4" s="231"/>
      <c r="H4" s="231"/>
      <c r="I4" s="72"/>
      <c r="J4" s="164"/>
      <c r="K4" s="73"/>
      <c r="L4" s="150"/>
      <c r="N4" s="2496"/>
      <c r="O4" s="2495"/>
      <c r="P4" s="2495"/>
      <c r="Q4" s="2495"/>
      <c r="R4" s="2495"/>
      <c r="S4" s="2495"/>
      <c r="T4" s="2495"/>
      <c r="U4" s="2495"/>
      <c r="V4" s="2495"/>
      <c r="W4" s="2495"/>
      <c r="X4" s="2495"/>
      <c r="Y4" s="2495"/>
      <c r="Z4" s="2495"/>
      <c r="AA4" s="2495"/>
      <c r="AB4" s="2495"/>
    </row>
    <row r="5" spans="1:48">
      <c r="A5" s="1115"/>
      <c r="B5" s="1236"/>
      <c r="C5" s="2328"/>
      <c r="D5" s="231"/>
      <c r="E5" s="231"/>
      <c r="F5" s="231"/>
      <c r="G5" s="231"/>
      <c r="H5" s="231"/>
      <c r="I5" s="72"/>
      <c r="J5" s="164"/>
      <c r="K5" s="73"/>
      <c r="L5" s="150"/>
      <c r="N5" s="2496"/>
      <c r="O5" s="2495"/>
      <c r="P5" s="2495"/>
      <c r="Q5" s="2495"/>
      <c r="R5" s="2495"/>
      <c r="S5" s="2495"/>
      <c r="T5" s="2495"/>
      <c r="U5" s="2495"/>
      <c r="V5" s="2495"/>
      <c r="W5" s="2495"/>
      <c r="X5" s="2495"/>
      <c r="Y5" s="2495"/>
      <c r="Z5" s="2495"/>
      <c r="AA5" s="2495"/>
      <c r="AB5" s="2495"/>
    </row>
    <row r="6" spans="1:48">
      <c r="A6" s="1281" t="s">
        <v>1129</v>
      </c>
      <c r="B6" s="1282"/>
      <c r="C6" s="2328"/>
      <c r="D6" s="4103" t="s">
        <v>777</v>
      </c>
      <c r="E6" s="4104"/>
      <c r="F6" s="3251" t="s">
        <v>2319</v>
      </c>
      <c r="G6" s="4103" t="s">
        <v>1178</v>
      </c>
      <c r="H6" s="4104"/>
      <c r="I6" s="1375"/>
      <c r="J6" s="1237"/>
      <c r="K6" s="4103" t="s">
        <v>777</v>
      </c>
      <c r="L6" s="4104"/>
      <c r="N6" s="164"/>
      <c r="O6" s="164"/>
      <c r="P6" s="1659"/>
      <c r="Q6" s="1659"/>
      <c r="R6" s="1659"/>
      <c r="S6" s="1659"/>
      <c r="T6" s="1659"/>
      <c r="U6" s="1659"/>
      <c r="V6" s="1659"/>
      <c r="W6" s="1659"/>
      <c r="X6" s="164"/>
      <c r="Y6" s="164"/>
      <c r="Z6" s="164"/>
      <c r="AA6" s="164"/>
      <c r="AB6" s="164"/>
    </row>
    <row r="7" spans="1:48">
      <c r="A7" s="1283"/>
      <c r="B7" s="1284"/>
      <c r="C7" s="2442"/>
      <c r="D7" s="1286" t="s">
        <v>1110</v>
      </c>
      <c r="E7" s="1285" t="s">
        <v>990</v>
      </c>
      <c r="F7" s="3287" t="s">
        <v>2320</v>
      </c>
      <c r="G7" s="1286" t="s">
        <v>1127</v>
      </c>
      <c r="H7" s="1285" t="s">
        <v>990</v>
      </c>
      <c r="I7" s="1279" t="s">
        <v>1128</v>
      </c>
      <c r="J7" s="164"/>
      <c r="K7" s="4103" t="s">
        <v>1130</v>
      </c>
      <c r="L7" s="4104"/>
      <c r="N7" s="164"/>
      <c r="O7" s="164"/>
      <c r="P7" s="154" t="s">
        <v>2233</v>
      </c>
      <c r="Q7" s="1659"/>
      <c r="R7" s="1659"/>
      <c r="S7" s="1659"/>
      <c r="T7" s="1659"/>
      <c r="U7" s="1659"/>
      <c r="V7" s="1659"/>
      <c r="W7" s="3908" t="s">
        <v>2139</v>
      </c>
      <c r="X7" s="164"/>
      <c r="Y7" s="164"/>
      <c r="Z7" s="164"/>
      <c r="AA7" s="164"/>
      <c r="AB7" s="164"/>
    </row>
    <row r="8" spans="1:48">
      <c r="A8" s="1280" t="s">
        <v>32</v>
      </c>
      <c r="B8" s="2089" t="s">
        <v>277</v>
      </c>
      <c r="C8" s="2435"/>
      <c r="D8" s="1243">
        <f>Ranking!C41</f>
        <v>103061.53572524291</v>
      </c>
      <c r="E8" s="1244">
        <f>Ranking!D41</f>
        <v>0.26406875054982143</v>
      </c>
      <c r="F8" s="406" t="s">
        <v>277</v>
      </c>
      <c r="G8" s="1257">
        <f>Ranking!G66</f>
        <v>106720.85775234729</v>
      </c>
      <c r="H8" s="894">
        <f>Ranking!H66</f>
        <v>0.29553089301830604</v>
      </c>
      <c r="I8" s="72"/>
      <c r="J8" s="164"/>
      <c r="K8" s="406" t="s">
        <v>285</v>
      </c>
      <c r="L8" s="1290">
        <f>Ranking!E91</f>
        <v>1.7468659495150733</v>
      </c>
      <c r="N8" s="164"/>
      <c r="O8" s="164"/>
      <c r="P8" s="1659"/>
      <c r="Q8" s="1659"/>
      <c r="R8" s="1659"/>
      <c r="S8" s="1659"/>
      <c r="T8" s="1659"/>
      <c r="U8" s="1659"/>
      <c r="V8" s="1659"/>
      <c r="W8" s="3908" t="s">
        <v>2140</v>
      </c>
      <c r="X8" s="164"/>
      <c r="Y8" s="164"/>
      <c r="Z8" s="164"/>
      <c r="AA8" s="164"/>
      <c r="AB8" s="164"/>
    </row>
    <row r="9" spans="1:48">
      <c r="A9" s="1242" t="s">
        <v>217</v>
      </c>
      <c r="B9" s="294" t="s">
        <v>53</v>
      </c>
      <c r="C9" s="2435"/>
      <c r="D9" s="1243">
        <f>Ranking!C42</f>
        <v>60036.853628571422</v>
      </c>
      <c r="E9" s="1244">
        <f>Ranking!D42</f>
        <v>0.15382903828354536</v>
      </c>
      <c r="F9" s="406" t="s">
        <v>53</v>
      </c>
      <c r="G9" s="1257">
        <f>Ranking!G67</f>
        <v>44430.485000000001</v>
      </c>
      <c r="H9" s="894">
        <f>Ranking!H67</f>
        <v>0.1230366882897139</v>
      </c>
      <c r="I9" s="72"/>
      <c r="J9" s="164"/>
      <c r="K9" s="406" t="s">
        <v>50</v>
      </c>
      <c r="L9" s="1290">
        <f>Ranking!E92</f>
        <v>1.1994936816856254</v>
      </c>
      <c r="N9" s="164"/>
      <c r="O9" s="164"/>
      <c r="P9" s="164"/>
      <c r="Q9" s="164"/>
      <c r="R9" s="164"/>
      <c r="S9" s="164"/>
      <c r="T9" s="164"/>
      <c r="U9" s="164"/>
      <c r="V9" s="1659"/>
      <c r="W9" s="1659"/>
      <c r="X9" s="164"/>
      <c r="Y9" s="164"/>
      <c r="Z9" s="164"/>
      <c r="AA9" s="164"/>
      <c r="AB9" s="164"/>
    </row>
    <row r="10" spans="1:48">
      <c r="A10" s="1242" t="s">
        <v>498</v>
      </c>
      <c r="B10" s="294" t="s">
        <v>52</v>
      </c>
      <c r="C10" s="2435"/>
      <c r="D10" s="1243">
        <f>Ranking!C43</f>
        <v>40464.923042857146</v>
      </c>
      <c r="E10" s="1244">
        <f>Ranking!D43</f>
        <v>0.1036809862557167</v>
      </c>
      <c r="F10" s="406" t="s">
        <v>52</v>
      </c>
      <c r="G10" s="1257">
        <f>Ranking!G68</f>
        <v>39791.94</v>
      </c>
      <c r="H10" s="894">
        <f>Ranking!H68</f>
        <v>0.1101916514803518</v>
      </c>
      <c r="I10" s="72"/>
      <c r="J10" s="164"/>
      <c r="K10" s="652" t="s">
        <v>752</v>
      </c>
      <c r="L10" s="656">
        <f>Ranking!E93</f>
        <v>0.67327297771392325</v>
      </c>
      <c r="N10" s="164"/>
      <c r="O10" s="164"/>
      <c r="P10" s="164"/>
      <c r="Q10" s="164"/>
      <c r="R10" s="164"/>
      <c r="S10" s="164"/>
      <c r="T10" s="164"/>
      <c r="U10" s="164"/>
      <c r="V10" s="1659"/>
      <c r="W10" s="1659"/>
      <c r="X10" s="164"/>
      <c r="Y10" s="164"/>
      <c r="Z10" s="164"/>
      <c r="AA10" s="164"/>
      <c r="AB10" s="164"/>
    </row>
    <row r="11" spans="1:48">
      <c r="A11" s="1242" t="s">
        <v>19</v>
      </c>
      <c r="B11" s="293" t="s">
        <v>286</v>
      </c>
      <c r="D11" s="1243">
        <f>Ranking!C44</f>
        <v>31174.883771428573</v>
      </c>
      <c r="E11" s="1244">
        <f>Ranking!D44</f>
        <v>7.9877643469276421E-2</v>
      </c>
      <c r="F11" s="406" t="s">
        <v>50</v>
      </c>
      <c r="G11" s="1257">
        <f>Ranking!G69</f>
        <v>28491.576306321644</v>
      </c>
      <c r="H11" s="894">
        <f>Ranking!H69</f>
        <v>7.8898737947233621E-2</v>
      </c>
      <c r="I11" s="72"/>
      <c r="J11" s="164"/>
      <c r="K11" s="406" t="s">
        <v>279</v>
      </c>
      <c r="L11" s="1290">
        <f>Ranking!E94</f>
        <v>0.37985561177970401</v>
      </c>
      <c r="N11" s="164"/>
      <c r="O11" s="164"/>
      <c r="P11" s="164"/>
      <c r="Q11" s="164"/>
      <c r="R11" s="164"/>
      <c r="S11" s="164"/>
      <c r="T11" s="164"/>
      <c r="U11" s="164"/>
      <c r="V11" s="1659"/>
      <c r="W11" s="1659"/>
      <c r="X11" s="164"/>
      <c r="Y11" s="164"/>
      <c r="Z11" s="164"/>
      <c r="AA11" s="164"/>
      <c r="AB11" s="164"/>
    </row>
    <row r="12" spans="1:48">
      <c r="A12" s="1242" t="s">
        <v>503</v>
      </c>
      <c r="B12" s="294" t="s">
        <v>282</v>
      </c>
      <c r="C12" s="2435"/>
      <c r="D12" s="1243">
        <f>Ranking!C45</f>
        <v>22949.481858519866</v>
      </c>
      <c r="E12" s="1244">
        <f>Ranking!D45</f>
        <v>5.8802160840116385E-2</v>
      </c>
      <c r="F12" s="406" t="s">
        <v>279</v>
      </c>
      <c r="G12" s="1257">
        <f>Ranking!G70</f>
        <v>23766.623796323693</v>
      </c>
      <c r="H12" s="894">
        <f>Ranking!H70</f>
        <v>6.5814421871090864E-2</v>
      </c>
      <c r="I12" s="72"/>
      <c r="J12" s="164"/>
      <c r="K12" s="406" t="s">
        <v>288</v>
      </c>
      <c r="L12" s="1290">
        <f>Ranking!E95</f>
        <v>0.20894195471198634</v>
      </c>
      <c r="N12" s="164"/>
      <c r="O12" s="164"/>
      <c r="P12" s="164"/>
      <c r="Q12" s="164"/>
      <c r="R12" s="164"/>
      <c r="S12" s="164"/>
      <c r="T12" s="164"/>
      <c r="U12" s="164"/>
      <c r="V12" s="1659"/>
      <c r="W12" s="1659"/>
      <c r="X12" s="164"/>
      <c r="Y12" s="164"/>
      <c r="Z12" s="164"/>
      <c r="AA12" s="164"/>
      <c r="AB12" s="164"/>
    </row>
    <row r="13" spans="1:48">
      <c r="A13" s="1242" t="s">
        <v>500</v>
      </c>
      <c r="B13" s="294" t="s">
        <v>279</v>
      </c>
      <c r="C13" s="2435"/>
      <c r="D13" s="1243">
        <f>Ranking!C46</f>
        <v>20617.292984255655</v>
      </c>
      <c r="E13" s="1244">
        <f>Ranking!D46</f>
        <v>5.2826525044090682E-2</v>
      </c>
      <c r="F13" s="406" t="s">
        <v>282</v>
      </c>
      <c r="G13" s="1257">
        <f>Ranking!G71</f>
        <v>21731.57918967646</v>
      </c>
      <c r="H13" s="894">
        <f>Ranking!H71</f>
        <v>6.0178986000343146E-2</v>
      </c>
      <c r="I13" s="72"/>
      <c r="J13" s="164"/>
      <c r="K13" s="406" t="s">
        <v>353</v>
      </c>
      <c r="L13" s="1290">
        <f>Ranking!E96</f>
        <v>0.11241291049139049</v>
      </c>
      <c r="N13" s="164"/>
      <c r="O13" s="164"/>
      <c r="P13" s="164"/>
      <c r="Q13" s="164"/>
      <c r="R13" s="164"/>
      <c r="S13" s="164"/>
      <c r="T13" s="164"/>
      <c r="U13" s="164"/>
      <c r="V13" s="1659"/>
      <c r="W13" s="1659"/>
      <c r="X13" s="164"/>
      <c r="Y13" s="164"/>
      <c r="Z13" s="164"/>
      <c r="AA13" s="164"/>
      <c r="AB13" s="164"/>
    </row>
    <row r="14" spans="1:48">
      <c r="A14" s="1242" t="s">
        <v>32</v>
      </c>
      <c r="B14" s="294" t="s">
        <v>50</v>
      </c>
      <c r="C14" s="2435"/>
      <c r="D14" s="1243">
        <f>Ranking!C47</f>
        <v>19515.355899391296</v>
      </c>
      <c r="E14" s="1244">
        <f>Ranking!D47</f>
        <v>5.0003093905237848E-2</v>
      </c>
      <c r="F14" s="500" t="s">
        <v>286</v>
      </c>
      <c r="G14" s="1257">
        <f>Ranking!G72</f>
        <v>19124.593099999998</v>
      </c>
      <c r="H14" s="894">
        <f>Ranking!H72</f>
        <v>5.2959732488004868E-2</v>
      </c>
      <c r="I14" s="72"/>
      <c r="J14" s="164"/>
      <c r="K14" s="406" t="s">
        <v>277</v>
      </c>
      <c r="L14" s="1290">
        <f>Ranking!E97</f>
        <v>7.5306160052783275E-2</v>
      </c>
      <c r="N14" s="164"/>
      <c r="O14" s="164"/>
      <c r="P14" s="164"/>
      <c r="Q14" s="164"/>
      <c r="R14" s="164"/>
      <c r="S14" s="164"/>
      <c r="T14" s="164"/>
      <c r="U14" s="164"/>
      <c r="V14" s="1659"/>
      <c r="W14" s="1659"/>
      <c r="X14" s="164"/>
      <c r="Y14" s="164"/>
      <c r="Z14" s="164"/>
      <c r="AA14" s="164"/>
      <c r="AB14" s="164"/>
    </row>
    <row r="15" spans="1:48">
      <c r="A15" s="1242" t="s">
        <v>504</v>
      </c>
      <c r="B15" s="294" t="s">
        <v>288</v>
      </c>
      <c r="C15" s="2435"/>
      <c r="D15" s="1243">
        <f>Ranking!C48</f>
        <v>16250.837973523972</v>
      </c>
      <c r="E15" s="1246">
        <f>Ranking!D48</f>
        <v>4.1638604052015776E-2</v>
      </c>
      <c r="F15" s="406" t="s">
        <v>288</v>
      </c>
      <c r="G15" s="1257">
        <f>Ranking!G73</f>
        <v>17428.290742138299</v>
      </c>
      <c r="H15" s="894">
        <f>Ranking!H73</f>
        <v>4.826234004564605E-2</v>
      </c>
      <c r="I15" s="72"/>
      <c r="J15" s="164"/>
      <c r="K15" s="406" t="s">
        <v>283</v>
      </c>
      <c r="L15" s="1290">
        <f>Ranking!E98</f>
        <v>6.738754525599433E-2</v>
      </c>
      <c r="N15" s="164"/>
      <c r="O15" s="164"/>
      <c r="P15" s="164"/>
      <c r="Q15" s="164"/>
      <c r="R15" s="164"/>
      <c r="S15" s="164"/>
      <c r="T15" s="164"/>
      <c r="U15" s="164"/>
      <c r="V15" s="1659"/>
      <c r="W15" s="1659"/>
      <c r="X15" s="164"/>
      <c r="Y15" s="164"/>
      <c r="Z15" s="164"/>
      <c r="AA15" s="164"/>
      <c r="AB15" s="164"/>
    </row>
    <row r="16" spans="1:48">
      <c r="A16" s="1242" t="s">
        <v>499</v>
      </c>
      <c r="B16" s="294" t="s">
        <v>284</v>
      </c>
      <c r="C16" s="2435"/>
      <c r="D16" s="1243">
        <f>Ranking!C49</f>
        <v>15596.516285714286</v>
      </c>
      <c r="E16" s="1246">
        <f>Ranking!D49</f>
        <v>3.9962072557101963E-2</v>
      </c>
      <c r="F16" s="406" t="s">
        <v>284</v>
      </c>
      <c r="G16" s="1257">
        <f>Ranking!G74</f>
        <v>10295.917100000001</v>
      </c>
      <c r="H16" s="1044">
        <f>Ranking!H74</f>
        <v>2.8511404790864545E-2</v>
      </c>
      <c r="I16" s="72"/>
      <c r="J16" s="164"/>
      <c r="K16" s="406" t="s">
        <v>42</v>
      </c>
      <c r="L16" s="1290">
        <f>Ranking!E99</f>
        <v>-3.2258071946582277E-2</v>
      </c>
      <c r="N16" s="164"/>
      <c r="O16" s="164"/>
      <c r="P16" s="164"/>
      <c r="Q16" s="164"/>
      <c r="R16" s="164"/>
      <c r="S16" s="164"/>
      <c r="T16" s="164"/>
      <c r="U16" s="164"/>
      <c r="V16" s="1659"/>
      <c r="W16" s="1659"/>
      <c r="X16" s="164"/>
      <c r="Y16" s="164"/>
      <c r="Z16" s="164"/>
      <c r="AA16" s="164"/>
      <c r="AB16" s="164"/>
    </row>
    <row r="17" spans="1:28">
      <c r="A17" s="1242" t="s">
        <v>501</v>
      </c>
      <c r="B17" s="294" t="s">
        <v>44</v>
      </c>
      <c r="C17" s="2435"/>
      <c r="D17" s="1243">
        <f>Ranking!C50</f>
        <v>12234.494271428572</v>
      </c>
      <c r="E17" s="1246">
        <f>Ranking!D50</f>
        <v>3.1347753486597643E-2</v>
      </c>
      <c r="F17" s="406" t="s">
        <v>285</v>
      </c>
      <c r="G17" s="1257">
        <f>Ranking!G75</f>
        <v>9571.524995540176</v>
      </c>
      <c r="H17" s="1044">
        <f>Ranking!H75</f>
        <v>2.6505421611613778E-2</v>
      </c>
      <c r="I17" s="72"/>
      <c r="J17" s="164"/>
      <c r="K17" s="406" t="s">
        <v>52</v>
      </c>
      <c r="L17" s="1290">
        <f>Ranking!E100</f>
        <v>-6.1458653761923776E-2</v>
      </c>
      <c r="N17" s="164"/>
      <c r="O17" s="164"/>
      <c r="P17" s="164"/>
      <c r="Q17" s="164"/>
      <c r="R17" s="164"/>
      <c r="S17" s="164"/>
      <c r="T17" s="164"/>
      <c r="U17" s="164"/>
      <c r="V17" s="1659"/>
      <c r="W17" s="1659"/>
      <c r="X17" s="164"/>
      <c r="Y17" s="164"/>
      <c r="Z17" s="164"/>
      <c r="AA17" s="164"/>
      <c r="AB17" s="164"/>
    </row>
    <row r="18" spans="1:28">
      <c r="A18" s="1247" t="s">
        <v>319</v>
      </c>
      <c r="B18" s="661" t="s">
        <v>750</v>
      </c>
      <c r="C18" s="2435"/>
      <c r="D18" s="1248">
        <f>Ranking!C51</f>
        <v>7616.907214285714</v>
      </c>
      <c r="E18" s="1249">
        <f>Ranking!D51</f>
        <v>1.9516371039653539E-2</v>
      </c>
      <c r="F18" s="406" t="s">
        <v>44</v>
      </c>
      <c r="G18" s="1257">
        <f>Ranking!G76</f>
        <v>6819.5967000000001</v>
      </c>
      <c r="H18" s="1044">
        <f>Ranking!H76</f>
        <v>1.8884794830384175E-2</v>
      </c>
      <c r="I18" s="72"/>
      <c r="J18" s="164"/>
      <c r="K18" s="406" t="s">
        <v>282</v>
      </c>
      <c r="L18" s="1290">
        <f>Ranking!E101</f>
        <v>-8.3288171902550459E-2</v>
      </c>
      <c r="N18" s="164"/>
      <c r="O18" s="164"/>
      <c r="P18" s="164"/>
      <c r="Q18" s="164"/>
      <c r="R18" s="164"/>
      <c r="S18" s="164"/>
      <c r="T18" s="164"/>
      <c r="U18" s="164"/>
      <c r="V18" s="1659"/>
      <c r="W18" s="1659"/>
      <c r="X18" s="164"/>
      <c r="Y18" s="164"/>
      <c r="Z18" s="164"/>
      <c r="AA18" s="164"/>
      <c r="AB18" s="164"/>
    </row>
    <row r="19" spans="1:28">
      <c r="A19" s="1242" t="s">
        <v>19</v>
      </c>
      <c r="B19" s="294" t="s">
        <v>285</v>
      </c>
      <c r="C19" s="2435"/>
      <c r="D19" s="1243">
        <f>Ranking!C52</f>
        <v>6002.7646707914537</v>
      </c>
      <c r="E19" s="1246">
        <f>Ranking!D52</f>
        <v>1.538054479108892E-2</v>
      </c>
      <c r="F19" s="652" t="s">
        <v>278</v>
      </c>
      <c r="G19" s="1289">
        <f>Ranking!G77</f>
        <v>5825.8631999999998</v>
      </c>
      <c r="H19" s="1258">
        <f>Ranking!H77</f>
        <v>1.6132952736323161E-2</v>
      </c>
      <c r="I19" s="72"/>
      <c r="J19" s="164"/>
      <c r="K19" s="406" t="s">
        <v>39</v>
      </c>
      <c r="L19" s="1290">
        <f>Ranking!E102</f>
        <v>-0.13366823909704381</v>
      </c>
      <c r="N19" s="164"/>
      <c r="O19" s="164"/>
      <c r="P19" s="164"/>
      <c r="Q19" s="164"/>
      <c r="R19" s="164"/>
      <c r="S19" s="164"/>
      <c r="T19" s="164"/>
      <c r="U19" s="164"/>
      <c r="V19" s="1659"/>
      <c r="W19" s="1659"/>
      <c r="X19" s="164"/>
      <c r="Y19" s="164"/>
      <c r="Z19" s="164"/>
      <c r="AA19" s="164"/>
      <c r="AB19" s="164"/>
    </row>
    <row r="20" spans="1:28">
      <c r="A20" s="1242" t="s">
        <v>503</v>
      </c>
      <c r="B20" s="294" t="s">
        <v>280</v>
      </c>
      <c r="C20" s="2435"/>
      <c r="D20" s="1243">
        <f>Ranking!C53</f>
        <v>5769.8566757446433</v>
      </c>
      <c r="E20" s="1246">
        <f>Ranking!D53</f>
        <v>1.4783777793466828E-2</v>
      </c>
      <c r="F20" s="406" t="s">
        <v>39</v>
      </c>
      <c r="G20" s="1257">
        <f>Ranking!G78</f>
        <v>5057.8123335929276</v>
      </c>
      <c r="H20" s="1044">
        <f>Ranking!H78</f>
        <v>1.4006069920599414E-2</v>
      </c>
      <c r="I20" s="72"/>
      <c r="J20" s="164"/>
      <c r="K20" s="406" t="s">
        <v>280</v>
      </c>
      <c r="L20" s="1290">
        <f>Ranking!E103</f>
        <v>-0.24705029723080094</v>
      </c>
      <c r="N20" s="164"/>
      <c r="O20" s="164"/>
      <c r="P20" s="164"/>
      <c r="Q20" s="164"/>
      <c r="R20" s="164"/>
      <c r="S20" s="164"/>
      <c r="T20" s="164"/>
      <c r="U20" s="164"/>
      <c r="V20" s="1659"/>
      <c r="W20" s="1659"/>
      <c r="X20" s="164"/>
      <c r="Y20" s="164"/>
      <c r="Z20" s="164"/>
      <c r="AA20" s="164"/>
      <c r="AB20" s="164"/>
    </row>
    <row r="21" spans="1:28">
      <c r="A21" s="1242" t="s">
        <v>539</v>
      </c>
      <c r="B21" s="294" t="s">
        <v>39</v>
      </c>
      <c r="C21" s="2435"/>
      <c r="D21" s="1243">
        <f>Ranking!C54</f>
        <v>5059.5155870714543</v>
      </c>
      <c r="E21" s="1246">
        <f>Ranking!D54</f>
        <v>1.2963710952524294E-2</v>
      </c>
      <c r="F21" s="652" t="s">
        <v>281</v>
      </c>
      <c r="G21" s="1289">
        <f>Ranking!G79</f>
        <v>4048.9897999999998</v>
      </c>
      <c r="H21" s="1258">
        <f>Ranking!H79</f>
        <v>1.1212443346293226E-2</v>
      </c>
      <c r="I21" s="72"/>
      <c r="J21" s="164"/>
      <c r="K21" s="652" t="s">
        <v>750</v>
      </c>
      <c r="L21" s="656">
        <f>Ranking!E104</f>
        <v>-0.33365525120929096</v>
      </c>
      <c r="N21" s="164"/>
      <c r="O21" s="164"/>
      <c r="P21" s="164"/>
      <c r="Q21" s="164"/>
      <c r="R21" s="164"/>
      <c r="S21" s="164"/>
      <c r="T21" s="164"/>
      <c r="U21" s="164"/>
      <c r="V21" s="1659"/>
      <c r="W21" s="1659"/>
      <c r="X21" s="164"/>
      <c r="Y21" s="164"/>
      <c r="Z21" s="164"/>
      <c r="AA21" s="164"/>
      <c r="AB21" s="164"/>
    </row>
    <row r="22" spans="1:28">
      <c r="A22" s="1242" t="s">
        <v>27</v>
      </c>
      <c r="B22" s="294" t="s">
        <v>54</v>
      </c>
      <c r="C22" s="2435"/>
      <c r="D22" s="1243">
        <f>Ranking!C55</f>
        <v>4745.1447857142857</v>
      </c>
      <c r="E22" s="1246">
        <f>Ranking!D55</f>
        <v>1.2158216408516635E-2</v>
      </c>
      <c r="F22" s="406" t="s">
        <v>280</v>
      </c>
      <c r="G22" s="1257">
        <f>Ranking!G80</f>
        <v>4026.3480952657014</v>
      </c>
      <c r="H22" s="1044">
        <f>Ranking!H80</f>
        <v>1.1149744044952231E-2</v>
      </c>
      <c r="I22" s="72"/>
      <c r="J22" s="164"/>
      <c r="K22" s="406" t="s">
        <v>53</v>
      </c>
      <c r="L22" s="1290">
        <f>Ranking!E105</f>
        <v>-0.3618479655094986</v>
      </c>
      <c r="N22" s="164"/>
      <c r="O22" s="164"/>
      <c r="P22" s="164"/>
      <c r="Q22" s="164"/>
      <c r="R22" s="164"/>
      <c r="S22" s="164"/>
      <c r="T22" s="164"/>
      <c r="U22" s="164"/>
      <c r="V22" s="1659"/>
      <c r="W22" s="1659"/>
      <c r="X22" s="164"/>
      <c r="Y22" s="164"/>
      <c r="Z22" s="164"/>
      <c r="AA22" s="164"/>
      <c r="AB22" s="164"/>
    </row>
    <row r="23" spans="1:28">
      <c r="A23" s="1242" t="s">
        <v>502</v>
      </c>
      <c r="B23" s="294" t="s">
        <v>287</v>
      </c>
      <c r="C23" s="2435"/>
      <c r="D23" s="1243">
        <f>Ranking!C56</f>
        <v>4580.8423286191064</v>
      </c>
      <c r="E23" s="1246">
        <f>Ranking!D56</f>
        <v>1.1737233504933111E-2</v>
      </c>
      <c r="F23" s="406" t="s">
        <v>42</v>
      </c>
      <c r="G23" s="1257">
        <f>Ranking!G81</f>
        <v>2940.9023000000002</v>
      </c>
      <c r="H23" s="1044">
        <f>Ranking!H81</f>
        <v>8.143932697912316E-3</v>
      </c>
      <c r="I23" s="72"/>
      <c r="J23" s="164"/>
      <c r="K23" s="406" t="s">
        <v>284</v>
      </c>
      <c r="L23" s="1290">
        <f>Ranking!E106</f>
        <v>-0.41209116095583281</v>
      </c>
      <c r="N23" s="164"/>
      <c r="O23" s="164"/>
      <c r="P23" s="164"/>
      <c r="Q23" s="164"/>
      <c r="R23" s="164"/>
      <c r="S23" s="164"/>
      <c r="T23" s="164"/>
      <c r="U23" s="164"/>
      <c r="V23" s="1659"/>
      <c r="W23" s="1659"/>
      <c r="X23" s="164"/>
      <c r="Y23" s="164"/>
      <c r="Z23" s="164"/>
      <c r="AA23" s="164"/>
      <c r="AB23" s="164"/>
    </row>
    <row r="24" spans="1:28">
      <c r="A24" s="1242" t="s">
        <v>385</v>
      </c>
      <c r="B24" s="294" t="s">
        <v>276</v>
      </c>
      <c r="C24" s="2435"/>
      <c r="D24" s="1243">
        <f>Ranking!C57</f>
        <v>3544.0522571428578</v>
      </c>
      <c r="E24" s="1246">
        <f>Ranking!D57</f>
        <v>9.0807248780183369E-3</v>
      </c>
      <c r="F24" s="406" t="s">
        <v>54</v>
      </c>
      <c r="G24" s="1257">
        <f>Ranking!G82</f>
        <v>2680.5724</v>
      </c>
      <c r="H24" s="1044">
        <f>Ranking!H82</f>
        <v>7.4230283738025878E-3</v>
      </c>
      <c r="I24" s="72"/>
      <c r="J24" s="164"/>
      <c r="K24" s="406" t="s">
        <v>276</v>
      </c>
      <c r="L24" s="1290">
        <f>Ranking!E107</f>
        <v>-0.4675424361384804</v>
      </c>
      <c r="N24" s="164"/>
      <c r="O24" s="164"/>
      <c r="P24" s="164"/>
      <c r="Q24" s="164"/>
      <c r="R24" s="164"/>
      <c r="S24" s="164"/>
      <c r="T24" s="164"/>
      <c r="U24" s="164"/>
      <c r="V24" s="1659"/>
      <c r="W24" s="1659"/>
      <c r="X24" s="164"/>
      <c r="Y24" s="164"/>
      <c r="Z24" s="164"/>
      <c r="AA24" s="164"/>
      <c r="AB24" s="164"/>
    </row>
    <row r="25" spans="1:28">
      <c r="A25" s="1247" t="s">
        <v>319</v>
      </c>
      <c r="B25" s="661" t="s">
        <v>752</v>
      </c>
      <c r="C25" s="2435"/>
      <c r="D25" s="1248">
        <f>Ranking!C58</f>
        <v>3541.6238999999996</v>
      </c>
      <c r="E25" s="1249">
        <f>Ranking!D58</f>
        <v>9.0745028357006995E-3</v>
      </c>
      <c r="F25" s="406" t="s">
        <v>283</v>
      </c>
      <c r="G25" s="1257">
        <f>Ranking!G83</f>
        <v>2364.3629999999998</v>
      </c>
      <c r="H25" s="1044">
        <f>Ranking!H83</f>
        <v>6.5473828033777437E-3</v>
      </c>
      <c r="I25" s="72"/>
      <c r="J25" s="164"/>
      <c r="K25" s="500" t="s">
        <v>286</v>
      </c>
      <c r="L25" s="1290">
        <f>Ranking!E108</f>
        <v>-0.49416922878378883</v>
      </c>
      <c r="N25" s="164"/>
      <c r="O25" s="164"/>
      <c r="P25" s="164"/>
      <c r="Q25" s="164"/>
      <c r="R25" s="164"/>
      <c r="S25" s="164"/>
      <c r="T25" s="164"/>
      <c r="U25" s="164"/>
      <c r="V25" s="1659"/>
      <c r="W25" s="1659"/>
      <c r="X25" s="164"/>
      <c r="Y25" s="164"/>
      <c r="Z25" s="164"/>
      <c r="AA25" s="164"/>
      <c r="AB25" s="164"/>
    </row>
    <row r="26" spans="1:28">
      <c r="A26" s="1242" t="s">
        <v>73</v>
      </c>
      <c r="B26" s="294" t="s">
        <v>283</v>
      </c>
      <c r="C26" s="2435"/>
      <c r="D26" s="1243">
        <f>Ranking!C59</f>
        <v>2461.5190857142857</v>
      </c>
      <c r="E26" s="1246">
        <f>Ranking!D59</f>
        <v>6.3070112903421734E-3</v>
      </c>
      <c r="F26" s="406" t="s">
        <v>287</v>
      </c>
      <c r="G26" s="1257">
        <f>Ranking!G84</f>
        <v>2322.4005110115481</v>
      </c>
      <c r="H26" s="1044">
        <f>Ranking!H84</f>
        <v>6.4311804779353665E-3</v>
      </c>
      <c r="I26" s="72"/>
      <c r="J26" s="164"/>
      <c r="K26" s="406" t="s">
        <v>287</v>
      </c>
      <c r="L26" s="1290">
        <f>Ranking!E109</f>
        <v>-0.49577837871365099</v>
      </c>
      <c r="N26" s="164"/>
      <c r="O26" s="164"/>
      <c r="P26" s="164"/>
      <c r="Q26" s="164"/>
      <c r="R26" s="164"/>
      <c r="S26" s="164"/>
      <c r="T26" s="164"/>
      <c r="U26" s="164"/>
      <c r="V26" s="1659"/>
      <c r="W26" s="1659"/>
      <c r="X26" s="164"/>
      <c r="Y26" s="164"/>
      <c r="Z26" s="164"/>
      <c r="AA26" s="164"/>
      <c r="AB26" s="164"/>
    </row>
    <row r="27" spans="1:28">
      <c r="A27" s="1242" t="s">
        <v>374</v>
      </c>
      <c r="B27" s="294" t="s">
        <v>42</v>
      </c>
      <c r="C27" s="2435"/>
      <c r="D27" s="1243">
        <f>Ranking!C60</f>
        <v>2432.5463571428577</v>
      </c>
      <c r="E27" s="1246">
        <f>Ranking!D60</f>
        <v>6.2327761047315808E-3</v>
      </c>
      <c r="F27" s="406" t="s">
        <v>276</v>
      </c>
      <c r="G27" s="1257">
        <f>Ranking!G85</f>
        <v>2152.6311000000001</v>
      </c>
      <c r="H27" s="1044">
        <f>Ranking!H85</f>
        <v>5.9610558303255963E-3</v>
      </c>
      <c r="I27" s="72"/>
      <c r="J27" s="164"/>
      <c r="K27" s="406" t="s">
        <v>44</v>
      </c>
      <c r="L27" s="1290">
        <f>Ranking!E110</f>
        <v>-0.59766521701552</v>
      </c>
      <c r="N27" s="164"/>
      <c r="O27" s="164"/>
      <c r="P27" s="164"/>
      <c r="Q27" s="164"/>
      <c r="R27" s="164"/>
      <c r="S27" s="164"/>
      <c r="T27" s="164"/>
      <c r="U27" s="164"/>
      <c r="V27" s="1659"/>
      <c r="W27" s="1659"/>
      <c r="X27" s="164"/>
      <c r="Y27" s="164"/>
      <c r="Z27" s="164"/>
      <c r="AA27" s="164"/>
      <c r="AB27" s="164"/>
    </row>
    <row r="28" spans="1:28">
      <c r="A28" s="1247" t="s">
        <v>319</v>
      </c>
      <c r="B28" s="661" t="s">
        <v>751</v>
      </c>
      <c r="C28" s="2435"/>
      <c r="D28" s="1248">
        <f>Ranking!C61</f>
        <v>2121.4584571428572</v>
      </c>
      <c r="E28" s="1249">
        <f>Ranking!D61</f>
        <v>5.4356931534045982E-3</v>
      </c>
      <c r="F28" s="652" t="s">
        <v>275</v>
      </c>
      <c r="G28" s="1289">
        <f>Ranking!G86</f>
        <v>960.23059999999998</v>
      </c>
      <c r="H28" s="1258">
        <f>Ranking!H86</f>
        <v>2.6590660223142948E-3</v>
      </c>
      <c r="I28" s="72"/>
      <c r="J28" s="164"/>
      <c r="K28" s="652" t="s">
        <v>751</v>
      </c>
      <c r="L28" s="656">
        <f>Ranking!E111</f>
        <v>-0.63331383871554725</v>
      </c>
      <c r="N28" s="164"/>
      <c r="O28" s="164"/>
      <c r="P28" s="164"/>
      <c r="Q28" s="164"/>
      <c r="R28" s="164"/>
      <c r="S28" s="164"/>
      <c r="T28" s="164"/>
      <c r="U28" s="164"/>
      <c r="V28" s="1659"/>
      <c r="W28" s="1659"/>
      <c r="X28" s="164"/>
      <c r="Y28" s="164"/>
      <c r="Z28" s="164"/>
      <c r="AA28" s="164"/>
      <c r="AB28" s="164"/>
    </row>
    <row r="29" spans="1:28">
      <c r="A29" s="1242" t="s">
        <v>27</v>
      </c>
      <c r="B29" s="294" t="s">
        <v>353</v>
      </c>
      <c r="C29" s="2435"/>
      <c r="D29" s="1243">
        <f>Ranking!C62</f>
        <v>504.56125714285719</v>
      </c>
      <c r="E29" s="1246">
        <f>Ranking!D62</f>
        <v>1.292808804099037E-3</v>
      </c>
      <c r="F29" s="406" t="s">
        <v>353</v>
      </c>
      <c r="G29" s="1257">
        <f>Ranking!G87</f>
        <v>562.64409999999998</v>
      </c>
      <c r="H29" s="1044">
        <f>Ranking!H87</f>
        <v>1.5580713726115437E-3</v>
      </c>
      <c r="I29" s="72"/>
      <c r="J29" s="164"/>
      <c r="K29" s="406" t="s">
        <v>54</v>
      </c>
      <c r="L29" s="1290">
        <f>Ranking!E112</f>
        <v>-0.63447330491761056</v>
      </c>
      <c r="N29" s="164"/>
      <c r="O29" s="164"/>
      <c r="P29" s="164"/>
      <c r="Q29" s="164"/>
      <c r="R29" s="164"/>
      <c r="S29" s="164"/>
      <c r="T29" s="164"/>
      <c r="U29" s="164"/>
      <c r="V29" s="1659"/>
      <c r="W29" s="1659"/>
      <c r="X29" s="164"/>
      <c r="Y29" s="164"/>
      <c r="Z29" s="164"/>
      <c r="AA29" s="164"/>
      <c r="AB29" s="164"/>
    </row>
    <row r="30" spans="1:28" s="2348" customFormat="1">
      <c r="A30" s="1259"/>
      <c r="B30" s="294"/>
      <c r="C30" s="2435"/>
      <c r="D30" s="1255"/>
      <c r="E30" s="1246"/>
      <c r="F30" s="76"/>
      <c r="G30" s="1257"/>
      <c r="H30" s="1040"/>
      <c r="I30" s="73"/>
      <c r="J30" s="154"/>
      <c r="K30" s="1287"/>
      <c r="L30" s="1244"/>
      <c r="N30" s="154"/>
      <c r="O30" s="760" t="s">
        <v>1659</v>
      </c>
      <c r="P30" s="154"/>
      <c r="Q30" s="154"/>
      <c r="R30" s="154"/>
      <c r="S30" s="760" t="s">
        <v>1660</v>
      </c>
      <c r="T30" s="154"/>
      <c r="U30" s="154"/>
      <c r="V30" s="154"/>
      <c r="W30" s="154"/>
      <c r="X30" s="154"/>
      <c r="Y30" s="154"/>
      <c r="Z30" s="154"/>
      <c r="AA30" s="154"/>
      <c r="AB30" s="154"/>
    </row>
    <row r="31" spans="1:28">
      <c r="A31" s="1122" t="s">
        <v>1026</v>
      </c>
      <c r="B31" s="2079" t="s">
        <v>1006</v>
      </c>
      <c r="C31" s="2328"/>
      <c r="D31" s="2080">
        <f>AVERAGE(D8:D29)</f>
        <v>17740.134909883913</v>
      </c>
      <c r="E31" s="2081">
        <f>AVERAGE(E8:E29)</f>
        <v>4.5454545454545456E-2</v>
      </c>
      <c r="F31" s="1291"/>
      <c r="G31" s="2080">
        <f>AVERAGE(G8:G29)</f>
        <v>16414.35191464626</v>
      </c>
      <c r="H31" s="2081">
        <f>AVERAGE(H8:H29)</f>
        <v>4.5454545454545463E-2</v>
      </c>
      <c r="I31" s="164"/>
      <c r="J31" s="2086"/>
      <c r="K31" s="141" t="s">
        <v>1006</v>
      </c>
      <c r="L31" s="1263">
        <f>AVERAGE(L8:L29)</f>
        <v>-2.3851064758710981E-2</v>
      </c>
      <c r="N31" s="164"/>
      <c r="O31" s="164"/>
      <c r="P31" s="164"/>
      <c r="Q31" s="164"/>
      <c r="R31" s="164"/>
      <c r="S31" s="164"/>
      <c r="T31" s="164"/>
      <c r="U31" s="164"/>
      <c r="V31" s="1659"/>
      <c r="W31" s="1659"/>
      <c r="X31" s="164"/>
      <c r="Y31" s="164"/>
      <c r="Z31" s="164"/>
      <c r="AA31" s="164"/>
      <c r="AB31" s="164"/>
    </row>
    <row r="32" spans="1:28">
      <c r="A32" s="1115">
        <f>COUNT(D8:D29)</f>
        <v>22</v>
      </c>
      <c r="B32" s="1787" t="s">
        <v>1061</v>
      </c>
      <c r="C32" s="2328"/>
      <c r="D32" s="1240">
        <f>MEDIAN(D8:D29)</f>
        <v>6809.8359425385843</v>
      </c>
      <c r="E32" s="1288">
        <f>MEDIAN(E8:E29)</f>
        <v>1.7448457915371231E-2</v>
      </c>
      <c r="F32" s="1291"/>
      <c r="G32" s="1241">
        <f>MEDIAN(G8:G29)</f>
        <v>6322.7299499999999</v>
      </c>
      <c r="H32" s="1256">
        <f>MEDIAN(H8:H29)</f>
        <v>1.7508873783353668E-2</v>
      </c>
      <c r="I32" s="3083" t="s">
        <v>2234</v>
      </c>
      <c r="J32" s="1375"/>
      <c r="K32" s="89" t="s">
        <v>1061</v>
      </c>
      <c r="L32" s="1264">
        <f>MEDIAN(L8:L29)</f>
        <v>-0.10847820549979714</v>
      </c>
      <c r="N32" s="164"/>
      <c r="O32" s="164"/>
      <c r="P32" s="164"/>
      <c r="Q32" s="164"/>
      <c r="R32" s="164"/>
      <c r="S32" s="1297"/>
      <c r="T32" s="1297"/>
      <c r="U32" s="164"/>
      <c r="V32" s="164"/>
      <c r="W32" s="164"/>
      <c r="X32" s="1297"/>
      <c r="Y32" s="164"/>
      <c r="Z32" s="164"/>
      <c r="AA32" s="164"/>
      <c r="AB32" s="164"/>
    </row>
    <row r="33" spans="1:30">
      <c r="A33" s="1259"/>
      <c r="B33" s="1433"/>
      <c r="C33" s="2328"/>
      <c r="D33" s="1295"/>
      <c r="E33" s="1287"/>
      <c r="F33" s="164"/>
      <c r="G33" s="164"/>
      <c r="H33" s="164"/>
      <c r="I33" s="2083"/>
      <c r="J33" s="2083"/>
      <c r="K33" s="89" t="s">
        <v>1908</v>
      </c>
      <c r="L33" s="1245">
        <f>CALCULATIONS!R33</f>
        <v>-0.10177557890563894</v>
      </c>
      <c r="N33" s="164"/>
      <c r="O33" s="164"/>
      <c r="P33" s="164"/>
      <c r="Q33" s="164"/>
      <c r="R33" s="164"/>
      <c r="S33" s="1297"/>
      <c r="T33" s="1297"/>
      <c r="U33" s="164"/>
      <c r="V33" s="164"/>
      <c r="W33" s="3043" t="s">
        <v>2138</v>
      </c>
      <c r="X33" s="1297"/>
      <c r="Y33" s="164"/>
      <c r="Z33" s="164"/>
      <c r="AA33" s="164"/>
      <c r="AB33" s="164"/>
    </row>
    <row r="34" spans="1:30" ht="13.15" customHeight="1">
      <c r="A34" s="670"/>
      <c r="B34" s="2090"/>
      <c r="C34" s="2444"/>
      <c r="D34" s="3125" t="s">
        <v>2132</v>
      </c>
      <c r="E34" s="3126"/>
      <c r="F34" s="3126"/>
      <c r="G34" s="3126"/>
      <c r="H34" s="3126"/>
      <c r="I34" s="3126"/>
      <c r="J34" s="2082"/>
      <c r="K34" s="73"/>
      <c r="L34" s="150"/>
      <c r="N34" s="164"/>
      <c r="O34" s="164"/>
      <c r="P34" s="164"/>
      <c r="Q34" s="164"/>
      <c r="R34" s="164"/>
      <c r="S34" s="164"/>
      <c r="T34" s="164"/>
      <c r="U34" s="164"/>
      <c r="V34" s="164"/>
      <c r="W34" s="3043"/>
      <c r="X34" s="164"/>
      <c r="Y34" s="164"/>
      <c r="Z34" s="164"/>
      <c r="AA34" s="164"/>
      <c r="AB34" s="164"/>
    </row>
    <row r="35" spans="1:30" ht="12.75" customHeight="1">
      <c r="A35" s="1261"/>
      <c r="B35" s="2091"/>
      <c r="D35" s="4130" t="s">
        <v>1657</v>
      </c>
      <c r="E35" s="4130"/>
      <c r="F35" s="4130"/>
      <c r="G35" s="4130"/>
      <c r="H35" s="4130"/>
      <c r="I35" s="4130"/>
      <c r="J35" s="3081"/>
      <c r="K35" s="1292" t="s">
        <v>481</v>
      </c>
      <c r="L35" s="1293">
        <f>'OUTPUTS &amp; Inputs'!P109</f>
        <v>-4.470625286303239E-2</v>
      </c>
      <c r="N35" s="164"/>
      <c r="O35" s="164"/>
      <c r="P35" s="164"/>
      <c r="Q35" s="164"/>
      <c r="R35" s="164"/>
      <c r="S35" s="164"/>
      <c r="T35" s="164"/>
      <c r="U35" s="164"/>
      <c r="V35" s="164"/>
      <c r="W35" s="3043" t="s">
        <v>2734</v>
      </c>
      <c r="X35" s="164"/>
      <c r="Y35" s="164"/>
      <c r="Z35" s="164"/>
      <c r="AA35" s="164"/>
      <c r="AB35" s="164"/>
    </row>
    <row r="36" spans="1:30" ht="13.15" customHeight="1">
      <c r="A36" s="1261"/>
      <c r="B36" s="2091"/>
      <c r="D36" s="4130"/>
      <c r="E36" s="4130"/>
      <c r="F36" s="4130"/>
      <c r="G36" s="4130"/>
      <c r="H36" s="4130"/>
      <c r="I36" s="4130"/>
      <c r="J36" s="3081"/>
      <c r="K36" s="1292" t="s">
        <v>485</v>
      </c>
      <c r="L36" s="1293">
        <f>'OUTPUTS &amp; Inputs'!P110</f>
        <v>-0.3727157311583888</v>
      </c>
      <c r="N36" s="1237"/>
      <c r="O36" s="164"/>
      <c r="P36" s="164"/>
      <c r="Q36" s="164"/>
      <c r="R36" s="164"/>
      <c r="S36" s="164"/>
      <c r="T36" s="164"/>
      <c r="U36" s="164"/>
      <c r="V36" s="164"/>
      <c r="W36" s="3043" t="s">
        <v>2735</v>
      </c>
      <c r="X36" s="164"/>
      <c r="Y36" s="164"/>
      <c r="Z36" s="164"/>
      <c r="AA36" s="164"/>
      <c r="AB36" s="164"/>
    </row>
    <row r="37" spans="1:30" ht="12.75" customHeight="1">
      <c r="A37" s="1261"/>
      <c r="B37" s="2091"/>
      <c r="D37" s="4016" t="s">
        <v>2222</v>
      </c>
      <c r="E37" s="4016"/>
      <c r="F37" s="4016"/>
      <c r="G37" s="4016"/>
      <c r="H37" s="4016"/>
      <c r="I37" s="4016"/>
      <c r="J37" s="3082"/>
      <c r="K37" s="1292" t="s">
        <v>487</v>
      </c>
      <c r="L37" s="1293">
        <f>'OUTPUTS &amp; Inputs'!P111</f>
        <v>-0.27415919560156515</v>
      </c>
      <c r="N37" s="154"/>
      <c r="O37" s="164"/>
      <c r="P37" s="164"/>
      <c r="Q37" s="164"/>
      <c r="R37" s="164"/>
      <c r="S37" s="164"/>
      <c r="T37" s="164"/>
      <c r="U37" s="164"/>
      <c r="V37" s="164"/>
      <c r="W37" s="3043" t="s">
        <v>2736</v>
      </c>
      <c r="X37" s="164"/>
      <c r="Y37" s="164"/>
      <c r="Z37" s="164"/>
      <c r="AA37" s="164"/>
      <c r="AB37" s="164"/>
    </row>
    <row r="38" spans="1:30">
      <c r="A38" s="1261"/>
      <c r="B38" s="2091"/>
      <c r="D38" s="4016"/>
      <c r="E38" s="4016"/>
      <c r="F38" s="4016"/>
      <c r="G38" s="4016"/>
      <c r="H38" s="4016"/>
      <c r="I38" s="4016"/>
      <c r="J38" s="3082"/>
      <c r="K38" s="1292" t="s">
        <v>489</v>
      </c>
      <c r="L38" s="1293">
        <f>'OUTPUTS &amp; Inputs'!P112</f>
        <v>0.2084448816446475</v>
      </c>
      <c r="N38" s="154"/>
      <c r="O38" s="1659"/>
      <c r="P38" s="1659"/>
      <c r="Q38" s="1659"/>
      <c r="R38" s="1659"/>
      <c r="S38" s="1659"/>
      <c r="T38" s="1659"/>
      <c r="U38" s="1659"/>
      <c r="V38" s="1659"/>
      <c r="W38" s="3135" t="s">
        <v>1903</v>
      </c>
      <c r="X38" s="1659"/>
      <c r="Y38" s="1659"/>
      <c r="Z38" s="1659"/>
      <c r="AA38" s="1659"/>
      <c r="AB38" s="1659"/>
    </row>
    <row r="39" spans="1:30" ht="12.75" customHeight="1">
      <c r="A39" s="1261"/>
      <c r="B39" s="2091"/>
      <c r="D39" s="4016" t="s">
        <v>1658</v>
      </c>
      <c r="E39" s="4016"/>
      <c r="F39" s="4016"/>
      <c r="G39" s="4016"/>
      <c r="H39" s="4016"/>
      <c r="I39" s="4016"/>
      <c r="J39" s="3082"/>
      <c r="K39" s="1294" t="s">
        <v>1121</v>
      </c>
      <c r="L39" s="1293">
        <f>'OUTPUTS &amp; Inputs'!P114</f>
        <v>5.8721709974853362E-2</v>
      </c>
      <c r="N39" s="154"/>
      <c r="O39" s="1659"/>
      <c r="P39" s="1659"/>
      <c r="Q39" s="1659"/>
      <c r="R39" s="1659"/>
      <c r="S39" s="1659"/>
      <c r="T39" s="1659"/>
      <c r="U39" s="1659"/>
      <c r="V39" s="1659"/>
      <c r="W39" s="3135"/>
      <c r="X39" s="1659"/>
      <c r="Y39" s="1659"/>
      <c r="Z39" s="1659"/>
      <c r="AA39" s="1659"/>
      <c r="AB39" s="1659"/>
    </row>
    <row r="40" spans="1:30">
      <c r="A40" s="1261"/>
      <c r="B40" s="2091"/>
      <c r="D40" s="4016"/>
      <c r="E40" s="4016"/>
      <c r="F40" s="4016"/>
      <c r="G40" s="4016"/>
      <c r="H40" s="4016"/>
      <c r="I40" s="4016"/>
      <c r="J40" s="3082"/>
      <c r="K40" s="1294" t="s">
        <v>1124</v>
      </c>
      <c r="L40" s="1293">
        <f>'OUTPUTS &amp; Inputs'!P115</f>
        <v>6.7822063479178421E-2</v>
      </c>
      <c r="N40" s="154"/>
      <c r="O40" s="1659"/>
      <c r="P40" s="1659"/>
      <c r="Q40" s="1659"/>
      <c r="R40" s="1659"/>
      <c r="S40" s="1659"/>
      <c r="T40" s="1659"/>
      <c r="U40" s="1659"/>
      <c r="V40" s="1659"/>
      <c r="W40" s="3909" t="s">
        <v>2737</v>
      </c>
      <c r="X40" s="1659"/>
      <c r="Y40" s="1659"/>
      <c r="Z40" s="1659"/>
      <c r="AA40" s="1659"/>
      <c r="AB40" s="1659"/>
    </row>
    <row r="41" spans="1:30">
      <c r="A41" s="1261"/>
      <c r="B41" s="2091"/>
      <c r="D41" s="4016"/>
      <c r="E41" s="4016"/>
      <c r="F41" s="4016"/>
      <c r="G41" s="4016"/>
      <c r="H41" s="4016"/>
      <c r="I41" s="4016"/>
      <c r="J41" s="3082"/>
      <c r="K41" s="1294" t="s">
        <v>1122</v>
      </c>
      <c r="L41" s="1293">
        <f>'OUTPUTS &amp; Inputs'!P116</f>
        <v>0.1597197757400679</v>
      </c>
      <c r="N41" s="154"/>
      <c r="O41" s="1659"/>
      <c r="P41" s="1659"/>
      <c r="Q41" s="1659"/>
      <c r="R41" s="1659"/>
      <c r="S41" s="1659"/>
      <c r="T41" s="1659"/>
      <c r="U41" s="1659"/>
      <c r="V41" s="1659"/>
      <c r="W41" s="3836" t="s">
        <v>1902</v>
      </c>
      <c r="X41" s="1659"/>
      <c r="Y41" s="1659"/>
      <c r="Z41" s="1659"/>
      <c r="AA41" s="1659"/>
      <c r="AB41" s="1659"/>
    </row>
    <row r="42" spans="1:30" ht="13.15" customHeight="1">
      <c r="A42" s="1261"/>
      <c r="B42" s="2091"/>
      <c r="D42" s="3127" t="s">
        <v>2291</v>
      </c>
      <c r="E42" s="3127"/>
      <c r="F42" s="3127"/>
      <c r="G42" s="3127"/>
      <c r="H42" s="3127"/>
      <c r="I42" s="3127"/>
      <c r="J42" s="3084"/>
      <c r="K42" s="1294" t="s">
        <v>1123</v>
      </c>
      <c r="L42" s="1293">
        <f>'OUTPUTS &amp; Inputs'!P117</f>
        <v>0.35356636626584159</v>
      </c>
      <c r="N42" s="154"/>
      <c r="O42" s="164"/>
      <c r="P42" s="164"/>
      <c r="Q42" s="164"/>
      <c r="R42" s="164"/>
      <c r="S42" s="164"/>
      <c r="T42" s="164"/>
      <c r="U42" s="164"/>
      <c r="V42" s="164"/>
      <c r="W42" s="164"/>
      <c r="X42" s="164"/>
      <c r="Y42" s="164"/>
      <c r="Z42" s="164"/>
      <c r="AA42" s="164"/>
      <c r="AB42" s="164"/>
    </row>
    <row r="43" spans="1:30" ht="13.15" customHeight="1">
      <c r="A43" s="1262"/>
      <c r="B43" s="2091"/>
      <c r="D43" s="1658" t="s">
        <v>2181</v>
      </c>
      <c r="E43" s="1915"/>
      <c r="F43" s="3129" t="s">
        <v>2155</v>
      </c>
      <c r="G43" s="3128"/>
      <c r="H43" s="3128"/>
      <c r="I43" s="3128"/>
      <c r="J43" s="1303"/>
      <c r="K43" s="2084"/>
      <c r="L43" s="1026" t="s">
        <v>1489</v>
      </c>
      <c r="N43" s="154"/>
      <c r="O43" s="164"/>
      <c r="P43" s="164"/>
      <c r="Q43" s="164"/>
      <c r="R43" s="164"/>
      <c r="S43" s="164"/>
      <c r="T43" s="164"/>
      <c r="U43" s="164"/>
      <c r="V43" s="164"/>
      <c r="W43" s="164"/>
      <c r="X43" s="164"/>
      <c r="Y43" s="164"/>
      <c r="Z43" s="164"/>
      <c r="AA43" s="164"/>
      <c r="AB43" s="164"/>
    </row>
    <row r="44" spans="1:30" ht="13.15" customHeight="1">
      <c r="A44" s="1262"/>
      <c r="B44" s="2091"/>
      <c r="D44" s="4017" t="s">
        <v>2182</v>
      </c>
      <c r="E44" s="4017"/>
      <c r="F44" s="4017"/>
      <c r="G44" s="4017"/>
      <c r="H44" s="4017"/>
      <c r="I44" s="4017"/>
      <c r="J44" s="1915"/>
      <c r="K44" s="154"/>
      <c r="L44" s="1026"/>
      <c r="N44" s="154"/>
      <c r="O44" s="1659"/>
      <c r="P44" s="1659"/>
      <c r="Q44" s="1659"/>
      <c r="R44" s="1659"/>
      <c r="S44" s="1659"/>
      <c r="T44" s="1659"/>
      <c r="U44" s="1659"/>
      <c r="V44" s="1659"/>
      <c r="W44" s="1659"/>
      <c r="X44" s="1659"/>
      <c r="Y44" s="1659"/>
      <c r="Z44" s="1659"/>
      <c r="AA44" s="1659"/>
      <c r="AB44" s="1659"/>
    </row>
    <row r="45" spans="1:30" ht="13.15" customHeight="1">
      <c r="A45" s="1262"/>
      <c r="B45" s="2091"/>
      <c r="D45" s="4017"/>
      <c r="E45" s="4017"/>
      <c r="F45" s="4017"/>
      <c r="G45" s="4017"/>
      <c r="H45" s="4017"/>
      <c r="I45" s="4017"/>
      <c r="J45" s="3085"/>
      <c r="K45" s="154"/>
      <c r="L45" s="1659"/>
      <c r="N45" s="1915" t="s">
        <v>2137</v>
      </c>
      <c r="O45" s="1659"/>
      <c r="P45" s="164"/>
      <c r="Q45" s="164"/>
      <c r="R45" s="164"/>
      <c r="S45" s="164"/>
      <c r="T45" s="164"/>
      <c r="U45" s="164"/>
      <c r="V45" s="164"/>
      <c r="W45" s="164"/>
      <c r="X45" s="164"/>
      <c r="Y45" s="164"/>
      <c r="Z45" s="164"/>
      <c r="AA45" s="164"/>
      <c r="AB45" s="164"/>
    </row>
    <row r="46" spans="1:30" ht="13.15" customHeight="1">
      <c r="A46" s="1262"/>
      <c r="B46" s="2091"/>
      <c r="D46" s="4017"/>
      <c r="E46" s="4017"/>
      <c r="F46" s="4017"/>
      <c r="G46" s="4017"/>
      <c r="H46" s="4017"/>
      <c r="I46" s="4017"/>
      <c r="J46" s="3085"/>
      <c r="K46" s="1659"/>
      <c r="L46" s="1659"/>
      <c r="N46" s="1659"/>
      <c r="O46" s="164"/>
      <c r="P46" s="164"/>
      <c r="Q46" s="164"/>
      <c r="R46" s="164"/>
      <c r="S46" s="164"/>
      <c r="T46" s="164"/>
      <c r="U46" s="164"/>
      <c r="V46" s="164"/>
      <c r="W46" s="164"/>
      <c r="X46" s="154"/>
      <c r="Y46" s="154"/>
      <c r="Z46" s="154"/>
      <c r="AA46" s="154"/>
      <c r="AB46" s="154"/>
      <c r="AD46" s="2348"/>
    </row>
    <row r="47" spans="1:30">
      <c r="A47" s="670"/>
      <c r="B47" s="2090"/>
      <c r="C47" s="2444"/>
      <c r="D47" s="164"/>
      <c r="E47" s="164"/>
      <c r="F47" s="164"/>
      <c r="G47" s="164"/>
      <c r="H47" s="164"/>
      <c r="I47" s="164"/>
      <c r="J47" s="1303"/>
      <c r="K47" s="1659"/>
      <c r="L47" s="1300"/>
      <c r="N47" s="2495"/>
      <c r="O47" s="2495"/>
      <c r="P47" s="2495"/>
      <c r="Q47" s="2495"/>
      <c r="R47" s="2530"/>
      <c r="S47" s="2495"/>
      <c r="T47" s="2495"/>
      <c r="U47" s="2495"/>
      <c r="V47" s="2495"/>
      <c r="W47" s="2531"/>
      <c r="X47" s="2531"/>
      <c r="Y47" s="2531"/>
      <c r="Z47" s="2531"/>
      <c r="AA47" s="2531"/>
      <c r="AB47" s="2531"/>
      <c r="AD47" s="2473"/>
    </row>
    <row r="48" spans="1:30">
      <c r="A48" s="670"/>
      <c r="B48" s="2090"/>
      <c r="C48" s="2444"/>
      <c r="D48" s="3125" t="s">
        <v>2183</v>
      </c>
      <c r="E48" s="3125"/>
      <c r="F48" s="3125"/>
      <c r="G48" s="3125"/>
      <c r="H48" s="3125"/>
      <c r="I48" s="3125"/>
      <c r="J48" s="1328"/>
      <c r="K48" s="1659"/>
      <c r="L48" s="1300"/>
      <c r="N48" s="2495"/>
      <c r="O48" s="2495"/>
      <c r="P48" s="2495"/>
      <c r="Q48" s="2495"/>
      <c r="R48" s="2530"/>
      <c r="S48" s="2495"/>
      <c r="T48" s="2495"/>
      <c r="U48" s="2495"/>
      <c r="V48" s="2495"/>
      <c r="W48" s="2531"/>
      <c r="X48" s="2531"/>
      <c r="Y48" s="2531"/>
      <c r="Z48" s="2531"/>
      <c r="AA48" s="2531"/>
      <c r="AB48" s="2531"/>
      <c r="AD48" s="2473"/>
    </row>
    <row r="49" spans="1:49">
      <c r="A49" s="670"/>
      <c r="B49" s="2090"/>
      <c r="C49" s="2444"/>
      <c r="D49" s="3089" t="s">
        <v>2223</v>
      </c>
      <c r="E49" s="3125"/>
      <c r="F49" s="3125"/>
      <c r="G49" s="3125"/>
      <c r="H49" s="3125"/>
      <c r="I49" s="3125"/>
      <c r="J49" s="1328"/>
      <c r="K49" s="1659"/>
      <c r="L49" s="1300"/>
      <c r="N49" s="2495"/>
      <c r="O49" s="2495"/>
      <c r="P49" s="2495"/>
      <c r="Q49" s="2495"/>
      <c r="R49" s="2530"/>
      <c r="S49" s="2495"/>
      <c r="T49" s="2495"/>
      <c r="U49" s="2495"/>
      <c r="V49" s="2495"/>
      <c r="W49" s="2531"/>
      <c r="X49" s="2531"/>
      <c r="Y49" s="2531"/>
      <c r="Z49" s="2531"/>
      <c r="AA49" s="2531"/>
      <c r="AB49" s="2531"/>
      <c r="AD49" s="2473"/>
    </row>
    <row r="50" spans="1:49" ht="13.15" customHeight="1">
      <c r="A50" s="670"/>
      <c r="B50" s="2090"/>
      <c r="C50" s="2444"/>
      <c r="D50" s="3130" t="s">
        <v>2224</v>
      </c>
      <c r="E50" s="1296"/>
      <c r="F50" s="1296"/>
      <c r="G50" s="1296"/>
      <c r="H50" s="1296"/>
      <c r="I50" s="1296"/>
      <c r="J50" s="1336"/>
      <c r="K50" s="1659"/>
      <c r="L50" s="1916"/>
      <c r="N50" s="2495"/>
      <c r="O50" s="2495"/>
      <c r="P50" s="2495"/>
      <c r="Q50" s="2495"/>
      <c r="R50" s="2530"/>
      <c r="S50" s="2495"/>
      <c r="T50" s="2495"/>
      <c r="U50" s="2495"/>
      <c r="V50" s="2495"/>
      <c r="W50" s="2531"/>
      <c r="X50" s="2531"/>
      <c r="Y50" s="2531"/>
      <c r="Z50" s="2531"/>
      <c r="AA50" s="2531"/>
      <c r="AB50" s="2531"/>
      <c r="AD50" s="2473"/>
    </row>
    <row r="51" spans="1:49" ht="12.75" customHeight="1">
      <c r="A51" s="670"/>
      <c r="B51" s="2090"/>
      <c r="C51" s="2444"/>
      <c r="D51" s="4018" t="s">
        <v>2184</v>
      </c>
      <c r="E51" s="4018"/>
      <c r="F51" s="4018"/>
      <c r="G51" s="4018"/>
      <c r="H51" s="4018"/>
      <c r="I51" s="4018"/>
      <c r="J51" s="3086"/>
      <c r="K51" s="902"/>
      <c r="L51" s="2498"/>
      <c r="N51" s="2495"/>
      <c r="O51" s="2495"/>
      <c r="P51" s="2495"/>
      <c r="Q51" s="2495"/>
      <c r="R51" s="2530"/>
      <c r="S51" s="2495"/>
      <c r="T51" s="2495"/>
      <c r="U51" s="2495"/>
      <c r="V51" s="2495"/>
      <c r="W51" s="2531"/>
      <c r="X51" s="2531"/>
      <c r="Y51" s="2531"/>
      <c r="Z51" s="2531"/>
      <c r="AA51" s="2531"/>
      <c r="AB51" s="2531"/>
      <c r="AD51" s="2473"/>
    </row>
    <row r="52" spans="1:49">
      <c r="A52" s="670"/>
      <c r="B52" s="2090"/>
      <c r="C52" s="2444"/>
      <c r="D52" s="4018"/>
      <c r="E52" s="4018"/>
      <c r="F52" s="4018"/>
      <c r="G52" s="4018"/>
      <c r="H52" s="4018"/>
      <c r="I52" s="4018"/>
      <c r="J52" s="3086"/>
      <c r="K52" s="2498"/>
      <c r="L52" s="2498"/>
      <c r="N52" s="2495"/>
      <c r="O52" s="2495"/>
      <c r="P52" s="2495"/>
      <c r="Q52" s="2495"/>
      <c r="R52" s="2530"/>
      <c r="S52" s="2495"/>
      <c r="T52" s="2495"/>
      <c r="U52" s="2495"/>
      <c r="V52" s="2495"/>
      <c r="W52" s="2531"/>
      <c r="X52" s="2531"/>
      <c r="Y52" s="2531"/>
      <c r="Z52" s="2531"/>
      <c r="AA52" s="2531"/>
      <c r="AB52" s="2531"/>
      <c r="AD52" s="2473"/>
    </row>
    <row r="53" spans="1:49">
      <c r="A53" s="670"/>
      <c r="B53" s="2090"/>
      <c r="C53" s="2444"/>
      <c r="D53" s="4018"/>
      <c r="E53" s="4018"/>
      <c r="F53" s="4018"/>
      <c r="G53" s="4018"/>
      <c r="H53" s="4018"/>
      <c r="I53" s="4018"/>
      <c r="J53" s="3086"/>
      <c r="K53" s="2498"/>
      <c r="L53" s="2498"/>
      <c r="N53" s="1419"/>
      <c r="O53" s="1419"/>
      <c r="P53" s="1419"/>
      <c r="Q53" s="1419"/>
      <c r="R53" s="1420"/>
      <c r="S53" s="2495"/>
      <c r="T53" s="2495"/>
      <c r="U53" s="2495"/>
      <c r="V53" s="2495"/>
      <c r="W53" s="2531"/>
      <c r="X53" s="2531"/>
      <c r="Y53" s="2531"/>
      <c r="Z53" s="2531"/>
      <c r="AA53" s="2531"/>
      <c r="AB53" s="2531"/>
      <c r="AD53" s="2473"/>
    </row>
    <row r="54" spans="1:49" ht="12.75" customHeight="1">
      <c r="A54" s="670"/>
      <c r="B54" s="2090"/>
      <c r="C54" s="2444"/>
      <c r="D54" s="4019" t="s">
        <v>2136</v>
      </c>
      <c r="E54" s="4019"/>
      <c r="F54" s="4019"/>
      <c r="G54" s="4019"/>
      <c r="H54" s="4019"/>
      <c r="I54" s="4019"/>
      <c r="J54" s="3087"/>
      <c r="K54" s="1659"/>
      <c r="L54" s="1028"/>
      <c r="N54" s="4023" t="s">
        <v>1954</v>
      </c>
      <c r="O54" s="4023"/>
      <c r="P54" s="4023"/>
      <c r="Q54" s="4023"/>
      <c r="R54" s="1420"/>
      <c r="S54" s="2495"/>
      <c r="T54" s="2495"/>
      <c r="U54" s="2495"/>
      <c r="V54" s="2495"/>
      <c r="W54" s="2531"/>
      <c r="X54" s="2531"/>
      <c r="Y54" s="2531"/>
      <c r="Z54" s="2531"/>
      <c r="AA54" s="2531"/>
      <c r="AB54" s="2531"/>
      <c r="AD54" s="2473"/>
    </row>
    <row r="55" spans="1:49">
      <c r="A55" s="670"/>
      <c r="B55" s="2090"/>
      <c r="C55" s="2444"/>
      <c r="D55" s="4019"/>
      <c r="E55" s="4019"/>
      <c r="F55" s="4019"/>
      <c r="G55" s="4019"/>
      <c r="H55" s="4019"/>
      <c r="I55" s="4019"/>
      <c r="J55" s="3087"/>
      <c r="K55" s="488"/>
      <c r="L55" s="1028"/>
      <c r="N55" s="2499"/>
      <c r="O55" s="1419"/>
      <c r="P55" s="1419"/>
      <c r="Q55" s="1419"/>
      <c r="R55" s="1420"/>
      <c r="S55" s="2495"/>
      <c r="T55" s="2495"/>
      <c r="U55" s="2495"/>
      <c r="V55" s="2495"/>
      <c r="W55" s="2531"/>
      <c r="X55" s="2531"/>
      <c r="Y55" s="2531"/>
      <c r="Z55" s="2531"/>
      <c r="AA55" s="2531"/>
      <c r="AB55" s="2531"/>
      <c r="AD55" s="2473"/>
    </row>
    <row r="56" spans="1:49" ht="13.15" customHeight="1">
      <c r="A56" s="670"/>
      <c r="B56" s="2090"/>
      <c r="C56" s="2444"/>
      <c r="D56" s="3130" t="s">
        <v>2295</v>
      </c>
      <c r="E56" s="1336"/>
      <c r="F56" s="1336"/>
      <c r="G56" s="1336"/>
      <c r="H56" s="1336"/>
      <c r="I56" s="1336"/>
      <c r="J56" s="77"/>
      <c r="K56" s="488"/>
      <c r="L56" s="1916"/>
      <c r="N56" s="2499" t="s">
        <v>2125</v>
      </c>
      <c r="O56" s="1419"/>
      <c r="P56" s="1419"/>
      <c r="Q56" s="1419"/>
      <c r="R56" s="1420"/>
      <c r="S56" s="2495"/>
      <c r="T56" s="2495"/>
      <c r="U56" s="2495"/>
      <c r="V56" s="2495"/>
      <c r="W56" s="2531"/>
      <c r="X56" s="2531"/>
      <c r="Y56" s="2531"/>
      <c r="Z56" s="2531"/>
      <c r="AA56" s="2531"/>
      <c r="AB56" s="2531"/>
      <c r="AD56" s="2473"/>
    </row>
    <row r="57" spans="1:49" ht="12.75" customHeight="1">
      <c r="A57" s="670"/>
      <c r="B57" s="2090"/>
      <c r="C57" s="2444"/>
      <c r="D57" s="4020" t="s">
        <v>2292</v>
      </c>
      <c r="E57" s="4020"/>
      <c r="F57" s="4020"/>
      <c r="G57" s="4020"/>
      <c r="H57" s="4020"/>
      <c r="I57" s="4020"/>
      <c r="J57" s="3088"/>
      <c r="K57" s="1659"/>
      <c r="L57" s="1300"/>
      <c r="N57" s="1915"/>
      <c r="O57" s="164"/>
      <c r="P57" s="164"/>
      <c r="Q57" s="164"/>
      <c r="R57" s="1304"/>
      <c r="S57" s="2495"/>
      <c r="T57" s="2495"/>
      <c r="U57" s="2495"/>
      <c r="V57" s="2495"/>
      <c r="W57" s="2531"/>
      <c r="X57" s="2531"/>
      <c r="Y57" s="2531"/>
      <c r="Z57" s="2531"/>
      <c r="AA57" s="2531"/>
      <c r="AB57" s="2531"/>
      <c r="AD57" s="2473"/>
    </row>
    <row r="58" spans="1:49">
      <c r="A58" s="670"/>
      <c r="B58" s="2090"/>
      <c r="C58" s="2444"/>
      <c r="D58" s="4020"/>
      <c r="E58" s="4020"/>
      <c r="F58" s="4020"/>
      <c r="G58" s="4020"/>
      <c r="H58" s="4020"/>
      <c r="I58" s="4020"/>
      <c r="J58" s="3088"/>
      <c r="K58" s="488"/>
      <c r="L58" s="1916"/>
      <c r="N58" s="2499" t="s">
        <v>1904</v>
      </c>
      <c r="O58" s="164"/>
      <c r="P58" s="164"/>
      <c r="Q58" s="164"/>
      <c r="R58" s="1304"/>
      <c r="S58" s="2495"/>
      <c r="T58" s="2495"/>
      <c r="U58" s="2495"/>
      <c r="V58" s="2495"/>
      <c r="W58" s="2531"/>
      <c r="X58" s="2531"/>
      <c r="Y58" s="2531"/>
      <c r="Z58" s="2531"/>
      <c r="AA58" s="2531"/>
      <c r="AB58" s="2531"/>
      <c r="AD58" s="2473"/>
    </row>
    <row r="59" spans="1:49">
      <c r="A59" s="670"/>
      <c r="B59" s="2090"/>
      <c r="C59" s="2444"/>
      <c r="D59" s="4021" t="s">
        <v>2185</v>
      </c>
      <c r="E59" s="4021"/>
      <c r="F59" s="4021"/>
      <c r="G59" s="4021"/>
      <c r="H59" s="4021"/>
      <c r="I59" s="4021"/>
      <c r="J59" s="3088"/>
      <c r="K59" s="488"/>
      <c r="L59" s="1916"/>
      <c r="N59" s="2499" t="s">
        <v>2141</v>
      </c>
      <c r="O59" s="164"/>
      <c r="P59" s="164"/>
      <c r="Q59" s="164"/>
      <c r="R59" s="1304"/>
      <c r="S59" s="2495"/>
      <c r="T59" s="2495"/>
      <c r="U59" s="2495"/>
      <c r="V59" s="2495"/>
      <c r="W59" s="2531"/>
      <c r="X59" s="2531"/>
      <c r="Y59" s="2531"/>
      <c r="Z59" s="2531"/>
      <c r="AA59" s="2531"/>
      <c r="AB59" s="2531"/>
      <c r="AD59" s="2473"/>
    </row>
    <row r="60" spans="1:49">
      <c r="A60" s="670"/>
      <c r="B60" s="2090"/>
      <c r="C60" s="2444"/>
      <c r="D60" s="4021"/>
      <c r="E60" s="4021"/>
      <c r="F60" s="4021"/>
      <c r="G60" s="4021"/>
      <c r="H60" s="4021"/>
      <c r="I60" s="4021"/>
      <c r="J60" s="2999"/>
      <c r="K60" s="488"/>
      <c r="L60" s="1916"/>
      <c r="N60" s="2499"/>
      <c r="O60" s="1659"/>
      <c r="P60" s="1659"/>
      <c r="Q60" s="1659"/>
      <c r="R60" s="1658"/>
      <c r="S60" s="2495"/>
      <c r="T60" s="2495"/>
      <c r="U60" s="2495"/>
      <c r="V60" s="2495"/>
      <c r="W60" s="2531"/>
      <c r="X60" s="2531"/>
      <c r="Y60" s="2531"/>
      <c r="Z60" s="2531"/>
      <c r="AA60" s="2531"/>
      <c r="AB60" s="2531"/>
      <c r="AD60" s="2473"/>
    </row>
    <row r="61" spans="1:49">
      <c r="A61" s="670"/>
      <c r="B61" s="2090"/>
      <c r="C61" s="2444"/>
      <c r="D61" s="3089" t="s">
        <v>2221</v>
      </c>
      <c r="E61" s="3163"/>
      <c r="F61" s="3163"/>
      <c r="G61" s="3163"/>
      <c r="H61" s="3163"/>
      <c r="I61" s="3163"/>
      <c r="J61" s="3042"/>
      <c r="K61" s="488"/>
      <c r="L61" s="1916"/>
      <c r="N61" s="3090"/>
      <c r="O61" s="2495"/>
      <c r="P61" s="2495"/>
      <c r="Q61" s="2495"/>
      <c r="R61" s="2530"/>
      <c r="S61" s="2495"/>
      <c r="T61" s="2495"/>
      <c r="U61" s="2495"/>
      <c r="V61" s="2495"/>
      <c r="W61" s="2531"/>
      <c r="X61" s="2531"/>
      <c r="Y61" s="2531"/>
      <c r="Z61" s="2531"/>
      <c r="AA61" s="2531"/>
      <c r="AB61" s="2531"/>
      <c r="AD61" s="2473"/>
    </row>
    <row r="62" spans="1:49">
      <c r="A62" s="670"/>
      <c r="B62" s="2090"/>
      <c r="C62" s="2444"/>
      <c r="D62" s="2499"/>
      <c r="E62" s="77"/>
      <c r="F62" s="77"/>
      <c r="G62" s="77"/>
      <c r="H62" s="77"/>
      <c r="I62" s="164"/>
      <c r="J62" s="1305"/>
      <c r="K62" s="1916"/>
      <c r="L62" s="1916"/>
      <c r="R62" s="3022"/>
      <c r="W62" s="2473"/>
      <c r="X62" s="2473"/>
      <c r="Y62" s="2473"/>
      <c r="Z62" s="2473"/>
      <c r="AA62" s="2473"/>
      <c r="AB62" s="2473"/>
      <c r="AD62" s="2473"/>
    </row>
    <row r="63" spans="1:49">
      <c r="A63" s="670"/>
      <c r="B63" s="2090"/>
      <c r="C63" s="2444"/>
      <c r="D63" s="2499"/>
      <c r="E63" s="77"/>
      <c r="F63" s="77"/>
      <c r="G63" s="77"/>
      <c r="H63" s="77"/>
      <c r="I63" s="1659"/>
      <c r="J63" s="1305"/>
      <c r="K63" s="1916"/>
      <c r="L63" s="1916"/>
      <c r="R63" s="3022"/>
      <c r="W63" s="2473"/>
      <c r="X63" s="2473"/>
      <c r="Y63" s="2473"/>
      <c r="Z63" s="2473"/>
      <c r="AA63" s="2473"/>
      <c r="AB63" s="2473"/>
      <c r="AD63" s="2473"/>
    </row>
    <row r="64" spans="1:49" s="2437" customFormat="1">
      <c r="A64" s="2731" t="s">
        <v>1308</v>
      </c>
      <c r="B64" s="2739"/>
      <c r="C64" s="2444"/>
      <c r="D64" s="3147"/>
      <c r="E64" s="2790"/>
      <c r="F64" s="2790"/>
      <c r="G64" s="2790"/>
      <c r="H64" s="2790"/>
      <c r="I64" s="2790"/>
      <c r="J64" s="2791"/>
      <c r="K64" s="2791"/>
      <c r="L64" s="2791"/>
      <c r="N64" s="2507"/>
      <c r="O64" s="2507"/>
      <c r="P64" s="2507"/>
      <c r="Q64" s="2507"/>
      <c r="R64" s="2792"/>
      <c r="S64" s="2507"/>
      <c r="T64" s="2507"/>
      <c r="U64" s="2507"/>
      <c r="V64" s="2507"/>
      <c r="W64" s="2532"/>
      <c r="X64" s="2532"/>
      <c r="Y64" s="2532"/>
      <c r="Z64" s="2532"/>
      <c r="AA64" s="2532"/>
      <c r="AB64" s="2532"/>
      <c r="AD64" s="2793"/>
      <c r="AW64" s="2347"/>
    </row>
    <row r="65" spans="1:49" s="2437" customFormat="1">
      <c r="A65" s="670"/>
      <c r="B65" s="2090"/>
      <c r="C65" s="2444"/>
      <c r="D65" s="3147"/>
      <c r="E65" s="2790"/>
      <c r="F65" s="2790"/>
      <c r="G65" s="2790"/>
      <c r="H65" s="2790"/>
      <c r="I65" s="2790"/>
      <c r="J65" s="2791"/>
      <c r="K65" s="2791"/>
      <c r="L65" s="2791"/>
      <c r="N65" s="2507"/>
      <c r="O65" s="2507"/>
      <c r="P65" s="2507"/>
      <c r="Q65" s="2507"/>
      <c r="R65" s="2792"/>
      <c r="S65" s="2507"/>
      <c r="T65" s="2507"/>
      <c r="U65" s="2507"/>
      <c r="V65" s="2507"/>
      <c r="W65" s="2532"/>
      <c r="X65" s="2532"/>
      <c r="Y65" s="2532"/>
      <c r="Z65" s="2532"/>
      <c r="AA65" s="2532"/>
      <c r="AB65" s="2532"/>
      <c r="AD65" s="2793"/>
      <c r="AW65" s="2347"/>
    </row>
    <row r="66" spans="1:49" s="2437" customFormat="1">
      <c r="A66" s="670"/>
      <c r="B66" s="2090"/>
      <c r="C66" s="2444"/>
      <c r="D66" s="3147"/>
      <c r="E66" s="691"/>
      <c r="F66" s="691"/>
      <c r="G66" s="691"/>
      <c r="H66" s="691"/>
      <c r="I66" s="691"/>
      <c r="J66" s="77"/>
      <c r="K66" s="77"/>
      <c r="L66" s="77"/>
      <c r="N66" s="2507"/>
      <c r="O66" s="2507"/>
      <c r="P66" s="2507"/>
      <c r="Q66" s="2507"/>
      <c r="R66" s="2792"/>
      <c r="S66" s="2507"/>
      <c r="T66" s="2507"/>
      <c r="U66" s="2507"/>
      <c r="V66" s="2507"/>
      <c r="W66" s="2532"/>
      <c r="X66" s="2532"/>
      <c r="Y66" s="2532"/>
      <c r="Z66" s="2532"/>
      <c r="AA66" s="2532"/>
      <c r="AB66" s="2532"/>
      <c r="AD66" s="2793"/>
      <c r="AW66" s="2347"/>
    </row>
    <row r="67" spans="1:49" s="2437" customFormat="1">
      <c r="A67" s="670"/>
      <c r="B67" s="2090"/>
      <c r="C67" s="2444"/>
      <c r="D67" s="3147"/>
      <c r="E67" s="2790"/>
      <c r="F67" s="2790"/>
      <c r="G67" s="2790"/>
      <c r="H67" s="2790"/>
      <c r="I67" s="2790"/>
      <c r="J67" s="2791"/>
      <c r="K67" s="2791"/>
      <c r="L67" s="2791"/>
      <c r="N67" s="2507"/>
      <c r="O67" s="2507"/>
      <c r="P67" s="2507"/>
      <c r="Q67" s="2507"/>
      <c r="R67" s="2792"/>
      <c r="S67" s="2507"/>
      <c r="T67" s="2507"/>
      <c r="U67" s="2507"/>
      <c r="V67" s="2507"/>
      <c r="W67" s="2532"/>
      <c r="X67" s="2532"/>
      <c r="Y67" s="2532"/>
      <c r="Z67" s="2532"/>
      <c r="AA67" s="2532"/>
      <c r="AB67" s="2532"/>
      <c r="AD67" s="2793"/>
      <c r="AW67" s="2347"/>
    </row>
    <row r="68" spans="1:49" s="2437" customFormat="1">
      <c r="A68" s="670"/>
      <c r="B68" s="2090"/>
      <c r="C68" s="2444"/>
      <c r="D68" s="3147"/>
      <c r="E68" s="2790"/>
      <c r="F68" s="2790"/>
      <c r="G68" s="2790"/>
      <c r="H68" s="2790"/>
      <c r="I68" s="2790"/>
      <c r="J68" s="2791"/>
      <c r="K68" s="2791"/>
      <c r="L68" s="2791"/>
      <c r="N68" s="2507"/>
      <c r="O68" s="2507"/>
      <c r="P68" s="2507"/>
      <c r="Q68" s="2507"/>
      <c r="R68" s="2792"/>
      <c r="S68" s="2507"/>
      <c r="T68" s="2507"/>
      <c r="U68" s="2507"/>
      <c r="V68" s="2507"/>
      <c r="W68" s="2532"/>
      <c r="X68" s="2532"/>
      <c r="Y68" s="2532"/>
      <c r="Z68" s="2532"/>
      <c r="AA68" s="2532"/>
      <c r="AB68" s="2532"/>
      <c r="AD68" s="2793"/>
      <c r="AW68" s="2347"/>
    </row>
    <row r="69" spans="1:49">
      <c r="A69" s="670"/>
      <c r="B69" s="2090"/>
      <c r="C69" s="2444"/>
      <c r="D69" s="2499"/>
      <c r="E69" s="77"/>
      <c r="F69" s="77"/>
      <c r="G69" s="77"/>
      <c r="H69" s="77"/>
      <c r="I69" s="164"/>
      <c r="J69" s="1305"/>
      <c r="K69" s="1659"/>
      <c r="L69" s="1300"/>
      <c r="N69" s="2495"/>
      <c r="O69" s="2495"/>
      <c r="P69" s="2495"/>
      <c r="Q69" s="2495"/>
      <c r="R69" s="2530"/>
      <c r="S69" s="2495"/>
      <c r="T69" s="2495"/>
      <c r="U69" s="2495"/>
      <c r="V69" s="2495"/>
      <c r="W69" s="2531"/>
      <c r="X69" s="2531"/>
      <c r="Y69" s="2531"/>
      <c r="Z69" s="2531"/>
      <c r="AA69" s="2531"/>
      <c r="AB69" s="2531"/>
      <c r="AD69" s="2473"/>
    </row>
    <row r="70" spans="1:49">
      <c r="A70" s="2465"/>
      <c r="B70" s="2469"/>
      <c r="C70" s="2444"/>
      <c r="D70" s="2470"/>
      <c r="E70" s="2347"/>
      <c r="F70" s="2347"/>
      <c r="G70" s="2347"/>
      <c r="H70" s="2347"/>
      <c r="I70" s="2440"/>
      <c r="J70" s="2471"/>
      <c r="K70" s="2472"/>
      <c r="L70" s="2440"/>
      <c r="AB70" s="2473"/>
      <c r="AC70" s="2473"/>
      <c r="AD70" s="2473"/>
    </row>
    <row r="71" spans="1:49">
      <c r="A71" s="4055" t="s">
        <v>2156</v>
      </c>
      <c r="B71" s="4055"/>
      <c r="C71" s="2444"/>
      <c r="D71" s="672"/>
      <c r="E71" s="648"/>
      <c r="F71" s="648"/>
      <c r="G71" s="648"/>
      <c r="H71" s="648"/>
      <c r="I71" s="672"/>
      <c r="J71" s="672"/>
      <c r="K71" s="672"/>
      <c r="L71" s="1671"/>
      <c r="M71" s="2440"/>
      <c r="N71" s="2495"/>
      <c r="O71" s="2495"/>
    </row>
    <row r="72" spans="1:49">
      <c r="A72" s="1669"/>
      <c r="B72" s="2092"/>
      <c r="C72" s="2444"/>
      <c r="D72" s="1659"/>
      <c r="E72" s="77"/>
      <c r="F72" s="77"/>
      <c r="G72" s="77"/>
      <c r="H72" s="77"/>
      <c r="I72" s="1659"/>
      <c r="J72" s="1659"/>
      <c r="K72" s="1296"/>
      <c r="L72" s="1659"/>
      <c r="M72" s="2470"/>
      <c r="N72" s="2496"/>
      <c r="O72" s="2495"/>
      <c r="X72" s="2483"/>
      <c r="Y72" s="2483"/>
      <c r="Z72" s="2483"/>
      <c r="AA72" s="2483"/>
      <c r="AB72" s="2483"/>
      <c r="AC72" s="2483"/>
      <c r="AD72" s="2483"/>
    </row>
    <row r="73" spans="1:49">
      <c r="A73" s="4099" t="s">
        <v>2301</v>
      </c>
      <c r="B73" s="4100"/>
      <c r="C73" s="2445"/>
      <c r="D73" s="231"/>
      <c r="E73" s="231"/>
      <c r="F73" s="231"/>
      <c r="G73" s="231"/>
      <c r="H73" s="231"/>
      <c r="I73" s="4089" t="s">
        <v>963</v>
      </c>
      <c r="J73" s="4090"/>
      <c r="K73" s="1670" t="s">
        <v>1918</v>
      </c>
      <c r="L73" s="512"/>
      <c r="M73" s="2440"/>
      <c r="N73" s="2495"/>
      <c r="O73" s="2496"/>
    </row>
    <row r="74" spans="1:49" ht="13.15" customHeight="1">
      <c r="A74" s="4101"/>
      <c r="B74" s="4102"/>
      <c r="C74" s="2444"/>
      <c r="D74" s="798" t="s">
        <v>1905</v>
      </c>
      <c r="E74" s="798"/>
      <c r="F74" s="231"/>
      <c r="G74" s="231"/>
      <c r="H74" s="231"/>
      <c r="I74" s="4091" t="s">
        <v>2142</v>
      </c>
      <c r="J74" s="4092"/>
      <c r="K74" s="2500" t="s">
        <v>1917</v>
      </c>
      <c r="L74" s="1828"/>
      <c r="M74" s="2440"/>
      <c r="N74" s="1659"/>
      <c r="O74" s="154"/>
    </row>
    <row r="75" spans="1:49" ht="13.15" customHeight="1">
      <c r="A75" s="4073" t="s">
        <v>2176</v>
      </c>
      <c r="B75" s="4074"/>
      <c r="C75" s="2446"/>
      <c r="D75" s="649" t="s">
        <v>363</v>
      </c>
      <c r="E75" s="649" t="s">
        <v>872</v>
      </c>
      <c r="F75" s="649" t="s">
        <v>873</v>
      </c>
      <c r="G75" s="649" t="s">
        <v>874</v>
      </c>
      <c r="H75" s="649" t="s">
        <v>875</v>
      </c>
      <c r="I75" s="4081" t="s">
        <v>1906</v>
      </c>
      <c r="J75" s="1187" t="s">
        <v>759</v>
      </c>
      <c r="K75" s="4116" t="s">
        <v>762</v>
      </c>
      <c r="L75" s="4117"/>
      <c r="N75" s="2101" t="s">
        <v>759</v>
      </c>
      <c r="O75" s="151"/>
    </row>
    <row r="76" spans="1:49">
      <c r="A76" s="673"/>
      <c r="B76" s="674"/>
      <c r="C76" s="2446"/>
      <c r="D76" s="650"/>
      <c r="E76" s="650"/>
      <c r="F76" s="650"/>
      <c r="G76" s="650"/>
      <c r="H76" s="650"/>
      <c r="I76" s="4082"/>
      <c r="J76" s="1188" t="s">
        <v>760</v>
      </c>
      <c r="K76" s="4118" t="s">
        <v>763</v>
      </c>
      <c r="L76" s="4119"/>
      <c r="N76" s="2102" t="s">
        <v>761</v>
      </c>
      <c r="O76" s="151"/>
    </row>
    <row r="77" spans="1:49" s="2474" customFormat="1">
      <c r="A77" s="838" t="s">
        <v>498</v>
      </c>
      <c r="B77" s="839" t="s">
        <v>52</v>
      </c>
      <c r="C77" s="2447"/>
      <c r="D77" s="844" t="str">
        <f>'SEGMENTS Data &amp; Estimates'!J41</f>
        <v>N/a</v>
      </c>
      <c r="E77" s="845" t="str">
        <f>'SEGMENTS Data &amp; Estimates'!K41</f>
        <v>N/a</v>
      </c>
      <c r="F77" s="845" t="str">
        <f>'SEGMENTS Data &amp; Estimates'!L41</f>
        <v>N/a</v>
      </c>
      <c r="G77" s="846">
        <f>'SEGMENTS Data &amp; Estimates'!M41</f>
        <v>0.60734824281150157</v>
      </c>
      <c r="H77" s="847">
        <f>'SEGMENTS Data &amp; Estimates'!N41</f>
        <v>0.60938914027149316</v>
      </c>
      <c r="I77" s="644" t="s">
        <v>1907</v>
      </c>
      <c r="J77" s="646">
        <v>0.61</v>
      </c>
      <c r="K77" s="1910" t="s">
        <v>508</v>
      </c>
      <c r="L77" s="849"/>
      <c r="N77" s="2103"/>
      <c r="O77" s="850"/>
    </row>
    <row r="78" spans="1:49" s="2475" customFormat="1">
      <c r="A78" s="838" t="s">
        <v>385</v>
      </c>
      <c r="B78" s="839" t="s">
        <v>276</v>
      </c>
      <c r="C78" s="2447"/>
      <c r="D78" s="804">
        <f>'SEGMENTS Data &amp; Estimates'!J305</f>
        <v>0.5981133158250882</v>
      </c>
      <c r="E78" s="498">
        <f>'SEGMENTS Data &amp; Estimates'!K305</f>
        <v>0.5997848900947319</v>
      </c>
      <c r="F78" s="498">
        <f>'SEGMENTS Data &amp; Estimates'!L305</f>
        <v>0.61298310621604546</v>
      </c>
      <c r="G78" s="498">
        <f>'SEGMENTS Data &amp; Estimates'!M305</f>
        <v>0.6291371778838869</v>
      </c>
      <c r="H78" s="499">
        <f>'SEGMENTS Data &amp; Estimates'!N305</f>
        <v>0.63280000000000003</v>
      </c>
      <c r="I78" s="74" t="s">
        <v>1186</v>
      </c>
      <c r="J78" s="646">
        <f t="shared" ref="J78:J83" si="0">(D78+2*E78+2*F78+AVERAGE(G78,H78))/6</f>
        <v>0.60910298289809772</v>
      </c>
      <c r="K78" s="406" t="s">
        <v>508</v>
      </c>
      <c r="L78" s="839"/>
      <c r="N78" s="2103">
        <f t="shared" ref="N78:N83" si="1">(D78-AVERAGE(G78,H78))/AVERAGE(G78,H78)</f>
        <v>-5.2071170724915891E-2</v>
      </c>
      <c r="O78" s="184"/>
    </row>
    <row r="79" spans="1:49" s="2348" customFormat="1" ht="13.15" customHeight="1">
      <c r="A79" s="652" t="s">
        <v>319</v>
      </c>
      <c r="B79" s="661" t="s">
        <v>278</v>
      </c>
      <c r="C79" s="2435"/>
      <c r="D79" s="654">
        <f>'SEGMENTS Data &amp; Estimates'!J17</f>
        <v>0.33871396895787137</v>
      </c>
      <c r="E79" s="655">
        <f>'SEGMENTS Data &amp; Estimates'!K17</f>
        <v>0.37386600083229293</v>
      </c>
      <c r="F79" s="655">
        <f>'SEGMENTS Data &amp; Estimates'!L17</f>
        <v>0.3800947867298578</v>
      </c>
      <c r="G79" s="655">
        <f>'SEGMENTS Data &amp; Estimates'!M17</f>
        <v>0.38080446037435289</v>
      </c>
      <c r="H79" s="656">
        <f>'SEGMENTS Data &amp; Estimates'!N17</f>
        <v>0.38496530454895916</v>
      </c>
      <c r="I79" s="778" t="s">
        <v>912</v>
      </c>
      <c r="J79" s="657">
        <f t="shared" si="0"/>
        <v>0.37158673775730477</v>
      </c>
      <c r="K79" s="1911" t="s">
        <v>508</v>
      </c>
      <c r="L79" s="658"/>
      <c r="N79" s="2104">
        <f t="shared" si="1"/>
        <v>-0.1153634304384116</v>
      </c>
      <c r="O79" s="154"/>
    </row>
    <row r="80" spans="1:49" s="2476" customFormat="1">
      <c r="A80" s="652" t="s">
        <v>319</v>
      </c>
      <c r="B80" s="661" t="s">
        <v>275</v>
      </c>
      <c r="C80" s="2435"/>
      <c r="D80" s="851">
        <f>'SEGMENTS Data &amp; Estimates'!J100</f>
        <v>0.94</v>
      </c>
      <c r="E80" s="852">
        <f>'SEGMENTS Data &amp; Estimates'!K100</f>
        <v>0.90459999999999996</v>
      </c>
      <c r="F80" s="852">
        <f>'SEGMENTS Data &amp; Estimates'!L100</f>
        <v>0.89960000000000007</v>
      </c>
      <c r="G80" s="852">
        <f>'SEGMENTS Data &amp; Estimates'!M100</f>
        <v>0.91289999999999993</v>
      </c>
      <c r="H80" s="853">
        <f>'SEGMENTS Data &amp; Estimates'!N100</f>
        <v>0.94497650196875393</v>
      </c>
      <c r="I80" s="778" t="s">
        <v>513</v>
      </c>
      <c r="J80" s="657">
        <f t="shared" si="0"/>
        <v>0.91288970849739615</v>
      </c>
      <c r="K80" s="1912" t="s">
        <v>765</v>
      </c>
      <c r="L80" s="854"/>
      <c r="N80" s="2104">
        <f t="shared" si="1"/>
        <v>1.1907948675707087E-2</v>
      </c>
      <c r="O80" s="798"/>
    </row>
    <row r="81" spans="1:15" s="2348" customFormat="1" ht="13.15" customHeight="1">
      <c r="A81" s="652" t="s">
        <v>319</v>
      </c>
      <c r="B81" s="661" t="s">
        <v>281</v>
      </c>
      <c r="C81" s="2435"/>
      <c r="D81" s="654">
        <f>'SEGMENTS Data &amp; Estimates'!J336</f>
        <v>0.14257620452310718</v>
      </c>
      <c r="E81" s="655">
        <f>'SEGMENTS Data &amp; Estimates'!K336</f>
        <v>7.1198280494357877E-2</v>
      </c>
      <c r="F81" s="655">
        <f>'SEGMENTS Data &amp; Estimates'!L336</f>
        <v>4.6128672886784572E-2</v>
      </c>
      <c r="G81" s="655">
        <f>'SEGMENTS Data &amp; Estimates'!M336</f>
        <v>1.2317167051578136E-2</v>
      </c>
      <c r="H81" s="659">
        <f>'SEGMENTS Data &amp; Estimates'!N336</f>
        <v>5.8479532163742687E-3</v>
      </c>
      <c r="I81" s="778" t="s">
        <v>1909</v>
      </c>
      <c r="J81" s="657">
        <f t="shared" si="0"/>
        <v>6.4385445236561381E-2</v>
      </c>
      <c r="K81" s="1911" t="s">
        <v>508</v>
      </c>
      <c r="L81" s="658"/>
      <c r="N81" s="2104">
        <f t="shared" si="1"/>
        <v>14.697799124913645</v>
      </c>
      <c r="O81" s="154"/>
    </row>
    <row r="82" spans="1:15" s="2348" customFormat="1" ht="13.15" customHeight="1">
      <c r="A82" s="507" t="s">
        <v>539</v>
      </c>
      <c r="B82" s="293" t="s">
        <v>39</v>
      </c>
      <c r="C82" s="2443"/>
      <c r="D82" s="489">
        <f>'SEGMENTS Data &amp; Estimates'!J327</f>
        <v>0.28165979767703259</v>
      </c>
      <c r="E82" s="490">
        <f>'SEGMENTS Data &amp; Estimates'!K327</f>
        <v>0.3071143460906316</v>
      </c>
      <c r="F82" s="490">
        <f>'SEGMENTS Data &amp; Estimates'!L327</f>
        <v>0.32458830210107892</v>
      </c>
      <c r="G82" s="490">
        <f>'SEGMENTS Data &amp; Estimates'!M327</f>
        <v>0.32231864708500224</v>
      </c>
      <c r="H82" s="491">
        <f>'SEGMENTS Data &amp; Estimates'!N327</f>
        <v>0.3141425389755011</v>
      </c>
      <c r="I82" s="284" t="s">
        <v>1910</v>
      </c>
      <c r="J82" s="232">
        <f t="shared" si="0"/>
        <v>0.31054928118178421</v>
      </c>
      <c r="K82" s="507" t="s">
        <v>603</v>
      </c>
      <c r="L82" s="293"/>
      <c r="N82" s="2105">
        <f t="shared" si="1"/>
        <v>-0.11491916916279199</v>
      </c>
      <c r="O82" s="150"/>
    </row>
    <row r="83" spans="1:15" s="2347" customFormat="1" ht="13.15" customHeight="1">
      <c r="A83" s="508" t="s">
        <v>217</v>
      </c>
      <c r="B83" s="294" t="s">
        <v>53</v>
      </c>
      <c r="C83" s="2435"/>
      <c r="D83" s="492">
        <f>'SEGMENTS Data &amp; Estimates'!J196</f>
        <v>0.63960508302071395</v>
      </c>
      <c r="E83" s="493">
        <f>'SEGMENTS Data &amp; Estimates'!K196</f>
        <v>0.63691258302278264</v>
      </c>
      <c r="F83" s="493">
        <f>'SEGMENTS Data &amp; Estimates'!L196</f>
        <v>0.60295119120080787</v>
      </c>
      <c r="G83" s="493">
        <f>'SEGMENTS Data &amp; Estimates'!M196</f>
        <v>0.57174659410117801</v>
      </c>
      <c r="H83" s="494">
        <f>'SEGMENTS Data &amp; Estimates'!N196</f>
        <v>0.58023511894181368</v>
      </c>
      <c r="I83" s="245" t="s">
        <v>842</v>
      </c>
      <c r="J83" s="232">
        <f t="shared" si="0"/>
        <v>0.6158872479982318</v>
      </c>
      <c r="K83" s="1913" t="s">
        <v>508</v>
      </c>
      <c r="L83" s="294"/>
      <c r="N83" s="2105">
        <f t="shared" si="1"/>
        <v>0.11044311863454735</v>
      </c>
      <c r="O83" s="73"/>
    </row>
    <row r="84" spans="1:15" s="2474" customFormat="1">
      <c r="A84" s="838" t="s">
        <v>73</v>
      </c>
      <c r="B84" s="839" t="s">
        <v>283</v>
      </c>
      <c r="C84" s="2447"/>
      <c r="D84" s="855" t="str">
        <f>'SEGMENTS Data &amp; Estimates'!J53</f>
        <v>N/a</v>
      </c>
      <c r="E84" s="856">
        <f>'SEGMENTS Data &amp; Estimates'!K53</f>
        <v>0.64439999999999997</v>
      </c>
      <c r="F84" s="856">
        <f>'SEGMENTS Data &amp; Estimates'!L53</f>
        <v>0.6079</v>
      </c>
      <c r="G84" s="856">
        <f>'SEGMENTS Data &amp; Estimates'!M53</f>
        <v>0.62159999999999993</v>
      </c>
      <c r="H84" s="857">
        <f>'SEGMENTS Data &amp; Estimates'!N53</f>
        <v>0.59929999999999994</v>
      </c>
      <c r="I84" s="2109" t="s">
        <v>1665</v>
      </c>
      <c r="J84" s="233">
        <f>(3*E84+2*F84+AVERAGE(G84,H84))/6</f>
        <v>0.62657499999999999</v>
      </c>
      <c r="K84" s="406" t="s">
        <v>508</v>
      </c>
      <c r="L84" s="849"/>
      <c r="N84" s="2103">
        <f>(E84-AVERAGE(G84,H84))/AVERAGE(G84,H84)</f>
        <v>5.5614710459497153E-2</v>
      </c>
      <c r="O84" s="850"/>
    </row>
    <row r="85" spans="1:15" s="2348" customFormat="1" ht="13.9" customHeight="1">
      <c r="A85" s="406" t="s">
        <v>19</v>
      </c>
      <c r="B85" s="294" t="s">
        <v>285</v>
      </c>
      <c r="C85" s="2435"/>
      <c r="D85" s="489">
        <f>'SEGMENTS Data &amp; Estimates'!R61</f>
        <v>0.32841368754782985</v>
      </c>
      <c r="E85" s="490">
        <f>'SEGMENTS Data &amp; Estimates'!S61</f>
        <v>0.22136769902307213</v>
      </c>
      <c r="F85" s="490">
        <f>'SEGMENTS Data &amp; Estimates'!T61</f>
        <v>0</v>
      </c>
      <c r="G85" s="490">
        <f>'SEGMENTS Data &amp; Estimates'!U61</f>
        <v>0</v>
      </c>
      <c r="H85" s="491">
        <f>'SEGMENTS Data &amp; Estimates'!V61</f>
        <v>0</v>
      </c>
      <c r="I85" s="239" t="s">
        <v>524</v>
      </c>
      <c r="J85" s="232">
        <f>(D85+'SEGMENTS Data &amp; Estimates'!S61+E85+2*F85+AVERAGE(G85,H85))/6</f>
        <v>0.12852484759899571</v>
      </c>
      <c r="K85" s="507" t="s">
        <v>583</v>
      </c>
      <c r="L85" s="293"/>
      <c r="N85" s="2106" t="s">
        <v>274</v>
      </c>
      <c r="O85" s="150"/>
    </row>
    <row r="86" spans="1:15" s="2348" customFormat="1">
      <c r="A86" s="406" t="s">
        <v>19</v>
      </c>
      <c r="B86" s="294" t="s">
        <v>286</v>
      </c>
      <c r="C86" s="2435"/>
      <c r="D86" s="495">
        <f>'SEGMENTS Data &amp; Estimates'!J113</f>
        <v>0.60484412483227945</v>
      </c>
      <c r="E86" s="496">
        <f>'SEGMENTS Data &amp; Estimates'!K113</f>
        <v>0.61350000000000005</v>
      </c>
      <c r="F86" s="496">
        <f>'SEGMENTS Data &amp; Estimates'!L113</f>
        <v>0.61580000000000001</v>
      </c>
      <c r="G86" s="496">
        <f>'SEGMENTS Data &amp; Estimates'!M113</f>
        <v>0.59439999999999993</v>
      </c>
      <c r="H86" s="497">
        <f>'SEGMENTS Data &amp; Estimates'!N113</f>
        <v>0.56769999999999998</v>
      </c>
      <c r="I86" s="779" t="s">
        <v>1911</v>
      </c>
      <c r="J86" s="232">
        <f>(D86+2*E86+2*F86+AVERAGE(G86,H86))/6</f>
        <v>0.60741568747204655</v>
      </c>
      <c r="K86" s="1913" t="s">
        <v>508</v>
      </c>
      <c r="L86" s="293"/>
      <c r="N86" s="2105">
        <f>(D86-AVERAGE(G86,H86))/AVERAGE(G86,H86)</f>
        <v>4.0950219141690898E-2</v>
      </c>
      <c r="O86" s="150"/>
    </row>
    <row r="87" spans="1:15" s="2347" customFormat="1" ht="13.9" customHeight="1">
      <c r="A87" s="406" t="s">
        <v>374</v>
      </c>
      <c r="B87" s="294" t="s">
        <v>42</v>
      </c>
      <c r="C87" s="2435"/>
      <c r="D87" s="492">
        <f>'SEGMENTS Data &amp; Estimates'!J118</f>
        <v>0.46153846153846151</v>
      </c>
      <c r="E87" s="493">
        <f>'SEGMENTS Data &amp; Estimates'!K118</f>
        <v>0.52747252747252749</v>
      </c>
      <c r="F87" s="493">
        <f>'SEGMENTS Data &amp; Estimates'!L118</f>
        <v>0.5</v>
      </c>
      <c r="G87" s="493">
        <f>'SEGMENTS Data &amp; Estimates'!M118</f>
        <v>0.49406688241639696</v>
      </c>
      <c r="H87" s="494">
        <f>'SEGMENTS Data &amp; Estimates'!N118</f>
        <v>0.48849999999999999</v>
      </c>
      <c r="I87" s="245" t="s">
        <v>1915</v>
      </c>
      <c r="J87" s="232">
        <f>(D87+2*E87+2*F87+AVERAGE(G87,H87))/6</f>
        <v>0.50129449294861916</v>
      </c>
      <c r="K87" s="406" t="s">
        <v>642</v>
      </c>
      <c r="L87" s="294"/>
      <c r="N87" s="2105">
        <f>(D87-AVERAGE(G87,H87))/AVERAGE(G87,H87)</f>
        <v>-6.0545455382306421E-2</v>
      </c>
      <c r="O87" s="73"/>
    </row>
    <row r="88" spans="1:15" s="2474" customFormat="1">
      <c r="A88" s="838" t="s">
        <v>499</v>
      </c>
      <c r="B88" s="839" t="s">
        <v>284</v>
      </c>
      <c r="C88" s="2447"/>
      <c r="D88" s="804" t="str">
        <f>'SEGMENTS Data &amp; Estimates'!J286</f>
        <v>N/a</v>
      </c>
      <c r="E88" s="498">
        <f>'SEGMENTS Data &amp; Estimates'!K286</f>
        <v>0.34090000000000004</v>
      </c>
      <c r="F88" s="498">
        <f>'SEGMENTS Data &amp; Estimates'!L286</f>
        <v>0.34439999999999998</v>
      </c>
      <c r="G88" s="498">
        <f>'SEGMENTS Data &amp; Estimates'!M286</f>
        <v>0.35269999999999996</v>
      </c>
      <c r="H88" s="499">
        <f>'SEGMENTS Data &amp; Estimates'!N286</f>
        <v>0.36840000000000006</v>
      </c>
      <c r="I88" s="1377" t="s">
        <v>582</v>
      </c>
      <c r="J88" s="233">
        <f>(3*E88+2*F88+AVERAGE(G88,H88))/6</f>
        <v>0.34534166666666666</v>
      </c>
      <c r="K88" s="406" t="s">
        <v>508</v>
      </c>
      <c r="L88" s="849"/>
      <c r="N88" s="2103">
        <f>(E88-AVERAGE(G88,H88))/AVERAGE(G88,H88)</f>
        <v>-5.4500069338510607E-2</v>
      </c>
      <c r="O88" s="850"/>
    </row>
    <row r="89" spans="1:15" s="2348" customFormat="1">
      <c r="A89" s="406" t="s">
        <v>500</v>
      </c>
      <c r="B89" s="294" t="s">
        <v>279</v>
      </c>
      <c r="C89" s="2435"/>
      <c r="D89" s="489">
        <f>'SEGMENTS Data &amp; Estimates'!J228</f>
        <v>0.74956908795771016</v>
      </c>
      <c r="E89" s="490">
        <f>'SEGMENTS Data &amp; Estimates'!K228</f>
        <v>0.74956908795771016</v>
      </c>
      <c r="F89" s="490">
        <f>'SEGMENTS Data &amp; Estimates'!L228</f>
        <v>0.74064395459926657</v>
      </c>
      <c r="G89" s="490">
        <f>'SEGMENTS Data &amp; Estimates'!M228</f>
        <v>0.72734227118729622</v>
      </c>
      <c r="H89" s="491">
        <f>'SEGMENTS Data &amp; Estimates'!N228</f>
        <v>0.62585722455497383</v>
      </c>
      <c r="I89" s="891" t="s">
        <v>949</v>
      </c>
      <c r="J89" s="232">
        <f>(D89+2*E89+2*F89+AVERAGE(G89,H89))/6</f>
        <v>0.7344324868237998</v>
      </c>
      <c r="K89" s="981" t="s">
        <v>508</v>
      </c>
      <c r="L89" s="293"/>
      <c r="N89" s="2105">
        <f>(D89-AVERAGE(G89,H89))/AVERAGE(G89,H89)</f>
        <v>0.10784712869930438</v>
      </c>
      <c r="O89" s="150"/>
    </row>
    <row r="90" spans="1:15" s="2348" customFormat="1">
      <c r="A90" s="406" t="s">
        <v>501</v>
      </c>
      <c r="B90" s="294" t="s">
        <v>44</v>
      </c>
      <c r="C90" s="2435"/>
      <c r="D90" s="805">
        <f>'SEGMENTS Data &amp; Estimates'!J95</f>
        <v>0.60384301884652736</v>
      </c>
      <c r="E90" s="806">
        <f>'SEGMENTS Data &amp; Estimates'!K95</f>
        <v>0.58456622894085752</v>
      </c>
      <c r="F90" s="806">
        <f>'SEGMENTS Data &amp; Estimates'!L95</f>
        <v>0.57677450305568967</v>
      </c>
      <c r="G90" s="806">
        <f>'SEGMENTS Data &amp; Estimates'!M95</f>
        <v>0.56336418097946095</v>
      </c>
      <c r="H90" s="807">
        <f>'SEGMENTS Data &amp; Estimates'!N95</f>
        <v>0.5497633776823857</v>
      </c>
      <c r="I90" s="245" t="s">
        <v>821</v>
      </c>
      <c r="J90" s="232">
        <f>(D90+2*E90+2*F90+AVERAGE(G90,H90))/6</f>
        <v>0.5805147103617575</v>
      </c>
      <c r="K90" s="406" t="s">
        <v>508</v>
      </c>
      <c r="L90" s="293"/>
      <c r="N90" s="2103">
        <f>(D90-AVERAGE(G90,H90))/AVERAGE(G90,H90)</f>
        <v>8.4948466413752491E-2</v>
      </c>
      <c r="O90" s="150"/>
    </row>
    <row r="91" spans="1:15" s="2348" customFormat="1" ht="13.15" customHeight="1">
      <c r="A91" s="406" t="s">
        <v>502</v>
      </c>
      <c r="B91" s="294" t="s">
        <v>287</v>
      </c>
      <c r="C91" s="2435"/>
      <c r="D91" s="489">
        <f>'SEGMENTS Data &amp; Estimates'!J350</f>
        <v>0.51013567438148444</v>
      </c>
      <c r="E91" s="490">
        <f>'SEGMENTS Data &amp; Estimates'!K350</f>
        <v>0.51945984623640407</v>
      </c>
      <c r="F91" s="490">
        <f>'SEGMENTS Data &amp; Estimates'!L350</f>
        <v>0.50193588936770728</v>
      </c>
      <c r="G91" s="490">
        <f>'SEGMENTS Data &amp; Estimates'!M350</f>
        <v>0.47779411910514158</v>
      </c>
      <c r="H91" s="491">
        <f>'SEGMENTS Data &amp; Estimates'!N350</f>
        <v>0.4566820303658996</v>
      </c>
      <c r="I91" s="779" t="s">
        <v>2143</v>
      </c>
      <c r="J91" s="232">
        <f>(D91+2*E91+2*F91+AVERAGE(G91,H91))/6</f>
        <v>0.5033608700542046</v>
      </c>
      <c r="K91" s="1913" t="s">
        <v>693</v>
      </c>
      <c r="L91" s="293"/>
      <c r="N91" s="2105">
        <f>(D91-AVERAGE(G91,H91))/AVERAGE(G91,H91)</f>
        <v>9.1811010201268306E-2</v>
      </c>
      <c r="O91" s="150"/>
    </row>
    <row r="92" spans="1:15" s="2474" customFormat="1" ht="13.9" customHeight="1">
      <c r="A92" s="838" t="s">
        <v>27</v>
      </c>
      <c r="B92" s="839" t="s">
        <v>54</v>
      </c>
      <c r="C92" s="2447"/>
      <c r="D92" s="855"/>
      <c r="E92" s="859">
        <f>'SEGMENTS Data &amp; Estimates'!K163</f>
        <v>0.47118282781144899</v>
      </c>
      <c r="F92" s="859">
        <f>'SEGMENTS Data &amp; Estimates'!L163</f>
        <v>0.47161841926509007</v>
      </c>
      <c r="G92" s="859">
        <f>'SEGMENTS Data &amp; Estimates'!M163</f>
        <v>0.55085692480500315</v>
      </c>
      <c r="H92" s="860">
        <f>'SEGMENTS Data &amp; Estimates'!N163</f>
        <v>0.5101</v>
      </c>
      <c r="I92" s="858" t="s">
        <v>1912</v>
      </c>
      <c r="J92" s="646">
        <f>(3*E92+2*F92+G92)/6</f>
        <v>0.48460704112825509</v>
      </c>
      <c r="K92" s="838" t="s">
        <v>694</v>
      </c>
      <c r="L92" s="849"/>
      <c r="N92" s="2103">
        <f>(E92-G92)/G92*1.25</f>
        <v>-0.18079580514885477</v>
      </c>
      <c r="O92" s="850"/>
    </row>
    <row r="93" spans="1:15" s="2348" customFormat="1">
      <c r="A93" s="406" t="s">
        <v>32</v>
      </c>
      <c r="B93" s="294" t="s">
        <v>50</v>
      </c>
      <c r="C93" s="2435"/>
      <c r="D93" s="495">
        <v>0</v>
      </c>
      <c r="E93" s="496">
        <f>D93</f>
        <v>0</v>
      </c>
      <c r="F93" s="496">
        <f>E93</f>
        <v>0</v>
      </c>
      <c r="G93" s="496">
        <f>F93</f>
        <v>0</v>
      </c>
      <c r="H93" s="497">
        <f>G93</f>
        <v>0</v>
      </c>
      <c r="I93" s="284" t="s">
        <v>611</v>
      </c>
      <c r="J93" s="232">
        <f>(3*E93+2*F93+G93)/6</f>
        <v>0</v>
      </c>
      <c r="K93" s="406" t="s">
        <v>508</v>
      </c>
      <c r="L93" s="293"/>
      <c r="N93" s="2105">
        <v>0</v>
      </c>
      <c r="O93" s="150"/>
    </row>
    <row r="94" spans="1:15" s="2348" customFormat="1">
      <c r="A94" s="406" t="s">
        <v>32</v>
      </c>
      <c r="B94" s="294" t="s">
        <v>277</v>
      </c>
      <c r="C94" s="2435"/>
      <c r="D94" s="500"/>
      <c r="E94" s="496">
        <f>'SEGMENTS Data &amp; Estimates'!K392</f>
        <v>0.88549999999999995</v>
      </c>
      <c r="F94" s="496">
        <f>'SEGMENTS Data &amp; Estimates'!L392</f>
        <v>0.92209999999999992</v>
      </c>
      <c r="G94" s="496">
        <f>'SEGMENTS Data &amp; Estimates'!M392</f>
        <v>0.92590000000000006</v>
      </c>
      <c r="H94" s="497">
        <f>'SEGMENTS Data &amp; Estimates'!N392</f>
        <v>0.92599999999999993</v>
      </c>
      <c r="I94" s="401" t="s">
        <v>692</v>
      </c>
      <c r="J94" s="232">
        <f>AVERAGE(E94:H94)</f>
        <v>0.91487499999999988</v>
      </c>
      <c r="K94" s="406" t="s">
        <v>508</v>
      </c>
      <c r="L94" s="293"/>
      <c r="N94" s="2105">
        <f>(E94-H94)/H94</f>
        <v>-4.3736501079913587E-2</v>
      </c>
      <c r="O94" s="150"/>
    </row>
    <row r="95" spans="1:15" s="2348" customFormat="1" ht="13.15" customHeight="1">
      <c r="A95" s="406" t="s">
        <v>503</v>
      </c>
      <c r="B95" s="294" t="s">
        <v>282</v>
      </c>
      <c r="C95" s="2435"/>
      <c r="D95" s="489">
        <f>'SEGMENTS Data &amp; Estimates'!J368</f>
        <v>0.68421052631578949</v>
      </c>
      <c r="E95" s="493">
        <f>'SEGMENTS Data &amp; Estimates'!K368</f>
        <v>0.66320754716981123</v>
      </c>
      <c r="F95" s="490">
        <f>'SEGMENTS Data &amp; Estimates'!L368</f>
        <v>0.65246212121212122</v>
      </c>
      <c r="G95" s="490">
        <f>'SEGMENTS Data &amp; Estimates'!M368</f>
        <v>0.62745098039215697</v>
      </c>
      <c r="H95" s="491">
        <f>'SEGMENTS Data &amp; Estimates'!N368</f>
        <v>0.60165593376264948</v>
      </c>
      <c r="I95" s="779" t="s">
        <v>1913</v>
      </c>
      <c r="J95" s="232">
        <f>(D95+2*E95+2*F95+AVERAGE(G95,H95))/6</f>
        <v>0.65501722002617635</v>
      </c>
      <c r="K95" s="1913" t="s">
        <v>1497</v>
      </c>
      <c r="L95" s="293"/>
      <c r="N95" s="2105">
        <f>(D95-AVERAGE(G95,H95))/AVERAGE(G95,H95)</f>
        <v>0.11334582604034234</v>
      </c>
      <c r="O95" s="150"/>
    </row>
    <row r="96" spans="1:15" s="2348" customFormat="1" ht="27" customHeight="1">
      <c r="A96" s="406" t="s">
        <v>503</v>
      </c>
      <c r="B96" s="294" t="s">
        <v>280</v>
      </c>
      <c r="C96" s="2435"/>
      <c r="D96" s="489">
        <f>'SEGMENTS Data &amp; Estimates'!J249</f>
        <v>0.70854203330174637</v>
      </c>
      <c r="E96" s="490">
        <f>'SEGMENTS Data &amp; Estimates'!K249</f>
        <v>0.68050224448637042</v>
      </c>
      <c r="F96" s="490">
        <f>'SEGMENTS Data &amp; Estimates'!L249</f>
        <v>0.72117791411042942</v>
      </c>
      <c r="G96" s="490">
        <f>'SEGMENTS Data &amp; Estimates'!M249</f>
        <v>0.67187033164027488</v>
      </c>
      <c r="H96" s="491">
        <f>'SEGMENTS Data &amp; Estimates'!N249</f>
        <v>0.62427731007201537</v>
      </c>
      <c r="I96" s="779" t="s">
        <v>1914</v>
      </c>
      <c r="J96" s="232">
        <f>(D96+2*E96+2*F96+AVERAGE(G96,H96))/6</f>
        <v>0.69332936189191507</v>
      </c>
      <c r="K96" s="4114" t="s">
        <v>651</v>
      </c>
      <c r="L96" s="4115"/>
      <c r="N96" s="2105">
        <f>(D96-AVERAGE(G96,H96))/AVERAGE(G96,H96)</f>
        <v>9.3304513312571363E-2</v>
      </c>
      <c r="O96" s="150"/>
    </row>
    <row r="97" spans="1:49" s="2348" customFormat="1">
      <c r="A97" s="406" t="s">
        <v>504</v>
      </c>
      <c r="B97" s="294" t="s">
        <v>288</v>
      </c>
      <c r="C97" s="2435"/>
      <c r="D97" s="489">
        <f>'SEGMENTS Data &amp; Estimates'!J191</f>
        <v>0.30985103942866765</v>
      </c>
      <c r="E97" s="490">
        <f>'SEGMENTS Data &amp; Estimates'!K191</f>
        <v>0.31731074099497186</v>
      </c>
      <c r="F97" s="490">
        <f>'SEGMENTS Data &amp; Estimates'!L191</f>
        <v>0.33640396488461149</v>
      </c>
      <c r="G97" s="490">
        <f>'SEGMENTS Data &amp; Estimates'!M191</f>
        <v>0.32602856916005502</v>
      </c>
      <c r="H97" s="491">
        <f>'SEGMENTS Data &amp; Estimates'!N191</f>
        <v>0.35321659907288117</v>
      </c>
      <c r="I97" s="401" t="s">
        <v>650</v>
      </c>
      <c r="J97" s="232">
        <f>(D97+2*E97+2*F97+AVERAGE(G97,H97))/6</f>
        <v>0.32615050588405037</v>
      </c>
      <c r="K97" s="406" t="s">
        <v>508</v>
      </c>
      <c r="L97" s="293"/>
      <c r="N97" s="2105">
        <f>(D97-AVERAGE(G97,H97))/AVERAGE(G97,H97)</f>
        <v>-8.7660674172335792E-2</v>
      </c>
      <c r="O97" s="150"/>
    </row>
    <row r="98" spans="1:49" s="2348" customFormat="1" ht="13.15" customHeight="1">
      <c r="A98" s="406" t="s">
        <v>27</v>
      </c>
      <c r="B98" s="294" t="s">
        <v>353</v>
      </c>
      <c r="C98" s="2435"/>
      <c r="D98" s="490">
        <f>'SEGMENTS Data &amp; Estimates'!J405</f>
        <v>0.58457772337821301</v>
      </c>
      <c r="E98" s="490">
        <f>'SEGMENTS Data &amp; Estimates'!K405</f>
        <v>0.61809456928838957</v>
      </c>
      <c r="F98" s="490">
        <f>'SEGMENTS Data &amp; Estimates'!L405</f>
        <v>0.63439306358381509</v>
      </c>
      <c r="G98" s="490">
        <f>'SEGMENTS Data &amp; Estimates'!M405</f>
        <v>0.60924322398933006</v>
      </c>
      <c r="H98" s="491">
        <f>'SEGMENTS Data &amp; Estimates'!N405</f>
        <v>0.60573232366632679</v>
      </c>
      <c r="I98" s="401" t="s">
        <v>2144</v>
      </c>
      <c r="J98" s="232">
        <f>(D98+2*E98+2*F98+AVERAGE(G98,H98))/6</f>
        <v>0.61617346049174182</v>
      </c>
      <c r="K98" s="1913" t="s">
        <v>668</v>
      </c>
      <c r="L98" s="293"/>
      <c r="N98" s="2105">
        <f>(D98-AVERAGE(G98,H98))/AVERAGE(G98,H98)</f>
        <v>-3.771277618520176E-2</v>
      </c>
      <c r="O98" s="150"/>
    </row>
    <row r="99" spans="1:49" s="2348" customFormat="1" ht="13.15" customHeight="1">
      <c r="A99" s="640"/>
      <c r="B99" s="83"/>
      <c r="C99" s="2435"/>
      <c r="D99" s="558"/>
      <c r="E99" s="558"/>
      <c r="F99" s="558"/>
      <c r="G99" s="558"/>
      <c r="H99" s="558"/>
      <c r="I99" s="559"/>
      <c r="J99" s="2113" t="s">
        <v>1668</v>
      </c>
      <c r="K99" s="2112" t="s">
        <v>1667</v>
      </c>
      <c r="L99" s="560"/>
      <c r="N99" s="150"/>
      <c r="O99" s="150"/>
      <c r="P99" s="2495"/>
      <c r="Q99" s="2495"/>
      <c r="R99" s="2495"/>
      <c r="S99" s="2495"/>
      <c r="T99" s="2495"/>
      <c r="U99" s="2495"/>
    </row>
    <row r="100" spans="1:49">
      <c r="A100" s="641"/>
      <c r="B100" s="1331"/>
      <c r="D100" s="151"/>
      <c r="E100" s="151"/>
      <c r="F100" s="151"/>
      <c r="G100" s="151"/>
      <c r="H100" s="151"/>
      <c r="I100" s="160"/>
      <c r="J100" s="160"/>
      <c r="K100" s="163"/>
      <c r="L100" s="71"/>
      <c r="N100" s="151"/>
      <c r="O100" s="151"/>
      <c r="P100" s="1659"/>
      <c r="Q100" s="1659"/>
      <c r="R100" s="1659"/>
      <c r="S100" s="1659"/>
      <c r="T100" s="1659"/>
      <c r="U100" s="1659"/>
    </row>
    <row r="101" spans="1:49" ht="13.9" customHeight="1">
      <c r="A101" s="3037" t="s">
        <v>2134</v>
      </c>
      <c r="B101" s="2957" t="s">
        <v>2133</v>
      </c>
      <c r="C101" s="2446"/>
      <c r="D101" s="649" t="s">
        <v>363</v>
      </c>
      <c r="E101" s="649" t="s">
        <v>872</v>
      </c>
      <c r="F101" s="649" t="s">
        <v>873</v>
      </c>
      <c r="G101" s="649" t="s">
        <v>874</v>
      </c>
      <c r="H101" s="649" t="s">
        <v>875</v>
      </c>
      <c r="I101" s="4083" t="s">
        <v>1916</v>
      </c>
      <c r="J101" s="1187" t="s">
        <v>759</v>
      </c>
      <c r="K101" s="163"/>
      <c r="L101" s="71"/>
      <c r="N101" s="2101" t="s">
        <v>759</v>
      </c>
      <c r="O101" s="71"/>
      <c r="P101" s="915" t="s">
        <v>1662</v>
      </c>
      <c r="Q101" s="916" t="s">
        <v>876</v>
      </c>
      <c r="R101" s="4045" t="s">
        <v>2175</v>
      </c>
      <c r="S101" s="4046"/>
      <c r="T101" s="917" t="s">
        <v>1661</v>
      </c>
      <c r="U101" s="151"/>
    </row>
    <row r="102" spans="1:49">
      <c r="A102" s="673" t="s">
        <v>2135</v>
      </c>
      <c r="B102" s="674"/>
      <c r="C102" s="2446"/>
      <c r="D102" s="650"/>
      <c r="E102" s="650"/>
      <c r="F102" s="650"/>
      <c r="G102" s="650"/>
      <c r="H102" s="650"/>
      <c r="I102" s="4084"/>
      <c r="J102" s="1188" t="s">
        <v>760</v>
      </c>
      <c r="K102" s="163"/>
      <c r="L102" s="71"/>
      <c r="N102" s="2102" t="s">
        <v>761</v>
      </c>
      <c r="O102" s="71"/>
      <c r="P102" s="918" t="s">
        <v>55</v>
      </c>
      <c r="Q102" s="920" t="s">
        <v>139</v>
      </c>
      <c r="R102" s="919" t="s">
        <v>139</v>
      </c>
      <c r="S102" s="1189" t="s">
        <v>758</v>
      </c>
      <c r="T102" s="920" t="s">
        <v>87</v>
      </c>
      <c r="U102" s="151"/>
    </row>
    <row r="103" spans="1:49" ht="13.15" customHeight="1">
      <c r="A103" s="406" t="s">
        <v>498</v>
      </c>
      <c r="B103" s="294" t="s">
        <v>52</v>
      </c>
      <c r="C103" s="2435"/>
      <c r="D103" s="509" t="str">
        <f t="shared" ref="D103:H105" si="2">D77</f>
        <v>N/a</v>
      </c>
      <c r="E103" s="510" t="str">
        <f t="shared" si="2"/>
        <v>N/a</v>
      </c>
      <c r="F103" s="510" t="str">
        <f t="shared" si="2"/>
        <v>N/a</v>
      </c>
      <c r="G103" s="510">
        <f t="shared" si="2"/>
        <v>0.60734824281150157</v>
      </c>
      <c r="H103" s="511">
        <f t="shared" si="2"/>
        <v>0.60938914027149316</v>
      </c>
      <c r="I103" s="4047" t="s">
        <v>2145</v>
      </c>
      <c r="J103" s="646">
        <v>0.61</v>
      </c>
      <c r="K103" s="163"/>
      <c r="L103" s="71"/>
      <c r="N103" s="2103"/>
      <c r="O103" s="504" t="s">
        <v>820</v>
      </c>
      <c r="P103" s="96" t="s">
        <v>52</v>
      </c>
      <c r="Q103" s="921">
        <v>0.63279315777627732</v>
      </c>
      <c r="R103" s="921">
        <v>0.55712757431977478</v>
      </c>
      <c r="S103" s="921">
        <v>0.60743109547233476</v>
      </c>
      <c r="T103" s="922">
        <v>5.7386797139672208</v>
      </c>
      <c r="U103" s="151"/>
    </row>
    <row r="104" spans="1:49" s="2477" customFormat="1">
      <c r="A104" s="838" t="s">
        <v>385</v>
      </c>
      <c r="B104" s="839" t="s">
        <v>276</v>
      </c>
      <c r="C104" s="2447"/>
      <c r="D104" s="517">
        <f t="shared" si="2"/>
        <v>0.5981133158250882</v>
      </c>
      <c r="E104" s="518">
        <f t="shared" si="2"/>
        <v>0.5997848900947319</v>
      </c>
      <c r="F104" s="518">
        <f t="shared" si="2"/>
        <v>0.61298310621604546</v>
      </c>
      <c r="G104" s="518">
        <f t="shared" si="2"/>
        <v>0.6291371778838869</v>
      </c>
      <c r="H104" s="519">
        <f t="shared" si="2"/>
        <v>0.63280000000000003</v>
      </c>
      <c r="I104" s="4048"/>
      <c r="J104" s="646">
        <f t="shared" ref="J104:J109" si="3">(D104+2*E104+2*F104+AVERAGE(G104,H104))/6</f>
        <v>0.60910298289809772</v>
      </c>
      <c r="K104" s="842"/>
      <c r="L104" s="842"/>
      <c r="N104" s="2103">
        <f t="shared" ref="N104:N109" si="4">(D104-AVERAGE(G104,H104))/AVERAGE(G104,H104)</f>
        <v>-5.2071170724915891E-2</v>
      </c>
      <c r="O104" s="840" t="s">
        <v>276</v>
      </c>
      <c r="P104" s="923" t="s">
        <v>838</v>
      </c>
      <c r="Q104" s="924">
        <v>0.68692354990776794</v>
      </c>
      <c r="R104" s="924">
        <v>0.60855264757489569</v>
      </c>
      <c r="S104" s="924">
        <v>0.656615222180991</v>
      </c>
      <c r="T104" s="925">
        <v>6.2345872112174927</v>
      </c>
      <c r="U104" s="842"/>
      <c r="AW104" s="2474"/>
    </row>
    <row r="105" spans="1:49">
      <c r="A105" s="652" t="s">
        <v>319</v>
      </c>
      <c r="B105" s="661" t="s">
        <v>278</v>
      </c>
      <c r="C105" s="2435"/>
      <c r="D105" s="662">
        <f t="shared" si="2"/>
        <v>0.33871396895787137</v>
      </c>
      <c r="E105" s="663">
        <f t="shared" si="2"/>
        <v>0.37386600083229293</v>
      </c>
      <c r="F105" s="663">
        <f t="shared" si="2"/>
        <v>0.3800947867298578</v>
      </c>
      <c r="G105" s="663">
        <f t="shared" si="2"/>
        <v>0.38080446037435289</v>
      </c>
      <c r="H105" s="664">
        <f t="shared" si="2"/>
        <v>0.38496530454895916</v>
      </c>
      <c r="I105" s="3165" t="s">
        <v>1638</v>
      </c>
      <c r="J105" s="657">
        <f t="shared" si="3"/>
        <v>0.37158673775730477</v>
      </c>
      <c r="K105" s="163"/>
      <c r="L105" s="71"/>
      <c r="N105" s="2104">
        <f t="shared" si="4"/>
        <v>-0.1153634304384116</v>
      </c>
      <c r="O105" s="504" t="s">
        <v>750</v>
      </c>
      <c r="P105" s="926" t="s">
        <v>37</v>
      </c>
      <c r="Q105" s="927">
        <v>0.45379023883696779</v>
      </c>
      <c r="R105" s="927">
        <v>0.44549468802297831</v>
      </c>
      <c r="S105" s="927">
        <v>0.49703081142530664</v>
      </c>
      <c r="T105" s="928">
        <v>5.2379798877200061</v>
      </c>
      <c r="U105" s="151"/>
    </row>
    <row r="106" spans="1:49" ht="13.9" customHeight="1">
      <c r="A106" s="665" t="s">
        <v>319</v>
      </c>
      <c r="B106" s="666" t="s">
        <v>275</v>
      </c>
      <c r="C106" s="2448"/>
      <c r="D106" s="667">
        <f>AVERAGE(D80,1)</f>
        <v>0.97</v>
      </c>
      <c r="E106" s="668">
        <f>AVERAGE(E80,1)</f>
        <v>0.95229999999999992</v>
      </c>
      <c r="F106" s="668">
        <f>AVERAGE(F80,1)</f>
        <v>0.94979999999999998</v>
      </c>
      <c r="G106" s="668">
        <f>AVERAGE(G80,1)</f>
        <v>0.95645000000000002</v>
      </c>
      <c r="H106" s="669">
        <f>AVERAGE(H80,1)</f>
        <v>0.97248825098437697</v>
      </c>
      <c r="I106" s="3165" t="s">
        <v>1639</v>
      </c>
      <c r="J106" s="660">
        <f t="shared" si="3"/>
        <v>0.95644485424869818</v>
      </c>
      <c r="K106" s="163"/>
      <c r="L106" s="71"/>
      <c r="N106" s="2104">
        <f t="shared" si="4"/>
        <v>5.7346309608293736E-3</v>
      </c>
      <c r="O106" s="504" t="s">
        <v>751</v>
      </c>
      <c r="P106" s="926" t="s">
        <v>36</v>
      </c>
      <c r="Q106" s="927">
        <v>0.99</v>
      </c>
      <c r="R106" s="927">
        <v>0.99063075986784921</v>
      </c>
      <c r="S106" s="927">
        <v>0.99236936293944999</v>
      </c>
      <c r="T106" s="928">
        <v>6.4228495281076032</v>
      </c>
      <c r="U106" s="151"/>
    </row>
    <row r="107" spans="1:49" ht="13.15" customHeight="1">
      <c r="A107" s="652" t="s">
        <v>319</v>
      </c>
      <c r="B107" s="661" t="s">
        <v>281</v>
      </c>
      <c r="C107" s="2435"/>
      <c r="D107" s="662">
        <f t="shared" ref="D107:H112" si="5">D81</f>
        <v>0.14257620452310718</v>
      </c>
      <c r="E107" s="663">
        <f t="shared" si="5"/>
        <v>7.1198280494357877E-2</v>
      </c>
      <c r="F107" s="663">
        <f t="shared" si="5"/>
        <v>4.6128672886784572E-2</v>
      </c>
      <c r="G107" s="663">
        <f t="shared" si="5"/>
        <v>1.2317167051578136E-2</v>
      </c>
      <c r="H107" s="664">
        <f t="shared" si="5"/>
        <v>5.8479532163742687E-3</v>
      </c>
      <c r="I107" s="3166" t="s">
        <v>1640</v>
      </c>
      <c r="J107" s="657">
        <f t="shared" si="3"/>
        <v>6.4385445236561381E-2</v>
      </c>
      <c r="K107" s="163"/>
      <c r="L107" s="71"/>
      <c r="N107" s="2104">
        <f t="shared" si="4"/>
        <v>14.697799124913645</v>
      </c>
      <c r="O107" s="504" t="s">
        <v>752</v>
      </c>
      <c r="P107" s="926" t="s">
        <v>38</v>
      </c>
      <c r="Q107" s="927">
        <v>0</v>
      </c>
      <c r="R107" s="927">
        <v>0</v>
      </c>
      <c r="S107" s="927">
        <v>0</v>
      </c>
      <c r="T107" s="928">
        <v>8.4776371497591825</v>
      </c>
      <c r="U107" s="151"/>
    </row>
    <row r="108" spans="1:49" ht="13.15" customHeight="1">
      <c r="A108" s="507" t="s">
        <v>539</v>
      </c>
      <c r="B108" s="293" t="s">
        <v>39</v>
      </c>
      <c r="D108" s="509">
        <f t="shared" si="5"/>
        <v>0.28165979767703259</v>
      </c>
      <c r="E108" s="510">
        <f t="shared" si="5"/>
        <v>0.3071143460906316</v>
      </c>
      <c r="F108" s="510">
        <f t="shared" si="5"/>
        <v>0.32458830210107892</v>
      </c>
      <c r="G108" s="510">
        <f t="shared" si="5"/>
        <v>0.32231864708500224</v>
      </c>
      <c r="H108" s="511">
        <f t="shared" si="5"/>
        <v>0.3141425389755011</v>
      </c>
      <c r="I108" s="3166" t="s">
        <v>1641</v>
      </c>
      <c r="J108" s="232">
        <f t="shared" si="3"/>
        <v>0.31054928118178421</v>
      </c>
      <c r="K108" s="163"/>
      <c r="L108" s="71"/>
      <c r="N108" s="2105">
        <f t="shared" si="4"/>
        <v>-0.11491916916279199</v>
      </c>
      <c r="O108" s="504" t="s">
        <v>39</v>
      </c>
      <c r="P108" s="766"/>
      <c r="Q108" s="766"/>
      <c r="R108" s="766"/>
      <c r="S108" s="766"/>
      <c r="T108" s="766"/>
      <c r="U108" s="151"/>
    </row>
    <row r="109" spans="1:49">
      <c r="A109" s="508" t="s">
        <v>217</v>
      </c>
      <c r="B109" s="294" t="s">
        <v>53</v>
      </c>
      <c r="C109" s="2435"/>
      <c r="D109" s="509">
        <f t="shared" si="5"/>
        <v>0.63960508302071395</v>
      </c>
      <c r="E109" s="510">
        <f t="shared" si="5"/>
        <v>0.63691258302278264</v>
      </c>
      <c r="F109" s="510">
        <f t="shared" si="5"/>
        <v>0.60295119120080787</v>
      </c>
      <c r="G109" s="510">
        <f t="shared" si="5"/>
        <v>0.57174659410117801</v>
      </c>
      <c r="H109" s="511">
        <f t="shared" si="5"/>
        <v>0.58023511894181368</v>
      </c>
      <c r="I109" s="3167" t="s">
        <v>1642</v>
      </c>
      <c r="J109" s="232">
        <f t="shared" si="3"/>
        <v>0.6158872479982318</v>
      </c>
      <c r="K109" s="163"/>
      <c r="L109" s="71"/>
      <c r="N109" s="2105">
        <f t="shared" si="4"/>
        <v>0.11044311863454735</v>
      </c>
      <c r="O109" s="504" t="s">
        <v>53</v>
      </c>
      <c r="P109" s="97" t="s">
        <v>53</v>
      </c>
      <c r="Q109" s="929">
        <v>0.56422836752899197</v>
      </c>
      <c r="R109" s="929">
        <v>0.51064937134378097</v>
      </c>
      <c r="S109" s="929">
        <v>0.56208249949987199</v>
      </c>
      <c r="T109" s="930">
        <v>6.5172599449289761</v>
      </c>
      <c r="U109" s="151"/>
    </row>
    <row r="110" spans="1:49" s="2477" customFormat="1" ht="13.15" customHeight="1">
      <c r="A110" s="838" t="s">
        <v>73</v>
      </c>
      <c r="B110" s="839" t="s">
        <v>283</v>
      </c>
      <c r="C110" s="2447"/>
      <c r="D110" s="517" t="str">
        <f t="shared" si="5"/>
        <v>N/a</v>
      </c>
      <c r="E110" s="518">
        <f t="shared" si="5"/>
        <v>0.64439999999999997</v>
      </c>
      <c r="F110" s="518">
        <f t="shared" si="5"/>
        <v>0.6079</v>
      </c>
      <c r="G110" s="518">
        <f t="shared" si="5"/>
        <v>0.62159999999999993</v>
      </c>
      <c r="H110" s="519">
        <f t="shared" si="5"/>
        <v>0.59929999999999994</v>
      </c>
      <c r="I110" s="4024" t="s">
        <v>2146</v>
      </c>
      <c r="J110" s="233">
        <f>(3*E110+2*F110+AVERAGE(G110,H110))/6</f>
        <v>0.62657499999999999</v>
      </c>
      <c r="K110" s="842"/>
      <c r="L110" s="842"/>
      <c r="N110" s="2103">
        <f>(E110-AVERAGE(G110,H110))/AVERAGE(G110,H110)</f>
        <v>5.5614710459497153E-2</v>
      </c>
      <c r="O110" s="840" t="s">
        <v>283</v>
      </c>
      <c r="P110" s="931"/>
      <c r="Q110" s="931"/>
      <c r="R110" s="931"/>
      <c r="S110" s="931"/>
      <c r="T110" s="931"/>
      <c r="U110" s="842"/>
      <c r="AW110" s="2474"/>
    </row>
    <row r="111" spans="1:49" ht="13.15" customHeight="1">
      <c r="A111" s="406" t="s">
        <v>19</v>
      </c>
      <c r="B111" s="294" t="s">
        <v>285</v>
      </c>
      <c r="C111" s="2435"/>
      <c r="D111" s="509">
        <f t="shared" si="5"/>
        <v>0.32841368754782985</v>
      </c>
      <c r="E111" s="510">
        <f t="shared" si="5"/>
        <v>0.22136769902307213</v>
      </c>
      <c r="F111" s="510">
        <f t="shared" si="5"/>
        <v>0</v>
      </c>
      <c r="G111" s="510">
        <f t="shared" si="5"/>
        <v>0</v>
      </c>
      <c r="H111" s="511">
        <f t="shared" si="5"/>
        <v>0</v>
      </c>
      <c r="I111" s="4121"/>
      <c r="J111" s="232">
        <f>(D111+'SEGMENTS Data &amp; Estimates'!S102+E111+2*F111+AVERAGE(G111,H111))/6</f>
        <v>9.1630231095150338E-2</v>
      </c>
      <c r="K111" s="163"/>
      <c r="L111" s="71"/>
      <c r="N111" s="2106" t="s">
        <v>274</v>
      </c>
      <c r="O111" s="504" t="s">
        <v>285</v>
      </c>
      <c r="P111" s="97" t="s">
        <v>41</v>
      </c>
      <c r="Q111" s="929">
        <v>0</v>
      </c>
      <c r="R111" s="929">
        <v>0</v>
      </c>
      <c r="S111" s="929">
        <v>0</v>
      </c>
      <c r="T111" s="930">
        <v>10.031809798466378</v>
      </c>
      <c r="U111" s="151"/>
    </row>
    <row r="112" spans="1:49">
      <c r="A112" s="406" t="s">
        <v>19</v>
      </c>
      <c r="B112" s="294" t="s">
        <v>286</v>
      </c>
      <c r="C112" s="2435"/>
      <c r="D112" s="509">
        <f t="shared" si="5"/>
        <v>0.60484412483227945</v>
      </c>
      <c r="E112" s="510">
        <f t="shared" si="5"/>
        <v>0.61350000000000005</v>
      </c>
      <c r="F112" s="510">
        <f t="shared" si="5"/>
        <v>0.61580000000000001</v>
      </c>
      <c r="G112" s="510">
        <f t="shared" si="5"/>
        <v>0.59439999999999993</v>
      </c>
      <c r="H112" s="511">
        <f t="shared" si="5"/>
        <v>0.56769999999999998</v>
      </c>
      <c r="I112" s="4122" t="s">
        <v>1920</v>
      </c>
      <c r="J112" s="232">
        <f>(D112+2*E112+2*F112+AVERAGE(G112,H112))/6</f>
        <v>0.60741568747204655</v>
      </c>
      <c r="K112" s="163"/>
      <c r="L112" s="71"/>
      <c r="N112" s="2105">
        <f>(D112-AVERAGE(G112,H112))/AVERAGE(G112,H112)</f>
        <v>4.0950219141690898E-2</v>
      </c>
      <c r="O112" s="504" t="s">
        <v>286</v>
      </c>
      <c r="P112" s="932" t="s">
        <v>839</v>
      </c>
      <c r="Q112" s="929">
        <v>0.56647042332492292</v>
      </c>
      <c r="R112" s="929">
        <v>0.52876893989839957</v>
      </c>
      <c r="S112" s="929">
        <v>0.57986449873093648</v>
      </c>
      <c r="T112" s="930">
        <v>5.1874811036436332</v>
      </c>
      <c r="U112" s="151"/>
    </row>
    <row r="113" spans="1:49" ht="13.15" customHeight="1">
      <c r="A113" s="521" t="s">
        <v>374</v>
      </c>
      <c r="B113" s="522" t="s">
        <v>42</v>
      </c>
      <c r="C113" s="2448"/>
      <c r="D113" s="514">
        <f>'SEGMENTS Data &amp; Estimates'!J128</f>
        <v>0.5161290322580645</v>
      </c>
      <c r="E113" s="515">
        <f>'SEGMENTS Data &amp; Estimates'!K128</f>
        <v>0.57446808510638303</v>
      </c>
      <c r="F113" s="515">
        <f>'SEGMENTS Data &amp; Estimates'!L128</f>
        <v>0.56382978723404253</v>
      </c>
      <c r="G113" s="515">
        <f>'SEGMENTS Data &amp; Estimates'!M128</f>
        <v>0.58998935037273692</v>
      </c>
      <c r="H113" s="516">
        <f>'SEGMENTS Data &amp; Estimates'!N128</f>
        <v>0.58334166469020743</v>
      </c>
      <c r="I113" s="4123"/>
      <c r="J113" s="523">
        <f>(D113+2*E113+2*F113+AVERAGE(G113,H113))/6</f>
        <v>0.56323171407839789</v>
      </c>
      <c r="K113" s="163"/>
      <c r="L113" s="71"/>
      <c r="N113" s="2105">
        <f>(D113-AVERAGE(G113,H113))/AVERAGE(G113,H113)</f>
        <v>-0.12023286586287618</v>
      </c>
      <c r="O113" s="504" t="s">
        <v>42</v>
      </c>
      <c r="P113" s="932" t="s">
        <v>42</v>
      </c>
      <c r="Q113" s="929" t="s">
        <v>508</v>
      </c>
      <c r="R113" s="929">
        <v>0.55363246574484848</v>
      </c>
      <c r="S113" s="929">
        <v>0.6040508373297574</v>
      </c>
      <c r="T113" s="930">
        <v>6.2767916236052903</v>
      </c>
      <c r="U113" s="151"/>
    </row>
    <row r="114" spans="1:49" s="2477" customFormat="1">
      <c r="A114" s="838" t="s">
        <v>499</v>
      </c>
      <c r="B114" s="839" t="s">
        <v>284</v>
      </c>
      <c r="C114" s="2447"/>
      <c r="D114" s="517" t="str">
        <f t="shared" ref="D114:H116" si="6">D88</f>
        <v>N/a</v>
      </c>
      <c r="E114" s="518">
        <f t="shared" si="6"/>
        <v>0.34090000000000004</v>
      </c>
      <c r="F114" s="518">
        <f t="shared" si="6"/>
        <v>0.34439999999999998</v>
      </c>
      <c r="G114" s="518">
        <f t="shared" si="6"/>
        <v>0.35269999999999996</v>
      </c>
      <c r="H114" s="519">
        <f t="shared" si="6"/>
        <v>0.36840000000000006</v>
      </c>
      <c r="I114" s="4024" t="s">
        <v>1921</v>
      </c>
      <c r="J114" s="233">
        <f>(3*E114+2*F114+AVERAGE(G114,H114))/6</f>
        <v>0.34534166666666666</v>
      </c>
      <c r="K114" s="842"/>
      <c r="L114" s="842"/>
      <c r="N114" s="2103">
        <f>(E114-AVERAGE(G114,H114))/AVERAGE(G114,H114)</f>
        <v>-5.4500069338510607E-2</v>
      </c>
      <c r="O114" s="840" t="s">
        <v>284</v>
      </c>
      <c r="P114" s="933" t="s">
        <v>840</v>
      </c>
      <c r="Q114" s="924">
        <v>0.47528054269795739</v>
      </c>
      <c r="R114" s="924">
        <v>0.44719640195710847</v>
      </c>
      <c r="S114" s="924">
        <v>0.4987523186614185</v>
      </c>
      <c r="T114" s="925">
        <v>6.3069796476175002</v>
      </c>
      <c r="U114" s="842"/>
      <c r="AW114" s="2474"/>
    </row>
    <row r="115" spans="1:49" ht="13.15" customHeight="1">
      <c r="A115" s="406" t="s">
        <v>500</v>
      </c>
      <c r="B115" s="294" t="s">
        <v>279</v>
      </c>
      <c r="C115" s="2435"/>
      <c r="D115" s="892">
        <f t="shared" si="6"/>
        <v>0.74956908795771016</v>
      </c>
      <c r="E115" s="893">
        <f t="shared" si="6"/>
        <v>0.74956908795771016</v>
      </c>
      <c r="F115" s="893">
        <f t="shared" si="6"/>
        <v>0.74064395459926657</v>
      </c>
      <c r="G115" s="893">
        <f t="shared" si="6"/>
        <v>0.72734227118729622</v>
      </c>
      <c r="H115" s="894">
        <f t="shared" si="6"/>
        <v>0.62585722455497383</v>
      </c>
      <c r="I115" s="4025"/>
      <c r="J115" s="232">
        <f>(D115+2*E115+2*F115+AVERAGE(G115,H115))/6</f>
        <v>0.7344324868237998</v>
      </c>
      <c r="K115" s="163"/>
      <c r="L115" s="71"/>
      <c r="N115" s="2105">
        <f>(D115-AVERAGE(G115,H115))/AVERAGE(G115,H115)</f>
        <v>0.10784712869930438</v>
      </c>
      <c r="O115" s="504" t="s">
        <v>279</v>
      </c>
      <c r="P115" s="97" t="s">
        <v>43</v>
      </c>
      <c r="Q115" s="929">
        <v>0.832754898477851</v>
      </c>
      <c r="R115" s="929">
        <v>0.78421147846254446</v>
      </c>
      <c r="S115" s="929">
        <v>0.81718548407980773</v>
      </c>
      <c r="T115" s="930">
        <v>6.768816379673452</v>
      </c>
      <c r="U115" s="151"/>
    </row>
    <row r="116" spans="1:49" ht="13.9" customHeight="1">
      <c r="A116" s="406" t="s">
        <v>501</v>
      </c>
      <c r="B116" s="294" t="s">
        <v>44</v>
      </c>
      <c r="C116" s="2435"/>
      <c r="D116" s="509">
        <f t="shared" si="6"/>
        <v>0.60384301884652736</v>
      </c>
      <c r="E116" s="510">
        <f t="shared" si="6"/>
        <v>0.58456622894085752</v>
      </c>
      <c r="F116" s="510">
        <f t="shared" si="6"/>
        <v>0.57677450305568967</v>
      </c>
      <c r="G116" s="510">
        <f t="shared" si="6"/>
        <v>0.56336418097946095</v>
      </c>
      <c r="H116" s="511">
        <f t="shared" si="6"/>
        <v>0.5497633776823857</v>
      </c>
      <c r="I116" s="4025"/>
      <c r="J116" s="233">
        <f>(D116+2*E116+2*F116+AVERAGE(G116,H116))/6</f>
        <v>0.5805147103617575</v>
      </c>
      <c r="K116" s="163"/>
      <c r="L116" s="71"/>
      <c r="N116" s="2103">
        <f>(D116-AVERAGE(G116,H116))/AVERAGE(G116,H116)</f>
        <v>8.4948466413752491E-2</v>
      </c>
      <c r="O116" s="504" t="s">
        <v>44</v>
      </c>
      <c r="P116" s="97" t="s">
        <v>44</v>
      </c>
      <c r="Q116" s="929">
        <v>0.56313835657670319</v>
      </c>
      <c r="R116" s="929">
        <v>0.49507049291886951</v>
      </c>
      <c r="S116" s="929">
        <v>0.54668747375606286</v>
      </c>
      <c r="T116" s="930">
        <v>5.9443053148716514</v>
      </c>
      <c r="U116" s="151"/>
    </row>
    <row r="117" spans="1:49">
      <c r="A117" s="521" t="s">
        <v>502</v>
      </c>
      <c r="B117" s="522" t="s">
        <v>287</v>
      </c>
      <c r="C117" s="2448"/>
      <c r="D117" s="514">
        <f>'SEGMENTS Data &amp; Estimates'!J360</f>
        <v>0.4260134005544996</v>
      </c>
      <c r="E117" s="515">
        <f>'SEGMENTS Data &amp; Estimates'!K360</f>
        <v>0.43380000000000002</v>
      </c>
      <c r="F117" s="515">
        <f>'SEGMENTS Data &amp; Estimates'!L360</f>
        <v>0.38780000000000003</v>
      </c>
      <c r="G117" s="515">
        <f>'SEGMENTS Data &amp; Estimates'!M360</f>
        <v>0.47970000000000002</v>
      </c>
      <c r="H117" s="516">
        <f>H91</f>
        <v>0.4566820303658996</v>
      </c>
      <c r="I117" s="4105" t="s">
        <v>1919</v>
      </c>
      <c r="J117" s="232">
        <f>(D117+2*E117+2*F117+AVERAGE(G117,H117))/6</f>
        <v>0.42290073595624156</v>
      </c>
      <c r="K117" s="163"/>
      <c r="L117" s="71"/>
      <c r="N117" s="2105">
        <f>(D117-AVERAGE(G117,H117))/AVERAGE(G117,H117)</f>
        <v>-9.0086339251873371E-2</v>
      </c>
      <c r="O117" s="504" t="s">
        <v>287</v>
      </c>
      <c r="P117" s="766"/>
      <c r="Q117" s="766"/>
      <c r="R117" s="766"/>
      <c r="S117" s="766"/>
      <c r="T117" s="766"/>
      <c r="U117" s="151"/>
    </row>
    <row r="118" spans="1:49" ht="13.15" customHeight="1">
      <c r="A118" s="406" t="s">
        <v>27</v>
      </c>
      <c r="B118" s="294" t="s">
        <v>54</v>
      </c>
      <c r="C118" s="2435"/>
      <c r="D118" s="517"/>
      <c r="E118" s="518">
        <f t="shared" ref="E118:G120" si="7">E92</f>
        <v>0.47118282781144899</v>
      </c>
      <c r="F118" s="518">
        <f t="shared" si="7"/>
        <v>0.47161841926509007</v>
      </c>
      <c r="G118" s="518">
        <f t="shared" si="7"/>
        <v>0.55085692480500315</v>
      </c>
      <c r="H118" s="519">
        <f>H92</f>
        <v>0.5101</v>
      </c>
      <c r="I118" s="4106"/>
      <c r="J118" s="646">
        <f>(3*E118+2*F118+G118)/6</f>
        <v>0.48460704112825509</v>
      </c>
      <c r="K118" s="163"/>
      <c r="L118" s="71"/>
      <c r="N118" s="2103">
        <f>(E118-G118)/G118*1.25</f>
        <v>-0.18079580514885477</v>
      </c>
      <c r="O118" s="504" t="s">
        <v>54</v>
      </c>
      <c r="P118" s="97" t="s">
        <v>54</v>
      </c>
      <c r="Q118" s="929">
        <v>0.64367329665679218</v>
      </c>
      <c r="R118" s="929">
        <v>0.57646025555374392</v>
      </c>
      <c r="S118" s="929">
        <v>0.62604182176221779</v>
      </c>
      <c r="T118" s="930">
        <v>6.0123869800589169</v>
      </c>
      <c r="U118" s="151"/>
    </row>
    <row r="119" spans="1:49">
      <c r="A119" s="406" t="s">
        <v>32</v>
      </c>
      <c r="B119" s="294" t="s">
        <v>50</v>
      </c>
      <c r="C119" s="2435"/>
      <c r="D119" s="509">
        <f>D93</f>
        <v>0</v>
      </c>
      <c r="E119" s="510">
        <f t="shared" si="7"/>
        <v>0</v>
      </c>
      <c r="F119" s="510">
        <f t="shared" si="7"/>
        <v>0</v>
      </c>
      <c r="G119" s="510">
        <f t="shared" si="7"/>
        <v>0</v>
      </c>
      <c r="H119" s="511">
        <f>H93</f>
        <v>0</v>
      </c>
      <c r="I119" s="4107"/>
      <c r="J119" s="232">
        <f>(3*E119+2*F119+G119)/6</f>
        <v>0</v>
      </c>
      <c r="K119" s="163"/>
      <c r="L119" s="71"/>
      <c r="N119" s="2105">
        <v>0</v>
      </c>
      <c r="O119" s="504" t="s">
        <v>50</v>
      </c>
      <c r="P119" s="932" t="s">
        <v>50</v>
      </c>
      <c r="Q119" s="929">
        <v>0</v>
      </c>
      <c r="R119" s="929">
        <v>0</v>
      </c>
      <c r="S119" s="929">
        <v>0</v>
      </c>
      <c r="T119" s="930">
        <v>5.276312464387706</v>
      </c>
      <c r="U119" s="151"/>
    </row>
    <row r="120" spans="1:49">
      <c r="A120" s="406" t="s">
        <v>32</v>
      </c>
      <c r="B120" s="294" t="s">
        <v>277</v>
      </c>
      <c r="C120" s="2435"/>
      <c r="D120" s="509"/>
      <c r="E120" s="510">
        <f t="shared" si="7"/>
        <v>0.88549999999999995</v>
      </c>
      <c r="F120" s="510">
        <f t="shared" si="7"/>
        <v>0.92209999999999992</v>
      </c>
      <c r="G120" s="510">
        <f t="shared" si="7"/>
        <v>0.92590000000000006</v>
      </c>
      <c r="H120" s="511">
        <f>H94</f>
        <v>0.92599999999999993</v>
      </c>
      <c r="I120" s="638" t="s">
        <v>2147</v>
      </c>
      <c r="J120" s="232">
        <f>AVERAGE(E120:H120)</f>
        <v>0.91487499999999988</v>
      </c>
      <c r="K120" s="163"/>
      <c r="L120" s="71"/>
      <c r="N120" s="2105">
        <f>(E120-H120)/H120</f>
        <v>-4.3736501079913587E-2</v>
      </c>
      <c r="O120" s="504" t="s">
        <v>277</v>
      </c>
      <c r="P120" s="932" t="s">
        <v>49</v>
      </c>
      <c r="Q120" s="929">
        <v>0.97</v>
      </c>
      <c r="R120" s="929">
        <v>0.97499999999999987</v>
      </c>
      <c r="S120" s="929">
        <v>0.97957933428629762</v>
      </c>
      <c r="T120" s="930">
        <v>6.6394313723288025</v>
      </c>
      <c r="U120" s="151"/>
    </row>
    <row r="121" spans="1:49">
      <c r="A121" s="521" t="s">
        <v>503</v>
      </c>
      <c r="B121" s="522" t="s">
        <v>282</v>
      </c>
      <c r="C121" s="2448"/>
      <c r="D121" s="514">
        <f>'SEGMENTS Data &amp; Estimates'!J376</f>
        <v>0.7167630057803468</v>
      </c>
      <c r="E121" s="515">
        <f>'SEGMENTS Data &amp; Estimates'!K376</f>
        <v>0.69187675070027999</v>
      </c>
      <c r="F121" s="515">
        <f>'SEGMENTS Data &amp; Estimates'!L376</f>
        <v>0.67479674796747968</v>
      </c>
      <c r="G121" s="515">
        <f>'SEGMENTS Data &amp; Estimates'!M376</f>
        <v>0.64088397790055252</v>
      </c>
      <c r="H121" s="516">
        <f>'SEGMENTS Data &amp; Estimates'!N376</f>
        <v>0.61707988980716255</v>
      </c>
      <c r="I121" s="3168" t="s">
        <v>1643</v>
      </c>
      <c r="J121" s="523">
        <f>(D121+2*E121+2*F121+AVERAGE(G121,H121))/6</f>
        <v>0.67984865616162071</v>
      </c>
      <c r="K121" s="163"/>
      <c r="L121" s="71"/>
      <c r="N121" s="2105">
        <f>(D121-AVERAGE(G121,H121))/AVERAGE(G121,H121)</f>
        <v>0.13956056160252914</v>
      </c>
      <c r="O121" s="504" t="s">
        <v>282</v>
      </c>
      <c r="P121" s="97" t="s">
        <v>46</v>
      </c>
      <c r="Q121" s="929">
        <v>0.56619490497371616</v>
      </c>
      <c r="R121" s="929">
        <v>0.53919198395457046</v>
      </c>
      <c r="S121" s="929">
        <v>0.59003361883057637</v>
      </c>
      <c r="T121" s="930">
        <v>8.4539243105468955</v>
      </c>
      <c r="U121" s="151"/>
    </row>
    <row r="122" spans="1:49">
      <c r="A122" s="521" t="s">
        <v>503</v>
      </c>
      <c r="B122" s="522" t="s">
        <v>280</v>
      </c>
      <c r="C122" s="2448"/>
      <c r="D122" s="514">
        <f>'SEGMENTS Data &amp; Estimates'!J257</f>
        <v>0.63639387890884902</v>
      </c>
      <c r="E122" s="515">
        <f>'SEGMENTS Data &amp; Estimates'!K257</f>
        <v>0.59086538461538463</v>
      </c>
      <c r="F122" s="515">
        <f>'SEGMENTS Data &amp; Estimates'!L257</f>
        <v>0.74456321415407301</v>
      </c>
      <c r="G122" s="515">
        <f>'SEGMENTS Data &amp; Estimates'!M257</f>
        <v>0.73239984441851425</v>
      </c>
      <c r="H122" s="516">
        <f>'SEGMENTS Data &amp; Estimates'!N257</f>
        <v>0.70310836704279323</v>
      </c>
      <c r="I122" s="3169" t="s">
        <v>1645</v>
      </c>
      <c r="J122" s="523">
        <f>(D122+2*E122+2*F122+AVERAGE(G122,H122))/6</f>
        <v>0.67083419702973635</v>
      </c>
      <c r="K122" s="163"/>
      <c r="L122" s="71"/>
      <c r="N122" s="2105">
        <f>(D122-AVERAGE(G122,H122))/AVERAGE(G122,H122)</f>
        <v>-0.11335389957676706</v>
      </c>
      <c r="O122" s="504" t="s">
        <v>280</v>
      </c>
      <c r="P122" s="932" t="s">
        <v>47</v>
      </c>
      <c r="Q122" s="929">
        <v>0.79409220121122237</v>
      </c>
      <c r="R122" s="929">
        <v>0.73301250263108064</v>
      </c>
      <c r="S122" s="929">
        <v>0.77153078463647007</v>
      </c>
      <c r="T122" s="930">
        <v>8.0700208338746009</v>
      </c>
      <c r="U122" s="151"/>
    </row>
    <row r="123" spans="1:49">
      <c r="A123" s="406" t="s">
        <v>504</v>
      </c>
      <c r="B123" s="294" t="s">
        <v>288</v>
      </c>
      <c r="C123" s="2435"/>
      <c r="D123" s="509">
        <f>D97</f>
        <v>0.30985103942866765</v>
      </c>
      <c r="E123" s="510">
        <f>E97</f>
        <v>0.31731074099497186</v>
      </c>
      <c r="F123" s="510">
        <f>F97</f>
        <v>0.33640396488461149</v>
      </c>
      <c r="G123" s="510">
        <f>G97</f>
        <v>0.32602856916005502</v>
      </c>
      <c r="H123" s="511">
        <f>H97</f>
        <v>0.35321659907288117</v>
      </c>
      <c r="I123" s="3169" t="s">
        <v>1646</v>
      </c>
      <c r="J123" s="232">
        <f>(D123+2*E123+2*F123+AVERAGE(G123,H123))/6</f>
        <v>0.32615050588405037</v>
      </c>
      <c r="K123" s="163"/>
      <c r="L123" s="71"/>
      <c r="N123" s="2105">
        <f>(D123-AVERAGE(G123,H123))/AVERAGE(G123,H123)</f>
        <v>-8.7660674172335792E-2</v>
      </c>
      <c r="O123" s="504" t="s">
        <v>288</v>
      </c>
      <c r="P123" s="98" t="s">
        <v>48</v>
      </c>
      <c r="Q123" s="934" t="s">
        <v>841</v>
      </c>
      <c r="R123" s="934">
        <v>0.4486626076801199</v>
      </c>
      <c r="S123" s="934">
        <v>0.50023459875483967</v>
      </c>
      <c r="T123" s="935">
        <v>6.8961956159201456</v>
      </c>
      <c r="U123" s="151"/>
    </row>
    <row r="124" spans="1:49">
      <c r="A124" s="521" t="s">
        <v>27</v>
      </c>
      <c r="B124" s="522" t="s">
        <v>353</v>
      </c>
      <c r="C124" s="2448"/>
      <c r="D124" s="514">
        <f>'SEGMENTS Data &amp; Estimates'!J407</f>
        <v>0.89258114374034003</v>
      </c>
      <c r="E124" s="515">
        <f>'SEGMENTS Data &amp; Estimates'!K407</f>
        <v>0.89473684210526316</v>
      </c>
      <c r="F124" s="515">
        <f>'SEGMENTS Data &amp; Estimates'!L407</f>
        <v>0.90969621306699966</v>
      </c>
      <c r="G124" s="515">
        <f>'SEGMENTS Data &amp; Estimates'!M407</f>
        <v>0.93952867987978417</v>
      </c>
      <c r="H124" s="516">
        <f>'SEGMENTS Data &amp; Estimates'!N407</f>
        <v>0.92232145907274721</v>
      </c>
      <c r="I124" s="3170" t="s">
        <v>1644</v>
      </c>
      <c r="J124" s="523">
        <f>(D124+2*E124+2*F124+AVERAGE(G124,H124))/6</f>
        <v>0.90539538726018864</v>
      </c>
      <c r="K124" s="163"/>
      <c r="L124" s="71"/>
      <c r="N124" s="2105">
        <f>(D124-AVERAGE(G124,H124))/AVERAGE(G124,H124)</f>
        <v>-4.1189056985539901E-2</v>
      </c>
      <c r="O124" s="504" t="s">
        <v>353</v>
      </c>
      <c r="P124" s="72" t="s">
        <v>1636</v>
      </c>
      <c r="Q124" s="72"/>
      <c r="R124" s="72"/>
      <c r="S124" s="72"/>
      <c r="T124" s="72"/>
      <c r="U124" s="151"/>
      <c r="AJ124" s="2495"/>
    </row>
    <row r="125" spans="1:49">
      <c r="A125" s="2542"/>
      <c r="B125" s="2543"/>
      <c r="C125" s="2448"/>
      <c r="D125" s="2544"/>
      <c r="E125" s="2544"/>
      <c r="F125" s="2544"/>
      <c r="G125" s="2544"/>
      <c r="H125" s="2544"/>
      <c r="I125" s="2545"/>
      <c r="J125" s="2546"/>
      <c r="K125" s="163"/>
      <c r="L125" s="71"/>
      <c r="N125" s="2547"/>
      <c r="O125" s="504"/>
      <c r="P125" s="72"/>
      <c r="Q125" s="72"/>
      <c r="R125" s="72"/>
      <c r="S125" s="72"/>
      <c r="T125" s="72"/>
      <c r="U125" s="2489"/>
      <c r="AJ125" s="2495"/>
    </row>
    <row r="126" spans="1:49" s="2495" customFormat="1" ht="3" customHeight="1">
      <c r="A126" s="2548"/>
      <c r="B126" s="2535"/>
      <c r="C126" s="2517"/>
      <c r="I126" s="2549"/>
      <c r="J126" s="2549"/>
      <c r="K126" s="2550"/>
      <c r="L126" s="2508"/>
      <c r="M126" s="2507"/>
      <c r="AW126" s="2496"/>
    </row>
    <row r="127" spans="1:49">
      <c r="A127" s="642"/>
      <c r="B127" s="1331"/>
      <c r="D127" s="151"/>
      <c r="E127" s="151"/>
      <c r="F127" s="151"/>
      <c r="G127" s="151"/>
      <c r="H127" s="151"/>
      <c r="I127" s="160"/>
      <c r="J127" s="160"/>
      <c r="K127" s="163"/>
      <c r="L127" s="71"/>
      <c r="N127" s="2489"/>
      <c r="O127" s="2489"/>
      <c r="P127" s="2489"/>
      <c r="Q127" s="2489"/>
      <c r="R127" s="2489"/>
      <c r="S127" s="2489"/>
      <c r="T127" s="2489"/>
      <c r="U127" s="2489"/>
      <c r="V127" s="1659"/>
      <c r="W127" s="1659"/>
      <c r="X127" s="3021"/>
      <c r="Y127" s="3021"/>
      <c r="Z127" s="3021"/>
      <c r="AA127" s="3021"/>
      <c r="AB127" s="3021"/>
      <c r="AC127" s="3021"/>
      <c r="AD127" s="3021"/>
      <c r="AE127" s="1659"/>
      <c r="AF127" s="1659"/>
      <c r="AG127" s="1659"/>
      <c r="AH127" s="1659"/>
      <c r="AI127" s="2495"/>
      <c r="AJ127" s="2495"/>
    </row>
    <row r="128" spans="1:49" ht="13.15" customHeight="1">
      <c r="A128" s="4073" t="s">
        <v>2177</v>
      </c>
      <c r="B128" s="4074"/>
      <c r="C128" s="2446"/>
      <c r="D128" s="1187" t="s">
        <v>782</v>
      </c>
      <c r="E128" s="1187" t="s">
        <v>785</v>
      </c>
      <c r="F128" s="631" t="s">
        <v>785</v>
      </c>
      <c r="G128" s="631" t="s">
        <v>788</v>
      </c>
      <c r="H128" s="631" t="s">
        <v>789</v>
      </c>
      <c r="I128" s="4047" t="s">
        <v>812</v>
      </c>
      <c r="J128" s="3038" t="s">
        <v>810</v>
      </c>
      <c r="K128" s="1187" t="s">
        <v>785</v>
      </c>
      <c r="L128" s="71"/>
      <c r="N128" s="2489"/>
      <c r="O128" s="2489"/>
      <c r="P128" s="2489"/>
      <c r="Q128" s="2489"/>
      <c r="R128" s="2489"/>
      <c r="S128" s="2489"/>
      <c r="T128" s="2489"/>
      <c r="U128" s="2489"/>
      <c r="V128" s="2489"/>
      <c r="W128" s="2489"/>
      <c r="X128" s="2489"/>
      <c r="Y128" s="2489"/>
      <c r="Z128" s="2489"/>
      <c r="AA128" s="2489"/>
      <c r="AB128" s="2489"/>
      <c r="AC128" s="1659"/>
      <c r="AD128" s="1659"/>
      <c r="AE128" s="1659"/>
      <c r="AF128" s="2489"/>
      <c r="AG128" s="2489"/>
      <c r="AH128" s="2958"/>
      <c r="AI128" s="2495"/>
      <c r="AJ128" s="2495"/>
    </row>
    <row r="129" spans="1:49">
      <c r="A129" s="673"/>
      <c r="B129" s="674"/>
      <c r="C129" s="2446"/>
      <c r="D129" s="1188" t="s">
        <v>1673</v>
      </c>
      <c r="E129" s="1188" t="s">
        <v>799</v>
      </c>
      <c r="F129" s="632" t="s">
        <v>800</v>
      </c>
      <c r="G129" s="632" t="s">
        <v>786</v>
      </c>
      <c r="H129" s="632" t="s">
        <v>790</v>
      </c>
      <c r="I129" s="4095"/>
      <c r="J129" s="3039" t="s">
        <v>811</v>
      </c>
      <c r="K129" s="1188" t="s">
        <v>799</v>
      </c>
      <c r="L129" s="71"/>
      <c r="N129" s="905"/>
      <c r="O129" s="633" t="s">
        <v>783</v>
      </c>
      <c r="P129" s="72"/>
      <c r="Q129" s="2489"/>
      <c r="R129" s="2489"/>
      <c r="S129" s="2489"/>
      <c r="T129" s="2489"/>
      <c r="U129" s="2489"/>
      <c r="V129" s="2489"/>
      <c r="W129" s="627" t="s">
        <v>784</v>
      </c>
      <c r="X129" s="71"/>
      <c r="Y129" s="72"/>
      <c r="Z129" s="2489"/>
      <c r="AA129" s="2489"/>
      <c r="AB129" s="2489"/>
      <c r="AC129" s="760" t="s">
        <v>1490</v>
      </c>
      <c r="AD129" s="1659"/>
      <c r="AE129" s="1659"/>
      <c r="AF129" s="2489"/>
      <c r="AG129" s="2489"/>
      <c r="AH129" s="2958"/>
      <c r="AI129" s="2495"/>
      <c r="AJ129" s="2495"/>
    </row>
    <row r="130" spans="1:49">
      <c r="A130" s="652" t="s">
        <v>319</v>
      </c>
      <c r="B130" s="661" t="s">
        <v>275</v>
      </c>
      <c r="C130" s="2449"/>
      <c r="D130" s="866">
        <f>VLOOKUP(B130,$B$103:$J$124,9,FALSE)</f>
        <v>0.95644485424869818</v>
      </c>
      <c r="E130" s="678" t="s">
        <v>55</v>
      </c>
      <c r="F130" s="678" t="s">
        <v>55</v>
      </c>
      <c r="G130" s="678" t="s">
        <v>55</v>
      </c>
      <c r="H130" s="679" t="s">
        <v>55</v>
      </c>
      <c r="I130" s="984" t="s">
        <v>984</v>
      </c>
      <c r="J130" s="681">
        <f>VLOOKUP(B130,$B$103:$D$124,3,FALSE)</f>
        <v>0.97</v>
      </c>
      <c r="K130" s="678" t="s">
        <v>55</v>
      </c>
      <c r="L130" s="504" t="s">
        <v>751</v>
      </c>
      <c r="N130" s="163"/>
      <c r="O130" s="71"/>
      <c r="P130" s="72"/>
      <c r="Q130" s="2489"/>
      <c r="R130" s="2489"/>
      <c r="S130" s="2489"/>
      <c r="T130" s="2489"/>
      <c r="U130" s="2491"/>
      <c r="V130" s="163"/>
      <c r="W130" s="71"/>
      <c r="X130" s="72"/>
      <c r="Y130" s="2489"/>
      <c r="Z130" s="2489"/>
      <c r="AA130" s="2489"/>
      <c r="AB130" s="2489"/>
      <c r="AC130" s="1659"/>
      <c r="AD130" s="1659"/>
      <c r="AE130" s="1659"/>
      <c r="AF130" s="2489"/>
      <c r="AG130" s="2489"/>
      <c r="AH130" s="2958"/>
      <c r="AI130" s="2495"/>
      <c r="AJ130" s="2495"/>
    </row>
    <row r="131" spans="1:49">
      <c r="A131" s="406" t="s">
        <v>32</v>
      </c>
      <c r="B131" s="294" t="s">
        <v>277</v>
      </c>
      <c r="C131" s="2449"/>
      <c r="D131" s="867">
        <f t="shared" ref="D131:D151" si="8">VLOOKUP(B131,$B$103:$J$124,9,FALSE)</f>
        <v>0.91487499999999988</v>
      </c>
      <c r="E131" s="628" t="s">
        <v>55</v>
      </c>
      <c r="F131" s="628" t="s">
        <v>55</v>
      </c>
      <c r="G131" s="628" t="s">
        <v>55</v>
      </c>
      <c r="H131" s="628" t="s">
        <v>55</v>
      </c>
      <c r="I131" s="3171" t="s">
        <v>813</v>
      </c>
      <c r="J131" s="501">
        <f>E120</f>
        <v>0.88549999999999995</v>
      </c>
      <c r="K131" s="628" t="s">
        <v>55</v>
      </c>
      <c r="L131" s="504" t="s">
        <v>277</v>
      </c>
      <c r="N131" s="163"/>
      <c r="O131" s="71"/>
      <c r="P131" s="72"/>
      <c r="Q131" s="2489"/>
      <c r="R131" s="2489"/>
      <c r="S131" s="2489"/>
      <c r="T131" s="2489"/>
      <c r="U131" s="2491"/>
      <c r="V131" s="163"/>
      <c r="W131" s="71"/>
      <c r="X131" s="72"/>
      <c r="Y131" s="2489"/>
      <c r="Z131" s="2489"/>
      <c r="AA131" s="2489"/>
      <c r="AB131" s="2489"/>
      <c r="AC131" s="1659"/>
      <c r="AD131" s="1659"/>
      <c r="AE131" s="1659"/>
      <c r="AF131" s="2489"/>
      <c r="AG131" s="2489"/>
      <c r="AH131" s="2958"/>
      <c r="AI131" s="2495"/>
      <c r="AJ131" s="2495"/>
    </row>
    <row r="132" spans="1:49">
      <c r="A132" s="406" t="s">
        <v>27</v>
      </c>
      <c r="B132" s="294" t="s">
        <v>353</v>
      </c>
      <c r="C132" s="2449"/>
      <c r="D132" s="867">
        <f t="shared" si="8"/>
        <v>0.90539538726018864</v>
      </c>
      <c r="E132" s="628" t="s">
        <v>55</v>
      </c>
      <c r="F132" s="628" t="s">
        <v>55</v>
      </c>
      <c r="G132" s="629"/>
      <c r="H132" s="629"/>
      <c r="I132" s="3171" t="s">
        <v>814</v>
      </c>
      <c r="J132" s="501">
        <f>VLOOKUP(B132,$B$103:$D$124,3,FALSE)</f>
        <v>0.89258114374034003</v>
      </c>
      <c r="K132" s="628" t="s">
        <v>55</v>
      </c>
      <c r="L132" s="504" t="s">
        <v>353</v>
      </c>
      <c r="N132" s="163"/>
      <c r="O132" s="71"/>
      <c r="P132" s="72"/>
      <c r="Q132" s="2489"/>
      <c r="R132" s="2489"/>
      <c r="S132" s="2489"/>
      <c r="T132" s="2489"/>
      <c r="U132" s="2491"/>
      <c r="V132" s="163"/>
      <c r="W132" s="71"/>
      <c r="X132" s="72"/>
      <c r="Y132" s="2489"/>
      <c r="Z132" s="2489"/>
      <c r="AA132" s="2489"/>
      <c r="AB132" s="2489"/>
      <c r="AC132" s="1659"/>
      <c r="AD132" s="1659"/>
      <c r="AE132" s="1659"/>
      <c r="AF132" s="2489"/>
      <c r="AG132" s="2489"/>
      <c r="AH132" s="2958"/>
      <c r="AI132" s="2495"/>
      <c r="AJ132" s="2495"/>
    </row>
    <row r="133" spans="1:49">
      <c r="A133" s="406" t="s">
        <v>500</v>
      </c>
      <c r="B133" s="294" t="s">
        <v>279</v>
      </c>
      <c r="C133" s="2449"/>
      <c r="D133" s="867">
        <f t="shared" si="8"/>
        <v>0.7344324868237998</v>
      </c>
      <c r="E133" s="628" t="s">
        <v>55</v>
      </c>
      <c r="F133" s="628" t="s">
        <v>55</v>
      </c>
      <c r="G133" s="628" t="s">
        <v>55</v>
      </c>
      <c r="H133" s="628" t="s">
        <v>55</v>
      </c>
      <c r="I133" s="974" t="s">
        <v>2148</v>
      </c>
      <c r="J133" s="501">
        <f>VLOOKUP(B133,$B$103:$D$124,3,FALSE)</f>
        <v>0.74956908795771016</v>
      </c>
      <c r="K133" s="628" t="s">
        <v>55</v>
      </c>
      <c r="L133" s="504" t="s">
        <v>279</v>
      </c>
      <c r="N133" s="163"/>
      <c r="O133" s="71"/>
      <c r="P133" s="72"/>
      <c r="Q133" s="2489"/>
      <c r="R133" s="2489"/>
      <c r="S133" s="2489"/>
      <c r="T133" s="2489"/>
      <c r="U133" s="2491"/>
      <c r="V133" s="163"/>
      <c r="W133" s="71"/>
      <c r="X133" s="72"/>
      <c r="Y133" s="2489"/>
      <c r="Z133" s="2489"/>
      <c r="AA133" s="2489"/>
      <c r="AB133" s="2489"/>
      <c r="AC133" s="1659"/>
      <c r="AD133" s="1659"/>
      <c r="AE133" s="1659"/>
      <c r="AF133" s="2489"/>
      <c r="AG133" s="2489"/>
      <c r="AH133" s="2958"/>
      <c r="AI133" s="2495"/>
      <c r="AJ133" s="2495"/>
    </row>
    <row r="134" spans="1:49" ht="13.9" customHeight="1">
      <c r="A134" s="406" t="s">
        <v>503</v>
      </c>
      <c r="B134" s="294" t="s">
        <v>282</v>
      </c>
      <c r="C134" s="2449"/>
      <c r="D134" s="867">
        <f t="shared" si="8"/>
        <v>0.67984865616162071</v>
      </c>
      <c r="E134" s="634" t="s">
        <v>55</v>
      </c>
      <c r="F134" s="896"/>
      <c r="G134" s="628" t="s">
        <v>55</v>
      </c>
      <c r="H134" s="628" t="s">
        <v>55</v>
      </c>
      <c r="I134" s="4048" t="s">
        <v>1637</v>
      </c>
      <c r="J134" s="501">
        <f>VLOOKUP(B134,$B$103:$D$124,3,FALSE)</f>
        <v>0.7167630057803468</v>
      </c>
      <c r="K134" s="635" t="s">
        <v>55</v>
      </c>
      <c r="L134" s="504" t="s">
        <v>282</v>
      </c>
      <c r="N134" s="163"/>
      <c r="O134" s="71"/>
      <c r="P134" s="72"/>
      <c r="Q134" s="2489"/>
      <c r="R134" s="2489"/>
      <c r="S134" s="2489"/>
      <c r="T134" s="2489"/>
      <c r="U134" s="2491"/>
      <c r="V134" s="163"/>
      <c r="W134" s="71"/>
      <c r="X134" s="72"/>
      <c r="Y134" s="2489"/>
      <c r="Z134" s="2489"/>
      <c r="AA134" s="2489"/>
      <c r="AB134" s="2489"/>
      <c r="AC134" s="1659"/>
      <c r="AD134" s="1659"/>
      <c r="AE134" s="1659"/>
      <c r="AF134" s="2489"/>
      <c r="AG134" s="2489"/>
      <c r="AH134" s="2958"/>
      <c r="AI134" s="2495"/>
      <c r="AJ134" s="2495"/>
    </row>
    <row r="135" spans="1:49">
      <c r="A135" s="406" t="s">
        <v>503</v>
      </c>
      <c r="B135" s="294" t="s">
        <v>280</v>
      </c>
      <c r="C135" s="2449"/>
      <c r="D135" s="867">
        <f t="shared" si="8"/>
        <v>0.67083419702973635</v>
      </c>
      <c r="E135" s="634" t="s">
        <v>55</v>
      </c>
      <c r="F135" s="628"/>
      <c r="G135" s="896"/>
      <c r="H135" s="628" t="s">
        <v>55</v>
      </c>
      <c r="I135" s="4048"/>
      <c r="J135" s="501">
        <f>VLOOKUP(B135,$B$103:$D$124,3,FALSE)</f>
        <v>0.63639387890884902</v>
      </c>
      <c r="K135" s="634" t="s">
        <v>55</v>
      </c>
      <c r="L135" s="504" t="s">
        <v>280</v>
      </c>
      <c r="N135" s="163"/>
      <c r="O135" s="71"/>
      <c r="P135" s="72"/>
      <c r="Q135" s="2489"/>
      <c r="R135" s="2489"/>
      <c r="S135" s="2489"/>
      <c r="T135" s="2489"/>
      <c r="U135" s="2491"/>
      <c r="V135" s="163"/>
      <c r="W135" s="71"/>
      <c r="X135" s="72"/>
      <c r="Y135" s="2489"/>
      <c r="Z135" s="2489"/>
      <c r="AA135" s="2489"/>
      <c r="AB135" s="2489"/>
      <c r="AC135" s="1659"/>
      <c r="AD135" s="1659"/>
      <c r="AE135" s="1659"/>
      <c r="AF135" s="2489"/>
      <c r="AG135" s="2489"/>
      <c r="AH135" s="2958"/>
      <c r="AI135" s="2495"/>
      <c r="AJ135" s="2495"/>
    </row>
    <row r="136" spans="1:49" s="2477" customFormat="1" ht="13.15" customHeight="1">
      <c r="A136" s="838" t="s">
        <v>73</v>
      </c>
      <c r="B136" s="839" t="s">
        <v>283</v>
      </c>
      <c r="C136" s="2450"/>
      <c r="D136" s="868">
        <f t="shared" si="8"/>
        <v>0.62657499999999999</v>
      </c>
      <c r="E136" s="896"/>
      <c r="F136" s="634"/>
      <c r="G136" s="634"/>
      <c r="H136" s="897" t="s">
        <v>368</v>
      </c>
      <c r="I136" s="4088"/>
      <c r="J136" s="502">
        <f>E110</f>
        <v>0.64439999999999997</v>
      </c>
      <c r="K136" s="634"/>
      <c r="L136" s="840" t="s">
        <v>283</v>
      </c>
      <c r="N136" s="163"/>
      <c r="O136" s="71"/>
      <c r="P136" s="72"/>
      <c r="Q136" s="2489"/>
      <c r="R136" s="2489"/>
      <c r="S136" s="2489"/>
      <c r="T136" s="2489"/>
      <c r="U136" s="2491"/>
      <c r="V136" s="163"/>
      <c r="W136" s="71"/>
      <c r="X136" s="72"/>
      <c r="Y136" s="2489"/>
      <c r="Z136" s="2489"/>
      <c r="AA136" s="2489"/>
      <c r="AB136" s="2489"/>
      <c r="AC136" s="1659"/>
      <c r="AD136" s="1659"/>
      <c r="AE136" s="1659"/>
      <c r="AF136" s="2489"/>
      <c r="AG136" s="2489"/>
      <c r="AH136" s="2958"/>
      <c r="AI136" s="2495"/>
      <c r="AJ136" s="2495"/>
      <c r="AW136" s="2474"/>
    </row>
    <row r="137" spans="1:49">
      <c r="A137" s="508" t="s">
        <v>217</v>
      </c>
      <c r="B137" s="294" t="s">
        <v>53</v>
      </c>
      <c r="C137" s="2449"/>
      <c r="D137" s="867">
        <f t="shared" si="8"/>
        <v>0.6158872479982318</v>
      </c>
      <c r="E137" s="628"/>
      <c r="F137" s="629"/>
      <c r="G137" s="628" t="s">
        <v>368</v>
      </c>
      <c r="H137" s="628" t="s">
        <v>368</v>
      </c>
      <c r="I137" s="985" t="s">
        <v>985</v>
      </c>
      <c r="J137" s="501">
        <f>VLOOKUP(B137,$B$103:$D$124,3,FALSE)</f>
        <v>0.63960508302071395</v>
      </c>
      <c r="K137" s="628"/>
      <c r="L137" s="504" t="s">
        <v>53</v>
      </c>
      <c r="N137" s="163"/>
      <c r="O137" s="71"/>
      <c r="P137" s="72"/>
      <c r="Q137" s="2489"/>
      <c r="R137" s="2489"/>
      <c r="S137" s="2489"/>
      <c r="T137" s="2489"/>
      <c r="U137" s="2491"/>
      <c r="V137" s="163"/>
      <c r="W137" s="71"/>
      <c r="X137" s="72"/>
      <c r="Y137" s="2489"/>
      <c r="Z137" s="2489"/>
      <c r="AA137" s="2489"/>
      <c r="AB137" s="2489"/>
      <c r="AC137" s="1659"/>
      <c r="AD137" s="1659"/>
      <c r="AE137" s="1659"/>
      <c r="AF137" s="2489"/>
      <c r="AG137" s="2489"/>
      <c r="AH137" s="2958"/>
      <c r="AI137" s="2495"/>
      <c r="AJ137" s="2501"/>
    </row>
    <row r="138" spans="1:49" ht="13.15" customHeight="1">
      <c r="A138" s="406" t="s">
        <v>498</v>
      </c>
      <c r="B138" s="294" t="s">
        <v>52</v>
      </c>
      <c r="C138" s="2449"/>
      <c r="D138" s="865">
        <f t="shared" si="8"/>
        <v>0.61</v>
      </c>
      <c r="E138" s="629"/>
      <c r="F138" s="629"/>
      <c r="G138" s="628" t="s">
        <v>368</v>
      </c>
      <c r="H138" s="2558" t="s">
        <v>55</v>
      </c>
      <c r="I138" s="898" t="s">
        <v>1663</v>
      </c>
      <c r="J138" s="869">
        <f>G103</f>
        <v>0.60734824281150157</v>
      </c>
      <c r="K138" s="629"/>
      <c r="L138" s="504" t="s">
        <v>820</v>
      </c>
      <c r="N138" s="862"/>
      <c r="O138" s="863"/>
      <c r="P138" s="841"/>
      <c r="Q138" s="842"/>
      <c r="R138" s="842"/>
      <c r="S138" s="842"/>
      <c r="T138" s="842"/>
      <c r="U138" s="861"/>
      <c r="V138" s="862"/>
      <c r="W138" s="863"/>
      <c r="X138" s="841"/>
      <c r="Y138" s="842"/>
      <c r="Z138" s="842"/>
      <c r="AA138" s="842"/>
      <c r="AB138" s="842"/>
      <c r="AC138" s="3049"/>
      <c r="AD138" s="3049"/>
      <c r="AE138" s="3049"/>
      <c r="AF138" s="842"/>
      <c r="AG138" s="842"/>
      <c r="AH138" s="842"/>
      <c r="AI138" s="2501"/>
      <c r="AJ138" s="2495"/>
    </row>
    <row r="139" spans="1:49" ht="13.15" customHeight="1">
      <c r="A139" s="838" t="s">
        <v>385</v>
      </c>
      <c r="B139" s="839" t="s">
        <v>276</v>
      </c>
      <c r="C139" s="2450"/>
      <c r="D139" s="868">
        <f t="shared" si="8"/>
        <v>0.60910298289809772</v>
      </c>
      <c r="E139" s="634"/>
      <c r="F139" s="634"/>
      <c r="G139" s="895" t="s">
        <v>368</v>
      </c>
      <c r="H139" s="766" t="s">
        <v>368</v>
      </c>
      <c r="I139" s="4026" t="s">
        <v>2225</v>
      </c>
      <c r="J139" s="872">
        <f>VLOOKUP(B139,$B$103:$D$124,3,FALSE)</f>
        <v>0.5981133158250882</v>
      </c>
      <c r="K139" s="634"/>
      <c r="L139" s="840" t="s">
        <v>276</v>
      </c>
      <c r="N139" s="163"/>
      <c r="O139" s="71"/>
      <c r="P139" s="72"/>
      <c r="Q139" s="2489"/>
      <c r="R139" s="2489"/>
      <c r="S139" s="2489"/>
      <c r="T139" s="2489"/>
      <c r="U139" s="2491"/>
      <c r="V139" s="163"/>
      <c r="W139" s="71"/>
      <c r="X139" s="72"/>
      <c r="Y139" s="2489"/>
      <c r="Z139" s="2489"/>
      <c r="AA139" s="2489"/>
      <c r="AB139" s="2489"/>
      <c r="AC139" s="1659"/>
      <c r="AD139" s="1659"/>
      <c r="AE139" s="1659"/>
      <c r="AF139" s="2489"/>
      <c r="AG139" s="2489"/>
      <c r="AH139" s="2958"/>
      <c r="AI139" s="2495"/>
      <c r="AJ139" s="2495"/>
    </row>
    <row r="140" spans="1:49" ht="13.15" customHeight="1">
      <c r="A140" s="406" t="s">
        <v>19</v>
      </c>
      <c r="B140" s="294" t="s">
        <v>286</v>
      </c>
      <c r="C140" s="2449"/>
      <c r="D140" s="867">
        <f t="shared" si="8"/>
        <v>0.60741568747204655</v>
      </c>
      <c r="E140" s="629"/>
      <c r="F140" s="629"/>
      <c r="G140" s="628" t="s">
        <v>368</v>
      </c>
      <c r="H140" s="628" t="s">
        <v>368</v>
      </c>
      <c r="I140" s="4027"/>
      <c r="J140" s="501">
        <f t="shared" ref="J140:J151" si="9">VLOOKUP(B140,$B$103:$D$124,3,FALSE)</f>
        <v>0.60484412483227945</v>
      </c>
      <c r="K140" s="629"/>
      <c r="L140" s="504" t="s">
        <v>286</v>
      </c>
      <c r="N140" s="163"/>
      <c r="O140" s="71"/>
      <c r="P140" s="72"/>
      <c r="Q140" s="2489"/>
      <c r="R140" s="2489"/>
      <c r="S140" s="2489"/>
      <c r="T140" s="2489"/>
      <c r="U140" s="2491"/>
      <c r="V140" s="163"/>
      <c r="W140" s="71"/>
      <c r="X140" s="72"/>
      <c r="Y140" s="2489"/>
      <c r="Z140" s="2489"/>
      <c r="AA140" s="2489"/>
      <c r="AB140" s="2489"/>
      <c r="AC140" s="1659"/>
      <c r="AD140" s="1659"/>
      <c r="AE140" s="1659"/>
      <c r="AF140" s="2489"/>
      <c r="AG140" s="2489"/>
      <c r="AH140" s="2958"/>
      <c r="AI140" s="2495"/>
      <c r="AJ140" s="2495"/>
    </row>
    <row r="141" spans="1:49" s="2477" customFormat="1" ht="13.15" customHeight="1">
      <c r="A141" s="406" t="s">
        <v>501</v>
      </c>
      <c r="B141" s="294" t="s">
        <v>44</v>
      </c>
      <c r="C141" s="2449"/>
      <c r="D141" s="870">
        <f t="shared" si="8"/>
        <v>0.5805147103617575</v>
      </c>
      <c r="E141" s="629"/>
      <c r="F141" s="629"/>
      <c r="G141" s="628" t="s">
        <v>368</v>
      </c>
      <c r="H141" s="766" t="s">
        <v>368</v>
      </c>
      <c r="I141" s="4027"/>
      <c r="J141" s="501">
        <f t="shared" si="9"/>
        <v>0.60384301884652736</v>
      </c>
      <c r="K141" s="629"/>
      <c r="L141" s="504" t="s">
        <v>44</v>
      </c>
      <c r="N141" s="163"/>
      <c r="O141" s="71"/>
      <c r="P141" s="72"/>
      <c r="Q141" s="2489"/>
      <c r="R141" s="2489"/>
      <c r="S141" s="2489"/>
      <c r="T141" s="2489"/>
      <c r="U141" s="2491"/>
      <c r="V141" s="163"/>
      <c r="W141" s="71"/>
      <c r="X141" s="72"/>
      <c r="Y141" s="2489"/>
      <c r="Z141" s="2489"/>
      <c r="AA141" s="2489"/>
      <c r="AB141" s="2489"/>
      <c r="AC141" s="1659"/>
      <c r="AD141" s="1659"/>
      <c r="AE141" s="1659"/>
      <c r="AF141" s="2489"/>
      <c r="AG141" s="2489"/>
      <c r="AH141" s="2958"/>
      <c r="AI141" s="2495"/>
      <c r="AJ141" s="2495"/>
      <c r="AW141" s="2474"/>
    </row>
    <row r="142" spans="1:49">
      <c r="A142" s="406" t="s">
        <v>374</v>
      </c>
      <c r="B142" s="294" t="s">
        <v>42</v>
      </c>
      <c r="C142" s="2449"/>
      <c r="D142" s="867">
        <f t="shared" si="8"/>
        <v>0.56323171407839789</v>
      </c>
      <c r="E142" s="629"/>
      <c r="F142" s="629"/>
      <c r="G142" s="629"/>
      <c r="H142" s="628" t="s">
        <v>368</v>
      </c>
      <c r="I142" s="4028" t="s">
        <v>1664</v>
      </c>
      <c r="J142" s="501">
        <f t="shared" si="9"/>
        <v>0.5161290322580645</v>
      </c>
      <c r="K142" s="629"/>
      <c r="L142" s="504" t="s">
        <v>42</v>
      </c>
      <c r="N142" s="163"/>
      <c r="O142" s="71"/>
      <c r="P142" s="72"/>
      <c r="Q142" s="2489"/>
      <c r="R142" s="2489"/>
      <c r="S142" s="2489"/>
      <c r="T142" s="2489"/>
      <c r="U142" s="2491"/>
      <c r="V142" s="163"/>
      <c r="W142" s="71"/>
      <c r="X142" s="72"/>
      <c r="Y142" s="2489"/>
      <c r="Z142" s="2489"/>
      <c r="AA142" s="2489"/>
      <c r="AB142" s="2489"/>
      <c r="AC142" s="1659"/>
      <c r="AD142" s="1659"/>
      <c r="AE142" s="1659"/>
      <c r="AF142" s="2489"/>
      <c r="AG142" s="2489"/>
      <c r="AH142" s="2958"/>
      <c r="AI142" s="2495"/>
      <c r="AJ142" s="2501"/>
    </row>
    <row r="143" spans="1:49" ht="13.9" customHeight="1">
      <c r="A143" s="838" t="s">
        <v>27</v>
      </c>
      <c r="B143" s="839" t="s">
        <v>54</v>
      </c>
      <c r="C143" s="2450"/>
      <c r="D143" s="871">
        <f t="shared" si="8"/>
        <v>0.48460704112825509</v>
      </c>
      <c r="E143" s="634"/>
      <c r="F143" s="634"/>
      <c r="G143" s="895" t="s">
        <v>368</v>
      </c>
      <c r="H143" s="895" t="s">
        <v>368</v>
      </c>
      <c r="I143" s="4028"/>
      <c r="J143" s="872">
        <f>E118</f>
        <v>0.47118282781144899</v>
      </c>
      <c r="K143" s="634"/>
      <c r="L143" s="840" t="s">
        <v>54</v>
      </c>
      <c r="N143" s="862"/>
      <c r="O143" s="863"/>
      <c r="P143" s="841"/>
      <c r="Q143" s="842"/>
      <c r="R143" s="842"/>
      <c r="S143" s="842"/>
      <c r="T143" s="842"/>
      <c r="U143" s="861"/>
      <c r="V143" s="862"/>
      <c r="W143" s="863"/>
      <c r="X143" s="841"/>
      <c r="Y143" s="842"/>
      <c r="Z143" s="842"/>
      <c r="AA143" s="842"/>
      <c r="AB143" s="842"/>
      <c r="AC143" s="3049"/>
      <c r="AD143" s="3049"/>
      <c r="AE143" s="3049"/>
      <c r="AF143" s="842"/>
      <c r="AG143" s="842"/>
      <c r="AH143" s="842"/>
      <c r="AI143" s="2501"/>
      <c r="AJ143" s="2495"/>
    </row>
    <row r="144" spans="1:49" ht="13.15" customHeight="1">
      <c r="A144" s="406" t="s">
        <v>502</v>
      </c>
      <c r="B144" s="294" t="s">
        <v>287</v>
      </c>
      <c r="C144" s="2449"/>
      <c r="D144" s="867">
        <f t="shared" si="8"/>
        <v>0.42290073595624156</v>
      </c>
      <c r="E144" s="629"/>
      <c r="F144" s="629"/>
      <c r="G144" s="629"/>
      <c r="H144" s="629"/>
      <c r="I144" s="2107" t="s">
        <v>2149</v>
      </c>
      <c r="J144" s="501">
        <f t="shared" si="9"/>
        <v>0.4260134005544996</v>
      </c>
      <c r="K144" s="629"/>
      <c r="L144" s="504" t="s">
        <v>287</v>
      </c>
      <c r="N144" s="163"/>
      <c r="O144" s="71"/>
      <c r="P144" s="72"/>
      <c r="Q144" s="2489"/>
      <c r="R144" s="2489"/>
      <c r="S144" s="2489"/>
      <c r="T144" s="2489"/>
      <c r="U144" s="2491"/>
      <c r="V144" s="163"/>
      <c r="W144" s="71"/>
      <c r="X144" s="72"/>
      <c r="Y144" s="2489"/>
      <c r="Z144" s="2489"/>
      <c r="AA144" s="2489"/>
      <c r="AB144" s="2489"/>
      <c r="AC144" s="1659"/>
      <c r="AD144" s="1659"/>
      <c r="AE144" s="1659"/>
      <c r="AF144" s="2489"/>
      <c r="AG144" s="2489"/>
      <c r="AH144" s="2958"/>
      <c r="AI144" s="2495"/>
      <c r="AJ144" s="2495"/>
    </row>
    <row r="145" spans="1:49" s="2477" customFormat="1">
      <c r="A145" s="652" t="s">
        <v>319</v>
      </c>
      <c r="B145" s="661" t="s">
        <v>278</v>
      </c>
      <c r="C145" s="2449"/>
      <c r="D145" s="866">
        <f t="shared" si="8"/>
        <v>0.37158673775730477</v>
      </c>
      <c r="E145" s="677"/>
      <c r="F145" s="677"/>
      <c r="G145" s="678" t="s">
        <v>368</v>
      </c>
      <c r="H145" s="678" t="s">
        <v>368</v>
      </c>
      <c r="I145" s="4093" t="s">
        <v>2131</v>
      </c>
      <c r="J145" s="681">
        <f t="shared" si="9"/>
        <v>0.33871396895787137</v>
      </c>
      <c r="K145" s="680" t="s">
        <v>796</v>
      </c>
      <c r="L145" s="504" t="s">
        <v>750</v>
      </c>
      <c r="N145" s="163"/>
      <c r="O145" s="71"/>
      <c r="P145" s="72"/>
      <c r="Q145" s="2489"/>
      <c r="R145" s="2489"/>
      <c r="S145" s="2489"/>
      <c r="T145" s="2489"/>
      <c r="U145" s="2491"/>
      <c r="V145" s="163"/>
      <c r="W145" s="71"/>
      <c r="X145" s="72"/>
      <c r="Y145" s="2489"/>
      <c r="Z145" s="2489"/>
      <c r="AA145" s="2489"/>
      <c r="AB145" s="2489"/>
      <c r="AC145" s="1659"/>
      <c r="AD145" s="1659"/>
      <c r="AE145" s="1659"/>
      <c r="AF145" s="2489"/>
      <c r="AG145" s="2489"/>
      <c r="AH145" s="2958"/>
      <c r="AI145" s="2495"/>
      <c r="AJ145" s="2495"/>
      <c r="AW145" s="2474"/>
    </row>
    <row r="146" spans="1:49">
      <c r="A146" s="838" t="s">
        <v>499</v>
      </c>
      <c r="B146" s="839" t="s">
        <v>284</v>
      </c>
      <c r="C146" s="2450"/>
      <c r="D146" s="868">
        <f t="shared" si="8"/>
        <v>0.34534166666666666</v>
      </c>
      <c r="E146" s="864" t="s">
        <v>914</v>
      </c>
      <c r="F146" s="634"/>
      <c r="G146" s="634" t="s">
        <v>368</v>
      </c>
      <c r="H146" s="634" t="s">
        <v>368</v>
      </c>
      <c r="I146" s="4094"/>
      <c r="J146" s="502">
        <f>E114</f>
        <v>0.34090000000000004</v>
      </c>
      <c r="K146" s="864" t="s">
        <v>914</v>
      </c>
      <c r="L146" s="840" t="s">
        <v>284</v>
      </c>
      <c r="N146" s="163"/>
      <c r="O146" s="71"/>
      <c r="P146" s="72"/>
      <c r="Q146" s="2489"/>
      <c r="R146" s="2489"/>
      <c r="S146" s="2489"/>
      <c r="T146" s="2489"/>
      <c r="U146" s="2491"/>
      <c r="V146" s="163"/>
      <c r="W146" s="71"/>
      <c r="X146" s="72"/>
      <c r="Y146" s="2489"/>
      <c r="Z146" s="2489"/>
      <c r="AA146" s="2489"/>
      <c r="AB146" s="2489"/>
      <c r="AC146" s="1659"/>
      <c r="AD146" s="1659"/>
      <c r="AE146" s="1659"/>
      <c r="AF146" s="2489"/>
      <c r="AG146" s="2489"/>
      <c r="AH146" s="2958"/>
      <c r="AI146" s="2495"/>
      <c r="AJ146" s="2501"/>
    </row>
    <row r="147" spans="1:49" ht="13.9" customHeight="1">
      <c r="A147" s="406" t="s">
        <v>504</v>
      </c>
      <c r="B147" s="294" t="s">
        <v>288</v>
      </c>
      <c r="C147" s="2449"/>
      <c r="D147" s="867">
        <f t="shared" si="8"/>
        <v>0.32615050588405037</v>
      </c>
      <c r="E147" s="636" t="s">
        <v>797</v>
      </c>
      <c r="F147" s="629"/>
      <c r="G147" s="628" t="s">
        <v>368</v>
      </c>
      <c r="H147" s="628" t="s">
        <v>368</v>
      </c>
      <c r="I147" s="4094"/>
      <c r="J147" s="501">
        <f t="shared" si="9"/>
        <v>0.30985103942866765</v>
      </c>
      <c r="K147" s="637" t="s">
        <v>798</v>
      </c>
      <c r="L147" s="504" t="s">
        <v>288</v>
      </c>
      <c r="N147" s="862"/>
      <c r="O147" s="863"/>
      <c r="P147" s="841"/>
      <c r="Q147" s="842"/>
      <c r="R147" s="842"/>
      <c r="S147" s="842"/>
      <c r="T147" s="842"/>
      <c r="U147" s="861"/>
      <c r="V147" s="862"/>
      <c r="W147" s="863"/>
      <c r="X147" s="841"/>
      <c r="Y147" s="842"/>
      <c r="Z147" s="842"/>
      <c r="AA147" s="842"/>
      <c r="AB147" s="842"/>
      <c r="AC147" s="3049"/>
      <c r="AD147" s="3049"/>
      <c r="AE147" s="3049"/>
      <c r="AF147" s="842"/>
      <c r="AG147" s="842"/>
      <c r="AH147" s="842"/>
      <c r="AI147" s="2501"/>
      <c r="AJ147" s="2495"/>
    </row>
    <row r="148" spans="1:49" ht="13.15" customHeight="1">
      <c r="A148" s="406" t="s">
        <v>539</v>
      </c>
      <c r="B148" s="294" t="s">
        <v>39</v>
      </c>
      <c r="C148" s="2449"/>
      <c r="D148" s="867">
        <f t="shared" si="8"/>
        <v>0.31054928118178421</v>
      </c>
      <c r="E148" s="637" t="s">
        <v>798</v>
      </c>
      <c r="F148" s="628" t="s">
        <v>368</v>
      </c>
      <c r="G148" s="629"/>
      <c r="H148" s="628" t="s">
        <v>368</v>
      </c>
      <c r="I148" s="4093" t="s">
        <v>2150</v>
      </c>
      <c r="J148" s="501">
        <f t="shared" si="9"/>
        <v>0.28165979767703259</v>
      </c>
      <c r="K148" s="628" t="s">
        <v>368</v>
      </c>
      <c r="L148" s="504" t="s">
        <v>39</v>
      </c>
      <c r="N148" s="163"/>
      <c r="O148" s="71"/>
      <c r="P148" s="72"/>
      <c r="Q148" s="2489"/>
      <c r="R148" s="2489"/>
      <c r="S148" s="2489"/>
      <c r="T148" s="2489"/>
      <c r="U148" s="2491"/>
      <c r="V148" s="163"/>
      <c r="W148" s="71"/>
      <c r="X148" s="72"/>
      <c r="Y148" s="2489"/>
      <c r="Z148" s="2489"/>
      <c r="AA148" s="2489"/>
      <c r="AB148" s="2489"/>
      <c r="AC148" s="1659"/>
      <c r="AD148" s="1659"/>
      <c r="AE148" s="1659"/>
      <c r="AF148" s="2489"/>
      <c r="AG148" s="2489"/>
      <c r="AH148" s="2958"/>
      <c r="AI148" s="2495"/>
      <c r="AJ148" s="2495"/>
    </row>
    <row r="149" spans="1:49">
      <c r="A149" s="406" t="s">
        <v>19</v>
      </c>
      <c r="B149" s="294" t="s">
        <v>285</v>
      </c>
      <c r="C149" s="2449"/>
      <c r="D149" s="867">
        <f t="shared" si="8"/>
        <v>9.1630231095150338E-2</v>
      </c>
      <c r="E149" s="628" t="s">
        <v>368</v>
      </c>
      <c r="F149" s="628" t="s">
        <v>368</v>
      </c>
      <c r="G149" s="629"/>
      <c r="H149" s="629"/>
      <c r="I149" s="4094"/>
      <c r="J149" s="501">
        <f t="shared" si="9"/>
        <v>0.32841368754782985</v>
      </c>
      <c r="K149" s="628" t="s">
        <v>368</v>
      </c>
      <c r="L149" s="504" t="s">
        <v>285</v>
      </c>
      <c r="N149" s="2489"/>
      <c r="O149" s="71"/>
      <c r="P149" s="72"/>
      <c r="Q149" s="2489"/>
      <c r="R149" s="2489"/>
      <c r="S149" s="2489"/>
      <c r="T149" s="2489"/>
      <c r="U149" s="2491"/>
      <c r="V149" s="163"/>
      <c r="W149" s="71"/>
      <c r="X149" s="72"/>
      <c r="Y149" s="2489"/>
      <c r="Z149" s="2489"/>
      <c r="AA149" s="2489"/>
      <c r="AB149" s="2489"/>
      <c r="AC149" s="1659"/>
      <c r="AD149" s="1659"/>
      <c r="AE149" s="1659"/>
      <c r="AF149" s="2489"/>
      <c r="AG149" s="2489"/>
      <c r="AH149" s="2958"/>
      <c r="AI149" s="2495"/>
      <c r="AJ149" s="2495"/>
    </row>
    <row r="150" spans="1:49" ht="13.15" customHeight="1">
      <c r="A150" s="652" t="s">
        <v>319</v>
      </c>
      <c r="B150" s="661" t="s">
        <v>281</v>
      </c>
      <c r="C150" s="2449"/>
      <c r="D150" s="866">
        <f t="shared" si="8"/>
        <v>6.4385445236561381E-2</v>
      </c>
      <c r="E150" s="678" t="s">
        <v>368</v>
      </c>
      <c r="F150" s="678"/>
      <c r="G150" s="677"/>
      <c r="H150" s="677"/>
      <c r="I150" s="3172" t="s">
        <v>2151</v>
      </c>
      <c r="J150" s="681">
        <f t="shared" si="9"/>
        <v>0.14257620452310718</v>
      </c>
      <c r="K150" s="678" t="s">
        <v>368</v>
      </c>
      <c r="L150" s="504" t="s">
        <v>752</v>
      </c>
      <c r="N150" s="2489"/>
      <c r="O150" s="71"/>
      <c r="P150" s="72"/>
      <c r="Q150" s="2489"/>
      <c r="R150" s="2489"/>
      <c r="S150" s="2489"/>
      <c r="T150" s="2489"/>
      <c r="U150" s="2491"/>
      <c r="V150" s="163"/>
      <c r="W150" s="71"/>
      <c r="X150" s="72"/>
      <c r="Y150" s="2489"/>
      <c r="Z150" s="2489"/>
      <c r="AA150" s="2489"/>
      <c r="AB150" s="2489"/>
      <c r="AC150" s="1659"/>
      <c r="AD150" s="1659"/>
      <c r="AE150" s="1659"/>
      <c r="AF150" s="2489"/>
      <c r="AG150" s="2489"/>
      <c r="AH150" s="2958"/>
      <c r="AI150" s="2495"/>
      <c r="AJ150" s="2495"/>
    </row>
    <row r="151" spans="1:49">
      <c r="A151" s="406" t="s">
        <v>32</v>
      </c>
      <c r="B151" s="294" t="s">
        <v>50</v>
      </c>
      <c r="C151" s="2449"/>
      <c r="D151" s="867">
        <f t="shared" si="8"/>
        <v>0</v>
      </c>
      <c r="E151" s="630" t="s">
        <v>368</v>
      </c>
      <c r="F151" s="630" t="s">
        <v>368</v>
      </c>
      <c r="G151" s="630" t="s">
        <v>368</v>
      </c>
      <c r="H151" s="630" t="s">
        <v>368</v>
      </c>
      <c r="I151" s="1299" t="s">
        <v>950</v>
      </c>
      <c r="J151" s="501">
        <f t="shared" si="9"/>
        <v>0</v>
      </c>
      <c r="K151" s="630" t="s">
        <v>368</v>
      </c>
      <c r="L151" s="504" t="s">
        <v>50</v>
      </c>
      <c r="N151" s="2489"/>
      <c r="O151" s="71"/>
      <c r="P151" s="72"/>
      <c r="Q151" s="2489"/>
      <c r="R151" s="2489"/>
      <c r="S151" s="2489"/>
      <c r="T151" s="2489"/>
      <c r="U151" s="2491"/>
      <c r="V151" s="163"/>
      <c r="W151" s="71"/>
      <c r="X151" s="72"/>
      <c r="Y151" s="2489"/>
      <c r="Z151" s="2489"/>
      <c r="AA151" s="2489"/>
      <c r="AB151" s="2489"/>
      <c r="AC151" s="1659"/>
      <c r="AD151" s="1659"/>
      <c r="AE151" s="1659"/>
      <c r="AF151" s="2489"/>
      <c r="AG151" s="2489"/>
      <c r="AH151" s="2958"/>
      <c r="AI151" s="2495"/>
      <c r="AJ151" s="2495"/>
    </row>
    <row r="152" spans="1:49" ht="25.5">
      <c r="A152" s="76"/>
      <c r="B152" s="82"/>
      <c r="C152" s="2435"/>
      <c r="D152" s="987"/>
      <c r="E152" s="988"/>
      <c r="F152" s="988"/>
      <c r="G152" s="988"/>
      <c r="H152" s="988"/>
      <c r="I152" s="2108" t="s">
        <v>2226</v>
      </c>
      <c r="J152" s="986"/>
      <c r="K152" s="1914"/>
      <c r="L152" s="504"/>
      <c r="M152" s="2440"/>
      <c r="N152" s="2489"/>
      <c r="O152" s="71"/>
      <c r="P152" s="72"/>
      <c r="Q152" s="2489"/>
      <c r="R152" s="2489"/>
      <c r="S152" s="2489"/>
      <c r="T152" s="2489"/>
      <c r="U152" s="2491"/>
      <c r="V152" s="163"/>
      <c r="W152" s="71"/>
      <c r="X152" s="72"/>
      <c r="Y152" s="2489"/>
      <c r="Z152" s="2489"/>
      <c r="AA152" s="2489"/>
      <c r="AB152" s="3048" t="s">
        <v>787</v>
      </c>
      <c r="AC152" s="1659"/>
      <c r="AD152" s="1659"/>
      <c r="AE152" s="1659"/>
      <c r="AF152" s="2489"/>
      <c r="AG152" s="2489"/>
      <c r="AH152" s="2958"/>
      <c r="AI152" s="2495"/>
      <c r="AJ152" s="2495"/>
    </row>
    <row r="153" spans="1:49" ht="13.15" customHeight="1">
      <c r="A153" s="643" t="s">
        <v>956</v>
      </c>
      <c r="B153" s="1387" t="s">
        <v>1491</v>
      </c>
      <c r="C153" s="2451"/>
      <c r="D153" s="645"/>
      <c r="E153" s="1919"/>
      <c r="F153" s="1919"/>
      <c r="G153" s="1919" t="s">
        <v>55</v>
      </c>
      <c r="H153" s="1919"/>
      <c r="I153" s="1920" t="s">
        <v>986</v>
      </c>
      <c r="J153" s="4060" t="s">
        <v>2227</v>
      </c>
      <c r="K153" s="4113"/>
      <c r="L153" s="1917"/>
      <c r="M153" s="2482"/>
      <c r="N153" s="2489"/>
      <c r="O153" s="1918"/>
      <c r="P153" s="2493"/>
      <c r="Q153" s="2489"/>
      <c r="R153" s="2489"/>
      <c r="S153" s="2489"/>
      <c r="T153" s="2489"/>
      <c r="U153" s="2489"/>
      <c r="V153" s="2489"/>
      <c r="W153" s="2489"/>
      <c r="X153" s="2489"/>
      <c r="Y153" s="2489"/>
      <c r="Z153" s="2489"/>
      <c r="AA153" s="2489"/>
      <c r="AB153" s="2489"/>
      <c r="AC153" s="2489"/>
      <c r="AD153" s="2489"/>
      <c r="AE153" s="2489"/>
      <c r="AF153" s="2489"/>
      <c r="AG153" s="2489"/>
      <c r="AH153" s="2958"/>
      <c r="AI153" s="2495"/>
      <c r="AJ153" s="2495"/>
    </row>
    <row r="154" spans="1:49" ht="13.15" customHeight="1">
      <c r="A154" s="643" t="s">
        <v>498</v>
      </c>
      <c r="B154" s="1387" t="s">
        <v>801</v>
      </c>
      <c r="C154" s="2451"/>
      <c r="D154" s="645"/>
      <c r="E154" s="1919"/>
      <c r="F154" s="1919"/>
      <c r="G154" s="1919"/>
      <c r="H154" s="1919" t="s">
        <v>55</v>
      </c>
      <c r="I154" s="1921" t="s">
        <v>951</v>
      </c>
      <c r="J154" s="4056"/>
      <c r="K154" s="4096"/>
      <c r="L154" s="1917"/>
      <c r="M154" s="2482"/>
      <c r="N154" s="2527"/>
      <c r="O154" s="2495"/>
      <c r="P154" s="2495"/>
      <c r="Q154" s="2495"/>
      <c r="R154" s="2495"/>
      <c r="S154" s="2495"/>
      <c r="T154" s="2495"/>
      <c r="U154" s="2495"/>
      <c r="V154" s="2495"/>
      <c r="W154" s="2495"/>
      <c r="X154" s="2495"/>
      <c r="Y154" s="2495"/>
      <c r="Z154" s="2495"/>
      <c r="AA154" s="2495"/>
      <c r="AB154" s="2495"/>
      <c r="AC154" s="2495"/>
      <c r="AD154" s="2495"/>
      <c r="AE154" s="2495"/>
      <c r="AF154" s="2495"/>
      <c r="AG154" s="2495"/>
      <c r="AH154" s="2495"/>
      <c r="AI154" s="2495"/>
      <c r="AJ154" s="2495"/>
    </row>
    <row r="155" spans="1:49" ht="13.15" customHeight="1">
      <c r="A155" s="643" t="s">
        <v>498</v>
      </c>
      <c r="B155" s="1387" t="s">
        <v>1492</v>
      </c>
      <c r="C155" s="2451"/>
      <c r="D155" s="645"/>
      <c r="E155" s="1919"/>
      <c r="F155" s="1919"/>
      <c r="G155" s="1919"/>
      <c r="H155" s="1919" t="s">
        <v>55</v>
      </c>
      <c r="I155" s="1921" t="s">
        <v>951</v>
      </c>
      <c r="J155" s="4056"/>
      <c r="K155" s="4096"/>
      <c r="L155" s="1917"/>
      <c r="M155" s="2482"/>
      <c r="N155" s="2527"/>
      <c r="O155" s="2507"/>
      <c r="P155" s="2495"/>
      <c r="Q155" s="2495"/>
      <c r="R155" s="2495"/>
      <c r="S155" s="2495"/>
      <c r="T155" s="2495"/>
      <c r="U155" s="2495"/>
      <c r="V155" s="2495"/>
      <c r="W155" s="2495"/>
      <c r="X155" s="2495"/>
      <c r="Y155" s="2495"/>
      <c r="Z155" s="2495"/>
      <c r="AA155" s="2495"/>
      <c r="AB155" s="2495"/>
      <c r="AC155" s="2495"/>
      <c r="AD155" s="2495"/>
      <c r="AE155" s="2495"/>
      <c r="AF155" s="2495"/>
      <c r="AG155" s="2495"/>
      <c r="AH155" s="2495"/>
      <c r="AI155" s="2495"/>
      <c r="AJ155" s="2495"/>
    </row>
    <row r="156" spans="1:49" ht="13.15" customHeight="1">
      <c r="A156" s="643" t="s">
        <v>32</v>
      </c>
      <c r="B156" s="1387" t="s">
        <v>802</v>
      </c>
      <c r="C156" s="2451"/>
      <c r="D156" s="645"/>
      <c r="E156" s="1919"/>
      <c r="F156" s="1919"/>
      <c r="G156" s="1919"/>
      <c r="H156" s="1919" t="s">
        <v>55</v>
      </c>
      <c r="I156" s="1922" t="s">
        <v>957</v>
      </c>
      <c r="J156" s="2110" t="s">
        <v>1666</v>
      </c>
      <c r="K156" s="2111"/>
      <c r="L156" s="1917"/>
      <c r="M156" s="2482"/>
      <c r="N156" s="2527"/>
      <c r="O156" s="2507"/>
      <c r="P156" s="2495"/>
      <c r="Q156" s="2495"/>
      <c r="R156" s="2495"/>
      <c r="S156" s="2495"/>
      <c r="T156" s="2495"/>
      <c r="U156" s="2495"/>
      <c r="V156" s="2495"/>
      <c r="W156" s="2495"/>
      <c r="X156" s="2495"/>
      <c r="Y156" s="2495"/>
      <c r="Z156" s="2495"/>
      <c r="AA156" s="2495"/>
      <c r="AB156" s="2495"/>
      <c r="AC156" s="2495"/>
      <c r="AD156" s="2495"/>
      <c r="AE156" s="2495"/>
      <c r="AF156" s="2495"/>
      <c r="AG156" s="2495"/>
      <c r="AH156" s="2495"/>
      <c r="AI156" s="2495"/>
      <c r="AJ156" s="2495"/>
    </row>
    <row r="157" spans="1:49" ht="13.15" customHeight="1">
      <c r="A157" s="643" t="s">
        <v>803</v>
      </c>
      <c r="B157" s="1387" t="s">
        <v>804</v>
      </c>
      <c r="C157" s="2451"/>
      <c r="D157" s="645"/>
      <c r="E157" s="1919"/>
      <c r="F157" s="1919"/>
      <c r="G157" s="1919"/>
      <c r="H157" s="1919" t="s">
        <v>368</v>
      </c>
      <c r="I157" s="1922" t="s">
        <v>955</v>
      </c>
      <c r="J157" s="4056" t="s">
        <v>2228</v>
      </c>
      <c r="K157" s="4096"/>
      <c r="L157" s="1917"/>
      <c r="M157" s="2482"/>
      <c r="N157" s="2527"/>
      <c r="O157" s="2507"/>
      <c r="P157" s="2495"/>
      <c r="Q157" s="2495"/>
      <c r="R157" s="2495"/>
      <c r="S157" s="2495"/>
      <c r="T157" s="2495"/>
      <c r="U157" s="2495"/>
      <c r="V157" s="2495"/>
      <c r="W157" s="2495"/>
      <c r="X157" s="2495"/>
      <c r="Y157" s="2495"/>
      <c r="Z157" s="2495"/>
      <c r="AA157" s="2495"/>
      <c r="AB157" s="2495"/>
      <c r="AC157" s="2495"/>
      <c r="AD157" s="2495"/>
      <c r="AE157" s="2495"/>
      <c r="AF157" s="2495"/>
      <c r="AG157" s="2495"/>
      <c r="AH157" s="2495"/>
      <c r="AI157" s="2495"/>
      <c r="AJ157" s="2495"/>
    </row>
    <row r="158" spans="1:49">
      <c r="A158" s="643" t="s">
        <v>803</v>
      </c>
      <c r="B158" s="1387" t="s">
        <v>805</v>
      </c>
      <c r="C158" s="2451"/>
      <c r="D158" s="645"/>
      <c r="E158" s="1919"/>
      <c r="F158" s="1919"/>
      <c r="G158" s="1919"/>
      <c r="H158" s="1919" t="s">
        <v>368</v>
      </c>
      <c r="I158" s="1922" t="s">
        <v>953</v>
      </c>
      <c r="J158" s="4056"/>
      <c r="K158" s="4096"/>
      <c r="L158" s="1917"/>
      <c r="M158" s="2482"/>
      <c r="N158" s="2527"/>
      <c r="O158" s="2507"/>
      <c r="P158" s="2495"/>
      <c r="Q158" s="2495"/>
      <c r="R158" s="2495"/>
      <c r="S158" s="2495"/>
      <c r="T158" s="2495"/>
      <c r="U158" s="2495"/>
      <c r="V158" s="2495"/>
      <c r="W158" s="2495"/>
      <c r="X158" s="2495"/>
      <c r="Y158" s="2495"/>
      <c r="Z158" s="2495"/>
      <c r="AA158" s="2495"/>
      <c r="AB158" s="2495"/>
      <c r="AC158" s="2495"/>
      <c r="AD158" s="2495"/>
      <c r="AE158" s="2495"/>
      <c r="AF158" s="2495"/>
      <c r="AG158" s="2495"/>
      <c r="AH158" s="2495"/>
      <c r="AI158" s="2495"/>
      <c r="AJ158" s="2495"/>
    </row>
    <row r="159" spans="1:49">
      <c r="A159" s="643" t="s">
        <v>803</v>
      </c>
      <c r="B159" s="1387" t="s">
        <v>806</v>
      </c>
      <c r="C159" s="2451"/>
      <c r="D159" s="645"/>
      <c r="E159" s="1919"/>
      <c r="F159" s="1919"/>
      <c r="G159" s="1919"/>
      <c r="H159" s="1919" t="s">
        <v>368</v>
      </c>
      <c r="I159" s="1922" t="s">
        <v>954</v>
      </c>
      <c r="J159" s="4056"/>
      <c r="K159" s="4096"/>
      <c r="L159" s="1917"/>
      <c r="M159" s="2482"/>
      <c r="N159" s="2527"/>
      <c r="O159" s="2507"/>
      <c r="P159" s="2495"/>
      <c r="Q159" s="2495"/>
      <c r="R159" s="2495"/>
      <c r="S159" s="2495"/>
      <c r="T159" s="2495"/>
      <c r="U159" s="2495"/>
      <c r="V159" s="2495"/>
      <c r="W159" s="2495"/>
      <c r="X159" s="2495"/>
      <c r="Y159" s="2495"/>
      <c r="Z159" s="2495"/>
      <c r="AA159" s="2495"/>
      <c r="AB159" s="2495"/>
      <c r="AC159" s="2495"/>
      <c r="AD159" s="2495"/>
      <c r="AE159" s="2495"/>
      <c r="AF159" s="2495"/>
      <c r="AG159" s="2495"/>
      <c r="AH159" s="2495"/>
      <c r="AI159" s="2495"/>
      <c r="AJ159" s="2495"/>
    </row>
    <row r="160" spans="1:49">
      <c r="A160" s="643" t="s">
        <v>803</v>
      </c>
      <c r="B160" s="1387" t="s">
        <v>1493</v>
      </c>
      <c r="C160" s="2451"/>
      <c r="D160" s="645"/>
      <c r="E160" s="1919"/>
      <c r="F160" s="1919"/>
      <c r="G160" s="1919"/>
      <c r="H160" s="1919" t="s">
        <v>368</v>
      </c>
      <c r="I160" s="1922" t="s">
        <v>954</v>
      </c>
      <c r="J160" s="4056"/>
      <c r="K160" s="4096"/>
      <c r="L160" s="1918"/>
      <c r="M160" s="2482"/>
      <c r="N160" s="2527"/>
      <c r="O160" s="2507"/>
      <c r="P160" s="2495"/>
      <c r="Q160" s="2495"/>
      <c r="R160" s="2495"/>
      <c r="S160" s="2495"/>
      <c r="T160" s="2495"/>
      <c r="U160" s="2495"/>
      <c r="V160" s="2495"/>
      <c r="W160" s="2495"/>
      <c r="X160" s="2495"/>
      <c r="Y160" s="2495"/>
      <c r="Z160" s="2495"/>
      <c r="AA160" s="2495"/>
      <c r="AB160" s="2495"/>
      <c r="AC160" s="2495"/>
      <c r="AD160" s="2495"/>
      <c r="AE160" s="2495"/>
      <c r="AF160" s="2495"/>
      <c r="AG160" s="2495"/>
      <c r="AH160" s="2495"/>
      <c r="AI160" s="2495"/>
      <c r="AJ160" s="2495"/>
    </row>
    <row r="161" spans="1:49">
      <c r="A161" s="643" t="s">
        <v>807</v>
      </c>
      <c r="B161" s="1387" t="s">
        <v>808</v>
      </c>
      <c r="C161" s="2451"/>
      <c r="D161" s="645"/>
      <c r="E161" s="1919"/>
      <c r="F161" s="1919"/>
      <c r="G161" s="1919"/>
      <c r="H161" s="1919" t="s">
        <v>368</v>
      </c>
      <c r="I161" s="1921" t="s">
        <v>952</v>
      </c>
      <c r="J161" s="4058"/>
      <c r="K161" s="4097"/>
      <c r="L161" s="1918"/>
      <c r="M161" s="2482"/>
      <c r="N161" s="2527"/>
      <c r="O161" s="2507"/>
      <c r="P161" s="2495"/>
      <c r="Q161" s="2495"/>
      <c r="R161" s="2495"/>
      <c r="S161" s="2495"/>
      <c r="T161" s="2495"/>
      <c r="U161" s="2495"/>
      <c r="V161" s="2495"/>
      <c r="W161" s="2495"/>
      <c r="X161" s="2495"/>
      <c r="Y161" s="2495"/>
      <c r="Z161" s="2495"/>
      <c r="AA161" s="2495"/>
      <c r="AB161" s="2495"/>
      <c r="AC161" s="2495"/>
      <c r="AD161" s="2495"/>
      <c r="AE161" s="2495"/>
      <c r="AF161" s="2495"/>
      <c r="AG161" s="2495"/>
      <c r="AH161" s="2495"/>
      <c r="AI161" s="2495"/>
      <c r="AJ161" s="2495"/>
    </row>
    <row r="162" spans="1:49" ht="13.15" customHeight="1">
      <c r="A162" s="643" t="s">
        <v>501</v>
      </c>
      <c r="B162" s="1387" t="s">
        <v>809</v>
      </c>
      <c r="C162" s="2451"/>
      <c r="D162" s="645"/>
      <c r="E162" s="1919"/>
      <c r="F162" s="1919"/>
      <c r="G162" s="1919"/>
      <c r="H162" s="1919" t="s">
        <v>368</v>
      </c>
      <c r="I162" s="4098" t="s">
        <v>2152</v>
      </c>
      <c r="J162" s="4098"/>
      <c r="K162" s="4098"/>
      <c r="L162" s="71"/>
      <c r="M162" s="2467"/>
      <c r="N162" s="2508"/>
      <c r="O162" s="2507"/>
      <c r="P162" s="2495"/>
      <c r="Q162" s="2495"/>
      <c r="R162" s="2495"/>
      <c r="S162" s="2495"/>
      <c r="T162" s="2495"/>
      <c r="U162" s="2495"/>
      <c r="V162" s="2495"/>
      <c r="W162" s="2495"/>
      <c r="X162" s="2495"/>
      <c r="Y162" s="2495"/>
      <c r="Z162" s="2495"/>
      <c r="AA162" s="2495"/>
      <c r="AB162" s="2495"/>
      <c r="AC162" s="2495"/>
      <c r="AD162" s="2495"/>
      <c r="AE162" s="2495"/>
      <c r="AF162" s="2495"/>
      <c r="AG162" s="2495"/>
      <c r="AH162" s="2495"/>
      <c r="AI162" s="2495"/>
      <c r="AJ162" s="2495"/>
    </row>
    <row r="163" spans="1:49">
      <c r="A163" s="642"/>
      <c r="B163" s="1331"/>
      <c r="D163" s="151"/>
      <c r="E163" s="151"/>
      <c r="F163" s="151"/>
      <c r="G163" s="151"/>
      <c r="H163" s="151"/>
      <c r="I163" s="160"/>
      <c r="J163" s="160"/>
      <c r="K163" s="163"/>
      <c r="L163" s="71"/>
      <c r="M163" s="2467"/>
      <c r="N163" s="2508"/>
      <c r="O163" s="2507"/>
      <c r="P163" s="2495"/>
      <c r="Q163" s="2495"/>
      <c r="R163" s="2495"/>
      <c r="S163" s="2495"/>
      <c r="T163" s="2495"/>
      <c r="U163" s="2495"/>
      <c r="V163" s="2495"/>
      <c r="W163" s="2495"/>
      <c r="X163" s="2495"/>
      <c r="Y163" s="2495"/>
      <c r="Z163" s="2495"/>
      <c r="AA163" s="2495"/>
      <c r="AB163" s="2495"/>
      <c r="AC163" s="2495"/>
      <c r="AD163" s="2495"/>
      <c r="AE163" s="2495"/>
      <c r="AF163" s="2495"/>
      <c r="AG163" s="2495"/>
      <c r="AH163" s="2495"/>
      <c r="AI163" s="2495"/>
      <c r="AJ163" s="2495"/>
    </row>
    <row r="164" spans="1:49" s="2495" customFormat="1" ht="3" customHeight="1">
      <c r="A164" s="2548"/>
      <c r="B164" s="2535"/>
      <c r="C164" s="2517"/>
      <c r="I164" s="2549"/>
      <c r="J164" s="2549"/>
      <c r="K164" s="2550"/>
      <c r="L164" s="2508"/>
      <c r="M164" s="2507"/>
      <c r="AW164" s="2496"/>
    </row>
    <row r="165" spans="1:49" s="2478" customFormat="1">
      <c r="A165" s="3052"/>
      <c r="B165" s="2093"/>
      <c r="C165" s="2443"/>
      <c r="D165" s="1674"/>
      <c r="E165" s="1674"/>
      <c r="F165" s="1674"/>
      <c r="G165" s="1674"/>
      <c r="H165" s="1674"/>
      <c r="I165" s="1675"/>
      <c r="J165" s="1675"/>
      <c r="K165" s="1676"/>
      <c r="L165" s="1677"/>
      <c r="M165" s="2480"/>
      <c r="N165" s="2528"/>
      <c r="O165" s="2529"/>
      <c r="P165" s="2502"/>
      <c r="Q165" s="2502"/>
      <c r="R165" s="2502"/>
      <c r="S165" s="2502"/>
      <c r="T165" s="2502"/>
      <c r="U165" s="2502"/>
      <c r="V165" s="2502"/>
      <c r="W165" s="2502"/>
      <c r="X165" s="2502"/>
      <c r="Y165" s="2502"/>
      <c r="Z165" s="2502"/>
      <c r="AA165" s="2502"/>
      <c r="AB165" s="2502"/>
      <c r="AC165" s="2502"/>
      <c r="AD165" s="2502"/>
      <c r="AE165" s="2502"/>
      <c r="AF165" s="2502"/>
      <c r="AG165" s="2502"/>
      <c r="AH165" s="2502"/>
      <c r="AI165" s="2502"/>
      <c r="AJ165" s="2502"/>
      <c r="AW165" s="2443"/>
    </row>
    <row r="166" spans="1:49" s="2478" customFormat="1" ht="12.75" customHeight="1">
      <c r="A166" s="3053" t="s">
        <v>2178</v>
      </c>
      <c r="B166" s="3054"/>
      <c r="C166" s="2443"/>
      <c r="D166" s="4158" t="s">
        <v>2220</v>
      </c>
      <c r="E166" s="4158"/>
      <c r="F166" s="4158"/>
      <c r="G166" s="4158"/>
      <c r="H166" s="4158"/>
      <c r="I166" s="4158"/>
      <c r="J166" s="3028"/>
      <c r="K166" s="3028"/>
      <c r="L166" s="3028"/>
      <c r="M166" s="2437"/>
      <c r="N166" s="2507"/>
      <c r="O166" s="2507"/>
      <c r="P166" s="2507"/>
      <c r="Q166" s="3057"/>
      <c r="R166" s="2507"/>
      <c r="S166" s="2502"/>
      <c r="T166" s="2502"/>
      <c r="U166" s="2502"/>
      <c r="V166" s="2502"/>
      <c r="W166" s="2502"/>
      <c r="X166" s="2502"/>
      <c r="Y166" s="2502"/>
      <c r="Z166" s="2502"/>
      <c r="AA166" s="2502"/>
      <c r="AB166" s="2502"/>
      <c r="AC166" s="2502"/>
      <c r="AD166" s="2502"/>
      <c r="AE166" s="2502"/>
      <c r="AF166" s="2502"/>
      <c r="AG166" s="2502"/>
      <c r="AH166" s="2502"/>
      <c r="AI166" s="2502"/>
      <c r="AJ166" s="2502"/>
      <c r="AW166" s="2443"/>
    </row>
    <row r="167" spans="1:49" s="2478" customFormat="1">
      <c r="A167" s="3052"/>
      <c r="B167" s="2093"/>
      <c r="C167" s="2443"/>
      <c r="D167" s="4158"/>
      <c r="E167" s="4158"/>
      <c r="F167" s="4158"/>
      <c r="G167" s="4158"/>
      <c r="H167" s="4158"/>
      <c r="I167" s="4158"/>
      <c r="J167" s="3028"/>
      <c r="K167" s="3028"/>
      <c r="L167" s="3028"/>
      <c r="M167" s="2437"/>
      <c r="N167" s="2507"/>
      <c r="O167" s="2507"/>
      <c r="P167" s="2507"/>
      <c r="Q167" s="2507"/>
      <c r="R167" s="2507"/>
      <c r="S167" s="2502"/>
      <c r="T167" s="2502"/>
      <c r="U167" s="2502"/>
      <c r="V167" s="2502"/>
      <c r="W167" s="2502"/>
      <c r="X167" s="2502"/>
      <c r="Y167" s="2502"/>
      <c r="Z167" s="2502"/>
      <c r="AA167" s="2502"/>
      <c r="AB167" s="2502"/>
      <c r="AC167" s="2502"/>
      <c r="AD167" s="2502"/>
      <c r="AE167" s="2502"/>
      <c r="AF167" s="2502"/>
      <c r="AG167" s="2502"/>
      <c r="AH167" s="2502"/>
      <c r="AI167" s="2502"/>
      <c r="AJ167" s="2502"/>
      <c r="AW167" s="2443"/>
    </row>
    <row r="168" spans="1:49" s="2478" customFormat="1">
      <c r="A168" s="3052"/>
      <c r="B168" s="2093"/>
      <c r="C168" s="2443"/>
      <c r="D168" s="3124" t="s">
        <v>2160</v>
      </c>
      <c r="E168" s="3124"/>
      <c r="F168" s="3124"/>
      <c r="G168" s="3124"/>
      <c r="H168" s="3124"/>
      <c r="I168" s="3124"/>
      <c r="J168" s="3040"/>
      <c r="K168" s="901"/>
      <c r="L168" s="71"/>
      <c r="M168" s="2437"/>
      <c r="N168" s="2507"/>
      <c r="O168" s="2507"/>
      <c r="P168" s="2507"/>
      <c r="Q168" s="2507"/>
      <c r="R168" s="2507"/>
      <c r="S168" s="2502"/>
      <c r="T168" s="2502"/>
      <c r="U168" s="2502"/>
      <c r="V168" s="2502"/>
      <c r="W168" s="2502"/>
      <c r="X168" s="2502"/>
      <c r="Y168" s="2502"/>
      <c r="Z168" s="2502"/>
      <c r="AA168" s="2502"/>
      <c r="AB168" s="2502"/>
      <c r="AC168" s="2502"/>
      <c r="AD168" s="2502"/>
      <c r="AE168" s="2502"/>
      <c r="AF168" s="2502"/>
      <c r="AG168" s="2502"/>
      <c r="AH168" s="2502"/>
      <c r="AI168" s="2502"/>
      <c r="AJ168" s="2502"/>
      <c r="AW168" s="2443"/>
    </row>
    <row r="169" spans="1:49" s="2478" customFormat="1">
      <c r="A169" s="3052"/>
      <c r="B169" s="2093"/>
      <c r="C169" s="2443"/>
      <c r="D169" s="1302"/>
      <c r="E169" s="2958"/>
      <c r="F169" s="2958"/>
      <c r="G169" s="2958"/>
      <c r="H169" s="2958"/>
      <c r="I169" s="2958"/>
      <c r="J169" s="901"/>
      <c r="K169" s="901"/>
      <c r="L169" s="71"/>
      <c r="M169" s="2437"/>
      <c r="N169" s="2507"/>
      <c r="O169" s="2507"/>
      <c r="P169" s="2507"/>
      <c r="Q169" s="2507"/>
      <c r="R169" s="2507"/>
      <c r="S169" s="2502"/>
      <c r="T169" s="2502"/>
      <c r="U169" s="2502"/>
      <c r="V169" s="2502"/>
      <c r="W169" s="2502"/>
      <c r="X169" s="2502"/>
      <c r="Y169" s="2502"/>
      <c r="Z169" s="2502"/>
      <c r="AA169" s="2502"/>
      <c r="AB169" s="2502"/>
      <c r="AC169" s="2502"/>
      <c r="AD169" s="2502"/>
      <c r="AE169" s="2502"/>
      <c r="AF169" s="2502"/>
      <c r="AG169" s="2502"/>
      <c r="AH169" s="2502"/>
      <c r="AI169" s="2502"/>
      <c r="AJ169" s="2502"/>
      <c r="AW169" s="2443"/>
    </row>
    <row r="170" spans="1:49" s="2478" customFormat="1">
      <c r="A170" s="3052"/>
      <c r="B170" s="2093"/>
      <c r="C170" s="2443"/>
      <c r="D170" s="1659"/>
      <c r="E170" s="1659"/>
      <c r="F170" s="1659"/>
      <c r="G170" s="1659"/>
      <c r="H170" s="1659"/>
      <c r="I170" s="1659"/>
      <c r="J170" s="4054" t="s">
        <v>1922</v>
      </c>
      <c r="K170" s="4054"/>
      <c r="L170" s="4054"/>
      <c r="M170" s="2437"/>
      <c r="N170" s="2529"/>
      <c r="O170" s="2529"/>
      <c r="P170" s="2529"/>
      <c r="Q170" s="3057"/>
      <c r="R170" s="2507"/>
      <c r="S170" s="2502"/>
      <c r="T170" s="2502"/>
      <c r="U170" s="2502"/>
      <c r="V170" s="2502"/>
      <c r="W170" s="2502"/>
      <c r="X170" s="2502"/>
      <c r="Y170" s="2502"/>
      <c r="Z170" s="2502"/>
      <c r="AA170" s="2502"/>
      <c r="AB170" s="2502"/>
      <c r="AC170" s="2502"/>
      <c r="AD170" s="2502"/>
      <c r="AE170" s="2502"/>
      <c r="AF170" s="2502"/>
      <c r="AG170" s="2502"/>
      <c r="AH170" s="2502"/>
      <c r="AI170" s="2502"/>
      <c r="AJ170" s="2502"/>
      <c r="AW170" s="2443"/>
    </row>
    <row r="171" spans="1:49" s="2478" customFormat="1">
      <c r="A171" s="3052"/>
      <c r="B171" s="2093"/>
      <c r="C171" s="2443"/>
      <c r="D171" s="1659"/>
      <c r="E171" s="2729" t="s">
        <v>1806</v>
      </c>
      <c r="F171" s="3041"/>
      <c r="G171" s="3041"/>
      <c r="H171" s="3041"/>
      <c r="I171" s="3055" t="s">
        <v>2158</v>
      </c>
      <c r="J171" s="996" t="s">
        <v>1494</v>
      </c>
      <c r="K171" s="996"/>
      <c r="L171" s="3023"/>
      <c r="M171" s="2437"/>
      <c r="N171" s="3058"/>
      <c r="O171" s="2507"/>
      <c r="P171" s="2507"/>
      <c r="Q171" s="2508"/>
      <c r="R171" s="2507"/>
      <c r="S171" s="2502"/>
      <c r="T171" s="2502"/>
      <c r="U171" s="2502"/>
      <c r="V171" s="2502"/>
      <c r="W171" s="2502"/>
      <c r="X171" s="2502"/>
      <c r="Y171" s="2502"/>
      <c r="Z171" s="2502"/>
      <c r="AA171" s="2502"/>
      <c r="AB171" s="2502"/>
      <c r="AC171" s="2502"/>
      <c r="AD171" s="2502"/>
      <c r="AE171" s="2502"/>
      <c r="AF171" s="2502"/>
      <c r="AG171" s="2502"/>
      <c r="AH171" s="2502"/>
      <c r="AI171" s="2502"/>
      <c r="AJ171" s="2502"/>
      <c r="AW171" s="2443"/>
    </row>
    <row r="172" spans="1:49" s="2478" customFormat="1">
      <c r="A172" s="3052"/>
      <c r="B172" s="2093"/>
      <c r="C172" s="2443"/>
      <c r="D172" s="3041"/>
      <c r="E172" s="3041"/>
      <c r="F172" s="3041"/>
      <c r="G172" s="3041"/>
      <c r="H172" s="3041"/>
      <c r="I172" s="3041"/>
      <c r="J172" s="996" t="s">
        <v>2157</v>
      </c>
      <c r="K172" s="996"/>
      <c r="L172" s="3023"/>
      <c r="M172" s="2437"/>
      <c r="N172" s="2507"/>
      <c r="O172" s="2507"/>
      <c r="P172" s="2507"/>
      <c r="Q172" s="2508"/>
      <c r="R172" s="2507"/>
      <c r="S172" s="2502"/>
      <c r="T172" s="2502"/>
      <c r="U172" s="2502"/>
      <c r="V172" s="2502"/>
      <c r="W172" s="2502"/>
      <c r="X172" s="2502"/>
      <c r="Y172" s="2502"/>
      <c r="Z172" s="2502"/>
      <c r="AA172" s="2502"/>
      <c r="AB172" s="2502"/>
      <c r="AC172" s="2502"/>
      <c r="AD172" s="2502"/>
      <c r="AE172" s="2502"/>
      <c r="AF172" s="2502"/>
      <c r="AG172" s="2502"/>
      <c r="AH172" s="2502"/>
      <c r="AI172" s="2502"/>
      <c r="AJ172" s="2502"/>
      <c r="AW172" s="2443"/>
    </row>
    <row r="173" spans="1:49" s="2478" customFormat="1">
      <c r="A173" s="3052"/>
      <c r="B173" s="2093"/>
      <c r="C173" s="2443"/>
      <c r="D173" s="3041"/>
      <c r="E173" s="3041"/>
      <c r="F173" s="3041"/>
      <c r="G173" s="3041"/>
      <c r="H173" s="3041"/>
      <c r="I173" s="3041"/>
      <c r="J173" s="3034" t="s">
        <v>2159</v>
      </c>
      <c r="K173" s="901"/>
      <c r="L173" s="1374"/>
      <c r="M173" s="2437"/>
      <c r="N173" s="2507"/>
      <c r="O173" s="2507"/>
      <c r="P173" s="2507"/>
      <c r="Q173" s="2507"/>
      <c r="R173" s="2507"/>
      <c r="S173" s="2502"/>
      <c r="T173" s="2502"/>
      <c r="U173" s="2502"/>
      <c r="V173" s="2502"/>
      <c r="W173" s="2502"/>
      <c r="X173" s="2502"/>
      <c r="Y173" s="2502"/>
      <c r="Z173" s="2502"/>
      <c r="AA173" s="2502"/>
      <c r="AB173" s="2502"/>
      <c r="AC173" s="2502"/>
      <c r="AD173" s="2502"/>
      <c r="AE173" s="2502"/>
      <c r="AF173" s="2502"/>
      <c r="AG173" s="2502"/>
      <c r="AH173" s="2502"/>
      <c r="AI173" s="2502"/>
      <c r="AJ173" s="2502"/>
      <c r="AW173" s="2443"/>
    </row>
    <row r="174" spans="1:49" s="2478" customFormat="1">
      <c r="A174" s="3052"/>
      <c r="B174" s="2093"/>
      <c r="C174" s="2443"/>
      <c r="D174" s="3041"/>
      <c r="E174" s="3041"/>
      <c r="F174" s="3041"/>
      <c r="G174" s="3041"/>
      <c r="H174" s="3041"/>
      <c r="I174" s="3041"/>
      <c r="J174" s="3041"/>
      <c r="K174" s="901"/>
      <c r="L174" s="71"/>
      <c r="M174" s="2437"/>
      <c r="N174" s="2507"/>
      <c r="O174" s="2507"/>
      <c r="P174" s="2507"/>
      <c r="Q174" s="3057"/>
      <c r="R174" s="2507"/>
      <c r="S174" s="2502"/>
      <c r="T174" s="2502"/>
      <c r="U174" s="2502"/>
      <c r="V174" s="2502"/>
      <c r="W174" s="2502"/>
      <c r="X174" s="2502"/>
      <c r="Y174" s="2502"/>
      <c r="Z174" s="2502"/>
      <c r="AA174" s="2502"/>
      <c r="AB174" s="2502"/>
      <c r="AC174" s="2502"/>
      <c r="AD174" s="2502"/>
      <c r="AE174" s="2502"/>
      <c r="AF174" s="2502"/>
      <c r="AG174" s="2502"/>
      <c r="AH174" s="2502"/>
      <c r="AI174" s="2502"/>
      <c r="AJ174" s="2502"/>
      <c r="AW174" s="2443"/>
    </row>
    <row r="175" spans="1:49" s="2478" customFormat="1">
      <c r="A175" s="3052"/>
      <c r="B175" s="2093"/>
      <c r="C175" s="2443"/>
      <c r="D175" s="3041"/>
      <c r="E175" s="3041"/>
      <c r="F175" s="3041"/>
      <c r="G175" s="3041"/>
      <c r="H175" s="3041"/>
      <c r="I175" s="3041"/>
      <c r="J175" s="3041"/>
      <c r="K175" s="901"/>
      <c r="L175" s="71"/>
      <c r="M175" s="2437"/>
      <c r="N175" s="3057"/>
      <c r="O175" s="3059"/>
      <c r="P175" s="3057"/>
      <c r="Q175" s="3057"/>
      <c r="R175" s="2507"/>
      <c r="S175" s="2502"/>
      <c r="T175" s="2502"/>
      <c r="U175" s="2502"/>
      <c r="V175" s="2502"/>
      <c r="W175" s="2502"/>
      <c r="X175" s="2502"/>
      <c r="Y175" s="2502"/>
      <c r="Z175" s="2502"/>
      <c r="AA175" s="2502"/>
      <c r="AB175" s="2502"/>
      <c r="AC175" s="2502"/>
      <c r="AD175" s="2502"/>
      <c r="AE175" s="2502"/>
      <c r="AF175" s="2502"/>
      <c r="AG175" s="2502"/>
      <c r="AH175" s="2502"/>
      <c r="AI175" s="2502"/>
      <c r="AJ175" s="2502"/>
      <c r="AW175" s="2443"/>
    </row>
    <row r="176" spans="1:49" s="2478" customFormat="1">
      <c r="A176" s="3052"/>
      <c r="B176" s="2093"/>
      <c r="C176" s="2443"/>
      <c r="D176" s="901"/>
      <c r="E176" s="901"/>
      <c r="F176" s="901"/>
      <c r="G176" s="901"/>
      <c r="H176" s="901"/>
      <c r="I176" s="901"/>
      <c r="J176" s="901"/>
      <c r="K176" s="901"/>
      <c r="L176" s="71"/>
      <c r="M176" s="2437"/>
      <c r="N176" s="3057"/>
      <c r="O176" s="3059"/>
      <c r="P176" s="3057"/>
      <c r="Q176" s="3057"/>
      <c r="R176" s="2507"/>
      <c r="S176" s="2502"/>
      <c r="T176" s="2502"/>
      <c r="U176" s="2502"/>
      <c r="V176" s="2502"/>
      <c r="W176" s="2502"/>
      <c r="X176" s="2502"/>
      <c r="Y176" s="2502"/>
      <c r="Z176" s="2502"/>
      <c r="AA176" s="2502"/>
      <c r="AB176" s="2502"/>
      <c r="AC176" s="2502"/>
      <c r="AD176" s="2502"/>
      <c r="AE176" s="2502"/>
      <c r="AF176" s="2502"/>
      <c r="AG176" s="2502"/>
      <c r="AH176" s="2502"/>
      <c r="AI176" s="2502"/>
      <c r="AJ176" s="2502"/>
      <c r="AW176" s="2443"/>
    </row>
    <row r="177" spans="1:49" s="2478" customFormat="1">
      <c r="A177" s="3052"/>
      <c r="B177" s="2093"/>
      <c r="C177" s="2443"/>
      <c r="D177" s="3131" t="s">
        <v>2153</v>
      </c>
      <c r="E177" s="3131"/>
      <c r="F177" s="3131"/>
      <c r="G177" s="3131"/>
      <c r="H177" s="3131"/>
      <c r="I177" s="3131"/>
      <c r="J177" s="1302"/>
      <c r="K177" s="1302"/>
      <c r="L177" s="71"/>
      <c r="M177" s="2437"/>
      <c r="N177" s="3057"/>
      <c r="O177" s="3059"/>
      <c r="P177" s="3057"/>
      <c r="Q177" s="3057"/>
      <c r="R177" s="2507"/>
      <c r="S177" s="2502"/>
      <c r="T177" s="2502"/>
      <c r="U177" s="2502"/>
      <c r="V177" s="2502"/>
      <c r="W177" s="2502"/>
      <c r="X177" s="2502"/>
      <c r="Y177" s="2502"/>
      <c r="Z177" s="2502"/>
      <c r="AA177" s="2502"/>
      <c r="AB177" s="2502"/>
      <c r="AC177" s="2502"/>
      <c r="AD177" s="2502"/>
      <c r="AE177" s="2502"/>
      <c r="AF177" s="2502"/>
      <c r="AG177" s="2502"/>
      <c r="AH177" s="2502"/>
      <c r="AI177" s="2502"/>
      <c r="AJ177" s="2502"/>
      <c r="AW177" s="2443"/>
    </row>
    <row r="178" spans="1:49" s="2478" customFormat="1" ht="12.75" customHeight="1">
      <c r="A178" s="3052"/>
      <c r="B178" s="2093"/>
      <c r="C178" s="2443"/>
      <c r="D178" s="4147" t="s">
        <v>2128</v>
      </c>
      <c r="E178" s="4147"/>
      <c r="F178" s="4147"/>
      <c r="G178" s="4147"/>
      <c r="H178" s="4147"/>
      <c r="I178" s="4147"/>
      <c r="J178" s="3030"/>
      <c r="K178" s="3030"/>
      <c r="L178" s="3030"/>
      <c r="M178" s="2437"/>
      <c r="N178" s="3060"/>
      <c r="O178" s="3061"/>
      <c r="P178" s="3061"/>
      <c r="Q178" s="3061"/>
      <c r="R178" s="3061"/>
      <c r="S178" s="2502"/>
      <c r="T178" s="2502"/>
      <c r="U178" s="2502"/>
      <c r="V178" s="2502"/>
      <c r="W178" s="2502"/>
      <c r="X178" s="2502"/>
      <c r="Y178" s="2502"/>
      <c r="Z178" s="2502"/>
      <c r="AA178" s="2502"/>
      <c r="AB178" s="2502"/>
      <c r="AC178" s="2502"/>
      <c r="AD178" s="2502"/>
      <c r="AE178" s="2502"/>
      <c r="AF178" s="2502"/>
      <c r="AG178" s="2502"/>
      <c r="AH178" s="2502"/>
      <c r="AI178" s="2502"/>
      <c r="AJ178" s="2502"/>
      <c r="AW178" s="2443"/>
    </row>
    <row r="179" spans="1:49" s="2478" customFormat="1">
      <c r="A179" s="3052"/>
      <c r="B179" s="2093"/>
      <c r="C179" s="2443"/>
      <c r="D179" s="4147"/>
      <c r="E179" s="4147"/>
      <c r="F179" s="4147"/>
      <c r="G179" s="4147"/>
      <c r="H179" s="4147"/>
      <c r="I179" s="4147"/>
      <c r="J179" s="3030"/>
      <c r="K179" s="3030"/>
      <c r="L179" s="3030"/>
      <c r="M179" s="2437"/>
      <c r="N179" s="3061"/>
      <c r="O179" s="3061"/>
      <c r="P179" s="3061"/>
      <c r="Q179" s="3061"/>
      <c r="R179" s="3061"/>
      <c r="S179" s="2502"/>
      <c r="T179" s="2502"/>
      <c r="U179" s="2502"/>
      <c r="V179" s="2502"/>
      <c r="W179" s="2502"/>
      <c r="X179" s="2502"/>
      <c r="Y179" s="2502"/>
      <c r="Z179" s="2502"/>
      <c r="AA179" s="2502"/>
      <c r="AB179" s="2502"/>
      <c r="AC179" s="2502"/>
      <c r="AD179" s="2502"/>
      <c r="AE179" s="2502"/>
      <c r="AF179" s="2502"/>
      <c r="AG179" s="2502"/>
      <c r="AH179" s="2502"/>
      <c r="AI179" s="2502"/>
      <c r="AJ179" s="2502"/>
      <c r="AW179" s="2443"/>
    </row>
    <row r="180" spans="1:49" s="2478" customFormat="1">
      <c r="A180" s="3052"/>
      <c r="B180" s="2093"/>
      <c r="C180" s="2443"/>
      <c r="D180" s="3131" t="s">
        <v>2296</v>
      </c>
      <c r="E180" s="3131"/>
      <c r="F180" s="3131"/>
      <c r="G180" s="3131"/>
      <c r="H180" s="3131"/>
      <c r="I180" s="3131"/>
      <c r="J180" s="1302"/>
      <c r="K180" s="3029"/>
      <c r="L180" s="3029"/>
      <c r="M180" s="2437"/>
      <c r="N180" s="3061"/>
      <c r="O180" s="3061"/>
      <c r="P180" s="3061"/>
      <c r="Q180" s="3061"/>
      <c r="R180" s="3061"/>
      <c r="S180" s="2502"/>
      <c r="T180" s="2502"/>
      <c r="U180" s="2502"/>
      <c r="V180" s="2502"/>
      <c r="W180" s="2502"/>
      <c r="X180" s="2502"/>
      <c r="Y180" s="2502"/>
      <c r="Z180" s="2502"/>
      <c r="AA180" s="2502"/>
      <c r="AB180" s="2502"/>
      <c r="AC180" s="2502"/>
      <c r="AD180" s="2502"/>
      <c r="AE180" s="2502"/>
      <c r="AF180" s="2502"/>
      <c r="AG180" s="2502"/>
      <c r="AH180" s="2502"/>
      <c r="AI180" s="2502"/>
      <c r="AJ180" s="2502"/>
      <c r="AW180" s="2443"/>
    </row>
    <row r="181" spans="1:49" s="2478" customFormat="1">
      <c r="A181" s="3052"/>
      <c r="B181" s="2093"/>
      <c r="C181" s="2443"/>
      <c r="D181" s="3132"/>
      <c r="E181" s="3132"/>
      <c r="F181" s="3132"/>
      <c r="G181" s="3132"/>
      <c r="H181" s="3132"/>
      <c r="I181" s="3133"/>
      <c r="J181" s="1675"/>
      <c r="K181" s="1676"/>
      <c r="L181" s="1677"/>
      <c r="M181" s="2480"/>
      <c r="N181" s="2528"/>
      <c r="O181" s="2529"/>
      <c r="P181" s="2502"/>
      <c r="Q181" s="2502"/>
      <c r="R181" s="2502"/>
      <c r="S181" s="2502"/>
      <c r="T181" s="2502"/>
      <c r="U181" s="2502"/>
      <c r="V181" s="2502"/>
      <c r="W181" s="2502"/>
      <c r="X181" s="2502"/>
      <c r="Y181" s="2502"/>
      <c r="Z181" s="2502"/>
      <c r="AA181" s="2502"/>
      <c r="AB181" s="2502"/>
      <c r="AC181" s="2502"/>
      <c r="AD181" s="2502"/>
      <c r="AE181" s="2502"/>
      <c r="AF181" s="2502"/>
      <c r="AG181" s="2502"/>
      <c r="AH181" s="2502"/>
      <c r="AI181" s="2502"/>
      <c r="AJ181" s="2502"/>
      <c r="AW181" s="2443"/>
    </row>
    <row r="182" spans="1:49">
      <c r="A182" s="3050"/>
      <c r="B182" s="83"/>
      <c r="D182" s="3134" t="s">
        <v>2126</v>
      </c>
      <c r="E182" s="3135"/>
      <c r="F182" s="3135"/>
      <c r="G182" s="3135"/>
      <c r="H182" s="3135"/>
      <c r="I182" s="3135"/>
      <c r="J182" s="3044"/>
      <c r="K182" s="902"/>
      <c r="L182" s="71"/>
      <c r="N182" s="1191"/>
      <c r="O182" s="903"/>
      <c r="P182" s="904"/>
      <c r="Q182" s="905"/>
      <c r="R182" s="2486"/>
      <c r="S182" s="1659"/>
      <c r="T182" s="1659"/>
      <c r="U182" s="1659"/>
      <c r="V182" s="2495"/>
    </row>
    <row r="183" spans="1:49" ht="12.75" customHeight="1">
      <c r="A183" s="588"/>
      <c r="B183" s="1436"/>
      <c r="C183" s="2452"/>
      <c r="D183" s="4159" t="s">
        <v>2310</v>
      </c>
      <c r="E183" s="4159"/>
      <c r="F183" s="4159"/>
      <c r="G183" s="4159"/>
      <c r="H183" s="4159"/>
      <c r="I183" s="4159"/>
      <c r="J183" s="3064"/>
      <c r="K183" s="3026"/>
      <c r="L183" s="3026"/>
      <c r="N183" s="4029" t="s">
        <v>1669</v>
      </c>
      <c r="O183" s="4029"/>
      <c r="P183" s="4029"/>
      <c r="Q183" s="4029"/>
      <c r="R183" s="4029"/>
      <c r="S183" s="4029"/>
      <c r="T183" s="4029"/>
      <c r="U183" s="1659"/>
      <c r="V183" s="2495"/>
    </row>
    <row r="184" spans="1:49">
      <c r="A184" s="72"/>
      <c r="B184" s="3051"/>
      <c r="C184" s="2453"/>
      <c r="D184" s="4159"/>
      <c r="E184" s="4159"/>
      <c r="F184" s="4159"/>
      <c r="G184" s="4159"/>
      <c r="H184" s="4159"/>
      <c r="I184" s="4159"/>
      <c r="J184" s="3064"/>
      <c r="K184" s="3026"/>
      <c r="L184" s="3026"/>
      <c r="N184" s="4029"/>
      <c r="O184" s="4029"/>
      <c r="P184" s="4029"/>
      <c r="Q184" s="4029"/>
      <c r="R184" s="4029"/>
      <c r="S184" s="4029"/>
      <c r="T184" s="4029"/>
      <c r="U184" s="1659"/>
      <c r="V184" s="2495"/>
    </row>
    <row r="185" spans="1:49" ht="13.15" customHeight="1">
      <c r="A185" s="72"/>
      <c r="B185" s="83"/>
      <c r="D185" s="3136" t="s">
        <v>2127</v>
      </c>
      <c r="E185" s="3046"/>
      <c r="F185" s="3046"/>
      <c r="G185" s="3046"/>
      <c r="H185" s="3046"/>
      <c r="I185" s="3046"/>
      <c r="J185" s="3045"/>
      <c r="K185" s="3027"/>
      <c r="L185" s="3027"/>
      <c r="N185" s="1659"/>
      <c r="O185" s="3043"/>
      <c r="P185" s="3043"/>
      <c r="Q185" s="3043"/>
      <c r="R185" s="3043"/>
      <c r="S185" s="440"/>
      <c r="T185" s="440"/>
      <c r="U185" s="440"/>
      <c r="V185" s="2515"/>
    </row>
    <row r="186" spans="1:49" ht="13.15" customHeight="1">
      <c r="A186" s="640"/>
      <c r="B186" s="83"/>
      <c r="D186" s="3137" t="s">
        <v>2154</v>
      </c>
      <c r="E186" s="3046"/>
      <c r="F186" s="3046"/>
      <c r="G186" s="3046"/>
      <c r="H186" s="3046"/>
      <c r="I186" s="3046"/>
      <c r="J186" s="3045"/>
      <c r="K186" s="3027"/>
      <c r="L186" s="3027"/>
      <c r="N186" s="3045" t="s">
        <v>2211</v>
      </c>
      <c r="O186" s="3063"/>
      <c r="P186" s="3063"/>
      <c r="Q186" s="3063"/>
      <c r="R186" s="3063"/>
      <c r="S186" s="3063"/>
      <c r="T186" s="3063"/>
      <c r="U186" s="440"/>
      <c r="V186" s="2515"/>
    </row>
    <row r="187" spans="1:49" ht="13.15" customHeight="1">
      <c r="A187" s="640"/>
      <c r="B187" s="83"/>
      <c r="D187" s="3137" t="s">
        <v>2171</v>
      </c>
      <c r="E187" s="3046"/>
      <c r="F187" s="3046"/>
      <c r="G187" s="3046"/>
      <c r="H187" s="3046"/>
      <c r="I187" s="3046"/>
      <c r="J187" s="3045"/>
      <c r="K187" s="3027"/>
      <c r="L187" s="3027"/>
      <c r="N187" s="3047" t="s">
        <v>2162</v>
      </c>
      <c r="O187" s="3063"/>
      <c r="P187" s="3063"/>
      <c r="Q187" s="3063"/>
      <c r="R187" s="3063"/>
      <c r="S187" s="3063"/>
      <c r="T187" s="3063"/>
      <c r="U187" s="1659"/>
      <c r="V187" s="2495"/>
    </row>
    <row r="188" spans="1:49" ht="13.15" customHeight="1">
      <c r="A188" s="640"/>
      <c r="B188" s="83"/>
      <c r="D188" s="4160" t="s">
        <v>2293</v>
      </c>
      <c r="E188" s="4160"/>
      <c r="F188" s="4160"/>
      <c r="G188" s="4160"/>
      <c r="H188" s="4160"/>
      <c r="I188" s="4160"/>
      <c r="J188" s="3065"/>
      <c r="K188" s="3027"/>
      <c r="L188" s="3027"/>
      <c r="N188" s="3047" t="s">
        <v>2163</v>
      </c>
      <c r="O188" s="3063"/>
      <c r="P188" s="3063"/>
      <c r="Q188" s="3063"/>
      <c r="R188" s="3063"/>
      <c r="S188" s="1659"/>
      <c r="T188" s="1659"/>
      <c r="U188" s="1659"/>
      <c r="V188" s="2495"/>
    </row>
    <row r="189" spans="1:49" ht="13.15" customHeight="1">
      <c r="A189" s="640"/>
      <c r="B189" s="83"/>
      <c r="D189" s="4160"/>
      <c r="E189" s="4160"/>
      <c r="F189" s="4160"/>
      <c r="G189" s="4160"/>
      <c r="H189" s="4160"/>
      <c r="I189" s="4160"/>
      <c r="J189" s="3065"/>
      <c r="K189" s="3027"/>
      <c r="L189" s="3027"/>
      <c r="N189" s="3047" t="s">
        <v>2161</v>
      </c>
      <c r="O189" s="3063"/>
      <c r="P189" s="3063"/>
      <c r="Q189" s="3063"/>
      <c r="R189" s="3063"/>
      <c r="S189" s="1659"/>
      <c r="T189" s="1659"/>
      <c r="U189" s="1659"/>
      <c r="V189" s="2495"/>
    </row>
    <row r="190" spans="1:49" ht="13.15" customHeight="1">
      <c r="A190" s="640"/>
      <c r="B190" s="83"/>
      <c r="D190" s="4161" t="s">
        <v>2130</v>
      </c>
      <c r="E190" s="4161"/>
      <c r="F190" s="4161"/>
      <c r="G190" s="4161"/>
      <c r="H190" s="4161"/>
      <c r="I190" s="4161"/>
      <c r="J190" s="3066"/>
      <c r="K190" s="1659"/>
      <c r="L190" s="3036"/>
      <c r="N190" s="1659"/>
      <c r="O190" s="2506"/>
      <c r="P190" s="2506"/>
      <c r="Q190" s="2506"/>
      <c r="R190" s="2506"/>
      <c r="S190" s="154"/>
      <c r="T190" s="154"/>
      <c r="U190" s="154"/>
      <c r="V190" s="2496"/>
      <c r="W190" s="2496"/>
      <c r="X190" s="2496"/>
      <c r="Y190" s="2496"/>
      <c r="Z190" s="2496"/>
      <c r="AA190" s="2496"/>
      <c r="AB190" s="2496"/>
      <c r="AC190" s="2496"/>
      <c r="AD190" s="2496"/>
      <c r="AE190" s="2496"/>
      <c r="AF190" s="2496"/>
      <c r="AG190" s="2496"/>
      <c r="AH190" s="2496"/>
      <c r="AI190" s="2496"/>
      <c r="AJ190" s="2514"/>
      <c r="AK190" s="2514"/>
      <c r="AL190" s="2514"/>
      <c r="AM190" s="2514"/>
      <c r="AN190" s="2514"/>
      <c r="AO190" s="2514"/>
      <c r="AP190" s="2514"/>
      <c r="AQ190" s="2514"/>
      <c r="AR190" s="2514"/>
      <c r="AS190" s="2514"/>
      <c r="AT190" s="2514"/>
      <c r="AU190" s="2514"/>
      <c r="AV190" s="2496"/>
    </row>
    <row r="191" spans="1:49" ht="13.15" customHeight="1">
      <c r="A191" s="640"/>
      <c r="B191" s="83"/>
      <c r="D191" s="4161"/>
      <c r="E191" s="4161"/>
      <c r="F191" s="4161"/>
      <c r="G191" s="4161"/>
      <c r="H191" s="4161"/>
      <c r="I191" s="4161"/>
      <c r="J191" s="3066"/>
      <c r="K191" s="3036"/>
      <c r="L191" s="3036"/>
      <c r="N191" s="3073"/>
      <c r="O191" s="3073"/>
      <c r="P191" s="3073"/>
      <c r="Q191" s="3073"/>
      <c r="R191" s="3073"/>
      <c r="S191" s="2496"/>
      <c r="T191" s="2496"/>
      <c r="U191" s="2496"/>
      <c r="V191" s="2496"/>
      <c r="W191" s="2496"/>
      <c r="X191" s="2496"/>
      <c r="Y191" s="2496"/>
      <c r="Z191" s="2496"/>
      <c r="AA191" s="2496"/>
      <c r="AB191" s="2496"/>
      <c r="AC191" s="2496"/>
      <c r="AD191" s="2496"/>
      <c r="AE191" s="2496"/>
      <c r="AF191" s="2496"/>
      <c r="AG191" s="2496"/>
      <c r="AH191" s="2496"/>
      <c r="AI191" s="2496"/>
      <c r="AJ191" s="2514"/>
      <c r="AK191" s="2514"/>
      <c r="AL191" s="2514"/>
      <c r="AM191" s="2514"/>
      <c r="AN191" s="2514"/>
      <c r="AO191" s="2514"/>
      <c r="AP191" s="2514"/>
      <c r="AQ191" s="2514"/>
      <c r="AR191" s="2514"/>
      <c r="AS191" s="2514"/>
      <c r="AT191" s="2514"/>
      <c r="AU191" s="2514"/>
      <c r="AV191" s="2496"/>
    </row>
    <row r="192" spans="1:49" ht="13.15" customHeight="1">
      <c r="A192" s="640"/>
      <c r="B192" s="83"/>
      <c r="D192" s="901"/>
      <c r="E192" s="151"/>
      <c r="F192" s="151"/>
      <c r="G192" s="151"/>
      <c r="H192" s="151"/>
      <c r="I192" s="160"/>
      <c r="J192" s="160"/>
      <c r="K192" s="163"/>
      <c r="L192" s="71"/>
      <c r="M192" s="2507"/>
      <c r="N192" s="3074"/>
      <c r="O192" s="3075"/>
      <c r="P192" s="3075"/>
      <c r="Q192" s="2495"/>
      <c r="R192" s="2495"/>
      <c r="S192" s="2495"/>
      <c r="T192" s="2495"/>
      <c r="U192" s="2495"/>
      <c r="V192" s="2495"/>
      <c r="W192" s="2495"/>
      <c r="X192" s="2495"/>
      <c r="Y192" s="2495"/>
      <c r="Z192" s="2495"/>
      <c r="AA192" s="2495"/>
      <c r="AB192" s="2495"/>
      <c r="AC192" s="2495"/>
      <c r="AD192" s="2495"/>
      <c r="AE192" s="2495"/>
      <c r="AF192" s="2495"/>
      <c r="AG192" s="2495"/>
      <c r="AH192" s="2495"/>
      <c r="AI192" s="2495"/>
      <c r="AJ192" s="151"/>
      <c r="AK192" s="151"/>
      <c r="AL192" s="151"/>
      <c r="AM192" s="151"/>
      <c r="AN192" s="151"/>
      <c r="AO192" s="151"/>
      <c r="AP192" s="151"/>
      <c r="AQ192" s="151"/>
      <c r="AR192" s="151"/>
      <c r="AS192" s="151"/>
      <c r="AT192" s="151"/>
      <c r="AU192" s="151"/>
      <c r="AV192" s="2495"/>
    </row>
    <row r="193" spans="1:48">
      <c r="A193" s="641"/>
      <c r="B193" s="1331"/>
      <c r="D193" s="151"/>
      <c r="E193" s="151"/>
      <c r="F193" s="151"/>
      <c r="G193" s="151"/>
      <c r="H193" s="151"/>
      <c r="I193" s="561"/>
      <c r="J193" s="1375"/>
      <c r="K193" s="160"/>
      <c r="L193" s="163"/>
      <c r="M193" s="2508"/>
      <c r="N193" s="1659"/>
      <c r="O193" s="1659"/>
      <c r="P193" s="1659"/>
      <c r="Q193" s="1659"/>
      <c r="R193" s="1659"/>
      <c r="S193" s="1659"/>
      <c r="T193" s="1659"/>
      <c r="U193" s="1659"/>
      <c r="V193" s="1659"/>
      <c r="W193" s="1659"/>
      <c r="X193" s="1659"/>
      <c r="Y193" s="1659"/>
      <c r="Z193" s="1659"/>
      <c r="AA193" s="1659"/>
      <c r="AB193" s="1659"/>
      <c r="AC193" s="1659"/>
      <c r="AD193" s="1659"/>
      <c r="AE193" s="1659"/>
      <c r="AF193" s="1659"/>
      <c r="AG193" s="1659"/>
      <c r="AH193" s="1659"/>
      <c r="AI193" s="2495"/>
      <c r="AJ193" s="151"/>
      <c r="AK193" s="151"/>
      <c r="AL193" s="151"/>
      <c r="AM193" s="151"/>
      <c r="AN193" s="151"/>
      <c r="AO193" s="151"/>
      <c r="AP193" s="151"/>
      <c r="AQ193" s="151"/>
      <c r="AR193" s="151"/>
      <c r="AS193" s="151"/>
      <c r="AT193" s="151"/>
      <c r="AU193" s="151"/>
      <c r="AV193" s="2495"/>
    </row>
    <row r="194" spans="1:48" ht="13.15" customHeight="1">
      <c r="A194" s="4077" t="s">
        <v>1679</v>
      </c>
      <c r="B194" s="4078"/>
      <c r="C194" s="2454"/>
      <c r="D194" s="4110" t="s">
        <v>749</v>
      </c>
      <c r="E194" s="4112"/>
      <c r="F194" s="505" t="s">
        <v>753</v>
      </c>
      <c r="G194" s="151"/>
      <c r="H194" s="151"/>
      <c r="I194" s="160"/>
      <c r="J194" s="3092" t="s">
        <v>817</v>
      </c>
      <c r="K194" s="3093"/>
      <c r="L194" s="3111"/>
      <c r="N194" s="151"/>
      <c r="O194" s="151"/>
      <c r="P194" s="151"/>
      <c r="Q194" s="151"/>
      <c r="R194" s="151"/>
      <c r="S194" s="151"/>
      <c r="T194" s="151"/>
      <c r="U194" s="151"/>
      <c r="V194" s="1659"/>
      <c r="W194" s="4110" t="s">
        <v>754</v>
      </c>
      <c r="X194" s="4112"/>
      <c r="Y194" s="505"/>
      <c r="Z194" s="151"/>
      <c r="AA194" s="151"/>
      <c r="AB194" s="151"/>
      <c r="AC194" s="151"/>
      <c r="AD194" s="151"/>
      <c r="AE194" s="151"/>
      <c r="AF194" s="151"/>
      <c r="AG194" s="151"/>
      <c r="AH194" s="2958"/>
      <c r="AI194" s="2495"/>
      <c r="AJ194" s="2509" t="s">
        <v>755</v>
      </c>
      <c r="AK194" s="2510"/>
      <c r="AL194" s="683"/>
      <c r="AM194" s="151"/>
      <c r="AN194" s="151"/>
      <c r="AO194" s="151"/>
      <c r="AP194" s="151"/>
      <c r="AQ194" s="151"/>
      <c r="AR194" s="151"/>
      <c r="AS194" s="151"/>
      <c r="AT194" s="151"/>
      <c r="AU194" s="151"/>
      <c r="AV194" s="2495"/>
    </row>
    <row r="195" spans="1:48" ht="13.15" customHeight="1">
      <c r="A195" s="4075"/>
      <c r="B195" s="4076"/>
      <c r="C195" s="2455"/>
      <c r="D195" s="651" t="s">
        <v>758</v>
      </c>
      <c r="E195" s="651" t="s">
        <v>766</v>
      </c>
      <c r="F195" s="164"/>
      <c r="G195" s="164"/>
      <c r="H195" s="164"/>
      <c r="I195" s="762" t="s">
        <v>2168</v>
      </c>
      <c r="J195" s="651" t="s">
        <v>758</v>
      </c>
      <c r="K195" s="651" t="s">
        <v>766</v>
      </c>
      <c r="L195" s="3115"/>
      <c r="M195" s="2508"/>
      <c r="N195" s="164"/>
      <c r="O195" s="1659"/>
      <c r="P195" s="760" t="s">
        <v>2169</v>
      </c>
      <c r="Q195" s="164"/>
      <c r="R195" s="164"/>
      <c r="S195" s="164"/>
      <c r="T195" s="164"/>
      <c r="U195" s="164"/>
      <c r="V195" s="1659"/>
      <c r="W195" s="651" t="s">
        <v>758</v>
      </c>
      <c r="X195" s="651" t="s">
        <v>766</v>
      </c>
      <c r="Y195" s="488"/>
      <c r="Z195" s="164"/>
      <c r="AA195" s="164"/>
      <c r="AB195" s="760" t="s">
        <v>2167</v>
      </c>
      <c r="AC195" s="164"/>
      <c r="AD195" s="164"/>
      <c r="AE195" s="164"/>
      <c r="AF195" s="164"/>
      <c r="AG195" s="164"/>
      <c r="AH195" s="1659"/>
      <c r="AI195" s="2495"/>
      <c r="AJ195" s="684" t="s">
        <v>758</v>
      </c>
      <c r="AK195" s="684" t="s">
        <v>766</v>
      </c>
      <c r="AL195" s="685"/>
      <c r="AM195" s="164"/>
      <c r="AN195" s="164"/>
      <c r="AO195" s="164"/>
      <c r="AP195" s="164"/>
      <c r="AQ195" s="164"/>
      <c r="AR195" s="164"/>
      <c r="AS195" s="164"/>
      <c r="AT195" s="164"/>
      <c r="AU195" s="164"/>
      <c r="AV195" s="2495"/>
    </row>
    <row r="196" spans="1:48">
      <c r="A196" s="641"/>
      <c r="B196" s="1331"/>
      <c r="D196" s="151"/>
      <c r="E196" s="151"/>
      <c r="F196" s="151"/>
      <c r="G196" s="151"/>
      <c r="H196" s="151"/>
      <c r="I196" s="160"/>
      <c r="J196" s="3112"/>
      <c r="K196" s="163"/>
      <c r="L196" s="3115" t="s">
        <v>753</v>
      </c>
      <c r="M196" s="2508"/>
      <c r="N196" s="151"/>
      <c r="O196" s="151"/>
      <c r="P196" s="151"/>
      <c r="Q196" s="151"/>
      <c r="R196" s="151"/>
      <c r="S196" s="151"/>
      <c r="T196" s="151"/>
      <c r="U196" s="151"/>
      <c r="V196" s="1659"/>
      <c r="W196" s="3114"/>
      <c r="X196" s="151"/>
      <c r="Y196" s="151"/>
      <c r="Z196" s="151"/>
      <c r="AA196" s="151"/>
      <c r="AB196" s="151"/>
      <c r="AC196" s="151"/>
      <c r="AD196" s="151"/>
      <c r="AE196" s="151"/>
      <c r="AF196" s="151"/>
      <c r="AG196" s="151"/>
      <c r="AH196" s="2958"/>
      <c r="AI196" s="2495"/>
      <c r="AJ196" s="75"/>
      <c r="AK196" s="75"/>
      <c r="AL196" s="75"/>
      <c r="AM196" s="151"/>
      <c r="AN196" s="151"/>
      <c r="AO196" s="151"/>
      <c r="AP196" s="151"/>
      <c r="AQ196" s="151"/>
      <c r="AR196" s="151"/>
      <c r="AS196" s="151"/>
      <c r="AT196" s="151"/>
      <c r="AU196" s="151"/>
      <c r="AV196" s="2495"/>
    </row>
    <row r="197" spans="1:48">
      <c r="A197" s="838" t="s">
        <v>498</v>
      </c>
      <c r="B197" s="839" t="s">
        <v>52</v>
      </c>
      <c r="C197" s="2447"/>
      <c r="D197" s="869">
        <f>J103</f>
        <v>0.61</v>
      </c>
      <c r="E197" s="3965">
        <f>CALCULATIONS!GU5</f>
        <v>4.9157277486128619</v>
      </c>
      <c r="F197" s="151"/>
      <c r="G197" s="151"/>
      <c r="H197" s="151"/>
      <c r="I197" s="160"/>
      <c r="J197" s="869">
        <f>G103</f>
        <v>0.60734824281150157</v>
      </c>
      <c r="K197" s="3967">
        <f>CALCULATIONS!GI5</f>
        <v>5.3302458517948876</v>
      </c>
      <c r="L197" s="488"/>
      <c r="M197" s="2508"/>
      <c r="N197" s="151"/>
      <c r="O197" s="151"/>
      <c r="P197" s="151"/>
      <c r="Q197" s="151"/>
      <c r="R197" s="151"/>
      <c r="S197" s="151"/>
      <c r="T197" s="151"/>
      <c r="U197" s="151"/>
      <c r="V197" s="1659"/>
      <c r="W197" s="244">
        <f t="shared" ref="W197:W218" si="10">H103</f>
        <v>0.60938914027149316</v>
      </c>
      <c r="X197" s="3965">
        <f>CALCULATIONS!GE5</f>
        <v>4.4333584779807635</v>
      </c>
      <c r="Y197" s="151"/>
      <c r="Z197" s="151"/>
      <c r="AA197" s="151"/>
      <c r="AB197" s="151"/>
      <c r="AC197" s="151"/>
      <c r="AD197" s="151"/>
      <c r="AE197" s="151"/>
      <c r="AF197" s="151"/>
      <c r="AG197" s="151"/>
      <c r="AH197" s="2958"/>
      <c r="AI197" s="2495"/>
      <c r="AJ197" s="686"/>
      <c r="AK197" s="687"/>
      <c r="AL197" s="75"/>
      <c r="AM197" s="151"/>
      <c r="AN197" s="151"/>
      <c r="AO197" s="151"/>
      <c r="AP197" s="151"/>
      <c r="AQ197" s="151"/>
      <c r="AR197" s="151"/>
      <c r="AS197" s="151"/>
      <c r="AT197" s="151"/>
      <c r="AU197" s="504" t="s">
        <v>52</v>
      </c>
      <c r="AV197" s="2495"/>
    </row>
    <row r="198" spans="1:48">
      <c r="A198" s="838" t="s">
        <v>385</v>
      </c>
      <c r="B198" s="839" t="s">
        <v>276</v>
      </c>
      <c r="C198" s="2447"/>
      <c r="D198" s="869">
        <f t="shared" ref="D198:D218" si="11">J104</f>
        <v>0.60910298289809772</v>
      </c>
      <c r="E198" s="3965">
        <f>CALCULATIONS!GU6</f>
        <v>4.4246190982470868</v>
      </c>
      <c r="F198" s="151"/>
      <c r="G198" s="151"/>
      <c r="H198" s="151"/>
      <c r="I198" s="160"/>
      <c r="J198" s="869">
        <f t="shared" ref="J198:J203" si="12">D104</f>
        <v>0.5981133158250882</v>
      </c>
      <c r="K198" s="3965">
        <f>CALCULATIONS!GS6</f>
        <v>4.0530525032062261</v>
      </c>
      <c r="L198" s="488"/>
      <c r="M198" s="2508"/>
      <c r="N198" s="151"/>
      <c r="O198" s="151"/>
      <c r="P198" s="151"/>
      <c r="Q198" s="151"/>
      <c r="R198" s="151"/>
      <c r="S198" s="151"/>
      <c r="T198" s="151"/>
      <c r="U198" s="151"/>
      <c r="V198" s="1659"/>
      <c r="W198" s="244">
        <f t="shared" si="10"/>
        <v>0.63280000000000003</v>
      </c>
      <c r="X198" s="3965">
        <f>CALCULATIONS!GE6</f>
        <v>4.2234201890683387</v>
      </c>
      <c r="Y198" s="151"/>
      <c r="Z198" s="151"/>
      <c r="AA198" s="151"/>
      <c r="AB198" s="151"/>
      <c r="AC198" s="151"/>
      <c r="AD198" s="151"/>
      <c r="AE198" s="151"/>
      <c r="AF198" s="151"/>
      <c r="AG198" s="151"/>
      <c r="AH198" s="2958"/>
      <c r="AI198" s="2495"/>
      <c r="AJ198" s="686">
        <f>AI487</f>
        <v>-5.2071170724915891E-2</v>
      </c>
      <c r="AK198" s="687">
        <f>CALCULATIONS!FE6</f>
        <v>-3.1436262257258173E-2</v>
      </c>
      <c r="AL198" s="75"/>
      <c r="AM198" s="151"/>
      <c r="AN198" s="151"/>
      <c r="AO198" s="151"/>
      <c r="AP198" s="151"/>
      <c r="AQ198" s="151"/>
      <c r="AR198" s="151"/>
      <c r="AS198" s="151"/>
      <c r="AT198" s="151"/>
      <c r="AU198" s="840" t="s">
        <v>276</v>
      </c>
      <c r="AV198" s="2495"/>
    </row>
    <row r="199" spans="1:48">
      <c r="A199" s="652" t="s">
        <v>319</v>
      </c>
      <c r="B199" s="661" t="s">
        <v>278</v>
      </c>
      <c r="C199" s="2435"/>
      <c r="D199" s="681">
        <f t="shared" si="11"/>
        <v>0.37158673775730477</v>
      </c>
      <c r="E199" s="3966">
        <f>CALCULATIONS!GU7</f>
        <v>4.7469851722287064</v>
      </c>
      <c r="F199" s="151"/>
      <c r="G199" s="151"/>
      <c r="H199" s="151"/>
      <c r="I199" s="160"/>
      <c r="J199" s="681">
        <f t="shared" si="12"/>
        <v>0.33871396895787137</v>
      </c>
      <c r="K199" s="3966">
        <f>CALCULATIONS!GS7</f>
        <v>4.6619962755533297</v>
      </c>
      <c r="L199" s="488"/>
      <c r="M199" s="2508"/>
      <c r="N199" s="151"/>
      <c r="O199" s="151"/>
      <c r="P199" s="151"/>
      <c r="Q199" s="151"/>
      <c r="R199" s="151"/>
      <c r="S199" s="151"/>
      <c r="T199" s="151"/>
      <c r="U199" s="151"/>
      <c r="V199" s="1659"/>
      <c r="W199" s="244">
        <f t="shared" si="10"/>
        <v>0.38496530454895916</v>
      </c>
      <c r="X199" s="3965">
        <f>CALCULATIONS!GE7</f>
        <v>4.2885463249133933</v>
      </c>
      <c r="Y199" s="151"/>
      <c r="Z199" s="151"/>
      <c r="AA199" s="151"/>
      <c r="AB199" s="151"/>
      <c r="AC199" s="151"/>
      <c r="AD199" s="151"/>
      <c r="AE199" s="151"/>
      <c r="AF199" s="151"/>
      <c r="AG199" s="151"/>
      <c r="AH199" s="2958"/>
      <c r="AI199" s="2495"/>
      <c r="AJ199" s="688">
        <f>AI488</f>
        <v>-0.1153634304384116</v>
      </c>
      <c r="AK199" s="689">
        <f>CALCULATIONS!FE7</f>
        <v>0.19466300859302216</v>
      </c>
      <c r="AL199" s="75"/>
      <c r="AM199" s="151"/>
      <c r="AN199" s="151"/>
      <c r="AO199" s="151"/>
      <c r="AP199" s="151"/>
      <c r="AQ199" s="151"/>
      <c r="AR199" s="151"/>
      <c r="AS199" s="151"/>
      <c r="AT199" s="151"/>
      <c r="AU199" s="504" t="s">
        <v>750</v>
      </c>
      <c r="AV199" s="2495"/>
    </row>
    <row r="200" spans="1:48">
      <c r="A200" s="652" t="s">
        <v>319</v>
      </c>
      <c r="B200" s="661" t="s">
        <v>275</v>
      </c>
      <c r="C200" s="2435"/>
      <c r="D200" s="681">
        <f t="shared" si="11"/>
        <v>0.95644485424869818</v>
      </c>
      <c r="E200" s="3966">
        <f>CALCULATIONS!GU8</f>
        <v>4.988018554669714</v>
      </c>
      <c r="F200" s="151"/>
      <c r="G200" s="151"/>
      <c r="H200" s="151"/>
      <c r="I200" s="160"/>
      <c r="J200" s="681">
        <f t="shared" si="12"/>
        <v>0.97</v>
      </c>
      <c r="K200" s="3966">
        <f>CALCULATIONS!GS8</f>
        <v>3.6764587184436395</v>
      </c>
      <c r="L200" s="488"/>
      <c r="M200" s="2508"/>
      <c r="N200" s="151"/>
      <c r="O200" s="151"/>
      <c r="P200" s="151"/>
      <c r="Q200" s="151"/>
      <c r="R200" s="151"/>
      <c r="S200" s="151"/>
      <c r="T200" s="151"/>
      <c r="U200" s="151"/>
      <c r="V200" s="1659"/>
      <c r="W200" s="244">
        <f t="shared" si="10"/>
        <v>0.97248825098437697</v>
      </c>
      <c r="X200" s="3965">
        <f>CALCULATIONS!GE8</f>
        <v>5.5752364574033733</v>
      </c>
      <c r="Y200" s="151"/>
      <c r="Z200" s="151"/>
      <c r="AA200" s="151"/>
      <c r="AB200" s="151"/>
      <c r="AC200" s="151"/>
      <c r="AD200" s="151"/>
      <c r="AE200" s="151"/>
      <c r="AF200" s="151"/>
      <c r="AG200" s="151"/>
      <c r="AH200" s="2958"/>
      <c r="AI200" s="2495"/>
      <c r="AJ200" s="688">
        <f>AI489</f>
        <v>1.1907948675707087E-2</v>
      </c>
      <c r="AK200" s="689">
        <f>CALCULATIONS!FE8</f>
        <v>-0.34669509594882725</v>
      </c>
      <c r="AL200" s="75"/>
      <c r="AM200" s="151"/>
      <c r="AN200" s="151"/>
      <c r="AO200" s="151"/>
      <c r="AP200" s="151"/>
      <c r="AQ200" s="151"/>
      <c r="AR200" s="151"/>
      <c r="AS200" s="151"/>
      <c r="AT200" s="151"/>
      <c r="AU200" s="504" t="s">
        <v>751</v>
      </c>
      <c r="AV200" s="2495"/>
    </row>
    <row r="201" spans="1:48">
      <c r="A201" s="652" t="s">
        <v>319</v>
      </c>
      <c r="B201" s="661" t="s">
        <v>281</v>
      </c>
      <c r="C201" s="2435"/>
      <c r="D201" s="681">
        <f t="shared" si="11"/>
        <v>6.4385445236561381E-2</v>
      </c>
      <c r="E201" s="3966">
        <f>CALCULATIONS!GU9</f>
        <v>8.5213348378460623</v>
      </c>
      <c r="F201" s="151"/>
      <c r="G201" s="151"/>
      <c r="H201" s="151"/>
      <c r="I201" s="160"/>
      <c r="J201" s="681">
        <f t="shared" si="12"/>
        <v>0.14257620452310718</v>
      </c>
      <c r="K201" s="3966">
        <f>CALCULATIONS!GS9</f>
        <v>9.0506669895995948</v>
      </c>
      <c r="L201" s="488"/>
      <c r="M201" s="2508"/>
      <c r="N201" s="151"/>
      <c r="O201" s="151"/>
      <c r="P201" s="151"/>
      <c r="Q201" s="151"/>
      <c r="R201" s="151"/>
      <c r="S201" s="151"/>
      <c r="T201" s="151"/>
      <c r="U201" s="151"/>
      <c r="V201" s="1659"/>
      <c r="W201" s="244">
        <f t="shared" si="10"/>
        <v>5.8479532163742687E-3</v>
      </c>
      <c r="X201" s="3965">
        <f>CALCULATIONS!GE9</f>
        <v>7.3882795026632264</v>
      </c>
      <c r="Y201" s="151"/>
      <c r="Z201" s="151"/>
      <c r="AA201" s="151"/>
      <c r="AB201" s="151"/>
      <c r="AC201" s="151"/>
      <c r="AD201" s="151"/>
      <c r="AE201" s="151"/>
      <c r="AF201" s="151"/>
      <c r="AG201" s="151"/>
      <c r="AH201" s="2958"/>
      <c r="AI201" s="2495"/>
      <c r="AJ201" s="688"/>
      <c r="AK201" s="689">
        <v>0</v>
      </c>
      <c r="AL201" s="75"/>
      <c r="AM201" s="151"/>
      <c r="AN201" s="151"/>
      <c r="AO201" s="151"/>
      <c r="AP201" s="151"/>
      <c r="AQ201" s="151"/>
      <c r="AR201" s="151"/>
      <c r="AS201" s="151"/>
      <c r="AT201" s="151"/>
      <c r="AU201" s="504" t="s">
        <v>281</v>
      </c>
      <c r="AV201" s="2495"/>
    </row>
    <row r="202" spans="1:48">
      <c r="A202" s="507" t="s">
        <v>539</v>
      </c>
      <c r="B202" s="293" t="s">
        <v>39</v>
      </c>
      <c r="D202" s="501">
        <f t="shared" si="11"/>
        <v>0.31054928118178421</v>
      </c>
      <c r="E202" s="3965">
        <f>CALCULATIONS!GU10</f>
        <v>6.1343182706324946</v>
      </c>
      <c r="F202" s="151"/>
      <c r="G202" s="151"/>
      <c r="H202" s="151"/>
      <c r="I202" s="160"/>
      <c r="J202" s="501">
        <f t="shared" si="12"/>
        <v>0.28165979767703259</v>
      </c>
      <c r="K202" s="3965">
        <f>CALCULATIONS!GS10</f>
        <v>5.9052222685092017</v>
      </c>
      <c r="L202" s="488"/>
      <c r="M202" s="2508"/>
      <c r="N202" s="151"/>
      <c r="O202" s="151"/>
      <c r="P202" s="151"/>
      <c r="Q202" s="151"/>
      <c r="R202" s="151"/>
      <c r="S202" s="151"/>
      <c r="T202" s="151"/>
      <c r="U202" s="151"/>
      <c r="V202" s="1659"/>
      <c r="W202" s="244">
        <f t="shared" si="10"/>
        <v>0.3141425389755011</v>
      </c>
      <c r="X202" s="3965">
        <f>CALCULATIONS!GE10</f>
        <v>7.555492968888017</v>
      </c>
      <c r="Y202" s="151"/>
      <c r="Z202" s="151"/>
      <c r="AA202" s="151"/>
      <c r="AB202" s="151"/>
      <c r="AC202" s="151"/>
      <c r="AD202" s="151"/>
      <c r="AE202" s="151"/>
      <c r="AF202" s="151"/>
      <c r="AG202" s="151"/>
      <c r="AH202" s="2958"/>
      <c r="AI202" s="2495"/>
      <c r="AJ202" s="686">
        <f>AI491</f>
        <v>-0.11491916916279199</v>
      </c>
      <c r="AK202" s="687">
        <f>CALCULATIONS!FE10</f>
        <v>-0.21326733738634535</v>
      </c>
      <c r="AL202" s="75"/>
      <c r="AM202" s="151"/>
      <c r="AN202" s="151"/>
      <c r="AO202" s="151"/>
      <c r="AP202" s="151"/>
      <c r="AQ202" s="151"/>
      <c r="AR202" s="151"/>
      <c r="AS202" s="151"/>
      <c r="AT202" s="151"/>
      <c r="AU202" s="504" t="s">
        <v>39</v>
      </c>
      <c r="AV202" s="2495"/>
    </row>
    <row r="203" spans="1:48">
      <c r="A203" s="508" t="s">
        <v>217</v>
      </c>
      <c r="B203" s="294" t="s">
        <v>53</v>
      </c>
      <c r="C203" s="2435"/>
      <c r="D203" s="501">
        <f t="shared" si="11"/>
        <v>0.6158872479982318</v>
      </c>
      <c r="E203" s="3965">
        <f>CALCULATIONS!GU11</f>
        <v>5.7304428558288603</v>
      </c>
      <c r="F203" s="151"/>
      <c r="G203" s="151"/>
      <c r="H203" s="151"/>
      <c r="I203" s="160"/>
      <c r="J203" s="501">
        <f t="shared" si="12"/>
        <v>0.63960508302071395</v>
      </c>
      <c r="K203" s="3965">
        <f>CALCULATIONS!GS11</f>
        <v>5.1937231412225326</v>
      </c>
      <c r="L203" s="488"/>
      <c r="M203" s="2508"/>
      <c r="N203" s="151"/>
      <c r="O203" s="151"/>
      <c r="P203" s="151"/>
      <c r="Q203" s="151"/>
      <c r="R203" s="151"/>
      <c r="S203" s="151"/>
      <c r="T203" s="151"/>
      <c r="U203" s="151"/>
      <c r="V203" s="1659"/>
      <c r="W203" s="244">
        <f t="shared" si="10"/>
        <v>0.58023511894181368</v>
      </c>
      <c r="X203" s="3965">
        <f>CALCULATIONS!GE11</f>
        <v>6.0577743004054545</v>
      </c>
      <c r="Y203" s="151"/>
      <c r="Z203" s="151"/>
      <c r="AA203" s="151"/>
      <c r="AB203" s="151"/>
      <c r="AC203" s="151"/>
      <c r="AD203" s="151"/>
      <c r="AE203" s="151"/>
      <c r="AF203" s="151"/>
      <c r="AG203" s="151"/>
      <c r="AH203" s="2958"/>
      <c r="AI203" s="2495"/>
      <c r="AJ203" s="686">
        <f>AI492</f>
        <v>0.11044311863454735</v>
      </c>
      <c r="AK203" s="687">
        <f>CALCULATIONS!FE11</f>
        <v>-8.3741017508019253E-2</v>
      </c>
      <c r="AL203" s="75"/>
      <c r="AM203" s="151"/>
      <c r="AN203" s="151"/>
      <c r="AO203" s="151"/>
      <c r="AP203" s="151"/>
      <c r="AQ203" s="151"/>
      <c r="AR203" s="151"/>
      <c r="AS203" s="151"/>
      <c r="AT203" s="151"/>
      <c r="AU203" s="504" t="s">
        <v>53</v>
      </c>
      <c r="AV203" s="2495"/>
    </row>
    <row r="204" spans="1:48">
      <c r="A204" s="838" t="s">
        <v>73</v>
      </c>
      <c r="B204" s="839" t="s">
        <v>283</v>
      </c>
      <c r="C204" s="2447"/>
      <c r="D204" s="502">
        <f t="shared" si="11"/>
        <v>0.62657499999999999</v>
      </c>
      <c r="E204" s="3965">
        <f>CALCULATIONS!GU12</f>
        <v>6.6917014692746157</v>
      </c>
      <c r="F204" s="151"/>
      <c r="G204" s="151"/>
      <c r="H204" s="151"/>
      <c r="I204" s="2485"/>
      <c r="J204" s="502">
        <f>E110</f>
        <v>0.64439999999999997</v>
      </c>
      <c r="K204" s="3967">
        <f>CALCULATIONS!GQ12</f>
        <v>6.9087191819037699</v>
      </c>
      <c r="L204" s="488"/>
      <c r="M204" s="2508"/>
      <c r="N204" s="151"/>
      <c r="O204" s="151"/>
      <c r="P204" s="151"/>
      <c r="Q204" s="151"/>
      <c r="R204" s="151"/>
      <c r="S204" s="151"/>
      <c r="T204" s="151"/>
      <c r="U204" s="151"/>
      <c r="V204" s="1659"/>
      <c r="W204" s="244">
        <f t="shared" si="10"/>
        <v>0.59929999999999994</v>
      </c>
      <c r="X204" s="3965">
        <f>CALCULATIONS!GE12</f>
        <v>6.6127333261941414</v>
      </c>
      <c r="Y204" s="151"/>
      <c r="Z204" s="151"/>
      <c r="AA204" s="151"/>
      <c r="AB204" s="151"/>
      <c r="AC204" s="151"/>
      <c r="AD204" s="151"/>
      <c r="AE204" s="151"/>
      <c r="AF204" s="151"/>
      <c r="AG204" s="151"/>
      <c r="AH204" s="2958"/>
      <c r="AI204" s="2495"/>
      <c r="AJ204" s="686">
        <f>AI493</f>
        <v>5.5614710459497153E-2</v>
      </c>
      <c r="AK204" s="687">
        <f>CALCULATIONS!FE12</f>
        <v>0.1489483497432206</v>
      </c>
      <c r="AL204" s="75"/>
      <c r="AM204" s="151"/>
      <c r="AN204" s="151"/>
      <c r="AO204" s="151"/>
      <c r="AP204" s="151"/>
      <c r="AQ204" s="151"/>
      <c r="AR204" s="151"/>
      <c r="AS204" s="151"/>
      <c r="AT204" s="151"/>
      <c r="AU204" s="840" t="s">
        <v>283</v>
      </c>
      <c r="AV204" s="2495"/>
    </row>
    <row r="205" spans="1:48">
      <c r="A205" s="406" t="s">
        <v>19</v>
      </c>
      <c r="B205" s="294" t="s">
        <v>285</v>
      </c>
      <c r="C205" s="2435"/>
      <c r="D205" s="501">
        <f t="shared" si="11"/>
        <v>9.1630231095150338E-2</v>
      </c>
      <c r="E205" s="3965">
        <f>CALCULATIONS!GU13</f>
        <v>7.8090133066846761</v>
      </c>
      <c r="F205" s="151"/>
      <c r="G205" s="151"/>
      <c r="H205" s="151"/>
      <c r="I205" s="160"/>
      <c r="J205" s="501">
        <f>D111</f>
        <v>0.32841368754782985</v>
      </c>
      <c r="K205" s="3965">
        <f>CALCULATIONS!GS13</f>
        <v>9.6719476082953495</v>
      </c>
      <c r="L205" s="488"/>
      <c r="M205" s="2508"/>
      <c r="N205" s="151"/>
      <c r="O205" s="151"/>
      <c r="P205" s="151"/>
      <c r="Q205" s="151"/>
      <c r="R205" s="151"/>
      <c r="S205" s="151"/>
      <c r="T205" s="151"/>
      <c r="U205" s="151"/>
      <c r="V205" s="1659"/>
      <c r="W205" s="244">
        <f t="shared" si="10"/>
        <v>0</v>
      </c>
      <c r="X205" s="3965">
        <f>CALCULATIONS!GE13</f>
        <v>7.9723751868626085</v>
      </c>
      <c r="Y205" s="151"/>
      <c r="Z205" s="151"/>
      <c r="AA205" s="151"/>
      <c r="AB205" s="151"/>
      <c r="AC205" s="151"/>
      <c r="AD205" s="151"/>
      <c r="AE205" s="151"/>
      <c r="AF205" s="151"/>
      <c r="AG205" s="151"/>
      <c r="AH205" s="2958"/>
      <c r="AI205" s="2495"/>
      <c r="AJ205" s="686"/>
      <c r="AK205" s="687">
        <v>0</v>
      </c>
      <c r="AL205" s="75"/>
      <c r="AM205" s="151"/>
      <c r="AN205" s="151"/>
      <c r="AO205" s="151"/>
      <c r="AP205" s="151"/>
      <c r="AQ205" s="151"/>
      <c r="AR205" s="151"/>
      <c r="AS205" s="151"/>
      <c r="AT205" s="151"/>
      <c r="AU205" s="504" t="s">
        <v>285</v>
      </c>
      <c r="AV205" s="2495"/>
    </row>
    <row r="206" spans="1:48">
      <c r="A206" s="406" t="s">
        <v>19</v>
      </c>
      <c r="B206" s="294" t="s">
        <v>286</v>
      </c>
      <c r="C206" s="2435"/>
      <c r="D206" s="501">
        <f t="shared" si="11"/>
        <v>0.60741568747204655</v>
      </c>
      <c r="E206" s="3965">
        <f>CALCULATIONS!GU14</f>
        <v>4.913128503955539</v>
      </c>
      <c r="F206" s="151"/>
      <c r="G206" s="151"/>
      <c r="H206" s="151"/>
      <c r="I206" s="160"/>
      <c r="J206" s="501">
        <f>D112</f>
        <v>0.60484412483227945</v>
      </c>
      <c r="K206" s="3965">
        <f>CALCULATIONS!GS14</f>
        <v>4.438539176760524</v>
      </c>
      <c r="L206" s="488"/>
      <c r="M206" s="2508"/>
      <c r="N206" s="151"/>
      <c r="O206" s="151"/>
      <c r="P206" s="151"/>
      <c r="Q206" s="151"/>
      <c r="R206" s="151"/>
      <c r="S206" s="151"/>
      <c r="T206" s="151"/>
      <c r="U206" s="151"/>
      <c r="V206" s="1659"/>
      <c r="W206" s="244">
        <f t="shared" si="10"/>
        <v>0.56769999999999998</v>
      </c>
      <c r="X206" s="3965">
        <f>CALCULATIONS!GE14</f>
        <v>5.8261679674580611</v>
      </c>
      <c r="Y206" s="151"/>
      <c r="Z206" s="151"/>
      <c r="AA206" s="151"/>
      <c r="AB206" s="151"/>
      <c r="AC206" s="151"/>
      <c r="AD206" s="151"/>
      <c r="AE206" s="151"/>
      <c r="AF206" s="151"/>
      <c r="AG206" s="151"/>
      <c r="AH206" s="2958"/>
      <c r="AI206" s="2495"/>
      <c r="AJ206" s="686">
        <f t="shared" ref="AJ206:AJ218" si="13">AI495</f>
        <v>4.0950219141690898E-2</v>
      </c>
      <c r="AK206" s="687">
        <f>CALCULATIONS!FE14</f>
        <v>-0.22301136363636356</v>
      </c>
      <c r="AL206" s="75"/>
      <c r="AM206" s="151"/>
      <c r="AN206" s="151"/>
      <c r="AO206" s="151"/>
      <c r="AP206" s="151"/>
      <c r="AQ206" s="151"/>
      <c r="AR206" s="151"/>
      <c r="AS206" s="151"/>
      <c r="AT206" s="151"/>
      <c r="AU206" s="504" t="s">
        <v>286</v>
      </c>
      <c r="AV206" s="2495"/>
    </row>
    <row r="207" spans="1:48">
      <c r="A207" s="406" t="s">
        <v>374</v>
      </c>
      <c r="B207" s="294" t="s">
        <v>42</v>
      </c>
      <c r="C207" s="2435"/>
      <c r="D207" s="501">
        <f t="shared" si="11"/>
        <v>0.56323171407839789</v>
      </c>
      <c r="E207" s="3965">
        <f>CALCULATIONS!GU15</f>
        <v>3.8459062845563983</v>
      </c>
      <c r="F207" s="151"/>
      <c r="G207" s="151"/>
      <c r="H207" s="151"/>
      <c r="I207" s="160"/>
      <c r="J207" s="501">
        <f>D113</f>
        <v>0.5161290322580645</v>
      </c>
      <c r="K207" s="3965">
        <f>CALCULATIONS!GS15</f>
        <v>3.7439277362047823</v>
      </c>
      <c r="L207" s="488"/>
      <c r="M207" s="2508"/>
      <c r="N207" s="151"/>
      <c r="O207" s="151"/>
      <c r="P207" s="151"/>
      <c r="Q207" s="151"/>
      <c r="R207" s="151"/>
      <c r="S207" s="151"/>
      <c r="T207" s="151"/>
      <c r="U207" s="151"/>
      <c r="V207" s="1659"/>
      <c r="W207" s="244">
        <f t="shared" si="10"/>
        <v>0.58334166469020743</v>
      </c>
      <c r="X207" s="3965">
        <f>CALCULATIONS!GE15</f>
        <v>4.5397999999999996</v>
      </c>
      <c r="Y207" s="151"/>
      <c r="Z207" s="151"/>
      <c r="AA207" s="151"/>
      <c r="AB207" s="151"/>
      <c r="AC207" s="151"/>
      <c r="AD207" s="151"/>
      <c r="AE207" s="151"/>
      <c r="AF207" s="151"/>
      <c r="AG207" s="151"/>
      <c r="AH207" s="2958"/>
      <c r="AI207" s="2495"/>
      <c r="AJ207" s="686">
        <f t="shared" si="13"/>
        <v>-6.0545455382306421E-2</v>
      </c>
      <c r="AK207" s="687">
        <f>CALCULATIONS!FE15</f>
        <v>7.155091441516115E-3</v>
      </c>
      <c r="AL207" s="75"/>
      <c r="AM207" s="151"/>
      <c r="AN207" s="151"/>
      <c r="AO207" s="151"/>
      <c r="AP207" s="151"/>
      <c r="AQ207" s="151"/>
      <c r="AR207" s="151"/>
      <c r="AS207" s="151"/>
      <c r="AT207" s="151"/>
      <c r="AU207" s="504" t="s">
        <v>42</v>
      </c>
      <c r="AV207" s="2495"/>
    </row>
    <row r="208" spans="1:48">
      <c r="A208" s="838" t="s">
        <v>499</v>
      </c>
      <c r="B208" s="839" t="s">
        <v>284</v>
      </c>
      <c r="C208" s="2447"/>
      <c r="D208" s="502">
        <f t="shared" si="11"/>
        <v>0.34534166666666666</v>
      </c>
      <c r="E208" s="3965">
        <f>CALCULATIONS!GU16</f>
        <v>4.6475023511824993</v>
      </c>
      <c r="F208" s="151"/>
      <c r="G208" s="151"/>
      <c r="H208" s="151"/>
      <c r="I208" s="160"/>
      <c r="J208" s="502">
        <f>E114</f>
        <v>0.34090000000000004</v>
      </c>
      <c r="K208" s="3967">
        <f>CALCULATIONS!GQ16</f>
        <v>4.1170506660938244</v>
      </c>
      <c r="L208" s="488"/>
      <c r="M208" s="2508"/>
      <c r="N208" s="151"/>
      <c r="O208" s="151"/>
      <c r="P208" s="151"/>
      <c r="Q208" s="151"/>
      <c r="R208" s="151"/>
      <c r="S208" s="151"/>
      <c r="T208" s="151"/>
      <c r="U208" s="151"/>
      <c r="V208" s="1659"/>
      <c r="W208" s="244">
        <f t="shared" si="10"/>
        <v>0.36840000000000006</v>
      </c>
      <c r="X208" s="3965">
        <f>CALCULATIONS!GE16</f>
        <v>5.2646466027831975</v>
      </c>
      <c r="Y208" s="151"/>
      <c r="Z208" s="151"/>
      <c r="AA208" s="151"/>
      <c r="AB208" s="151"/>
      <c r="AC208" s="151"/>
      <c r="AD208" s="151"/>
      <c r="AE208" s="151"/>
      <c r="AF208" s="151"/>
      <c r="AG208" s="151"/>
      <c r="AH208" s="2958"/>
      <c r="AI208" s="2495"/>
      <c r="AJ208" s="686">
        <f t="shared" si="13"/>
        <v>-5.4500069338510607E-2</v>
      </c>
      <c r="AK208" s="687">
        <f>CALCULATIONS!FE16</f>
        <v>-0.18650793650793657</v>
      </c>
      <c r="AL208" s="75"/>
      <c r="AM208" s="151"/>
      <c r="AN208" s="151"/>
      <c r="AO208" s="151"/>
      <c r="AP208" s="151"/>
      <c r="AQ208" s="151"/>
      <c r="AR208" s="151"/>
      <c r="AS208" s="151"/>
      <c r="AT208" s="151"/>
      <c r="AU208" s="840" t="s">
        <v>284</v>
      </c>
      <c r="AV208" s="2495"/>
    </row>
    <row r="209" spans="1:49">
      <c r="A209" s="406" t="s">
        <v>500</v>
      </c>
      <c r="B209" s="294" t="s">
        <v>279</v>
      </c>
      <c r="C209" s="2435"/>
      <c r="D209" s="501">
        <f t="shared" si="11"/>
        <v>0.7344324868237998</v>
      </c>
      <c r="E209" s="3965">
        <f>CALCULATIONS!GU17</f>
        <v>5.7229254321128114</v>
      </c>
      <c r="F209" s="151"/>
      <c r="G209" s="151"/>
      <c r="H209" s="151"/>
      <c r="I209" s="160"/>
      <c r="J209" s="501">
        <f>D115</f>
        <v>0.74956908795771016</v>
      </c>
      <c r="K209" s="3965">
        <f>CALCULATIONS!GS17</f>
        <v>6.1939465303838475</v>
      </c>
      <c r="L209" s="488"/>
      <c r="M209" s="2508"/>
      <c r="N209" s="151"/>
      <c r="O209" s="151"/>
      <c r="P209" s="151"/>
      <c r="Q209" s="151"/>
      <c r="R209" s="151"/>
      <c r="S209" s="151"/>
      <c r="T209" s="151"/>
      <c r="U209" s="151"/>
      <c r="V209" s="1659"/>
      <c r="W209" s="244">
        <f t="shared" si="10"/>
        <v>0.62585722455497383</v>
      </c>
      <c r="X209" s="3965">
        <f>CALCULATIONS!GE17</f>
        <v>5.2049898041945069</v>
      </c>
      <c r="Y209" s="151"/>
      <c r="Z209" s="151"/>
      <c r="AA209" s="151"/>
      <c r="AB209" s="151"/>
      <c r="AC209" s="151"/>
      <c r="AD209" s="151"/>
      <c r="AE209" s="151"/>
      <c r="AF209" s="151"/>
      <c r="AG209" s="151"/>
      <c r="AH209" s="2958"/>
      <c r="AI209" s="2495"/>
      <c r="AJ209" s="686">
        <f t="shared" si="13"/>
        <v>0.10784712869930438</v>
      </c>
      <c r="AK209" s="687">
        <f>CALCULATIONS!FE17</f>
        <v>4.622858690500363E-2</v>
      </c>
      <c r="AL209" s="75"/>
      <c r="AM209" s="151"/>
      <c r="AN209" s="151"/>
      <c r="AO209" s="151"/>
      <c r="AP209" s="151"/>
      <c r="AQ209" s="151"/>
      <c r="AR209" s="151"/>
      <c r="AS209" s="151"/>
      <c r="AT209" s="151"/>
      <c r="AU209" s="504" t="s">
        <v>279</v>
      </c>
      <c r="AV209" s="2495"/>
    </row>
    <row r="210" spans="1:49">
      <c r="A210" s="406" t="s">
        <v>501</v>
      </c>
      <c r="B210" s="294" t="s">
        <v>44</v>
      </c>
      <c r="C210" s="2435"/>
      <c r="D210" s="502">
        <f t="shared" si="11"/>
        <v>0.5805147103617575</v>
      </c>
      <c r="E210" s="3965">
        <f>CALCULATIONS!GU18</f>
        <v>5.0345645887817243</v>
      </c>
      <c r="F210" s="151"/>
      <c r="G210" s="151"/>
      <c r="H210" s="151"/>
      <c r="I210" s="160"/>
      <c r="J210" s="501">
        <f>D116</f>
        <v>0.60384301884652736</v>
      </c>
      <c r="K210" s="3965">
        <f>CALCULATIONS!GS18</f>
        <v>4.0325018858098245</v>
      </c>
      <c r="L210" s="488"/>
      <c r="M210" s="2508"/>
      <c r="N210" s="151"/>
      <c r="O210" s="151"/>
      <c r="P210" s="151"/>
      <c r="Q210" s="151"/>
      <c r="R210" s="151"/>
      <c r="S210" s="151"/>
      <c r="T210" s="151"/>
      <c r="U210" s="151"/>
      <c r="V210" s="1659"/>
      <c r="W210" s="244">
        <f t="shared" si="10"/>
        <v>0.5497633776823857</v>
      </c>
      <c r="X210" s="3965">
        <f>CALCULATIONS!GE18</f>
        <v>5.7602103537566114</v>
      </c>
      <c r="Y210" s="151"/>
      <c r="Z210" s="151"/>
      <c r="AA210" s="151"/>
      <c r="AB210" s="151"/>
      <c r="AC210" s="151"/>
      <c r="AD210" s="151"/>
      <c r="AE210" s="151"/>
      <c r="AF210" s="151"/>
      <c r="AG210" s="151"/>
      <c r="AH210" s="2958"/>
      <c r="AI210" s="2495"/>
      <c r="AJ210" s="686">
        <f t="shared" si="13"/>
        <v>8.4948466413752491E-2</v>
      </c>
      <c r="AK210" s="687">
        <f>CALCULATIONS!FE18</f>
        <v>-0.29461890772402971</v>
      </c>
      <c r="AL210" s="75"/>
      <c r="AM210" s="151"/>
      <c r="AN210" s="151"/>
      <c r="AO210" s="151"/>
      <c r="AP210" s="151"/>
      <c r="AQ210" s="151"/>
      <c r="AR210" s="151"/>
      <c r="AS210" s="151"/>
      <c r="AT210" s="151"/>
      <c r="AU210" s="504" t="s">
        <v>44</v>
      </c>
      <c r="AV210" s="2495"/>
    </row>
    <row r="211" spans="1:49">
      <c r="A211" s="406" t="s">
        <v>502</v>
      </c>
      <c r="B211" s="294" t="s">
        <v>287</v>
      </c>
      <c r="C211" s="2435"/>
      <c r="D211" s="501">
        <f t="shared" si="11"/>
        <v>0.42290073595624156</v>
      </c>
      <c r="E211" s="3965">
        <f>CALCULATIONS!GU19</f>
        <v>4.3531629475873661</v>
      </c>
      <c r="F211" s="151"/>
      <c r="G211" s="151"/>
      <c r="H211" s="151"/>
      <c r="I211" s="160"/>
      <c r="J211" s="501">
        <f>D117</f>
        <v>0.4260134005544996</v>
      </c>
      <c r="K211" s="3965">
        <f>CALCULATIONS!GS19</f>
        <v>3.4400754167452243</v>
      </c>
      <c r="L211" s="488"/>
      <c r="M211" s="2508"/>
      <c r="N211" s="151"/>
      <c r="O211" s="151"/>
      <c r="P211" s="151"/>
      <c r="Q211" s="151"/>
      <c r="R211" s="151"/>
      <c r="S211" s="151"/>
      <c r="T211" s="151"/>
      <c r="U211" s="151"/>
      <c r="V211" s="1659"/>
      <c r="W211" s="244">
        <f t="shared" si="10"/>
        <v>0.4566820303658996</v>
      </c>
      <c r="X211" s="3965">
        <f>CALCULATIONS!GE19</f>
        <v>4.071678259913444</v>
      </c>
      <c r="Y211" s="151"/>
      <c r="Z211" s="151"/>
      <c r="AA211" s="151"/>
      <c r="AB211" s="151"/>
      <c r="AC211" s="151"/>
      <c r="AD211" s="151"/>
      <c r="AE211" s="151"/>
      <c r="AF211" s="151"/>
      <c r="AG211" s="151"/>
      <c r="AH211" s="2958"/>
      <c r="AI211" s="2495"/>
      <c r="AJ211" s="686">
        <f t="shared" si="13"/>
        <v>9.1811010201268306E-2</v>
      </c>
      <c r="AK211" s="687">
        <f>CALCULATIONS!FE19</f>
        <v>-9.510218368830603E-2</v>
      </c>
      <c r="AL211" s="75"/>
      <c r="AM211" s="151"/>
      <c r="AN211" s="151"/>
      <c r="AO211" s="151"/>
      <c r="AP211" s="151"/>
      <c r="AQ211" s="151"/>
      <c r="AR211" s="151"/>
      <c r="AS211" s="151"/>
      <c r="AT211" s="151"/>
      <c r="AU211" s="504" t="s">
        <v>287</v>
      </c>
      <c r="AV211" s="2495"/>
    </row>
    <row r="212" spans="1:49">
      <c r="A212" s="838" t="s">
        <v>27</v>
      </c>
      <c r="B212" s="839" t="s">
        <v>54</v>
      </c>
      <c r="C212" s="2447"/>
      <c r="D212" s="869">
        <f t="shared" si="11"/>
        <v>0.48460704112825509</v>
      </c>
      <c r="E212" s="3965">
        <f>CALCULATIONS!GU20</f>
        <v>6.3422811159545107</v>
      </c>
      <c r="F212" s="151"/>
      <c r="G212" s="151"/>
      <c r="H212" s="151"/>
      <c r="I212" s="160"/>
      <c r="J212" s="869">
        <f>E118</f>
        <v>0.47118282781144899</v>
      </c>
      <c r="K212" s="3967">
        <f>CALCULATIONS!GQ20</f>
        <v>5.1280795143125681</v>
      </c>
      <c r="L212" s="488"/>
      <c r="M212" s="2508"/>
      <c r="N212" s="151"/>
      <c r="O212" s="151"/>
      <c r="P212" s="151"/>
      <c r="Q212" s="151"/>
      <c r="R212" s="151"/>
      <c r="S212" s="151"/>
      <c r="T212" s="151"/>
      <c r="U212" s="151"/>
      <c r="V212" s="1659"/>
      <c r="W212" s="244">
        <f t="shared" si="10"/>
        <v>0.5101</v>
      </c>
      <c r="X212" s="3965">
        <f>CALCULATIONS!GE20</f>
        <v>5.6316364047026521</v>
      </c>
      <c r="Y212" s="151"/>
      <c r="Z212" s="151"/>
      <c r="AA212" s="151"/>
      <c r="AB212" s="151"/>
      <c r="AC212" s="151"/>
      <c r="AD212" s="151"/>
      <c r="AE212" s="151"/>
      <c r="AF212" s="151"/>
      <c r="AG212" s="151"/>
      <c r="AH212" s="2958"/>
      <c r="AI212" s="2495"/>
      <c r="AJ212" s="686">
        <f t="shared" si="13"/>
        <v>-0.18079580514885477</v>
      </c>
      <c r="AK212" s="687">
        <f>CALCULATIONS!FE20</f>
        <v>-0.25656220854833328</v>
      </c>
      <c r="AL212" s="75"/>
      <c r="AM212" s="151"/>
      <c r="AN212" s="151"/>
      <c r="AO212" s="151"/>
      <c r="AP212" s="151"/>
      <c r="AQ212" s="151"/>
      <c r="AR212" s="151"/>
      <c r="AS212" s="151"/>
      <c r="AT212" s="151"/>
      <c r="AU212" s="504" t="s">
        <v>54</v>
      </c>
      <c r="AV212" s="2495"/>
    </row>
    <row r="213" spans="1:49">
      <c r="A213" s="406" t="s">
        <v>32</v>
      </c>
      <c r="B213" s="294" t="s">
        <v>50</v>
      </c>
      <c r="C213" s="2435"/>
      <c r="D213" s="501">
        <f t="shared" si="11"/>
        <v>0</v>
      </c>
      <c r="E213" s="3965">
        <f>CALCULATIONS!GU21</f>
        <v>4.7123747267525307</v>
      </c>
      <c r="F213" s="151"/>
      <c r="G213" s="151"/>
      <c r="H213" s="151"/>
      <c r="I213" s="2511"/>
      <c r="J213" s="501">
        <f>D119</f>
        <v>0</v>
      </c>
      <c r="K213" s="3965">
        <f>CALCULATIONS!GS21</f>
        <v>5.7096258695546744</v>
      </c>
      <c r="L213" s="488"/>
      <c r="M213" s="2508"/>
      <c r="N213" s="151"/>
      <c r="O213" s="151"/>
      <c r="P213" s="151"/>
      <c r="Q213" s="151"/>
      <c r="R213" s="151"/>
      <c r="S213" s="151"/>
      <c r="T213" s="151"/>
      <c r="U213" s="151"/>
      <c r="V213" s="1659"/>
      <c r="W213" s="244">
        <f t="shared" si="10"/>
        <v>0</v>
      </c>
      <c r="X213" s="3965">
        <f>CALCULATIONS!GE21</f>
        <v>5.5069568381935765</v>
      </c>
      <c r="Y213" s="151"/>
      <c r="Z213" s="151"/>
      <c r="AA213" s="151"/>
      <c r="AB213" s="151"/>
      <c r="AC213" s="151"/>
      <c r="AD213" s="151"/>
      <c r="AE213" s="151"/>
      <c r="AF213" s="151"/>
      <c r="AG213" s="151"/>
      <c r="AH213" s="2958"/>
      <c r="AI213" s="2495"/>
      <c r="AJ213" s="686">
        <f t="shared" si="13"/>
        <v>0</v>
      </c>
      <c r="AK213" s="687">
        <f>CALCULATIONS!FE21</f>
        <v>0.51769719342055254</v>
      </c>
      <c r="AL213" s="75"/>
      <c r="AM213" s="151"/>
      <c r="AN213" s="151"/>
      <c r="AO213" s="151"/>
      <c r="AP213" s="151"/>
      <c r="AQ213" s="151"/>
      <c r="AR213" s="151"/>
      <c r="AS213" s="151"/>
      <c r="AT213" s="151"/>
      <c r="AU213" s="504" t="s">
        <v>50</v>
      </c>
      <c r="AV213" s="2495"/>
    </row>
    <row r="214" spans="1:49">
      <c r="A214" s="406" t="s">
        <v>32</v>
      </c>
      <c r="B214" s="294" t="s">
        <v>277</v>
      </c>
      <c r="C214" s="2435"/>
      <c r="D214" s="501">
        <f t="shared" si="11"/>
        <v>0.91487499999999988</v>
      </c>
      <c r="E214" s="3965">
        <f>CALCULATIONS!GU22</f>
        <v>7.534246564629953</v>
      </c>
      <c r="F214" s="151"/>
      <c r="G214" s="151"/>
      <c r="H214" s="151"/>
      <c r="I214" s="160"/>
      <c r="J214" s="501">
        <f>E120</f>
        <v>0.88549999999999995</v>
      </c>
      <c r="K214" s="3967">
        <f>CALCULATIONS!GR22</f>
        <v>8.6584668441025876</v>
      </c>
      <c r="L214" s="488"/>
      <c r="M214" s="2508"/>
      <c r="N214" s="151"/>
      <c r="O214" s="151"/>
      <c r="P214" s="151"/>
      <c r="Q214" s="151"/>
      <c r="R214" s="151"/>
      <c r="S214" s="151"/>
      <c r="T214" s="151"/>
      <c r="U214" s="151"/>
      <c r="V214" s="1659"/>
      <c r="W214" s="244">
        <f t="shared" si="10"/>
        <v>0.92599999999999993</v>
      </c>
      <c r="X214" s="3965">
        <f>CALCULATIONS!GE22</f>
        <v>7.5158356243992479</v>
      </c>
      <c r="Y214" s="151"/>
      <c r="Z214" s="151"/>
      <c r="AA214" s="151"/>
      <c r="AB214" s="151"/>
      <c r="AC214" s="151"/>
      <c r="AD214" s="151"/>
      <c r="AE214" s="151"/>
      <c r="AF214" s="151"/>
      <c r="AG214" s="151"/>
      <c r="AH214" s="2958"/>
      <c r="AI214" s="2495"/>
      <c r="AJ214" s="686">
        <f t="shared" si="13"/>
        <v>-4.3736501079913587E-2</v>
      </c>
      <c r="AK214" s="687">
        <f>CALCULATIONS!FE22</f>
        <v>0.13245148433116438</v>
      </c>
      <c r="AL214" s="75"/>
      <c r="AM214" s="151"/>
      <c r="AN214" s="151"/>
      <c r="AO214" s="151"/>
      <c r="AP214" s="151"/>
      <c r="AQ214" s="151"/>
      <c r="AR214" s="151"/>
      <c r="AS214" s="151"/>
      <c r="AT214" s="151"/>
      <c r="AU214" s="504" t="s">
        <v>277</v>
      </c>
      <c r="AV214" s="2495"/>
    </row>
    <row r="215" spans="1:49">
      <c r="A215" s="406" t="s">
        <v>503</v>
      </c>
      <c r="B215" s="294" t="s">
        <v>282</v>
      </c>
      <c r="C215" s="2435"/>
      <c r="D215" s="501">
        <f t="shared" si="11"/>
        <v>0.67984865616162071</v>
      </c>
      <c r="E215" s="3965">
        <f>CALCULATIONS!GU23</f>
        <v>7.5628972253366413</v>
      </c>
      <c r="F215" s="151"/>
      <c r="G215" s="151"/>
      <c r="H215" s="151"/>
      <c r="I215" s="160"/>
      <c r="J215" s="501">
        <f>D121</f>
        <v>0.7167630057803468</v>
      </c>
      <c r="K215" s="3965">
        <f>CALCULATIONS!GS23</f>
        <v>7.6896404016441506</v>
      </c>
      <c r="L215" s="488"/>
      <c r="M215" s="2508"/>
      <c r="N215" s="151"/>
      <c r="O215" s="151"/>
      <c r="P215" s="151"/>
      <c r="Q215" s="151"/>
      <c r="R215" s="151"/>
      <c r="S215" s="151"/>
      <c r="T215" s="151"/>
      <c r="U215" s="151"/>
      <c r="V215" s="1659"/>
      <c r="W215" s="244">
        <f t="shared" si="10"/>
        <v>0.61707988980716255</v>
      </c>
      <c r="X215" s="3965">
        <f>CALCULATIONS!GE23</f>
        <v>7.7524112450340725</v>
      </c>
      <c r="Y215" s="151"/>
      <c r="Z215" s="151"/>
      <c r="AA215" s="151"/>
      <c r="AB215" s="151"/>
      <c r="AC215" s="151"/>
      <c r="AD215" s="151"/>
      <c r="AE215" s="151"/>
      <c r="AF215" s="151"/>
      <c r="AG215" s="151"/>
      <c r="AH215" s="2958"/>
      <c r="AI215" s="2495"/>
      <c r="AJ215" s="686">
        <f t="shared" si="13"/>
        <v>0.11334582604034234</v>
      </c>
      <c r="AK215" s="687">
        <f>CALCULATIONS!FE23</f>
        <v>1.950839376048388E-2</v>
      </c>
      <c r="AL215" s="75"/>
      <c r="AM215" s="151"/>
      <c r="AN215" s="151"/>
      <c r="AO215" s="151"/>
      <c r="AP215" s="151"/>
      <c r="AQ215" s="151"/>
      <c r="AR215" s="151"/>
      <c r="AS215" s="151"/>
      <c r="AT215" s="151"/>
      <c r="AU215" s="504" t="s">
        <v>282</v>
      </c>
      <c r="AV215" s="2495"/>
    </row>
    <row r="216" spans="1:49">
      <c r="A216" s="406" t="s">
        <v>503</v>
      </c>
      <c r="B216" s="294" t="s">
        <v>280</v>
      </c>
      <c r="C216" s="2435"/>
      <c r="D216" s="501">
        <f t="shared" si="11"/>
        <v>0.67083419702973635</v>
      </c>
      <c r="E216" s="3965">
        <f>CALCULATIONS!GU24</f>
        <v>6.5589809256196414</v>
      </c>
      <c r="F216" s="151"/>
      <c r="G216" s="151"/>
      <c r="H216" s="151"/>
      <c r="I216" s="160"/>
      <c r="J216" s="501">
        <f>D122</f>
        <v>0.63639387890884902</v>
      </c>
      <c r="K216" s="3965">
        <f>CALCULATIONS!GS24</f>
        <v>5.5145354419406587</v>
      </c>
      <c r="L216" s="488"/>
      <c r="M216" s="2508"/>
      <c r="N216" s="151"/>
      <c r="O216" s="151"/>
      <c r="P216" s="151"/>
      <c r="Q216" s="151"/>
      <c r="R216" s="151"/>
      <c r="S216" s="151"/>
      <c r="T216" s="151"/>
      <c r="U216" s="151"/>
      <c r="V216" s="1659"/>
      <c r="W216" s="244">
        <f t="shared" si="10"/>
        <v>0.70310836704279323</v>
      </c>
      <c r="X216" s="3965">
        <f>CALCULATIONS!GE24</f>
        <v>5.518069631932768</v>
      </c>
      <c r="Y216" s="151"/>
      <c r="Z216" s="151"/>
      <c r="AA216" s="151"/>
      <c r="AB216" s="151"/>
      <c r="AC216" s="151"/>
      <c r="AD216" s="151"/>
      <c r="AE216" s="151"/>
      <c r="AF216" s="151"/>
      <c r="AG216" s="151"/>
      <c r="AH216" s="2958"/>
      <c r="AI216" s="2495"/>
      <c r="AJ216" s="686">
        <f t="shared" si="13"/>
        <v>9.3304513312571363E-2</v>
      </c>
      <c r="AK216" s="687">
        <f>CALCULATIONS!FE24</f>
        <v>-5.5909957471770005E-3</v>
      </c>
      <c r="AL216" s="75"/>
      <c r="AM216" s="151"/>
      <c r="AN216" s="151"/>
      <c r="AO216" s="151"/>
      <c r="AP216" s="151"/>
      <c r="AQ216" s="151"/>
      <c r="AR216" s="151"/>
      <c r="AS216" s="151"/>
      <c r="AT216" s="151"/>
      <c r="AU216" s="504" t="s">
        <v>280</v>
      </c>
      <c r="AV216" s="2495"/>
    </row>
    <row r="217" spans="1:49">
      <c r="A217" s="406" t="s">
        <v>504</v>
      </c>
      <c r="B217" s="294" t="s">
        <v>288</v>
      </c>
      <c r="C217" s="2435"/>
      <c r="D217" s="501">
        <f t="shared" si="11"/>
        <v>0.32615050588405037</v>
      </c>
      <c r="E217" s="3965">
        <f>CALCULATIONS!GU25</f>
        <v>6.7450557383311427</v>
      </c>
      <c r="F217" s="151"/>
      <c r="G217" s="151"/>
      <c r="H217" s="151"/>
      <c r="I217" s="160"/>
      <c r="J217" s="501">
        <f>D123</f>
        <v>0.30985103942866765</v>
      </c>
      <c r="K217" s="3965">
        <f>CALCULATIONS!GS25</f>
        <v>7.5822149145373468</v>
      </c>
      <c r="L217" s="488"/>
      <c r="M217" s="2508"/>
      <c r="N217" s="151"/>
      <c r="O217" s="151"/>
      <c r="P217" s="151"/>
      <c r="Q217" s="151"/>
      <c r="R217" s="151"/>
      <c r="S217" s="151"/>
      <c r="T217" s="151"/>
      <c r="U217" s="151"/>
      <c r="V217" s="1659"/>
      <c r="W217" s="244">
        <f t="shared" si="10"/>
        <v>0.35321659907288117</v>
      </c>
      <c r="X217" s="3965">
        <f>CALCULATIONS!GE25</f>
        <v>6.4576449666827171</v>
      </c>
      <c r="Y217" s="151"/>
      <c r="Z217" s="151"/>
      <c r="AA217" s="151"/>
      <c r="AB217" s="151"/>
      <c r="AC217" s="151"/>
      <c r="AD217" s="151"/>
      <c r="AE217" s="151"/>
      <c r="AF217" s="151"/>
      <c r="AG217" s="151"/>
      <c r="AH217" s="2958"/>
      <c r="AI217" s="2495"/>
      <c r="AJ217" s="686">
        <f t="shared" si="13"/>
        <v>-8.7660674172335792E-2</v>
      </c>
      <c r="AK217" s="687">
        <f>CALCULATIONS!FE25</f>
        <v>0.21799740422054512</v>
      </c>
      <c r="AL217" s="75"/>
      <c r="AM217" s="151"/>
      <c r="AN217" s="151"/>
      <c r="AO217" s="151"/>
      <c r="AP217" s="151"/>
      <c r="AQ217" s="151"/>
      <c r="AR217" s="151"/>
      <c r="AS217" s="151"/>
      <c r="AT217" s="151"/>
      <c r="AU217" s="504" t="s">
        <v>288</v>
      </c>
      <c r="AV217" s="2495"/>
    </row>
    <row r="218" spans="1:49">
      <c r="A218" s="406" t="s">
        <v>27</v>
      </c>
      <c r="B218" s="294" t="s">
        <v>353</v>
      </c>
      <c r="C218" s="2435"/>
      <c r="D218" s="501">
        <f t="shared" si="11"/>
        <v>0.90539538726018864</v>
      </c>
      <c r="E218" s="3965">
        <f>CALCULATIONS!GU26</f>
        <v>4.0370208841188875</v>
      </c>
      <c r="F218" s="151"/>
      <c r="G218" s="151"/>
      <c r="H218" s="151"/>
      <c r="I218" s="160"/>
      <c r="J218" s="501">
        <f>D124</f>
        <v>0.89258114374034003</v>
      </c>
      <c r="K218" s="3965">
        <f>CALCULATIONS!GS26</f>
        <v>3.9063069179772585</v>
      </c>
      <c r="L218" s="488"/>
      <c r="M218" s="2508"/>
      <c r="N218" s="151"/>
      <c r="O218" s="151"/>
      <c r="P218" s="151"/>
      <c r="Q218" s="151"/>
      <c r="R218" s="151"/>
      <c r="S218" s="151"/>
      <c r="T218" s="151"/>
      <c r="U218" s="151"/>
      <c r="V218" s="1659"/>
      <c r="W218" s="244">
        <f t="shared" si="10"/>
        <v>0.92232145907274721</v>
      </c>
      <c r="X218" s="3965">
        <f>CALCULATIONS!GE26</f>
        <v>5.5578222900335454</v>
      </c>
      <c r="Y218" s="151"/>
      <c r="Z218" s="151"/>
      <c r="AA218" s="151"/>
      <c r="AB218" s="151"/>
      <c r="AC218" s="151"/>
      <c r="AD218" s="151"/>
      <c r="AE218" s="151"/>
      <c r="AF218" s="151"/>
      <c r="AG218" s="151"/>
      <c r="AH218" s="2958"/>
      <c r="AI218" s="2495"/>
      <c r="AJ218" s="686">
        <f t="shared" si="13"/>
        <v>-3.771277618520176E-2</v>
      </c>
      <c r="AK218" s="687">
        <f>CALCULATIONS!FE26</f>
        <v>-0.11361540098857696</v>
      </c>
      <c r="AL218" s="75"/>
      <c r="AM218" s="151"/>
      <c r="AN218" s="151"/>
      <c r="AO218" s="151"/>
      <c r="AP218" s="151"/>
      <c r="AQ218" s="151"/>
      <c r="AR218" s="151"/>
      <c r="AS218" s="151"/>
      <c r="AT218" s="151"/>
      <c r="AU218" s="504" t="s">
        <v>353</v>
      </c>
      <c r="AV218" s="2495"/>
    </row>
    <row r="219" spans="1:49">
      <c r="A219" s="641"/>
      <c r="B219" s="1331"/>
      <c r="D219" s="151"/>
      <c r="E219" s="151"/>
      <c r="F219" s="151"/>
      <c r="G219" s="151"/>
      <c r="H219" s="151"/>
      <c r="I219" s="160"/>
      <c r="J219" s="3113"/>
      <c r="K219" s="71"/>
      <c r="L219" s="488"/>
      <c r="M219" s="2507"/>
      <c r="N219" s="151"/>
      <c r="O219" s="151"/>
      <c r="P219" s="151"/>
      <c r="Q219" s="151"/>
      <c r="R219" s="151"/>
      <c r="S219" s="151"/>
      <c r="T219" s="151"/>
      <c r="U219" s="151"/>
      <c r="V219" s="1659"/>
      <c r="W219" s="3116"/>
      <c r="X219" s="3114"/>
      <c r="Y219" s="151"/>
      <c r="Z219" s="151"/>
      <c r="AA219" s="151"/>
      <c r="AB219" s="151"/>
      <c r="AC219" s="151"/>
      <c r="AD219" s="151"/>
      <c r="AE219" s="151"/>
      <c r="AF219" s="151"/>
      <c r="AG219" s="151"/>
      <c r="AH219" s="2958"/>
      <c r="AI219" s="2495"/>
      <c r="AJ219" s="1659"/>
      <c r="AK219" s="2085"/>
      <c r="AL219" s="151"/>
      <c r="AM219" s="151"/>
      <c r="AN219" s="151"/>
      <c r="AO219" s="151"/>
      <c r="AP219" s="151"/>
      <c r="AQ219" s="151"/>
      <c r="AR219" s="151"/>
      <c r="AS219" s="151"/>
      <c r="AT219" s="151"/>
      <c r="AU219" s="151"/>
      <c r="AV219" s="2495"/>
    </row>
    <row r="220" spans="1:49" s="3920" customFormat="1">
      <c r="A220" s="3944" t="s">
        <v>2199</v>
      </c>
      <c r="B220" s="3945" t="s">
        <v>2198</v>
      </c>
      <c r="C220" s="3946"/>
      <c r="D220" s="4085" t="s">
        <v>2746</v>
      </c>
      <c r="E220" s="4085"/>
      <c r="F220" s="4085"/>
      <c r="G220" s="4085"/>
      <c r="H220" s="4085"/>
      <c r="I220" s="4085"/>
      <c r="J220" s="3947"/>
      <c r="K220" s="3918" t="s">
        <v>2200</v>
      </c>
      <c r="L220" s="3919"/>
      <c r="N220" s="3917"/>
      <c r="O220" s="3917"/>
      <c r="P220" s="3917"/>
      <c r="Q220" s="3917"/>
      <c r="R220" s="3917"/>
      <c r="S220" s="3917"/>
      <c r="T220" s="3917"/>
      <c r="U220" s="3917"/>
      <c r="V220" s="3921"/>
      <c r="W220" s="3921"/>
      <c r="X220" s="3918" t="s">
        <v>2201</v>
      </c>
      <c r="Y220" s="3922"/>
      <c r="Z220" s="3922"/>
      <c r="AA220" s="3922"/>
      <c r="AB220" s="3922"/>
      <c r="AC220" s="3922"/>
      <c r="AD220" s="3922"/>
      <c r="AE220" s="3922"/>
      <c r="AF220" s="3922"/>
      <c r="AG220" s="3922"/>
      <c r="AH220" s="3922"/>
      <c r="AI220" s="3948"/>
      <c r="AJ220" s="3922"/>
      <c r="AK220" s="3922"/>
      <c r="AL220" s="3922"/>
      <c r="AM220" s="3922"/>
      <c r="AN220" s="3922"/>
      <c r="AO220" s="3922"/>
      <c r="AP220" s="3922"/>
      <c r="AQ220" s="3922"/>
      <c r="AR220" s="3922"/>
      <c r="AS220" s="3922"/>
      <c r="AT220" s="3922"/>
      <c r="AU220" s="3922"/>
      <c r="AV220" s="3948"/>
      <c r="AW220" s="3928"/>
    </row>
    <row r="221" spans="1:49" s="3920" customFormat="1" ht="12.75" customHeight="1">
      <c r="A221" s="3949" t="s">
        <v>1183</v>
      </c>
      <c r="B221" s="3950"/>
      <c r="C221" s="3946"/>
      <c r="D221" s="4162" t="s">
        <v>2738</v>
      </c>
      <c r="E221" s="4162"/>
      <c r="F221" s="4162"/>
      <c r="G221" s="4162"/>
      <c r="H221" s="4162"/>
      <c r="I221" s="4162"/>
      <c r="J221" s="3947"/>
      <c r="K221" s="3923"/>
      <c r="L221" s="3924"/>
      <c r="N221" s="4049" t="s">
        <v>2164</v>
      </c>
      <c r="O221" s="4049"/>
      <c r="P221" s="4049"/>
      <c r="Q221" s="4049"/>
      <c r="R221" s="4049"/>
      <c r="S221" s="4049"/>
      <c r="T221" s="4049"/>
      <c r="U221" s="4049"/>
      <c r="V221" s="3921"/>
      <c r="W221" s="3921"/>
      <c r="X221" s="3925"/>
      <c r="Y221" s="3926"/>
      <c r="Z221" s="4049" t="s">
        <v>2745</v>
      </c>
      <c r="AA221" s="4151"/>
      <c r="AB221" s="4151"/>
      <c r="AC221" s="4151"/>
      <c r="AD221" s="4151"/>
      <c r="AE221" s="4151"/>
      <c r="AF221" s="4151"/>
      <c r="AG221" s="4151"/>
      <c r="AH221" s="3951"/>
      <c r="AI221" s="3948"/>
      <c r="AJ221" s="3948"/>
      <c r="AK221" s="3948"/>
      <c r="AL221" s="3948"/>
      <c r="AM221" s="3948"/>
      <c r="AN221" s="3948"/>
      <c r="AO221" s="3948"/>
      <c r="AP221" s="3948"/>
      <c r="AQ221" s="3948"/>
      <c r="AR221" s="3948"/>
      <c r="AS221" s="3948"/>
      <c r="AT221" s="3948"/>
      <c r="AU221" s="3948"/>
      <c r="AV221" s="3948"/>
      <c r="AW221" s="3928"/>
    </row>
    <row r="222" spans="1:49" s="3928" customFormat="1">
      <c r="A222" s="3925" t="s">
        <v>1182</v>
      </c>
      <c r="B222" s="3950"/>
      <c r="C222" s="3946"/>
      <c r="D222" s="4155"/>
      <c r="E222" s="4155"/>
      <c r="F222" s="4155"/>
      <c r="G222" s="4155"/>
      <c r="H222" s="4155"/>
      <c r="I222" s="4155"/>
      <c r="J222" s="3817"/>
      <c r="K222" s="3923"/>
      <c r="L222" s="3927"/>
      <c r="N222" s="4050"/>
      <c r="O222" s="4050"/>
      <c r="P222" s="4050"/>
      <c r="Q222" s="4050"/>
      <c r="R222" s="4050"/>
      <c r="S222" s="4050"/>
      <c r="T222" s="4050"/>
      <c r="U222" s="4050"/>
      <c r="V222" s="3817"/>
      <c r="W222" s="3817"/>
      <c r="X222" s="3925"/>
      <c r="Y222" s="3929"/>
      <c r="Z222" s="4152"/>
      <c r="AA222" s="4152"/>
      <c r="AB222" s="4152"/>
      <c r="AC222" s="4152"/>
      <c r="AD222" s="4152"/>
      <c r="AE222" s="4152"/>
      <c r="AF222" s="4152"/>
      <c r="AG222" s="4152"/>
      <c r="AH222" s="3951"/>
      <c r="AI222" s="3952"/>
      <c r="AJ222" s="3952"/>
      <c r="AK222" s="3952"/>
      <c r="AL222" s="3952"/>
      <c r="AM222" s="3952"/>
      <c r="AN222" s="3952"/>
      <c r="AO222" s="3952"/>
      <c r="AP222" s="3952"/>
      <c r="AQ222" s="3952"/>
      <c r="AR222" s="3952"/>
      <c r="AS222" s="3952"/>
      <c r="AT222" s="3952"/>
      <c r="AU222" s="3952"/>
    </row>
    <row r="223" spans="1:49" s="3920" customFormat="1" ht="13.15" customHeight="1">
      <c r="A223" s="3953" t="s">
        <v>1161</v>
      </c>
      <c r="B223" s="3954">
        <f>Ranking!D31</f>
        <v>0.31407184445505926</v>
      </c>
      <c r="C223" s="3946"/>
      <c r="D223" s="4153" t="s">
        <v>2739</v>
      </c>
      <c r="E223" s="4153"/>
      <c r="F223" s="4153"/>
      <c r="G223" s="4153"/>
      <c r="H223" s="4153"/>
      <c r="I223" s="4153"/>
      <c r="J223" s="3947"/>
      <c r="K223" s="3930">
        <f>Ranking!H31</f>
        <v>0.37442963096553966</v>
      </c>
      <c r="L223" s="3931"/>
      <c r="N223" s="3912" t="s">
        <v>1185</v>
      </c>
      <c r="O223" s="3913"/>
      <c r="P223" s="3913"/>
      <c r="Q223" s="3913"/>
      <c r="R223" s="3913"/>
      <c r="S223" s="3913"/>
      <c r="T223" s="3913"/>
      <c r="U223" s="3913"/>
      <c r="V223" s="3921"/>
      <c r="W223" s="3921"/>
      <c r="X223" s="3930">
        <f>CALCULATIONS!G35</f>
        <v>0.23820928356947965</v>
      </c>
      <c r="Y223" s="3931"/>
      <c r="Z223" s="3912" t="s">
        <v>968</v>
      </c>
      <c r="AA223" s="3912"/>
      <c r="AB223" s="3912"/>
      <c r="AC223" s="3912"/>
      <c r="AD223" s="3912"/>
      <c r="AE223" s="3912"/>
      <c r="AF223" s="3912"/>
      <c r="AG223" s="3912"/>
      <c r="AH223" s="3916"/>
      <c r="AI223" s="3948"/>
      <c r="AJ223" s="3948"/>
      <c r="AK223" s="3948"/>
      <c r="AL223" s="3948"/>
      <c r="AM223" s="3948"/>
      <c r="AN223" s="3948"/>
      <c r="AO223" s="3948"/>
      <c r="AP223" s="3948"/>
      <c r="AQ223" s="3948"/>
      <c r="AR223" s="3948"/>
      <c r="AS223" s="3948"/>
      <c r="AT223" s="3948"/>
      <c r="AU223" s="3948"/>
      <c r="AW223" s="3928"/>
    </row>
    <row r="224" spans="1:49" s="3920" customFormat="1">
      <c r="A224" s="3938"/>
      <c r="B224" s="3955"/>
      <c r="C224" s="3946"/>
      <c r="D224" s="4155"/>
      <c r="E224" s="4155"/>
      <c r="F224" s="4155"/>
      <c r="G224" s="4155"/>
      <c r="H224" s="4155"/>
      <c r="I224" s="4155"/>
      <c r="J224" s="3947"/>
      <c r="K224" s="3925"/>
      <c r="L224" s="3929"/>
      <c r="N224" s="3914"/>
      <c r="O224" s="3915"/>
      <c r="P224" s="3915"/>
      <c r="Q224" s="3915"/>
      <c r="R224" s="3915"/>
      <c r="S224" s="3915"/>
      <c r="T224" s="3915"/>
      <c r="U224" s="3915"/>
      <c r="V224" s="3921"/>
      <c r="W224" s="3921"/>
      <c r="X224" s="3925"/>
      <c r="Y224" s="3922"/>
      <c r="Z224" s="3914"/>
      <c r="AA224" s="3914"/>
      <c r="AB224" s="3914"/>
      <c r="AC224" s="3914"/>
      <c r="AD224" s="3914"/>
      <c r="AE224" s="3914"/>
      <c r="AF224" s="3914"/>
      <c r="AG224" s="3914"/>
      <c r="AH224" s="3916"/>
      <c r="AI224" s="3948"/>
      <c r="AJ224" s="3948"/>
      <c r="AK224" s="3948"/>
      <c r="AL224" s="3948"/>
      <c r="AM224" s="3948"/>
      <c r="AN224" s="3948"/>
      <c r="AO224" s="3948"/>
      <c r="AP224" s="3948"/>
      <c r="AQ224" s="3948"/>
      <c r="AR224" s="3948"/>
      <c r="AS224" s="3948"/>
      <c r="AT224" s="3948"/>
      <c r="AU224" s="3948"/>
      <c r="AW224" s="3928"/>
    </row>
    <row r="225" spans="1:49" s="3920" customFormat="1" ht="13.15" customHeight="1">
      <c r="A225" s="3956" t="s">
        <v>1653</v>
      </c>
      <c r="B225" s="3957"/>
      <c r="C225" s="3946"/>
      <c r="D225" s="4153" t="s">
        <v>2740</v>
      </c>
      <c r="E225" s="4153"/>
      <c r="F225" s="4153"/>
      <c r="G225" s="4153"/>
      <c r="H225" s="4153"/>
      <c r="I225" s="4153"/>
      <c r="J225" s="3947"/>
      <c r="K225" s="3932"/>
      <c r="L225" s="3933"/>
      <c r="N225" s="3912" t="s">
        <v>1131</v>
      </c>
      <c r="O225" s="3913"/>
      <c r="P225" s="3913"/>
      <c r="Q225" s="3913"/>
      <c r="R225" s="3913"/>
      <c r="S225" s="3913"/>
      <c r="T225" s="3913"/>
      <c r="U225" s="3913"/>
      <c r="V225" s="3921"/>
      <c r="W225" s="3921"/>
      <c r="X225" s="3932"/>
      <c r="Y225" s="3933"/>
      <c r="Z225" s="4051" t="s">
        <v>1654</v>
      </c>
      <c r="AA225" s="4051"/>
      <c r="AB225" s="4051"/>
      <c r="AC225" s="4051"/>
      <c r="AD225" s="4051"/>
      <c r="AE225" s="4051"/>
      <c r="AF225" s="4051"/>
      <c r="AG225" s="4051"/>
      <c r="AH225" s="3917"/>
      <c r="AI225" s="3948"/>
      <c r="AJ225" s="3948"/>
      <c r="AK225" s="3948"/>
      <c r="AL225" s="3948"/>
      <c r="AM225" s="3948"/>
      <c r="AN225" s="3948"/>
      <c r="AO225" s="3948"/>
      <c r="AP225" s="3948"/>
      <c r="AQ225" s="3948"/>
      <c r="AR225" s="3948"/>
      <c r="AS225" s="3948"/>
      <c r="AT225" s="3948"/>
      <c r="AU225" s="3948"/>
      <c r="AW225" s="3928"/>
    </row>
    <row r="226" spans="1:49" s="3920" customFormat="1">
      <c r="A226" s="3925"/>
      <c r="B226" s="3958">
        <f>Ranking!D32</f>
        <v>0.31681610608711819</v>
      </c>
      <c r="C226" s="3946"/>
      <c r="D226" s="4154"/>
      <c r="E226" s="4154"/>
      <c r="F226" s="4154"/>
      <c r="G226" s="4154"/>
      <c r="H226" s="4154"/>
      <c r="I226" s="4154"/>
      <c r="J226" s="3947"/>
      <c r="K226" s="3934">
        <f>Ranking!H32</f>
        <v>0.27372212694371556</v>
      </c>
      <c r="L226" s="3935"/>
      <c r="N226" s="3916"/>
      <c r="O226" s="3917"/>
      <c r="P226" s="3917"/>
      <c r="Q226" s="3917"/>
      <c r="R226" s="3917"/>
      <c r="S226" s="3917"/>
      <c r="T226" s="3917"/>
      <c r="U226" s="3917"/>
      <c r="V226" s="3921"/>
      <c r="W226" s="3921"/>
      <c r="X226" s="3934">
        <f>CALCULATIONS!G36</f>
        <v>0.37020320810169149</v>
      </c>
      <c r="Y226" s="3935"/>
      <c r="Z226" s="4052"/>
      <c r="AA226" s="4052"/>
      <c r="AB226" s="4052"/>
      <c r="AC226" s="4052"/>
      <c r="AD226" s="4052"/>
      <c r="AE226" s="4052"/>
      <c r="AF226" s="4052"/>
      <c r="AG226" s="4052"/>
      <c r="AH226" s="3917"/>
      <c r="AI226" s="3948"/>
      <c r="AJ226" s="3948"/>
      <c r="AK226" s="3948"/>
      <c r="AL226" s="3948"/>
      <c r="AM226" s="3948"/>
      <c r="AN226" s="3948"/>
      <c r="AO226" s="3948"/>
      <c r="AP226" s="3948"/>
      <c r="AQ226" s="3948"/>
      <c r="AR226" s="3948"/>
      <c r="AS226" s="3948"/>
      <c r="AT226" s="3948"/>
      <c r="AU226" s="3948"/>
      <c r="AW226" s="3928"/>
    </row>
    <row r="227" spans="1:49" s="3920" customFormat="1">
      <c r="A227" s="3938" t="s">
        <v>1050</v>
      </c>
      <c r="B227" s="3959">
        <f>Ranking!D33</f>
        <v>0.48280336077918012</v>
      </c>
      <c r="C227" s="3946"/>
      <c r="D227" s="4155"/>
      <c r="E227" s="4155"/>
      <c r="F227" s="4155"/>
      <c r="G227" s="4155"/>
      <c r="H227" s="4155"/>
      <c r="I227" s="4155"/>
      <c r="J227" s="3947"/>
      <c r="K227" s="3936">
        <f>Ranking!H33</f>
        <v>0.40418184360723208</v>
      </c>
      <c r="L227" s="3937"/>
      <c r="N227" s="3914"/>
      <c r="O227" s="3915"/>
      <c r="P227" s="3915"/>
      <c r="Q227" s="3915"/>
      <c r="R227" s="3915"/>
      <c r="S227" s="3915"/>
      <c r="T227" s="3915"/>
      <c r="U227" s="3915"/>
      <c r="V227" s="3921"/>
      <c r="W227" s="3921"/>
      <c r="X227" s="3936">
        <f>CALCULATIONS!G37</f>
        <v>0.59528030454869518</v>
      </c>
      <c r="Y227" s="3937"/>
      <c r="Z227" s="4050"/>
      <c r="AA227" s="4050"/>
      <c r="AB227" s="4050"/>
      <c r="AC227" s="4050"/>
      <c r="AD227" s="4050"/>
      <c r="AE227" s="4050"/>
      <c r="AF227" s="4050"/>
      <c r="AG227" s="4050"/>
      <c r="AH227" s="3917"/>
      <c r="AI227" s="3948"/>
      <c r="AJ227" s="3948"/>
      <c r="AK227" s="3948"/>
      <c r="AL227" s="3948"/>
      <c r="AM227" s="3948"/>
      <c r="AN227" s="3948"/>
      <c r="AO227" s="3948"/>
      <c r="AP227" s="3948"/>
      <c r="AQ227" s="3948"/>
      <c r="AR227" s="3948"/>
      <c r="AS227" s="3948"/>
      <c r="AT227" s="3948"/>
      <c r="AU227" s="3948"/>
      <c r="AW227" s="3928"/>
    </row>
    <row r="228" spans="1:49" s="3920" customFormat="1" ht="12.75" customHeight="1">
      <c r="A228" s="3953" t="s">
        <v>965</v>
      </c>
      <c r="B228" s="3954">
        <f>Ranking!D34</f>
        <v>0.18732178997255614</v>
      </c>
      <c r="C228" s="3946"/>
      <c r="D228" s="4153" t="s">
        <v>2741</v>
      </c>
      <c r="E228" s="4153"/>
      <c r="F228" s="4153"/>
      <c r="G228" s="4153"/>
      <c r="H228" s="4153"/>
      <c r="I228" s="4153"/>
      <c r="J228" s="3947"/>
      <c r="K228" s="3934">
        <f>Ranking!H34</f>
        <v>0.20595894468600945</v>
      </c>
      <c r="L228" s="3935"/>
      <c r="N228" s="3912" t="s">
        <v>1172</v>
      </c>
      <c r="O228" s="3913"/>
      <c r="P228" s="3913"/>
      <c r="Q228" s="3913"/>
      <c r="R228" s="3913"/>
      <c r="S228" s="3913"/>
      <c r="T228" s="3913"/>
      <c r="U228" s="3913"/>
      <c r="V228" s="3921"/>
      <c r="W228" s="3921"/>
      <c r="X228" s="3934">
        <f>CALCULATIONS!G38</f>
        <v>0.15503272762788689</v>
      </c>
      <c r="Y228" s="3935"/>
      <c r="Z228" s="4051" t="s">
        <v>1923</v>
      </c>
      <c r="AA228" s="4051"/>
      <c r="AB228" s="4051"/>
      <c r="AC228" s="4051"/>
      <c r="AD228" s="4051"/>
      <c r="AE228" s="4051"/>
      <c r="AF228" s="4051"/>
      <c r="AG228" s="4051"/>
      <c r="AH228" s="3917"/>
      <c r="AI228" s="3948"/>
      <c r="AJ228" s="3948"/>
      <c r="AK228" s="3948"/>
      <c r="AL228" s="3948"/>
      <c r="AM228" s="3948"/>
      <c r="AN228" s="3948"/>
      <c r="AO228" s="3948"/>
      <c r="AP228" s="3948"/>
      <c r="AQ228" s="3948"/>
      <c r="AR228" s="3948"/>
      <c r="AS228" s="3948"/>
      <c r="AT228" s="3948"/>
      <c r="AU228" s="3948"/>
      <c r="AW228" s="3928"/>
    </row>
    <row r="229" spans="1:49" s="3920" customFormat="1">
      <c r="A229" s="3938"/>
      <c r="B229" s="3955"/>
      <c r="C229" s="3946"/>
      <c r="D229" s="4155"/>
      <c r="E229" s="4155"/>
      <c r="F229" s="4155"/>
      <c r="G229" s="4155"/>
      <c r="H229" s="4155"/>
      <c r="I229" s="4155"/>
      <c r="J229" s="3947"/>
      <c r="K229" s="3925"/>
      <c r="L229" s="3929"/>
      <c r="N229" s="3915"/>
      <c r="O229" s="3915"/>
      <c r="P229" s="3915"/>
      <c r="Q229" s="3915"/>
      <c r="R229" s="3915"/>
      <c r="S229" s="3915"/>
      <c r="T229" s="3915"/>
      <c r="U229" s="3915"/>
      <c r="V229" s="3921"/>
      <c r="W229" s="3921"/>
      <c r="X229" s="3925"/>
      <c r="Y229" s="3929"/>
      <c r="Z229" s="4050"/>
      <c r="AA229" s="4050"/>
      <c r="AB229" s="4050"/>
      <c r="AC229" s="4050"/>
      <c r="AD229" s="4050"/>
      <c r="AE229" s="4050"/>
      <c r="AF229" s="4050"/>
      <c r="AG229" s="4050"/>
      <c r="AH229" s="3917"/>
      <c r="AI229" s="3948"/>
      <c r="AJ229" s="3948"/>
      <c r="AK229" s="3948"/>
      <c r="AL229" s="3948"/>
      <c r="AM229" s="3948"/>
      <c r="AN229" s="3948"/>
      <c r="AO229" s="3948"/>
      <c r="AP229" s="3948"/>
      <c r="AQ229" s="3948"/>
      <c r="AR229" s="3948"/>
      <c r="AS229" s="3948"/>
      <c r="AT229" s="3948"/>
      <c r="AU229" s="3948"/>
      <c r="AW229" s="3928"/>
    </row>
    <row r="230" spans="1:49" s="3920" customFormat="1" ht="12.75" customHeight="1">
      <c r="A230" s="3960" t="s">
        <v>966</v>
      </c>
      <c r="B230" s="3954">
        <f>B227-B226</f>
        <v>0.16598725469206194</v>
      </c>
      <c r="C230" s="3946"/>
      <c r="D230" s="4153" t="s">
        <v>2742</v>
      </c>
      <c r="E230" s="4153"/>
      <c r="F230" s="4153"/>
      <c r="G230" s="4153"/>
      <c r="H230" s="4153"/>
      <c r="I230" s="4153"/>
      <c r="J230" s="3947"/>
      <c r="K230" s="3930">
        <f>K227-K226</f>
        <v>0.13045971666351652</v>
      </c>
      <c r="L230" s="3931"/>
      <c r="N230" s="4051" t="s">
        <v>2165</v>
      </c>
      <c r="O230" s="4051"/>
      <c r="P230" s="4051"/>
      <c r="Q230" s="4051"/>
      <c r="R230" s="4051"/>
      <c r="S230" s="4051"/>
      <c r="T230" s="4051"/>
      <c r="U230" s="4051"/>
      <c r="V230" s="3921"/>
      <c r="W230" s="3921"/>
      <c r="X230" s="3930">
        <f>X227-X226</f>
        <v>0.22507709644700369</v>
      </c>
      <c r="Y230" s="3931"/>
      <c r="Z230" s="3912" t="s">
        <v>1655</v>
      </c>
      <c r="AA230" s="3912"/>
      <c r="AB230" s="3912"/>
      <c r="AC230" s="3912"/>
      <c r="AD230" s="3912"/>
      <c r="AE230" s="3912"/>
      <c r="AF230" s="3912"/>
      <c r="AG230" s="3912"/>
      <c r="AH230" s="3916"/>
      <c r="AI230" s="3948"/>
      <c r="AJ230" s="3948"/>
      <c r="AK230" s="3948"/>
      <c r="AL230" s="3948"/>
      <c r="AM230" s="3948"/>
      <c r="AN230" s="3948"/>
      <c r="AO230" s="3948"/>
      <c r="AP230" s="3948"/>
      <c r="AQ230" s="3948"/>
      <c r="AR230" s="3948"/>
      <c r="AS230" s="3948"/>
      <c r="AT230" s="3948"/>
      <c r="AU230" s="3948"/>
      <c r="AW230" s="3928"/>
    </row>
    <row r="231" spans="1:49" s="3920" customFormat="1">
      <c r="A231" s="3938"/>
      <c r="B231" s="3955"/>
      <c r="C231" s="3946"/>
      <c r="D231" s="4155"/>
      <c r="E231" s="4155"/>
      <c r="F231" s="4155"/>
      <c r="G231" s="4155"/>
      <c r="H231" s="4155"/>
      <c r="I231" s="4155"/>
      <c r="J231" s="3947"/>
      <c r="K231" s="3925"/>
      <c r="L231" s="3929"/>
      <c r="N231" s="4050"/>
      <c r="O231" s="4050"/>
      <c r="P231" s="4050"/>
      <c r="Q231" s="4050"/>
      <c r="R231" s="4050"/>
      <c r="S231" s="4050"/>
      <c r="T231" s="4050"/>
      <c r="U231" s="4050"/>
      <c r="V231" s="3921"/>
      <c r="W231" s="3921"/>
      <c r="X231" s="3925"/>
      <c r="Y231" s="3922"/>
      <c r="Z231" s="3914"/>
      <c r="AA231" s="3914"/>
      <c r="AB231" s="3914"/>
      <c r="AC231" s="3914"/>
      <c r="AD231" s="3914"/>
      <c r="AE231" s="3914"/>
      <c r="AF231" s="3914"/>
      <c r="AG231" s="3914"/>
      <c r="AH231" s="3916"/>
      <c r="AI231" s="3948"/>
      <c r="AJ231" s="3948"/>
      <c r="AK231" s="3948"/>
      <c r="AL231" s="3948"/>
      <c r="AM231" s="3948"/>
      <c r="AN231" s="3948"/>
      <c r="AO231" s="3948"/>
      <c r="AP231" s="3948"/>
      <c r="AQ231" s="3948"/>
      <c r="AR231" s="3948"/>
      <c r="AS231" s="3948"/>
      <c r="AT231" s="3948"/>
      <c r="AU231" s="3948"/>
      <c r="AW231" s="3928"/>
    </row>
    <row r="232" spans="1:49" s="3920" customFormat="1" ht="12.75" customHeight="1">
      <c r="A232" s="3953" t="s">
        <v>967</v>
      </c>
      <c r="B232" s="3957"/>
      <c r="C232" s="3946"/>
      <c r="D232" s="3910" t="s">
        <v>2743</v>
      </c>
      <c r="E232" s="3910"/>
      <c r="F232" s="3910"/>
      <c r="G232" s="3910"/>
      <c r="H232" s="3910"/>
      <c r="I232" s="3910"/>
      <c r="J232" s="3947"/>
      <c r="K232" s="3932"/>
      <c r="L232" s="3933"/>
      <c r="N232" s="3912" t="s">
        <v>1187</v>
      </c>
      <c r="O232" s="3913"/>
      <c r="P232" s="3913"/>
      <c r="Q232" s="3913"/>
      <c r="R232" s="3913"/>
      <c r="S232" s="3913"/>
      <c r="T232" s="3913"/>
      <c r="U232" s="3913"/>
      <c r="V232" s="3921"/>
      <c r="W232" s="3921"/>
      <c r="X232" s="3932"/>
      <c r="Y232" s="3933"/>
      <c r="Z232" s="3912" t="s">
        <v>1132</v>
      </c>
      <c r="AA232" s="3912"/>
      <c r="AB232" s="3912"/>
      <c r="AC232" s="3912"/>
      <c r="AD232" s="3912"/>
      <c r="AE232" s="3912"/>
      <c r="AF232" s="3912"/>
      <c r="AG232" s="3912"/>
      <c r="AH232" s="3916"/>
      <c r="AI232" s="3948"/>
      <c r="AJ232" s="3948"/>
      <c r="AK232" s="3948"/>
      <c r="AL232" s="3948"/>
      <c r="AM232" s="3948"/>
      <c r="AN232" s="3948"/>
      <c r="AO232" s="3948"/>
      <c r="AP232" s="3948"/>
      <c r="AQ232" s="3948"/>
      <c r="AR232" s="3948"/>
      <c r="AS232" s="3948"/>
      <c r="AT232" s="3948"/>
      <c r="AU232" s="3948"/>
      <c r="AW232" s="3928"/>
    </row>
    <row r="233" spans="1:49" s="3920" customFormat="1" ht="12.75" customHeight="1">
      <c r="A233" s="3939"/>
      <c r="B233" s="3955"/>
      <c r="C233" s="3946"/>
      <c r="D233" s="3911" t="s">
        <v>2297</v>
      </c>
      <c r="E233" s="3911"/>
      <c r="F233" s="3911"/>
      <c r="G233" s="3911"/>
      <c r="H233" s="3911"/>
      <c r="I233" s="3911"/>
      <c r="J233" s="3947"/>
      <c r="K233" s="3938"/>
      <c r="L233" s="3939"/>
      <c r="N233" s="4052" t="s">
        <v>1188</v>
      </c>
      <c r="O233" s="4052"/>
      <c r="P233" s="4052"/>
      <c r="Q233" s="4052"/>
      <c r="R233" s="4052"/>
      <c r="S233" s="4052"/>
      <c r="T233" s="4052"/>
      <c r="U233" s="4052"/>
      <c r="V233" s="3921"/>
      <c r="W233" s="3921"/>
      <c r="X233" s="3938"/>
      <c r="Y233" s="3939"/>
      <c r="Z233" s="3922" t="s">
        <v>1184</v>
      </c>
      <c r="AA233" s="3922"/>
      <c r="AB233" s="3922"/>
      <c r="AC233" s="3922"/>
      <c r="AD233" s="3922"/>
      <c r="AE233" s="3922"/>
      <c r="AF233" s="3922"/>
      <c r="AG233" s="3922"/>
      <c r="AH233" s="3922"/>
      <c r="AI233" s="3948"/>
      <c r="AJ233" s="3948"/>
      <c r="AK233" s="3948"/>
      <c r="AL233" s="3948"/>
      <c r="AM233" s="3948"/>
      <c r="AN233" s="3948"/>
      <c r="AO233" s="3948"/>
      <c r="AP233" s="3948"/>
      <c r="AQ233" s="3948"/>
      <c r="AR233" s="3948"/>
      <c r="AS233" s="3948"/>
      <c r="AT233" s="3948"/>
      <c r="AU233" s="3948"/>
      <c r="AW233" s="3928"/>
    </row>
    <row r="234" spans="1:49" s="3920" customFormat="1" ht="13.15" customHeight="1">
      <c r="A234" s="3961" t="s">
        <v>1051</v>
      </c>
      <c r="B234" s="3962">
        <f>Ranking!D35</f>
        <v>1.5803004793204335E-2</v>
      </c>
      <c r="C234" s="3946"/>
      <c r="D234" s="4153" t="s">
        <v>2744</v>
      </c>
      <c r="E234" s="4153"/>
      <c r="F234" s="4153"/>
      <c r="G234" s="4153"/>
      <c r="H234" s="4153"/>
      <c r="I234" s="4153"/>
      <c r="J234" s="3947"/>
      <c r="K234" s="3940">
        <f>Ranking!H35</f>
        <v>1.5429580741219064E-2</v>
      </c>
      <c r="L234" s="3941"/>
      <c r="N234" s="4052"/>
      <c r="O234" s="4052"/>
      <c r="P234" s="4052"/>
      <c r="Q234" s="4052"/>
      <c r="R234" s="4052"/>
      <c r="S234" s="4052"/>
      <c r="T234" s="4052"/>
      <c r="U234" s="4052"/>
      <c r="V234" s="3921"/>
      <c r="W234" s="3921"/>
      <c r="X234" s="3940">
        <f>CALCULATIONS!G39</f>
        <v>1.3527622099956215E-2</v>
      </c>
      <c r="Y234" s="3941"/>
      <c r="Z234" s="4051" t="s">
        <v>2166</v>
      </c>
      <c r="AA234" s="4051"/>
      <c r="AB234" s="4051"/>
      <c r="AC234" s="4051"/>
      <c r="AD234" s="4051"/>
      <c r="AE234" s="4051"/>
      <c r="AF234" s="4051"/>
      <c r="AG234" s="4051"/>
      <c r="AH234" s="3917"/>
      <c r="AI234" s="3948"/>
      <c r="AJ234" s="3948"/>
      <c r="AK234" s="3948"/>
      <c r="AL234" s="3948"/>
      <c r="AM234" s="3948"/>
      <c r="AN234" s="3948"/>
      <c r="AO234" s="3948"/>
      <c r="AP234" s="3948"/>
      <c r="AQ234" s="3948"/>
      <c r="AR234" s="3948"/>
      <c r="AS234" s="3948"/>
      <c r="AT234" s="3948"/>
      <c r="AU234" s="3948"/>
      <c r="AW234" s="3928"/>
    </row>
    <row r="235" spans="1:49" s="3920" customFormat="1">
      <c r="A235" s="3963"/>
      <c r="B235" s="3964"/>
      <c r="C235" s="3946"/>
      <c r="D235" s="4156"/>
      <c r="E235" s="4156"/>
      <c r="F235" s="4156"/>
      <c r="G235" s="4156"/>
      <c r="H235" s="4156"/>
      <c r="I235" s="4156"/>
      <c r="J235" s="3947"/>
      <c r="K235" s="3942"/>
      <c r="L235" s="3943"/>
      <c r="N235" s="4053"/>
      <c r="O235" s="4053"/>
      <c r="P235" s="4053"/>
      <c r="Q235" s="4053"/>
      <c r="R235" s="4053"/>
      <c r="S235" s="4053"/>
      <c r="T235" s="4053"/>
      <c r="U235" s="4053"/>
      <c r="V235" s="3921"/>
      <c r="W235" s="3921"/>
      <c r="X235" s="3942"/>
      <c r="Y235" s="3943"/>
      <c r="Z235" s="4053"/>
      <c r="AA235" s="4053"/>
      <c r="AB235" s="4053"/>
      <c r="AC235" s="4053"/>
      <c r="AD235" s="4053"/>
      <c r="AE235" s="4053"/>
      <c r="AF235" s="4053"/>
      <c r="AG235" s="4053"/>
      <c r="AH235" s="3917"/>
      <c r="AI235" s="3948"/>
      <c r="AJ235" s="3948"/>
      <c r="AK235" s="3948"/>
      <c r="AL235" s="3948"/>
      <c r="AM235" s="3948"/>
      <c r="AN235" s="3948"/>
      <c r="AO235" s="3948"/>
      <c r="AP235" s="3948"/>
      <c r="AQ235" s="3948"/>
      <c r="AR235" s="3948"/>
      <c r="AS235" s="3948"/>
      <c r="AT235" s="3948"/>
      <c r="AU235" s="3948"/>
      <c r="AW235" s="3928"/>
    </row>
    <row r="236" spans="1:49" ht="13.15" customHeight="1">
      <c r="A236" s="641"/>
      <c r="B236" s="1331"/>
      <c r="D236" s="1203"/>
      <c r="E236" s="1093"/>
      <c r="F236" s="1093"/>
      <c r="G236" s="1093"/>
      <c r="H236" s="1093"/>
      <c r="I236" s="160"/>
      <c r="J236" s="2956"/>
      <c r="K236" s="163"/>
      <c r="L236" s="1128"/>
      <c r="M236" s="2497"/>
      <c r="N236" s="150"/>
      <c r="O236" s="150"/>
      <c r="P236" s="150"/>
      <c r="Q236" s="150"/>
      <c r="R236" s="150"/>
      <c r="S236" s="150"/>
      <c r="T236" s="150"/>
      <c r="U236" s="1093"/>
      <c r="V236" s="1659"/>
      <c r="W236" s="1093"/>
      <c r="X236" s="1093"/>
      <c r="Y236" s="1093"/>
      <c r="Z236" s="1093"/>
      <c r="AA236" s="1093"/>
      <c r="AB236" s="1093"/>
      <c r="AC236" s="1093"/>
      <c r="AD236" s="1093"/>
      <c r="AE236" s="1093"/>
      <c r="AF236" s="1093"/>
      <c r="AG236" s="1093"/>
      <c r="AH236" s="2958"/>
      <c r="AI236" s="2495"/>
      <c r="AJ236" s="2495"/>
      <c r="AK236" s="2495"/>
      <c r="AL236" s="2495"/>
      <c r="AM236" s="2495"/>
      <c r="AN236" s="2495"/>
      <c r="AO236" s="2495"/>
      <c r="AP236" s="2495"/>
      <c r="AQ236" s="2495"/>
      <c r="AR236" s="2495"/>
      <c r="AS236" s="2495"/>
      <c r="AT236" s="2495"/>
      <c r="AU236" s="2495"/>
    </row>
    <row r="237" spans="1:49" ht="13.15" customHeight="1">
      <c r="A237" s="3062"/>
      <c r="B237" s="3025"/>
      <c r="C237" s="2452"/>
      <c r="D237" s="3138" t="s">
        <v>2170</v>
      </c>
      <c r="E237" s="1203"/>
      <c r="F237" s="1203"/>
      <c r="G237" s="1203"/>
      <c r="H237" s="1203"/>
      <c r="I237" s="1203"/>
      <c r="J237" s="3068"/>
      <c r="K237" s="1378"/>
      <c r="L237" s="1128"/>
      <c r="M237" s="2497"/>
      <c r="N237" s="2496"/>
      <c r="O237" s="2496"/>
      <c r="P237" s="2496"/>
      <c r="Q237" s="2496"/>
      <c r="R237" s="2496"/>
      <c r="S237" s="2496"/>
      <c r="T237" s="2496"/>
      <c r="U237" s="2495"/>
      <c r="V237" s="2495"/>
      <c r="W237" s="2495"/>
      <c r="X237" s="2495"/>
      <c r="Y237" s="2495"/>
      <c r="Z237" s="2495"/>
      <c r="AA237" s="2495"/>
      <c r="AB237" s="2495"/>
      <c r="AC237" s="2495"/>
      <c r="AD237" s="2495"/>
      <c r="AE237" s="2495"/>
      <c r="AF237" s="2495"/>
      <c r="AG237" s="2495"/>
      <c r="AH237" s="2495"/>
      <c r="AI237" s="2495"/>
      <c r="AJ237" s="2495"/>
      <c r="AK237" s="2495"/>
      <c r="AL237" s="2495"/>
      <c r="AM237" s="2495"/>
      <c r="AN237" s="2495"/>
      <c r="AO237" s="2495"/>
      <c r="AP237" s="2495"/>
      <c r="AQ237" s="2495"/>
      <c r="AR237" s="2495"/>
      <c r="AS237" s="2495"/>
      <c r="AT237" s="2495"/>
      <c r="AU237" s="2495"/>
    </row>
    <row r="238" spans="1:49" ht="13.15" customHeight="1">
      <c r="A238" s="150"/>
      <c r="B238" s="1331"/>
      <c r="D238" s="4157" t="s">
        <v>2214</v>
      </c>
      <c r="E238" s="4157"/>
      <c r="F238" s="4157"/>
      <c r="G238" s="4157"/>
      <c r="H238" s="4157"/>
      <c r="I238" s="4157"/>
      <c r="J238" s="3069"/>
      <c r="K238" s="2488"/>
      <c r="L238" s="1128"/>
      <c r="M238" s="2497"/>
      <c r="N238" s="2496"/>
      <c r="O238" s="2496"/>
      <c r="P238" s="2496"/>
      <c r="Q238" s="2496"/>
      <c r="R238" s="2496"/>
      <c r="S238" s="2496"/>
      <c r="T238" s="2496"/>
      <c r="U238" s="2495"/>
      <c r="V238" s="2495"/>
      <c r="W238" s="2495"/>
      <c r="X238" s="2495"/>
      <c r="Y238" s="2495"/>
      <c r="Z238" s="2495"/>
      <c r="AA238" s="2495"/>
      <c r="AB238" s="2495"/>
      <c r="AC238" s="2495"/>
      <c r="AD238" s="2495"/>
      <c r="AE238" s="2495"/>
      <c r="AF238" s="2495"/>
      <c r="AG238" s="2495"/>
      <c r="AH238" s="2495"/>
      <c r="AI238" s="2495"/>
      <c r="AJ238" s="2495"/>
      <c r="AK238" s="2495"/>
      <c r="AL238" s="2495"/>
      <c r="AM238" s="2495"/>
      <c r="AN238" s="2495"/>
      <c r="AO238" s="2495"/>
      <c r="AP238" s="2495"/>
      <c r="AQ238" s="2495"/>
      <c r="AR238" s="2495"/>
      <c r="AS238" s="2495"/>
      <c r="AT238" s="2495"/>
      <c r="AU238" s="2495"/>
    </row>
    <row r="239" spans="1:49" ht="13.15" customHeight="1">
      <c r="A239" s="150"/>
      <c r="B239" s="1331"/>
      <c r="D239" s="4157"/>
      <c r="E239" s="4157"/>
      <c r="F239" s="4157"/>
      <c r="G239" s="4157"/>
      <c r="H239" s="4157"/>
      <c r="I239" s="4157"/>
      <c r="J239" s="3069"/>
      <c r="K239" s="2488"/>
      <c r="L239" s="1128"/>
      <c r="M239" s="2497"/>
      <c r="N239" s="2496"/>
      <c r="O239" s="2496"/>
      <c r="P239" s="2496"/>
      <c r="Q239" s="2496"/>
      <c r="R239" s="2496"/>
      <c r="S239" s="2496"/>
      <c r="T239" s="2496"/>
      <c r="U239" s="2495"/>
      <c r="V239" s="2495"/>
      <c r="W239" s="2495"/>
      <c r="X239" s="2495"/>
      <c r="Y239" s="2495"/>
      <c r="Z239" s="2495"/>
      <c r="AA239" s="2495"/>
      <c r="AB239" s="2495"/>
      <c r="AC239" s="2495"/>
      <c r="AD239" s="2495"/>
      <c r="AE239" s="2495"/>
      <c r="AF239" s="2495"/>
      <c r="AG239" s="2495"/>
      <c r="AH239" s="2495"/>
      <c r="AI239" s="2495"/>
      <c r="AJ239" s="2495"/>
      <c r="AK239" s="2495"/>
      <c r="AL239" s="2495"/>
      <c r="AM239" s="2495"/>
      <c r="AN239" s="2495"/>
      <c r="AO239" s="2495"/>
      <c r="AP239" s="2495"/>
      <c r="AQ239" s="2495"/>
      <c r="AR239" s="2495"/>
      <c r="AS239" s="2495"/>
      <c r="AT239" s="2495"/>
      <c r="AU239" s="2495"/>
    </row>
    <row r="240" spans="1:49" ht="13.15" customHeight="1">
      <c r="A240" s="150"/>
      <c r="B240" s="1331"/>
      <c r="D240" s="4157" t="s">
        <v>2215</v>
      </c>
      <c r="E240" s="4157"/>
      <c r="F240" s="4157"/>
      <c r="G240" s="4157"/>
      <c r="H240" s="4157"/>
      <c r="I240" s="4157"/>
      <c r="J240" s="3069"/>
      <c r="K240" s="2488"/>
      <c r="L240" s="1128"/>
      <c r="M240" s="2497"/>
      <c r="N240" s="2496"/>
      <c r="O240" s="2496"/>
      <c r="P240" s="2496"/>
      <c r="Q240" s="2496"/>
      <c r="R240" s="2496"/>
      <c r="S240" s="2496"/>
      <c r="T240" s="2496"/>
      <c r="U240" s="2495"/>
      <c r="V240" s="2495"/>
      <c r="W240" s="2495"/>
      <c r="X240" s="2495"/>
      <c r="Y240" s="2495"/>
      <c r="Z240" s="2495"/>
      <c r="AA240" s="2495"/>
      <c r="AB240" s="2495"/>
      <c r="AC240" s="2495"/>
      <c r="AD240" s="2495"/>
      <c r="AE240" s="2495"/>
      <c r="AF240" s="2495"/>
      <c r="AG240" s="2495"/>
      <c r="AH240" s="2495"/>
      <c r="AI240" s="2495"/>
      <c r="AJ240" s="2495"/>
      <c r="AK240" s="2495"/>
      <c r="AL240" s="2495"/>
      <c r="AM240" s="2495"/>
      <c r="AN240" s="2495"/>
      <c r="AO240" s="2495"/>
      <c r="AP240" s="2495"/>
      <c r="AQ240" s="2495"/>
      <c r="AR240" s="2495"/>
      <c r="AS240" s="2495"/>
      <c r="AT240" s="2495"/>
      <c r="AU240" s="2495"/>
    </row>
    <row r="241" spans="1:49" ht="13.15" customHeight="1">
      <c r="A241" s="150"/>
      <c r="B241" s="1331"/>
      <c r="D241" s="4157"/>
      <c r="E241" s="4157"/>
      <c r="F241" s="4157"/>
      <c r="G241" s="4157"/>
      <c r="H241" s="4157"/>
      <c r="I241" s="4157"/>
      <c r="J241" s="3069"/>
      <c r="K241" s="2488"/>
      <c r="L241" s="1128"/>
      <c r="M241" s="2497"/>
      <c r="N241" s="2496"/>
      <c r="O241" s="2496"/>
      <c r="P241" s="2496"/>
      <c r="Q241" s="2496"/>
      <c r="R241" s="2496"/>
      <c r="S241" s="2496"/>
      <c r="T241" s="2496"/>
      <c r="U241" s="2495"/>
      <c r="V241" s="2495"/>
      <c r="W241" s="2495"/>
      <c r="X241" s="2495"/>
      <c r="Y241" s="2495"/>
      <c r="Z241" s="2495"/>
      <c r="AA241" s="2495"/>
      <c r="AB241" s="2495"/>
      <c r="AC241" s="2495"/>
      <c r="AD241" s="2495"/>
      <c r="AE241" s="2495"/>
      <c r="AF241" s="2495"/>
      <c r="AG241" s="2495"/>
      <c r="AH241" s="2495"/>
      <c r="AI241" s="2495"/>
      <c r="AJ241" s="2495"/>
      <c r="AK241" s="2495"/>
      <c r="AL241" s="2495"/>
      <c r="AM241" s="2495"/>
      <c r="AN241" s="2495"/>
      <c r="AO241" s="2495"/>
      <c r="AP241" s="2495"/>
      <c r="AQ241" s="2495"/>
      <c r="AR241" s="2495"/>
      <c r="AS241" s="2495"/>
      <c r="AT241" s="2495"/>
      <c r="AU241" s="2495"/>
    </row>
    <row r="242" spans="1:49" ht="13.15" customHeight="1">
      <c r="A242" s="150"/>
      <c r="B242" s="1331"/>
      <c r="D242" s="4157" t="s">
        <v>2217</v>
      </c>
      <c r="E242" s="4157"/>
      <c r="F242" s="4157"/>
      <c r="G242" s="4157"/>
      <c r="H242" s="4157"/>
      <c r="I242" s="4157"/>
      <c r="J242" s="3069"/>
      <c r="K242" s="2513"/>
      <c r="L242" s="1128"/>
      <c r="M242" s="2497"/>
      <c r="N242" s="2496"/>
      <c r="O242" s="2496"/>
      <c r="P242" s="2496"/>
      <c r="Q242" s="2496"/>
      <c r="R242" s="2496"/>
      <c r="S242" s="2496"/>
      <c r="T242" s="2496"/>
      <c r="U242" s="2495"/>
      <c r="V242" s="2495"/>
      <c r="W242" s="2495"/>
      <c r="X242" s="2495"/>
      <c r="Y242" s="2495"/>
      <c r="Z242" s="2495"/>
      <c r="AA242" s="2495"/>
      <c r="AB242" s="2495"/>
      <c r="AC242" s="2495"/>
      <c r="AD242" s="2495"/>
      <c r="AE242" s="2495"/>
      <c r="AF242" s="2495"/>
      <c r="AG242" s="2495"/>
      <c r="AH242" s="2495"/>
      <c r="AI242" s="2495"/>
      <c r="AJ242" s="2495"/>
      <c r="AK242" s="2495"/>
      <c r="AL242" s="2495"/>
      <c r="AM242" s="2495"/>
      <c r="AN242" s="2495"/>
      <c r="AO242" s="2495"/>
      <c r="AP242" s="2495"/>
      <c r="AQ242" s="2495"/>
      <c r="AR242" s="2495"/>
      <c r="AS242" s="2495"/>
      <c r="AT242" s="2495"/>
      <c r="AU242" s="2495"/>
    </row>
    <row r="243" spans="1:49" ht="13.15" customHeight="1">
      <c r="A243" s="150"/>
      <c r="B243" s="1331"/>
      <c r="D243" s="4157"/>
      <c r="E243" s="4157"/>
      <c r="F243" s="4157"/>
      <c r="G243" s="4157"/>
      <c r="H243" s="4157"/>
      <c r="I243" s="4157"/>
      <c r="J243" s="3069"/>
      <c r="K243" s="2513"/>
      <c r="L243" s="1128"/>
      <c r="M243" s="2497"/>
      <c r="N243" s="2496"/>
      <c r="O243" s="2496"/>
      <c r="P243" s="2496"/>
      <c r="Q243" s="2496"/>
      <c r="R243" s="2496"/>
      <c r="S243" s="2496"/>
      <c r="T243" s="2496"/>
      <c r="U243" s="2495"/>
      <c r="V243" s="2495"/>
      <c r="W243" s="2495"/>
      <c r="X243" s="2495"/>
      <c r="Y243" s="2495"/>
      <c r="Z243" s="2495"/>
      <c r="AA243" s="2495"/>
      <c r="AB243" s="2495"/>
      <c r="AC243" s="2495"/>
      <c r="AD243" s="2495"/>
      <c r="AE243" s="2495"/>
      <c r="AF243" s="2495"/>
      <c r="AG243" s="2495"/>
      <c r="AH243" s="2495"/>
      <c r="AI243" s="2495"/>
      <c r="AJ243" s="2495"/>
      <c r="AK243" s="2495"/>
      <c r="AL243" s="2495"/>
      <c r="AM243" s="2495"/>
      <c r="AN243" s="2495"/>
      <c r="AO243" s="2495"/>
      <c r="AP243" s="2495"/>
      <c r="AQ243" s="2495"/>
      <c r="AR243" s="2495"/>
      <c r="AS243" s="2495"/>
      <c r="AT243" s="2495"/>
      <c r="AU243" s="2495"/>
    </row>
    <row r="244" spans="1:49" ht="13.15" customHeight="1">
      <c r="A244" s="150"/>
      <c r="B244" s="1331"/>
      <c r="D244" s="4157" t="s">
        <v>2216</v>
      </c>
      <c r="E244" s="4157"/>
      <c r="F244" s="4157"/>
      <c r="G244" s="4157"/>
      <c r="H244" s="4157"/>
      <c r="I244" s="4157"/>
      <c r="J244" s="3069"/>
      <c r="K244" s="2513"/>
      <c r="L244" s="1128"/>
      <c r="M244" s="2497"/>
      <c r="N244" s="2496"/>
      <c r="O244" s="2496"/>
      <c r="P244" s="2496"/>
      <c r="Q244" s="2496"/>
      <c r="R244" s="2496"/>
      <c r="S244" s="2496"/>
      <c r="T244" s="2496"/>
      <c r="U244" s="2495"/>
      <c r="V244" s="2495"/>
      <c r="W244" s="2495"/>
      <c r="X244" s="2495"/>
      <c r="Y244" s="2495"/>
      <c r="Z244" s="2495"/>
      <c r="AA244" s="2495"/>
      <c r="AB244" s="2495"/>
      <c r="AC244" s="2495"/>
      <c r="AD244" s="2495"/>
      <c r="AE244" s="2495"/>
      <c r="AF244" s="2495"/>
      <c r="AG244" s="2495"/>
      <c r="AH244" s="2495"/>
      <c r="AI244" s="2495"/>
      <c r="AJ244" s="2495"/>
      <c r="AK244" s="2495"/>
      <c r="AL244" s="2495"/>
      <c r="AM244" s="2495"/>
      <c r="AN244" s="2495"/>
      <c r="AO244" s="2495"/>
      <c r="AP244" s="2495"/>
      <c r="AQ244" s="2495"/>
      <c r="AR244" s="2495"/>
      <c r="AS244" s="2495"/>
      <c r="AT244" s="2495"/>
      <c r="AU244" s="2495"/>
    </row>
    <row r="245" spans="1:49" ht="13.15" customHeight="1">
      <c r="A245" s="150"/>
      <c r="B245" s="1331"/>
      <c r="D245" s="4157"/>
      <c r="E245" s="4157"/>
      <c r="F245" s="4157"/>
      <c r="G245" s="4157"/>
      <c r="H245" s="4157"/>
      <c r="I245" s="4157"/>
      <c r="J245" s="3069"/>
      <c r="K245" s="2513"/>
      <c r="L245" s="1128"/>
      <c r="M245" s="2497"/>
      <c r="N245" s="2496"/>
      <c r="O245" s="2496"/>
      <c r="P245" s="2496"/>
      <c r="Q245" s="2496"/>
      <c r="R245" s="2496"/>
      <c r="S245" s="2496"/>
      <c r="T245" s="2496"/>
      <c r="U245" s="2495"/>
      <c r="V245" s="2495"/>
      <c r="W245" s="2495"/>
      <c r="X245" s="2495"/>
      <c r="Y245" s="2495"/>
      <c r="Z245" s="2495"/>
      <c r="AA245" s="2495"/>
      <c r="AB245" s="2495"/>
      <c r="AC245" s="2495"/>
      <c r="AD245" s="2495"/>
      <c r="AE245" s="2495"/>
      <c r="AF245" s="2495"/>
      <c r="AG245" s="2495"/>
      <c r="AH245" s="2495"/>
      <c r="AI245" s="2495"/>
      <c r="AJ245" s="2495"/>
      <c r="AK245" s="2495"/>
      <c r="AL245" s="2495"/>
      <c r="AM245" s="2495"/>
      <c r="AN245" s="2495"/>
      <c r="AO245" s="2495"/>
      <c r="AP245" s="2495"/>
      <c r="AQ245" s="2495"/>
      <c r="AR245" s="2495"/>
      <c r="AS245" s="2495"/>
      <c r="AT245" s="2495"/>
      <c r="AU245" s="2495"/>
    </row>
    <row r="246" spans="1:49" ht="13.15" customHeight="1">
      <c r="A246" s="150"/>
      <c r="B246" s="1331"/>
      <c r="D246" s="1379"/>
      <c r="E246" s="1380"/>
      <c r="F246" s="1380"/>
      <c r="G246" s="1380"/>
      <c r="H246" s="1380"/>
      <c r="I246" s="1380"/>
      <c r="J246" s="1380"/>
      <c r="K246" s="1380"/>
      <c r="L246" s="1128"/>
      <c r="M246" s="2497"/>
      <c r="N246" s="2496"/>
      <c r="O246" s="2496"/>
      <c r="P246" s="2496"/>
      <c r="Q246" s="2496"/>
      <c r="R246" s="2496"/>
      <c r="S246" s="2496"/>
      <c r="T246" s="2496"/>
      <c r="U246" s="2495"/>
      <c r="V246" s="2495"/>
      <c r="W246" s="2495"/>
      <c r="X246" s="2495"/>
      <c r="Y246" s="2495"/>
      <c r="Z246" s="2495"/>
      <c r="AA246" s="2495"/>
      <c r="AB246" s="2495"/>
      <c r="AC246" s="2495"/>
      <c r="AD246" s="2495"/>
      <c r="AE246" s="2495"/>
      <c r="AF246" s="2495"/>
      <c r="AG246" s="2495"/>
      <c r="AH246" s="2495"/>
      <c r="AI246" s="2495"/>
      <c r="AJ246" s="2495"/>
      <c r="AK246" s="2495"/>
      <c r="AL246" s="2495"/>
      <c r="AM246" s="2495"/>
      <c r="AN246" s="2495"/>
      <c r="AO246" s="2495"/>
      <c r="AP246" s="2495"/>
      <c r="AQ246" s="2495"/>
      <c r="AR246" s="2495"/>
      <c r="AS246" s="2495"/>
      <c r="AT246" s="2495"/>
      <c r="AU246" s="2495"/>
    </row>
    <row r="247" spans="1:49" ht="13.15" customHeight="1">
      <c r="A247" s="150"/>
      <c r="B247" s="1331"/>
      <c r="D247" s="3139" t="s">
        <v>2288</v>
      </c>
      <c r="E247" s="1380"/>
      <c r="F247" s="1380"/>
      <c r="G247" s="1380"/>
      <c r="H247" s="1380"/>
      <c r="I247" s="1380"/>
      <c r="J247" s="3164" t="s">
        <v>2219</v>
      </c>
      <c r="K247" s="3095">
        <v>0</v>
      </c>
      <c r="L247" s="488"/>
      <c r="M247" s="2497"/>
      <c r="N247" s="2496"/>
      <c r="O247" s="2496"/>
      <c r="P247" s="2496"/>
      <c r="Q247" s="2496"/>
      <c r="R247" s="2496"/>
      <c r="S247" s="2496"/>
      <c r="T247" s="2496"/>
      <c r="U247" s="2495"/>
      <c r="V247" s="2495"/>
      <c r="W247" s="2495"/>
      <c r="X247" s="2495"/>
      <c r="Y247" s="2495"/>
      <c r="Z247" s="2495"/>
      <c r="AA247" s="2495"/>
      <c r="AB247" s="2495"/>
      <c r="AC247" s="2495"/>
      <c r="AD247" s="2495"/>
      <c r="AE247" s="2495"/>
      <c r="AF247" s="2495"/>
      <c r="AG247" s="2495"/>
      <c r="AH247" s="2495"/>
      <c r="AI247" s="2495"/>
      <c r="AJ247" s="2495"/>
      <c r="AK247" s="2495"/>
      <c r="AL247" s="2495"/>
      <c r="AM247" s="2495"/>
      <c r="AN247" s="2495"/>
      <c r="AO247" s="2495"/>
      <c r="AP247" s="2495"/>
      <c r="AQ247" s="2495"/>
      <c r="AR247" s="2495"/>
      <c r="AS247" s="2495"/>
      <c r="AT247" s="2495"/>
      <c r="AU247" s="2495"/>
    </row>
    <row r="248" spans="1:49" ht="13.15" customHeight="1">
      <c r="A248" s="150"/>
      <c r="B248" s="1331"/>
      <c r="D248" s="3139" t="s">
        <v>2218</v>
      </c>
      <c r="E248" s="1380"/>
      <c r="F248" s="1380"/>
      <c r="G248" s="1380"/>
      <c r="H248" s="1380"/>
      <c r="I248" s="1380"/>
      <c r="J248" s="3164" t="s">
        <v>1656</v>
      </c>
      <c r="K248" s="3095">
        <v>0.1</v>
      </c>
      <c r="L248" s="488"/>
      <c r="M248" s="2495"/>
      <c r="N248" s="2495"/>
      <c r="O248" s="2495"/>
      <c r="P248" s="2496"/>
      <c r="Q248" s="2496"/>
      <c r="R248" s="2496"/>
      <c r="S248" s="2496"/>
      <c r="T248" s="2496"/>
      <c r="U248" s="2495"/>
      <c r="V248" s="2495"/>
      <c r="W248" s="2495"/>
      <c r="X248" s="2495"/>
      <c r="Y248" s="2495"/>
      <c r="Z248" s="2495"/>
      <c r="AA248" s="2495"/>
      <c r="AB248" s="2495"/>
      <c r="AC248" s="2495"/>
      <c r="AD248" s="2495"/>
      <c r="AE248" s="2495"/>
      <c r="AF248" s="2495"/>
      <c r="AG248" s="2495"/>
      <c r="AH248" s="2495"/>
      <c r="AI248" s="2495"/>
      <c r="AJ248" s="2495"/>
      <c r="AK248" s="2495"/>
      <c r="AL248" s="2495"/>
      <c r="AM248" s="2495"/>
      <c r="AN248" s="2495"/>
      <c r="AO248" s="2495"/>
      <c r="AP248" s="2495"/>
      <c r="AQ248" s="2495"/>
      <c r="AR248" s="2495"/>
      <c r="AS248" s="2495"/>
      <c r="AT248" s="2495"/>
      <c r="AU248" s="2495"/>
    </row>
    <row r="249" spans="1:49" s="2478" customFormat="1">
      <c r="A249" s="1678"/>
      <c r="B249" s="2093"/>
      <c r="C249" s="2443"/>
      <c r="D249" s="3140" t="s">
        <v>2172</v>
      </c>
      <c r="E249" s="1674"/>
      <c r="F249" s="1674"/>
      <c r="G249" s="1674"/>
      <c r="H249" s="1674"/>
      <c r="I249" s="1675"/>
      <c r="J249" s="1674"/>
      <c r="K249" s="150"/>
      <c r="L249" s="1613"/>
      <c r="M249" s="2503"/>
      <c r="N249" s="2517"/>
      <c r="O249" s="2517"/>
      <c r="P249" s="2517"/>
      <c r="Q249" s="2517"/>
      <c r="R249" s="2517"/>
      <c r="S249" s="2517"/>
      <c r="T249" s="2517"/>
      <c r="U249" s="2502"/>
      <c r="V249" s="2502"/>
      <c r="W249" s="2502"/>
      <c r="X249" s="2502"/>
      <c r="Y249" s="2502"/>
      <c r="Z249" s="2502"/>
      <c r="AA249" s="2502"/>
      <c r="AB249" s="2502"/>
      <c r="AC249" s="2502"/>
      <c r="AD249" s="2502"/>
      <c r="AE249" s="2502"/>
      <c r="AF249" s="2502"/>
      <c r="AG249" s="2502"/>
      <c r="AH249" s="2502"/>
      <c r="AI249" s="2502"/>
      <c r="AJ249" s="2502"/>
      <c r="AK249" s="2502"/>
      <c r="AL249" s="2502"/>
      <c r="AM249" s="2502"/>
      <c r="AN249" s="2502"/>
      <c r="AO249" s="2502"/>
      <c r="AP249" s="2502"/>
      <c r="AQ249" s="2502"/>
      <c r="AR249" s="2502"/>
      <c r="AS249" s="2502"/>
      <c r="AT249" s="2502"/>
      <c r="AU249" s="2502"/>
      <c r="AW249" s="2443"/>
    </row>
    <row r="250" spans="1:49" s="2478" customFormat="1">
      <c r="A250" s="1678"/>
      <c r="B250" s="2093"/>
      <c r="C250" s="2443"/>
      <c r="D250" s="1681"/>
      <c r="E250" s="1674"/>
      <c r="F250" s="1674"/>
      <c r="G250" s="1674"/>
      <c r="H250" s="1674"/>
      <c r="I250" s="1675"/>
      <c r="J250" s="1674"/>
      <c r="K250" s="150"/>
      <c r="L250" s="1613"/>
      <c r="M250" s="2503"/>
      <c r="N250" s="2517"/>
      <c r="O250" s="2517"/>
      <c r="P250" s="2517"/>
      <c r="Q250" s="2517"/>
      <c r="R250" s="2517"/>
      <c r="S250" s="2517"/>
      <c r="T250" s="2517"/>
      <c r="U250" s="2502"/>
      <c r="V250" s="2502"/>
      <c r="W250" s="2502"/>
      <c r="X250" s="2502"/>
      <c r="Y250" s="2502"/>
      <c r="Z250" s="2502"/>
      <c r="AA250" s="2502"/>
      <c r="AB250" s="2502"/>
      <c r="AC250" s="2502"/>
      <c r="AD250" s="2502"/>
      <c r="AE250" s="2502"/>
      <c r="AF250" s="2502"/>
      <c r="AG250" s="2502"/>
      <c r="AH250" s="2502"/>
      <c r="AI250" s="2502"/>
      <c r="AJ250" s="2502"/>
      <c r="AK250" s="2502"/>
      <c r="AL250" s="2502"/>
      <c r="AM250" s="2502"/>
      <c r="AN250" s="2502"/>
      <c r="AO250" s="2502"/>
      <c r="AP250" s="2502"/>
      <c r="AQ250" s="2502"/>
      <c r="AR250" s="2502"/>
      <c r="AS250" s="2502"/>
      <c r="AT250" s="2502"/>
      <c r="AU250" s="2502"/>
      <c r="AW250" s="2443"/>
    </row>
    <row r="251" spans="1:49" s="2495" customFormat="1" ht="3" customHeight="1">
      <c r="A251" s="2548"/>
      <c r="B251" s="2535"/>
      <c r="C251" s="2517"/>
      <c r="I251" s="2549"/>
      <c r="J251" s="2549"/>
      <c r="K251" s="2550"/>
      <c r="L251" s="2508"/>
      <c r="M251" s="2507"/>
      <c r="AW251" s="2496"/>
    </row>
    <row r="252" spans="1:49" s="2478" customFormat="1">
      <c r="A252" s="1678"/>
      <c r="B252" s="2093"/>
      <c r="C252" s="2443"/>
      <c r="D252" s="1679"/>
      <c r="E252" s="1674"/>
      <c r="F252" s="1674"/>
      <c r="G252" s="1674"/>
      <c r="H252" s="1674"/>
      <c r="I252" s="1675"/>
      <c r="J252" s="1675"/>
      <c r="K252" s="1676"/>
      <c r="L252" s="1680"/>
      <c r="M252" s="2504"/>
      <c r="N252" s="3076"/>
      <c r="O252" s="3076"/>
      <c r="P252" s="3076"/>
      <c r="Q252" s="2517"/>
      <c r="R252" s="2517"/>
      <c r="S252" s="2517"/>
      <c r="T252" s="2517"/>
      <c r="U252" s="2502"/>
      <c r="V252" s="2502"/>
      <c r="W252" s="2502"/>
      <c r="X252" s="2502"/>
      <c r="Y252" s="2502"/>
      <c r="Z252" s="2502"/>
      <c r="AA252" s="2502"/>
      <c r="AB252" s="2502"/>
      <c r="AC252" s="2502"/>
      <c r="AD252" s="2502"/>
      <c r="AE252" s="2502"/>
      <c r="AF252" s="2502"/>
      <c r="AG252" s="2502"/>
      <c r="AH252" s="2502"/>
      <c r="AI252" s="2502"/>
      <c r="AJ252" s="2502"/>
      <c r="AK252" s="2502"/>
      <c r="AL252" s="2502"/>
      <c r="AM252" s="2502"/>
      <c r="AN252" s="2502"/>
      <c r="AO252" s="2502"/>
      <c r="AP252" s="2502"/>
      <c r="AQ252" s="2502"/>
      <c r="AR252" s="2502"/>
      <c r="AS252" s="2502"/>
      <c r="AT252" s="2502"/>
      <c r="AU252" s="2502"/>
      <c r="AW252" s="2443"/>
    </row>
    <row r="253" spans="1:49" ht="13.15" customHeight="1">
      <c r="A253" s="4086" t="s">
        <v>2207</v>
      </c>
      <c r="B253" s="4087"/>
      <c r="C253" s="2460"/>
      <c r="D253" s="4079" t="s">
        <v>1674</v>
      </c>
      <c r="E253" s="4080"/>
      <c r="F253" s="4079" t="s">
        <v>988</v>
      </c>
      <c r="G253" s="4080"/>
      <c r="H253" s="4163" t="s">
        <v>2186</v>
      </c>
      <c r="I253" s="4164"/>
      <c r="J253" s="1002" t="s">
        <v>1012</v>
      </c>
      <c r="K253" s="914"/>
      <c r="L253" s="2662"/>
      <c r="N253" s="2708" t="s">
        <v>1496</v>
      </c>
      <c r="O253" s="2708" t="s">
        <v>363</v>
      </c>
      <c r="P253" s="996" t="s">
        <v>2173</v>
      </c>
      <c r="Q253" s="2533"/>
      <c r="R253" s="2533"/>
      <c r="S253" s="2484"/>
      <c r="T253" s="2484"/>
    </row>
    <row r="254" spans="1:49" ht="13.15" customHeight="1">
      <c r="A254" s="4062"/>
      <c r="B254" s="4063"/>
      <c r="C254" s="2461"/>
      <c r="D254" s="651" t="s">
        <v>2179</v>
      </c>
      <c r="E254" s="1002" t="s">
        <v>987</v>
      </c>
      <c r="F254" s="651" t="s">
        <v>2179</v>
      </c>
      <c r="G254" s="1002" t="s">
        <v>987</v>
      </c>
      <c r="H254" s="4124"/>
      <c r="I254" s="4125"/>
      <c r="J254" s="1002" t="s">
        <v>1495</v>
      </c>
      <c r="K254" s="914"/>
      <c r="L254" s="2662"/>
      <c r="N254" s="2709" t="s">
        <v>1953</v>
      </c>
      <c r="O254" s="2709" t="s">
        <v>1953</v>
      </c>
      <c r="P254" s="996" t="s">
        <v>2174</v>
      </c>
      <c r="Q254" s="2533"/>
      <c r="R254" s="2533"/>
      <c r="S254" s="2484"/>
      <c r="T254" s="2484"/>
    </row>
    <row r="255" spans="1:49" ht="13.15" customHeight="1">
      <c r="A255" s="406" t="s">
        <v>498</v>
      </c>
      <c r="B255" s="294" t="s">
        <v>52</v>
      </c>
      <c r="C255" s="2449"/>
      <c r="D255" s="990">
        <f t="shared" ref="D255:D276" si="14">$K$247</f>
        <v>0</v>
      </c>
      <c r="E255" s="989">
        <f t="shared" ref="E255:E276" si="15">D197*(1+D255)/(1+D197*D255)</f>
        <v>0.61</v>
      </c>
      <c r="F255" s="991">
        <f>$K$248</f>
        <v>0.1</v>
      </c>
      <c r="G255" s="989">
        <f t="shared" ref="G255:G276" si="16">J197*(1+F255)/(1+J197*F255)</f>
        <v>0.62983042679437373</v>
      </c>
      <c r="H255" s="4124"/>
      <c r="I255" s="4125"/>
      <c r="J255" s="997">
        <f>E255-S103</f>
        <v>2.5689045276652278E-3</v>
      </c>
      <c r="K255" s="1924" t="s">
        <v>1176</v>
      </c>
      <c r="L255" s="3034" t="str">
        <f t="shared" ref="L255:L276" si="17">B255</f>
        <v>DT</v>
      </c>
      <c r="N255" s="244">
        <f t="shared" ref="N255:N276" si="18">E255-D197</f>
        <v>0</v>
      </c>
      <c r="O255" s="244">
        <f t="shared" ref="O255:O276" si="19">G255-J197</f>
        <v>2.2482183982872161E-2</v>
      </c>
      <c r="P255" s="996"/>
      <c r="Q255" s="2533"/>
      <c r="R255" s="2533"/>
      <c r="S255" s="2484"/>
      <c r="T255" s="2484"/>
    </row>
    <row r="256" spans="1:49" ht="13.15" customHeight="1">
      <c r="A256" s="838" t="s">
        <v>385</v>
      </c>
      <c r="B256" s="839" t="s">
        <v>276</v>
      </c>
      <c r="C256" s="2450"/>
      <c r="D256" s="991">
        <f t="shared" si="14"/>
        <v>0</v>
      </c>
      <c r="E256" s="989">
        <f t="shared" si="15"/>
        <v>0.60910298289809772</v>
      </c>
      <c r="F256" s="991">
        <f>$K$248</f>
        <v>0.1</v>
      </c>
      <c r="G256" s="989">
        <f t="shared" si="16"/>
        <v>0.6207941242005639</v>
      </c>
      <c r="H256" s="4126" t="s">
        <v>2302</v>
      </c>
      <c r="I256" s="4127"/>
      <c r="J256" s="997">
        <f>E256-S104</f>
        <v>-4.7512239282893276E-2</v>
      </c>
      <c r="K256" s="1924" t="s">
        <v>1176</v>
      </c>
      <c r="L256" s="3034" t="str">
        <f t="shared" si="17"/>
        <v>TKA</v>
      </c>
      <c r="N256" s="244">
        <f t="shared" si="18"/>
        <v>0</v>
      </c>
      <c r="O256" s="244">
        <f t="shared" si="19"/>
        <v>2.2680808375475703E-2</v>
      </c>
      <c r="P256" s="996">
        <v>1</v>
      </c>
      <c r="Q256" s="2533"/>
      <c r="R256" s="2533"/>
      <c r="S256" s="2484"/>
      <c r="T256" s="2484"/>
    </row>
    <row r="257" spans="1:20" ht="13.15" customHeight="1">
      <c r="A257" s="652" t="s">
        <v>319</v>
      </c>
      <c r="B257" s="661" t="s">
        <v>278</v>
      </c>
      <c r="C257" s="2449"/>
      <c r="D257" s="994">
        <f t="shared" si="14"/>
        <v>0</v>
      </c>
      <c r="E257" s="993">
        <f t="shared" si="15"/>
        <v>0.37158673775730477</v>
      </c>
      <c r="F257" s="994">
        <f>$K$248</f>
        <v>0.1</v>
      </c>
      <c r="G257" s="995">
        <f t="shared" si="16"/>
        <v>0.36037883142173305</v>
      </c>
      <c r="H257" s="4126"/>
      <c r="I257" s="4127"/>
      <c r="J257" s="998">
        <f>E257-S105</f>
        <v>-0.12544407366800187</v>
      </c>
      <c r="K257" s="1924" t="s">
        <v>1176</v>
      </c>
      <c r="L257" s="3034" t="str">
        <f t="shared" si="17"/>
        <v>BELG</v>
      </c>
      <c r="N257" s="681">
        <f t="shared" si="18"/>
        <v>0</v>
      </c>
      <c r="O257" s="681">
        <f t="shared" si="19"/>
        <v>2.1664862463861678E-2</v>
      </c>
      <c r="P257" s="996"/>
      <c r="Q257" s="2533"/>
      <c r="R257" s="2533"/>
      <c r="S257" s="2484"/>
      <c r="T257" s="2484"/>
    </row>
    <row r="258" spans="1:20" ht="13.15" customHeight="1">
      <c r="A258" s="652" t="s">
        <v>319</v>
      </c>
      <c r="B258" s="661" t="s">
        <v>275</v>
      </c>
      <c r="C258" s="2449"/>
      <c r="D258" s="994">
        <f t="shared" si="14"/>
        <v>0</v>
      </c>
      <c r="E258" s="993">
        <f t="shared" si="15"/>
        <v>0.95644485424869818</v>
      </c>
      <c r="F258" s="994">
        <f>$K$248</f>
        <v>0.1</v>
      </c>
      <c r="G258" s="995">
        <f t="shared" si="16"/>
        <v>0.97265268915223335</v>
      </c>
      <c r="H258" s="4128" t="s">
        <v>2209</v>
      </c>
      <c r="I258" s="4129"/>
      <c r="J258" s="998">
        <f>E258-S106</f>
        <v>-3.5924508690751811E-2</v>
      </c>
      <c r="K258" s="1924" t="s">
        <v>55</v>
      </c>
      <c r="L258" s="3034" t="str">
        <f t="shared" si="17"/>
        <v>MOB</v>
      </c>
      <c r="N258" s="681">
        <f t="shared" si="18"/>
        <v>0</v>
      </c>
      <c r="O258" s="681">
        <f t="shared" si="19"/>
        <v>2.6526891522333784E-3</v>
      </c>
      <c r="P258" s="996"/>
      <c r="Q258" s="2533"/>
      <c r="R258" s="2533"/>
      <c r="S258" s="2484"/>
      <c r="T258" s="2484"/>
    </row>
    <row r="259" spans="1:20" ht="13.15" customHeight="1">
      <c r="A259" s="652" t="s">
        <v>319</v>
      </c>
      <c r="B259" s="661" t="s">
        <v>281</v>
      </c>
      <c r="C259" s="2449"/>
      <c r="D259" s="994">
        <f t="shared" si="14"/>
        <v>0</v>
      </c>
      <c r="E259" s="993">
        <f t="shared" si="15"/>
        <v>6.4385445236561381E-2</v>
      </c>
      <c r="F259" s="994">
        <f>$K$248</f>
        <v>0.1</v>
      </c>
      <c r="G259" s="995">
        <f t="shared" si="16"/>
        <v>0.15462918080465343</v>
      </c>
      <c r="H259" s="4128"/>
      <c r="I259" s="4129"/>
      <c r="J259" s="1004" t="s">
        <v>508</v>
      </c>
      <c r="K259" s="1924" t="s">
        <v>368</v>
      </c>
      <c r="L259" s="3034" t="str">
        <f t="shared" si="17"/>
        <v>TNET</v>
      </c>
      <c r="N259" s="681">
        <f t="shared" si="18"/>
        <v>0</v>
      </c>
      <c r="O259" s="681">
        <f t="shared" si="19"/>
        <v>1.2052976281546252E-2</v>
      </c>
      <c r="P259" s="996"/>
      <c r="Q259" s="2533"/>
      <c r="R259" s="2533"/>
      <c r="S259" s="2484"/>
      <c r="T259" s="2484"/>
    </row>
    <row r="260" spans="1:20" ht="13.15" customHeight="1">
      <c r="A260" s="406" t="s">
        <v>539</v>
      </c>
      <c r="B260" s="294" t="s">
        <v>39</v>
      </c>
      <c r="C260" s="2449"/>
      <c r="D260" s="991">
        <f t="shared" si="14"/>
        <v>0</v>
      </c>
      <c r="E260" s="989">
        <f t="shared" si="15"/>
        <v>0.31054928118178421</v>
      </c>
      <c r="F260" s="1382">
        <v>0</v>
      </c>
      <c r="G260" s="989">
        <f t="shared" si="16"/>
        <v>0.28165979767703259</v>
      </c>
      <c r="H260" s="4128"/>
      <c r="I260" s="4129"/>
      <c r="J260" s="1003" t="s">
        <v>508</v>
      </c>
      <c r="K260" s="1925" t="s">
        <v>1176</v>
      </c>
      <c r="L260" s="3034" t="str">
        <f t="shared" si="17"/>
        <v>TDC</v>
      </c>
      <c r="N260" s="244">
        <f t="shared" si="18"/>
        <v>0</v>
      </c>
      <c r="O260" s="244">
        <f t="shared" si="19"/>
        <v>0</v>
      </c>
      <c r="P260" s="996">
        <v>1</v>
      </c>
      <c r="Q260" s="2533"/>
      <c r="R260" s="2533"/>
      <c r="S260" s="2484"/>
      <c r="T260" s="2484"/>
    </row>
    <row r="261" spans="1:20" ht="13.15" customHeight="1">
      <c r="A261" s="508" t="s">
        <v>217</v>
      </c>
      <c r="B261" s="294" t="s">
        <v>53</v>
      </c>
      <c r="C261" s="2449"/>
      <c r="D261" s="991">
        <f t="shared" si="14"/>
        <v>0</v>
      </c>
      <c r="E261" s="989">
        <f t="shared" si="15"/>
        <v>0.6158872479982318</v>
      </c>
      <c r="F261" s="991">
        <f>$K$248</f>
        <v>0.1</v>
      </c>
      <c r="G261" s="989">
        <f t="shared" si="16"/>
        <v>0.66127040038880336</v>
      </c>
      <c r="H261" s="3077" t="s">
        <v>2210</v>
      </c>
      <c r="I261" s="1917"/>
      <c r="J261" s="997">
        <f>E261-S109</f>
        <v>5.3804748498359811E-2</v>
      </c>
      <c r="K261" s="1924" t="s">
        <v>1176</v>
      </c>
      <c r="L261" s="3034" t="str">
        <f t="shared" si="17"/>
        <v>TEF</v>
      </c>
      <c r="N261" s="244">
        <f t="shared" si="18"/>
        <v>0</v>
      </c>
      <c r="O261" s="244">
        <f t="shared" si="19"/>
        <v>2.166531736808941E-2</v>
      </c>
      <c r="P261" s="996"/>
      <c r="Q261" s="2533"/>
      <c r="R261" s="2533"/>
      <c r="S261" s="2484"/>
      <c r="T261" s="2484"/>
    </row>
    <row r="262" spans="1:20" ht="13.15" customHeight="1">
      <c r="A262" s="838" t="s">
        <v>73</v>
      </c>
      <c r="B262" s="839" t="s">
        <v>283</v>
      </c>
      <c r="C262" s="2450"/>
      <c r="D262" s="991">
        <f t="shared" si="14"/>
        <v>0</v>
      </c>
      <c r="E262" s="989">
        <f t="shared" si="15"/>
        <v>0.62657499999999999</v>
      </c>
      <c r="F262" s="1382">
        <v>0</v>
      </c>
      <c r="G262" s="989">
        <f t="shared" si="16"/>
        <v>0.64439999999999997</v>
      </c>
      <c r="H262" s="4126" t="s">
        <v>2187</v>
      </c>
      <c r="I262" s="4127"/>
      <c r="J262" s="1003" t="s">
        <v>508</v>
      </c>
      <c r="K262" s="1924" t="s">
        <v>1176</v>
      </c>
      <c r="L262" s="3034" t="str">
        <f t="shared" si="17"/>
        <v>ELI</v>
      </c>
      <c r="N262" s="244">
        <f t="shared" si="18"/>
        <v>0</v>
      </c>
      <c r="O262" s="244">
        <f t="shared" si="19"/>
        <v>0</v>
      </c>
      <c r="P262" s="996"/>
      <c r="Q262" s="2533"/>
      <c r="R262" s="2533"/>
      <c r="S262" s="2484"/>
      <c r="T262" s="2484"/>
    </row>
    <row r="263" spans="1:20" ht="13.15" customHeight="1">
      <c r="A263" s="406" t="s">
        <v>19</v>
      </c>
      <c r="B263" s="294" t="s">
        <v>285</v>
      </c>
      <c r="C263" s="2449"/>
      <c r="D263" s="991">
        <f t="shared" si="14"/>
        <v>0</v>
      </c>
      <c r="E263" s="989">
        <f t="shared" si="15"/>
        <v>9.1630231095150338E-2</v>
      </c>
      <c r="F263" s="991">
        <f>$K$248</f>
        <v>0.1</v>
      </c>
      <c r="G263" s="989">
        <f t="shared" si="16"/>
        <v>0.34976819018989347</v>
      </c>
      <c r="H263" s="4126"/>
      <c r="I263" s="4127"/>
      <c r="J263" s="997">
        <f t="shared" ref="J263:J268" si="20">E263-S111</f>
        <v>9.1630231095150338E-2</v>
      </c>
      <c r="K263" s="1924" t="s">
        <v>368</v>
      </c>
      <c r="L263" s="3034" t="str">
        <f t="shared" si="17"/>
        <v>ILD</v>
      </c>
      <c r="N263" s="244">
        <f t="shared" si="18"/>
        <v>0</v>
      </c>
      <c r="O263" s="244">
        <f t="shared" si="19"/>
        <v>2.1354502642063622E-2</v>
      </c>
      <c r="P263" s="996"/>
      <c r="Q263" s="2533"/>
      <c r="R263" s="2533"/>
      <c r="S263" s="2484"/>
      <c r="T263" s="2484"/>
    </row>
    <row r="264" spans="1:20" ht="13.15" customHeight="1">
      <c r="A264" s="406" t="s">
        <v>19</v>
      </c>
      <c r="B264" s="294" t="s">
        <v>286</v>
      </c>
      <c r="C264" s="2449"/>
      <c r="D264" s="991">
        <f t="shared" si="14"/>
        <v>0</v>
      </c>
      <c r="E264" s="989">
        <f t="shared" si="15"/>
        <v>0.60741568747204655</v>
      </c>
      <c r="F264" s="991">
        <f>$K$248</f>
        <v>0.1</v>
      </c>
      <c r="G264" s="989">
        <f t="shared" si="16"/>
        <v>0.62738172243152124</v>
      </c>
      <c r="H264" s="3001" t="s">
        <v>2188</v>
      </c>
      <c r="I264" s="3000"/>
      <c r="J264" s="997">
        <f t="shared" si="20"/>
        <v>2.7551188741110066E-2</v>
      </c>
      <c r="K264" s="1924" t="s">
        <v>1176</v>
      </c>
      <c r="L264" s="3034" t="str">
        <f t="shared" si="17"/>
        <v>ORA</v>
      </c>
      <c r="N264" s="244">
        <f t="shared" si="18"/>
        <v>0</v>
      </c>
      <c r="O264" s="244">
        <f t="shared" si="19"/>
        <v>2.2537597599241788E-2</v>
      </c>
      <c r="P264" s="996"/>
      <c r="Q264" s="2533"/>
      <c r="R264" s="2533"/>
      <c r="S264" s="2484"/>
      <c r="T264" s="2484"/>
    </row>
    <row r="265" spans="1:20" ht="13.15" customHeight="1">
      <c r="A265" s="406" t="s">
        <v>374</v>
      </c>
      <c r="B265" s="294" t="s">
        <v>42</v>
      </c>
      <c r="C265" s="2449"/>
      <c r="D265" s="991">
        <f t="shared" si="14"/>
        <v>0</v>
      </c>
      <c r="E265" s="989">
        <f t="shared" si="15"/>
        <v>0.56323171407839789</v>
      </c>
      <c r="F265" s="991">
        <f>$K$248</f>
        <v>0.1</v>
      </c>
      <c r="G265" s="989">
        <f t="shared" si="16"/>
        <v>0.53987730061349704</v>
      </c>
      <c r="H265" s="4060" t="s">
        <v>2189</v>
      </c>
      <c r="I265" s="4061"/>
      <c r="J265" s="997">
        <f t="shared" si="20"/>
        <v>-4.0819123251359501E-2</v>
      </c>
      <c r="K265" s="1924" t="s">
        <v>1176</v>
      </c>
      <c r="L265" s="3034" t="str">
        <f t="shared" si="17"/>
        <v>OTE</v>
      </c>
      <c r="N265" s="244">
        <f t="shared" si="18"/>
        <v>0</v>
      </c>
      <c r="O265" s="244">
        <f t="shared" si="19"/>
        <v>2.3748268355432534E-2</v>
      </c>
      <c r="P265" s="996"/>
      <c r="Q265" s="2533"/>
      <c r="R265" s="2533"/>
      <c r="S265" s="2484"/>
      <c r="T265" s="2484"/>
    </row>
    <row r="266" spans="1:20" ht="13.15" customHeight="1">
      <c r="A266" s="838" t="s">
        <v>499</v>
      </c>
      <c r="B266" s="839" t="s">
        <v>284</v>
      </c>
      <c r="C266" s="2450"/>
      <c r="D266" s="991">
        <f t="shared" si="14"/>
        <v>0</v>
      </c>
      <c r="E266" s="989">
        <f t="shared" si="15"/>
        <v>0.34534166666666666</v>
      </c>
      <c r="F266" s="991">
        <f>$K$248</f>
        <v>0.1</v>
      </c>
      <c r="G266" s="989">
        <f t="shared" si="16"/>
        <v>0.3626280111015483</v>
      </c>
      <c r="H266" s="4056"/>
      <c r="I266" s="4057"/>
      <c r="J266" s="997">
        <f t="shared" si="20"/>
        <v>-0.15341065199475185</v>
      </c>
      <c r="K266" s="1924" t="s">
        <v>1176</v>
      </c>
      <c r="L266" s="3034" t="str">
        <f t="shared" si="17"/>
        <v>TIT</v>
      </c>
      <c r="N266" s="244">
        <f t="shared" si="18"/>
        <v>0</v>
      </c>
      <c r="O266" s="244">
        <f t="shared" si="19"/>
        <v>2.1728011101548261E-2</v>
      </c>
      <c r="P266" s="996">
        <v>1</v>
      </c>
      <c r="Q266" s="2533"/>
      <c r="R266" s="2533"/>
      <c r="S266" s="2484"/>
      <c r="T266" s="2484"/>
    </row>
    <row r="267" spans="1:20" ht="13.15" customHeight="1">
      <c r="A267" s="406" t="s">
        <v>500</v>
      </c>
      <c r="B267" s="294" t="s">
        <v>279</v>
      </c>
      <c r="C267" s="2449"/>
      <c r="D267" s="991">
        <f t="shared" si="14"/>
        <v>0</v>
      </c>
      <c r="E267" s="989">
        <f t="shared" si="15"/>
        <v>0.7344324868237998</v>
      </c>
      <c r="F267" s="1382">
        <v>0</v>
      </c>
      <c r="G267" s="989">
        <f t="shared" si="16"/>
        <v>0.74956908795771016</v>
      </c>
      <c r="H267" s="4056" t="s">
        <v>2394</v>
      </c>
      <c r="I267" s="4057"/>
      <c r="J267" s="997">
        <f t="shared" si="20"/>
        <v>-8.2752997256007932E-2</v>
      </c>
      <c r="K267" s="1924" t="s">
        <v>55</v>
      </c>
      <c r="L267" s="3034" t="str">
        <f t="shared" si="17"/>
        <v>TEL</v>
      </c>
      <c r="N267" s="244">
        <f t="shared" si="18"/>
        <v>0</v>
      </c>
      <c r="O267" s="244">
        <f t="shared" si="19"/>
        <v>0</v>
      </c>
      <c r="P267" s="996"/>
      <c r="Q267" s="2533"/>
      <c r="R267" s="2533"/>
      <c r="S267" s="2484"/>
      <c r="T267" s="2484"/>
    </row>
    <row r="268" spans="1:20" ht="13.15" customHeight="1">
      <c r="A268" s="406" t="s">
        <v>501</v>
      </c>
      <c r="B268" s="294" t="s">
        <v>44</v>
      </c>
      <c r="C268" s="2449"/>
      <c r="D268" s="991">
        <f t="shared" si="14"/>
        <v>0</v>
      </c>
      <c r="E268" s="989">
        <f t="shared" si="15"/>
        <v>0.5805147103617575</v>
      </c>
      <c r="F268" s="991">
        <f>$K$248</f>
        <v>0.1</v>
      </c>
      <c r="G268" s="989">
        <f t="shared" si="16"/>
        <v>0.6264024463118032</v>
      </c>
      <c r="H268" s="4056"/>
      <c r="I268" s="4057"/>
      <c r="J268" s="997">
        <f t="shared" si="20"/>
        <v>3.3827236605694644E-2</v>
      </c>
      <c r="K268" s="1924" t="s">
        <v>1176</v>
      </c>
      <c r="L268" s="3034" t="str">
        <f t="shared" si="17"/>
        <v>KPN</v>
      </c>
      <c r="N268" s="244">
        <f t="shared" si="18"/>
        <v>0</v>
      </c>
      <c r="O268" s="244">
        <f t="shared" si="19"/>
        <v>2.2559427465275839E-2</v>
      </c>
      <c r="P268" s="996">
        <v>1</v>
      </c>
      <c r="Q268" s="2533"/>
      <c r="R268" s="2533"/>
      <c r="S268" s="2484"/>
      <c r="T268" s="2484"/>
    </row>
    <row r="269" spans="1:20" ht="13.15" customHeight="1">
      <c r="A269" s="406" t="s">
        <v>502</v>
      </c>
      <c r="B269" s="294" t="s">
        <v>287</v>
      </c>
      <c r="C269" s="2449"/>
      <c r="D269" s="991">
        <f t="shared" si="14"/>
        <v>0</v>
      </c>
      <c r="E269" s="989">
        <f t="shared" si="15"/>
        <v>0.42290073595624156</v>
      </c>
      <c r="F269" s="991">
        <f>$K$248</f>
        <v>0.1</v>
      </c>
      <c r="G269" s="989">
        <f t="shared" si="16"/>
        <v>0.44946685046944856</v>
      </c>
      <c r="H269" s="4058"/>
      <c r="I269" s="4059"/>
      <c r="J269" s="1003" t="s">
        <v>508</v>
      </c>
      <c r="K269" s="1924" t="s">
        <v>1176</v>
      </c>
      <c r="L269" s="3034" t="str">
        <f t="shared" si="17"/>
        <v>TPS</v>
      </c>
      <c r="N269" s="244">
        <f t="shared" si="18"/>
        <v>0</v>
      </c>
      <c r="O269" s="244">
        <f t="shared" si="19"/>
        <v>2.3453449914948965E-2</v>
      </c>
      <c r="P269" s="996">
        <v>1</v>
      </c>
      <c r="Q269" s="2533"/>
      <c r="R269" s="2533"/>
      <c r="S269" s="2484"/>
      <c r="T269" s="2484"/>
    </row>
    <row r="270" spans="1:20" ht="13.15" customHeight="1">
      <c r="A270" s="406" t="s">
        <v>27</v>
      </c>
      <c r="B270" s="294" t="s">
        <v>54</v>
      </c>
      <c r="C270" s="2449"/>
      <c r="D270" s="991">
        <f t="shared" si="14"/>
        <v>0</v>
      </c>
      <c r="E270" s="989">
        <f t="shared" si="15"/>
        <v>0.48460704112825509</v>
      </c>
      <c r="F270" s="991">
        <f>$K$248</f>
        <v>0.1</v>
      </c>
      <c r="G270" s="989">
        <f t="shared" si="16"/>
        <v>0.49497857034449522</v>
      </c>
      <c r="H270" s="4060" t="s">
        <v>2180</v>
      </c>
      <c r="I270" s="4061"/>
      <c r="J270" s="997">
        <f t="shared" ref="J270:J275" si="21">E270-S118</f>
        <v>-0.1414347806339627</v>
      </c>
      <c r="K270" s="1924" t="s">
        <v>1176</v>
      </c>
      <c r="L270" s="3034" t="str">
        <f t="shared" si="17"/>
        <v>PT</v>
      </c>
      <c r="N270" s="244">
        <f t="shared" si="18"/>
        <v>0</v>
      </c>
      <c r="O270" s="244">
        <f t="shared" si="19"/>
        <v>2.3795742533046227E-2</v>
      </c>
      <c r="P270" s="996"/>
      <c r="Q270" s="2533"/>
      <c r="R270" s="2533"/>
      <c r="S270" s="2484"/>
      <c r="T270" s="2484"/>
    </row>
    <row r="271" spans="1:20" ht="13.15" customHeight="1">
      <c r="A271" s="406" t="s">
        <v>32</v>
      </c>
      <c r="B271" s="294" t="s">
        <v>50</v>
      </c>
      <c r="C271" s="2449"/>
      <c r="D271" s="991">
        <f t="shared" si="14"/>
        <v>0</v>
      </c>
      <c r="E271" s="989">
        <f t="shared" si="15"/>
        <v>0</v>
      </c>
      <c r="F271" s="991">
        <f>$K$248</f>
        <v>0.1</v>
      </c>
      <c r="G271" s="989">
        <f t="shared" si="16"/>
        <v>0</v>
      </c>
      <c r="H271" s="4056"/>
      <c r="I271" s="4057"/>
      <c r="J271" s="997">
        <f t="shared" si="21"/>
        <v>0</v>
      </c>
      <c r="K271" s="1924" t="s">
        <v>368</v>
      </c>
      <c r="L271" s="3034" t="str">
        <f t="shared" si="17"/>
        <v>BT</v>
      </c>
      <c r="N271" s="244">
        <f t="shared" si="18"/>
        <v>0</v>
      </c>
      <c r="O271" s="244">
        <f t="shared" si="19"/>
        <v>0</v>
      </c>
      <c r="P271" s="996"/>
      <c r="Q271" s="2533"/>
      <c r="R271" s="2533"/>
      <c r="S271" s="2484"/>
      <c r="T271" s="2484"/>
    </row>
    <row r="272" spans="1:20" ht="13.15" customHeight="1">
      <c r="A272" s="406" t="s">
        <v>32</v>
      </c>
      <c r="B272" s="294" t="s">
        <v>277</v>
      </c>
      <c r="C272" s="2449"/>
      <c r="D272" s="991">
        <f t="shared" si="14"/>
        <v>0</v>
      </c>
      <c r="E272" s="989">
        <f t="shared" si="15"/>
        <v>0.91487499999999988</v>
      </c>
      <c r="F272" s="991">
        <f>$K$248</f>
        <v>0.1</v>
      </c>
      <c r="G272" s="989">
        <f t="shared" si="16"/>
        <v>0.89481420237931208</v>
      </c>
      <c r="H272" s="4056"/>
      <c r="I272" s="4057"/>
      <c r="J272" s="997">
        <f t="shared" si="21"/>
        <v>-6.4704334286297738E-2</v>
      </c>
      <c r="K272" s="1924" t="s">
        <v>55</v>
      </c>
      <c r="L272" s="3034" t="str">
        <f t="shared" si="17"/>
        <v>VOD</v>
      </c>
      <c r="N272" s="244">
        <f t="shared" si="18"/>
        <v>0</v>
      </c>
      <c r="O272" s="244">
        <f t="shared" si="19"/>
        <v>9.3142023793121309E-3</v>
      </c>
      <c r="P272" s="996"/>
      <c r="Q272" s="2533"/>
      <c r="R272" s="2533"/>
      <c r="S272" s="2484"/>
      <c r="T272" s="2484"/>
    </row>
    <row r="273" spans="1:49" ht="13.15" customHeight="1">
      <c r="A273" s="406" t="s">
        <v>503</v>
      </c>
      <c r="B273" s="294" t="s">
        <v>282</v>
      </c>
      <c r="C273" s="2449"/>
      <c r="D273" s="991">
        <f t="shared" si="14"/>
        <v>0</v>
      </c>
      <c r="E273" s="989">
        <f t="shared" si="15"/>
        <v>0.67984865616162071</v>
      </c>
      <c r="F273" s="1382">
        <v>0</v>
      </c>
      <c r="G273" s="989">
        <f t="shared" si="16"/>
        <v>0.7167630057803468</v>
      </c>
      <c r="H273" s="4124" t="s">
        <v>2190</v>
      </c>
      <c r="I273" s="4125"/>
      <c r="J273" s="997">
        <f t="shared" si="21"/>
        <v>8.9815037331044345E-2</v>
      </c>
      <c r="K273" s="1924" t="s">
        <v>55</v>
      </c>
      <c r="L273" s="3034" t="str">
        <f t="shared" si="17"/>
        <v>TLSN</v>
      </c>
      <c r="N273" s="244">
        <f t="shared" si="18"/>
        <v>0</v>
      </c>
      <c r="O273" s="244">
        <f t="shared" si="19"/>
        <v>0</v>
      </c>
      <c r="P273" s="996"/>
      <c r="Q273" s="2533"/>
      <c r="R273" s="2533"/>
      <c r="S273" s="2484"/>
      <c r="T273" s="2484"/>
    </row>
    <row r="274" spans="1:49" ht="13.15" customHeight="1">
      <c r="A274" s="406" t="s">
        <v>503</v>
      </c>
      <c r="B274" s="294" t="s">
        <v>280</v>
      </c>
      <c r="C274" s="2449"/>
      <c r="D274" s="991">
        <f t="shared" si="14"/>
        <v>0</v>
      </c>
      <c r="E274" s="989">
        <f t="shared" si="15"/>
        <v>0.67083419702973635</v>
      </c>
      <c r="F274" s="1382">
        <v>0</v>
      </c>
      <c r="G274" s="989">
        <f t="shared" si="16"/>
        <v>0.63639387890884902</v>
      </c>
      <c r="H274" s="4124"/>
      <c r="I274" s="4125"/>
      <c r="J274" s="997">
        <f t="shared" si="21"/>
        <v>-0.10069658760673372</v>
      </c>
      <c r="K274" s="1924" t="s">
        <v>55</v>
      </c>
      <c r="L274" s="3034" t="str">
        <f t="shared" si="17"/>
        <v>TEL2</v>
      </c>
      <c r="N274" s="244">
        <f t="shared" si="18"/>
        <v>0</v>
      </c>
      <c r="O274" s="244">
        <f t="shared" si="19"/>
        <v>0</v>
      </c>
      <c r="P274" s="996"/>
      <c r="Q274" s="2533"/>
      <c r="R274" s="2533"/>
      <c r="S274" s="2484"/>
      <c r="T274" s="2484"/>
    </row>
    <row r="275" spans="1:49" ht="13.15" customHeight="1">
      <c r="A275" s="406" t="s">
        <v>504</v>
      </c>
      <c r="B275" s="294" t="s">
        <v>288</v>
      </c>
      <c r="C275" s="2449"/>
      <c r="D275" s="991">
        <f t="shared" si="14"/>
        <v>0</v>
      </c>
      <c r="E275" s="989">
        <f t="shared" si="15"/>
        <v>0.32615050588405037</v>
      </c>
      <c r="F275" s="1382">
        <v>0</v>
      </c>
      <c r="G275" s="989">
        <f t="shared" si="16"/>
        <v>0.30985103942866765</v>
      </c>
      <c r="H275" s="4124"/>
      <c r="I275" s="4125"/>
      <c r="J275" s="997">
        <f t="shared" si="21"/>
        <v>-0.1740840928707893</v>
      </c>
      <c r="K275" s="1924" t="s">
        <v>1176</v>
      </c>
      <c r="L275" s="3034" t="str">
        <f t="shared" si="17"/>
        <v>SCM</v>
      </c>
      <c r="N275" s="244">
        <f t="shared" si="18"/>
        <v>0</v>
      </c>
      <c r="O275" s="244">
        <f t="shared" si="19"/>
        <v>0</v>
      </c>
      <c r="P275" s="996">
        <v>1</v>
      </c>
      <c r="Q275" s="2533"/>
      <c r="R275" s="2533"/>
      <c r="S275" s="2484"/>
      <c r="T275" s="2484"/>
    </row>
    <row r="276" spans="1:49" ht="13.15" customHeight="1">
      <c r="A276" s="406" t="s">
        <v>27</v>
      </c>
      <c r="B276" s="294" t="s">
        <v>353</v>
      </c>
      <c r="C276" s="2449"/>
      <c r="D276" s="992">
        <f t="shared" si="14"/>
        <v>0</v>
      </c>
      <c r="E276" s="989">
        <f t="shared" si="15"/>
        <v>0.90539538726018864</v>
      </c>
      <c r="F276" s="992">
        <f>$K$248</f>
        <v>0.1</v>
      </c>
      <c r="G276" s="989">
        <f t="shared" si="16"/>
        <v>0.90138346931536006</v>
      </c>
      <c r="H276" s="3094" t="s">
        <v>2191</v>
      </c>
      <c r="I276" s="3078"/>
      <c r="J276" s="1003" t="s">
        <v>508</v>
      </c>
      <c r="K276" s="1924" t="s">
        <v>55</v>
      </c>
      <c r="L276" s="3034" t="str">
        <f t="shared" si="17"/>
        <v>SNC</v>
      </c>
      <c r="N276" s="244">
        <f t="shared" si="18"/>
        <v>0</v>
      </c>
      <c r="O276" s="244">
        <f t="shared" si="19"/>
        <v>8.8023255750200313E-3</v>
      </c>
      <c r="P276" s="996"/>
      <c r="Q276" s="2533"/>
      <c r="R276" s="2533"/>
      <c r="S276" s="2484"/>
      <c r="T276" s="2484"/>
    </row>
    <row r="277" spans="1:49" ht="13.15" customHeight="1">
      <c r="A277" s="500" t="s">
        <v>1650</v>
      </c>
      <c r="B277" s="293" t="s">
        <v>1652</v>
      </c>
      <c r="D277" s="914"/>
      <c r="E277" s="989">
        <f>SUMPRODUCT(E255:E276,$P$255:$P$276)/$P$277</f>
        <v>0.4324266471580997</v>
      </c>
      <c r="F277" s="914"/>
      <c r="G277" s="989">
        <f>SUMPRODUCT(G255:G276,$P$255:$P$276)/$P$277</f>
        <v>0.44180037819817736</v>
      </c>
      <c r="H277" s="500"/>
      <c r="I277" s="1359" t="s">
        <v>1175</v>
      </c>
      <c r="J277" s="997">
        <f>AVERAGE(J255:J258,J261,J263:J268,J270:J275)</f>
        <v>-3.9269767220148549E-2</v>
      </c>
      <c r="K277" s="914"/>
      <c r="L277" s="488"/>
      <c r="M277" s="2553"/>
      <c r="N277" s="1329"/>
      <c r="O277" s="913"/>
      <c r="P277" s="996">
        <f>SUM(P255:P276)</f>
        <v>6</v>
      </c>
      <c r="Q277" s="2533"/>
      <c r="R277" s="2533"/>
      <c r="S277" s="2484"/>
      <c r="T277" s="2484"/>
    </row>
    <row r="278" spans="1:49">
      <c r="A278" s="641"/>
      <c r="B278" s="1331"/>
      <c r="D278" s="151"/>
      <c r="E278" s="151"/>
      <c r="F278" s="151"/>
      <c r="G278" s="151"/>
      <c r="H278" s="1360"/>
      <c r="I278" s="1359" t="s">
        <v>1648</v>
      </c>
      <c r="J278" s="244">
        <f>AVERAGE(J255,J256,J257,J261,J264:J266,J268,J270,J275)</f>
        <v>-5.6495288332892878E-2</v>
      </c>
      <c r="K278" s="163"/>
      <c r="L278" s="488"/>
      <c r="M278" s="2538"/>
      <c r="N278" s="72"/>
      <c r="O278" s="151"/>
      <c r="P278" s="3034"/>
      <c r="Q278" s="2495"/>
      <c r="R278" s="2495"/>
    </row>
    <row r="279" spans="1:49">
      <c r="A279" s="641"/>
      <c r="B279" s="1331"/>
      <c r="D279" s="3139"/>
      <c r="E279" s="1330"/>
      <c r="F279" s="1330"/>
      <c r="G279" s="1330"/>
      <c r="H279" s="1330"/>
      <c r="I279" s="1332"/>
      <c r="J279" s="1332"/>
      <c r="K279" s="1326"/>
      <c r="L279" s="2552"/>
      <c r="M279" s="2507"/>
      <c r="N279" s="2507"/>
      <c r="O279" s="2495"/>
    </row>
    <row r="280" spans="1:49">
      <c r="A280" s="641"/>
      <c r="B280" s="1331"/>
      <c r="D280" s="3139"/>
      <c r="E280" s="1576"/>
      <c r="F280" s="1576"/>
      <c r="G280" s="1576"/>
      <c r="H280" s="1576"/>
      <c r="I280" s="1575"/>
      <c r="J280" s="1575"/>
      <c r="K280" s="1326"/>
      <c r="L280" s="2552"/>
      <c r="M280" s="2507"/>
      <c r="N280" s="2507"/>
      <c r="O280" s="2495"/>
    </row>
    <row r="281" spans="1:49" s="2437" customFormat="1">
      <c r="A281" s="2731" t="s">
        <v>1308</v>
      </c>
      <c r="B281" s="2739"/>
      <c r="C281" s="2444"/>
      <c r="D281" s="3146"/>
      <c r="E281" s="2673"/>
      <c r="F281" s="2740"/>
      <c r="G281" s="2740"/>
      <c r="H281" s="2740"/>
      <c r="I281" s="2740"/>
      <c r="J281" s="3056"/>
      <c r="K281" s="3056"/>
      <c r="L281" s="2741"/>
      <c r="N281" s="2507"/>
      <c r="O281" s="2507"/>
      <c r="AW281" s="2347"/>
    </row>
    <row r="282" spans="1:49" s="2437" customFormat="1">
      <c r="A282" s="640"/>
      <c r="B282" s="83"/>
      <c r="C282" s="2435"/>
      <c r="D282" s="3146"/>
      <c r="E282" s="2673"/>
      <c r="F282" s="2740"/>
      <c r="G282" s="2740"/>
      <c r="H282" s="2740"/>
      <c r="I282" s="2740"/>
      <c r="J282" s="3056"/>
      <c r="K282" s="3056"/>
      <c r="L282" s="2741"/>
      <c r="N282" s="2507"/>
      <c r="O282" s="2507"/>
      <c r="AW282" s="2347"/>
    </row>
    <row r="283" spans="1:49" s="2437" customFormat="1">
      <c r="A283" s="640"/>
      <c r="B283" s="83"/>
      <c r="C283" s="2435"/>
      <c r="D283" s="3146"/>
      <c r="E283" s="2673"/>
      <c r="F283" s="2740"/>
      <c r="G283" s="2740"/>
      <c r="H283" s="2740"/>
      <c r="I283" s="2740"/>
      <c r="J283" s="3056"/>
      <c r="K283" s="3056"/>
      <c r="L283" s="2741"/>
      <c r="N283" s="2507"/>
      <c r="O283" s="2507"/>
      <c r="AW283" s="2347"/>
    </row>
    <row r="284" spans="1:49" s="2437" customFormat="1">
      <c r="A284" s="640"/>
      <c r="B284" s="83"/>
      <c r="C284" s="2435"/>
      <c r="D284" s="3146"/>
      <c r="E284" s="2673"/>
      <c r="F284" s="2740"/>
      <c r="G284" s="2740"/>
      <c r="H284" s="2740"/>
      <c r="I284" s="2740"/>
      <c r="J284" s="3056"/>
      <c r="K284" s="3056"/>
      <c r="L284" s="2741"/>
      <c r="N284" s="2507"/>
      <c r="O284" s="2507"/>
      <c r="AW284" s="2347"/>
    </row>
    <row r="285" spans="1:49" s="2437" customFormat="1">
      <c r="A285" s="640"/>
      <c r="B285" s="83"/>
      <c r="C285" s="2435"/>
      <c r="D285" s="3146"/>
      <c r="E285" s="2673"/>
      <c r="F285" s="2740"/>
      <c r="G285" s="2740"/>
      <c r="H285" s="2740"/>
      <c r="I285" s="2740"/>
      <c r="J285" s="3056"/>
      <c r="K285" s="3056"/>
      <c r="L285" s="2741"/>
      <c r="N285" s="2507"/>
      <c r="O285" s="2507"/>
      <c r="AW285" s="2347"/>
    </row>
    <row r="286" spans="1:49">
      <c r="A286" s="641"/>
      <c r="B286" s="1331"/>
      <c r="D286" s="3139"/>
      <c r="E286" s="1576"/>
      <c r="F286" s="1576"/>
      <c r="G286" s="1576"/>
      <c r="H286" s="1576"/>
      <c r="I286" s="1575"/>
      <c r="J286" s="1575"/>
      <c r="K286" s="1326"/>
      <c r="L286" s="2552"/>
      <c r="N286" s="2507"/>
      <c r="O286" s="2495"/>
    </row>
    <row r="287" spans="1:49">
      <c r="A287" s="2465"/>
      <c r="B287" s="2469"/>
      <c r="C287" s="2444"/>
      <c r="D287" s="2470"/>
      <c r="E287" s="2347"/>
      <c r="F287" s="2347"/>
      <c r="G287" s="2347"/>
      <c r="H287" s="2347"/>
      <c r="I287" s="2440"/>
      <c r="J287" s="2471"/>
      <c r="K287" s="2472"/>
      <c r="L287" s="2440"/>
      <c r="AB287" s="2473"/>
      <c r="AC287" s="2473"/>
      <c r="AD287" s="2473"/>
    </row>
    <row r="288" spans="1:49">
      <c r="A288" s="675" t="s">
        <v>1117</v>
      </c>
      <c r="B288" s="2097"/>
      <c r="D288" s="672"/>
      <c r="E288" s="672"/>
      <c r="F288" s="672"/>
      <c r="G288" s="672"/>
      <c r="H288" s="672"/>
      <c r="I288" s="999"/>
      <c r="J288" s="1000"/>
      <c r="K288" s="1000"/>
      <c r="L288" s="1000"/>
      <c r="N288" s="2495"/>
      <c r="O288" s="2495"/>
      <c r="P288" s="2495"/>
      <c r="Q288" s="2495"/>
      <c r="R288" s="2495"/>
      <c r="S288" s="2495"/>
      <c r="T288" s="2495"/>
      <c r="U288" s="2495"/>
      <c r="V288" s="2495"/>
      <c r="W288" s="2495"/>
      <c r="X288" s="2495"/>
      <c r="Y288" s="2495"/>
      <c r="Z288" s="2495"/>
      <c r="AA288" s="2495"/>
      <c r="AB288" s="2495"/>
      <c r="AC288" s="2495"/>
    </row>
    <row r="289" spans="1:29">
      <c r="A289" s="641"/>
      <c r="B289" s="1331"/>
      <c r="D289" s="1221"/>
      <c r="E289" s="1221"/>
      <c r="F289" s="1221"/>
      <c r="G289" s="1221"/>
      <c r="H289" s="1221"/>
      <c r="I289" s="160"/>
      <c r="J289" s="160"/>
      <c r="K289" s="163"/>
      <c r="L289" s="488"/>
      <c r="N289" s="2495"/>
      <c r="O289" s="2495"/>
      <c r="P289" s="2495"/>
      <c r="Q289" s="2495"/>
      <c r="R289" s="2495"/>
      <c r="S289" s="2495"/>
      <c r="T289" s="2495"/>
      <c r="U289" s="2495"/>
      <c r="V289" s="2495"/>
      <c r="W289" s="2495"/>
      <c r="X289" s="2495"/>
      <c r="Y289" s="2495"/>
      <c r="Z289" s="2495"/>
      <c r="AA289" s="2495"/>
      <c r="AB289" s="2495"/>
      <c r="AC289" s="2495"/>
    </row>
    <row r="290" spans="1:29" ht="13.15" customHeight="1">
      <c r="A290" s="150"/>
      <c r="B290" s="2098"/>
      <c r="D290" s="3139" t="s">
        <v>2212</v>
      </c>
      <c r="E290" s="3139"/>
      <c r="F290" s="3139"/>
      <c r="G290" s="3139"/>
      <c r="H290" s="3139"/>
      <c r="I290" s="3139"/>
      <c r="J290" s="905"/>
      <c r="K290" s="905"/>
      <c r="L290" s="905"/>
      <c r="N290" s="2507"/>
      <c r="O290" s="2495"/>
      <c r="P290" s="2495"/>
      <c r="Q290" s="2495"/>
      <c r="R290" s="2495"/>
      <c r="S290" s="2495"/>
      <c r="T290" s="2495"/>
      <c r="U290" s="2495"/>
      <c r="V290" s="2495"/>
      <c r="W290" s="2495"/>
      <c r="X290" s="2495"/>
      <c r="Y290" s="2495"/>
      <c r="Z290" s="2495"/>
      <c r="AA290" s="2495"/>
      <c r="AB290" s="2495"/>
      <c r="AC290" s="2495"/>
    </row>
    <row r="291" spans="1:29" ht="12.75" customHeight="1">
      <c r="A291" s="150"/>
      <c r="B291" s="1331"/>
      <c r="D291" s="4022" t="s">
        <v>2395</v>
      </c>
      <c r="E291" s="4022"/>
      <c r="F291" s="4022"/>
      <c r="G291" s="4022"/>
      <c r="H291" s="4022"/>
      <c r="I291" s="4022"/>
      <c r="J291" s="905"/>
      <c r="K291" s="905"/>
      <c r="L291" s="905"/>
      <c r="N291" s="3097"/>
      <c r="O291" s="2495"/>
      <c r="P291" s="2495"/>
      <c r="Q291" s="2495"/>
      <c r="R291" s="2495"/>
      <c r="S291" s="2495"/>
      <c r="T291" s="2495"/>
      <c r="U291" s="2495"/>
      <c r="V291" s="2495"/>
      <c r="W291" s="2495"/>
      <c r="X291" s="2495"/>
      <c r="Y291" s="2495"/>
      <c r="Z291" s="2495"/>
      <c r="AA291" s="2495"/>
      <c r="AB291" s="2495"/>
      <c r="AC291" s="2495"/>
    </row>
    <row r="292" spans="1:29">
      <c r="A292" s="150"/>
      <c r="B292" s="1331"/>
      <c r="D292" s="4022"/>
      <c r="E292" s="4022"/>
      <c r="F292" s="4022"/>
      <c r="G292" s="4022"/>
      <c r="H292" s="4022"/>
      <c r="I292" s="4022"/>
      <c r="J292" s="905"/>
      <c r="K292" s="905"/>
      <c r="L292" s="905"/>
      <c r="N292" s="3097"/>
      <c r="O292" s="2495"/>
      <c r="P292" s="2495"/>
      <c r="Q292" s="2495"/>
      <c r="R292" s="2495"/>
      <c r="S292" s="2495"/>
      <c r="T292" s="2495"/>
      <c r="U292" s="2495"/>
      <c r="V292" s="2495"/>
      <c r="W292" s="2495"/>
      <c r="X292" s="2495"/>
      <c r="Y292" s="2495"/>
      <c r="Z292" s="2495"/>
      <c r="AA292" s="2495"/>
      <c r="AB292" s="2495"/>
      <c r="AC292" s="2495"/>
    </row>
    <row r="293" spans="1:29">
      <c r="A293" s="150"/>
      <c r="B293" s="1331"/>
      <c r="D293" s="3139" t="s">
        <v>2298</v>
      </c>
      <c r="E293" s="3072"/>
      <c r="F293" s="3072"/>
      <c r="G293" s="3072"/>
      <c r="H293" s="3072"/>
      <c r="I293" s="3072"/>
      <c r="J293" s="3071"/>
      <c r="K293" s="4120" t="s">
        <v>1672</v>
      </c>
      <c r="L293" s="4120"/>
      <c r="N293" s="3097"/>
      <c r="O293" s="2495"/>
      <c r="P293" s="2495"/>
      <c r="Q293" s="2495"/>
      <c r="R293" s="2495"/>
      <c r="S293" s="2495"/>
      <c r="T293" s="2495"/>
      <c r="U293" s="2495"/>
      <c r="V293" s="2495"/>
      <c r="W293" s="2495"/>
      <c r="X293" s="2495"/>
      <c r="Y293" s="2495"/>
      <c r="Z293" s="2495"/>
      <c r="AA293" s="2495"/>
      <c r="AB293" s="2495"/>
      <c r="AC293" s="2495"/>
    </row>
    <row r="294" spans="1:29">
      <c r="A294" s="150"/>
      <c r="B294" s="1331"/>
      <c r="D294" s="3072"/>
      <c r="E294" s="3072"/>
      <c r="F294" s="3072"/>
      <c r="G294" s="3072"/>
      <c r="H294" s="3072"/>
      <c r="I294" s="3072"/>
      <c r="J294" s="3071"/>
      <c r="K294" s="4120"/>
      <c r="L294" s="4120"/>
      <c r="N294" s="3097"/>
      <c r="O294" s="2495"/>
      <c r="P294" s="2495"/>
      <c r="Q294" s="2495"/>
      <c r="R294" s="2495"/>
      <c r="S294" s="2495"/>
      <c r="T294" s="2495"/>
      <c r="U294" s="2495"/>
      <c r="V294" s="2495"/>
      <c r="W294" s="2495"/>
      <c r="X294" s="2495"/>
      <c r="Y294" s="2495"/>
      <c r="Z294" s="2495"/>
      <c r="AA294" s="2495"/>
      <c r="AB294" s="2495"/>
      <c r="AC294" s="2495"/>
    </row>
    <row r="295" spans="1:29" ht="13.15" customHeight="1">
      <c r="A295" s="150"/>
      <c r="B295" s="1331"/>
      <c r="D295" s="4022" t="s">
        <v>2229</v>
      </c>
      <c r="E295" s="4022"/>
      <c r="F295" s="4022"/>
      <c r="G295" s="4022"/>
      <c r="H295" s="4022"/>
      <c r="I295" s="4022"/>
      <c r="J295" s="2513"/>
      <c r="K295" s="2513"/>
      <c r="L295" s="2513"/>
      <c r="N295" s="3097"/>
      <c r="O295" s="2495"/>
      <c r="P295" s="2495"/>
      <c r="Q295" s="2495"/>
      <c r="R295" s="2495"/>
      <c r="S295" s="2495"/>
      <c r="T295" s="2495"/>
      <c r="U295" s="2495"/>
      <c r="V295" s="2495"/>
      <c r="W295" s="2495"/>
      <c r="X295" s="2495"/>
      <c r="Y295" s="2495"/>
      <c r="Z295" s="2495"/>
      <c r="AA295" s="2495"/>
      <c r="AB295" s="2495"/>
      <c r="AC295" s="2495"/>
    </row>
    <row r="296" spans="1:29">
      <c r="A296" s="150"/>
      <c r="B296" s="1331"/>
      <c r="D296" s="4022"/>
      <c r="E296" s="4022"/>
      <c r="F296" s="4022"/>
      <c r="G296" s="4022"/>
      <c r="H296" s="4022"/>
      <c r="I296" s="4022"/>
      <c r="J296" s="2513"/>
      <c r="K296" s="2513"/>
      <c r="L296" s="2513"/>
      <c r="N296" s="3097"/>
      <c r="O296" s="2495"/>
      <c r="P296" s="2495"/>
      <c r="Q296" s="2495"/>
      <c r="R296" s="2495"/>
      <c r="S296" s="2495"/>
      <c r="T296" s="2495"/>
      <c r="U296" s="2495"/>
      <c r="V296" s="2495"/>
      <c r="W296" s="2495"/>
      <c r="X296" s="2495"/>
      <c r="Y296" s="2495"/>
      <c r="Z296" s="2495"/>
      <c r="AA296" s="2495"/>
      <c r="AB296" s="2495"/>
      <c r="AC296" s="2495"/>
    </row>
    <row r="297" spans="1:29">
      <c r="A297" s="150"/>
      <c r="B297" s="1331"/>
      <c r="D297" s="3173" t="s">
        <v>2299</v>
      </c>
      <c r="E297" s="3071"/>
      <c r="F297" s="3071"/>
      <c r="G297" s="3071"/>
      <c r="H297" s="3071"/>
      <c r="I297" s="3071"/>
      <c r="J297" s="3070"/>
      <c r="K297" s="3070"/>
      <c r="L297" s="3070"/>
      <c r="N297" s="3097"/>
      <c r="O297" s="2495"/>
      <c r="P297" s="2495"/>
      <c r="Q297" s="2495"/>
      <c r="R297" s="2495"/>
      <c r="S297" s="2495"/>
      <c r="T297" s="2495"/>
      <c r="U297" s="2495"/>
      <c r="V297" s="2495"/>
      <c r="W297" s="2495"/>
      <c r="X297" s="2495"/>
      <c r="Y297" s="2495"/>
      <c r="Z297" s="2495"/>
      <c r="AA297" s="2495"/>
      <c r="AB297" s="2495"/>
      <c r="AC297" s="2495"/>
    </row>
    <row r="298" spans="1:29" ht="12.75" customHeight="1">
      <c r="A298" s="150"/>
      <c r="B298" s="1331"/>
      <c r="D298" s="4022" t="s">
        <v>2396</v>
      </c>
      <c r="E298" s="4022"/>
      <c r="F298" s="4022"/>
      <c r="G298" s="4022"/>
      <c r="H298" s="4022"/>
      <c r="I298" s="4022"/>
      <c r="J298" s="3096"/>
      <c r="K298" s="3096"/>
      <c r="L298" s="3096"/>
      <c r="N298" s="3097"/>
      <c r="O298" s="2495"/>
      <c r="P298" s="2495"/>
      <c r="Q298" s="2495"/>
      <c r="R298" s="2495"/>
      <c r="S298" s="2495"/>
      <c r="T298" s="2495"/>
      <c r="U298" s="2495"/>
      <c r="V298" s="2495"/>
      <c r="W298" s="2495"/>
      <c r="X298" s="2495"/>
      <c r="Y298" s="2495"/>
      <c r="Z298" s="2495"/>
      <c r="AA298" s="2495"/>
      <c r="AB298" s="2495"/>
      <c r="AC298" s="2495"/>
    </row>
    <row r="299" spans="1:29" ht="12.75" customHeight="1">
      <c r="A299" s="150"/>
      <c r="B299" s="1331"/>
      <c r="D299" s="4022"/>
      <c r="E299" s="4022"/>
      <c r="F299" s="4022"/>
      <c r="G299" s="4022"/>
      <c r="H299" s="4022"/>
      <c r="I299" s="4022"/>
      <c r="J299" s="3096"/>
      <c r="K299" s="3096"/>
      <c r="L299" s="3096"/>
      <c r="N299" s="3097"/>
      <c r="O299" s="2495"/>
      <c r="P299" s="2495"/>
      <c r="Q299" s="2495"/>
      <c r="R299" s="2495"/>
      <c r="S299" s="2495"/>
      <c r="T299" s="2495"/>
      <c r="U299" s="2495"/>
      <c r="V299" s="2495"/>
      <c r="W299" s="2495"/>
      <c r="X299" s="2495"/>
      <c r="Y299" s="2495"/>
      <c r="Z299" s="2495"/>
      <c r="AA299" s="2495"/>
      <c r="AB299" s="2495"/>
      <c r="AC299" s="2495"/>
    </row>
    <row r="300" spans="1:29" ht="12.75" customHeight="1">
      <c r="A300" s="150"/>
      <c r="B300" s="1331"/>
      <c r="D300" s="4039" t="s">
        <v>2230</v>
      </c>
      <c r="E300" s="4039"/>
      <c r="F300" s="4039"/>
      <c r="G300" s="4039"/>
      <c r="H300" s="4039"/>
      <c r="I300" s="4039"/>
      <c r="J300" s="3096"/>
      <c r="K300" s="3096"/>
      <c r="L300" s="3096"/>
      <c r="N300" s="3097"/>
      <c r="O300" s="2495"/>
      <c r="P300" s="2495"/>
      <c r="Q300" s="2495"/>
      <c r="R300" s="2495"/>
      <c r="S300" s="2495"/>
      <c r="T300" s="2495"/>
      <c r="U300" s="2495"/>
      <c r="V300" s="2495"/>
      <c r="W300" s="2495"/>
      <c r="X300" s="2495"/>
      <c r="Y300" s="2495"/>
      <c r="Z300" s="2495"/>
      <c r="AA300" s="2495"/>
      <c r="AB300" s="2495"/>
      <c r="AC300" s="2495"/>
    </row>
    <row r="301" spans="1:29" ht="12.75" customHeight="1">
      <c r="A301" s="150"/>
      <c r="B301" s="1331"/>
      <c r="D301" s="4039"/>
      <c r="E301" s="4039"/>
      <c r="F301" s="4039"/>
      <c r="G301" s="4039"/>
      <c r="H301" s="4039"/>
      <c r="I301" s="4039"/>
      <c r="J301" s="3071"/>
      <c r="K301" s="3071"/>
      <c r="L301" s="3071"/>
      <c r="N301" s="3097"/>
      <c r="O301" s="2495"/>
      <c r="P301" s="2495"/>
      <c r="Q301" s="2495"/>
      <c r="R301" s="2495"/>
      <c r="S301" s="2495"/>
      <c r="T301" s="2495"/>
      <c r="U301" s="2495"/>
      <c r="V301" s="2495"/>
      <c r="W301" s="2495"/>
      <c r="X301" s="2495"/>
      <c r="Y301" s="2495"/>
      <c r="Z301" s="2495"/>
      <c r="AA301" s="2495"/>
      <c r="AB301" s="2495"/>
      <c r="AC301" s="2495"/>
    </row>
    <row r="302" spans="1:29" ht="12.75" customHeight="1">
      <c r="A302" s="150"/>
      <c r="B302" s="1331"/>
      <c r="D302" s="3139" t="s">
        <v>2204</v>
      </c>
      <c r="E302" s="3139"/>
      <c r="F302" s="3139"/>
      <c r="G302" s="3139"/>
      <c r="H302" s="3139"/>
      <c r="I302" s="3139"/>
      <c r="J302" s="3071"/>
      <c r="K302" s="3071"/>
      <c r="L302" s="3071"/>
      <c r="N302" s="3097"/>
      <c r="O302" s="2495"/>
      <c r="P302" s="2495"/>
      <c r="Q302" s="2495"/>
      <c r="R302" s="3079"/>
      <c r="S302" s="2495"/>
      <c r="T302" s="2495"/>
      <c r="U302" s="2495"/>
      <c r="V302" s="2495"/>
      <c r="W302" s="2495"/>
      <c r="X302" s="2495"/>
      <c r="Y302" s="2495"/>
      <c r="Z302" s="2495"/>
      <c r="AA302" s="2495"/>
      <c r="AB302" s="2495"/>
      <c r="AC302" s="2495"/>
    </row>
    <row r="303" spans="1:29">
      <c r="A303" s="150"/>
      <c r="B303" s="1331"/>
      <c r="D303" s="3072"/>
      <c r="E303" s="3072"/>
      <c r="F303" s="3072"/>
      <c r="G303" s="3072"/>
      <c r="H303" s="3072"/>
      <c r="I303" s="3072"/>
      <c r="J303" s="3071"/>
      <c r="K303" s="3071"/>
      <c r="L303" s="3071"/>
      <c r="N303" s="3097"/>
      <c r="O303" s="2495"/>
      <c r="P303" s="2495"/>
      <c r="Q303" s="2495"/>
      <c r="R303" s="3079"/>
      <c r="S303" s="2495"/>
      <c r="T303" s="2495"/>
      <c r="U303" s="2495"/>
      <c r="V303" s="2495"/>
      <c r="W303" s="2495"/>
      <c r="X303" s="2495"/>
      <c r="Y303" s="2495"/>
      <c r="Z303" s="2495"/>
      <c r="AA303" s="2495"/>
      <c r="AB303" s="2495"/>
      <c r="AC303" s="2495"/>
    </row>
    <row r="304" spans="1:29" ht="12.75" customHeight="1">
      <c r="A304" s="150"/>
      <c r="B304" s="1331"/>
      <c r="D304" s="3117" t="s">
        <v>2202</v>
      </c>
      <c r="E304" s="3117"/>
      <c r="F304" s="3117"/>
      <c r="G304" s="3117"/>
      <c r="H304" s="3117"/>
      <c r="I304" s="3117"/>
      <c r="J304" s="3071"/>
      <c r="K304" s="3071"/>
      <c r="L304" s="3071"/>
      <c r="N304" s="3097"/>
      <c r="O304" s="2495"/>
      <c r="P304" s="2495"/>
      <c r="Q304" s="2495"/>
      <c r="R304" s="3079"/>
      <c r="S304" s="2495"/>
      <c r="T304" s="2495"/>
      <c r="U304" s="2495"/>
      <c r="V304" s="2495"/>
      <c r="W304" s="2495"/>
      <c r="X304" s="2495"/>
      <c r="Y304" s="2495"/>
      <c r="Z304" s="2495"/>
      <c r="AA304" s="2495"/>
      <c r="AB304" s="2495"/>
      <c r="AC304" s="2495"/>
    </row>
    <row r="305" spans="1:30">
      <c r="A305" s="150"/>
      <c r="B305" s="1331"/>
      <c r="D305" s="3141" t="s">
        <v>2397</v>
      </c>
      <c r="E305" s="3142"/>
      <c r="F305" s="3142"/>
      <c r="G305" s="3142"/>
      <c r="H305" s="3143"/>
      <c r="I305" s="3142"/>
      <c r="J305" s="3071"/>
      <c r="K305" s="3071"/>
      <c r="L305" s="3071"/>
      <c r="N305" s="3097"/>
      <c r="O305" s="2495"/>
      <c r="P305" s="2495"/>
      <c r="Q305" s="2495"/>
      <c r="R305" s="3079"/>
      <c r="S305" s="2495"/>
      <c r="T305" s="2495"/>
      <c r="U305" s="2495"/>
      <c r="V305" s="2495"/>
      <c r="W305" s="2495"/>
      <c r="X305" s="2495"/>
      <c r="Y305" s="2495"/>
      <c r="Z305" s="2495"/>
      <c r="AA305" s="2495"/>
      <c r="AB305" s="2495"/>
      <c r="AC305" s="2495"/>
    </row>
    <row r="306" spans="1:30">
      <c r="A306" s="150"/>
      <c r="B306" s="1331"/>
      <c r="D306" s="3141" t="s">
        <v>2203</v>
      </c>
      <c r="E306" s="3142"/>
      <c r="F306" s="3142"/>
      <c r="G306" s="3142"/>
      <c r="H306" s="3143"/>
      <c r="I306" s="3142"/>
      <c r="J306" s="3071"/>
      <c r="K306" s="3071"/>
      <c r="L306" s="3071"/>
      <c r="N306" s="3097"/>
      <c r="O306" s="2495"/>
      <c r="P306" s="2495"/>
      <c r="Q306" s="2495"/>
      <c r="R306" s="3079"/>
      <c r="S306" s="2495"/>
      <c r="T306" s="2495"/>
      <c r="U306" s="2495"/>
      <c r="V306" s="2495"/>
      <c r="W306" s="2495"/>
      <c r="X306" s="2495"/>
      <c r="Y306" s="2495"/>
      <c r="Z306" s="2495"/>
      <c r="AA306" s="2495"/>
      <c r="AB306" s="2495"/>
      <c r="AC306" s="2495"/>
    </row>
    <row r="307" spans="1:30">
      <c r="A307" s="150"/>
      <c r="B307" s="1331"/>
      <c r="D307" s="3141" t="s">
        <v>2235</v>
      </c>
      <c r="E307" s="3187"/>
      <c r="F307" s="3187"/>
      <c r="G307" s="3187"/>
      <c r="H307" s="3187"/>
      <c r="I307" s="3187"/>
      <c r="J307" s="3071"/>
      <c r="K307" s="3071"/>
      <c r="L307" s="3071"/>
      <c r="N307" s="3097"/>
      <c r="O307" s="2495"/>
      <c r="P307" s="2495"/>
      <c r="Q307" s="2495"/>
      <c r="R307" s="3079"/>
      <c r="S307" s="2495"/>
      <c r="T307" s="2495"/>
      <c r="U307" s="2495"/>
      <c r="V307" s="2495"/>
      <c r="W307" s="2495"/>
      <c r="X307" s="2495"/>
      <c r="Y307" s="2495"/>
      <c r="Z307" s="2495"/>
      <c r="AA307" s="2495"/>
      <c r="AB307" s="2495"/>
      <c r="AC307" s="2495"/>
    </row>
    <row r="308" spans="1:30">
      <c r="A308" s="150"/>
      <c r="B308" s="1331"/>
      <c r="D308" s="3141" t="s">
        <v>2236</v>
      </c>
      <c r="E308" s="3187"/>
      <c r="F308" s="3187"/>
      <c r="G308" s="3187"/>
      <c r="H308" s="3187"/>
      <c r="I308" s="3187"/>
      <c r="J308" s="1330"/>
      <c r="K308" s="1330"/>
      <c r="L308" s="1659"/>
      <c r="N308" s="3097"/>
      <c r="O308" s="2495"/>
      <c r="P308" s="2495"/>
      <c r="Q308" s="2495"/>
      <c r="R308" s="3079"/>
      <c r="S308" s="2495"/>
      <c r="T308" s="2495"/>
      <c r="U308" s="2495"/>
      <c r="V308" s="2495"/>
      <c r="W308" s="2495"/>
      <c r="X308" s="2495"/>
      <c r="Y308" s="2495"/>
      <c r="Z308" s="2495"/>
      <c r="AA308" s="2495"/>
      <c r="AB308" s="2495"/>
      <c r="AC308" s="2495"/>
    </row>
    <row r="309" spans="1:30">
      <c r="A309" s="150"/>
      <c r="B309" s="1331"/>
      <c r="D309" s="3144"/>
      <c r="E309" s="3144"/>
      <c r="F309" s="3144"/>
      <c r="G309" s="3144"/>
      <c r="H309" s="3144"/>
      <c r="I309" s="3144"/>
      <c r="J309" s="2958"/>
      <c r="K309" s="2958"/>
      <c r="L309" s="1659"/>
      <c r="N309" s="3097"/>
      <c r="O309" s="2495"/>
      <c r="P309" s="2495"/>
      <c r="Q309" s="2495"/>
      <c r="R309" s="3079"/>
      <c r="S309" s="2495"/>
      <c r="T309" s="2495"/>
      <c r="U309" s="2495"/>
      <c r="V309" s="2495"/>
      <c r="W309" s="2495"/>
      <c r="X309" s="2495"/>
      <c r="Y309" s="2495"/>
      <c r="Z309" s="2495"/>
      <c r="AA309" s="2495"/>
      <c r="AB309" s="2495"/>
      <c r="AC309" s="2495"/>
    </row>
    <row r="310" spans="1:30">
      <c r="A310" s="1301"/>
      <c r="B310" s="1331"/>
      <c r="D310" s="3131"/>
      <c r="E310" s="3139"/>
      <c r="F310" s="3139"/>
      <c r="G310" s="3139"/>
      <c r="H310" s="3138"/>
      <c r="I310" s="3072"/>
      <c r="J310" s="160"/>
      <c r="K310" s="163"/>
      <c r="L310" s="488"/>
      <c r="N310" s="3097"/>
      <c r="O310" s="2495"/>
      <c r="P310" s="2495"/>
      <c r="Q310" s="2495"/>
      <c r="R310" s="3079"/>
      <c r="S310" s="2495"/>
      <c r="T310" s="2495"/>
      <c r="U310" s="2495"/>
      <c r="V310" s="2495"/>
      <c r="W310" s="2495"/>
      <c r="X310" s="2495"/>
      <c r="Y310" s="2495"/>
      <c r="Z310" s="2495"/>
      <c r="AA310" s="2495"/>
      <c r="AB310" s="2495"/>
      <c r="AC310" s="2495"/>
    </row>
    <row r="311" spans="1:30" ht="14.25">
      <c r="A311" s="641"/>
      <c r="B311" s="1331" t="s">
        <v>1156</v>
      </c>
      <c r="C311" s="2456"/>
      <c r="D311" s="1273">
        <f>1-(E311+F311)</f>
        <v>0.10000000000000009</v>
      </c>
      <c r="E311" s="1274">
        <v>0.6</v>
      </c>
      <c r="F311" s="1274">
        <v>0.3</v>
      </c>
      <c r="G311" s="1313" t="s">
        <v>505</v>
      </c>
      <c r="H311" s="4" t="s">
        <v>1174</v>
      </c>
      <c r="I311" s="1358" t="s">
        <v>2195</v>
      </c>
      <c r="J311" s="1827"/>
      <c r="K311" s="2057"/>
      <c r="L311" s="488"/>
      <c r="N311" s="72"/>
      <c r="O311" s="1301"/>
      <c r="P311" s="1301"/>
      <c r="Q311" s="1301"/>
      <c r="R311" s="1301"/>
      <c r="S311" s="1301"/>
      <c r="T311" s="1301"/>
      <c r="U311" s="1301"/>
      <c r="V311" s="1301"/>
      <c r="W311" s="1301"/>
      <c r="X311" s="1301"/>
      <c r="Y311" s="3109"/>
      <c r="Z311" s="1301"/>
      <c r="AA311" s="1301"/>
      <c r="AB311" s="1301"/>
      <c r="AC311" s="1659"/>
      <c r="AD311" s="1659"/>
    </row>
    <row r="312" spans="1:30">
      <c r="A312" s="641"/>
      <c r="B312" s="1331" t="s">
        <v>1157</v>
      </c>
      <c r="D312" s="1275" t="s">
        <v>1110</v>
      </c>
      <c r="E312" s="1215" t="s">
        <v>766</v>
      </c>
      <c r="F312" s="1267" t="s">
        <v>758</v>
      </c>
      <c r="G312" s="1314" t="s">
        <v>1125</v>
      </c>
      <c r="H312" s="4132"/>
      <c r="I312" s="4133"/>
      <c r="J312" s="2058"/>
      <c r="K312" s="1659"/>
      <c r="L312" s="2554"/>
      <c r="N312" s="1205"/>
      <c r="O312" s="1206" t="s">
        <v>1110</v>
      </c>
      <c r="P312" s="1315" t="s">
        <v>1125</v>
      </c>
      <c r="Q312" s="72"/>
      <c r="R312" s="1320"/>
      <c r="S312" s="1206" t="s">
        <v>766</v>
      </c>
      <c r="T312" s="1273" t="s">
        <v>1125</v>
      </c>
      <c r="U312" s="1301"/>
      <c r="V312" s="1301"/>
      <c r="W312" s="1268" t="s">
        <v>758</v>
      </c>
      <c r="X312" s="1273" t="s">
        <v>1125</v>
      </c>
      <c r="Y312" s="1306" t="s">
        <v>2197</v>
      </c>
      <c r="Z312" s="1306" t="s">
        <v>766</v>
      </c>
      <c r="AA312" s="75" t="s">
        <v>1150</v>
      </c>
      <c r="AB312" s="1301"/>
      <c r="AC312" s="1659"/>
      <c r="AD312" s="1659"/>
    </row>
    <row r="313" spans="1:30">
      <c r="A313" s="982" t="s">
        <v>319</v>
      </c>
      <c r="B313" s="661" t="s">
        <v>750</v>
      </c>
      <c r="C313" s="2449"/>
      <c r="D313" s="1308">
        <f t="shared" ref="D313:D325" si="22">VLOOKUP($B313,$N$313:$O$325,2,FALSE)</f>
        <v>7616.907214285714</v>
      </c>
      <c r="E313" s="1309">
        <f t="shared" ref="E313:E325" si="23">VLOOKUP($B313,$R$313:$S$325,2,FALSE)</f>
        <v>4.7469851722287064</v>
      </c>
      <c r="F313" s="998">
        <f t="shared" ref="F313:F325" si="24">VLOOKUP($B313,$V$313:$W$325,2,FALSE)</f>
        <v>0.37158673775730477</v>
      </c>
      <c r="G313" s="1310">
        <f t="shared" ref="G313:G325" si="25">VLOOKUP($B313,$V$313:$AA$325,6,FALSE)</f>
        <v>0</v>
      </c>
      <c r="H313" s="3100" t="s">
        <v>2192</v>
      </c>
      <c r="I313" s="3101"/>
      <c r="J313" s="3104"/>
      <c r="K313" s="2059"/>
      <c r="L313" s="2555"/>
      <c r="N313" s="1307" t="s">
        <v>53</v>
      </c>
      <c r="O313" s="1270">
        <f>VLOOKUP($N313,Ranking!$B$7:$AC$28,2,FALSE)</f>
        <v>60036.853628571422</v>
      </c>
      <c r="P313" s="1210">
        <f t="shared" ref="P313:P319" si="26">O313/$O$319-1</f>
        <v>6.8820513286509115</v>
      </c>
      <c r="Q313" s="72"/>
      <c r="R313" s="1307" t="s">
        <v>288</v>
      </c>
      <c r="S313" s="1311">
        <f>VLOOKUP($R313,Ranking!$B$7:$AC$28,10,FALSE)</f>
        <v>6.7450557383311427</v>
      </c>
      <c r="T313" s="1210">
        <f t="shared" ref="T313:T320" si="27">S313/$S$320-1</f>
        <v>0.42091358906949017</v>
      </c>
      <c r="U313" s="1301"/>
      <c r="V313" s="1321" t="s">
        <v>283</v>
      </c>
      <c r="W313" s="1213">
        <f>VLOOKUP($V313,Ranking!$B$7:$AC$28,13,FALSE)</f>
        <v>0.62657499999999999</v>
      </c>
      <c r="X313" s="1210">
        <f t="shared" ref="X313:X322" si="28">W313/$W$322-1</f>
        <v>0.68621464743781102</v>
      </c>
      <c r="Y313" s="1322">
        <f t="shared" ref="Y313:Y325" si="29">VLOOKUP(V313,$N$313:$P$325,3,FALSE)</f>
        <v>2.0943929130963586</v>
      </c>
      <c r="Z313" s="1322">
        <f t="shared" ref="Z313:Z325" si="30">VLOOKUP(V313,$R$313:$T$325,3,FALSE)</f>
        <v>0.40967397758541257</v>
      </c>
      <c r="AA313" s="1323">
        <f t="shared" ref="AA313:AA325" si="31">SQRT($D$311*Y313^2+$E$311*Z313^2+$F$311*X313^2)</f>
        <v>0.82499393385447206</v>
      </c>
      <c r="AB313" s="1301"/>
      <c r="AC313" s="1659"/>
      <c r="AD313" s="1659"/>
    </row>
    <row r="314" spans="1:30" ht="12.75" customHeight="1">
      <c r="A314" s="641" t="s">
        <v>502</v>
      </c>
      <c r="B314" s="1276" t="s">
        <v>287</v>
      </c>
      <c r="C314" s="2446"/>
      <c r="D314" s="1207">
        <f t="shared" si="22"/>
        <v>4580.8423286191064</v>
      </c>
      <c r="E314" s="1204">
        <f t="shared" si="23"/>
        <v>4.3531629475873661</v>
      </c>
      <c r="F314" s="1129">
        <f t="shared" si="24"/>
        <v>0.42290073595624156</v>
      </c>
      <c r="G314" s="1211">
        <f t="shared" si="25"/>
        <v>0.23357798874509716</v>
      </c>
      <c r="H314" s="4030" t="s">
        <v>1671</v>
      </c>
      <c r="I314" s="4031"/>
      <c r="J314" s="3105"/>
      <c r="K314" s="4038" t="s">
        <v>2196</v>
      </c>
      <c r="L314" s="4038"/>
      <c r="N314" s="629" t="s">
        <v>52</v>
      </c>
      <c r="O314" s="1207">
        <f>VLOOKUP($N314,Ranking!$B$7:$AC$28,2,FALSE)</f>
        <v>40464.923042857146</v>
      </c>
      <c r="P314" s="1211">
        <f t="shared" si="26"/>
        <v>4.31251358385515</v>
      </c>
      <c r="Q314" s="72"/>
      <c r="R314" s="766" t="s">
        <v>283</v>
      </c>
      <c r="S314" s="1204">
        <f>VLOOKUP($R314,Ranking!$B$7:$AC$28,10,FALSE)</f>
        <v>6.6917014692746157</v>
      </c>
      <c r="T314" s="1211">
        <f t="shared" si="27"/>
        <v>0.40967397758541257</v>
      </c>
      <c r="U314" s="1301"/>
      <c r="V314" s="766" t="s">
        <v>53</v>
      </c>
      <c r="W314" s="1216">
        <f>VLOOKUP($V314,Ranking!$B$7:$AC$28,13,FALSE)</f>
        <v>0.6158872479982318</v>
      </c>
      <c r="X314" s="1211">
        <f t="shared" si="28"/>
        <v>0.6574521785018268</v>
      </c>
      <c r="Y314" s="1322">
        <f t="shared" si="29"/>
        <v>6.8820513286509115</v>
      </c>
      <c r="Z314" s="1322">
        <f t="shared" si="30"/>
        <v>0.20717521709435238</v>
      </c>
      <c r="AA314" s="1323">
        <f t="shared" si="31"/>
        <v>2.2117163022120345</v>
      </c>
      <c r="AB314" s="1301"/>
      <c r="AC314" s="1659"/>
      <c r="AD314" s="1659"/>
    </row>
    <row r="315" spans="1:30">
      <c r="A315" s="641" t="s">
        <v>539</v>
      </c>
      <c r="B315" s="1276" t="s">
        <v>39</v>
      </c>
      <c r="C315" s="2446"/>
      <c r="D315" s="1207">
        <f t="shared" si="22"/>
        <v>5059.5155870714543</v>
      </c>
      <c r="E315" s="1204">
        <f t="shared" si="23"/>
        <v>6.1343182706324946</v>
      </c>
      <c r="F315" s="1129">
        <f t="shared" si="24"/>
        <v>0.31054928118178421</v>
      </c>
      <c r="G315" s="1211">
        <f t="shared" si="25"/>
        <v>0.29729843009099094</v>
      </c>
      <c r="H315" s="4030"/>
      <c r="I315" s="4031"/>
      <c r="J315" s="3105"/>
      <c r="K315" s="4038"/>
      <c r="L315" s="4038"/>
      <c r="N315" s="629" t="s">
        <v>286</v>
      </c>
      <c r="O315" s="1207">
        <f>VLOOKUP($N315,Ranking!$B$7:$AC$28,2,FALSE)</f>
        <v>31174.883771428573</v>
      </c>
      <c r="P315" s="1211">
        <f t="shared" si="26"/>
        <v>3.092853292601391</v>
      </c>
      <c r="Q315" s="72"/>
      <c r="R315" s="766" t="s">
        <v>54</v>
      </c>
      <c r="S315" s="1204">
        <f>VLOOKUP($R315,Ranking!$B$7:$AC$28,10,FALSE)</f>
        <v>6.3422811159545107</v>
      </c>
      <c r="T315" s="1211">
        <f t="shared" si="27"/>
        <v>0.33606507832777033</v>
      </c>
      <c r="U315" s="1301"/>
      <c r="V315" s="766" t="s">
        <v>52</v>
      </c>
      <c r="W315" s="1129">
        <f>VLOOKUP($V315,Ranking!$B$7:$AC$28,13,FALSE)</f>
        <v>0.61</v>
      </c>
      <c r="X315" s="1211">
        <f t="shared" si="28"/>
        <v>0.6416086421211582</v>
      </c>
      <c r="Y315" s="1322">
        <f t="shared" si="29"/>
        <v>4.31251358385515</v>
      </c>
      <c r="Z315" s="1322">
        <f t="shared" si="30"/>
        <v>3.5547314824438514E-2</v>
      </c>
      <c r="AA315" s="1323">
        <f t="shared" si="31"/>
        <v>1.4085574191141887</v>
      </c>
      <c r="AB315" s="1301"/>
      <c r="AC315" s="1659"/>
      <c r="AD315" s="1659"/>
    </row>
    <row r="316" spans="1:30">
      <c r="A316" s="641" t="s">
        <v>499</v>
      </c>
      <c r="B316" s="1276" t="s">
        <v>284</v>
      </c>
      <c r="C316" s="2446"/>
      <c r="D316" s="1207">
        <f t="shared" si="22"/>
        <v>15596.516285714286</v>
      </c>
      <c r="E316" s="1204">
        <f t="shared" si="23"/>
        <v>4.6475023511824993</v>
      </c>
      <c r="F316" s="1129">
        <f t="shared" si="24"/>
        <v>0.34534166666666666</v>
      </c>
      <c r="G316" s="1211">
        <f t="shared" si="25"/>
        <v>0.33430218287910546</v>
      </c>
      <c r="H316" s="4030" t="s">
        <v>2193</v>
      </c>
      <c r="I316" s="4031"/>
      <c r="J316" s="3106"/>
      <c r="K316" s="1301"/>
      <c r="L316" s="1659"/>
      <c r="N316" s="640" t="s">
        <v>288</v>
      </c>
      <c r="O316" s="1207">
        <f>VLOOKUP($N316,Ranking!$B$7:$AC$28,2,FALSE)</f>
        <v>16250.837973523972</v>
      </c>
      <c r="P316" s="1211">
        <f t="shared" si="26"/>
        <v>1.1335218503180777</v>
      </c>
      <c r="Q316" s="72"/>
      <c r="R316" s="766" t="str">
        <f>Ranking!B124</f>
        <v>TDC</v>
      </c>
      <c r="S316" s="1204">
        <f>VLOOKUP($R316,Ranking!$B$7:$AC$28,10,FALSE)</f>
        <v>6.1343182706324946</v>
      </c>
      <c r="T316" s="1211">
        <f t="shared" si="27"/>
        <v>0.2922556207927729</v>
      </c>
      <c r="U316" s="1301"/>
      <c r="V316" s="766" t="s">
        <v>276</v>
      </c>
      <c r="W316" s="1129">
        <f>VLOOKUP($V316,Ranking!$B$7:$AC$28,13,FALSE)</f>
        <v>0.60910298289809772</v>
      </c>
      <c r="X316" s="1211">
        <f t="shared" si="28"/>
        <v>0.63919462404474303</v>
      </c>
      <c r="Y316" s="1322">
        <f t="shared" si="29"/>
        <v>1.1492084940153529</v>
      </c>
      <c r="Z316" s="1322">
        <f t="shared" si="30"/>
        <v>7.2857361690033873E-2</v>
      </c>
      <c r="AA316" s="1323">
        <f t="shared" si="31"/>
        <v>0.50776359025187423</v>
      </c>
      <c r="AB316" s="1301"/>
      <c r="AC316" s="1659"/>
      <c r="AD316" s="1659"/>
    </row>
    <row r="317" spans="1:30" ht="13.15" customHeight="1">
      <c r="A317" s="641" t="s">
        <v>27</v>
      </c>
      <c r="B317" s="83" t="s">
        <v>54</v>
      </c>
      <c r="C317" s="2449"/>
      <c r="D317" s="1207">
        <f t="shared" si="22"/>
        <v>4745.1447857142857</v>
      </c>
      <c r="E317" s="1204">
        <f t="shared" si="23"/>
        <v>6.3422811159545107</v>
      </c>
      <c r="F317" s="1129">
        <f t="shared" si="24"/>
        <v>0.48460704112825509</v>
      </c>
      <c r="G317" s="1211">
        <f t="shared" si="25"/>
        <v>0.36351590392676003</v>
      </c>
      <c r="H317" s="4030"/>
      <c r="I317" s="4031"/>
      <c r="J317" s="3105"/>
      <c r="K317" s="1301"/>
      <c r="L317" s="2556"/>
      <c r="N317" s="640" t="s">
        <v>284</v>
      </c>
      <c r="O317" s="1207">
        <f>VLOOKUP($N317,Ranking!$B$7:$AC$28,2,FALSE)</f>
        <v>15596.516285714286</v>
      </c>
      <c r="P317" s="1211">
        <f t="shared" si="26"/>
        <v>1.0476179959843281</v>
      </c>
      <c r="Q317" s="72"/>
      <c r="R317" s="766" t="str">
        <f>Ranking!B126</f>
        <v>TEF</v>
      </c>
      <c r="S317" s="1204">
        <f>VLOOKUP($R317,Ranking!$B$7:$AC$28,10,FALSE)</f>
        <v>5.7304428558288603</v>
      </c>
      <c r="T317" s="1211">
        <f t="shared" si="27"/>
        <v>0.20717521709435238</v>
      </c>
      <c r="U317" s="1301"/>
      <c r="V317" s="629" t="s">
        <v>286</v>
      </c>
      <c r="W317" s="1129">
        <f>VLOOKUP($V317,Ranking!$B$7:$AC$28,13,FALSE)</f>
        <v>0.60741568747204655</v>
      </c>
      <c r="X317" s="1211">
        <f t="shared" si="28"/>
        <v>0.63465383920340357</v>
      </c>
      <c r="Y317" s="1322">
        <f t="shared" si="29"/>
        <v>3.092853292601391</v>
      </c>
      <c r="Z317" s="1322">
        <f t="shared" si="30"/>
        <v>-3.3816199106754707E-2</v>
      </c>
      <c r="AA317" s="1323">
        <f t="shared" si="31"/>
        <v>1.0383139789261386</v>
      </c>
      <c r="AB317" s="1301"/>
      <c r="AC317" s="1659"/>
      <c r="AD317" s="1659"/>
    </row>
    <row r="318" spans="1:30">
      <c r="A318" s="641" t="s">
        <v>501</v>
      </c>
      <c r="B318" s="1276" t="s">
        <v>44</v>
      </c>
      <c r="C318" s="2446"/>
      <c r="D318" s="1207">
        <f t="shared" si="22"/>
        <v>12234.494271428572</v>
      </c>
      <c r="E318" s="1204">
        <f t="shared" si="23"/>
        <v>5.0345645887817243</v>
      </c>
      <c r="F318" s="1129">
        <f t="shared" si="24"/>
        <v>0.5805147103617575</v>
      </c>
      <c r="G318" s="1211">
        <f t="shared" si="25"/>
        <v>0.36577851728812222</v>
      </c>
      <c r="H318" s="4030"/>
      <c r="I318" s="4031"/>
      <c r="J318" s="3105"/>
      <c r="K318" s="2048"/>
      <c r="L318" s="1659"/>
      <c r="N318" s="640" t="s">
        <v>44</v>
      </c>
      <c r="O318" s="1207">
        <f>VLOOKUP($N318,Ranking!$B$7:$AC$28,2,FALSE)</f>
        <v>12234.494271428572</v>
      </c>
      <c r="P318" s="1211">
        <f t="shared" si="26"/>
        <v>0.60622860791614341</v>
      </c>
      <c r="Q318" s="72"/>
      <c r="R318" s="766" t="str">
        <f>Ranking!B127</f>
        <v>DT</v>
      </c>
      <c r="S318" s="1204">
        <f>VLOOKUP($R318,Ranking!$B$7:$AC$28,10,FALSE)</f>
        <v>4.9157277486128619</v>
      </c>
      <c r="T318" s="1211">
        <f t="shared" si="27"/>
        <v>3.5547314824438514E-2</v>
      </c>
      <c r="U318" s="1301"/>
      <c r="V318" s="766" t="s">
        <v>44</v>
      </c>
      <c r="W318" s="1129">
        <f>VLOOKUP($V318,Ranking!$B$7:$AC$28,13,FALSE)</f>
        <v>0.5805147103617575</v>
      </c>
      <c r="X318" s="1211">
        <f t="shared" si="28"/>
        <v>0.56225895968577411</v>
      </c>
      <c r="Y318" s="1322">
        <f t="shared" si="29"/>
        <v>0.60622860791614341</v>
      </c>
      <c r="Z318" s="1322">
        <f t="shared" si="30"/>
        <v>6.0581486168409304E-2</v>
      </c>
      <c r="AA318" s="1323">
        <f t="shared" si="31"/>
        <v>0.36577851728812222</v>
      </c>
      <c r="AB318" s="1333"/>
      <c r="AC318" s="1333" t="s">
        <v>1153</v>
      </c>
      <c r="AD318" s="1659"/>
    </row>
    <row r="319" spans="1:30">
      <c r="A319" s="641" t="s">
        <v>504</v>
      </c>
      <c r="B319" s="1276" t="s">
        <v>288</v>
      </c>
      <c r="C319" s="2446"/>
      <c r="D319" s="1207">
        <f t="shared" si="22"/>
        <v>16250.837973523972</v>
      </c>
      <c r="E319" s="1204">
        <f t="shared" si="23"/>
        <v>6.7450557383311427</v>
      </c>
      <c r="F319" s="1129">
        <f t="shared" si="24"/>
        <v>0.32615050588405037</v>
      </c>
      <c r="G319" s="1211">
        <f t="shared" si="25"/>
        <v>0.49052050266475006</v>
      </c>
      <c r="H319" s="3099" t="s">
        <v>2194</v>
      </c>
      <c r="I319" s="3098"/>
      <c r="J319" s="3105"/>
      <c r="K319" s="2048"/>
      <c r="L319" s="1659"/>
      <c r="N319" s="1316" t="s">
        <v>750</v>
      </c>
      <c r="O319" s="1208">
        <f>VLOOKUP($N319,Ranking!$B$7:$AC$28,2,FALSE)</f>
        <v>7616.907214285714</v>
      </c>
      <c r="P319" s="1272">
        <f t="shared" si="26"/>
        <v>0</v>
      </c>
      <c r="Q319" s="72"/>
      <c r="R319" s="766" t="str">
        <f>Ranking!B129</f>
        <v>KPN</v>
      </c>
      <c r="S319" s="1204">
        <f>VLOOKUP($R319,Ranking!$B$7:$AC$28,10,FALSE)</f>
        <v>5.0345645887817243</v>
      </c>
      <c r="T319" s="1211">
        <f t="shared" si="27"/>
        <v>6.0581486168409304E-2</v>
      </c>
      <c r="U319" s="1301"/>
      <c r="V319" s="766" t="s">
        <v>42</v>
      </c>
      <c r="W319" s="1266">
        <f>VLOOKUP($V319,Ranking!$B$7:$AC$28,13,FALSE)</f>
        <v>0.56323171407839789</v>
      </c>
      <c r="X319" s="1211">
        <f t="shared" si="28"/>
        <v>0.51574762188165768</v>
      </c>
      <c r="Y319" s="1322">
        <f t="shared" si="29"/>
        <v>2.1312485338335492</v>
      </c>
      <c r="Z319" s="1322">
        <f t="shared" si="30"/>
        <v>0.23429559146843393</v>
      </c>
      <c r="AA319" s="1323">
        <f t="shared" si="31"/>
        <v>0.75296571545367674</v>
      </c>
      <c r="AB319" s="1333" t="s">
        <v>539</v>
      </c>
      <c r="AC319" s="1334">
        <v>5.6</v>
      </c>
      <c r="AD319" s="1659"/>
    </row>
    <row r="320" spans="1:30">
      <c r="A320" s="641" t="s">
        <v>385</v>
      </c>
      <c r="B320" s="1276" t="s">
        <v>276</v>
      </c>
      <c r="C320" s="2446"/>
      <c r="D320" s="1207">
        <f t="shared" si="22"/>
        <v>3544.0522571428578</v>
      </c>
      <c r="E320" s="1204">
        <f t="shared" si="23"/>
        <v>4.4246190982470868</v>
      </c>
      <c r="F320" s="1129">
        <f t="shared" si="24"/>
        <v>0.60910298289809772</v>
      </c>
      <c r="G320" s="1211">
        <f t="shared" si="25"/>
        <v>0.50776359025187423</v>
      </c>
      <c r="H320" s="3102" t="s">
        <v>1716</v>
      </c>
      <c r="I320" s="3103"/>
      <c r="J320" s="3107"/>
      <c r="K320" s="2048"/>
      <c r="L320" s="1659"/>
      <c r="N320" s="640" t="s">
        <v>39</v>
      </c>
      <c r="O320" s="1207">
        <f>VLOOKUP($N320,Ranking!$B$7:$AC$28,2,FALSE)</f>
        <v>5059.5155870714543</v>
      </c>
      <c r="P320" s="1211">
        <f t="shared" ref="P320:P325" si="32">$O$319/O320-1</f>
        <v>0.50546175482671596</v>
      </c>
      <c r="Q320" s="72"/>
      <c r="R320" s="1317" t="str">
        <f>Ranking!B130</f>
        <v>BELGACOM</v>
      </c>
      <c r="S320" s="1265">
        <f>VLOOKUP($R320,Ranking!$B$7:$AC$28,10,FALSE)</f>
        <v>4.7469851722287064</v>
      </c>
      <c r="T320" s="1272">
        <f t="shared" si="27"/>
        <v>0</v>
      </c>
      <c r="U320" s="1301"/>
      <c r="V320" s="766" t="s">
        <v>54</v>
      </c>
      <c r="W320" s="1129">
        <f>VLOOKUP($V320,Ranking!$B$7:$AC$28,13,FALSE)</f>
        <v>0.48460704112825509</v>
      </c>
      <c r="X320" s="1211">
        <f t="shared" si="28"/>
        <v>0.30415591270312636</v>
      </c>
      <c r="Y320" s="1322">
        <f t="shared" si="29"/>
        <v>0.60520016949053801</v>
      </c>
      <c r="Z320" s="1322">
        <f t="shared" si="30"/>
        <v>0.33606507832777033</v>
      </c>
      <c r="AA320" s="1323">
        <f t="shared" si="31"/>
        <v>0.36351590392676003</v>
      </c>
      <c r="AB320" s="1333" t="s">
        <v>504</v>
      </c>
      <c r="AC320" s="1335">
        <v>8</v>
      </c>
      <c r="AD320" s="1659"/>
    </row>
    <row r="321" spans="1:49">
      <c r="A321" s="1356" t="s">
        <v>374</v>
      </c>
      <c r="B321" s="82" t="s">
        <v>42</v>
      </c>
      <c r="C321" s="2449"/>
      <c r="D321" s="1270">
        <f t="shared" si="22"/>
        <v>2432.5463571428577</v>
      </c>
      <c r="E321" s="1311">
        <f t="shared" si="23"/>
        <v>3.8459062845563983</v>
      </c>
      <c r="F321" s="1312">
        <f t="shared" si="24"/>
        <v>0.56323171407839789</v>
      </c>
      <c r="G321" s="1210">
        <f t="shared" si="25"/>
        <v>0.75296571545367674</v>
      </c>
      <c r="H321" s="4032" t="s">
        <v>2205</v>
      </c>
      <c r="I321" s="4033"/>
      <c r="J321" s="3104"/>
      <c r="K321" s="2048"/>
      <c r="L321" s="1659"/>
      <c r="N321" s="640" t="s">
        <v>54</v>
      </c>
      <c r="O321" s="1207">
        <f>VLOOKUP($N321,Ranking!$B$7:$AC$28,2,FALSE)</f>
        <v>4745.1447857142857</v>
      </c>
      <c r="P321" s="1211">
        <f t="shared" si="32"/>
        <v>0.60520016949053801</v>
      </c>
      <c r="Q321" s="72"/>
      <c r="R321" s="766" t="str">
        <f>Ranking!B131</f>
        <v>ORA</v>
      </c>
      <c r="S321" s="1204">
        <f>VLOOKUP($R321,Ranking!$B$7:$AC$28,10,FALSE)</f>
        <v>4.913128503955539</v>
      </c>
      <c r="T321" s="1211">
        <f>$S$320/S321-1</f>
        <v>-3.3816199106754707E-2</v>
      </c>
      <c r="U321" s="1301"/>
      <c r="V321" s="766" t="s">
        <v>287</v>
      </c>
      <c r="W321" s="1129">
        <f>VLOOKUP($V321,Ranking!$B$7:$AC$28,13,FALSE)</f>
        <v>0.42290073595624156</v>
      </c>
      <c r="X321" s="1211">
        <f t="shared" si="28"/>
        <v>0.13809426705764616</v>
      </c>
      <c r="Y321" s="1322">
        <f t="shared" si="29"/>
        <v>0.66277436939896339</v>
      </c>
      <c r="Z321" s="1322">
        <f t="shared" si="30"/>
        <v>9.0468064114072932E-2</v>
      </c>
      <c r="AA321" s="1323">
        <f t="shared" si="31"/>
        <v>0.23357798874509716</v>
      </c>
      <c r="AB321" s="1333" t="s">
        <v>385</v>
      </c>
      <c r="AC321" s="1334">
        <v>8.5</v>
      </c>
      <c r="AD321" s="1659"/>
    </row>
    <row r="322" spans="1:49" ht="12.75" customHeight="1">
      <c r="A322" s="1115" t="s">
        <v>73</v>
      </c>
      <c r="B322" s="83" t="s">
        <v>283</v>
      </c>
      <c r="C322" s="2449"/>
      <c r="D322" s="1207">
        <f t="shared" si="22"/>
        <v>2461.5190857142857</v>
      </c>
      <c r="E322" s="1204">
        <f t="shared" si="23"/>
        <v>6.6917014692746157</v>
      </c>
      <c r="F322" s="1129">
        <f t="shared" si="24"/>
        <v>0.62657499999999999</v>
      </c>
      <c r="G322" s="1211">
        <f t="shared" si="25"/>
        <v>0.82499393385447206</v>
      </c>
      <c r="H322" s="4034"/>
      <c r="I322" s="4035"/>
      <c r="J322" s="3108"/>
      <c r="K322" s="2048"/>
      <c r="L322" s="1659"/>
      <c r="N322" s="640" t="s">
        <v>287</v>
      </c>
      <c r="O322" s="1207">
        <f>VLOOKUP($N322,Ranking!$B$7:$AC$28,2,FALSE)</f>
        <v>4580.8423286191064</v>
      </c>
      <c r="P322" s="1211">
        <f t="shared" si="32"/>
        <v>0.66277436939896339</v>
      </c>
      <c r="Q322" s="72"/>
      <c r="R322" s="766" t="str">
        <f>Ranking!B133</f>
        <v>TIT</v>
      </c>
      <c r="S322" s="1204">
        <f>VLOOKUP($R322,Ranking!$B$7:$AC$28,10,FALSE)</f>
        <v>4.6475023511824993</v>
      </c>
      <c r="T322" s="1211">
        <f>$S$320/S322-1</f>
        <v>2.1405652655752894E-2</v>
      </c>
      <c r="U322" s="1301"/>
      <c r="V322" s="1317" t="s">
        <v>750</v>
      </c>
      <c r="W322" s="1271">
        <f>VLOOKUP($V322,Ranking!$B$7:$AC$28,13,FALSE)</f>
        <v>0.37158673775730477</v>
      </c>
      <c r="X322" s="1272">
        <f t="shared" si="28"/>
        <v>0</v>
      </c>
      <c r="Y322" s="1322">
        <f t="shared" si="29"/>
        <v>0</v>
      </c>
      <c r="Z322" s="1322">
        <f t="shared" si="30"/>
        <v>0</v>
      </c>
      <c r="AA322" s="1323">
        <f t="shared" si="31"/>
        <v>0</v>
      </c>
      <c r="AB322" s="1333" t="s">
        <v>319</v>
      </c>
      <c r="AC322" s="1334">
        <v>11.1</v>
      </c>
      <c r="AD322" s="1659"/>
    </row>
    <row r="323" spans="1:49" ht="13.15" customHeight="1">
      <c r="A323" s="641" t="s">
        <v>19</v>
      </c>
      <c r="B323" s="1331" t="s">
        <v>286</v>
      </c>
      <c r="C323" s="2456"/>
      <c r="D323" s="1207">
        <f t="shared" si="22"/>
        <v>31174.883771428573</v>
      </c>
      <c r="E323" s="1204">
        <f t="shared" si="23"/>
        <v>4.913128503955539</v>
      </c>
      <c r="F323" s="1129">
        <f t="shared" si="24"/>
        <v>0.60741568747204655</v>
      </c>
      <c r="G323" s="1211">
        <f t="shared" si="25"/>
        <v>1.0383139789261386</v>
      </c>
      <c r="H323" s="4034"/>
      <c r="I323" s="4035"/>
      <c r="J323" s="3108"/>
      <c r="K323" s="2048"/>
      <c r="L323" s="1659"/>
      <c r="N323" s="640" t="s">
        <v>276</v>
      </c>
      <c r="O323" s="1207">
        <f>VLOOKUP($N323,Ranking!$B$7:$AC$28,2,FALSE)</f>
        <v>3544.0522571428578</v>
      </c>
      <c r="P323" s="1211">
        <f t="shared" si="32"/>
        <v>1.1492084940153529</v>
      </c>
      <c r="Q323" s="72"/>
      <c r="R323" s="766" t="str">
        <f>Ranking!B134</f>
        <v>TKA</v>
      </c>
      <c r="S323" s="1204">
        <f>VLOOKUP($R323,Ranking!$B$7:$AC$28,10,FALSE)</f>
        <v>4.4246190982470868</v>
      </c>
      <c r="T323" s="1211">
        <f>$S$320/S323-1</f>
        <v>7.2857361690033873E-2</v>
      </c>
      <c r="U323" s="1301"/>
      <c r="V323" s="766" t="s">
        <v>284</v>
      </c>
      <c r="W323" s="1129">
        <f>VLOOKUP($V323,Ranking!$B$7:$AC$28,13,FALSE)</f>
        <v>0.34534166666666666</v>
      </c>
      <c r="X323" s="1211">
        <f>$W$322/W323-1</f>
        <v>7.5997406695701653E-2</v>
      </c>
      <c r="Y323" s="1322">
        <f t="shared" si="29"/>
        <v>1.0476179959843281</v>
      </c>
      <c r="Z323" s="1322">
        <f t="shared" si="30"/>
        <v>2.1405652655752894E-2</v>
      </c>
      <c r="AA323" s="1323">
        <f t="shared" si="31"/>
        <v>0.33430218287910546</v>
      </c>
      <c r="AB323" s="1333" t="s">
        <v>1152</v>
      </c>
      <c r="AC323" s="1334">
        <v>16.8</v>
      </c>
      <c r="AD323" s="1659"/>
    </row>
    <row r="324" spans="1:49">
      <c r="A324" s="641" t="s">
        <v>498</v>
      </c>
      <c r="B324" s="1331" t="s">
        <v>52</v>
      </c>
      <c r="C324" s="2456"/>
      <c r="D324" s="1207">
        <f t="shared" si="22"/>
        <v>40464.923042857146</v>
      </c>
      <c r="E324" s="1204">
        <f t="shared" si="23"/>
        <v>4.9157277486128619</v>
      </c>
      <c r="F324" s="1129">
        <f t="shared" si="24"/>
        <v>0.61</v>
      </c>
      <c r="G324" s="1211">
        <f t="shared" si="25"/>
        <v>1.4085574191141887</v>
      </c>
      <c r="H324" s="4034"/>
      <c r="I324" s="4035"/>
      <c r="J324" s="3108"/>
      <c r="K324" s="1301"/>
      <c r="L324" s="1659"/>
      <c r="N324" s="640" t="s">
        <v>283</v>
      </c>
      <c r="O324" s="1207">
        <f>VLOOKUP($N324,Ranking!$B$7:$AC$28,2,FALSE)</f>
        <v>2461.5190857142857</v>
      </c>
      <c r="P324" s="1211">
        <f t="shared" si="32"/>
        <v>2.0943929130963586</v>
      </c>
      <c r="Q324" s="72"/>
      <c r="R324" s="766" t="str">
        <f>Ranking!B135</f>
        <v>TPS</v>
      </c>
      <c r="S324" s="1204">
        <f>VLOOKUP($R324,Ranking!$B$7:$AC$28,10,FALSE)</f>
        <v>4.3531629475873661</v>
      </c>
      <c r="T324" s="1211">
        <f>$S$320/S324-1</f>
        <v>9.0468064114072932E-2</v>
      </c>
      <c r="U324" s="1301"/>
      <c r="V324" s="766" t="s">
        <v>288</v>
      </c>
      <c r="W324" s="1129">
        <f>VLOOKUP($V324,Ranking!$B$7:$AC$28,13,FALSE)</f>
        <v>0.32615050588405037</v>
      </c>
      <c r="X324" s="1211">
        <f>$W$322/W324-1</f>
        <v>0.13931062823311224</v>
      </c>
      <c r="Y324" s="1322">
        <f t="shared" si="29"/>
        <v>1.1335218503180777</v>
      </c>
      <c r="Z324" s="1322">
        <f t="shared" si="30"/>
        <v>0.42091358906949017</v>
      </c>
      <c r="AA324" s="1323">
        <f t="shared" si="31"/>
        <v>0.49052050266475006</v>
      </c>
      <c r="AB324" s="1333" t="s">
        <v>502</v>
      </c>
      <c r="AC324" s="1334">
        <v>38.5</v>
      </c>
      <c r="AD324" s="1659"/>
    </row>
    <row r="325" spans="1:49">
      <c r="A325" s="1357" t="s">
        <v>217</v>
      </c>
      <c r="B325" s="2078" t="s">
        <v>53</v>
      </c>
      <c r="C325" s="2456"/>
      <c r="D325" s="1209">
        <f t="shared" si="22"/>
        <v>60036.853628571422</v>
      </c>
      <c r="E325" s="1212">
        <f t="shared" si="23"/>
        <v>5.7304428558288603</v>
      </c>
      <c r="F325" s="1269">
        <f t="shared" si="24"/>
        <v>0.6158872479982318</v>
      </c>
      <c r="G325" s="1212">
        <f t="shared" si="25"/>
        <v>2.2117163022120345</v>
      </c>
      <c r="H325" s="4036"/>
      <c r="I325" s="4037"/>
      <c r="J325" s="3108"/>
      <c r="K325" s="1301"/>
      <c r="L325" s="1659"/>
      <c r="N325" s="313" t="s">
        <v>42</v>
      </c>
      <c r="O325" s="1209">
        <f>VLOOKUP($N325,Ranking!$B$7:$AC$28,2,FALSE)</f>
        <v>2432.5463571428577</v>
      </c>
      <c r="P325" s="1212">
        <f t="shared" si="32"/>
        <v>2.1312485338335492</v>
      </c>
      <c r="Q325" s="72"/>
      <c r="R325" s="1318" t="str">
        <f>Ranking!B137</f>
        <v>OTE</v>
      </c>
      <c r="S325" s="1319">
        <f>VLOOKUP($R325,Ranking!$B$7:$AC$28,10,FALSE)</f>
        <v>3.8459062845563983</v>
      </c>
      <c r="T325" s="1212">
        <f>$S$320/S325-1</f>
        <v>0.23429559146843393</v>
      </c>
      <c r="U325" s="1301"/>
      <c r="V325" s="1318" t="s">
        <v>39</v>
      </c>
      <c r="W325" s="1214">
        <f>VLOOKUP($V325,Ranking!$B$7:$AC$28,13,FALSE)</f>
        <v>0.31054928118178421</v>
      </c>
      <c r="X325" s="1212">
        <f>$W$322/W325-1</f>
        <v>0.19654676495545154</v>
      </c>
      <c r="Y325" s="1322">
        <f t="shared" si="29"/>
        <v>0.50546175482671596</v>
      </c>
      <c r="Z325" s="1322">
        <f t="shared" si="30"/>
        <v>0.2922556207927729</v>
      </c>
      <c r="AA325" s="1323">
        <f t="shared" si="31"/>
        <v>0.29729843009099094</v>
      </c>
      <c r="AB325" s="1333" t="s">
        <v>499</v>
      </c>
      <c r="AC325" s="1334">
        <v>60.9</v>
      </c>
      <c r="AD325" s="1659"/>
    </row>
    <row r="326" spans="1:49" s="2437" customFormat="1">
      <c r="A326" s="72"/>
      <c r="B326" s="83"/>
      <c r="C326" s="2435"/>
      <c r="D326" s="72"/>
      <c r="E326" s="72"/>
      <c r="F326" s="72"/>
      <c r="G326" s="72"/>
      <c r="H326" s="3110"/>
      <c r="I326" s="1329"/>
      <c r="J326" s="72"/>
      <c r="K326" s="72"/>
      <c r="L326" s="2729"/>
      <c r="N326" s="72"/>
      <c r="O326" s="72"/>
      <c r="P326" s="72"/>
      <c r="Q326" s="72"/>
      <c r="R326" s="72"/>
      <c r="S326" s="72"/>
      <c r="T326" s="72"/>
      <c r="U326" s="72"/>
      <c r="V326" s="72"/>
      <c r="W326" s="72"/>
      <c r="X326" s="72"/>
      <c r="Y326" s="72"/>
      <c r="Z326" s="72"/>
      <c r="AA326" s="72"/>
      <c r="AB326" s="72"/>
      <c r="AC326" s="2729"/>
      <c r="AD326" s="2729"/>
      <c r="AW326" s="2347"/>
    </row>
    <row r="327" spans="1:49" s="2437" customFormat="1">
      <c r="A327" s="72"/>
      <c r="B327" s="83"/>
      <c r="C327" s="2435"/>
      <c r="D327" s="3118" t="s">
        <v>2213</v>
      </c>
      <c r="E327" s="72"/>
      <c r="F327" s="72"/>
      <c r="G327" s="72"/>
      <c r="H327" s="3110"/>
      <c r="I327" s="1329"/>
      <c r="J327" s="72"/>
      <c r="K327" s="72"/>
      <c r="L327" s="2729"/>
      <c r="N327" s="72"/>
      <c r="O327" s="72"/>
      <c r="P327" s="72"/>
      <c r="Q327" s="72"/>
      <c r="R327" s="72"/>
      <c r="S327" s="72"/>
      <c r="T327" s="72"/>
      <c r="U327" s="72"/>
      <c r="V327" s="72"/>
      <c r="W327" s="72"/>
      <c r="X327" s="72"/>
      <c r="Y327" s="72"/>
      <c r="Z327" s="72"/>
      <c r="AA327" s="72"/>
      <c r="AB327" s="72"/>
      <c r="AC327" s="2729"/>
      <c r="AD327" s="2729"/>
      <c r="AW327" s="2347"/>
    </row>
    <row r="328" spans="1:49" s="2437" customFormat="1">
      <c r="A328" s="72"/>
      <c r="B328" s="83"/>
      <c r="C328" s="2435"/>
      <c r="D328" s="3145" t="s">
        <v>2208</v>
      </c>
      <c r="E328" s="72"/>
      <c r="F328" s="72"/>
      <c r="G328" s="72"/>
      <c r="H328" s="3110"/>
      <c r="I328" s="1329"/>
      <c r="J328" s="72"/>
      <c r="K328" s="72"/>
      <c r="L328" s="2729"/>
      <c r="N328" s="72"/>
      <c r="O328" s="72"/>
      <c r="P328" s="72"/>
      <c r="Q328" s="72"/>
      <c r="R328" s="72"/>
      <c r="S328" s="72"/>
      <c r="T328" s="72"/>
      <c r="U328" s="72"/>
      <c r="V328" s="72"/>
      <c r="W328" s="72"/>
      <c r="X328" s="72"/>
      <c r="Y328" s="72"/>
      <c r="Z328" s="72"/>
      <c r="AA328" s="72"/>
      <c r="AB328" s="72"/>
      <c r="AC328" s="2729"/>
      <c r="AD328" s="2729"/>
      <c r="AW328" s="2347"/>
    </row>
    <row r="329" spans="1:49" s="2437" customFormat="1">
      <c r="A329" s="72"/>
      <c r="B329" s="83"/>
      <c r="C329" s="2435"/>
      <c r="D329" s="3145" t="s">
        <v>2206</v>
      </c>
      <c r="E329" s="72"/>
      <c r="F329" s="72"/>
      <c r="G329" s="72"/>
      <c r="H329" s="3110"/>
      <c r="I329" s="1329"/>
      <c r="J329" s="72"/>
      <c r="K329" s="72"/>
      <c r="L329" s="2729"/>
      <c r="N329" s="72"/>
      <c r="O329" s="72"/>
      <c r="P329" s="72"/>
      <c r="Q329" s="72"/>
      <c r="R329" s="72"/>
      <c r="S329" s="72"/>
      <c r="T329" s="72"/>
      <c r="U329" s="72"/>
      <c r="V329" s="72"/>
      <c r="W329" s="72"/>
      <c r="X329" s="72"/>
      <c r="Y329" s="72"/>
      <c r="Z329" s="72"/>
      <c r="AA329" s="72"/>
      <c r="AB329" s="72"/>
      <c r="AC329" s="2729"/>
      <c r="AD329" s="2729"/>
      <c r="AW329" s="2347"/>
    </row>
    <row r="330" spans="1:49" s="2437" customFormat="1">
      <c r="A330" s="72"/>
      <c r="B330" s="83"/>
      <c r="C330" s="2435"/>
      <c r="D330" s="4029" t="s">
        <v>2285</v>
      </c>
      <c r="E330" s="4029"/>
      <c r="F330" s="4029"/>
      <c r="G330" s="4029"/>
      <c r="H330" s="4029"/>
      <c r="I330" s="4029"/>
      <c r="J330" s="72"/>
      <c r="K330" s="72"/>
      <c r="L330" s="2729"/>
      <c r="N330" s="72"/>
      <c r="O330" s="72"/>
      <c r="P330" s="72"/>
      <c r="Q330" s="72"/>
      <c r="R330" s="72"/>
      <c r="S330" s="72"/>
      <c r="T330" s="72"/>
      <c r="U330" s="72"/>
      <c r="V330" s="72"/>
      <c r="W330" s="72"/>
      <c r="X330" s="72"/>
      <c r="Y330" s="72"/>
      <c r="Z330" s="72"/>
      <c r="AA330" s="72"/>
      <c r="AB330" s="72"/>
      <c r="AC330" s="2729"/>
      <c r="AD330" s="2729"/>
      <c r="AW330" s="2347"/>
    </row>
    <row r="331" spans="1:49" s="2437" customFormat="1">
      <c r="A331" s="72"/>
      <c r="B331" s="83"/>
      <c r="C331" s="2435"/>
      <c r="D331" s="4029"/>
      <c r="E331" s="4029"/>
      <c r="F331" s="4029"/>
      <c r="G331" s="4029"/>
      <c r="H331" s="4029"/>
      <c r="I331" s="4029"/>
      <c r="J331" s="72"/>
      <c r="K331" s="72"/>
      <c r="L331" s="2729"/>
      <c r="N331" s="72"/>
      <c r="O331" s="72"/>
      <c r="P331" s="72"/>
      <c r="Q331" s="72"/>
      <c r="R331" s="72"/>
      <c r="S331" s="72"/>
      <c r="T331" s="72"/>
      <c r="U331" s="72"/>
      <c r="V331" s="72"/>
      <c r="W331" s="72"/>
      <c r="X331" s="72"/>
      <c r="Y331" s="72"/>
      <c r="Z331" s="72"/>
      <c r="AA331" s="72"/>
      <c r="AB331" s="72"/>
      <c r="AC331" s="2729"/>
      <c r="AD331" s="2729"/>
      <c r="AW331" s="2347"/>
    </row>
    <row r="332" spans="1:49" s="2437" customFormat="1">
      <c r="A332" s="72"/>
      <c r="B332" s="83"/>
      <c r="C332" s="2435"/>
      <c r="D332" s="3118"/>
      <c r="E332" s="72"/>
      <c r="F332" s="72"/>
      <c r="G332" s="72"/>
      <c r="H332" s="3110"/>
      <c r="I332" s="1329"/>
      <c r="J332" s="72"/>
      <c r="K332" s="72"/>
      <c r="L332" s="2729"/>
      <c r="N332" s="72"/>
      <c r="O332" s="72"/>
      <c r="P332" s="72"/>
      <c r="Q332" s="72"/>
      <c r="R332" s="72"/>
      <c r="S332" s="72"/>
      <c r="T332" s="72"/>
      <c r="U332" s="72"/>
      <c r="V332" s="72"/>
      <c r="W332" s="72"/>
      <c r="X332" s="72"/>
      <c r="Y332" s="72"/>
      <c r="Z332" s="72"/>
      <c r="AA332" s="72"/>
      <c r="AB332" s="72"/>
      <c r="AC332" s="2729"/>
      <c r="AD332" s="2729"/>
      <c r="AW332" s="2347"/>
    </row>
    <row r="333" spans="1:49" s="2437" customFormat="1">
      <c r="A333" s="72"/>
      <c r="B333" s="83"/>
      <c r="C333" s="2435"/>
      <c r="D333" s="3118"/>
      <c r="E333" s="72"/>
      <c r="F333" s="72"/>
      <c r="G333" s="72"/>
      <c r="H333" s="3110"/>
      <c r="I333" s="2729"/>
      <c r="J333" s="2541"/>
      <c r="K333" s="1128"/>
      <c r="L333" s="488"/>
      <c r="N333" s="2507"/>
      <c r="O333" s="2507"/>
      <c r="P333" s="2507"/>
      <c r="Q333" s="2507"/>
      <c r="R333" s="2507"/>
      <c r="S333" s="2507"/>
      <c r="T333" s="2507"/>
      <c r="U333" s="2507"/>
      <c r="V333" s="2507"/>
      <c r="W333" s="2507"/>
      <c r="X333" s="2507"/>
      <c r="Y333" s="2507"/>
      <c r="Z333" s="2507"/>
      <c r="AA333" s="2507"/>
      <c r="AB333" s="2507"/>
      <c r="AC333" s="2507"/>
      <c r="AD333" s="2507"/>
      <c r="AE333" s="2507"/>
      <c r="AW333" s="2347"/>
    </row>
    <row r="334" spans="1:49" s="2437" customFormat="1">
      <c r="A334" s="2731" t="s">
        <v>1308</v>
      </c>
      <c r="B334" s="2739"/>
      <c r="C334" s="2444"/>
      <c r="D334" s="3146"/>
      <c r="E334" s="2673"/>
      <c r="F334" s="2673"/>
      <c r="G334" s="2673"/>
      <c r="H334" s="2673"/>
      <c r="I334" s="2673"/>
      <c r="J334" s="2729"/>
      <c r="K334" s="2729"/>
      <c r="L334" s="2557"/>
      <c r="N334" s="2497"/>
      <c r="O334" s="2497"/>
      <c r="P334" s="2497"/>
      <c r="Q334" s="2497"/>
      <c r="R334" s="2497"/>
      <c r="S334" s="2497"/>
      <c r="T334" s="2497"/>
      <c r="U334" s="2497"/>
      <c r="V334" s="2507"/>
      <c r="W334" s="2507"/>
      <c r="X334" s="2507"/>
      <c r="Y334" s="2507"/>
      <c r="Z334" s="2507"/>
      <c r="AA334" s="2507"/>
      <c r="AB334" s="2507"/>
      <c r="AC334" s="2507"/>
      <c r="AW334" s="2347"/>
    </row>
    <row r="335" spans="1:49" s="2437" customFormat="1">
      <c r="A335" s="640"/>
      <c r="B335" s="83"/>
      <c r="C335" s="2435"/>
      <c r="D335" s="3146"/>
      <c r="E335" s="2673"/>
      <c r="F335" s="2673"/>
      <c r="G335" s="2673"/>
      <c r="H335" s="2673"/>
      <c r="I335" s="2673"/>
      <c r="J335" s="2729"/>
      <c r="K335" s="2729"/>
      <c r="L335" s="2557"/>
      <c r="N335" s="2497"/>
      <c r="O335" s="2497"/>
      <c r="P335" s="2497"/>
      <c r="Q335" s="2497"/>
      <c r="R335" s="2497"/>
      <c r="S335" s="2497"/>
      <c r="T335" s="2497"/>
      <c r="U335" s="2497"/>
      <c r="V335" s="2507"/>
      <c r="W335" s="2507"/>
      <c r="X335" s="2507"/>
      <c r="Y335" s="2507"/>
      <c r="Z335" s="2507"/>
      <c r="AA335" s="2507"/>
      <c r="AB335" s="2507"/>
      <c r="AC335" s="2507"/>
      <c r="AW335" s="2347"/>
    </row>
    <row r="336" spans="1:49" s="2437" customFormat="1">
      <c r="A336" s="640"/>
      <c r="B336" s="83"/>
      <c r="C336" s="2435"/>
      <c r="D336" s="3146"/>
      <c r="E336" s="2673"/>
      <c r="F336" s="2673"/>
      <c r="G336" s="2673"/>
      <c r="H336" s="2673"/>
      <c r="I336" s="2673"/>
      <c r="J336" s="2729"/>
      <c r="K336" s="2729"/>
      <c r="L336" s="2557"/>
      <c r="N336" s="2497"/>
      <c r="O336" s="2497"/>
      <c r="P336" s="2497"/>
      <c r="Q336" s="2497"/>
      <c r="R336" s="2497"/>
      <c r="S336" s="2497"/>
      <c r="T336" s="2497"/>
      <c r="U336" s="2497"/>
      <c r="V336" s="2507"/>
      <c r="W336" s="2507"/>
      <c r="X336" s="2507"/>
      <c r="Y336" s="2507"/>
      <c r="Z336" s="2507"/>
      <c r="AA336" s="2507"/>
      <c r="AB336" s="2507"/>
      <c r="AC336" s="2507"/>
      <c r="AW336" s="2347"/>
    </row>
    <row r="337" spans="1:49" s="2437" customFormat="1">
      <c r="A337" s="640"/>
      <c r="B337" s="83"/>
      <c r="C337" s="2435"/>
      <c r="D337" s="3146"/>
      <c r="E337" s="2673"/>
      <c r="F337" s="2673"/>
      <c r="G337" s="2673"/>
      <c r="H337" s="2673"/>
      <c r="I337" s="2673"/>
      <c r="J337" s="2729"/>
      <c r="K337" s="2729"/>
      <c r="L337" s="2557"/>
      <c r="N337" s="2497"/>
      <c r="O337" s="2497"/>
      <c r="P337" s="2497"/>
      <c r="Q337" s="2497"/>
      <c r="R337" s="2497"/>
      <c r="S337" s="2497"/>
      <c r="T337" s="2497"/>
      <c r="U337" s="2497"/>
      <c r="V337" s="2507"/>
      <c r="W337" s="2507"/>
      <c r="X337" s="2507"/>
      <c r="Y337" s="2507"/>
      <c r="Z337" s="2507"/>
      <c r="AA337" s="2507"/>
      <c r="AB337" s="2507"/>
      <c r="AC337" s="2507"/>
      <c r="AW337" s="2347"/>
    </row>
    <row r="338" spans="1:49" s="2437" customFormat="1">
      <c r="A338" s="588"/>
      <c r="B338" s="1436"/>
      <c r="C338" s="2435"/>
      <c r="D338" s="3146"/>
      <c r="E338" s="2673"/>
      <c r="F338" s="2673"/>
      <c r="G338" s="2673"/>
      <c r="H338" s="2673"/>
      <c r="I338" s="2673"/>
      <c r="J338" s="2729"/>
      <c r="K338" s="2729"/>
      <c r="L338" s="2557"/>
      <c r="N338" s="2497"/>
      <c r="O338" s="2497"/>
      <c r="P338" s="2497"/>
      <c r="Q338" s="2497"/>
      <c r="R338" s="2497"/>
      <c r="S338" s="2497"/>
      <c r="T338" s="2497"/>
      <c r="U338" s="2497"/>
      <c r="V338" s="2507"/>
      <c r="W338" s="2507"/>
      <c r="X338" s="2507"/>
      <c r="Y338" s="2507"/>
      <c r="Z338" s="2507"/>
      <c r="AA338" s="2507"/>
      <c r="AB338" s="2507"/>
      <c r="AC338" s="2507"/>
      <c r="AW338" s="2347"/>
    </row>
    <row r="339" spans="1:49">
      <c r="A339" s="1093"/>
      <c r="B339" s="1331"/>
      <c r="D339" s="3139"/>
      <c r="E339" s="1093"/>
      <c r="F339" s="1093"/>
      <c r="G339" s="1093"/>
      <c r="H339" s="1093"/>
      <c r="I339" s="160"/>
      <c r="J339" s="1093"/>
      <c r="K339" s="1093"/>
      <c r="L339" s="488"/>
      <c r="N339" s="2507"/>
      <c r="O339" s="2495"/>
      <c r="P339" s="2495"/>
      <c r="Q339" s="2495"/>
      <c r="R339" s="2495"/>
      <c r="S339" s="2495"/>
      <c r="T339" s="2495"/>
      <c r="U339" s="2495"/>
      <c r="V339" s="2495"/>
      <c r="W339" s="2495"/>
      <c r="X339" s="2495"/>
      <c r="Y339" s="2495"/>
      <c r="Z339" s="2495"/>
      <c r="AA339" s="2495"/>
      <c r="AB339" s="2495"/>
      <c r="AC339" s="2495"/>
    </row>
    <row r="340" spans="1:49" s="2502" customFormat="1">
      <c r="A340" s="2517"/>
      <c r="B340" s="2516"/>
      <c r="C340" s="2517"/>
      <c r="D340" s="3080"/>
      <c r="I340" s="2519"/>
      <c r="J340" s="2519"/>
      <c r="K340" s="2520"/>
      <c r="L340" s="2505"/>
      <c r="M340" s="2504"/>
      <c r="N340" s="2517"/>
      <c r="O340" s="2517"/>
      <c r="P340" s="2517"/>
      <c r="Q340" s="2517"/>
      <c r="R340" s="2517"/>
      <c r="S340" s="2517"/>
      <c r="T340" s="2517"/>
      <c r="AW340" s="2517"/>
    </row>
    <row r="341" spans="1:49" s="2478" customFormat="1">
      <c r="A341" s="4055" t="s">
        <v>2231</v>
      </c>
      <c r="B341" s="4055"/>
      <c r="C341" s="2443"/>
      <c r="D341" s="3119"/>
      <c r="E341" s="3120"/>
      <c r="F341" s="3120"/>
      <c r="G341" s="3120"/>
      <c r="H341" s="3120"/>
      <c r="I341" s="3121"/>
      <c r="J341" s="3121"/>
      <c r="K341" s="3122"/>
      <c r="L341" s="3123"/>
      <c r="M341" s="2504"/>
      <c r="N341" s="2517"/>
      <c r="O341" s="2517"/>
      <c r="P341" s="2517"/>
      <c r="Q341" s="2517"/>
      <c r="R341" s="2517"/>
      <c r="S341" s="2517"/>
      <c r="T341" s="2517"/>
      <c r="U341" s="2502"/>
      <c r="V341" s="2502"/>
      <c r="W341" s="2502"/>
      <c r="X341" s="2502"/>
      <c r="Y341" s="2502"/>
      <c r="Z341" s="2502"/>
      <c r="AA341" s="2502"/>
      <c r="AB341" s="2502"/>
      <c r="AC341" s="2502"/>
      <c r="AD341" s="2502"/>
      <c r="AE341" s="2502"/>
      <c r="AF341" s="2502"/>
      <c r="AG341" s="2502"/>
      <c r="AH341" s="2502"/>
      <c r="AI341" s="2502"/>
      <c r="AJ341" s="2502"/>
      <c r="AK341" s="2502"/>
      <c r="AL341" s="2502"/>
      <c r="AM341" s="2502"/>
      <c r="AN341" s="2502"/>
      <c r="AO341" s="2502"/>
      <c r="AP341" s="2502"/>
      <c r="AQ341" s="2502"/>
      <c r="AR341" s="2502"/>
      <c r="AS341" s="2502"/>
      <c r="AT341" s="2502"/>
      <c r="AU341" s="2502"/>
      <c r="AW341" s="2443"/>
    </row>
    <row r="342" spans="1:49" s="2478" customFormat="1">
      <c r="A342" s="1678"/>
      <c r="B342" s="2093"/>
      <c r="C342" s="2443"/>
      <c r="D342" s="1679"/>
      <c r="E342" s="1674"/>
      <c r="F342" s="1674"/>
      <c r="G342" s="1674"/>
      <c r="H342" s="1674"/>
      <c r="I342" s="1675"/>
      <c r="J342" s="1675"/>
      <c r="K342" s="1676"/>
      <c r="L342" s="1680"/>
      <c r="M342" s="2504"/>
      <c r="N342" s="2517"/>
      <c r="O342" s="2517"/>
      <c r="P342" s="2517"/>
      <c r="Q342" s="2517"/>
      <c r="R342" s="2517"/>
      <c r="S342" s="2517"/>
      <c r="T342" s="2517"/>
      <c r="U342" s="2502"/>
      <c r="V342" s="2502"/>
      <c r="W342" s="2502"/>
      <c r="X342" s="2502"/>
      <c r="Y342" s="2502"/>
      <c r="Z342" s="2502"/>
      <c r="AA342" s="2502"/>
      <c r="AB342" s="2502"/>
      <c r="AC342" s="2502"/>
      <c r="AD342" s="2502"/>
      <c r="AE342" s="2502"/>
      <c r="AF342" s="2502"/>
      <c r="AG342" s="2502"/>
      <c r="AH342" s="2502"/>
      <c r="AI342" s="2502"/>
      <c r="AJ342" s="2502"/>
      <c r="AK342" s="2502"/>
      <c r="AL342" s="2502"/>
      <c r="AM342" s="2502"/>
      <c r="AN342" s="2502"/>
      <c r="AO342" s="2502"/>
      <c r="AP342" s="2502"/>
      <c r="AQ342" s="2502"/>
      <c r="AR342" s="2502"/>
      <c r="AS342" s="2502"/>
      <c r="AT342" s="2502"/>
      <c r="AU342" s="2502"/>
      <c r="AW342" s="2443"/>
    </row>
    <row r="343" spans="1:49" s="2478" customFormat="1">
      <c r="A343" s="1678"/>
      <c r="B343" s="2093"/>
      <c r="C343" s="2443"/>
      <c r="D343" s="4068" t="s">
        <v>2294</v>
      </c>
      <c r="E343" s="4068"/>
      <c r="F343" s="4068"/>
      <c r="G343" s="4068"/>
      <c r="H343" s="4068"/>
      <c r="I343" s="4068"/>
      <c r="J343" s="1675"/>
      <c r="K343" s="1674"/>
      <c r="L343" s="3285"/>
      <c r="M343" s="2504"/>
      <c r="N343" s="2517"/>
      <c r="O343" s="2517"/>
      <c r="P343" s="2517"/>
      <c r="Q343" s="2517"/>
      <c r="R343" s="2517"/>
      <c r="S343" s="2517"/>
      <c r="T343" s="2517"/>
      <c r="U343" s="2502"/>
      <c r="V343" s="2502"/>
      <c r="W343" s="2502"/>
      <c r="X343" s="2502"/>
      <c r="Y343" s="2502"/>
      <c r="Z343" s="2502"/>
      <c r="AA343" s="2502"/>
      <c r="AB343" s="2502"/>
      <c r="AC343" s="2502"/>
      <c r="AD343" s="2502"/>
      <c r="AE343" s="2502"/>
      <c r="AF343" s="2502"/>
      <c r="AG343" s="2502"/>
      <c r="AH343" s="2502"/>
      <c r="AI343" s="2502"/>
      <c r="AJ343" s="2502"/>
      <c r="AK343" s="2502"/>
      <c r="AL343" s="2502"/>
      <c r="AM343" s="2502"/>
      <c r="AN343" s="2502"/>
      <c r="AO343" s="2502"/>
      <c r="AP343" s="2502"/>
      <c r="AQ343" s="2502"/>
      <c r="AR343" s="2502"/>
      <c r="AS343" s="2502"/>
      <c r="AT343" s="2502"/>
      <c r="AU343" s="2502"/>
      <c r="AW343" s="2443"/>
    </row>
    <row r="344" spans="1:49" s="2478" customFormat="1">
      <c r="A344" s="1678"/>
      <c r="B344" s="2093"/>
      <c r="C344" s="2443"/>
      <c r="D344" s="4068"/>
      <c r="E344" s="4068"/>
      <c r="F344" s="4068"/>
      <c r="G344" s="4068"/>
      <c r="H344" s="4068"/>
      <c r="I344" s="4068"/>
      <c r="J344" s="1675"/>
      <c r="K344" s="1674"/>
      <c r="L344" s="3285"/>
      <c r="M344" s="2504"/>
      <c r="N344" s="2517"/>
      <c r="O344" s="2517"/>
      <c r="P344" s="2517"/>
      <c r="Q344" s="2517"/>
      <c r="R344" s="2517"/>
      <c r="S344" s="2517"/>
      <c r="T344" s="2517"/>
      <c r="U344" s="2502"/>
      <c r="V344" s="2502"/>
      <c r="W344" s="2502"/>
      <c r="X344" s="2502"/>
      <c r="Y344" s="2502"/>
      <c r="Z344" s="2502"/>
      <c r="AA344" s="2502"/>
      <c r="AB344" s="2502"/>
      <c r="AC344" s="2502"/>
      <c r="AD344" s="2502"/>
      <c r="AE344" s="2502"/>
      <c r="AF344" s="2502"/>
      <c r="AG344" s="2502"/>
      <c r="AH344" s="2502"/>
      <c r="AI344" s="2502"/>
      <c r="AJ344" s="2502"/>
      <c r="AK344" s="2502"/>
      <c r="AL344" s="2502"/>
      <c r="AM344" s="2502"/>
      <c r="AN344" s="2502"/>
      <c r="AO344" s="2502"/>
      <c r="AP344" s="2502"/>
      <c r="AQ344" s="2502"/>
      <c r="AR344" s="2502"/>
      <c r="AS344" s="2502"/>
      <c r="AT344" s="2502"/>
      <c r="AU344" s="2502"/>
      <c r="AW344" s="2443"/>
    </row>
    <row r="345" spans="1:49" s="2478" customFormat="1">
      <c r="A345" s="1678"/>
      <c r="B345" s="2093"/>
      <c r="C345" s="2443"/>
      <c r="D345" s="3279" t="s">
        <v>2398</v>
      </c>
      <c r="E345" s="3024"/>
      <c r="F345" s="3024"/>
      <c r="G345" s="3024"/>
      <c r="H345" s="3024"/>
      <c r="I345" s="3024"/>
      <c r="J345" s="1675"/>
      <c r="K345" s="1674"/>
      <c r="L345" s="3285"/>
      <c r="M345" s="2504"/>
      <c r="N345" s="2517"/>
      <c r="O345" s="2517"/>
      <c r="P345" s="2517"/>
      <c r="Q345" s="2517"/>
      <c r="R345" s="2517"/>
      <c r="S345" s="2517"/>
      <c r="T345" s="2517"/>
      <c r="U345" s="2502"/>
      <c r="V345" s="2502"/>
      <c r="W345" s="2502"/>
      <c r="X345" s="2502"/>
      <c r="Y345" s="2502"/>
      <c r="Z345" s="2502"/>
      <c r="AA345" s="2502"/>
      <c r="AB345" s="2502"/>
      <c r="AC345" s="2502"/>
      <c r="AD345" s="2502"/>
      <c r="AE345" s="2502"/>
      <c r="AF345" s="2502"/>
      <c r="AG345" s="2502"/>
      <c r="AH345" s="2502"/>
      <c r="AI345" s="2502"/>
      <c r="AJ345" s="2502"/>
      <c r="AK345" s="2502"/>
      <c r="AL345" s="2502"/>
      <c r="AM345" s="2502"/>
      <c r="AN345" s="2502"/>
      <c r="AO345" s="2502"/>
      <c r="AP345" s="2502"/>
      <c r="AQ345" s="2502"/>
      <c r="AR345" s="2502"/>
      <c r="AS345" s="2502"/>
      <c r="AT345" s="2502"/>
      <c r="AU345" s="2502"/>
      <c r="AW345" s="2443"/>
    </row>
    <row r="346" spans="1:49" s="2478" customFormat="1">
      <c r="A346" s="1678"/>
      <c r="B346" s="2093"/>
      <c r="C346" s="2443"/>
      <c r="D346" s="3279" t="s">
        <v>2287</v>
      </c>
      <c r="E346" s="3024"/>
      <c r="F346" s="3024"/>
      <c r="G346" s="3024"/>
      <c r="H346" s="3024"/>
      <c r="I346" s="3024"/>
      <c r="J346" s="1675"/>
      <c r="K346" s="1674"/>
      <c r="L346" s="3285"/>
      <c r="M346" s="2504"/>
      <c r="N346" s="2517"/>
      <c r="O346" s="2517"/>
      <c r="P346" s="2517"/>
      <c r="Q346" s="2517"/>
      <c r="R346" s="2517"/>
      <c r="S346" s="2517"/>
      <c r="T346" s="2517"/>
      <c r="U346" s="2502"/>
      <c r="V346" s="2502"/>
      <c r="W346" s="2502"/>
      <c r="X346" s="2502"/>
      <c r="Y346" s="2502"/>
      <c r="Z346" s="2502"/>
      <c r="AA346" s="2502"/>
      <c r="AB346" s="2502"/>
      <c r="AC346" s="2502"/>
      <c r="AD346" s="2502"/>
      <c r="AE346" s="2502"/>
      <c r="AF346" s="2502"/>
      <c r="AG346" s="2502"/>
      <c r="AH346" s="2502"/>
      <c r="AI346" s="2502"/>
      <c r="AJ346" s="2502"/>
      <c r="AK346" s="2502"/>
      <c r="AL346" s="2502"/>
      <c r="AM346" s="2502"/>
      <c r="AN346" s="2502"/>
      <c r="AO346" s="2502"/>
      <c r="AP346" s="2502"/>
      <c r="AQ346" s="2502"/>
      <c r="AR346" s="2502"/>
      <c r="AS346" s="2502"/>
      <c r="AT346" s="2502"/>
      <c r="AU346" s="2502"/>
      <c r="AW346" s="2443"/>
    </row>
    <row r="347" spans="1:49" s="2478" customFormat="1" ht="12.75" customHeight="1">
      <c r="A347" s="1678"/>
      <c r="B347" s="2093"/>
      <c r="C347" s="2443"/>
      <c r="D347" s="3279" t="s">
        <v>2317</v>
      </c>
      <c r="E347" s="3024"/>
      <c r="F347" s="3024"/>
      <c r="G347" s="3024"/>
      <c r="H347" s="3024"/>
      <c r="I347" s="3024"/>
      <c r="J347" s="1675"/>
      <c r="K347" s="4141" t="s">
        <v>2318</v>
      </c>
      <c r="L347" s="4141"/>
      <c r="M347" s="2504"/>
      <c r="N347" s="2517"/>
      <c r="O347" s="2517"/>
      <c r="P347" s="2517"/>
      <c r="Q347" s="2517"/>
      <c r="R347" s="2517"/>
      <c r="S347" s="2517"/>
      <c r="T347" s="2517"/>
      <c r="U347" s="2502"/>
      <c r="V347" s="2502"/>
      <c r="W347" s="2502"/>
      <c r="X347" s="2502"/>
      <c r="Y347" s="2502"/>
      <c r="Z347" s="2502"/>
      <c r="AA347" s="2502"/>
      <c r="AB347" s="2502"/>
      <c r="AC347" s="2502"/>
      <c r="AD347" s="2502"/>
      <c r="AE347" s="2502"/>
      <c r="AF347" s="2502"/>
      <c r="AG347" s="2502"/>
      <c r="AH347" s="2502"/>
      <c r="AI347" s="2502"/>
      <c r="AJ347" s="2502"/>
      <c r="AK347" s="2502"/>
      <c r="AL347" s="2502"/>
      <c r="AM347" s="2502"/>
      <c r="AN347" s="2502"/>
      <c r="AO347" s="2502"/>
      <c r="AP347" s="2502"/>
      <c r="AQ347" s="2502"/>
      <c r="AR347" s="2502"/>
      <c r="AS347" s="2502"/>
      <c r="AT347" s="2502"/>
      <c r="AU347" s="2502"/>
      <c r="AW347" s="2443"/>
    </row>
    <row r="348" spans="1:49" s="2478" customFormat="1">
      <c r="A348" s="1678"/>
      <c r="B348" s="2093"/>
      <c r="C348" s="2443"/>
      <c r="D348" s="4145" t="s">
        <v>2316</v>
      </c>
      <c r="E348" s="4146"/>
      <c r="F348" s="4146"/>
      <c r="G348" s="4146"/>
      <c r="H348" s="4146"/>
      <c r="I348" s="4146"/>
      <c r="J348" s="1675"/>
      <c r="K348" s="4141"/>
      <c r="L348" s="4141"/>
      <c r="M348" s="2504"/>
      <c r="N348" s="2517"/>
      <c r="O348" s="2517"/>
      <c r="P348" s="2517"/>
      <c r="Q348" s="2517"/>
      <c r="R348" s="2517"/>
      <c r="S348" s="2517"/>
      <c r="T348" s="2517"/>
      <c r="U348" s="2502"/>
      <c r="V348" s="2502"/>
      <c r="W348" s="2502"/>
      <c r="X348" s="2502"/>
      <c r="Y348" s="2502"/>
      <c r="Z348" s="2502"/>
      <c r="AA348" s="2502"/>
      <c r="AB348" s="2502"/>
      <c r="AC348" s="2502"/>
      <c r="AD348" s="2502"/>
      <c r="AE348" s="2502"/>
      <c r="AF348" s="2502"/>
      <c r="AG348" s="2502"/>
      <c r="AH348" s="2502"/>
      <c r="AI348" s="2502"/>
      <c r="AJ348" s="2502"/>
      <c r="AK348" s="2502"/>
      <c r="AL348" s="2502"/>
      <c r="AM348" s="2502"/>
      <c r="AN348" s="2502"/>
      <c r="AO348" s="2502"/>
      <c r="AP348" s="2502"/>
      <c r="AQ348" s="2502"/>
      <c r="AR348" s="2502"/>
      <c r="AS348" s="2502"/>
      <c r="AT348" s="2502"/>
      <c r="AU348" s="2502"/>
      <c r="AW348" s="2443"/>
    </row>
    <row r="349" spans="1:49" s="2478" customFormat="1">
      <c r="A349" s="1678"/>
      <c r="B349" s="2093"/>
      <c r="C349" s="2443"/>
      <c r="D349" s="4146"/>
      <c r="E349" s="4146"/>
      <c r="F349" s="4146"/>
      <c r="G349" s="4146"/>
      <c r="H349" s="4146"/>
      <c r="I349" s="4146"/>
      <c r="J349" s="1675"/>
      <c r="K349" s="3286"/>
      <c r="L349" s="3286"/>
      <c r="M349" s="2504"/>
      <c r="N349" s="2517"/>
      <c r="O349" s="2517"/>
      <c r="P349" s="2517"/>
      <c r="Q349" s="2517"/>
      <c r="R349" s="2517"/>
      <c r="S349" s="2517"/>
      <c r="T349" s="2517"/>
      <c r="U349" s="2502"/>
      <c r="V349" s="2502"/>
      <c r="W349" s="2502"/>
      <c r="X349" s="2502"/>
      <c r="Y349" s="2502"/>
      <c r="Z349" s="2502"/>
      <c r="AA349" s="2502"/>
      <c r="AB349" s="2502"/>
      <c r="AC349" s="2502"/>
      <c r="AD349" s="2502"/>
      <c r="AE349" s="2502"/>
      <c r="AF349" s="2502"/>
      <c r="AG349" s="2502"/>
      <c r="AH349" s="2502"/>
      <c r="AI349" s="2502"/>
      <c r="AJ349" s="2502"/>
      <c r="AK349" s="2502"/>
      <c r="AL349" s="2502"/>
      <c r="AM349" s="2502"/>
      <c r="AN349" s="2502"/>
      <c r="AO349" s="2502"/>
      <c r="AP349" s="2502"/>
      <c r="AQ349" s="2502"/>
      <c r="AR349" s="2502"/>
      <c r="AS349" s="2502"/>
      <c r="AT349" s="2502"/>
      <c r="AU349" s="2502"/>
      <c r="AW349" s="2443"/>
    </row>
    <row r="350" spans="1:49" s="2478" customFormat="1">
      <c r="A350" s="1678"/>
      <c r="B350" s="2093"/>
      <c r="C350" s="2443"/>
      <c r="D350" s="1679"/>
      <c r="E350" s="1674"/>
      <c r="F350" s="1674"/>
      <c r="G350" s="1674"/>
      <c r="H350" s="1674"/>
      <c r="I350" s="1675"/>
      <c r="J350" s="1675"/>
      <c r="K350" s="1674"/>
      <c r="L350" s="3285"/>
      <c r="M350" s="2504"/>
      <c r="N350" s="2517"/>
      <c r="O350" s="2517"/>
      <c r="P350" s="2517"/>
      <c r="Q350" s="2517"/>
      <c r="R350" s="2517"/>
      <c r="S350" s="2517"/>
      <c r="T350" s="2517"/>
      <c r="U350" s="2502"/>
      <c r="V350" s="2502"/>
      <c r="W350" s="2502"/>
      <c r="X350" s="2502"/>
      <c r="Y350" s="2502"/>
      <c r="Z350" s="2502"/>
      <c r="AA350" s="2502"/>
      <c r="AB350" s="2502"/>
      <c r="AC350" s="2502"/>
      <c r="AD350" s="2502"/>
      <c r="AE350" s="2502"/>
      <c r="AF350" s="2502"/>
      <c r="AG350" s="2502"/>
      <c r="AH350" s="2502"/>
      <c r="AI350" s="2502"/>
      <c r="AJ350" s="2502"/>
      <c r="AK350" s="2502"/>
      <c r="AL350" s="2502"/>
      <c r="AM350" s="2502"/>
      <c r="AN350" s="2502"/>
      <c r="AO350" s="2502"/>
      <c r="AP350" s="2502"/>
      <c r="AQ350" s="2502"/>
      <c r="AR350" s="2502"/>
      <c r="AS350" s="2502"/>
      <c r="AT350" s="2502"/>
      <c r="AU350" s="2502"/>
      <c r="AW350" s="2443"/>
    </row>
    <row r="351" spans="1:49" s="2502" customFormat="1" ht="3" customHeight="1">
      <c r="B351" s="2516"/>
      <c r="C351" s="2517"/>
      <c r="D351" s="2518"/>
      <c r="I351" s="2519"/>
      <c r="J351" s="2519"/>
      <c r="K351" s="2520"/>
      <c r="L351" s="2521"/>
      <c r="AW351" s="2517"/>
    </row>
    <row r="352" spans="1:49" s="2478" customFormat="1">
      <c r="A352" s="1678"/>
      <c r="B352" s="2093"/>
      <c r="C352" s="2443"/>
      <c r="D352" s="1679"/>
      <c r="E352" s="1674"/>
      <c r="F352" s="1674"/>
      <c r="G352" s="1674"/>
      <c r="H352" s="1674"/>
      <c r="I352" s="1675"/>
      <c r="J352" s="1675"/>
      <c r="K352" s="1676"/>
      <c r="L352" s="1680"/>
      <c r="M352" s="2504"/>
      <c r="N352" s="2517"/>
      <c r="O352" s="2517"/>
      <c r="P352" s="2517"/>
      <c r="Q352" s="2517"/>
      <c r="R352" s="2517"/>
      <c r="S352" s="2517"/>
      <c r="T352" s="2517"/>
      <c r="U352" s="2502"/>
      <c r="V352" s="2502"/>
      <c r="W352" s="2502"/>
      <c r="X352" s="2502"/>
      <c r="Y352" s="2502"/>
      <c r="Z352" s="2502"/>
      <c r="AA352" s="2502"/>
      <c r="AB352" s="2502"/>
      <c r="AC352" s="2502"/>
      <c r="AD352" s="2502"/>
      <c r="AE352" s="2502"/>
      <c r="AF352" s="2502"/>
      <c r="AG352" s="2502"/>
      <c r="AH352" s="2502"/>
      <c r="AI352" s="2502"/>
      <c r="AJ352" s="2502"/>
      <c r="AK352" s="2502"/>
      <c r="AL352" s="2502"/>
      <c r="AM352" s="2502"/>
      <c r="AN352" s="2502"/>
      <c r="AO352" s="2502"/>
      <c r="AP352" s="2502"/>
      <c r="AQ352" s="2502"/>
      <c r="AR352" s="2502"/>
      <c r="AS352" s="2502"/>
      <c r="AT352" s="2502"/>
      <c r="AU352" s="2502"/>
      <c r="AW352" s="2443"/>
    </row>
    <row r="353" spans="1:47">
      <c r="A353" s="1339" t="s">
        <v>1149</v>
      </c>
      <c r="B353" s="1340"/>
      <c r="C353" s="2452"/>
      <c r="D353" s="4110" t="s">
        <v>1159</v>
      </c>
      <c r="E353" s="4111"/>
      <c r="F353" s="4112"/>
      <c r="G353" s="996" t="s">
        <v>37</v>
      </c>
      <c r="H353" s="1221"/>
      <c r="I353" s="160"/>
      <c r="J353" s="160"/>
      <c r="K353" s="163"/>
      <c r="L353" s="2522"/>
      <c r="N353" s="73"/>
      <c r="O353" s="150"/>
      <c r="P353" s="150"/>
      <c r="Q353" s="150"/>
      <c r="R353" s="150"/>
      <c r="S353" s="150"/>
      <c r="T353" s="150"/>
      <c r="U353" s="150"/>
      <c r="V353" s="1221"/>
      <c r="W353" s="2495"/>
      <c r="X353" s="2496"/>
      <c r="Y353" s="2496"/>
      <c r="Z353" s="2496"/>
      <c r="AA353" s="2496"/>
      <c r="AB353" s="2496"/>
      <c r="AC353" s="2496"/>
      <c r="AD353" s="2496"/>
      <c r="AE353" s="2496"/>
      <c r="AF353" s="2496"/>
      <c r="AG353" s="2496"/>
      <c r="AH353" s="2496"/>
      <c r="AI353" s="2495"/>
      <c r="AJ353" s="2495"/>
      <c r="AK353" s="2495"/>
      <c r="AL353" s="2495"/>
      <c r="AM353" s="2495"/>
      <c r="AN353" s="2495"/>
      <c r="AO353" s="2495"/>
      <c r="AP353" s="2495"/>
      <c r="AQ353" s="2495"/>
      <c r="AR353" s="2495"/>
      <c r="AS353" s="2495"/>
      <c r="AT353" s="2495"/>
      <c r="AU353" s="2495"/>
    </row>
    <row r="354" spans="1:47">
      <c r="A354" s="3177" t="s">
        <v>2399</v>
      </c>
      <c r="B354" s="1341"/>
      <c r="C354" s="2456"/>
      <c r="D354" s="1337" t="s">
        <v>373</v>
      </c>
      <c r="E354" s="1337" t="s">
        <v>1178</v>
      </c>
      <c r="F354" s="1337" t="s">
        <v>1160</v>
      </c>
      <c r="G354" s="996" t="s">
        <v>2174</v>
      </c>
      <c r="H354" s="1221"/>
      <c r="I354" s="3176" t="s">
        <v>2400</v>
      </c>
      <c r="J354" s="160"/>
      <c r="K354" s="163"/>
      <c r="L354" s="2522"/>
      <c r="N354" s="73"/>
      <c r="O354" s="150" t="s">
        <v>2258</v>
      </c>
      <c r="P354" s="1659"/>
      <c r="Q354" s="150"/>
      <c r="R354" s="150"/>
      <c r="S354" s="150"/>
      <c r="T354" s="150"/>
      <c r="U354" s="150"/>
      <c r="V354" s="1221"/>
      <c r="W354" s="2495"/>
      <c r="X354" s="2496"/>
      <c r="Y354" s="2496"/>
      <c r="Z354" s="2496"/>
      <c r="AA354" s="2496"/>
      <c r="AB354" s="2496"/>
      <c r="AC354" s="2496"/>
      <c r="AD354" s="2496"/>
      <c r="AE354" s="2496"/>
      <c r="AF354" s="2496"/>
      <c r="AG354" s="2496"/>
      <c r="AH354" s="2496"/>
      <c r="AI354" s="2495"/>
      <c r="AJ354" s="2495"/>
      <c r="AK354" s="2495"/>
      <c r="AL354" s="2495"/>
      <c r="AM354" s="2495"/>
      <c r="AN354" s="2495"/>
      <c r="AO354" s="2495"/>
      <c r="AP354" s="2495"/>
      <c r="AQ354" s="2495"/>
      <c r="AR354" s="2495"/>
      <c r="AS354" s="2495"/>
      <c r="AT354" s="2495"/>
      <c r="AU354" s="2495"/>
    </row>
    <row r="355" spans="1:47">
      <c r="A355" s="838" t="s">
        <v>498</v>
      </c>
      <c r="B355" s="839" t="s">
        <v>52</v>
      </c>
      <c r="C355" s="2447"/>
      <c r="D355" s="3184">
        <f>CALCULATIONS!GU5</f>
        <v>4.9157277486128619</v>
      </c>
      <c r="E355" s="503">
        <f>CALCULATIONS!GS5</f>
        <v>5.2964626193065953</v>
      </c>
      <c r="F355" s="997">
        <f>CALCULATIONS!GV5</f>
        <v>0.1448238320606966</v>
      </c>
      <c r="G355" s="996"/>
      <c r="H355" s="1221"/>
      <c r="I355" s="160"/>
      <c r="J355" s="1375"/>
      <c r="K355" s="902"/>
      <c r="L355" s="2522"/>
      <c r="N355" s="73"/>
      <c r="O355" s="150"/>
      <c r="P355" s="150"/>
      <c r="Q355" s="150"/>
      <c r="R355" s="150"/>
      <c r="S355" s="150"/>
      <c r="T355" s="150"/>
      <c r="U355" s="150"/>
      <c r="V355" s="1221"/>
      <c r="W355" s="2495"/>
      <c r="X355" s="2496"/>
      <c r="Y355" s="2496"/>
      <c r="Z355" s="2496"/>
      <c r="AA355" s="2496"/>
      <c r="AB355" s="2496"/>
      <c r="AC355" s="2496"/>
      <c r="AD355" s="2496"/>
      <c r="AE355" s="2496"/>
      <c r="AF355" s="2496"/>
      <c r="AG355" s="2496"/>
      <c r="AH355" s="2496"/>
      <c r="AI355" s="2495"/>
      <c r="AJ355" s="2495"/>
      <c r="AK355" s="2495"/>
      <c r="AL355" s="2495"/>
      <c r="AM355" s="2495"/>
      <c r="AN355" s="2495"/>
      <c r="AO355" s="2495"/>
      <c r="AP355" s="2495"/>
      <c r="AQ355" s="2495"/>
      <c r="AR355" s="2495"/>
      <c r="AS355" s="2495"/>
      <c r="AT355" s="2495"/>
      <c r="AU355" s="2495"/>
    </row>
    <row r="356" spans="1:47">
      <c r="A356" s="838" t="s">
        <v>385</v>
      </c>
      <c r="B356" s="839" t="s">
        <v>276</v>
      </c>
      <c r="C356" s="2447"/>
      <c r="D356" s="3184">
        <f>CALCULATIONS!GU6</f>
        <v>4.4246190982470868</v>
      </c>
      <c r="E356" s="503">
        <f>CALCULATIONS!GS6</f>
        <v>4.0530525032062261</v>
      </c>
      <c r="F356" s="997">
        <f>CALCULATIONS!GV6</f>
        <v>-2.9835823683801648E-2</v>
      </c>
      <c r="G356" s="996">
        <v>1</v>
      </c>
      <c r="H356" s="1221"/>
      <c r="I356" s="160"/>
      <c r="J356" s="1659"/>
      <c r="K356" s="902"/>
      <c r="L356" s="2522"/>
      <c r="N356" s="73"/>
      <c r="O356" s="150"/>
      <c r="P356" s="150"/>
      <c r="Q356" s="150"/>
      <c r="R356" s="150"/>
      <c r="S356" s="150"/>
      <c r="T356" s="150"/>
      <c r="U356" s="150"/>
      <c r="V356" s="1221"/>
      <c r="W356" s="2495"/>
      <c r="X356" s="2496"/>
      <c r="Y356" s="2496"/>
      <c r="Z356" s="2496"/>
      <c r="AA356" s="2496"/>
      <c r="AB356" s="2496"/>
      <c r="AC356" s="2496"/>
      <c r="AD356" s="2496"/>
      <c r="AE356" s="2496"/>
      <c r="AF356" s="2496"/>
      <c r="AG356" s="2496"/>
      <c r="AH356" s="2496"/>
      <c r="AI356" s="2495"/>
      <c r="AJ356" s="2495"/>
      <c r="AK356" s="2495"/>
      <c r="AL356" s="2495"/>
      <c r="AM356" s="2495"/>
      <c r="AN356" s="2495"/>
      <c r="AO356" s="2495"/>
      <c r="AP356" s="2495"/>
      <c r="AQ356" s="2495"/>
      <c r="AR356" s="2495"/>
      <c r="AS356" s="2495"/>
      <c r="AT356" s="2495"/>
      <c r="AU356" s="2495"/>
    </row>
    <row r="357" spans="1:47">
      <c r="A357" s="652" t="s">
        <v>319</v>
      </c>
      <c r="B357" s="661" t="s">
        <v>278</v>
      </c>
      <c r="C357" s="2435"/>
      <c r="D357" s="3185">
        <f>CALCULATIONS!GU7</f>
        <v>4.7469851722287064</v>
      </c>
      <c r="E357" s="682">
        <f>CALCULATIONS!GS7</f>
        <v>4.6619962755533297</v>
      </c>
      <c r="F357" s="998">
        <f>CALCULATIONS!GV7</f>
        <v>0.1951757211867983</v>
      </c>
      <c r="G357" s="996"/>
      <c r="H357" s="1221"/>
      <c r="I357" s="160"/>
      <c r="J357" s="1375"/>
      <c r="K357" s="902"/>
      <c r="L357" s="2522"/>
      <c r="N357" s="73"/>
      <c r="O357" s="150"/>
      <c r="P357" s="150"/>
      <c r="Q357" s="150"/>
      <c r="R357" s="150"/>
      <c r="S357" s="150"/>
      <c r="T357" s="150"/>
      <c r="U357" s="150"/>
      <c r="V357" s="1221"/>
      <c r="W357" s="2495"/>
      <c r="X357" s="2496"/>
      <c r="Y357" s="2496"/>
      <c r="Z357" s="2496"/>
      <c r="AA357" s="2496"/>
      <c r="AB357" s="2496"/>
      <c r="AC357" s="2496"/>
      <c r="AD357" s="2496"/>
      <c r="AE357" s="2496"/>
      <c r="AF357" s="2496"/>
      <c r="AG357" s="2496"/>
      <c r="AH357" s="2496"/>
      <c r="AI357" s="2495"/>
      <c r="AJ357" s="2495"/>
      <c r="AK357" s="2495"/>
      <c r="AL357" s="2495"/>
      <c r="AM357" s="2495"/>
      <c r="AN357" s="2495"/>
      <c r="AO357" s="2495"/>
      <c r="AP357" s="2495"/>
      <c r="AQ357" s="2495"/>
      <c r="AR357" s="2495"/>
      <c r="AS357" s="2495"/>
      <c r="AT357" s="2495"/>
      <c r="AU357" s="2495"/>
    </row>
    <row r="358" spans="1:47">
      <c r="A358" s="652" t="s">
        <v>319</v>
      </c>
      <c r="B358" s="661" t="s">
        <v>275</v>
      </c>
      <c r="C358" s="2435"/>
      <c r="D358" s="3185">
        <f>CALCULATIONS!GU8</f>
        <v>4.988018554669714</v>
      </c>
      <c r="E358" s="682">
        <f>CALCULATIONS!GS8</f>
        <v>3.6764587184436395</v>
      </c>
      <c r="F358" s="998">
        <f>CALCULATIONS!GV8</f>
        <v>-0.2975700901517318</v>
      </c>
      <c r="G358" s="996"/>
      <c r="H358" s="1221"/>
      <c r="I358" s="160"/>
      <c r="J358" s="1375"/>
      <c r="K358" s="902"/>
      <c r="L358" s="2522"/>
      <c r="N358" s="73"/>
      <c r="O358" s="150"/>
      <c r="P358" s="150"/>
      <c r="Q358" s="150"/>
      <c r="R358" s="150"/>
      <c r="S358" s="150"/>
      <c r="T358" s="150"/>
      <c r="U358" s="150"/>
      <c r="V358" s="1221"/>
      <c r="W358" s="2495"/>
      <c r="X358" s="2496"/>
      <c r="Y358" s="2496"/>
      <c r="Z358" s="2496"/>
      <c r="AA358" s="2496"/>
      <c r="AB358" s="2496"/>
      <c r="AC358" s="2496"/>
      <c r="AD358" s="2496"/>
      <c r="AE358" s="2496"/>
      <c r="AF358" s="2496"/>
      <c r="AG358" s="2496"/>
      <c r="AH358" s="2496"/>
      <c r="AI358" s="2495"/>
      <c r="AJ358" s="2495"/>
      <c r="AK358" s="2495"/>
      <c r="AL358" s="2495"/>
      <c r="AM358" s="2495"/>
      <c r="AN358" s="2495"/>
      <c r="AO358" s="2495"/>
      <c r="AP358" s="2495"/>
      <c r="AQ358" s="2495"/>
      <c r="AR358" s="2495"/>
      <c r="AS358" s="2495"/>
      <c r="AT358" s="2495"/>
      <c r="AU358" s="2495"/>
    </row>
    <row r="359" spans="1:47">
      <c r="A359" s="652" t="s">
        <v>319</v>
      </c>
      <c r="B359" s="661" t="s">
        <v>281</v>
      </c>
      <c r="C359" s="2435"/>
      <c r="D359" s="3185">
        <f>CALCULATIONS!GU9</f>
        <v>8.5213348378460623</v>
      </c>
      <c r="E359" s="682">
        <f>CALCULATIONS!GS9</f>
        <v>9.0506669895995948</v>
      </c>
      <c r="F359" s="998">
        <f>CALCULATIONS!GV9</f>
        <v>0.26215680659638446</v>
      </c>
      <c r="G359" s="996"/>
      <c r="H359" s="1221"/>
      <c r="I359" s="160"/>
      <c r="J359" s="1375"/>
      <c r="K359" s="902"/>
      <c r="L359" s="2522"/>
      <c r="N359" s="73"/>
      <c r="O359" s="150"/>
      <c r="P359" s="150"/>
      <c r="Q359" s="150"/>
      <c r="R359" s="150"/>
      <c r="S359" s="150"/>
      <c r="T359" s="150"/>
      <c r="U359" s="150"/>
      <c r="V359" s="1221"/>
      <c r="W359" s="2495"/>
      <c r="X359" s="2496"/>
      <c r="Y359" s="2496"/>
      <c r="Z359" s="2496"/>
      <c r="AA359" s="2496"/>
      <c r="AB359" s="2496"/>
      <c r="AC359" s="2496"/>
      <c r="AD359" s="2496"/>
      <c r="AE359" s="2496"/>
      <c r="AF359" s="2496"/>
      <c r="AG359" s="2496"/>
      <c r="AH359" s="2496"/>
      <c r="AI359" s="2495"/>
      <c r="AJ359" s="2495"/>
      <c r="AK359" s="2495"/>
      <c r="AL359" s="2495"/>
      <c r="AM359" s="2495"/>
      <c r="AN359" s="2495"/>
      <c r="AO359" s="2495"/>
      <c r="AP359" s="2495"/>
      <c r="AQ359" s="2495"/>
      <c r="AR359" s="2495"/>
      <c r="AS359" s="2495"/>
      <c r="AT359" s="2495"/>
      <c r="AU359" s="2495"/>
    </row>
    <row r="360" spans="1:47">
      <c r="A360" s="507" t="s">
        <v>539</v>
      </c>
      <c r="B360" s="293" t="s">
        <v>39</v>
      </c>
      <c r="D360" s="3184">
        <f>CALCULATIONS!GU10</f>
        <v>6.1343182706324946</v>
      </c>
      <c r="E360" s="503">
        <f>CALCULATIONS!GS10</f>
        <v>5.9052222685092017</v>
      </c>
      <c r="F360" s="997">
        <f>CALCULATIONS!GV10</f>
        <v>-0.19036897853308513</v>
      </c>
      <c r="G360" s="996">
        <v>1</v>
      </c>
      <c r="H360" s="1221"/>
      <c r="I360" s="160"/>
      <c r="J360" s="1375"/>
      <c r="K360" s="902"/>
      <c r="L360" s="2522"/>
      <c r="N360" s="73"/>
      <c r="O360" s="150"/>
      <c r="P360" s="150"/>
      <c r="Q360" s="150"/>
      <c r="R360" s="150"/>
      <c r="S360" s="150"/>
      <c r="T360" s="150"/>
      <c r="U360" s="150"/>
      <c r="V360" s="1221"/>
      <c r="W360" s="2495"/>
      <c r="X360" s="2496"/>
      <c r="Y360" s="2496"/>
      <c r="Z360" s="2496"/>
      <c r="AA360" s="2496"/>
      <c r="AB360" s="2496"/>
      <c r="AC360" s="2496"/>
      <c r="AD360" s="2496"/>
      <c r="AE360" s="2496"/>
      <c r="AF360" s="2496"/>
      <c r="AG360" s="2496"/>
      <c r="AH360" s="2496"/>
      <c r="AI360" s="2495"/>
      <c r="AJ360" s="2495"/>
      <c r="AK360" s="2495"/>
      <c r="AL360" s="2495"/>
      <c r="AM360" s="2495"/>
      <c r="AN360" s="2495"/>
      <c r="AO360" s="2495"/>
      <c r="AP360" s="2495"/>
      <c r="AQ360" s="2495"/>
      <c r="AR360" s="2495"/>
      <c r="AS360" s="2495"/>
      <c r="AT360" s="2495"/>
      <c r="AU360" s="2495"/>
    </row>
    <row r="361" spans="1:47">
      <c r="A361" s="508" t="s">
        <v>217</v>
      </c>
      <c r="B361" s="294" t="s">
        <v>53</v>
      </c>
      <c r="C361" s="2435"/>
      <c r="D361" s="3184">
        <f>CALCULATIONS!GU11</f>
        <v>5.7304428558288603</v>
      </c>
      <c r="E361" s="503">
        <f>CALCULATIONS!GS11</f>
        <v>5.1937231412225326</v>
      </c>
      <c r="F361" s="997">
        <f>CALCULATIONS!GV11</f>
        <v>-7.3155042359885195E-2</v>
      </c>
      <c r="G361" s="996"/>
      <c r="H361" s="1221"/>
      <c r="I361" s="160"/>
      <c r="J361" s="1659"/>
      <c r="K361" s="902"/>
      <c r="L361" s="2522"/>
      <c r="N361" s="73"/>
      <c r="O361" s="150"/>
      <c r="P361" s="150"/>
      <c r="Q361" s="150"/>
      <c r="R361" s="150"/>
      <c r="S361" s="150"/>
      <c r="T361" s="150"/>
      <c r="U361" s="150"/>
      <c r="V361" s="1221"/>
      <c r="W361" s="2495"/>
      <c r="X361" s="2496"/>
      <c r="Y361" s="2496"/>
      <c r="Z361" s="2496"/>
      <c r="AA361" s="2496"/>
      <c r="AB361" s="2496"/>
      <c r="AC361" s="2496"/>
      <c r="AD361" s="2496"/>
      <c r="AE361" s="2496"/>
      <c r="AF361" s="2496"/>
      <c r="AG361" s="2496"/>
      <c r="AH361" s="2496"/>
      <c r="AI361" s="2495"/>
      <c r="AJ361" s="2495"/>
      <c r="AK361" s="2495"/>
      <c r="AL361" s="2495"/>
      <c r="AM361" s="2495"/>
      <c r="AN361" s="2495"/>
      <c r="AO361" s="2495"/>
      <c r="AP361" s="2495"/>
      <c r="AQ361" s="2495"/>
      <c r="AR361" s="2495"/>
      <c r="AS361" s="2495"/>
      <c r="AT361" s="2495"/>
      <c r="AU361" s="2495"/>
    </row>
    <row r="362" spans="1:47">
      <c r="A362" s="838" t="s">
        <v>73</v>
      </c>
      <c r="B362" s="839" t="s">
        <v>283</v>
      </c>
      <c r="C362" s="2447"/>
      <c r="D362" s="3184">
        <f>CALCULATIONS!GU12</f>
        <v>6.6917014692746157</v>
      </c>
      <c r="E362" s="503">
        <f>CALCULATIONS!GS12</f>
        <v>7.0127743881429545</v>
      </c>
      <c r="F362" s="997">
        <f>CALCULATIONS!GV12</f>
        <v>0.14721542174528052</v>
      </c>
      <c r="G362" s="996"/>
      <c r="H362" s="1221"/>
      <c r="I362" s="160"/>
      <c r="J362" s="3175"/>
      <c r="K362" s="4138" t="s">
        <v>2232</v>
      </c>
      <c r="L362" s="4138"/>
      <c r="N362" s="73"/>
      <c r="O362" s="150"/>
      <c r="P362" s="150"/>
      <c r="Q362" s="150"/>
      <c r="R362" s="150"/>
      <c r="S362" s="150"/>
      <c r="T362" s="150"/>
      <c r="U362" s="150"/>
      <c r="V362" s="1221"/>
      <c r="W362" s="2495"/>
      <c r="X362" s="2496"/>
      <c r="Y362" s="2496"/>
      <c r="Z362" s="2496"/>
      <c r="AA362" s="2496"/>
      <c r="AB362" s="2496"/>
      <c r="AC362" s="2496"/>
      <c r="AD362" s="2496"/>
      <c r="AE362" s="2496"/>
      <c r="AF362" s="2496"/>
      <c r="AG362" s="2496"/>
      <c r="AH362" s="2496"/>
      <c r="AI362" s="2495"/>
      <c r="AJ362" s="2495"/>
      <c r="AK362" s="2495"/>
      <c r="AL362" s="2495"/>
      <c r="AM362" s="2495"/>
      <c r="AN362" s="2495"/>
      <c r="AO362" s="2495"/>
      <c r="AP362" s="2495"/>
      <c r="AQ362" s="2495"/>
      <c r="AR362" s="2495"/>
      <c r="AS362" s="2495"/>
      <c r="AT362" s="2495"/>
      <c r="AU362" s="2495"/>
    </row>
    <row r="363" spans="1:47" ht="12.75" customHeight="1">
      <c r="A363" s="406" t="s">
        <v>19</v>
      </c>
      <c r="B363" s="294" t="s">
        <v>285</v>
      </c>
      <c r="C363" s="2435"/>
      <c r="D363" s="3184">
        <f>CALCULATIONS!GU13</f>
        <v>7.8090133066846761</v>
      </c>
      <c r="E363" s="503">
        <f>CALCULATIONS!GS13</f>
        <v>9.6719476082953495</v>
      </c>
      <c r="F363" s="997">
        <f>CALCULATIONS!GV13</f>
        <v>0.8464659845431286</v>
      </c>
      <c r="G363" s="996"/>
      <c r="H363" s="1221"/>
      <c r="I363" s="160"/>
      <c r="J363" s="3175"/>
      <c r="K363" s="4138"/>
      <c r="L363" s="4138"/>
      <c r="N363" s="73"/>
      <c r="O363" s="150"/>
      <c r="P363" s="150"/>
      <c r="Q363" s="150"/>
      <c r="R363" s="150"/>
      <c r="S363" s="150"/>
      <c r="T363" s="150"/>
      <c r="U363" s="150"/>
      <c r="V363" s="1221"/>
      <c r="W363" s="2495"/>
      <c r="X363" s="2496"/>
      <c r="Y363" s="2496"/>
      <c r="Z363" s="2496"/>
      <c r="AA363" s="2496"/>
      <c r="AB363" s="2496"/>
      <c r="AC363" s="2496"/>
      <c r="AD363" s="2496"/>
      <c r="AE363" s="2496"/>
      <c r="AF363" s="2496"/>
      <c r="AG363" s="2496"/>
      <c r="AH363" s="2496"/>
      <c r="AI363" s="2495"/>
      <c r="AJ363" s="2495"/>
      <c r="AK363" s="2495"/>
      <c r="AL363" s="2495"/>
      <c r="AM363" s="2495"/>
      <c r="AN363" s="2495"/>
      <c r="AO363" s="2495"/>
      <c r="AP363" s="2495"/>
      <c r="AQ363" s="2495"/>
      <c r="AR363" s="2495"/>
      <c r="AS363" s="2495"/>
      <c r="AT363" s="2495"/>
      <c r="AU363" s="2495"/>
    </row>
    <row r="364" spans="1:47" ht="12.75" customHeight="1">
      <c r="A364" s="406" t="s">
        <v>19</v>
      </c>
      <c r="B364" s="294" t="s">
        <v>286</v>
      </c>
      <c r="C364" s="2435"/>
      <c r="D364" s="3184">
        <f>CALCULATIONS!GU14</f>
        <v>4.913128503955539</v>
      </c>
      <c r="E364" s="503">
        <f>CALCULATIONS!GS14</f>
        <v>4.438539176760524</v>
      </c>
      <c r="F364" s="997">
        <f>CALCULATIONS!GV14</f>
        <v>-0.19812930900653591</v>
      </c>
      <c r="G364" s="996"/>
      <c r="H364" s="1221"/>
      <c r="I364" s="160"/>
      <c r="J364" s="1375"/>
      <c r="K364" s="4138"/>
      <c r="L364" s="4138"/>
      <c r="N364" s="73"/>
      <c r="O364" s="150"/>
      <c r="P364" s="150"/>
      <c r="Q364" s="150"/>
      <c r="R364" s="150"/>
      <c r="S364" s="150"/>
      <c r="T364" s="150"/>
      <c r="U364" s="150"/>
      <c r="V364" s="1221"/>
      <c r="W364" s="2495"/>
      <c r="X364" s="2496"/>
      <c r="Y364" s="2496"/>
      <c r="Z364" s="2496"/>
      <c r="AA364" s="2496"/>
      <c r="AB364" s="2496"/>
      <c r="AC364" s="2496"/>
      <c r="AD364" s="2496"/>
      <c r="AE364" s="2496"/>
      <c r="AF364" s="2496"/>
      <c r="AG364" s="2496"/>
      <c r="AH364" s="2496"/>
      <c r="AI364" s="2495"/>
      <c r="AJ364" s="2495"/>
      <c r="AK364" s="2495"/>
      <c r="AL364" s="2495"/>
      <c r="AM364" s="2495"/>
      <c r="AN364" s="2495"/>
      <c r="AO364" s="2495"/>
      <c r="AP364" s="2495"/>
      <c r="AQ364" s="2495"/>
      <c r="AR364" s="2495"/>
      <c r="AS364" s="2495"/>
      <c r="AT364" s="2495"/>
      <c r="AU364" s="2495"/>
    </row>
    <row r="365" spans="1:47">
      <c r="A365" s="406" t="s">
        <v>374</v>
      </c>
      <c r="B365" s="294" t="s">
        <v>42</v>
      </c>
      <c r="C365" s="2435"/>
      <c r="D365" s="3184">
        <f>CALCULATIONS!GU15</f>
        <v>3.8459062845563983</v>
      </c>
      <c r="E365" s="503">
        <f>CALCULATIONS!GS15</f>
        <v>3.7439277362047823</v>
      </c>
      <c r="F365" s="997">
        <f>CALCULATIONS!GV15</f>
        <v>3.4291324439135469E-2</v>
      </c>
      <c r="G365" s="996"/>
      <c r="H365" s="1221"/>
      <c r="I365" s="160"/>
      <c r="J365" s="3186"/>
      <c r="K365" s="4138"/>
      <c r="L365" s="4138"/>
      <c r="N365" s="73"/>
      <c r="O365" s="150"/>
      <c r="P365" s="150"/>
      <c r="Q365" s="150"/>
      <c r="R365" s="150"/>
      <c r="S365" s="150"/>
      <c r="T365" s="150"/>
      <c r="U365" s="150"/>
      <c r="V365" s="1221"/>
      <c r="W365" s="2495"/>
      <c r="X365" s="2496"/>
      <c r="Y365" s="2496"/>
      <c r="Z365" s="2496"/>
      <c r="AA365" s="2496"/>
      <c r="AB365" s="2496"/>
      <c r="AC365" s="2496"/>
      <c r="AD365" s="2496"/>
      <c r="AE365" s="2496"/>
      <c r="AF365" s="2496"/>
      <c r="AG365" s="2496"/>
      <c r="AH365" s="2496"/>
      <c r="AI365" s="2495"/>
      <c r="AJ365" s="2495"/>
      <c r="AK365" s="2495"/>
      <c r="AL365" s="2495"/>
      <c r="AM365" s="2495"/>
      <c r="AN365" s="2495"/>
      <c r="AO365" s="2495"/>
      <c r="AP365" s="2495"/>
      <c r="AQ365" s="2495"/>
      <c r="AR365" s="2495"/>
      <c r="AS365" s="2495"/>
      <c r="AT365" s="2495"/>
      <c r="AU365" s="2495"/>
    </row>
    <row r="366" spans="1:47">
      <c r="A366" s="838" t="s">
        <v>499</v>
      </c>
      <c r="B366" s="839" t="s">
        <v>284</v>
      </c>
      <c r="C366" s="2447"/>
      <c r="D366" s="3184">
        <f>CALCULATIONS!GU16</f>
        <v>4.6475023511824993</v>
      </c>
      <c r="E366" s="503">
        <f>CALCULATIONS!GS16</f>
        <v>4.0606354500113753</v>
      </c>
      <c r="F366" s="997">
        <f>CALCULATIONS!GV16</f>
        <v>-0.18379111287045302</v>
      </c>
      <c r="G366" s="996">
        <v>1</v>
      </c>
      <c r="H366" s="1221"/>
      <c r="I366" s="160"/>
      <c r="J366" s="3186"/>
      <c r="K366" s="4138"/>
      <c r="L366" s="4138"/>
      <c r="N366" s="73"/>
      <c r="O366" s="150"/>
      <c r="P366" s="150"/>
      <c r="Q366" s="150"/>
      <c r="R366" s="150"/>
      <c r="S366" s="150"/>
      <c r="T366" s="150"/>
      <c r="U366" s="150"/>
      <c r="V366" s="1221"/>
      <c r="W366" s="2495"/>
      <c r="X366" s="2496"/>
      <c r="Y366" s="2496"/>
      <c r="Z366" s="2496"/>
      <c r="AA366" s="2496"/>
      <c r="AB366" s="2496"/>
      <c r="AC366" s="2496"/>
      <c r="AD366" s="2496"/>
      <c r="AE366" s="2496"/>
      <c r="AF366" s="2496"/>
      <c r="AG366" s="2496"/>
      <c r="AH366" s="2496"/>
      <c r="AI366" s="2495"/>
      <c r="AJ366" s="2495"/>
      <c r="AK366" s="2495"/>
      <c r="AL366" s="2495"/>
      <c r="AM366" s="2495"/>
      <c r="AN366" s="2495"/>
      <c r="AO366" s="2495"/>
      <c r="AP366" s="2495"/>
      <c r="AQ366" s="2495"/>
      <c r="AR366" s="2495"/>
      <c r="AS366" s="2495"/>
      <c r="AT366" s="2495"/>
      <c r="AU366" s="2495"/>
    </row>
    <row r="367" spans="1:47">
      <c r="A367" s="406" t="s">
        <v>500</v>
      </c>
      <c r="B367" s="294" t="s">
        <v>279</v>
      </c>
      <c r="C367" s="2435"/>
      <c r="D367" s="3184">
        <f>CALCULATIONS!GU17</f>
        <v>5.7229254321128114</v>
      </c>
      <c r="E367" s="503">
        <f>CALCULATIONS!GS17</f>
        <v>6.1939465303838475</v>
      </c>
      <c r="F367" s="997">
        <f>CALCULATIONS!GV17</f>
        <v>4.5724350121793801E-2</v>
      </c>
      <c r="G367" s="996"/>
      <c r="H367" s="1221"/>
      <c r="I367" s="160"/>
      <c r="J367" s="3186"/>
      <c r="K367" s="4138"/>
      <c r="L367" s="4138"/>
      <c r="N367" s="73"/>
      <c r="O367" s="150"/>
      <c r="P367" s="150"/>
      <c r="Q367" s="150"/>
      <c r="R367" s="150"/>
      <c r="S367" s="150"/>
      <c r="T367" s="150"/>
      <c r="U367" s="150"/>
      <c r="V367" s="1221"/>
      <c r="W367" s="2495"/>
      <c r="X367" s="2496"/>
      <c r="Y367" s="2496"/>
      <c r="Z367" s="2496"/>
      <c r="AA367" s="2496"/>
      <c r="AB367" s="2496"/>
      <c r="AC367" s="2496"/>
      <c r="AD367" s="2496"/>
      <c r="AE367" s="2496"/>
      <c r="AF367" s="2496"/>
      <c r="AG367" s="2496"/>
      <c r="AH367" s="2496"/>
      <c r="AI367" s="2495"/>
      <c r="AJ367" s="2495"/>
      <c r="AK367" s="2495"/>
      <c r="AL367" s="2495"/>
      <c r="AM367" s="2495"/>
      <c r="AN367" s="2495"/>
      <c r="AO367" s="2495"/>
      <c r="AP367" s="2495"/>
      <c r="AQ367" s="2495"/>
      <c r="AR367" s="2495"/>
      <c r="AS367" s="2495"/>
      <c r="AT367" s="2495"/>
      <c r="AU367" s="2495"/>
    </row>
    <row r="368" spans="1:47">
      <c r="A368" s="406" t="s">
        <v>501</v>
      </c>
      <c r="B368" s="294" t="s">
        <v>44</v>
      </c>
      <c r="C368" s="2435"/>
      <c r="D368" s="3184">
        <f>CALCULATIONS!GU18</f>
        <v>5.0345645887817243</v>
      </c>
      <c r="E368" s="503">
        <f>CALCULATIONS!GS18</f>
        <v>4.0325018858098245</v>
      </c>
      <c r="F368" s="997">
        <f>CALCULATIONS!GV18</f>
        <v>-0.26680842971581226</v>
      </c>
      <c r="G368" s="996">
        <v>1</v>
      </c>
      <c r="H368" s="1221"/>
      <c r="I368" s="160"/>
      <c r="J368" s="1375"/>
      <c r="K368" s="3174"/>
      <c r="L368" s="2522"/>
      <c r="N368" s="73"/>
      <c r="O368" s="150"/>
      <c r="P368" s="150"/>
      <c r="Q368" s="150"/>
      <c r="R368" s="150"/>
      <c r="S368" s="150"/>
      <c r="T368" s="150"/>
      <c r="U368" s="150"/>
      <c r="V368" s="1221"/>
      <c r="W368" s="2495"/>
      <c r="X368" s="2496"/>
      <c r="Y368" s="2496"/>
      <c r="Z368" s="2496"/>
      <c r="AA368" s="2496"/>
      <c r="AB368" s="2496"/>
      <c r="AC368" s="2496"/>
      <c r="AD368" s="2496"/>
      <c r="AE368" s="2496"/>
      <c r="AF368" s="2496"/>
      <c r="AG368" s="2496"/>
      <c r="AH368" s="2496"/>
      <c r="AI368" s="2495"/>
      <c r="AJ368" s="2495"/>
      <c r="AK368" s="2495"/>
      <c r="AL368" s="2495"/>
      <c r="AM368" s="2495"/>
      <c r="AN368" s="2495"/>
      <c r="AO368" s="2495"/>
      <c r="AP368" s="2495"/>
      <c r="AQ368" s="2495"/>
      <c r="AR368" s="2495"/>
      <c r="AS368" s="2495"/>
      <c r="AT368" s="2495"/>
      <c r="AU368" s="2495"/>
    </row>
    <row r="369" spans="1:47">
      <c r="A369" s="406" t="s">
        <v>502</v>
      </c>
      <c r="B369" s="294" t="s">
        <v>287</v>
      </c>
      <c r="C369" s="2435"/>
      <c r="D369" s="3184">
        <f>CALCULATIONS!GU19</f>
        <v>4.3531629475873661</v>
      </c>
      <c r="E369" s="503">
        <f>CALCULATIONS!GS19</f>
        <v>3.4400754167452243</v>
      </c>
      <c r="F369" s="997">
        <f>CALCULATIONS!GV19</f>
        <v>-8.1025400882275472E-2</v>
      </c>
      <c r="G369" s="996">
        <v>1</v>
      </c>
      <c r="H369" s="1221"/>
      <c r="I369" s="160"/>
      <c r="J369" s="1375"/>
      <c r="K369" s="902"/>
      <c r="L369" s="2522"/>
      <c r="N369" s="73"/>
      <c r="O369" s="150"/>
      <c r="P369" s="150"/>
      <c r="Q369" s="150"/>
      <c r="R369" s="150"/>
      <c r="S369" s="150"/>
      <c r="T369" s="150"/>
      <c r="U369" s="150"/>
      <c r="V369" s="1221"/>
      <c r="W369" s="2495"/>
      <c r="X369" s="2496"/>
      <c r="Y369" s="2496"/>
      <c r="Z369" s="2496"/>
      <c r="AA369" s="2496"/>
      <c r="AB369" s="2496"/>
      <c r="AC369" s="2496"/>
      <c r="AD369" s="2496"/>
      <c r="AE369" s="2496"/>
      <c r="AF369" s="2496"/>
      <c r="AG369" s="2496"/>
      <c r="AH369" s="2496"/>
      <c r="AI369" s="2495"/>
      <c r="AJ369" s="2495"/>
      <c r="AK369" s="2495"/>
      <c r="AL369" s="2495"/>
      <c r="AM369" s="2495"/>
      <c r="AN369" s="2495"/>
      <c r="AO369" s="2495"/>
      <c r="AP369" s="2495"/>
      <c r="AQ369" s="2495"/>
      <c r="AR369" s="2495"/>
      <c r="AS369" s="2495"/>
      <c r="AT369" s="2495"/>
      <c r="AU369" s="2495"/>
    </row>
    <row r="370" spans="1:47">
      <c r="A370" s="838" t="s">
        <v>27</v>
      </c>
      <c r="B370" s="839" t="s">
        <v>54</v>
      </c>
      <c r="C370" s="2447"/>
      <c r="D370" s="3184">
        <f>CALCULATIONS!GU20</f>
        <v>6.3422811159545107</v>
      </c>
      <c r="E370" s="503">
        <f>CALCULATIONS!GS20</f>
        <v>5.3369406950798908</v>
      </c>
      <c r="F370" s="997">
        <f>CALCULATIONS!GV20</f>
        <v>-0.24924595564935845</v>
      </c>
      <c r="G370" s="996"/>
      <c r="H370" s="1221"/>
      <c r="I370" s="160"/>
      <c r="J370" s="1375"/>
      <c r="K370" s="902"/>
      <c r="L370" s="2522"/>
      <c r="N370" s="73"/>
      <c r="O370" s="150"/>
      <c r="P370" s="150"/>
      <c r="Q370" s="150"/>
      <c r="R370" s="150"/>
      <c r="S370" s="150"/>
      <c r="T370" s="150"/>
      <c r="U370" s="150"/>
      <c r="V370" s="1221"/>
      <c r="W370" s="2495"/>
      <c r="X370" s="2496"/>
      <c r="Y370" s="2496"/>
      <c r="Z370" s="2496"/>
      <c r="AA370" s="2496"/>
      <c r="AB370" s="2496"/>
      <c r="AC370" s="2496"/>
      <c r="AD370" s="2496"/>
      <c r="AE370" s="2496"/>
      <c r="AF370" s="2496"/>
      <c r="AG370" s="2496"/>
      <c r="AH370" s="2496"/>
      <c r="AI370" s="2495"/>
      <c r="AJ370" s="2495"/>
      <c r="AK370" s="2495"/>
      <c r="AL370" s="2495"/>
      <c r="AM370" s="2495"/>
      <c r="AN370" s="2495"/>
      <c r="AO370" s="2495"/>
      <c r="AP370" s="2495"/>
      <c r="AQ370" s="2495"/>
      <c r="AR370" s="2495"/>
      <c r="AS370" s="2495"/>
      <c r="AT370" s="2495"/>
      <c r="AU370" s="2495"/>
    </row>
    <row r="371" spans="1:47" ht="12.75" customHeight="1">
      <c r="A371" s="406" t="s">
        <v>32</v>
      </c>
      <c r="B371" s="294" t="s">
        <v>50</v>
      </c>
      <c r="C371" s="2435"/>
      <c r="D371" s="3184">
        <f>CALCULATIONS!GU21</f>
        <v>4.7123747267525307</v>
      </c>
      <c r="E371" s="503">
        <f>CALCULATIONS!GS21</f>
        <v>5.7096258695546744</v>
      </c>
      <c r="F371" s="997">
        <f>CALCULATIONS!GV21</f>
        <v>0.4140020451008824</v>
      </c>
      <c r="G371" s="996"/>
      <c r="H371" s="1221"/>
      <c r="I371" s="160"/>
      <c r="J371" s="1659"/>
      <c r="K371" s="3175"/>
      <c r="L371" s="2522"/>
      <c r="N371" s="73"/>
      <c r="O371" s="150"/>
      <c r="P371" s="150"/>
      <c r="Q371" s="150"/>
      <c r="R371" s="150"/>
      <c r="S371" s="150"/>
      <c r="T371" s="150"/>
      <c r="U371" s="150"/>
      <c r="V371" s="1221"/>
      <c r="W371" s="2495"/>
      <c r="X371" s="2496"/>
      <c r="Y371" s="2496"/>
      <c r="Z371" s="2496"/>
      <c r="AA371" s="2496"/>
      <c r="AB371" s="2496"/>
      <c r="AC371" s="2496"/>
      <c r="AD371" s="2496"/>
      <c r="AE371" s="2496"/>
      <c r="AF371" s="2496"/>
      <c r="AG371" s="2496"/>
      <c r="AH371" s="2496"/>
      <c r="AI371" s="2495"/>
      <c r="AJ371" s="2495"/>
      <c r="AK371" s="2495"/>
      <c r="AL371" s="2495"/>
      <c r="AM371" s="2495"/>
      <c r="AN371" s="2495"/>
      <c r="AO371" s="2495"/>
      <c r="AP371" s="2495"/>
      <c r="AQ371" s="2495"/>
      <c r="AR371" s="2495"/>
      <c r="AS371" s="2495"/>
      <c r="AT371" s="2495"/>
      <c r="AU371" s="2495"/>
    </row>
    <row r="372" spans="1:47">
      <c r="A372" s="406" t="s">
        <v>32</v>
      </c>
      <c r="B372" s="294" t="s">
        <v>277</v>
      </c>
      <c r="C372" s="2435"/>
      <c r="D372" s="3184">
        <f>CALCULATIONS!GU22</f>
        <v>7.534246564629953</v>
      </c>
      <c r="E372" s="503">
        <f>CALCULATIONS!GS22</f>
        <v>8.6584668441025876</v>
      </c>
      <c r="F372" s="997">
        <f>CALCULATIONS!GV22</f>
        <v>0.12910548637067604</v>
      </c>
      <c r="G372" s="996"/>
      <c r="H372" s="1221"/>
      <c r="I372" s="160"/>
      <c r="J372" s="3175"/>
      <c r="K372" s="3175"/>
      <c r="L372" s="2522"/>
      <c r="N372" s="73"/>
      <c r="O372" s="150"/>
      <c r="P372" s="150"/>
      <c r="Q372" s="150"/>
      <c r="R372" s="150"/>
      <c r="S372" s="150"/>
      <c r="T372" s="150"/>
      <c r="U372" s="150"/>
      <c r="V372" s="1221"/>
      <c r="W372" s="2495"/>
      <c r="X372" s="2496"/>
      <c r="Y372" s="2496"/>
      <c r="Z372" s="2496"/>
      <c r="AA372" s="2496"/>
      <c r="AB372" s="2496"/>
      <c r="AC372" s="2496"/>
      <c r="AD372" s="2496"/>
      <c r="AE372" s="2496"/>
      <c r="AF372" s="2496"/>
      <c r="AG372" s="2496"/>
      <c r="AH372" s="2496"/>
      <c r="AI372" s="2495"/>
      <c r="AJ372" s="2495"/>
      <c r="AK372" s="2495"/>
      <c r="AL372" s="2495"/>
      <c r="AM372" s="2495"/>
      <c r="AN372" s="2495"/>
      <c r="AO372" s="2495"/>
      <c r="AP372" s="2495"/>
      <c r="AQ372" s="2495"/>
      <c r="AR372" s="2495"/>
      <c r="AS372" s="2495"/>
      <c r="AT372" s="2495"/>
      <c r="AU372" s="2495"/>
    </row>
    <row r="373" spans="1:47">
      <c r="A373" s="406" t="s">
        <v>503</v>
      </c>
      <c r="B373" s="294" t="s">
        <v>282</v>
      </c>
      <c r="C373" s="2435"/>
      <c r="D373" s="3184">
        <f>CALCULATIONS!GU23</f>
        <v>7.5628972253366413</v>
      </c>
      <c r="E373" s="503">
        <f>CALCULATIONS!GS23</f>
        <v>7.6896404016441506</v>
      </c>
      <c r="F373" s="997">
        <f>CALCULATIONS!GV23</f>
        <v>2.1076957712408067E-2</v>
      </c>
      <c r="G373" s="996"/>
      <c r="H373" s="1221"/>
      <c r="I373" s="160"/>
      <c r="J373" s="3175"/>
      <c r="K373" s="3175"/>
      <c r="L373" s="2522"/>
      <c r="N373" s="73"/>
      <c r="O373" s="150"/>
      <c r="P373" s="150"/>
      <c r="Q373" s="150"/>
      <c r="R373" s="150"/>
      <c r="S373" s="150"/>
      <c r="T373" s="150"/>
      <c r="U373" s="150"/>
      <c r="V373" s="1221"/>
      <c r="W373" s="2495"/>
      <c r="X373" s="2496"/>
      <c r="Y373" s="2496"/>
      <c r="Z373" s="2496"/>
      <c r="AA373" s="2496"/>
      <c r="AB373" s="2496"/>
      <c r="AC373" s="2496"/>
      <c r="AD373" s="2496"/>
      <c r="AE373" s="2496"/>
      <c r="AF373" s="2496"/>
      <c r="AG373" s="2496"/>
      <c r="AH373" s="2496"/>
      <c r="AI373" s="2495"/>
      <c r="AJ373" s="2495"/>
      <c r="AK373" s="2495"/>
      <c r="AL373" s="2495"/>
      <c r="AM373" s="2495"/>
      <c r="AN373" s="2495"/>
      <c r="AO373" s="2495"/>
      <c r="AP373" s="2495"/>
      <c r="AQ373" s="2495"/>
      <c r="AR373" s="2495"/>
      <c r="AS373" s="2495"/>
      <c r="AT373" s="2495"/>
      <c r="AU373" s="2495"/>
    </row>
    <row r="374" spans="1:47">
      <c r="A374" s="406" t="s">
        <v>503</v>
      </c>
      <c r="B374" s="294" t="s">
        <v>280</v>
      </c>
      <c r="C374" s="2435"/>
      <c r="D374" s="3184">
        <f>CALCULATIONS!GU24</f>
        <v>6.5589809256196414</v>
      </c>
      <c r="E374" s="503">
        <f>CALCULATIONS!GS24</f>
        <v>5.5145354419406587</v>
      </c>
      <c r="F374" s="997">
        <f>CALCULATIONS!GV24</f>
        <v>1.2127469272410992E-3</v>
      </c>
      <c r="G374" s="996"/>
      <c r="H374" s="1221"/>
      <c r="I374" s="160"/>
      <c r="J374" s="3071"/>
      <c r="K374" s="3071"/>
      <c r="L374" s="2522"/>
      <c r="N374" s="73"/>
      <c r="O374" s="150"/>
      <c r="P374" s="150"/>
      <c r="Q374" s="150"/>
      <c r="R374" s="150"/>
      <c r="S374" s="150"/>
      <c r="T374" s="150"/>
      <c r="U374" s="150"/>
      <c r="V374" s="1221"/>
      <c r="W374" s="2495"/>
      <c r="X374" s="2496"/>
      <c r="Y374" s="2496"/>
      <c r="Z374" s="2496"/>
      <c r="AA374" s="2496"/>
      <c r="AB374" s="2496"/>
      <c r="AC374" s="2496"/>
      <c r="AD374" s="2496"/>
      <c r="AE374" s="2496"/>
      <c r="AF374" s="2496"/>
      <c r="AG374" s="2496"/>
      <c r="AH374" s="2496"/>
      <c r="AI374" s="2495"/>
      <c r="AJ374" s="2495"/>
      <c r="AK374" s="2495"/>
      <c r="AL374" s="2495"/>
      <c r="AM374" s="2495"/>
      <c r="AN374" s="2495"/>
      <c r="AO374" s="2495"/>
      <c r="AP374" s="2495"/>
      <c r="AQ374" s="2495"/>
      <c r="AR374" s="2495"/>
      <c r="AS374" s="2495"/>
      <c r="AT374" s="2495"/>
      <c r="AU374" s="2495"/>
    </row>
    <row r="375" spans="1:47">
      <c r="A375" s="406" t="s">
        <v>504</v>
      </c>
      <c r="B375" s="294" t="s">
        <v>288</v>
      </c>
      <c r="C375" s="2435"/>
      <c r="D375" s="3184">
        <f>CALCULATIONS!GU25</f>
        <v>6.7450557383311427</v>
      </c>
      <c r="E375" s="503">
        <f>CALCULATIONS!GS25</f>
        <v>7.5822149145373468</v>
      </c>
      <c r="F375" s="997">
        <f>CALCULATIONS!GV25</f>
        <v>0.2149868566781509</v>
      </c>
      <c r="G375" s="996">
        <v>1</v>
      </c>
      <c r="H375" s="1221"/>
      <c r="I375" s="160"/>
      <c r="J375" s="3071"/>
      <c r="K375" s="3071"/>
      <c r="L375" s="2522"/>
      <c r="N375" s="73"/>
      <c r="O375" s="150"/>
      <c r="P375" s="150"/>
      <c r="Q375" s="150"/>
      <c r="R375" s="150"/>
      <c r="S375" s="150"/>
      <c r="T375" s="150"/>
      <c r="U375" s="150"/>
      <c r="V375" s="1221"/>
      <c r="W375" s="2495"/>
      <c r="X375" s="2496"/>
      <c r="Y375" s="2496"/>
      <c r="Z375" s="2496"/>
      <c r="AA375" s="2496"/>
      <c r="AB375" s="2496"/>
      <c r="AC375" s="2496"/>
      <c r="AD375" s="2496"/>
      <c r="AE375" s="2496"/>
      <c r="AF375" s="2496"/>
      <c r="AG375" s="2496"/>
      <c r="AH375" s="2496"/>
      <c r="AI375" s="2495"/>
      <c r="AJ375" s="2495"/>
      <c r="AK375" s="2495"/>
      <c r="AL375" s="2495"/>
      <c r="AM375" s="2495"/>
      <c r="AN375" s="2495"/>
      <c r="AO375" s="2495"/>
      <c r="AP375" s="2495"/>
      <c r="AQ375" s="2495"/>
      <c r="AR375" s="2495"/>
      <c r="AS375" s="2495"/>
      <c r="AT375" s="2495"/>
      <c r="AU375" s="2495"/>
    </row>
    <row r="376" spans="1:47">
      <c r="A376" s="406" t="s">
        <v>27</v>
      </c>
      <c r="B376" s="294" t="s">
        <v>353</v>
      </c>
      <c r="C376" s="2435"/>
      <c r="D376" s="3184">
        <f>CALCULATIONS!GU26</f>
        <v>4.0370208841188875</v>
      </c>
      <c r="E376" s="503">
        <f>CALCULATIONS!GS26</f>
        <v>3.9063069179772585</v>
      </c>
      <c r="F376" s="997">
        <f>CALCULATIONS!GV26</f>
        <v>-0.11001004882442665</v>
      </c>
      <c r="G376" s="996"/>
      <c r="H376" s="1221"/>
      <c r="I376" s="160"/>
      <c r="J376" s="160"/>
      <c r="K376" s="163"/>
      <c r="L376" s="2522"/>
      <c r="N376" s="73"/>
      <c r="O376" s="150"/>
      <c r="P376" s="150"/>
      <c r="Q376" s="150"/>
      <c r="R376" s="150"/>
      <c r="S376" s="150"/>
      <c r="T376" s="150"/>
      <c r="U376" s="150"/>
      <c r="V376" s="1221"/>
      <c r="W376" s="2495"/>
      <c r="X376" s="2496"/>
      <c r="Y376" s="2496"/>
      <c r="Z376" s="2496"/>
      <c r="AA376" s="2496"/>
      <c r="AB376" s="2496"/>
      <c r="AC376" s="2496"/>
      <c r="AD376" s="2496"/>
      <c r="AE376" s="2496"/>
      <c r="AF376" s="2496"/>
      <c r="AG376" s="2496"/>
      <c r="AH376" s="2496"/>
      <c r="AI376" s="2495"/>
      <c r="AJ376" s="2495"/>
      <c r="AK376" s="2495"/>
      <c r="AL376" s="2495"/>
      <c r="AM376" s="2495"/>
      <c r="AN376" s="2495"/>
      <c r="AO376" s="2495"/>
      <c r="AP376" s="2495"/>
      <c r="AQ376" s="2495"/>
      <c r="AR376" s="2495"/>
      <c r="AS376" s="2495"/>
      <c r="AT376" s="2495"/>
      <c r="AU376" s="2495"/>
    </row>
    <row r="377" spans="1:47">
      <c r="A377" s="3180" t="s">
        <v>1650</v>
      </c>
      <c r="B377" s="3181" t="s">
        <v>1652</v>
      </c>
      <c r="C377" s="3182"/>
      <c r="D377" s="1338">
        <f>SUMPRODUCT(D355:D376,$G$355:$G$376)/6</f>
        <v>5.2232038324603858</v>
      </c>
      <c r="E377" s="1338">
        <f>SUMPRODUCT(E355:E376,$G$355:$G$376)/6</f>
        <v>4.8456170731365331</v>
      </c>
      <c r="F377" s="3183">
        <f>SUMPRODUCT(F355:F376,$G$355:$G$376)/6</f>
        <v>-8.9473814834546098E-2</v>
      </c>
      <c r="G377" s="1330"/>
      <c r="H377" s="1330"/>
      <c r="I377" s="1332"/>
      <c r="J377" s="1332"/>
      <c r="K377" s="163"/>
      <c r="L377" s="2522"/>
      <c r="N377" s="73"/>
      <c r="O377" s="150"/>
      <c r="P377" s="150"/>
      <c r="Q377" s="150"/>
      <c r="R377" s="150"/>
      <c r="S377" s="150"/>
      <c r="T377" s="150"/>
      <c r="U377" s="150"/>
      <c r="V377" s="1330"/>
      <c r="W377" s="2495"/>
      <c r="X377" s="2496"/>
      <c r="Y377" s="2496"/>
      <c r="Z377" s="2496"/>
      <c r="AA377" s="2496"/>
      <c r="AB377" s="2496"/>
      <c r="AC377" s="2496"/>
      <c r="AD377" s="2496"/>
      <c r="AE377" s="2496"/>
      <c r="AF377" s="2496"/>
      <c r="AG377" s="2496"/>
      <c r="AH377" s="2496"/>
      <c r="AI377" s="2495"/>
      <c r="AJ377" s="2495"/>
      <c r="AK377" s="2495"/>
      <c r="AL377" s="2495"/>
      <c r="AM377" s="2495"/>
      <c r="AN377" s="2495"/>
      <c r="AO377" s="2495"/>
      <c r="AP377" s="2495"/>
      <c r="AQ377" s="2495"/>
      <c r="AR377" s="2495"/>
      <c r="AS377" s="2495"/>
      <c r="AT377" s="2495"/>
      <c r="AU377" s="2495"/>
    </row>
    <row r="378" spans="1:47">
      <c r="A378" s="3178"/>
      <c r="B378" s="3178"/>
      <c r="D378" s="1203"/>
      <c r="E378" s="2076"/>
      <c r="F378" s="2076"/>
      <c r="G378" s="2076"/>
      <c r="H378" s="2076"/>
      <c r="I378" s="2077"/>
      <c r="J378" s="2077"/>
      <c r="K378" s="163"/>
      <c r="L378" s="2522"/>
      <c r="N378" s="73"/>
      <c r="O378" s="150"/>
      <c r="P378" s="150"/>
      <c r="Q378" s="150"/>
      <c r="R378" s="150"/>
      <c r="S378" s="150"/>
      <c r="T378" s="150"/>
      <c r="U378" s="150"/>
      <c r="V378" s="2076"/>
      <c r="W378" s="2495"/>
      <c r="X378" s="2496"/>
      <c r="Y378" s="2496"/>
      <c r="Z378" s="2496"/>
      <c r="AA378" s="2496"/>
      <c r="AB378" s="2496"/>
      <c r="AC378" s="2496"/>
      <c r="AD378" s="2496"/>
      <c r="AE378" s="2496"/>
      <c r="AF378" s="2496"/>
      <c r="AG378" s="2496"/>
      <c r="AH378" s="2496"/>
      <c r="AI378" s="2495"/>
      <c r="AJ378" s="2495"/>
      <c r="AK378" s="2495"/>
      <c r="AL378" s="2495"/>
      <c r="AM378" s="2495"/>
      <c r="AN378" s="2495"/>
      <c r="AO378" s="2495"/>
      <c r="AP378" s="2495"/>
      <c r="AQ378" s="2495"/>
      <c r="AR378" s="2495"/>
      <c r="AS378" s="2495"/>
      <c r="AT378" s="2495"/>
      <c r="AU378" s="2495"/>
    </row>
    <row r="379" spans="1:47">
      <c r="A379" s="1669"/>
      <c r="B379" s="1669"/>
      <c r="D379" s="3139" t="s">
        <v>2257</v>
      </c>
      <c r="E379" s="3139"/>
      <c r="F379" s="3139"/>
      <c r="G379" s="3139"/>
      <c r="H379" s="3139"/>
      <c r="I379" s="3139"/>
      <c r="J379" s="2526"/>
      <c r="K379" s="3203" t="s">
        <v>2241</v>
      </c>
      <c r="L379" s="72"/>
      <c r="M379" s="2440"/>
      <c r="N379" s="2526"/>
      <c r="O379" s="154"/>
      <c r="P379" s="154"/>
      <c r="Q379" s="154"/>
      <c r="R379" s="154"/>
      <c r="S379" s="154"/>
      <c r="T379" s="154"/>
      <c r="U379" s="154"/>
      <c r="V379" s="1330"/>
      <c r="W379" s="2495"/>
      <c r="X379" s="3190"/>
      <c r="Y379" s="2496"/>
      <c r="Z379" s="2496"/>
      <c r="AA379" s="2496"/>
      <c r="AB379" s="2496"/>
      <c r="AC379" s="2496"/>
      <c r="AD379" s="2496"/>
      <c r="AE379" s="2496"/>
      <c r="AF379" s="2496"/>
      <c r="AG379" s="2496"/>
      <c r="AH379" s="2496"/>
      <c r="AI379" s="2495"/>
      <c r="AJ379" s="2495"/>
      <c r="AK379" s="2495"/>
      <c r="AL379" s="2495"/>
      <c r="AM379" s="2495"/>
      <c r="AN379" s="2495"/>
      <c r="AO379" s="2495"/>
      <c r="AP379" s="2495"/>
      <c r="AQ379" s="2495"/>
      <c r="AR379" s="2495"/>
      <c r="AS379" s="2495"/>
      <c r="AT379" s="2495"/>
      <c r="AU379" s="2495"/>
    </row>
    <row r="380" spans="1:47" ht="13.15" customHeight="1">
      <c r="A380" s="1669"/>
      <c r="B380" s="1669"/>
      <c r="D380" s="4139" t="s">
        <v>2237</v>
      </c>
      <c r="E380" s="4139"/>
      <c r="F380" s="4139"/>
      <c r="G380" s="4139"/>
      <c r="H380" s="4139"/>
      <c r="I380" s="4139"/>
      <c r="J380" s="3194"/>
      <c r="K380" s="3215" t="str">
        <f>CONCATENATE("= ", ROUND(CALCULATIONS!GW7,1), "x")</f>
        <v>= 5,1x</v>
      </c>
      <c r="L380" s="76" t="s">
        <v>2239</v>
      </c>
      <c r="M380" s="2440"/>
      <c r="N380" s="3216" t="s">
        <v>2251</v>
      </c>
      <c r="O380" s="3217"/>
      <c r="P380" s="3217"/>
      <c r="Q380" s="3217"/>
      <c r="R380" s="3217"/>
      <c r="S380" s="3217"/>
      <c r="T380" s="3217"/>
      <c r="U380" s="3217"/>
      <c r="V380" s="1330"/>
      <c r="W380" s="2495"/>
      <c r="X380" s="4135"/>
      <c r="Y380" s="4135"/>
      <c r="Z380" s="4135"/>
      <c r="AA380" s="4135"/>
      <c r="AB380" s="4135"/>
      <c r="AC380" s="4135"/>
      <c r="AD380" s="4135"/>
      <c r="AE380" s="4135"/>
      <c r="AF380" s="2496"/>
      <c r="AG380" s="2496"/>
      <c r="AH380" s="2496"/>
      <c r="AI380" s="2496"/>
      <c r="AJ380" s="2495"/>
      <c r="AK380" s="2495"/>
      <c r="AL380" s="2495"/>
      <c r="AM380" s="2495"/>
      <c r="AN380" s="2495"/>
      <c r="AO380" s="2495"/>
      <c r="AP380" s="2495"/>
      <c r="AQ380" s="2495"/>
      <c r="AR380" s="2495"/>
      <c r="AS380" s="2495"/>
      <c r="AT380" s="2495"/>
      <c r="AU380" s="2495"/>
    </row>
    <row r="381" spans="1:47" ht="13.15" customHeight="1">
      <c r="A381" s="1669"/>
      <c r="B381" s="3179"/>
      <c r="D381" s="4140"/>
      <c r="E381" s="4140"/>
      <c r="F381" s="4140"/>
      <c r="G381" s="4140"/>
      <c r="H381" s="4140"/>
      <c r="I381" s="4140"/>
      <c r="J381" s="3193"/>
      <c r="K381" s="1651" t="str">
        <f>CONCATENATE("= ", ROUND(CALCULATIONS!GW29,1), "x")</f>
        <v>= 5,1x</v>
      </c>
      <c r="L381" s="1651" t="s">
        <v>2240</v>
      </c>
      <c r="M381" s="2440"/>
      <c r="N381" s="3213" t="s">
        <v>2250</v>
      </c>
      <c r="O381" s="3189"/>
      <c r="P381" s="3189"/>
      <c r="Q381" s="3189"/>
      <c r="R381" s="3189"/>
      <c r="S381" s="3189"/>
      <c r="T381" s="3189"/>
      <c r="U381" s="3189"/>
      <c r="V381" s="1330"/>
      <c r="W381" s="2495"/>
      <c r="X381" s="4135"/>
      <c r="Y381" s="4135"/>
      <c r="Z381" s="4135"/>
      <c r="AA381" s="4135"/>
      <c r="AB381" s="4135"/>
      <c r="AC381" s="4135"/>
      <c r="AD381" s="4135"/>
      <c r="AE381" s="4135"/>
      <c r="AF381" s="2496"/>
      <c r="AG381" s="2496"/>
      <c r="AH381" s="2496"/>
      <c r="AI381" s="2496"/>
      <c r="AJ381" s="2495"/>
      <c r="AK381" s="2495"/>
      <c r="AL381" s="2495"/>
      <c r="AM381" s="2495"/>
      <c r="AN381" s="2495"/>
      <c r="AO381" s="2495"/>
      <c r="AP381" s="2495"/>
      <c r="AQ381" s="2495"/>
      <c r="AR381" s="2495"/>
      <c r="AS381" s="2495"/>
      <c r="AT381" s="2495"/>
      <c r="AU381" s="2495"/>
    </row>
    <row r="382" spans="1:47" ht="13.15" customHeight="1">
      <c r="A382" s="1669"/>
      <c r="B382" s="1669"/>
      <c r="D382" s="3192" t="s">
        <v>2238</v>
      </c>
      <c r="E382" s="3198"/>
      <c r="F382" s="3198"/>
      <c r="G382" s="3198"/>
      <c r="H382" s="3198"/>
      <c r="I382" s="3198"/>
      <c r="J382" s="3196"/>
      <c r="K382" s="3202" t="str">
        <f>CONCATENATE("= ",ROUND(CALCULATIONS!GW8,1),"x")</f>
        <v>= 4,7x</v>
      </c>
      <c r="L382" s="2729" t="s">
        <v>2242</v>
      </c>
      <c r="M382" s="2440"/>
      <c r="N382" s="3214" t="str">
        <f>CONCATENATE("- With in simple peers avg, adj. EV/Ebitda = ",ROUND(CALCULATIONS!GU29,1),"x for the full historical period.")</f>
        <v>- With in simple peers avg, adj. EV/Ebitda = 5,2x for the full historical period.</v>
      </c>
      <c r="O382" s="3188"/>
      <c r="P382" s="3188"/>
      <c r="Q382" s="3188"/>
      <c r="R382" s="3188"/>
      <c r="S382" s="3188"/>
      <c r="T382" s="3188"/>
      <c r="U382" s="3188"/>
      <c r="V382" s="1330"/>
      <c r="W382" s="2495"/>
      <c r="X382" s="4135"/>
      <c r="Y382" s="4135"/>
      <c r="Z382" s="4135"/>
      <c r="AA382" s="4135"/>
      <c r="AB382" s="4135"/>
      <c r="AC382" s="4135"/>
      <c r="AD382" s="4135"/>
      <c r="AE382" s="4135"/>
      <c r="AF382" s="2496"/>
      <c r="AG382" s="2496"/>
      <c r="AH382" s="2496"/>
      <c r="AI382" s="2495"/>
      <c r="AJ382" s="2495"/>
      <c r="AK382" s="2495"/>
      <c r="AL382" s="2495"/>
      <c r="AM382" s="2495"/>
      <c r="AN382" s="2495"/>
      <c r="AO382" s="2495"/>
      <c r="AP382" s="2495"/>
      <c r="AQ382" s="2495"/>
      <c r="AR382" s="2495"/>
      <c r="AS382" s="2495"/>
      <c r="AT382" s="2495"/>
      <c r="AU382" s="2495"/>
    </row>
    <row r="383" spans="1:47" ht="13.15" customHeight="1">
      <c r="A383" s="1669"/>
      <c r="B383" s="1669"/>
      <c r="D383" s="3199" t="s">
        <v>2284</v>
      </c>
      <c r="E383" s="3196"/>
      <c r="F383" s="3196"/>
      <c r="G383" s="3196"/>
      <c r="H383" s="3196"/>
      <c r="I383" s="3196"/>
      <c r="J383" s="3196"/>
      <c r="K383" s="3204" t="str">
        <f>CONCATENATE("= ",ROUND(CALCULATIONS!GW26,1),"x")</f>
        <v>= 3,7x</v>
      </c>
      <c r="L383" s="3034" t="s">
        <v>2243</v>
      </c>
      <c r="M383" s="2440"/>
      <c r="N383" s="3201" t="s">
        <v>2252</v>
      </c>
      <c r="O383" s="3201"/>
      <c r="P383" s="3201"/>
      <c r="Q383" s="3201"/>
      <c r="R383" s="3201"/>
      <c r="S383" s="3201"/>
      <c r="T383" s="3201"/>
      <c r="U383" s="3201"/>
      <c r="V383" s="1330"/>
      <c r="W383" s="2495"/>
      <c r="X383" s="4135"/>
      <c r="Y383" s="4135"/>
      <c r="Z383" s="4135"/>
      <c r="AA383" s="4135"/>
      <c r="AB383" s="4135"/>
      <c r="AC383" s="4135"/>
      <c r="AD383" s="4135"/>
      <c r="AE383" s="4135"/>
      <c r="AF383" s="2496"/>
      <c r="AG383" s="3191"/>
      <c r="AH383" s="3191"/>
      <c r="AI383" s="2495"/>
      <c r="AJ383" s="2495"/>
      <c r="AK383" s="2495"/>
      <c r="AL383" s="2495"/>
      <c r="AM383" s="2495"/>
      <c r="AN383" s="2495"/>
      <c r="AO383" s="2495"/>
      <c r="AP383" s="2495"/>
      <c r="AQ383" s="2495"/>
      <c r="AR383" s="2495"/>
      <c r="AS383" s="2495"/>
      <c r="AT383" s="2495"/>
      <c r="AU383" s="2495"/>
    </row>
    <row r="384" spans="1:47" ht="12.75" customHeight="1">
      <c r="A384" s="1669"/>
      <c r="B384" s="3179"/>
      <c r="D384" s="3200" t="s">
        <v>2253</v>
      </c>
      <c r="E384" s="3197"/>
      <c r="F384" s="3197"/>
      <c r="G384" s="3197"/>
      <c r="H384" s="3197"/>
      <c r="I384" s="3197"/>
      <c r="J384" s="3196"/>
      <c r="K384" s="2730" t="str">
        <f>CONCATENATE("= ",ROUND(CALCULATIONS!GW22,1),"x")</f>
        <v>= 7,4x</v>
      </c>
      <c r="L384" s="2730" t="s">
        <v>2244</v>
      </c>
      <c r="M384" s="2440"/>
      <c r="N384" s="3218" t="s">
        <v>2254</v>
      </c>
      <c r="O384" s="3218"/>
      <c r="P384" s="3218"/>
      <c r="Q384" s="3218"/>
      <c r="R384" s="3218"/>
      <c r="S384" s="3218"/>
      <c r="T384" s="3218"/>
      <c r="U384" s="3218"/>
      <c r="V384" s="1330"/>
      <c r="W384" s="2495"/>
      <c r="X384" s="2496"/>
      <c r="Y384" s="3191"/>
      <c r="Z384" s="3191"/>
      <c r="AA384" s="3191"/>
      <c r="AB384" s="3191"/>
      <c r="AC384" s="3191"/>
      <c r="AD384" s="3191"/>
      <c r="AE384" s="3191"/>
      <c r="AF384" s="3191"/>
      <c r="AG384" s="3191"/>
      <c r="AH384" s="3191"/>
      <c r="AI384" s="2495"/>
      <c r="AJ384" s="2495"/>
      <c r="AK384" s="2495"/>
      <c r="AL384" s="2495"/>
      <c r="AM384" s="2495"/>
      <c r="AN384" s="2495"/>
      <c r="AO384" s="2495"/>
      <c r="AP384" s="2495"/>
      <c r="AQ384" s="2495"/>
      <c r="AR384" s="2495"/>
      <c r="AS384" s="2495"/>
      <c r="AT384" s="2495"/>
      <c r="AU384" s="2495"/>
    </row>
    <row r="385" spans="1:47" ht="13.15" customHeight="1">
      <c r="A385" s="3178"/>
      <c r="B385" s="3178"/>
      <c r="D385" s="2526" t="s">
        <v>2245</v>
      </c>
      <c r="E385" s="1659"/>
      <c r="F385" s="1659"/>
      <c r="G385" s="1659"/>
      <c r="H385" s="1659"/>
      <c r="I385" s="1659"/>
      <c r="J385" s="1659"/>
      <c r="K385" s="3205" t="str">
        <f>CONCATENATE("= ",ROUND(CALCULATIONS!GW9,1),"x")</f>
        <v>= 9x</v>
      </c>
      <c r="L385" s="3211" t="s">
        <v>2247</v>
      </c>
      <c r="M385" s="2440"/>
      <c r="N385" s="1336" t="s">
        <v>2255</v>
      </c>
      <c r="O385" s="154"/>
      <c r="P385" s="154"/>
      <c r="Q385" s="154"/>
      <c r="R385" s="154"/>
      <c r="S385" s="154"/>
      <c r="T385" s="154"/>
      <c r="U385" s="154"/>
      <c r="V385" s="1659"/>
      <c r="W385" s="2495"/>
      <c r="X385" s="2496"/>
      <c r="Y385" s="2496"/>
      <c r="Z385" s="2496"/>
      <c r="AA385" s="2496"/>
      <c r="AB385" s="2496"/>
      <c r="AC385" s="2496"/>
      <c r="AD385" s="2496"/>
      <c r="AE385" s="2496"/>
      <c r="AF385" s="2496"/>
      <c r="AG385" s="2496"/>
      <c r="AH385" s="2496"/>
      <c r="AI385" s="2495"/>
      <c r="AJ385" s="2495"/>
      <c r="AK385" s="2495"/>
      <c r="AL385" s="2495"/>
      <c r="AM385" s="2495"/>
      <c r="AN385" s="2495"/>
      <c r="AO385" s="2495"/>
      <c r="AP385" s="2495"/>
      <c r="AQ385" s="2495"/>
      <c r="AR385" s="2495"/>
      <c r="AS385" s="2495"/>
      <c r="AT385" s="2495"/>
      <c r="AU385" s="2495"/>
    </row>
    <row r="386" spans="1:47" ht="12.75" customHeight="1">
      <c r="A386" s="3178"/>
      <c r="B386" s="3178"/>
      <c r="D386" s="4064" t="s">
        <v>2246</v>
      </c>
      <c r="E386" s="4064"/>
      <c r="F386" s="4064"/>
      <c r="G386" s="4064"/>
      <c r="H386" s="4064"/>
      <c r="I386" s="4064"/>
      <c r="J386" s="3206"/>
      <c r="K386" s="3034" t="str">
        <f>CONCATENATE("= ",ROUND(CALCULATIONS!GW21,1),"x")</f>
        <v>= 4,9x</v>
      </c>
      <c r="L386" s="3034" t="s">
        <v>2248</v>
      </c>
      <c r="M386" s="2495"/>
      <c r="N386" s="4064" t="s">
        <v>2256</v>
      </c>
      <c r="O386" s="4064"/>
      <c r="P386" s="4064"/>
      <c r="Q386" s="4064"/>
      <c r="R386" s="4064"/>
      <c r="S386" s="4064"/>
      <c r="T386" s="4064"/>
      <c r="U386" s="4064"/>
      <c r="V386" s="1659"/>
      <c r="W386" s="2495"/>
      <c r="X386" s="2496"/>
      <c r="Y386" s="2496"/>
      <c r="Z386" s="2496"/>
      <c r="AA386" s="2496"/>
      <c r="AB386" s="2496"/>
      <c r="AC386" s="2496"/>
      <c r="AD386" s="2496"/>
      <c r="AE386" s="2496"/>
      <c r="AF386" s="2496"/>
      <c r="AG386" s="2496"/>
      <c r="AH386" s="2496"/>
      <c r="AI386" s="2495"/>
      <c r="AJ386" s="2495"/>
      <c r="AK386" s="2495"/>
      <c r="AL386" s="2495"/>
      <c r="AM386" s="2495"/>
      <c r="AN386" s="2495"/>
      <c r="AO386" s="2495"/>
      <c r="AP386" s="2495"/>
      <c r="AQ386" s="2495"/>
      <c r="AR386" s="2495"/>
      <c r="AS386" s="2495"/>
      <c r="AT386" s="2495"/>
      <c r="AU386" s="2495"/>
    </row>
    <row r="387" spans="1:47">
      <c r="A387" s="3178"/>
      <c r="B387" s="3178"/>
      <c r="D387" s="4064"/>
      <c r="E387" s="4064"/>
      <c r="F387" s="4064"/>
      <c r="G387" s="4064"/>
      <c r="H387" s="4064"/>
      <c r="I387" s="4064"/>
      <c r="J387" s="3206"/>
      <c r="K387" s="2729" t="s">
        <v>2289</v>
      </c>
      <c r="L387" s="2557"/>
      <c r="M387" s="2497"/>
      <c r="N387" s="4064"/>
      <c r="O387" s="4064"/>
      <c r="P387" s="4064"/>
      <c r="Q387" s="4064"/>
      <c r="R387" s="4064"/>
      <c r="S387" s="4064"/>
      <c r="T387" s="4064"/>
      <c r="U387" s="4064"/>
      <c r="V387" s="1659"/>
      <c r="W387" s="2495"/>
      <c r="X387" s="2496"/>
      <c r="Y387" s="2496"/>
      <c r="Z387" s="2496"/>
      <c r="AA387" s="2496"/>
      <c r="AB387" s="2496"/>
      <c r="AC387" s="2496"/>
      <c r="AD387" s="2496"/>
      <c r="AE387" s="2496"/>
      <c r="AF387" s="2496"/>
      <c r="AG387" s="2496"/>
      <c r="AH387" s="2496"/>
      <c r="AI387" s="2495"/>
      <c r="AJ387" s="2495"/>
      <c r="AK387" s="2495"/>
      <c r="AL387" s="2495"/>
      <c r="AM387" s="2495"/>
      <c r="AN387" s="2495"/>
      <c r="AO387" s="2495"/>
      <c r="AP387" s="2495"/>
      <c r="AQ387" s="2495"/>
      <c r="AR387" s="2495"/>
      <c r="AS387" s="2495"/>
      <c r="AT387" s="2495"/>
      <c r="AU387" s="2495"/>
    </row>
    <row r="388" spans="1:47" ht="13.15" customHeight="1">
      <c r="A388" s="3178"/>
      <c r="B388" s="3178"/>
      <c r="D388" s="3208" t="s">
        <v>2303</v>
      </c>
      <c r="E388" s="3209"/>
      <c r="F388" s="3209"/>
      <c r="G388" s="3209"/>
      <c r="H388" s="3209"/>
      <c r="I388" s="3209"/>
      <c r="J388" s="3071"/>
      <c r="K388" s="3219" t="str">
        <f>CONCATENATE("= ",ROUND(CALCULATIONS!GW13,1),"x")</f>
        <v>= 8,5x</v>
      </c>
      <c r="L388" s="3219" t="s">
        <v>2249</v>
      </c>
      <c r="M388" s="2497"/>
      <c r="N388" s="3210"/>
      <c r="O388" s="3210"/>
      <c r="P388" s="3210"/>
      <c r="Q388" s="3210"/>
      <c r="R388" s="3210"/>
      <c r="S388" s="3210"/>
      <c r="T388" s="3210"/>
      <c r="U388" s="3210"/>
      <c r="V388" s="1659"/>
      <c r="W388" s="2495"/>
      <c r="X388" s="2495"/>
      <c r="Y388" s="2495"/>
      <c r="Z388" s="2495"/>
      <c r="AA388" s="2495"/>
      <c r="AB388" s="2495"/>
      <c r="AC388" s="2495"/>
      <c r="AD388" s="2495"/>
      <c r="AE388" s="2495"/>
      <c r="AF388" s="2495"/>
      <c r="AG388" s="2495"/>
      <c r="AH388" s="2495"/>
      <c r="AI388" s="2495"/>
      <c r="AJ388" s="2495"/>
      <c r="AK388" s="2495"/>
      <c r="AL388" s="2495"/>
      <c r="AM388" s="2495"/>
      <c r="AN388" s="2495"/>
      <c r="AO388" s="2495"/>
      <c r="AP388" s="2495"/>
      <c r="AQ388" s="2495"/>
      <c r="AR388" s="2495"/>
      <c r="AS388" s="2495"/>
      <c r="AT388" s="2495"/>
      <c r="AU388" s="2495"/>
    </row>
    <row r="389" spans="1:47" ht="13.15" customHeight="1">
      <c r="A389" s="3178"/>
      <c r="B389" s="3178"/>
      <c r="D389" s="3212"/>
      <c r="E389" s="3201"/>
      <c r="F389" s="3201"/>
      <c r="G389" s="3201"/>
      <c r="H389" s="3201"/>
      <c r="I389" s="3201"/>
      <c r="J389" s="3067"/>
      <c r="K389" s="154"/>
      <c r="L389" s="3195"/>
      <c r="M389" s="2497"/>
      <c r="N389" s="154"/>
      <c r="O389" s="154"/>
      <c r="P389" s="154"/>
      <c r="Q389" s="154"/>
      <c r="R389" s="154"/>
      <c r="S389" s="154"/>
      <c r="T389" s="154"/>
      <c r="U389" s="1659"/>
      <c r="V389" s="1659"/>
      <c r="W389" s="2495"/>
      <c r="X389" s="2495"/>
      <c r="Y389" s="2495"/>
      <c r="Z389" s="2495"/>
      <c r="AA389" s="2495"/>
      <c r="AB389" s="2495"/>
      <c r="AC389" s="2495"/>
      <c r="AD389" s="2495"/>
      <c r="AE389" s="2495"/>
      <c r="AF389" s="2495"/>
      <c r="AG389" s="2495"/>
      <c r="AH389" s="2495"/>
      <c r="AI389" s="2495"/>
      <c r="AJ389" s="2495"/>
      <c r="AK389" s="2495"/>
      <c r="AL389" s="2495"/>
      <c r="AM389" s="2495"/>
      <c r="AN389" s="2495"/>
      <c r="AO389" s="2495"/>
      <c r="AP389" s="2495"/>
      <c r="AQ389" s="2495"/>
      <c r="AR389" s="2495"/>
      <c r="AS389" s="2495"/>
      <c r="AT389" s="2495"/>
      <c r="AU389" s="2495"/>
    </row>
    <row r="390" spans="1:47">
      <c r="A390" s="3178"/>
      <c r="B390" s="3178"/>
      <c r="D390" s="3246" t="s">
        <v>2300</v>
      </c>
      <c r="E390" s="3148"/>
      <c r="F390" s="3148"/>
      <c r="G390" s="3148"/>
      <c r="H390" s="3148"/>
      <c r="I390" s="3148"/>
      <c r="J390" s="3148"/>
      <c r="K390" s="77"/>
      <c r="L390" s="3195"/>
      <c r="M390" s="2497"/>
      <c r="N390" s="2496"/>
      <c r="O390" s="2496"/>
      <c r="P390" s="2496"/>
      <c r="Q390" s="2496"/>
      <c r="R390" s="2496"/>
      <c r="S390" s="2496"/>
      <c r="T390" s="2496"/>
      <c r="U390" s="2495"/>
      <c r="V390" s="2495"/>
      <c r="W390" s="2495"/>
      <c r="X390" s="2495"/>
      <c r="Y390" s="2495"/>
      <c r="Z390" s="2495"/>
      <c r="AA390" s="2495"/>
      <c r="AB390" s="2495"/>
      <c r="AC390" s="2495"/>
      <c r="AD390" s="2495"/>
      <c r="AE390" s="2495"/>
      <c r="AF390" s="2495"/>
      <c r="AG390" s="2495"/>
      <c r="AH390" s="2495"/>
      <c r="AI390" s="2495"/>
      <c r="AJ390" s="2495"/>
      <c r="AK390" s="2495"/>
      <c r="AL390" s="2495"/>
      <c r="AM390" s="2495"/>
      <c r="AN390" s="2495"/>
      <c r="AO390" s="2495"/>
      <c r="AP390" s="2495"/>
      <c r="AQ390" s="2495"/>
      <c r="AR390" s="2495"/>
      <c r="AS390" s="2495"/>
      <c r="AT390" s="2495"/>
      <c r="AU390" s="2495"/>
    </row>
    <row r="391" spans="1:47">
      <c r="A391" s="3178"/>
      <c r="B391" s="3178"/>
      <c r="D391" s="1302"/>
      <c r="E391" s="2958"/>
      <c r="F391" s="2958"/>
      <c r="G391" s="2958"/>
      <c r="H391" s="2958"/>
      <c r="I391" s="3091"/>
      <c r="J391" s="1659"/>
      <c r="K391" s="2958"/>
      <c r="L391" s="2662"/>
      <c r="M391" s="2497"/>
      <c r="N391" s="2496"/>
      <c r="O391" s="2496"/>
      <c r="P391" s="2496"/>
      <c r="Q391" s="2496"/>
      <c r="R391" s="2496"/>
      <c r="S391" s="2496"/>
      <c r="T391" s="2496"/>
      <c r="U391" s="2495"/>
      <c r="V391" s="2495"/>
      <c r="W391" s="2495"/>
      <c r="X391" s="2495"/>
      <c r="Y391" s="2495"/>
      <c r="Z391" s="2495"/>
      <c r="AA391" s="2495"/>
      <c r="AB391" s="2495"/>
      <c r="AC391" s="2495"/>
      <c r="AD391" s="2495"/>
      <c r="AE391" s="2495"/>
      <c r="AF391" s="2495"/>
      <c r="AG391" s="2495"/>
      <c r="AH391" s="2495"/>
      <c r="AI391" s="2495"/>
      <c r="AJ391" s="2495"/>
      <c r="AK391" s="2495"/>
      <c r="AL391" s="2495"/>
      <c r="AM391" s="2495"/>
      <c r="AN391" s="2495"/>
      <c r="AO391" s="2495"/>
      <c r="AP391" s="2495"/>
      <c r="AQ391" s="2495"/>
      <c r="AR391" s="2495"/>
      <c r="AS391" s="2495"/>
      <c r="AT391" s="2495"/>
      <c r="AU391" s="2495"/>
    </row>
    <row r="392" spans="1:47">
      <c r="A392" s="3178"/>
      <c r="B392" s="3178"/>
      <c r="D392" s="1302"/>
      <c r="E392" s="2958"/>
      <c r="F392" s="2958"/>
      <c r="G392" s="2958"/>
      <c r="H392" s="2958"/>
      <c r="I392" s="3091"/>
      <c r="J392" s="1659"/>
      <c r="K392" s="2958"/>
      <c r="L392" s="2662"/>
      <c r="M392" s="2497"/>
      <c r="N392" s="2496"/>
      <c r="O392" s="2496"/>
      <c r="P392" s="2496"/>
      <c r="Q392" s="2496"/>
      <c r="R392" s="2496"/>
      <c r="S392" s="2496"/>
      <c r="T392" s="2496"/>
      <c r="U392" s="2495"/>
      <c r="V392" s="2495"/>
      <c r="W392" s="2495"/>
      <c r="X392" s="2495"/>
      <c r="Y392" s="2495"/>
      <c r="Z392" s="2495"/>
      <c r="AA392" s="2495"/>
      <c r="AB392" s="2495"/>
      <c r="AC392" s="2495"/>
      <c r="AD392" s="2495"/>
      <c r="AE392" s="2495"/>
      <c r="AF392" s="2495"/>
      <c r="AG392" s="2495"/>
      <c r="AH392" s="2495"/>
      <c r="AI392" s="2495"/>
      <c r="AJ392" s="2495"/>
      <c r="AK392" s="2495"/>
      <c r="AL392" s="2495"/>
      <c r="AM392" s="2495"/>
      <c r="AN392" s="2495"/>
      <c r="AO392" s="2495"/>
      <c r="AP392" s="2495"/>
      <c r="AQ392" s="2495"/>
      <c r="AR392" s="2495"/>
      <c r="AS392" s="2495"/>
      <c r="AT392" s="2495"/>
      <c r="AU392" s="2495"/>
    </row>
    <row r="393" spans="1:47" ht="12.75" customHeight="1">
      <c r="A393" s="3053" t="s">
        <v>2259</v>
      </c>
      <c r="B393" s="3054"/>
      <c r="D393" s="4147" t="s">
        <v>2309</v>
      </c>
      <c r="E393" s="4147"/>
      <c r="F393" s="4147"/>
      <c r="G393" s="4147"/>
      <c r="H393" s="2958"/>
      <c r="I393" s="3176" t="s">
        <v>2401</v>
      </c>
      <c r="J393" s="1659"/>
      <c r="K393" s="2958"/>
      <c r="L393" s="2662"/>
      <c r="M393" s="2497"/>
      <c r="N393" s="2496"/>
      <c r="O393" s="2496"/>
      <c r="P393" s="2496"/>
      <c r="Q393" s="2496"/>
      <c r="R393" s="2496"/>
      <c r="S393" s="2496"/>
      <c r="T393" s="2496"/>
      <c r="U393" s="2495"/>
      <c r="V393" s="2495"/>
      <c r="W393" s="2495"/>
      <c r="X393" s="2495"/>
      <c r="Y393" s="2495"/>
      <c r="Z393" s="2495"/>
      <c r="AA393" s="2495"/>
      <c r="AB393" s="2495"/>
      <c r="AC393" s="2495"/>
      <c r="AD393" s="2495"/>
      <c r="AE393" s="2495"/>
      <c r="AF393" s="2495"/>
      <c r="AG393" s="2495"/>
      <c r="AH393" s="2495"/>
      <c r="AI393" s="2495"/>
      <c r="AJ393" s="2495"/>
      <c r="AK393" s="2495"/>
      <c r="AL393" s="2495"/>
      <c r="AM393" s="2495"/>
      <c r="AN393" s="2495"/>
      <c r="AO393" s="2495"/>
      <c r="AP393" s="2495"/>
      <c r="AQ393" s="2495"/>
      <c r="AR393" s="2495"/>
      <c r="AS393" s="2495"/>
      <c r="AT393" s="2495"/>
      <c r="AU393" s="2495"/>
    </row>
    <row r="394" spans="1:47">
      <c r="A394" s="3178"/>
      <c r="B394" s="3178"/>
      <c r="D394" s="4147"/>
      <c r="E394" s="4147"/>
      <c r="F394" s="4147"/>
      <c r="G394" s="4147"/>
      <c r="H394" s="2958"/>
      <c r="I394" s="3091"/>
      <c r="J394" s="1659"/>
      <c r="K394" s="2958"/>
      <c r="L394" s="2662"/>
      <c r="M394" s="2497"/>
      <c r="N394" s="2496"/>
      <c r="O394" s="2496"/>
      <c r="P394" s="2496"/>
      <c r="Q394" s="2496"/>
      <c r="R394" s="2496"/>
      <c r="S394" s="2496"/>
      <c r="T394" s="2496"/>
      <c r="U394" s="2495"/>
      <c r="V394" s="2495"/>
      <c r="W394" s="2495"/>
      <c r="X394" s="2495"/>
      <c r="Y394" s="2495"/>
      <c r="Z394" s="2495"/>
      <c r="AA394" s="2495"/>
      <c r="AB394" s="2495"/>
      <c r="AC394" s="2495"/>
      <c r="AD394" s="2495"/>
      <c r="AE394" s="2495"/>
      <c r="AF394" s="2495"/>
      <c r="AG394" s="2495"/>
      <c r="AH394" s="2495"/>
      <c r="AI394" s="2495"/>
      <c r="AJ394" s="2495"/>
      <c r="AK394" s="2495"/>
      <c r="AL394" s="2495"/>
      <c r="AM394" s="2495"/>
      <c r="AN394" s="2495"/>
      <c r="AO394" s="2495"/>
      <c r="AP394" s="2495"/>
      <c r="AQ394" s="2495"/>
      <c r="AR394" s="2495"/>
      <c r="AS394" s="2495"/>
      <c r="AT394" s="2495"/>
      <c r="AU394" s="2495"/>
    </row>
    <row r="395" spans="1:47">
      <c r="A395" s="3178"/>
      <c r="B395" s="3178"/>
      <c r="D395" s="4147"/>
      <c r="E395" s="4147"/>
      <c r="F395" s="4147"/>
      <c r="G395" s="4147"/>
      <c r="H395" s="2958"/>
      <c r="I395" s="3091"/>
      <c r="J395" s="1659"/>
      <c r="K395" s="2958"/>
      <c r="L395" s="2662"/>
      <c r="M395" s="2497"/>
      <c r="N395" s="2496"/>
      <c r="O395" s="2496"/>
      <c r="P395" s="2496"/>
      <c r="Q395" s="2496"/>
      <c r="R395" s="2496"/>
      <c r="S395" s="2496"/>
      <c r="T395" s="2496"/>
      <c r="U395" s="2495"/>
      <c r="V395" s="2495"/>
      <c r="W395" s="2495"/>
      <c r="X395" s="2495"/>
      <c r="Y395" s="2495"/>
      <c r="Z395" s="2495"/>
      <c r="AA395" s="2495"/>
      <c r="AB395" s="2495"/>
      <c r="AC395" s="2495"/>
      <c r="AD395" s="2495"/>
      <c r="AE395" s="2495"/>
      <c r="AF395" s="2495"/>
      <c r="AG395" s="2495"/>
      <c r="AH395" s="2495"/>
      <c r="AI395" s="2495"/>
      <c r="AJ395" s="2495"/>
      <c r="AK395" s="2495"/>
      <c r="AL395" s="2495"/>
      <c r="AM395" s="2495"/>
      <c r="AN395" s="2495"/>
      <c r="AO395" s="2495"/>
      <c r="AP395" s="2495"/>
      <c r="AQ395" s="2495"/>
      <c r="AR395" s="2495"/>
      <c r="AS395" s="2495"/>
      <c r="AT395" s="2495"/>
      <c r="AU395" s="2495"/>
    </row>
    <row r="396" spans="1:47">
      <c r="A396" s="3178"/>
      <c r="B396" s="3178"/>
      <c r="D396" s="4147"/>
      <c r="E396" s="4147"/>
      <c r="F396" s="4147"/>
      <c r="G396" s="4147"/>
      <c r="H396" s="2958"/>
      <c r="I396" s="3091"/>
      <c r="J396" s="3091"/>
      <c r="K396" s="2958"/>
      <c r="L396" s="2662"/>
      <c r="M396" s="2497"/>
      <c r="N396" s="2496"/>
      <c r="O396" s="2496"/>
      <c r="P396" s="2496"/>
      <c r="Q396" s="2496"/>
      <c r="R396" s="2496"/>
      <c r="S396" s="2496"/>
      <c r="T396" s="2496"/>
      <c r="U396" s="2495"/>
      <c r="V396" s="2495"/>
      <c r="W396" s="2495"/>
      <c r="X396" s="2495"/>
      <c r="Y396" s="2495"/>
      <c r="Z396" s="2495"/>
      <c r="AA396" s="2495"/>
      <c r="AB396" s="2495"/>
      <c r="AC396" s="2495"/>
      <c r="AD396" s="2495"/>
      <c r="AE396" s="2495"/>
      <c r="AF396" s="2495"/>
      <c r="AG396" s="2495"/>
      <c r="AH396" s="2495"/>
      <c r="AI396" s="2495"/>
      <c r="AJ396" s="2495"/>
      <c r="AK396" s="2495"/>
      <c r="AL396" s="2495"/>
      <c r="AM396" s="2495"/>
      <c r="AN396" s="2495"/>
      <c r="AO396" s="2495"/>
      <c r="AP396" s="2495"/>
      <c r="AQ396" s="2495"/>
      <c r="AR396" s="2495"/>
      <c r="AS396" s="2495"/>
      <c r="AT396" s="2495"/>
      <c r="AU396" s="2495"/>
    </row>
    <row r="397" spans="1:47">
      <c r="A397" s="3178"/>
      <c r="B397" s="3178"/>
      <c r="D397" s="4147" t="s">
        <v>2308</v>
      </c>
      <c r="E397" s="4147"/>
      <c r="F397" s="4147"/>
      <c r="G397" s="4147"/>
      <c r="H397" s="2958"/>
      <c r="I397" s="3091"/>
      <c r="J397" s="3091"/>
      <c r="K397" s="2958"/>
      <c r="L397" s="2662"/>
      <c r="M397" s="2497"/>
      <c r="N397" s="2496"/>
      <c r="O397" s="2496"/>
      <c r="P397" s="2496"/>
      <c r="Q397" s="2496"/>
      <c r="R397" s="2496"/>
      <c r="S397" s="2496"/>
      <c r="T397" s="2496"/>
      <c r="U397" s="2495"/>
      <c r="V397" s="2495"/>
      <c r="W397" s="2495"/>
      <c r="X397" s="2495"/>
      <c r="Y397" s="2495"/>
      <c r="Z397" s="2495"/>
      <c r="AA397" s="2495"/>
      <c r="AB397" s="2495"/>
      <c r="AC397" s="2495"/>
      <c r="AD397" s="2495"/>
      <c r="AE397" s="2495"/>
      <c r="AF397" s="2495"/>
      <c r="AG397" s="2495"/>
      <c r="AH397" s="2495"/>
      <c r="AI397" s="2495"/>
      <c r="AJ397" s="2495"/>
      <c r="AK397" s="2495"/>
      <c r="AL397" s="2495"/>
      <c r="AM397" s="2495"/>
      <c r="AN397" s="2495"/>
      <c r="AO397" s="2495"/>
      <c r="AP397" s="2495"/>
      <c r="AQ397" s="2495"/>
      <c r="AR397" s="2495"/>
      <c r="AS397" s="2495"/>
      <c r="AT397" s="2495"/>
      <c r="AU397" s="2495"/>
    </row>
    <row r="398" spans="1:47" ht="12.75" customHeight="1">
      <c r="A398" s="3178"/>
      <c r="B398" s="3178"/>
      <c r="D398" s="4147"/>
      <c r="E398" s="4147"/>
      <c r="F398" s="4147"/>
      <c r="G398" s="4147"/>
      <c r="H398" s="2958"/>
      <c r="I398" s="3091"/>
      <c r="J398" s="3091"/>
      <c r="K398" s="2958"/>
      <c r="L398" s="2662"/>
      <c r="M398" s="2497"/>
      <c r="N398" s="2496"/>
      <c r="O398" s="2496"/>
      <c r="P398" s="2496"/>
      <c r="Q398" s="2496"/>
      <c r="R398" s="2496"/>
      <c r="S398" s="2496"/>
      <c r="T398" s="2496"/>
      <c r="U398" s="2495"/>
      <c r="V398" s="2495"/>
      <c r="W398" s="2495"/>
      <c r="X398" s="2495"/>
      <c r="Y398" s="2495"/>
      <c r="Z398" s="2495"/>
      <c r="AA398" s="2495"/>
      <c r="AB398" s="2495"/>
      <c r="AC398" s="2495"/>
      <c r="AD398" s="2495"/>
      <c r="AE398" s="2495"/>
      <c r="AF398" s="2495"/>
      <c r="AG398" s="2495"/>
      <c r="AH398" s="2495"/>
      <c r="AI398" s="2495"/>
      <c r="AJ398" s="2495"/>
      <c r="AK398" s="2495"/>
      <c r="AL398" s="2495"/>
      <c r="AM398" s="2495"/>
      <c r="AN398" s="2495"/>
      <c r="AO398" s="2495"/>
      <c r="AP398" s="2495"/>
      <c r="AQ398" s="2495"/>
      <c r="AR398" s="2495"/>
      <c r="AS398" s="2495"/>
      <c r="AT398" s="2495"/>
      <c r="AU398" s="2495"/>
    </row>
    <row r="399" spans="1:47">
      <c r="A399" s="3178"/>
      <c r="B399" s="3178"/>
      <c r="D399" s="4147"/>
      <c r="E399" s="4147"/>
      <c r="F399" s="4147"/>
      <c r="G399" s="4147"/>
      <c r="H399" s="2958"/>
      <c r="I399" s="3091"/>
      <c r="J399" s="3091"/>
      <c r="K399" s="2958"/>
      <c r="L399" s="2662"/>
      <c r="M399" s="2497"/>
      <c r="N399" s="2496"/>
      <c r="O399" s="2496"/>
      <c r="P399" s="2496"/>
      <c r="Q399" s="2496"/>
      <c r="R399" s="2496"/>
      <c r="S399" s="2496"/>
      <c r="T399" s="2496"/>
      <c r="U399" s="2495"/>
      <c r="V399" s="2495"/>
      <c r="W399" s="2495"/>
      <c r="X399" s="2495"/>
      <c r="Y399" s="2495"/>
      <c r="Z399" s="2495"/>
      <c r="AA399" s="2495"/>
      <c r="AB399" s="2495"/>
      <c r="AC399" s="2495"/>
      <c r="AD399" s="2495"/>
      <c r="AE399" s="2495"/>
      <c r="AF399" s="2495"/>
      <c r="AG399" s="2495"/>
      <c r="AH399" s="2495"/>
      <c r="AI399" s="2495"/>
      <c r="AJ399" s="2495"/>
      <c r="AK399" s="2495"/>
      <c r="AL399" s="2495"/>
      <c r="AM399" s="2495"/>
      <c r="AN399" s="2495"/>
      <c r="AO399" s="2495"/>
      <c r="AP399" s="2495"/>
      <c r="AQ399" s="2495"/>
      <c r="AR399" s="2495"/>
      <c r="AS399" s="2495"/>
      <c r="AT399" s="2495"/>
      <c r="AU399" s="2495"/>
    </row>
    <row r="400" spans="1:47">
      <c r="A400" s="3178"/>
      <c r="B400" s="3178"/>
      <c r="D400" s="4147"/>
      <c r="E400" s="4147"/>
      <c r="F400" s="4147"/>
      <c r="G400" s="4147"/>
      <c r="H400" s="2958"/>
      <c r="I400" s="3091"/>
      <c r="J400" s="3091"/>
      <c r="K400" s="2958"/>
      <c r="L400" s="2662"/>
      <c r="M400" s="2497"/>
      <c r="N400" s="2496"/>
      <c r="O400" s="2496"/>
      <c r="P400" s="2496"/>
      <c r="Q400" s="2496"/>
      <c r="R400" s="2496"/>
      <c r="S400" s="2496"/>
      <c r="T400" s="2496"/>
      <c r="U400" s="2495"/>
      <c r="V400" s="2495"/>
      <c r="W400" s="2495"/>
      <c r="X400" s="2495"/>
      <c r="Y400" s="2495"/>
      <c r="Z400" s="2495"/>
      <c r="AA400" s="2495"/>
      <c r="AB400" s="2495"/>
      <c r="AC400" s="2495"/>
      <c r="AD400" s="2495"/>
      <c r="AE400" s="2495"/>
      <c r="AF400" s="2495"/>
      <c r="AG400" s="2495"/>
      <c r="AH400" s="2495"/>
      <c r="AI400" s="2495"/>
      <c r="AJ400" s="2495"/>
      <c r="AK400" s="2495"/>
      <c r="AL400" s="2495"/>
      <c r="AM400" s="2495"/>
      <c r="AN400" s="2495"/>
      <c r="AO400" s="2495"/>
      <c r="AP400" s="2495"/>
      <c r="AQ400" s="2495"/>
      <c r="AR400" s="2495"/>
      <c r="AS400" s="2495"/>
      <c r="AT400" s="2495"/>
      <c r="AU400" s="2495"/>
    </row>
    <row r="401" spans="1:49">
      <c r="A401" s="3178"/>
      <c r="B401" s="3178"/>
      <c r="D401" s="4147"/>
      <c r="E401" s="4147"/>
      <c r="F401" s="4147"/>
      <c r="G401" s="4147"/>
      <c r="H401" s="2958"/>
      <c r="I401" s="3091"/>
      <c r="J401" s="3091"/>
      <c r="K401" s="2958"/>
      <c r="L401" s="2662"/>
      <c r="M401" s="2497"/>
      <c r="N401" s="2496"/>
      <c r="O401" s="2496"/>
      <c r="P401" s="2496"/>
      <c r="Q401" s="2496"/>
      <c r="R401" s="2496"/>
      <c r="S401" s="2496"/>
      <c r="T401" s="2496"/>
      <c r="U401" s="2495"/>
      <c r="V401" s="2495"/>
      <c r="W401" s="2495"/>
      <c r="X401" s="2495"/>
      <c r="Y401" s="2495"/>
      <c r="Z401" s="2495"/>
      <c r="AA401" s="2495"/>
      <c r="AB401" s="2495"/>
      <c r="AC401" s="2495"/>
      <c r="AD401" s="2495"/>
      <c r="AE401" s="2495"/>
      <c r="AF401" s="2495"/>
      <c r="AG401" s="2495"/>
      <c r="AH401" s="2495"/>
      <c r="AI401" s="2495"/>
      <c r="AJ401" s="2495"/>
      <c r="AK401" s="2495"/>
      <c r="AL401" s="2495"/>
      <c r="AM401" s="2495"/>
      <c r="AN401" s="2495"/>
      <c r="AO401" s="2495"/>
      <c r="AP401" s="2495"/>
      <c r="AQ401" s="2495"/>
      <c r="AR401" s="2495"/>
      <c r="AS401" s="2495"/>
      <c r="AT401" s="2495"/>
      <c r="AU401" s="2495"/>
    </row>
    <row r="402" spans="1:49">
      <c r="A402" s="3178"/>
      <c r="B402" s="3178"/>
      <c r="D402" s="1302"/>
      <c r="E402" s="2958"/>
      <c r="F402" s="2958"/>
      <c r="G402" s="2958"/>
      <c r="H402" s="2958"/>
      <c r="I402" s="3091"/>
      <c r="J402" s="3091"/>
      <c r="K402" s="2958"/>
      <c r="L402" s="2662"/>
      <c r="M402" s="2497"/>
      <c r="N402" s="2496"/>
      <c r="O402" s="2496"/>
      <c r="P402" s="2496"/>
      <c r="Q402" s="2496"/>
      <c r="R402" s="2496"/>
      <c r="S402" s="2496"/>
      <c r="T402" s="2496"/>
      <c r="U402" s="2495"/>
      <c r="V402" s="2495"/>
      <c r="W402" s="2495"/>
      <c r="X402" s="2495"/>
      <c r="Y402" s="2495"/>
      <c r="Z402" s="2495"/>
      <c r="AA402" s="2495"/>
      <c r="AB402" s="2495"/>
      <c r="AC402" s="2495"/>
      <c r="AD402" s="2495"/>
      <c r="AE402" s="2495"/>
      <c r="AF402" s="2495"/>
      <c r="AG402" s="2495"/>
      <c r="AH402" s="2495"/>
      <c r="AI402" s="2495"/>
      <c r="AJ402" s="2495"/>
      <c r="AK402" s="2495"/>
      <c r="AL402" s="2495"/>
      <c r="AM402" s="2495"/>
      <c r="AN402" s="2495"/>
      <c r="AO402" s="2495"/>
      <c r="AP402" s="2495"/>
      <c r="AQ402" s="2495"/>
      <c r="AR402" s="2495"/>
      <c r="AS402" s="2495"/>
      <c r="AT402" s="2495"/>
      <c r="AU402" s="2495"/>
    </row>
    <row r="403" spans="1:49">
      <c r="A403" s="3178"/>
      <c r="B403" s="3178"/>
      <c r="D403" s="1302"/>
      <c r="E403" s="3258" t="s">
        <v>38</v>
      </c>
      <c r="F403" s="3258" t="s">
        <v>37</v>
      </c>
      <c r="G403" s="3258" t="s">
        <v>36</v>
      </c>
      <c r="H403" s="2958"/>
      <c r="I403" s="3091"/>
      <c r="J403" s="3091"/>
      <c r="K403" s="2958"/>
      <c r="L403" s="2662"/>
      <c r="M403" s="2497"/>
      <c r="N403" s="2496"/>
      <c r="O403" s="2496"/>
      <c r="P403" s="2496"/>
      <c r="Q403" s="2496"/>
      <c r="R403" s="2496"/>
      <c r="S403" s="2496"/>
      <c r="T403" s="2496"/>
      <c r="U403" s="2495"/>
      <c r="V403" s="2495"/>
      <c r="W403" s="2495"/>
      <c r="X403" s="2495"/>
      <c r="Y403" s="2495"/>
      <c r="Z403" s="2495"/>
      <c r="AA403" s="2495"/>
      <c r="AB403" s="2495"/>
      <c r="AC403" s="2495"/>
      <c r="AD403" s="2495"/>
      <c r="AE403" s="2495"/>
      <c r="AF403" s="2495"/>
      <c r="AG403" s="2495"/>
      <c r="AH403" s="2495"/>
      <c r="AI403" s="2495"/>
      <c r="AJ403" s="2495"/>
      <c r="AK403" s="2495"/>
      <c r="AL403" s="2495"/>
      <c r="AM403" s="2495"/>
      <c r="AN403" s="2495"/>
      <c r="AO403" s="2495"/>
      <c r="AP403" s="2495"/>
      <c r="AQ403" s="2495"/>
      <c r="AR403" s="2495"/>
      <c r="AS403" s="2495"/>
      <c r="AT403" s="2495"/>
      <c r="AU403" s="2495"/>
    </row>
    <row r="404" spans="1:49">
      <c r="A404" s="3244" t="s">
        <v>2326</v>
      </c>
      <c r="B404" s="920"/>
      <c r="D404" s="1302"/>
      <c r="E404" s="3283">
        <f>ROUND(CALCULATIONS!FY48,1)</f>
        <v>0</v>
      </c>
      <c r="F404" s="3283">
        <f>ROUND(CALCULATIONS!FY46,1)</f>
        <v>0</v>
      </c>
      <c r="G404" s="3283">
        <f>ROUND(CALCULATIONS!FY47,1)</f>
        <v>0.3</v>
      </c>
      <c r="H404" s="2958"/>
      <c r="I404" s="3091"/>
      <c r="J404" s="3091"/>
      <c r="K404" s="2958"/>
      <c r="L404" s="2662"/>
      <c r="M404" s="2497"/>
      <c r="N404" s="2496"/>
      <c r="O404" s="2496"/>
      <c r="P404" s="2496"/>
      <c r="Q404" s="2496"/>
      <c r="R404" s="2496"/>
      <c r="S404" s="2496"/>
      <c r="T404" s="2496"/>
      <c r="U404" s="2495"/>
      <c r="V404" s="2495"/>
      <c r="W404" s="2495"/>
      <c r="X404" s="2495"/>
      <c r="Y404" s="2495"/>
      <c r="Z404" s="2495"/>
      <c r="AA404" s="2495"/>
      <c r="AB404" s="2495"/>
      <c r="AC404" s="2495"/>
      <c r="AD404" s="2495"/>
      <c r="AE404" s="2495"/>
      <c r="AF404" s="2495"/>
      <c r="AG404" s="2495"/>
      <c r="AH404" s="2495"/>
      <c r="AI404" s="2495"/>
      <c r="AJ404" s="2495"/>
      <c r="AK404" s="2495"/>
      <c r="AL404" s="2495"/>
      <c r="AM404" s="2495"/>
      <c r="AN404" s="2495"/>
      <c r="AO404" s="2495"/>
      <c r="AP404" s="2495"/>
      <c r="AQ404" s="2495"/>
      <c r="AR404" s="2495"/>
      <c r="AS404" s="2495"/>
      <c r="AT404" s="2495"/>
      <c r="AU404" s="2495"/>
    </row>
    <row r="405" spans="1:49">
      <c r="A405" s="3178"/>
      <c r="B405" s="3178"/>
      <c r="D405" s="1302"/>
      <c r="E405" s="1659"/>
      <c r="F405" s="1659"/>
      <c r="G405" s="1659"/>
      <c r="H405" s="2958"/>
      <c r="I405" s="3091"/>
      <c r="J405" s="3091"/>
      <c r="K405" s="2958"/>
      <c r="L405" s="2662"/>
      <c r="M405" s="2497"/>
      <c r="N405" s="2496"/>
      <c r="O405" s="2496"/>
      <c r="P405" s="2496"/>
      <c r="Q405" s="2496"/>
      <c r="R405" s="2496"/>
      <c r="S405" s="2496"/>
      <c r="T405" s="2496"/>
      <c r="U405" s="2495"/>
      <c r="V405" s="2495"/>
      <c r="W405" s="2495"/>
      <c r="X405" s="2495"/>
      <c r="Y405" s="2495"/>
      <c r="Z405" s="2495"/>
      <c r="AA405" s="2495"/>
      <c r="AB405" s="2495"/>
      <c r="AC405" s="2495"/>
      <c r="AD405" s="2495"/>
      <c r="AE405" s="2495"/>
      <c r="AF405" s="2495"/>
      <c r="AG405" s="2495"/>
      <c r="AH405" s="2495"/>
      <c r="AI405" s="2495"/>
      <c r="AJ405" s="2495"/>
      <c r="AK405" s="2495"/>
      <c r="AL405" s="2495"/>
      <c r="AM405" s="2495"/>
      <c r="AN405" s="2495"/>
      <c r="AO405" s="2495"/>
      <c r="AP405" s="2495"/>
      <c r="AQ405" s="2495"/>
      <c r="AR405" s="2495"/>
      <c r="AS405" s="2495"/>
      <c r="AT405" s="2495"/>
      <c r="AU405" s="2495"/>
    </row>
    <row r="406" spans="1:49">
      <c r="A406" s="3178"/>
      <c r="B406" s="3178"/>
      <c r="D406" s="1302"/>
      <c r="E406" s="2958"/>
      <c r="F406" s="2958"/>
      <c r="G406" s="2958"/>
      <c r="H406" s="2958"/>
      <c r="I406" s="3091"/>
      <c r="J406" s="3091"/>
      <c r="K406" s="2958"/>
      <c r="L406" s="2662"/>
      <c r="M406" s="2497"/>
      <c r="N406" s="2496"/>
      <c r="O406" s="2496"/>
      <c r="P406" s="2496"/>
      <c r="Q406" s="2496"/>
      <c r="R406" s="2496"/>
      <c r="S406" s="2496"/>
      <c r="T406" s="2496"/>
      <c r="U406" s="2495"/>
      <c r="V406" s="2495"/>
      <c r="W406" s="2495"/>
      <c r="X406" s="2495"/>
      <c r="Y406" s="2495"/>
      <c r="Z406" s="2495"/>
      <c r="AA406" s="2495"/>
      <c r="AB406" s="2495"/>
      <c r="AC406" s="2495"/>
      <c r="AD406" s="2495"/>
      <c r="AE406" s="2495"/>
      <c r="AF406" s="2495"/>
      <c r="AG406" s="2495"/>
      <c r="AH406" s="2495"/>
      <c r="AI406" s="2495"/>
      <c r="AJ406" s="2495"/>
      <c r="AK406" s="2495"/>
      <c r="AL406" s="2495"/>
      <c r="AM406" s="2495"/>
      <c r="AN406" s="2495"/>
      <c r="AO406" s="2495"/>
      <c r="AP406" s="2495"/>
      <c r="AQ406" s="2495"/>
      <c r="AR406" s="2495"/>
      <c r="AS406" s="2495"/>
      <c r="AT406" s="2495"/>
      <c r="AU406" s="2495"/>
    </row>
    <row r="407" spans="1:49">
      <c r="A407" s="3178"/>
      <c r="B407" s="3178"/>
      <c r="D407" s="1302"/>
      <c r="E407" s="2958"/>
      <c r="F407" s="2958"/>
      <c r="G407" s="2958"/>
      <c r="H407" s="2958"/>
      <c r="I407" s="3091"/>
      <c r="J407" s="3091"/>
      <c r="K407" s="2958"/>
      <c r="L407" s="2662"/>
      <c r="M407" s="2497"/>
      <c r="N407" s="2496"/>
      <c r="O407" s="2496"/>
      <c r="P407" s="2496"/>
      <c r="Q407" s="2496"/>
      <c r="R407" s="2496"/>
      <c r="S407" s="2496"/>
      <c r="T407" s="2496"/>
      <c r="U407" s="2495"/>
      <c r="V407" s="2495"/>
      <c r="W407" s="2495"/>
      <c r="X407" s="2495"/>
      <c r="Y407" s="2495"/>
      <c r="Z407" s="2495"/>
      <c r="AA407" s="2495"/>
      <c r="AB407" s="2495"/>
      <c r="AC407" s="2495"/>
      <c r="AD407" s="2495"/>
      <c r="AE407" s="2495"/>
      <c r="AF407" s="2495"/>
      <c r="AG407" s="2495"/>
      <c r="AH407" s="2495"/>
      <c r="AI407" s="2495"/>
      <c r="AJ407" s="2495"/>
      <c r="AK407" s="2495"/>
      <c r="AL407" s="2495"/>
      <c r="AM407" s="2495"/>
      <c r="AN407" s="2495"/>
      <c r="AO407" s="2495"/>
      <c r="AP407" s="2495"/>
      <c r="AQ407" s="2495"/>
      <c r="AR407" s="2495"/>
      <c r="AS407" s="2495"/>
      <c r="AT407" s="2495"/>
      <c r="AU407" s="2495"/>
    </row>
    <row r="408" spans="1:49" s="2502" customFormat="1" ht="3" customHeight="1">
      <c r="B408" s="2516"/>
      <c r="C408" s="2517"/>
      <c r="D408" s="2518"/>
      <c r="I408" s="2519"/>
      <c r="J408" s="2519"/>
      <c r="K408" s="2520"/>
      <c r="L408" s="2521"/>
      <c r="AW408" s="2517"/>
    </row>
    <row r="409" spans="1:49">
      <c r="A409" s="3178"/>
      <c r="B409" s="3178"/>
      <c r="D409" s="2658"/>
      <c r="E409" s="2571"/>
      <c r="F409" s="2571"/>
      <c r="G409" s="2571"/>
      <c r="H409" s="2571"/>
      <c r="I409" s="2572"/>
      <c r="J409" s="2572"/>
      <c r="K409" s="2571"/>
      <c r="L409" s="2662"/>
      <c r="M409" s="2497"/>
      <c r="N409" s="2496"/>
      <c r="O409" s="2496"/>
      <c r="P409" s="2496"/>
      <c r="Q409" s="2496"/>
      <c r="R409" s="2496"/>
      <c r="S409" s="2496"/>
      <c r="T409" s="2496"/>
      <c r="U409" s="2495"/>
      <c r="V409" s="2495"/>
      <c r="W409" s="2495"/>
      <c r="X409" s="2495"/>
      <c r="Y409" s="2495"/>
      <c r="Z409" s="2495"/>
      <c r="AA409" s="2495"/>
      <c r="AB409" s="2495"/>
      <c r="AC409" s="2495"/>
      <c r="AD409" s="2495"/>
      <c r="AE409" s="2495"/>
      <c r="AF409" s="2495"/>
      <c r="AG409" s="2495"/>
      <c r="AH409" s="2495"/>
      <c r="AI409" s="2495"/>
      <c r="AJ409" s="2495"/>
      <c r="AK409" s="2495"/>
      <c r="AL409" s="2495"/>
      <c r="AM409" s="2495"/>
      <c r="AN409" s="2495"/>
      <c r="AO409" s="2495"/>
      <c r="AP409" s="2495"/>
      <c r="AQ409" s="2495"/>
      <c r="AR409" s="2495"/>
      <c r="AS409" s="2495"/>
      <c r="AT409" s="2495"/>
      <c r="AU409" s="2495"/>
    </row>
    <row r="410" spans="1:49">
      <c r="A410" s="3053" t="s">
        <v>2312</v>
      </c>
      <c r="B410" s="3054"/>
      <c r="D410" s="3118" t="s">
        <v>2260</v>
      </c>
      <c r="E410" s="72"/>
      <c r="F410" s="72"/>
      <c r="G410" s="72"/>
      <c r="H410" s="72"/>
      <c r="I410" s="1329"/>
      <c r="J410" s="1329"/>
      <c r="K410" s="2571"/>
      <c r="L410" s="2662"/>
      <c r="M410" s="2497"/>
      <c r="N410" s="2496"/>
      <c r="O410" s="2496"/>
      <c r="P410" s="2496"/>
      <c r="Q410" s="2496"/>
      <c r="R410" s="2496"/>
      <c r="S410" s="2496"/>
      <c r="T410" s="2496"/>
      <c r="U410" s="2495"/>
      <c r="V410" s="2495"/>
      <c r="W410" s="2495"/>
      <c r="X410" s="2495"/>
      <c r="Y410" s="2495"/>
      <c r="Z410" s="2495"/>
      <c r="AA410" s="2495"/>
      <c r="AB410" s="2495"/>
      <c r="AC410" s="2495"/>
      <c r="AD410" s="2495"/>
      <c r="AE410" s="2495"/>
      <c r="AF410" s="2495"/>
      <c r="AG410" s="2495"/>
      <c r="AH410" s="2495"/>
      <c r="AI410" s="2495"/>
      <c r="AJ410" s="2495"/>
      <c r="AK410" s="2495"/>
      <c r="AL410" s="2495"/>
      <c r="AM410" s="2495"/>
      <c r="AN410" s="2495"/>
      <c r="AO410" s="2495"/>
      <c r="AP410" s="2495"/>
      <c r="AQ410" s="2495"/>
      <c r="AR410" s="2495"/>
      <c r="AS410" s="2495"/>
      <c r="AT410" s="2495"/>
      <c r="AU410" s="2495"/>
    </row>
    <row r="411" spans="1:49" ht="12.75" customHeight="1">
      <c r="A411" s="3178"/>
      <c r="B411" s="3178"/>
      <c r="D411" s="3142" t="s">
        <v>2261</v>
      </c>
      <c r="E411" s="3118"/>
      <c r="F411" s="3118"/>
      <c r="G411" s="3118"/>
      <c r="H411" s="3118"/>
      <c r="I411" s="3118"/>
      <c r="J411" s="3118"/>
      <c r="K411" s="3220"/>
      <c r="L411" s="3220"/>
      <c r="M411" s="2497"/>
      <c r="N411" s="2496"/>
      <c r="O411" s="2496"/>
      <c r="P411" s="2496"/>
      <c r="Q411" s="2496"/>
      <c r="R411" s="2496"/>
      <c r="S411" s="2496"/>
      <c r="T411" s="2496"/>
      <c r="U411" s="2495"/>
      <c r="V411" s="2495"/>
      <c r="W411" s="2495"/>
      <c r="X411" s="2495"/>
      <c r="Y411" s="2495"/>
      <c r="Z411" s="2495"/>
      <c r="AA411" s="2495"/>
      <c r="AB411" s="2495"/>
      <c r="AC411" s="2495"/>
      <c r="AD411" s="2495"/>
      <c r="AE411" s="2495"/>
      <c r="AF411" s="2495"/>
      <c r="AG411" s="2495"/>
      <c r="AH411" s="2495"/>
      <c r="AI411" s="2495"/>
      <c r="AJ411" s="2495"/>
      <c r="AK411" s="2495"/>
      <c r="AL411" s="2495"/>
      <c r="AM411" s="2495"/>
      <c r="AN411" s="2495"/>
      <c r="AO411" s="2495"/>
      <c r="AP411" s="2495"/>
      <c r="AQ411" s="2495"/>
      <c r="AR411" s="2495"/>
      <c r="AS411" s="2495"/>
      <c r="AT411" s="2495"/>
      <c r="AU411" s="2495"/>
    </row>
    <row r="412" spans="1:49">
      <c r="A412" s="3178"/>
      <c r="B412" s="3178"/>
      <c r="D412" s="3221" t="s">
        <v>2262</v>
      </c>
      <c r="E412" s="3118"/>
      <c r="F412" s="3118"/>
      <c r="G412" s="3118"/>
      <c r="H412" s="3118"/>
      <c r="I412" s="3118"/>
      <c r="J412" s="3118"/>
      <c r="K412" s="3186" t="s">
        <v>2290</v>
      </c>
      <c r="L412" s="3254"/>
      <c r="M412" s="2497"/>
      <c r="N412" s="2496"/>
      <c r="O412" s="2496"/>
      <c r="P412" s="2496"/>
      <c r="Q412" s="2496"/>
      <c r="R412" s="2496"/>
      <c r="S412" s="2496"/>
      <c r="T412" s="2496"/>
      <c r="U412" s="2495"/>
      <c r="V412" s="2495"/>
      <c r="W412" s="2495"/>
      <c r="X412" s="2495"/>
      <c r="Y412" s="2495"/>
      <c r="Z412" s="2495"/>
      <c r="AA412" s="2495"/>
      <c r="AB412" s="2495"/>
      <c r="AC412" s="2495"/>
      <c r="AD412" s="2495"/>
      <c r="AE412" s="2495"/>
      <c r="AF412" s="2495"/>
      <c r="AG412" s="2495"/>
      <c r="AH412" s="2495"/>
      <c r="AI412" s="2495"/>
      <c r="AJ412" s="2495"/>
      <c r="AK412" s="2495"/>
      <c r="AL412" s="2495"/>
      <c r="AM412" s="2495"/>
      <c r="AN412" s="2495"/>
      <c r="AO412" s="2495"/>
      <c r="AP412" s="2495"/>
      <c r="AQ412" s="2495"/>
      <c r="AR412" s="2495"/>
      <c r="AS412" s="2495"/>
      <c r="AT412" s="2495"/>
      <c r="AU412" s="2495"/>
    </row>
    <row r="413" spans="1:49">
      <c r="A413" s="3178"/>
      <c r="B413" s="3178"/>
      <c r="D413" s="2658"/>
      <c r="E413" s="2658"/>
      <c r="F413" s="2658"/>
      <c r="G413" s="2658"/>
      <c r="H413" s="2658"/>
      <c r="I413" s="2659"/>
      <c r="J413" s="2659"/>
      <c r="K413" s="3252"/>
      <c r="L413" s="3252"/>
      <c r="M413" s="2497"/>
      <c r="N413" s="2496"/>
      <c r="O413" s="2496"/>
      <c r="P413" s="2496"/>
      <c r="Q413" s="2496"/>
      <c r="R413" s="2496"/>
      <c r="S413" s="2496"/>
      <c r="T413" s="2496"/>
      <c r="U413" s="2495"/>
      <c r="V413" s="2495"/>
      <c r="W413" s="2495"/>
      <c r="X413" s="2495"/>
      <c r="Y413" s="2495"/>
      <c r="Z413" s="2495"/>
      <c r="AA413" s="2495"/>
      <c r="AB413" s="2495"/>
      <c r="AC413" s="2495"/>
      <c r="AD413" s="2495"/>
      <c r="AE413" s="2495"/>
      <c r="AF413" s="2495"/>
      <c r="AG413" s="2495"/>
      <c r="AH413" s="2495"/>
      <c r="AI413" s="2495"/>
      <c r="AJ413" s="2495"/>
      <c r="AK413" s="2495"/>
      <c r="AL413" s="2495"/>
      <c r="AM413" s="2495"/>
      <c r="AN413" s="2495"/>
      <c r="AO413" s="2495"/>
      <c r="AP413" s="2495"/>
      <c r="AQ413" s="2495"/>
      <c r="AR413" s="2495"/>
      <c r="AS413" s="2495"/>
      <c r="AT413" s="2495"/>
      <c r="AU413" s="2495"/>
    </row>
    <row r="414" spans="1:49">
      <c r="A414" s="4069" t="s">
        <v>2314</v>
      </c>
      <c r="B414" s="4070"/>
      <c r="D414" s="2658"/>
      <c r="E414" s="2658"/>
      <c r="F414" s="2658"/>
      <c r="G414" s="2658"/>
      <c r="H414" s="2658"/>
      <c r="I414" s="2659"/>
      <c r="J414" s="2659"/>
      <c r="K414" s="3252"/>
      <c r="L414" s="3252"/>
      <c r="M414" s="2497"/>
      <c r="N414" s="2496"/>
      <c r="O414" s="2496"/>
      <c r="P414" s="2496"/>
      <c r="Q414" s="2496"/>
      <c r="R414" s="2496"/>
      <c r="S414" s="2496"/>
      <c r="T414" s="2496"/>
      <c r="U414" s="2495"/>
      <c r="V414" s="2495"/>
      <c r="W414" s="2495"/>
      <c r="X414" s="2495"/>
      <c r="Y414" s="2495"/>
      <c r="Z414" s="2495"/>
      <c r="AA414" s="2495"/>
      <c r="AB414" s="2495"/>
      <c r="AC414" s="2495"/>
      <c r="AD414" s="2495"/>
      <c r="AE414" s="2495"/>
      <c r="AF414" s="2495"/>
      <c r="AG414" s="2495"/>
      <c r="AH414" s="2495"/>
      <c r="AI414" s="2495"/>
      <c r="AJ414" s="2495"/>
      <c r="AK414" s="2495"/>
      <c r="AL414" s="2495"/>
      <c r="AM414" s="2495"/>
      <c r="AN414" s="2495"/>
      <c r="AO414" s="2495"/>
      <c r="AP414" s="2495"/>
      <c r="AQ414" s="2495"/>
      <c r="AR414" s="2495"/>
      <c r="AS414" s="2495"/>
      <c r="AT414" s="2495"/>
      <c r="AU414" s="2495"/>
    </row>
    <row r="415" spans="1:49">
      <c r="A415" s="4071"/>
      <c r="B415" s="4072"/>
      <c r="D415" s="1659"/>
      <c r="E415" s="3239" t="s">
        <v>38</v>
      </c>
      <c r="F415" s="3239" t="s">
        <v>37</v>
      </c>
      <c r="G415" s="3239" t="s">
        <v>36</v>
      </c>
      <c r="H415" s="1659"/>
      <c r="I415" s="3207" t="s">
        <v>2126</v>
      </c>
      <c r="J415" s="3221"/>
      <c r="K415" s="4065" t="s">
        <v>2276</v>
      </c>
      <c r="L415" s="4065"/>
      <c r="M415" s="2497"/>
      <c r="N415" s="2496"/>
      <c r="O415" s="2496"/>
      <c r="P415" s="2496"/>
      <c r="Q415" s="2496"/>
      <c r="R415" s="2496"/>
      <c r="S415" s="2496"/>
      <c r="T415" s="2496"/>
      <c r="U415" s="2495"/>
      <c r="V415" s="2495"/>
      <c r="W415" s="2495"/>
      <c r="X415" s="2495"/>
      <c r="Y415" s="2495"/>
      <c r="Z415" s="2495"/>
      <c r="AA415" s="2495"/>
      <c r="AB415" s="2495"/>
      <c r="AC415" s="2495"/>
      <c r="AD415" s="2495"/>
      <c r="AE415" s="2495"/>
      <c r="AF415" s="2495"/>
      <c r="AG415" s="2495"/>
      <c r="AH415" s="2495"/>
      <c r="AI415" s="2495"/>
      <c r="AJ415" s="2495"/>
      <c r="AK415" s="2495"/>
      <c r="AL415" s="2495"/>
      <c r="AM415" s="2495"/>
      <c r="AN415" s="2495"/>
      <c r="AO415" s="2495"/>
      <c r="AP415" s="2495"/>
      <c r="AQ415" s="2495"/>
      <c r="AR415" s="2495"/>
      <c r="AS415" s="2495"/>
      <c r="AT415" s="2495"/>
      <c r="AU415" s="2495"/>
    </row>
    <row r="416" spans="1:49" ht="12.75" customHeight="1">
      <c r="A416" s="2967" t="s">
        <v>1948</v>
      </c>
      <c r="B416" s="3222"/>
      <c r="D416" s="1659"/>
      <c r="E416" s="3240"/>
      <c r="F416" s="3240">
        <f>'Equity Analysts Forecasts '!AK6</f>
        <v>5.9028105498556771</v>
      </c>
      <c r="G416" s="3240">
        <f>'Equity Analysts Forecasts '!AK15</f>
        <v>4.6787393823638226</v>
      </c>
      <c r="H416" s="3270" t="s">
        <v>2275</v>
      </c>
      <c r="I416" s="4066" t="s">
        <v>2322</v>
      </c>
      <c r="J416" s="4067"/>
      <c r="K416" s="4065"/>
      <c r="L416" s="4065"/>
      <c r="M416" s="2497"/>
      <c r="N416" s="2496"/>
      <c r="O416" s="2496"/>
      <c r="P416" s="2496"/>
      <c r="Q416" s="2496"/>
      <c r="R416" s="2496"/>
      <c r="S416" s="2496"/>
      <c r="T416" s="2496"/>
      <c r="U416" s="2495"/>
      <c r="V416" s="2495"/>
      <c r="W416" s="2495"/>
      <c r="X416" s="2495"/>
      <c r="Y416" s="2495"/>
      <c r="Z416" s="2495"/>
      <c r="AA416" s="2495"/>
      <c r="AB416" s="2495"/>
      <c r="AC416" s="2495"/>
      <c r="AD416" s="2495"/>
      <c r="AE416" s="2495"/>
      <c r="AF416" s="2495"/>
      <c r="AG416" s="2495"/>
      <c r="AH416" s="2495"/>
      <c r="AI416" s="2495"/>
      <c r="AJ416" s="2495"/>
      <c r="AK416" s="2495"/>
      <c r="AL416" s="2495"/>
      <c r="AM416" s="2495"/>
      <c r="AN416" s="2495"/>
      <c r="AO416" s="2495"/>
      <c r="AP416" s="2495"/>
      <c r="AQ416" s="2495"/>
      <c r="AR416" s="2495"/>
      <c r="AS416" s="2495"/>
      <c r="AT416" s="2495"/>
      <c r="AU416" s="2495"/>
    </row>
    <row r="417" spans="1:47" ht="12.75" customHeight="1">
      <c r="A417" s="3223" t="s">
        <v>1931</v>
      </c>
      <c r="B417" s="3224"/>
      <c r="D417" s="1659"/>
      <c r="E417" s="3241">
        <f>'Equity Analysts Forecasts '!AK24</f>
        <v>9.4222099150063503</v>
      </c>
      <c r="F417" s="3241">
        <f>'Equity Analysts Forecasts '!AK7</f>
        <v>5.1913319244153397</v>
      </c>
      <c r="G417" s="3241">
        <f>'Equity Analysts Forecasts '!AK16</f>
        <v>4.3554468384676648</v>
      </c>
      <c r="H417" s="1659"/>
      <c r="I417" s="4149" t="s">
        <v>2323</v>
      </c>
      <c r="J417" s="1659"/>
      <c r="K417" s="2661"/>
      <c r="L417" s="2662"/>
      <c r="M417" s="2497"/>
      <c r="N417" s="2496"/>
      <c r="O417" s="2496"/>
      <c r="P417" s="2496"/>
      <c r="Q417" s="2496"/>
      <c r="R417" s="2496"/>
      <c r="S417" s="2496"/>
      <c r="T417" s="2496"/>
      <c r="U417" s="2495"/>
      <c r="V417" s="2495"/>
      <c r="W417" s="2495"/>
      <c r="X417" s="2495"/>
      <c r="Y417" s="2495"/>
      <c r="Z417" s="2495"/>
      <c r="AA417" s="2495"/>
      <c r="AB417" s="2495"/>
      <c r="AC417" s="2495"/>
      <c r="AD417" s="2495"/>
      <c r="AE417" s="2495"/>
      <c r="AF417" s="2495"/>
      <c r="AG417" s="2495"/>
      <c r="AH417" s="2495"/>
      <c r="AI417" s="2495"/>
      <c r="AJ417" s="2495"/>
      <c r="AK417" s="2495"/>
      <c r="AL417" s="2495"/>
      <c r="AM417" s="2495"/>
      <c r="AN417" s="2495"/>
      <c r="AO417" s="2495"/>
      <c r="AP417" s="2495"/>
      <c r="AQ417" s="2495"/>
      <c r="AR417" s="2495"/>
      <c r="AS417" s="2495"/>
      <c r="AT417" s="2495"/>
      <c r="AU417" s="2495"/>
    </row>
    <row r="418" spans="1:47">
      <c r="A418" s="3223" t="s">
        <v>1936</v>
      </c>
      <c r="B418" s="3224"/>
      <c r="D418" s="1659"/>
      <c r="E418" s="3241">
        <f>'Equity Analysts Forecasts '!AK25</f>
        <v>9.0666666666666664</v>
      </c>
      <c r="F418" s="3241">
        <f>'Equity Analysts Forecasts '!AK8</f>
        <v>5.3771007873733687</v>
      </c>
      <c r="G418" s="3241">
        <f>'Equity Analysts Forecasts '!AK17</f>
        <v>4.6498798911004524</v>
      </c>
      <c r="H418" s="1659"/>
      <c r="I418" s="4150"/>
      <c r="J418" s="1659"/>
      <c r="K418" s="2661"/>
      <c r="L418" s="2662"/>
      <c r="M418" s="2497"/>
      <c r="N418" s="2496"/>
      <c r="O418" s="2496"/>
      <c r="P418" s="2496"/>
      <c r="Q418" s="2496"/>
      <c r="R418" s="2496"/>
      <c r="S418" s="2496"/>
      <c r="T418" s="2496"/>
      <c r="U418" s="2495"/>
      <c r="V418" s="2495"/>
      <c r="W418" s="2495"/>
      <c r="X418" s="2495"/>
      <c r="Y418" s="2495"/>
      <c r="Z418" s="2495"/>
      <c r="AA418" s="2495"/>
      <c r="AB418" s="2495"/>
      <c r="AC418" s="2495"/>
      <c r="AD418" s="2495"/>
      <c r="AE418" s="2495"/>
      <c r="AF418" s="2495"/>
      <c r="AG418" s="2495"/>
      <c r="AH418" s="2495"/>
      <c r="AI418" s="2495"/>
      <c r="AJ418" s="2495"/>
      <c r="AK418" s="2495"/>
      <c r="AL418" s="2495"/>
      <c r="AM418" s="2495"/>
      <c r="AN418" s="2495"/>
      <c r="AO418" s="2495"/>
      <c r="AP418" s="2495"/>
      <c r="AQ418" s="2495"/>
      <c r="AR418" s="2495"/>
      <c r="AS418" s="2495"/>
      <c r="AT418" s="2495"/>
      <c r="AU418" s="2495"/>
    </row>
    <row r="419" spans="1:47" ht="12.75" customHeight="1">
      <c r="A419" s="3225" t="s">
        <v>1945</v>
      </c>
      <c r="B419" s="3226"/>
      <c r="D419" s="1659"/>
      <c r="E419" s="3242">
        <f>'Equity Analysts Forecasts '!AK26</f>
        <v>9.1999999999999993</v>
      </c>
      <c r="F419" s="3242">
        <f>'Equity Analysts Forecasts '!AK9</f>
        <v>5.35</v>
      </c>
      <c r="G419" s="3242">
        <f>'Equity Analysts Forecasts '!AK18</f>
        <v>6.85</v>
      </c>
      <c r="H419" s="3272" t="s">
        <v>2274</v>
      </c>
      <c r="I419" s="1915" t="s">
        <v>2324</v>
      </c>
      <c r="J419" s="3267"/>
      <c r="K419" s="2661"/>
      <c r="L419" s="2662"/>
      <c r="M419" s="2497"/>
      <c r="N419" s="2496"/>
      <c r="O419" s="2496"/>
      <c r="P419" s="2496"/>
      <c r="Q419" s="2496"/>
      <c r="R419" s="2496"/>
      <c r="S419" s="2496"/>
      <c r="T419" s="2496"/>
      <c r="U419" s="2495"/>
      <c r="V419" s="2495"/>
      <c r="W419" s="2495"/>
      <c r="X419" s="2495"/>
      <c r="Y419" s="2495"/>
      <c r="Z419" s="2495"/>
      <c r="AA419" s="2495"/>
      <c r="AB419" s="2495"/>
      <c r="AC419" s="2495"/>
      <c r="AD419" s="2495"/>
      <c r="AE419" s="2495"/>
      <c r="AF419" s="2495"/>
      <c r="AG419" s="2495"/>
      <c r="AH419" s="2495"/>
      <c r="AI419" s="2495"/>
      <c r="AJ419" s="2495"/>
      <c r="AK419" s="2495"/>
      <c r="AL419" s="2495"/>
      <c r="AM419" s="2495"/>
      <c r="AN419" s="2495"/>
      <c r="AO419" s="2495"/>
      <c r="AP419" s="2495"/>
      <c r="AQ419" s="2495"/>
      <c r="AR419" s="2495"/>
      <c r="AS419" s="2495"/>
      <c r="AT419" s="2495"/>
      <c r="AU419" s="2495"/>
    </row>
    <row r="420" spans="1:47">
      <c r="A420" s="3245" t="s">
        <v>1960</v>
      </c>
      <c r="B420" s="3227"/>
      <c r="D420" s="1659"/>
      <c r="E420" s="3243">
        <f>'Equity Analysts Forecasts '!AK29</f>
        <v>9.2296255272243393</v>
      </c>
      <c r="F420" s="3243">
        <f>'Equity Analysts Forecasts '!AK12</f>
        <v>5.4553108154110959</v>
      </c>
      <c r="G420" s="3243">
        <f>'Equity Analysts Forecasts '!AK21</f>
        <v>5.1335165279829846</v>
      </c>
      <c r="H420" s="3270" t="s">
        <v>2275</v>
      </c>
      <c r="I420" s="3212" t="s">
        <v>2321</v>
      </c>
      <c r="J420" s="3268"/>
      <c r="K420" s="2571"/>
      <c r="L420" s="2662"/>
      <c r="M420" s="2497"/>
      <c r="N420" s="2496"/>
      <c r="O420" s="2496"/>
      <c r="P420" s="2496"/>
      <c r="Q420" s="2496"/>
      <c r="R420" s="2496"/>
      <c r="S420" s="2496"/>
      <c r="T420" s="2496"/>
      <c r="U420" s="2495"/>
      <c r="V420" s="2495"/>
      <c r="W420" s="2495"/>
      <c r="X420" s="2495"/>
      <c r="Y420" s="2495"/>
      <c r="Z420" s="2495"/>
      <c r="AA420" s="2495"/>
      <c r="AB420" s="2495"/>
      <c r="AC420" s="2495"/>
      <c r="AD420" s="2495"/>
      <c r="AE420" s="2495"/>
      <c r="AF420" s="2495"/>
      <c r="AG420" s="2495"/>
      <c r="AH420" s="2495"/>
      <c r="AI420" s="2495"/>
      <c r="AJ420" s="2495"/>
      <c r="AK420" s="2495"/>
      <c r="AL420" s="2495"/>
      <c r="AM420" s="2495"/>
      <c r="AN420" s="2495"/>
      <c r="AO420" s="2495"/>
      <c r="AP420" s="2495"/>
      <c r="AQ420" s="2495"/>
      <c r="AR420" s="2495"/>
      <c r="AS420" s="2495"/>
      <c r="AT420" s="2495"/>
      <c r="AU420" s="2495"/>
    </row>
    <row r="421" spans="1:47">
      <c r="A421" s="3247" t="s">
        <v>2279</v>
      </c>
      <c r="B421" s="3248"/>
      <c r="C421" s="3249"/>
      <c r="D421" s="1659"/>
      <c r="E421" s="3250">
        <f>CALCULATIONS!FF9</f>
        <v>8.9918300000000002</v>
      </c>
      <c r="F421" s="3250">
        <f>CALCULATIONS!FF7</f>
        <v>5.0434300000000007</v>
      </c>
      <c r="G421" s="3250">
        <f>CALCULATIONS!FF8</f>
        <v>4.5464249999999993</v>
      </c>
      <c r="H421" s="3270" t="s">
        <v>2275</v>
      </c>
      <c r="I421" s="3212" t="s">
        <v>2278</v>
      </c>
      <c r="J421" s="3269"/>
      <c r="K421" s="2653"/>
      <c r="L421" s="2662"/>
      <c r="M421" s="2497"/>
      <c r="N421" s="2496"/>
      <c r="O421" s="2496"/>
      <c r="P421" s="2496"/>
      <c r="Q421" s="2496"/>
      <c r="R421" s="2496"/>
      <c r="S421" s="2496"/>
      <c r="T421" s="2496"/>
      <c r="U421" s="2495"/>
      <c r="V421" s="2495"/>
      <c r="W421" s="2495"/>
      <c r="X421" s="2495"/>
      <c r="Y421" s="2495"/>
      <c r="Z421" s="2495"/>
      <c r="AA421" s="2495"/>
      <c r="AB421" s="2495"/>
      <c r="AC421" s="2495"/>
      <c r="AD421" s="2495"/>
      <c r="AE421" s="2495"/>
      <c r="AF421" s="2495"/>
      <c r="AG421" s="2495"/>
      <c r="AH421" s="2495"/>
      <c r="AI421" s="2495"/>
      <c r="AJ421" s="2495"/>
      <c r="AK421" s="2495"/>
      <c r="AL421" s="2495"/>
      <c r="AM421" s="2495"/>
      <c r="AN421" s="2495"/>
      <c r="AO421" s="2495"/>
      <c r="AP421" s="2495"/>
      <c r="AQ421" s="2495"/>
      <c r="AR421" s="2495"/>
      <c r="AS421" s="2495"/>
      <c r="AT421" s="2495"/>
      <c r="AU421" s="2495"/>
    </row>
    <row r="422" spans="1:47">
      <c r="A422" s="3178"/>
      <c r="B422" s="3178"/>
      <c r="D422" s="1659"/>
      <c r="E422" s="2658"/>
      <c r="F422" s="2658"/>
      <c r="G422" s="2658"/>
      <c r="H422" s="3271"/>
      <c r="I422" s="3149"/>
      <c r="J422" s="3149"/>
      <c r="K422" s="2571"/>
      <c r="L422" s="2662"/>
      <c r="M422" s="2497"/>
      <c r="N422" s="2496"/>
      <c r="O422" s="2496"/>
      <c r="P422" s="2496"/>
      <c r="Q422" s="2496"/>
      <c r="R422" s="2496"/>
      <c r="S422" s="2496"/>
      <c r="T422" s="2496"/>
      <c r="U422" s="2495"/>
      <c r="V422" s="2495"/>
      <c r="W422" s="2495"/>
      <c r="X422" s="2495"/>
      <c r="Y422" s="2495"/>
      <c r="Z422" s="2495"/>
      <c r="AA422" s="2495"/>
      <c r="AB422" s="2495"/>
      <c r="AC422" s="2495"/>
      <c r="AD422" s="2495"/>
      <c r="AE422" s="2495"/>
      <c r="AF422" s="2495"/>
      <c r="AG422" s="2495"/>
      <c r="AH422" s="2495"/>
      <c r="AI422" s="2495"/>
      <c r="AJ422" s="2495"/>
      <c r="AK422" s="2495"/>
      <c r="AL422" s="2495"/>
      <c r="AM422" s="2495"/>
      <c r="AN422" s="2495"/>
      <c r="AO422" s="2495"/>
      <c r="AP422" s="2495"/>
      <c r="AQ422" s="2495"/>
      <c r="AR422" s="2495"/>
      <c r="AS422" s="2495"/>
      <c r="AT422" s="2495"/>
      <c r="AU422" s="2495"/>
    </row>
    <row r="423" spans="1:47">
      <c r="A423" s="3244" t="s">
        <v>2277</v>
      </c>
      <c r="B423" s="920"/>
      <c r="D423" s="1659"/>
      <c r="E423" s="3259">
        <f>E420+E404</f>
        <v>9.2296255272243393</v>
      </c>
      <c r="F423" s="3259">
        <f>F420+F404</f>
        <v>5.4553108154110959</v>
      </c>
      <c r="G423" s="3259">
        <f>G420+G404</f>
        <v>5.4335165279829845</v>
      </c>
      <c r="H423" s="3272" t="s">
        <v>2274</v>
      </c>
      <c r="I423" s="3118" t="s">
        <v>2327</v>
      </c>
      <c r="J423" s="3149"/>
      <c r="K423" s="2958"/>
      <c r="L423" s="2662"/>
      <c r="M423" s="2497"/>
      <c r="N423" s="2496"/>
      <c r="O423" s="2496"/>
      <c r="P423" s="2496"/>
      <c r="Q423" s="2496"/>
      <c r="R423" s="2496"/>
      <c r="S423" s="2496"/>
      <c r="T423" s="2496"/>
      <c r="U423" s="2495"/>
      <c r="V423" s="2495"/>
      <c r="W423" s="2495"/>
      <c r="X423" s="2495"/>
      <c r="Y423" s="2495"/>
      <c r="Z423" s="2495"/>
      <c r="AA423" s="2495"/>
      <c r="AB423" s="2495"/>
      <c r="AC423" s="2495"/>
      <c r="AD423" s="2495"/>
      <c r="AE423" s="2495"/>
      <c r="AF423" s="2495"/>
      <c r="AG423" s="2495"/>
      <c r="AH423" s="2495"/>
      <c r="AI423" s="2495"/>
      <c r="AJ423" s="2495"/>
      <c r="AK423" s="2495"/>
      <c r="AL423" s="2495"/>
      <c r="AM423" s="2495"/>
      <c r="AN423" s="2495"/>
      <c r="AO423" s="2495"/>
      <c r="AP423" s="2495"/>
      <c r="AQ423" s="2495"/>
      <c r="AR423" s="2495"/>
      <c r="AS423" s="2495"/>
      <c r="AT423" s="2495"/>
      <c r="AU423" s="2495"/>
    </row>
    <row r="424" spans="1:47">
      <c r="A424" s="3247" t="s">
        <v>2280</v>
      </c>
      <c r="B424" s="3248"/>
      <c r="D424" s="1659"/>
      <c r="E424" s="3260">
        <f>CALCULATIONS!GA9</f>
        <v>8.9637673547847445</v>
      </c>
      <c r="F424" s="3260">
        <f>CALCULATIONS!GA7</f>
        <v>5.0788528490815699</v>
      </c>
      <c r="G424" s="3260">
        <f>CALCULATIONS!GA8</f>
        <v>4.7167645810216499</v>
      </c>
      <c r="H424" s="3270" t="s">
        <v>2275</v>
      </c>
      <c r="I424" s="3212" t="s">
        <v>2281</v>
      </c>
      <c r="J424" s="3150"/>
      <c r="K424" s="2958"/>
      <c r="L424" s="2662"/>
      <c r="M424" s="2497"/>
      <c r="N424" s="2496"/>
      <c r="O424" s="2496"/>
      <c r="P424" s="2496"/>
      <c r="Q424" s="2496"/>
      <c r="R424" s="2496"/>
      <c r="S424" s="2496"/>
      <c r="T424" s="2496"/>
      <c r="U424" s="2495"/>
      <c r="V424" s="2495"/>
      <c r="W424" s="2495"/>
      <c r="X424" s="2495"/>
      <c r="Y424" s="2495"/>
      <c r="Z424" s="2495"/>
      <c r="AA424" s="2495"/>
      <c r="AB424" s="2495"/>
      <c r="AC424" s="2495"/>
      <c r="AD424" s="2495"/>
      <c r="AE424" s="2495"/>
      <c r="AF424" s="2495"/>
      <c r="AG424" s="2495"/>
      <c r="AH424" s="2495"/>
      <c r="AI424" s="2495"/>
      <c r="AJ424" s="2495"/>
      <c r="AK424" s="2495"/>
      <c r="AL424" s="2495"/>
      <c r="AM424" s="2495"/>
      <c r="AN424" s="2495"/>
      <c r="AO424" s="2495"/>
      <c r="AP424" s="2495"/>
      <c r="AQ424" s="2495"/>
      <c r="AR424" s="2495"/>
      <c r="AS424" s="2495"/>
      <c r="AT424" s="2495"/>
      <c r="AU424" s="2495"/>
    </row>
    <row r="425" spans="1:47">
      <c r="A425" s="3178"/>
      <c r="B425" s="3178"/>
      <c r="D425" s="3157"/>
      <c r="E425" s="72"/>
      <c r="F425" s="72"/>
      <c r="G425" s="72"/>
      <c r="H425" s="72"/>
      <c r="I425" s="1329"/>
      <c r="J425" s="1329"/>
      <c r="K425" s="2958"/>
      <c r="L425" s="2662"/>
      <c r="M425" s="2497"/>
      <c r="N425" s="2496"/>
      <c r="O425" s="2496"/>
      <c r="P425" s="2496"/>
      <c r="Q425" s="2496"/>
      <c r="R425" s="2496"/>
      <c r="S425" s="2496"/>
      <c r="T425" s="2496"/>
      <c r="U425" s="2495"/>
      <c r="V425" s="2495"/>
      <c r="W425" s="2495"/>
      <c r="X425" s="2495"/>
      <c r="Y425" s="2495"/>
      <c r="Z425" s="2495"/>
      <c r="AA425" s="2495"/>
      <c r="AB425" s="2495"/>
      <c r="AC425" s="2495"/>
      <c r="AD425" s="2495"/>
      <c r="AE425" s="2495"/>
      <c r="AF425" s="2495"/>
      <c r="AG425" s="2495"/>
      <c r="AH425" s="2495"/>
      <c r="AI425" s="2495"/>
      <c r="AJ425" s="2495"/>
      <c r="AK425" s="2495"/>
      <c r="AL425" s="2495"/>
      <c r="AM425" s="2495"/>
      <c r="AN425" s="2495"/>
      <c r="AO425" s="2495"/>
      <c r="AP425" s="2495"/>
      <c r="AQ425" s="2495"/>
      <c r="AR425" s="2495"/>
      <c r="AS425" s="2495"/>
      <c r="AT425" s="2495"/>
      <c r="AU425" s="2495"/>
    </row>
    <row r="426" spans="1:47">
      <c r="A426" s="3178"/>
      <c r="B426" s="3178"/>
      <c r="D426" s="3257"/>
      <c r="E426" s="3257"/>
      <c r="F426" s="3257"/>
      <c r="G426" s="3257"/>
      <c r="H426" s="3257"/>
      <c r="I426" s="3257"/>
      <c r="J426" s="3257"/>
      <c r="K426" s="2571"/>
      <c r="L426" s="2662"/>
      <c r="M426" s="2497"/>
      <c r="N426" s="2496"/>
      <c r="O426" s="2496"/>
      <c r="P426" s="2496"/>
      <c r="Q426" s="2496"/>
      <c r="R426" s="2496"/>
      <c r="S426" s="2496"/>
      <c r="T426" s="2496"/>
      <c r="U426" s="2495"/>
      <c r="V426" s="2495"/>
      <c r="W426" s="2495"/>
      <c r="X426" s="2495"/>
      <c r="Y426" s="2495"/>
      <c r="Z426" s="2495"/>
      <c r="AA426" s="2495"/>
      <c r="AB426" s="2495"/>
      <c r="AC426" s="2495"/>
      <c r="AD426" s="2495"/>
      <c r="AE426" s="2495"/>
      <c r="AF426" s="2495"/>
      <c r="AG426" s="2495"/>
      <c r="AH426" s="2495"/>
      <c r="AI426" s="2495"/>
      <c r="AJ426" s="2495"/>
      <c r="AK426" s="2495"/>
      <c r="AL426" s="2495"/>
      <c r="AM426" s="2495"/>
      <c r="AN426" s="2495"/>
      <c r="AO426" s="2495"/>
      <c r="AP426" s="2495"/>
      <c r="AQ426" s="2495"/>
      <c r="AR426" s="2495"/>
      <c r="AS426" s="2495"/>
      <c r="AT426" s="2495"/>
      <c r="AU426" s="2495"/>
    </row>
    <row r="427" spans="1:47">
      <c r="A427" s="1659"/>
      <c r="B427" s="1659"/>
      <c r="D427" s="4143" t="s">
        <v>2282</v>
      </c>
      <c r="E427" s="4143"/>
      <c r="F427" s="4143"/>
      <c r="G427" s="4143"/>
      <c r="H427" s="4143"/>
      <c r="I427" s="4143"/>
      <c r="J427" s="3257"/>
      <c r="K427" s="1659"/>
      <c r="L427" s="1659"/>
      <c r="M427" s="2497"/>
      <c r="N427" s="2496"/>
      <c r="O427" s="2496"/>
      <c r="P427" s="2496"/>
      <c r="Q427" s="2496"/>
      <c r="R427" s="2496"/>
      <c r="S427" s="2496"/>
      <c r="T427" s="2496"/>
      <c r="U427" s="2495"/>
      <c r="V427" s="2495"/>
      <c r="W427" s="2495"/>
      <c r="X427" s="2495"/>
      <c r="Y427" s="2495"/>
      <c r="Z427" s="2495"/>
      <c r="AA427" s="2495"/>
      <c r="AB427" s="2495"/>
      <c r="AC427" s="2495"/>
      <c r="AD427" s="2495"/>
      <c r="AE427" s="2495"/>
      <c r="AF427" s="2495"/>
      <c r="AG427" s="2495"/>
      <c r="AH427" s="2495"/>
      <c r="AI427" s="2495"/>
      <c r="AJ427" s="2495"/>
      <c r="AK427" s="2495"/>
      <c r="AL427" s="2495"/>
      <c r="AM427" s="2495"/>
      <c r="AN427" s="2495"/>
      <c r="AO427" s="2495"/>
      <c r="AP427" s="2495"/>
      <c r="AQ427" s="2495"/>
      <c r="AR427" s="2495"/>
      <c r="AS427" s="2495"/>
      <c r="AT427" s="2495"/>
      <c r="AU427" s="2495"/>
    </row>
    <row r="428" spans="1:47">
      <c r="A428" s="73"/>
      <c r="B428" s="73"/>
      <c r="D428" s="4143"/>
      <c r="E428" s="4143"/>
      <c r="F428" s="4143"/>
      <c r="G428" s="4143"/>
      <c r="H428" s="4143"/>
      <c r="I428" s="4143"/>
      <c r="J428" s="3257"/>
      <c r="K428" s="1659"/>
      <c r="L428" s="1659"/>
      <c r="M428" s="2497"/>
      <c r="N428" s="2496"/>
      <c r="O428" s="2496"/>
      <c r="P428" s="2496"/>
      <c r="Q428" s="2496"/>
      <c r="R428" s="2496"/>
      <c r="S428" s="2496"/>
      <c r="T428" s="2496"/>
      <c r="U428" s="2495"/>
      <c r="V428" s="2495"/>
      <c r="W428" s="2495"/>
      <c r="X428" s="2495"/>
      <c r="Y428" s="2495"/>
      <c r="Z428" s="2495"/>
      <c r="AA428" s="2495"/>
      <c r="AB428" s="2495"/>
      <c r="AC428" s="2495"/>
      <c r="AD428" s="2495"/>
      <c r="AE428" s="2495"/>
      <c r="AF428" s="2495"/>
      <c r="AG428" s="2495"/>
      <c r="AH428" s="2495"/>
      <c r="AI428" s="2495"/>
      <c r="AJ428" s="2495"/>
      <c r="AK428" s="2495"/>
      <c r="AL428" s="2495"/>
      <c r="AM428" s="2495"/>
      <c r="AN428" s="2495"/>
      <c r="AO428" s="2495"/>
      <c r="AP428" s="2495"/>
      <c r="AQ428" s="2495"/>
      <c r="AR428" s="2495"/>
      <c r="AS428" s="2495"/>
      <c r="AT428" s="2495"/>
      <c r="AU428" s="2495"/>
    </row>
    <row r="429" spans="1:47">
      <c r="A429" s="73"/>
      <c r="B429" s="73"/>
      <c r="D429" s="4144" t="s">
        <v>2325</v>
      </c>
      <c r="E429" s="4144"/>
      <c r="F429" s="4144"/>
      <c r="G429" s="4144"/>
      <c r="H429" s="4144"/>
      <c r="I429" s="4144"/>
      <c r="J429" s="3257"/>
      <c r="K429" s="3263"/>
      <c r="L429" s="3253"/>
      <c r="M429" s="2497"/>
      <c r="N429" s="2496"/>
      <c r="O429" s="2496"/>
      <c r="P429" s="2496"/>
      <c r="Q429" s="2496"/>
      <c r="R429" s="2496"/>
      <c r="S429" s="2496"/>
      <c r="T429" s="2496"/>
      <c r="U429" s="2495"/>
      <c r="V429" s="2495"/>
      <c r="W429" s="2495"/>
      <c r="X429" s="2495"/>
      <c r="Y429" s="2495"/>
      <c r="Z429" s="2495"/>
      <c r="AA429" s="2495"/>
      <c r="AB429" s="2495"/>
      <c r="AC429" s="2495"/>
      <c r="AD429" s="2495"/>
      <c r="AE429" s="2495"/>
      <c r="AF429" s="2495"/>
      <c r="AG429" s="2495"/>
      <c r="AH429" s="2495"/>
      <c r="AI429" s="2495"/>
      <c r="AJ429" s="2495"/>
      <c r="AK429" s="2495"/>
      <c r="AL429" s="2495"/>
      <c r="AM429" s="2495"/>
      <c r="AN429" s="2495"/>
      <c r="AO429" s="2495"/>
      <c r="AP429" s="2495"/>
      <c r="AQ429" s="2495"/>
      <c r="AR429" s="2495"/>
      <c r="AS429" s="2495"/>
      <c r="AT429" s="2495"/>
      <c r="AU429" s="2495"/>
    </row>
    <row r="430" spans="1:47">
      <c r="A430" s="73"/>
      <c r="B430" s="73"/>
      <c r="D430" s="4144"/>
      <c r="E430" s="4144"/>
      <c r="F430" s="4144"/>
      <c r="G430" s="4144"/>
      <c r="H430" s="4144"/>
      <c r="I430" s="4144"/>
      <c r="J430" s="3257"/>
      <c r="K430" s="3263"/>
      <c r="L430" s="3253"/>
      <c r="M430" s="2497"/>
      <c r="N430" s="2496"/>
      <c r="O430" s="2496"/>
      <c r="P430" s="2496"/>
      <c r="Q430" s="2496"/>
      <c r="R430" s="2496"/>
      <c r="S430" s="2496"/>
      <c r="T430" s="2496"/>
      <c r="U430" s="2495"/>
      <c r="V430" s="2495"/>
      <c r="W430" s="2495"/>
      <c r="X430" s="2495"/>
      <c r="Y430" s="2495"/>
      <c r="Z430" s="2495"/>
      <c r="AA430" s="2495"/>
      <c r="AB430" s="2495"/>
      <c r="AC430" s="2495"/>
      <c r="AD430" s="2495"/>
      <c r="AE430" s="2495"/>
      <c r="AF430" s="2495"/>
      <c r="AG430" s="2495"/>
      <c r="AH430" s="2495"/>
      <c r="AI430" s="2495"/>
      <c r="AJ430" s="2495"/>
      <c r="AK430" s="2495"/>
      <c r="AL430" s="2495"/>
      <c r="AM430" s="2495"/>
      <c r="AN430" s="2495"/>
      <c r="AO430" s="2495"/>
      <c r="AP430" s="2495"/>
      <c r="AQ430" s="2495"/>
      <c r="AR430" s="2495"/>
      <c r="AS430" s="2495"/>
      <c r="AT430" s="2495"/>
      <c r="AU430" s="2495"/>
    </row>
    <row r="431" spans="1:47">
      <c r="A431" s="73"/>
      <c r="B431" s="73"/>
      <c r="D431" s="4144"/>
      <c r="E431" s="4144"/>
      <c r="F431" s="4144"/>
      <c r="G431" s="4144"/>
      <c r="H431" s="4144"/>
      <c r="I431" s="4144"/>
      <c r="J431" s="3257"/>
      <c r="K431" s="3263"/>
      <c r="L431" s="3253"/>
      <c r="M431" s="2497"/>
      <c r="N431" s="2496"/>
      <c r="O431" s="2496"/>
      <c r="P431" s="2496"/>
      <c r="Q431" s="2496"/>
      <c r="R431" s="2496"/>
      <c r="S431" s="2496"/>
      <c r="T431" s="2496"/>
      <c r="U431" s="2495"/>
      <c r="V431" s="2495"/>
      <c r="W431" s="2495"/>
      <c r="X431" s="2495"/>
      <c r="Y431" s="2495"/>
      <c r="Z431" s="2495"/>
      <c r="AA431" s="2495"/>
      <c r="AB431" s="2495"/>
      <c r="AC431" s="2495"/>
      <c r="AD431" s="2495"/>
      <c r="AE431" s="2495"/>
      <c r="AF431" s="2495"/>
      <c r="AG431" s="2495"/>
      <c r="AH431" s="2495"/>
      <c r="AI431" s="2495"/>
      <c r="AJ431" s="2495"/>
      <c r="AK431" s="2495"/>
      <c r="AL431" s="2495"/>
      <c r="AM431" s="2495"/>
      <c r="AN431" s="2495"/>
      <c r="AO431" s="2495"/>
      <c r="AP431" s="2495"/>
      <c r="AQ431" s="2495"/>
      <c r="AR431" s="2495"/>
      <c r="AS431" s="2495"/>
      <c r="AT431" s="2495"/>
      <c r="AU431" s="2495"/>
    </row>
    <row r="432" spans="1:47">
      <c r="A432" s="73"/>
      <c r="B432" s="73"/>
      <c r="D432" s="3284"/>
      <c r="E432" s="3284"/>
      <c r="F432" s="3284"/>
      <c r="G432" s="3284"/>
      <c r="H432" s="3284"/>
      <c r="I432" s="3284"/>
      <c r="J432" s="3257"/>
      <c r="K432" s="3263"/>
      <c r="L432" s="3253"/>
      <c r="M432" s="2497"/>
      <c r="N432" s="2496"/>
      <c r="O432" s="2496"/>
      <c r="P432" s="2496"/>
      <c r="Q432" s="2496"/>
      <c r="R432" s="2496"/>
      <c r="S432" s="2496"/>
      <c r="T432" s="2496"/>
      <c r="U432" s="2495"/>
      <c r="V432" s="2495"/>
      <c r="W432" s="2495"/>
      <c r="X432" s="2495"/>
      <c r="Y432" s="2495"/>
      <c r="Z432" s="2495"/>
      <c r="AA432" s="2495"/>
      <c r="AB432" s="2495"/>
      <c r="AC432" s="2495"/>
      <c r="AD432" s="2495"/>
      <c r="AE432" s="2495"/>
      <c r="AF432" s="2495"/>
      <c r="AG432" s="2495"/>
      <c r="AH432" s="2495"/>
      <c r="AI432" s="2495"/>
      <c r="AJ432" s="2495"/>
      <c r="AK432" s="2495"/>
      <c r="AL432" s="2495"/>
      <c r="AM432" s="2495"/>
      <c r="AN432" s="2495"/>
      <c r="AO432" s="2495"/>
      <c r="AP432" s="2495"/>
      <c r="AQ432" s="2495"/>
      <c r="AR432" s="2495"/>
      <c r="AS432" s="2495"/>
      <c r="AT432" s="2495"/>
      <c r="AU432" s="2495"/>
    </row>
    <row r="433" spans="1:49">
      <c r="A433" s="73"/>
      <c r="B433" s="73"/>
      <c r="D433" s="3257"/>
      <c r="E433" s="3257"/>
      <c r="F433" s="3257"/>
      <c r="G433" s="3257"/>
      <c r="H433" s="3257"/>
      <c r="I433" s="3257"/>
      <c r="J433" s="3257"/>
      <c r="K433" s="3263"/>
      <c r="L433" s="3253"/>
      <c r="M433" s="2497"/>
      <c r="N433" s="2496"/>
      <c r="O433" s="2496"/>
      <c r="P433" s="2496"/>
      <c r="Q433" s="2496"/>
      <c r="R433" s="2496"/>
      <c r="S433" s="2496"/>
      <c r="T433" s="2496"/>
      <c r="U433" s="2495"/>
      <c r="V433" s="2495"/>
      <c r="W433" s="2495"/>
      <c r="X433" s="2495"/>
      <c r="Y433" s="2495"/>
      <c r="Z433" s="2495"/>
      <c r="AA433" s="2495"/>
      <c r="AB433" s="2495"/>
      <c r="AC433" s="2495"/>
      <c r="AD433" s="2495"/>
      <c r="AE433" s="2495"/>
      <c r="AF433" s="2495"/>
      <c r="AG433" s="2495"/>
      <c r="AH433" s="2495"/>
      <c r="AI433" s="2495"/>
      <c r="AJ433" s="2495"/>
      <c r="AK433" s="2495"/>
      <c r="AL433" s="2495"/>
      <c r="AM433" s="2495"/>
      <c r="AN433" s="2495"/>
      <c r="AO433" s="2495"/>
      <c r="AP433" s="2495"/>
      <c r="AQ433" s="2495"/>
      <c r="AR433" s="2495"/>
      <c r="AS433" s="2495"/>
      <c r="AT433" s="2495"/>
      <c r="AU433" s="2495"/>
    </row>
    <row r="434" spans="1:49">
      <c r="A434" s="1659"/>
      <c r="B434" s="1659"/>
      <c r="D434" s="3258" t="s">
        <v>769</v>
      </c>
      <c r="E434" s="3258" t="s">
        <v>38</v>
      </c>
      <c r="F434" s="3258" t="s">
        <v>37</v>
      </c>
      <c r="G434" s="3258" t="s">
        <v>36</v>
      </c>
      <c r="H434" s="3258" t="s">
        <v>770</v>
      </c>
      <c r="I434" s="3266"/>
      <c r="J434" s="3262"/>
      <c r="K434" s="2874"/>
      <c r="L434" s="2662"/>
      <c r="M434" s="2497"/>
      <c r="N434" s="2496"/>
      <c r="O434" s="2496"/>
      <c r="P434" s="2496"/>
      <c r="Q434" s="2496"/>
      <c r="R434" s="2496"/>
      <c r="S434" s="2496"/>
      <c r="T434" s="2496"/>
      <c r="U434" s="2495"/>
      <c r="V434" s="2495"/>
      <c r="W434" s="2495"/>
      <c r="X434" s="2495"/>
      <c r="Y434" s="2495"/>
      <c r="Z434" s="2495"/>
      <c r="AA434" s="2495"/>
      <c r="AB434" s="2495"/>
      <c r="AC434" s="2495"/>
      <c r="AD434" s="2495"/>
      <c r="AE434" s="2495"/>
      <c r="AF434" s="2495"/>
      <c r="AG434" s="2495"/>
      <c r="AH434" s="2495"/>
      <c r="AI434" s="2495"/>
      <c r="AJ434" s="2495"/>
      <c r="AK434" s="2495"/>
      <c r="AL434" s="2495"/>
      <c r="AM434" s="2495"/>
      <c r="AN434" s="2495"/>
      <c r="AO434" s="2495"/>
      <c r="AP434" s="2495"/>
      <c r="AQ434" s="2495"/>
      <c r="AR434" s="2495"/>
      <c r="AS434" s="2495"/>
      <c r="AT434" s="2495"/>
      <c r="AU434" s="2495"/>
    </row>
    <row r="435" spans="1:49">
      <c r="A435" s="3255" t="s">
        <v>2365</v>
      </c>
      <c r="B435" s="3256"/>
      <c r="D435" s="3346">
        <f>F435</f>
        <v>5.5</v>
      </c>
      <c r="E435" s="3348">
        <v>9</v>
      </c>
      <c r="F435" s="3348">
        <v>5.5</v>
      </c>
      <c r="G435" s="3348">
        <v>5.5</v>
      </c>
      <c r="H435" s="3346">
        <f>G435</f>
        <v>5.5</v>
      </c>
      <c r="I435" s="4148" t="s">
        <v>2313</v>
      </c>
      <c r="J435" s="3262"/>
      <c r="K435" s="1694"/>
      <c r="L435" s="1557"/>
      <c r="M435" s="2497"/>
      <c r="N435" s="2496"/>
      <c r="O435" s="2496"/>
      <c r="P435" s="2496"/>
      <c r="Q435" s="2496"/>
      <c r="R435" s="2496"/>
      <c r="S435" s="2496"/>
      <c r="T435" s="2496"/>
      <c r="U435" s="2495"/>
      <c r="V435" s="2495"/>
      <c r="W435" s="2495"/>
      <c r="X435" s="2495"/>
      <c r="Y435" s="2495"/>
      <c r="Z435" s="2495"/>
      <c r="AA435" s="2495"/>
      <c r="AB435" s="2495"/>
      <c r="AC435" s="2495"/>
      <c r="AD435" s="2495"/>
      <c r="AE435" s="2495"/>
      <c r="AF435" s="2495"/>
      <c r="AG435" s="2495"/>
      <c r="AH435" s="2495"/>
      <c r="AI435" s="2495"/>
      <c r="AJ435" s="2495"/>
      <c r="AK435" s="2495"/>
      <c r="AL435" s="2495"/>
      <c r="AM435" s="2495"/>
      <c r="AN435" s="2495"/>
      <c r="AO435" s="2495"/>
      <c r="AP435" s="2495"/>
      <c r="AQ435" s="2495"/>
      <c r="AR435" s="2495"/>
      <c r="AS435" s="2495"/>
      <c r="AT435" s="2495"/>
      <c r="AU435" s="2495"/>
    </row>
    <row r="436" spans="1:49" ht="12.75" customHeight="1">
      <c r="A436" s="3273" t="s">
        <v>2283</v>
      </c>
      <c r="B436" s="3274"/>
      <c r="C436" s="3277"/>
      <c r="D436" s="3264">
        <v>4.8</v>
      </c>
      <c r="E436" s="3264">
        <v>9</v>
      </c>
      <c r="F436" s="3264">
        <v>5</v>
      </c>
      <c r="G436" s="3265" t="s">
        <v>2286</v>
      </c>
      <c r="H436" s="3265" t="s">
        <v>2286</v>
      </c>
      <c r="I436" s="4148"/>
      <c r="J436" s="3275"/>
      <c r="K436" s="1694"/>
      <c r="L436" s="1557"/>
      <c r="M436" s="2497"/>
      <c r="N436" s="2496"/>
      <c r="O436" s="2496"/>
      <c r="P436" s="2496"/>
      <c r="Q436" s="2496"/>
      <c r="R436" s="2496"/>
      <c r="S436" s="2496"/>
      <c r="T436" s="2496"/>
      <c r="U436" s="2495"/>
      <c r="V436" s="2495"/>
      <c r="W436" s="2495"/>
      <c r="X436" s="2495"/>
      <c r="Y436" s="2495"/>
      <c r="Z436" s="2495"/>
      <c r="AA436" s="2495"/>
      <c r="AB436" s="2495"/>
      <c r="AC436" s="2495"/>
      <c r="AD436" s="2495"/>
      <c r="AE436" s="2495"/>
      <c r="AF436" s="2495"/>
      <c r="AG436" s="2495"/>
      <c r="AH436" s="2495"/>
      <c r="AI436" s="2495"/>
      <c r="AJ436" s="2495"/>
      <c r="AK436" s="2495"/>
      <c r="AL436" s="2495"/>
      <c r="AM436" s="2495"/>
      <c r="AN436" s="2495"/>
      <c r="AO436" s="2495"/>
      <c r="AP436" s="2495"/>
      <c r="AQ436" s="2495"/>
      <c r="AR436" s="2495"/>
      <c r="AS436" s="2495"/>
      <c r="AT436" s="2495"/>
      <c r="AU436" s="2495"/>
    </row>
    <row r="437" spans="1:49">
      <c r="A437" s="73"/>
      <c r="B437" s="73"/>
      <c r="D437" s="3261"/>
      <c r="E437" s="1659"/>
      <c r="F437" s="1659"/>
      <c r="G437" s="1659"/>
      <c r="H437" s="1659"/>
      <c r="I437" s="3275"/>
      <c r="J437" s="3275"/>
      <c r="K437" s="1659"/>
      <c r="L437" s="1659"/>
      <c r="M437" s="2497"/>
      <c r="N437" s="2496"/>
      <c r="O437" s="2496"/>
      <c r="P437" s="2496"/>
      <c r="Q437" s="2496"/>
      <c r="R437" s="2496"/>
      <c r="S437" s="2496"/>
      <c r="T437" s="2496"/>
      <c r="U437" s="2495"/>
      <c r="V437" s="2495"/>
      <c r="W437" s="2495"/>
      <c r="X437" s="2495"/>
      <c r="Y437" s="2495"/>
      <c r="Z437" s="2495"/>
      <c r="AA437" s="2495"/>
      <c r="AB437" s="2495"/>
      <c r="AC437" s="2495"/>
      <c r="AD437" s="2495"/>
      <c r="AE437" s="2495"/>
      <c r="AF437" s="2495"/>
      <c r="AG437" s="2495"/>
      <c r="AH437" s="2495"/>
      <c r="AI437" s="2495"/>
      <c r="AJ437" s="2495"/>
      <c r="AK437" s="2495"/>
      <c r="AL437" s="2495"/>
      <c r="AM437" s="2495"/>
      <c r="AN437" s="2495"/>
      <c r="AO437" s="2495"/>
      <c r="AP437" s="2495"/>
      <c r="AQ437" s="2495"/>
      <c r="AR437" s="2495"/>
      <c r="AS437" s="2495"/>
      <c r="AT437" s="2495"/>
      <c r="AU437" s="2495"/>
    </row>
    <row r="438" spans="1:49" ht="12.75" customHeight="1">
      <c r="A438" s="73"/>
      <c r="B438" s="73"/>
      <c r="D438" s="3276" t="s">
        <v>2304</v>
      </c>
      <c r="E438" s="1659"/>
      <c r="F438" s="1659"/>
      <c r="G438" s="1659"/>
      <c r="H438" s="1659"/>
      <c r="I438" s="1659"/>
      <c r="J438" s="3056"/>
      <c r="K438" s="1659"/>
      <c r="L438" s="2662"/>
      <c r="M438" s="2497"/>
      <c r="N438" s="2496"/>
      <c r="O438" s="2496"/>
      <c r="P438" s="2496"/>
      <c r="Q438" s="2496"/>
      <c r="R438" s="2496"/>
      <c r="S438" s="2496"/>
      <c r="T438" s="2496"/>
      <c r="U438" s="2495"/>
      <c r="V438" s="2495"/>
      <c r="W438" s="2495"/>
      <c r="X438" s="2495"/>
      <c r="Y438" s="2495"/>
      <c r="Z438" s="2495"/>
      <c r="AA438" s="2495"/>
      <c r="AB438" s="2495"/>
      <c r="AC438" s="2495"/>
      <c r="AD438" s="2495"/>
      <c r="AE438" s="2495"/>
      <c r="AF438" s="2495"/>
      <c r="AG438" s="2495"/>
      <c r="AH438" s="2495"/>
      <c r="AI438" s="2495"/>
      <c r="AJ438" s="2495"/>
      <c r="AK438" s="2495"/>
      <c r="AL438" s="2495"/>
      <c r="AM438" s="2495"/>
      <c r="AN438" s="2495"/>
      <c r="AO438" s="2495"/>
      <c r="AP438" s="2495"/>
      <c r="AQ438" s="2495"/>
      <c r="AR438" s="2495"/>
      <c r="AS438" s="2495"/>
      <c r="AT438" s="2495"/>
      <c r="AU438" s="2495"/>
    </row>
    <row r="439" spans="1:49">
      <c r="A439" s="73"/>
      <c r="B439" s="73"/>
      <c r="D439" s="3278" t="s">
        <v>2315</v>
      </c>
      <c r="E439" s="1659"/>
      <c r="F439" s="1659"/>
      <c r="G439" s="1659"/>
      <c r="H439" s="72"/>
      <c r="I439" s="1329"/>
      <c r="J439" s="1329"/>
      <c r="K439" s="2571"/>
      <c r="L439" s="2662"/>
      <c r="M439" s="2497"/>
      <c r="N439" s="2496"/>
      <c r="O439" s="2496"/>
      <c r="P439" s="2496"/>
      <c r="Q439" s="2496"/>
      <c r="R439" s="2496"/>
      <c r="S439" s="2496"/>
      <c r="T439" s="2496"/>
      <c r="U439" s="2495"/>
      <c r="V439" s="2495"/>
      <c r="W439" s="2495"/>
      <c r="X439" s="2495"/>
      <c r="Y439" s="2495"/>
      <c r="Z439" s="2495"/>
      <c r="AA439" s="2495"/>
      <c r="AB439" s="2495"/>
      <c r="AC439" s="2495"/>
      <c r="AD439" s="2495"/>
      <c r="AE439" s="2495"/>
      <c r="AF439" s="2495"/>
      <c r="AG439" s="2495"/>
      <c r="AH439" s="2495"/>
      <c r="AI439" s="2495"/>
      <c r="AJ439" s="2495"/>
      <c r="AK439" s="2495"/>
      <c r="AL439" s="2495"/>
      <c r="AM439" s="2495"/>
      <c r="AN439" s="2495"/>
      <c r="AO439" s="2495"/>
      <c r="AP439" s="2495"/>
      <c r="AQ439" s="2495"/>
      <c r="AR439" s="2495"/>
      <c r="AS439" s="2495"/>
      <c r="AT439" s="2495"/>
      <c r="AU439" s="2495"/>
    </row>
    <row r="440" spans="1:49">
      <c r="A440" s="73"/>
      <c r="B440" s="73"/>
      <c r="D440" s="4142" t="s">
        <v>2328</v>
      </c>
      <c r="E440" s="4142"/>
      <c r="F440" s="4142"/>
      <c r="G440" s="4142"/>
      <c r="H440" s="4142"/>
      <c r="I440" s="4142"/>
      <c r="J440" s="1329"/>
      <c r="K440" s="2958"/>
      <c r="L440" s="2662"/>
      <c r="M440" s="2497"/>
      <c r="N440" s="2496"/>
      <c r="O440" s="2496"/>
      <c r="P440" s="2496"/>
      <c r="Q440" s="2496"/>
      <c r="R440" s="2496"/>
      <c r="S440" s="2496"/>
      <c r="T440" s="2496"/>
      <c r="U440" s="2495"/>
      <c r="V440" s="2495"/>
      <c r="W440" s="2495"/>
      <c r="X440" s="2495"/>
      <c r="Y440" s="2495"/>
      <c r="Z440" s="2495"/>
      <c r="AA440" s="2495"/>
      <c r="AB440" s="2495"/>
      <c r="AC440" s="2495"/>
      <c r="AD440" s="2495"/>
      <c r="AE440" s="2495"/>
      <c r="AF440" s="2495"/>
      <c r="AG440" s="2495"/>
      <c r="AH440" s="2495"/>
      <c r="AI440" s="2495"/>
      <c r="AJ440" s="2495"/>
      <c r="AK440" s="2495"/>
      <c r="AL440" s="2495"/>
      <c r="AM440" s="2495"/>
      <c r="AN440" s="2495"/>
      <c r="AO440" s="2495"/>
      <c r="AP440" s="2495"/>
      <c r="AQ440" s="2495"/>
      <c r="AR440" s="2495"/>
      <c r="AS440" s="2495"/>
      <c r="AT440" s="2495"/>
      <c r="AU440" s="2495"/>
    </row>
    <row r="441" spans="1:49">
      <c r="A441" s="73"/>
      <c r="B441" s="73"/>
      <c r="D441" s="4142"/>
      <c r="E441" s="4142"/>
      <c r="F441" s="4142"/>
      <c r="G441" s="4142"/>
      <c r="H441" s="4142"/>
      <c r="I441" s="4142"/>
      <c r="J441" s="1329"/>
      <c r="K441" s="3288" t="s">
        <v>2329</v>
      </c>
      <c r="L441" s="2662"/>
      <c r="M441" s="2497"/>
      <c r="N441" s="2496"/>
      <c r="O441" s="2496"/>
      <c r="P441" s="2496"/>
      <c r="Q441" s="2496"/>
      <c r="R441" s="2496"/>
      <c r="S441" s="2496"/>
      <c r="T441" s="2496"/>
      <c r="U441" s="2495"/>
      <c r="V441" s="2495"/>
      <c r="W441" s="2495"/>
      <c r="X441" s="2495"/>
      <c r="Y441" s="2495"/>
      <c r="Z441" s="2495"/>
      <c r="AA441" s="2495"/>
      <c r="AB441" s="2495"/>
      <c r="AC441" s="2495"/>
      <c r="AD441" s="2495"/>
      <c r="AE441" s="2495"/>
      <c r="AF441" s="2495"/>
      <c r="AG441" s="2495"/>
      <c r="AH441" s="2495"/>
      <c r="AI441" s="2495"/>
      <c r="AJ441" s="2495"/>
      <c r="AK441" s="2495"/>
      <c r="AL441" s="2495"/>
      <c r="AM441" s="2495"/>
      <c r="AN441" s="2495"/>
      <c r="AO441" s="2495"/>
      <c r="AP441" s="2495"/>
      <c r="AQ441" s="2495"/>
      <c r="AR441" s="2495"/>
      <c r="AS441" s="2495"/>
      <c r="AT441" s="2495"/>
      <c r="AU441" s="2495"/>
    </row>
    <row r="442" spans="1:49">
      <c r="A442" s="73"/>
      <c r="B442" s="73"/>
      <c r="D442" s="3157"/>
      <c r="E442" s="72"/>
      <c r="F442" s="72"/>
      <c r="G442" s="72"/>
      <c r="H442" s="72"/>
      <c r="I442" s="1329"/>
      <c r="J442" s="1329"/>
      <c r="K442" s="2874"/>
      <c r="L442" s="2662"/>
      <c r="M442" s="2497"/>
      <c r="N442" s="2496"/>
      <c r="O442" s="2496"/>
      <c r="P442" s="2496"/>
      <c r="Q442" s="2496"/>
      <c r="R442" s="2496"/>
      <c r="S442" s="2496"/>
      <c r="T442" s="2496"/>
      <c r="U442" s="2495"/>
      <c r="V442" s="2495"/>
      <c r="W442" s="2495"/>
      <c r="X442" s="2495"/>
      <c r="Y442" s="2495"/>
      <c r="Z442" s="2495"/>
      <c r="AA442" s="2495"/>
      <c r="AB442" s="2495"/>
      <c r="AC442" s="2495"/>
      <c r="AD442" s="2495"/>
      <c r="AE442" s="2495"/>
      <c r="AF442" s="2495"/>
      <c r="AG442" s="2495"/>
      <c r="AH442" s="2495"/>
      <c r="AI442" s="2495"/>
      <c r="AJ442" s="2495"/>
      <c r="AK442" s="2495"/>
      <c r="AL442" s="2495"/>
      <c r="AM442" s="2495"/>
      <c r="AN442" s="2495"/>
      <c r="AO442" s="2495"/>
      <c r="AP442" s="2495"/>
      <c r="AQ442" s="2495"/>
      <c r="AR442" s="2495"/>
      <c r="AS442" s="2495"/>
      <c r="AT442" s="2495"/>
      <c r="AU442" s="2495"/>
    </row>
    <row r="443" spans="1:49">
      <c r="A443" s="3178"/>
      <c r="B443" s="3178"/>
      <c r="D443" s="3157"/>
      <c r="E443" s="72"/>
      <c r="F443" s="72"/>
      <c r="G443" s="72"/>
      <c r="H443" s="72"/>
      <c r="I443" s="1329"/>
      <c r="J443" s="1329"/>
      <c r="K443" s="2874"/>
      <c r="L443" s="2662"/>
      <c r="M443" s="2497"/>
      <c r="N443" s="2496"/>
      <c r="O443" s="2496"/>
      <c r="P443" s="2496"/>
      <c r="Q443" s="2496"/>
      <c r="R443" s="2496"/>
      <c r="S443" s="2496"/>
      <c r="T443" s="2496"/>
      <c r="U443" s="2495"/>
      <c r="V443" s="2495"/>
      <c r="W443" s="2495"/>
      <c r="X443" s="2495"/>
      <c r="Y443" s="2495"/>
      <c r="Z443" s="2495"/>
      <c r="AA443" s="2495"/>
      <c r="AB443" s="2495"/>
      <c r="AC443" s="2495"/>
      <c r="AD443" s="2495"/>
      <c r="AE443" s="2495"/>
      <c r="AF443" s="2495"/>
      <c r="AG443" s="2495"/>
      <c r="AH443" s="2495"/>
      <c r="AI443" s="2495"/>
      <c r="AJ443" s="2495"/>
      <c r="AK443" s="2495"/>
      <c r="AL443" s="2495"/>
      <c r="AM443" s="2495"/>
      <c r="AN443" s="2495"/>
      <c r="AO443" s="2495"/>
      <c r="AP443" s="2495"/>
      <c r="AQ443" s="2495"/>
      <c r="AR443" s="2495"/>
      <c r="AS443" s="2495"/>
      <c r="AT443" s="2495"/>
      <c r="AU443" s="2495"/>
    </row>
    <row r="444" spans="1:49">
      <c r="A444" s="3178"/>
      <c r="B444" s="3178"/>
      <c r="D444" s="3157"/>
      <c r="E444" s="72"/>
      <c r="F444" s="72"/>
      <c r="G444" s="72"/>
      <c r="H444" s="72"/>
      <c r="I444" s="1329"/>
      <c r="J444" s="1329"/>
      <c r="K444" s="2958"/>
      <c r="L444" s="2662"/>
      <c r="M444" s="2497"/>
      <c r="N444" s="2496"/>
      <c r="O444" s="2496"/>
      <c r="P444" s="2496"/>
      <c r="Q444" s="2496"/>
      <c r="R444" s="2496"/>
      <c r="S444" s="2496"/>
      <c r="T444" s="2496"/>
      <c r="U444" s="2495"/>
      <c r="V444" s="2495"/>
      <c r="W444" s="2495"/>
      <c r="X444" s="2495"/>
      <c r="Y444" s="2495"/>
      <c r="Z444" s="2495"/>
      <c r="AA444" s="2495"/>
      <c r="AB444" s="2495"/>
      <c r="AC444" s="2495"/>
      <c r="AD444" s="2495"/>
      <c r="AE444" s="2495"/>
      <c r="AF444" s="2495"/>
      <c r="AG444" s="2495"/>
      <c r="AH444" s="2495"/>
      <c r="AI444" s="2495"/>
      <c r="AJ444" s="2495"/>
      <c r="AK444" s="2495"/>
      <c r="AL444" s="2495"/>
      <c r="AM444" s="2495"/>
      <c r="AN444" s="2495"/>
      <c r="AO444" s="2495"/>
      <c r="AP444" s="2495"/>
      <c r="AQ444" s="2495"/>
      <c r="AR444" s="2495"/>
      <c r="AS444" s="2495"/>
      <c r="AT444" s="2495"/>
      <c r="AU444" s="2495"/>
    </row>
    <row r="445" spans="1:49" s="2437" customFormat="1">
      <c r="A445" s="2731" t="s">
        <v>1308</v>
      </c>
      <c r="B445" s="2739"/>
      <c r="C445" s="2444"/>
      <c r="D445" s="2740"/>
      <c r="E445" s="2740"/>
      <c r="F445" s="2740"/>
      <c r="G445" s="2740"/>
      <c r="H445" s="2740"/>
      <c r="I445" s="2740"/>
      <c r="J445" s="3056"/>
      <c r="K445" s="2729"/>
      <c r="L445" s="2729"/>
      <c r="M445" s="2497"/>
      <c r="N445" s="2497"/>
      <c r="O445" s="2497"/>
      <c r="P445" s="2497"/>
      <c r="Q445" s="2497"/>
      <c r="R445" s="2497"/>
      <c r="S445" s="2497"/>
      <c r="T445" s="2497"/>
      <c r="U445" s="2507"/>
      <c r="V445" s="2507"/>
      <c r="W445" s="2507"/>
      <c r="X445" s="2507"/>
      <c r="Y445" s="2507"/>
      <c r="Z445" s="2507"/>
      <c r="AA445" s="2507"/>
      <c r="AB445" s="2507"/>
      <c r="AC445" s="2507"/>
      <c r="AD445" s="2507"/>
      <c r="AE445" s="2507"/>
      <c r="AF445" s="2507"/>
      <c r="AG445" s="2507"/>
      <c r="AH445" s="2507"/>
      <c r="AI445" s="2507"/>
      <c r="AJ445" s="2507"/>
      <c r="AK445" s="2507"/>
      <c r="AL445" s="2507"/>
      <c r="AM445" s="2507"/>
      <c r="AN445" s="2507"/>
      <c r="AO445" s="2507"/>
      <c r="AP445" s="2507"/>
      <c r="AQ445" s="2507"/>
      <c r="AR445" s="2507"/>
      <c r="AS445" s="2507"/>
      <c r="AT445" s="2507"/>
      <c r="AU445" s="2507"/>
      <c r="AW445" s="2347"/>
    </row>
    <row r="446" spans="1:49" s="2437" customFormat="1">
      <c r="A446" s="640"/>
      <c r="B446" s="83"/>
      <c r="C446" s="2435"/>
      <c r="D446" s="2740"/>
      <c r="E446" s="2740"/>
      <c r="F446" s="2740"/>
      <c r="G446" s="2740"/>
      <c r="H446" s="2740"/>
      <c r="I446" s="2740"/>
      <c r="J446" s="3056"/>
      <c r="K446" s="2729"/>
      <c r="L446" s="2729"/>
      <c r="M446" s="2497"/>
      <c r="N446" s="2497"/>
      <c r="O446" s="2497"/>
      <c r="P446" s="2497"/>
      <c r="Q446" s="2497"/>
      <c r="R446" s="2497"/>
      <c r="S446" s="2497"/>
      <c r="T446" s="2497"/>
      <c r="U446" s="2507"/>
      <c r="V446" s="2507"/>
      <c r="W446" s="2507"/>
      <c r="X446" s="2507"/>
      <c r="Y446" s="2507"/>
      <c r="Z446" s="2507"/>
      <c r="AA446" s="2507"/>
      <c r="AB446" s="2507"/>
      <c r="AC446" s="2507"/>
      <c r="AD446" s="2507"/>
      <c r="AE446" s="2507"/>
      <c r="AF446" s="2507"/>
      <c r="AG446" s="2507"/>
      <c r="AH446" s="2507"/>
      <c r="AI446" s="2507"/>
      <c r="AJ446" s="2507"/>
      <c r="AK446" s="2507"/>
      <c r="AL446" s="2507"/>
      <c r="AM446" s="2507"/>
      <c r="AN446" s="2507"/>
      <c r="AO446" s="2507"/>
      <c r="AP446" s="2507"/>
      <c r="AQ446" s="2507"/>
      <c r="AR446" s="2507"/>
      <c r="AS446" s="2507"/>
      <c r="AT446" s="2507"/>
      <c r="AU446" s="2507"/>
      <c r="AW446" s="2347"/>
    </row>
    <row r="447" spans="1:49" s="2437" customFormat="1">
      <c r="A447" s="640"/>
      <c r="B447" s="83"/>
      <c r="C447" s="2435"/>
      <c r="D447" s="2740"/>
      <c r="E447" s="2740"/>
      <c r="F447" s="2740"/>
      <c r="G447" s="2740"/>
      <c r="H447" s="2740"/>
      <c r="I447" s="2740"/>
      <c r="J447" s="3056"/>
      <c r="K447" s="2729"/>
      <c r="L447" s="2729"/>
      <c r="M447" s="2497"/>
      <c r="N447" s="2497"/>
      <c r="O447" s="2497"/>
      <c r="P447" s="2497"/>
      <c r="Q447" s="2497"/>
      <c r="R447" s="2497"/>
      <c r="S447" s="2497"/>
      <c r="T447" s="2497"/>
      <c r="U447" s="2507"/>
      <c r="V447" s="2507"/>
      <c r="W447" s="2507"/>
      <c r="X447" s="2507"/>
      <c r="Y447" s="2507"/>
      <c r="Z447" s="2507"/>
      <c r="AA447" s="2507"/>
      <c r="AB447" s="2507"/>
      <c r="AC447" s="2507"/>
      <c r="AD447" s="2507"/>
      <c r="AE447" s="2507"/>
      <c r="AF447" s="2507"/>
      <c r="AG447" s="2507"/>
      <c r="AH447" s="2507"/>
      <c r="AI447" s="2507"/>
      <c r="AJ447" s="2507"/>
      <c r="AK447" s="2507"/>
      <c r="AL447" s="2507"/>
      <c r="AM447" s="2507"/>
      <c r="AN447" s="2507"/>
      <c r="AO447" s="2507"/>
      <c r="AP447" s="2507"/>
      <c r="AQ447" s="2507"/>
      <c r="AR447" s="2507"/>
      <c r="AS447" s="2507"/>
      <c r="AT447" s="2507"/>
      <c r="AU447" s="2507"/>
      <c r="AW447" s="2347"/>
    </row>
    <row r="448" spans="1:49" s="2437" customFormat="1">
      <c r="A448" s="640"/>
      <c r="B448" s="83"/>
      <c r="C448" s="2435"/>
      <c r="D448" s="2740"/>
      <c r="E448" s="2740"/>
      <c r="F448" s="2740"/>
      <c r="G448" s="2740"/>
      <c r="H448" s="2740"/>
      <c r="I448" s="2740"/>
      <c r="J448" s="3056"/>
      <c r="K448" s="2729"/>
      <c r="L448" s="2729"/>
      <c r="M448" s="2497"/>
      <c r="N448" s="2497"/>
      <c r="O448" s="2497"/>
      <c r="P448" s="2497"/>
      <c r="Q448" s="2497"/>
      <c r="R448" s="2497"/>
      <c r="S448" s="2497"/>
      <c r="T448" s="2497"/>
      <c r="U448" s="2507"/>
      <c r="V448" s="2507"/>
      <c r="W448" s="2507"/>
      <c r="X448" s="2507"/>
      <c r="Y448" s="2507"/>
      <c r="Z448" s="2507"/>
      <c r="AA448" s="2507"/>
      <c r="AB448" s="2507"/>
      <c r="AC448" s="2507"/>
      <c r="AD448" s="2507"/>
      <c r="AE448" s="2507"/>
      <c r="AF448" s="2507"/>
      <c r="AG448" s="2507"/>
      <c r="AH448" s="2507"/>
      <c r="AI448" s="2507"/>
      <c r="AJ448" s="2507"/>
      <c r="AK448" s="2507"/>
      <c r="AL448" s="2507"/>
      <c r="AM448" s="2507"/>
      <c r="AN448" s="2507"/>
      <c r="AO448" s="2507"/>
      <c r="AP448" s="2507"/>
      <c r="AQ448" s="2507"/>
      <c r="AR448" s="2507"/>
      <c r="AS448" s="2507"/>
      <c r="AT448" s="2507"/>
      <c r="AU448" s="2507"/>
      <c r="AW448" s="2347"/>
    </row>
    <row r="449" spans="1:49" s="2437" customFormat="1">
      <c r="A449" s="640"/>
      <c r="B449" s="83"/>
      <c r="C449" s="2435"/>
      <c r="D449" s="2740"/>
      <c r="E449" s="2740"/>
      <c r="F449" s="2740"/>
      <c r="G449" s="2740"/>
      <c r="H449" s="2740"/>
      <c r="I449" s="2740"/>
      <c r="J449" s="3056"/>
      <c r="K449" s="2729"/>
      <c r="L449" s="2729"/>
      <c r="M449" s="2497"/>
      <c r="N449" s="2497"/>
      <c r="O449" s="2497"/>
      <c r="P449" s="2497"/>
      <c r="Q449" s="2497"/>
      <c r="R449" s="2497"/>
      <c r="S449" s="2497"/>
      <c r="T449" s="2497"/>
      <c r="U449" s="2507"/>
      <c r="V449" s="2507"/>
      <c r="W449" s="2507"/>
      <c r="X449" s="2507"/>
      <c r="Y449" s="2507"/>
      <c r="Z449" s="2507"/>
      <c r="AA449" s="2507"/>
      <c r="AB449" s="2507"/>
      <c r="AC449" s="2507"/>
      <c r="AD449" s="2507"/>
      <c r="AE449" s="2507"/>
      <c r="AF449" s="2507"/>
      <c r="AG449" s="2507"/>
      <c r="AH449" s="2507"/>
      <c r="AI449" s="2507"/>
      <c r="AJ449" s="2507"/>
      <c r="AK449" s="2507"/>
      <c r="AL449" s="2507"/>
      <c r="AM449" s="2507"/>
      <c r="AN449" s="2507"/>
      <c r="AO449" s="2507"/>
      <c r="AP449" s="2507"/>
      <c r="AQ449" s="2507"/>
      <c r="AR449" s="2507"/>
      <c r="AS449" s="2507"/>
      <c r="AT449" s="2507"/>
      <c r="AU449" s="2507"/>
      <c r="AW449" s="2347"/>
    </row>
    <row r="450" spans="1:49" s="2437" customFormat="1">
      <c r="A450" s="588"/>
      <c r="B450" s="1436"/>
      <c r="C450" s="2435"/>
      <c r="D450" s="2740"/>
      <c r="E450" s="2740"/>
      <c r="F450" s="2740"/>
      <c r="G450" s="2740"/>
      <c r="H450" s="2740"/>
      <c r="I450" s="2740"/>
      <c r="J450" s="3056"/>
      <c r="K450" s="2729"/>
      <c r="L450" s="2729"/>
      <c r="M450" s="2497"/>
      <c r="N450" s="2497"/>
      <c r="O450" s="2497"/>
      <c r="P450" s="2497"/>
      <c r="Q450" s="2497"/>
      <c r="R450" s="2497"/>
      <c r="S450" s="2497"/>
      <c r="T450" s="2497"/>
      <c r="U450" s="2507"/>
      <c r="V450" s="2507"/>
      <c r="W450" s="2507"/>
      <c r="X450" s="2507"/>
      <c r="Y450" s="2507"/>
      <c r="Z450" s="2507"/>
      <c r="AA450" s="2507"/>
      <c r="AB450" s="2507"/>
      <c r="AC450" s="2507"/>
      <c r="AD450" s="2507"/>
      <c r="AE450" s="2507"/>
      <c r="AF450" s="2507"/>
      <c r="AG450" s="2507"/>
      <c r="AH450" s="2507"/>
      <c r="AI450" s="2507"/>
      <c r="AJ450" s="2507"/>
      <c r="AK450" s="2507"/>
      <c r="AL450" s="2507"/>
      <c r="AM450" s="2507"/>
      <c r="AN450" s="2507"/>
      <c r="AO450" s="2507"/>
      <c r="AP450" s="2507"/>
      <c r="AQ450" s="2507"/>
      <c r="AR450" s="2507"/>
      <c r="AS450" s="2507"/>
      <c r="AT450" s="2507"/>
      <c r="AU450" s="2507"/>
      <c r="AW450" s="2347"/>
    </row>
    <row r="451" spans="1:49" ht="13.15" customHeight="1">
      <c r="A451" s="764"/>
      <c r="B451" s="1331"/>
      <c r="D451" s="151"/>
      <c r="E451" s="151"/>
      <c r="F451" s="151"/>
      <c r="G451" s="2663"/>
      <c r="H451" s="2663"/>
      <c r="I451" s="2663"/>
      <c r="J451" s="4038"/>
      <c r="K451" s="4038"/>
      <c r="L451" s="2523"/>
      <c r="M451" s="2497"/>
      <c r="N451" s="2532"/>
      <c r="O451" s="2532"/>
      <c r="P451" s="2532"/>
      <c r="Q451" s="2532"/>
      <c r="R451" s="2532"/>
      <c r="S451" s="2532"/>
      <c r="T451" s="2532"/>
      <c r="U451" s="2495"/>
      <c r="V451" s="2495"/>
      <c r="W451" s="2495"/>
      <c r="X451" s="2495"/>
      <c r="Y451" s="2495"/>
      <c r="Z451" s="2495"/>
      <c r="AA451" s="2495"/>
      <c r="AB451" s="2495"/>
      <c r="AC451" s="2495"/>
      <c r="AD451" s="2495"/>
      <c r="AE451" s="2495"/>
      <c r="AF451" s="2495"/>
      <c r="AG451" s="2495"/>
      <c r="AH451" s="2495"/>
      <c r="AI451" s="2495"/>
      <c r="AJ451" s="2495"/>
      <c r="AK451" s="2495"/>
      <c r="AL451" s="2495"/>
      <c r="AM451" s="2495"/>
      <c r="AN451" s="2495"/>
      <c r="AO451" s="2495"/>
      <c r="AP451" s="2495"/>
      <c r="AQ451" s="2495"/>
      <c r="AR451" s="2495"/>
      <c r="AS451" s="2495"/>
      <c r="AT451" s="2495"/>
      <c r="AU451" s="2495"/>
    </row>
    <row r="452" spans="1:49" s="2495" customFormat="1" ht="3" hidden="1" customHeight="1">
      <c r="A452" s="2534"/>
      <c r="B452" s="2535"/>
      <c r="C452" s="2517"/>
      <c r="G452" s="2536"/>
      <c r="H452" s="2536"/>
      <c r="I452" s="2536"/>
      <c r="J452" s="2537"/>
      <c r="K452" s="2537"/>
      <c r="L452" s="2538"/>
      <c r="M452" s="2497"/>
      <c r="N452" s="2540"/>
      <c r="O452" s="2540"/>
      <c r="P452" s="2540"/>
      <c r="Q452" s="2540"/>
      <c r="R452" s="2540"/>
      <c r="S452" s="2540"/>
      <c r="T452" s="2540"/>
      <c r="U452" s="1659"/>
      <c r="AW452" s="2496"/>
    </row>
    <row r="453" spans="1:49" ht="13.15" hidden="1" customHeight="1">
      <c r="A453" s="948"/>
      <c r="B453" s="2094"/>
      <c r="C453" s="2452"/>
      <c r="D453" s="4136" t="s">
        <v>1163</v>
      </c>
      <c r="E453" s="4136"/>
      <c r="F453" s="4136"/>
      <c r="G453" s="4136"/>
      <c r="H453" s="4136"/>
      <c r="I453" s="4136"/>
      <c r="J453" s="4136"/>
      <c r="K453" s="4136"/>
      <c r="L453" s="4136"/>
      <c r="M453" s="2497"/>
      <c r="N453" s="2541"/>
      <c r="O453" s="2541"/>
      <c r="P453" s="2541"/>
      <c r="Q453" s="2541"/>
      <c r="R453" s="2541"/>
      <c r="S453" s="2541"/>
      <c r="T453" s="2541"/>
      <c r="U453" s="1659"/>
      <c r="V453" s="2495"/>
      <c r="W453" s="2495"/>
      <c r="X453" s="2495"/>
      <c r="Y453" s="2495"/>
      <c r="Z453" s="2495"/>
      <c r="AA453" s="2495"/>
      <c r="AB453" s="2495"/>
      <c r="AC453" s="2495"/>
      <c r="AD453" s="2495"/>
      <c r="AE453" s="2495"/>
      <c r="AF453" s="2495"/>
      <c r="AG453" s="2495"/>
      <c r="AH453" s="2495"/>
      <c r="AI453" s="2495"/>
      <c r="AJ453" s="2495"/>
      <c r="AK453" s="2495"/>
      <c r="AL453" s="2495"/>
      <c r="AM453" s="2495"/>
      <c r="AN453" s="2495"/>
      <c r="AO453" s="2495"/>
      <c r="AP453" s="2495"/>
      <c r="AQ453" s="2495"/>
      <c r="AR453" s="2495"/>
      <c r="AS453" s="2495"/>
      <c r="AT453" s="2495"/>
      <c r="AU453" s="2495"/>
    </row>
    <row r="454" spans="1:49" ht="13.15" hidden="1" customHeight="1">
      <c r="A454" s="948"/>
      <c r="B454" s="2094"/>
      <c r="C454" s="2452"/>
      <c r="D454" s="4136"/>
      <c r="E454" s="4136"/>
      <c r="F454" s="4136"/>
      <c r="G454" s="4136"/>
      <c r="H454" s="4136"/>
      <c r="I454" s="4136"/>
      <c r="J454" s="4136"/>
      <c r="K454" s="4136"/>
      <c r="L454" s="4136"/>
      <c r="M454" s="2497"/>
      <c r="N454" s="910"/>
      <c r="O454" s="910"/>
      <c r="P454" s="910"/>
      <c r="Q454" s="910"/>
      <c r="R454" s="910"/>
      <c r="S454" s="910"/>
      <c r="T454" s="910"/>
      <c r="U454" s="912"/>
      <c r="V454" s="2495"/>
      <c r="W454" s="2495"/>
      <c r="X454" s="2495"/>
      <c r="Y454" s="2495"/>
      <c r="Z454" s="2495"/>
      <c r="AA454" s="2495"/>
      <c r="AB454" s="2495"/>
      <c r="AC454" s="2495"/>
      <c r="AD454" s="2495"/>
      <c r="AE454" s="2495"/>
      <c r="AF454" s="2495"/>
      <c r="AG454" s="2495"/>
      <c r="AH454" s="2495"/>
      <c r="AI454" s="2495"/>
      <c r="AJ454" s="2495"/>
      <c r="AK454" s="2495"/>
      <c r="AL454" s="2495"/>
      <c r="AM454" s="2495"/>
      <c r="AN454" s="2495"/>
      <c r="AO454" s="2495"/>
      <c r="AP454" s="2495"/>
      <c r="AQ454" s="2495"/>
      <c r="AR454" s="2495"/>
      <c r="AS454" s="2495"/>
      <c r="AT454" s="2495"/>
      <c r="AU454" s="2495"/>
    </row>
    <row r="455" spans="1:49" ht="13.15" hidden="1" customHeight="1">
      <c r="A455" s="948"/>
      <c r="B455" s="2094"/>
      <c r="C455" s="2452"/>
      <c r="D455" s="2490"/>
      <c r="E455" s="2490"/>
      <c r="F455" s="2490"/>
      <c r="G455" s="2490"/>
      <c r="H455" s="2490"/>
      <c r="I455" s="2490"/>
      <c r="J455" s="2490"/>
      <c r="K455" s="2490"/>
      <c r="L455" s="2523"/>
      <c r="M455" s="2497"/>
      <c r="N455" s="910"/>
      <c r="O455" s="910"/>
      <c r="P455" s="910"/>
      <c r="Q455" s="910"/>
      <c r="R455" s="910"/>
      <c r="S455" s="910"/>
      <c r="T455" s="910"/>
      <c r="U455" s="912"/>
      <c r="V455" s="2495"/>
      <c r="W455" s="2495"/>
      <c r="X455" s="2495"/>
      <c r="Y455" s="2495"/>
      <c r="Z455" s="2495"/>
      <c r="AA455" s="2495"/>
      <c r="AB455" s="2495"/>
      <c r="AC455" s="2495"/>
      <c r="AD455" s="2495"/>
      <c r="AE455" s="2495"/>
      <c r="AF455" s="2495"/>
      <c r="AG455" s="2495"/>
      <c r="AH455" s="2495"/>
      <c r="AI455" s="2495"/>
      <c r="AJ455" s="2495"/>
      <c r="AK455" s="2495"/>
      <c r="AL455" s="2495"/>
      <c r="AM455" s="2495"/>
      <c r="AN455" s="2495"/>
      <c r="AO455" s="2495"/>
      <c r="AP455" s="2495"/>
      <c r="AQ455" s="2495"/>
      <c r="AR455" s="2495"/>
      <c r="AS455" s="2495"/>
      <c r="AT455" s="2495"/>
      <c r="AU455" s="2495"/>
    </row>
    <row r="456" spans="1:49" ht="13.15" hidden="1" customHeight="1">
      <c r="A456" s="764"/>
      <c r="B456" s="1331"/>
      <c r="D456" s="912"/>
      <c r="E456" s="912"/>
      <c r="F456" s="912"/>
      <c r="G456" s="911"/>
      <c r="H456" s="911"/>
      <c r="I456" s="911"/>
      <c r="J456" s="909"/>
      <c r="K456" s="909"/>
      <c r="L456" s="2523"/>
      <c r="M456" s="2497"/>
      <c r="N456" s="910"/>
      <c r="O456" s="910"/>
      <c r="P456" s="910"/>
      <c r="Q456" s="910"/>
      <c r="R456" s="910"/>
      <c r="S456" s="910"/>
      <c r="T456" s="910"/>
      <c r="U456" s="912"/>
      <c r="V456" s="2495"/>
      <c r="W456" s="2495"/>
      <c r="X456" s="2495"/>
      <c r="Y456" s="2495"/>
      <c r="Z456" s="2495"/>
      <c r="AA456" s="2495"/>
      <c r="AB456" s="2495"/>
      <c r="AC456" s="2495"/>
      <c r="AD456" s="2495"/>
      <c r="AE456" s="2495"/>
      <c r="AF456" s="2495"/>
      <c r="AG456" s="2495"/>
      <c r="AH456" s="2495"/>
      <c r="AI456" s="2495"/>
      <c r="AJ456" s="2495"/>
      <c r="AK456" s="2495"/>
      <c r="AL456" s="2495"/>
      <c r="AM456" s="2495"/>
      <c r="AN456" s="2495"/>
      <c r="AO456" s="2495"/>
      <c r="AP456" s="2495"/>
      <c r="AQ456" s="2495"/>
      <c r="AR456" s="2495"/>
      <c r="AS456" s="2495"/>
      <c r="AT456" s="2495"/>
      <c r="AU456" s="2495"/>
    </row>
    <row r="457" spans="1:49" ht="13.15" hidden="1" customHeight="1">
      <c r="A457" s="764"/>
      <c r="B457" s="1331"/>
      <c r="D457" s="75"/>
      <c r="E457" s="912"/>
      <c r="F457" s="912"/>
      <c r="G457" s="911"/>
      <c r="H457" s="911"/>
      <c r="I457" s="911"/>
      <c r="J457" s="4137" t="s">
        <v>969</v>
      </c>
      <c r="K457" s="4137"/>
      <c r="L457" s="4137"/>
      <c r="M457" s="2497"/>
      <c r="N457" s="910"/>
      <c r="O457" s="910"/>
      <c r="P457" s="910"/>
      <c r="Q457" s="910"/>
      <c r="R457" s="910"/>
      <c r="S457" s="910"/>
      <c r="T457" s="910"/>
      <c r="U457" s="912"/>
      <c r="V457" s="2495"/>
      <c r="W457" s="2495"/>
      <c r="X457" s="2495"/>
      <c r="Y457" s="2495"/>
      <c r="Z457" s="2495"/>
      <c r="AA457" s="2495"/>
      <c r="AB457" s="2495"/>
      <c r="AC457" s="2495"/>
      <c r="AD457" s="2495"/>
      <c r="AE457" s="2495"/>
      <c r="AF457" s="2495"/>
      <c r="AG457" s="2495"/>
      <c r="AH457" s="2495"/>
      <c r="AI457" s="2495"/>
      <c r="AJ457" s="2495"/>
      <c r="AK457" s="2495"/>
      <c r="AL457" s="2495"/>
      <c r="AM457" s="2495"/>
      <c r="AN457" s="2495"/>
      <c r="AO457" s="2495"/>
      <c r="AP457" s="2495"/>
      <c r="AQ457" s="2495"/>
      <c r="AR457" s="2495"/>
      <c r="AS457" s="2495"/>
      <c r="AT457" s="2495"/>
      <c r="AU457" s="2495"/>
    </row>
    <row r="458" spans="1:49" ht="13.15" hidden="1" customHeight="1">
      <c r="A458" s="764"/>
      <c r="B458" s="1331"/>
      <c r="D458" s="4044" t="s">
        <v>1647</v>
      </c>
      <c r="E458" s="4044"/>
      <c r="F458" s="4044"/>
      <c r="G458" s="4044"/>
      <c r="H458" s="911"/>
      <c r="I458" s="911"/>
      <c r="J458" s="4137"/>
      <c r="K458" s="4137"/>
      <c r="L458" s="4137"/>
      <c r="M458" s="2497"/>
      <c r="N458" s="910"/>
      <c r="O458" s="910"/>
      <c r="P458" s="910"/>
      <c r="Q458" s="910"/>
      <c r="R458" s="910"/>
      <c r="S458" s="910"/>
      <c r="T458" s="910"/>
      <c r="U458" s="912"/>
      <c r="V458" s="2495"/>
      <c r="W458" s="2495"/>
      <c r="X458" s="2495"/>
      <c r="Y458" s="2495"/>
      <c r="Z458" s="2495"/>
      <c r="AA458" s="2495"/>
      <c r="AB458" s="2495"/>
      <c r="AC458" s="2495"/>
      <c r="AD458" s="2495"/>
      <c r="AE458" s="2495"/>
      <c r="AF458" s="2495"/>
      <c r="AG458" s="2495"/>
      <c r="AH458" s="2495"/>
      <c r="AI458" s="2495"/>
      <c r="AJ458" s="2495"/>
      <c r="AK458" s="2495"/>
      <c r="AL458" s="2495"/>
      <c r="AM458" s="2495"/>
      <c r="AN458" s="2495"/>
      <c r="AO458" s="2495"/>
      <c r="AP458" s="2495"/>
      <c r="AQ458" s="2495"/>
      <c r="AR458" s="2495"/>
      <c r="AS458" s="2495"/>
      <c r="AT458" s="2495"/>
      <c r="AU458" s="2495"/>
    </row>
    <row r="459" spans="1:49" ht="13.15" hidden="1" customHeight="1">
      <c r="A459" s="764"/>
      <c r="B459" s="1331"/>
      <c r="D459" s="4044"/>
      <c r="E459" s="4044"/>
      <c r="F459" s="4044"/>
      <c r="G459" s="4044"/>
      <c r="H459" s="911"/>
      <c r="I459" s="911"/>
      <c r="J459" s="4137"/>
      <c r="K459" s="4137"/>
      <c r="L459" s="4137"/>
      <c r="M459" s="2497"/>
      <c r="N459" s="910"/>
      <c r="O459" s="910"/>
      <c r="P459" s="910"/>
      <c r="Q459" s="910"/>
      <c r="R459" s="910"/>
      <c r="S459" s="910"/>
      <c r="T459" s="910"/>
      <c r="U459" s="912"/>
      <c r="V459" s="2495"/>
      <c r="W459" s="2495"/>
      <c r="X459" s="2495"/>
      <c r="Y459" s="2495"/>
      <c r="Z459" s="2495"/>
      <c r="AA459" s="2495"/>
      <c r="AB459" s="2495"/>
      <c r="AC459" s="2495"/>
      <c r="AD459" s="2495"/>
      <c r="AE459" s="2495"/>
      <c r="AF459" s="2495"/>
      <c r="AG459" s="2495"/>
      <c r="AH459" s="2495"/>
      <c r="AI459" s="2495"/>
      <c r="AJ459" s="2495"/>
      <c r="AK459" s="2495"/>
      <c r="AL459" s="2495"/>
      <c r="AM459" s="2495"/>
      <c r="AN459" s="2495"/>
      <c r="AO459" s="2495"/>
      <c r="AP459" s="2495"/>
      <c r="AQ459" s="2495"/>
      <c r="AR459" s="2495"/>
      <c r="AS459" s="2495"/>
      <c r="AT459" s="2495"/>
      <c r="AU459" s="2495"/>
    </row>
    <row r="460" spans="1:49" ht="13.15" hidden="1" customHeight="1">
      <c r="A460" s="764"/>
      <c r="B460" s="1331"/>
      <c r="D460" s="4044"/>
      <c r="E460" s="4044"/>
      <c r="F460" s="4044"/>
      <c r="G460" s="4044"/>
      <c r="H460" s="911"/>
      <c r="I460" s="911"/>
      <c r="J460" s="4137"/>
      <c r="K460" s="4137"/>
      <c r="L460" s="4137"/>
      <c r="M460" s="2497"/>
      <c r="N460" s="910"/>
      <c r="O460" s="910"/>
      <c r="P460" s="910"/>
      <c r="Q460" s="910"/>
      <c r="R460" s="910"/>
      <c r="S460" s="910"/>
      <c r="T460" s="910"/>
      <c r="U460" s="912"/>
      <c r="V460" s="2495"/>
      <c r="W460" s="2495"/>
      <c r="X460" s="2495"/>
      <c r="Y460" s="2495"/>
      <c r="Z460" s="2495"/>
      <c r="AA460" s="2495"/>
      <c r="AB460" s="2495"/>
      <c r="AC460" s="2495"/>
      <c r="AD460" s="2495"/>
      <c r="AE460" s="2495"/>
      <c r="AF460" s="2495"/>
      <c r="AG460" s="2495"/>
      <c r="AH460" s="2495"/>
      <c r="AI460" s="2495"/>
      <c r="AJ460" s="2495"/>
      <c r="AK460" s="2495"/>
      <c r="AL460" s="2495"/>
      <c r="AM460" s="2495"/>
      <c r="AN460" s="2495"/>
      <c r="AO460" s="2495"/>
      <c r="AP460" s="2495"/>
      <c r="AQ460" s="2495"/>
      <c r="AR460" s="2495"/>
      <c r="AS460" s="2495"/>
      <c r="AT460" s="2495"/>
      <c r="AU460" s="2495"/>
    </row>
    <row r="461" spans="1:49" ht="13.15" hidden="1" customHeight="1">
      <c r="A461" s="764"/>
      <c r="B461" s="1331"/>
      <c r="D461" s="4044"/>
      <c r="E461" s="4044"/>
      <c r="F461" s="4044"/>
      <c r="G461" s="4044"/>
      <c r="H461" s="911"/>
      <c r="I461" s="911"/>
      <c r="J461" s="4137"/>
      <c r="K461" s="4137"/>
      <c r="L461" s="4137"/>
      <c r="M461" s="2497"/>
      <c r="N461" s="910"/>
      <c r="O461" s="910"/>
      <c r="P461" s="910"/>
      <c r="Q461" s="910"/>
      <c r="R461" s="910"/>
      <c r="S461" s="910"/>
      <c r="T461" s="910"/>
      <c r="U461" s="912"/>
      <c r="V461" s="2495"/>
      <c r="W461" s="2495"/>
      <c r="X461" s="2495"/>
      <c r="Y461" s="2495"/>
      <c r="Z461" s="2495"/>
      <c r="AA461" s="2495"/>
      <c r="AB461" s="2495"/>
      <c r="AC461" s="2495"/>
      <c r="AD461" s="2495"/>
      <c r="AE461" s="2495"/>
      <c r="AF461" s="2495"/>
      <c r="AG461" s="2495"/>
      <c r="AH461" s="2495"/>
      <c r="AI461" s="2495"/>
      <c r="AJ461" s="2495"/>
      <c r="AK461" s="2495"/>
      <c r="AL461" s="2495"/>
      <c r="AM461" s="2495"/>
      <c r="AN461" s="2495"/>
      <c r="AO461" s="2495"/>
      <c r="AP461" s="2495"/>
      <c r="AQ461" s="2495"/>
      <c r="AR461" s="2495"/>
      <c r="AS461" s="2495"/>
      <c r="AT461" s="2495"/>
      <c r="AU461" s="2495"/>
    </row>
    <row r="462" spans="1:49" ht="13.15" hidden="1" customHeight="1">
      <c r="A462" s="764"/>
      <c r="B462" s="1331"/>
      <c r="D462" s="4044"/>
      <c r="E462" s="4044"/>
      <c r="F462" s="4044"/>
      <c r="G462" s="4044"/>
      <c r="H462" s="911"/>
      <c r="I462" s="911"/>
      <c r="J462" s="4137"/>
      <c r="K462" s="4137"/>
      <c r="L462" s="4137"/>
      <c r="M462" s="2497"/>
      <c r="N462" s="910"/>
      <c r="O462" s="910"/>
      <c r="P462" s="910"/>
      <c r="Q462" s="910"/>
      <c r="R462" s="910"/>
      <c r="S462" s="910"/>
      <c r="T462" s="910"/>
      <c r="U462" s="912"/>
      <c r="V462" s="2495"/>
      <c r="W462" s="2495"/>
      <c r="X462" s="2495"/>
      <c r="Y462" s="2495"/>
      <c r="Z462" s="2495"/>
      <c r="AA462" s="2495"/>
      <c r="AB462" s="2495"/>
      <c r="AC462" s="2495"/>
      <c r="AD462" s="2495"/>
      <c r="AE462" s="2495"/>
      <c r="AF462" s="2495"/>
      <c r="AG462" s="2495"/>
      <c r="AH462" s="2495"/>
      <c r="AI462" s="2495"/>
      <c r="AJ462" s="2495"/>
      <c r="AK462" s="2495"/>
      <c r="AL462" s="2495"/>
      <c r="AM462" s="2495"/>
      <c r="AN462" s="2495"/>
      <c r="AO462" s="2495"/>
      <c r="AP462" s="2495"/>
      <c r="AQ462" s="2495"/>
      <c r="AR462" s="2495"/>
      <c r="AS462" s="2495"/>
      <c r="AT462" s="2495"/>
      <c r="AU462" s="2495"/>
    </row>
    <row r="463" spans="1:49" ht="13.15" hidden="1" customHeight="1">
      <c r="A463" s="764"/>
      <c r="B463" s="1331"/>
      <c r="D463" s="4044"/>
      <c r="E463" s="4044"/>
      <c r="F463" s="4044"/>
      <c r="G463" s="4044"/>
      <c r="H463" s="911"/>
      <c r="I463" s="911"/>
      <c r="J463" s="4137" t="s">
        <v>1164</v>
      </c>
      <c r="K463" s="4137"/>
      <c r="L463" s="4137"/>
      <c r="M463" s="2497"/>
      <c r="N463" s="910"/>
      <c r="O463" s="910"/>
      <c r="P463" s="910"/>
      <c r="Q463" s="910"/>
      <c r="R463" s="910"/>
      <c r="S463" s="910"/>
      <c r="T463" s="910"/>
      <c r="U463" s="912"/>
      <c r="V463" s="2495"/>
      <c r="W463" s="2495"/>
      <c r="X463" s="2495"/>
      <c r="Y463" s="2495"/>
      <c r="Z463" s="2495"/>
      <c r="AA463" s="2495"/>
      <c r="AB463" s="2495"/>
      <c r="AC463" s="2495"/>
      <c r="AD463" s="2495"/>
      <c r="AE463" s="2495"/>
      <c r="AF463" s="2495"/>
      <c r="AG463" s="2495"/>
      <c r="AH463" s="2495"/>
      <c r="AI463" s="2495"/>
      <c r="AJ463" s="2495"/>
      <c r="AK463" s="2495"/>
      <c r="AL463" s="2495"/>
      <c r="AM463" s="2495"/>
      <c r="AN463" s="2495"/>
      <c r="AO463" s="2495"/>
      <c r="AP463" s="2495"/>
      <c r="AQ463" s="2495"/>
      <c r="AR463" s="2495"/>
      <c r="AS463" s="2495"/>
      <c r="AT463" s="2495"/>
      <c r="AU463" s="2495"/>
    </row>
    <row r="464" spans="1:49" ht="13.15" hidden="1" customHeight="1">
      <c r="A464" s="764"/>
      <c r="B464" s="1331"/>
      <c r="D464" s="4044"/>
      <c r="E464" s="4044"/>
      <c r="F464" s="4044"/>
      <c r="G464" s="4044"/>
      <c r="H464" s="911"/>
      <c r="I464" s="911"/>
      <c r="J464" s="4137"/>
      <c r="K464" s="4137"/>
      <c r="L464" s="4137"/>
      <c r="M464" s="2497"/>
      <c r="N464" s="910"/>
      <c r="O464" s="910"/>
      <c r="P464" s="910"/>
      <c r="Q464" s="910"/>
      <c r="R464" s="910"/>
      <c r="S464" s="910"/>
      <c r="T464" s="910"/>
      <c r="U464" s="912"/>
      <c r="V464" s="2495"/>
      <c r="W464" s="2495"/>
      <c r="X464" s="2495"/>
      <c r="Y464" s="2495"/>
      <c r="Z464" s="2495"/>
      <c r="AA464" s="2495"/>
      <c r="AB464" s="2495"/>
      <c r="AC464" s="2495"/>
      <c r="AD464" s="2495"/>
      <c r="AE464" s="2495"/>
      <c r="AF464" s="2495"/>
      <c r="AG464" s="2495"/>
      <c r="AH464" s="2495"/>
      <c r="AI464" s="2495"/>
      <c r="AJ464" s="2495"/>
      <c r="AK464" s="2495"/>
      <c r="AL464" s="2495"/>
      <c r="AM464" s="2495"/>
      <c r="AN464" s="2495"/>
      <c r="AO464" s="2495"/>
      <c r="AP464" s="2495"/>
      <c r="AQ464" s="2495"/>
      <c r="AR464" s="2495"/>
      <c r="AS464" s="2495"/>
      <c r="AT464" s="2495"/>
      <c r="AU464" s="2495"/>
    </row>
    <row r="465" spans="1:49" ht="13.15" hidden="1" customHeight="1">
      <c r="A465" s="764"/>
      <c r="B465" s="1331"/>
      <c r="D465" s="1342"/>
      <c r="E465" s="1342"/>
      <c r="F465" s="1342"/>
      <c r="G465" s="1342"/>
      <c r="H465" s="911"/>
      <c r="I465" s="911"/>
      <c r="J465" s="4137"/>
      <c r="K465" s="4137"/>
      <c r="L465" s="4137"/>
      <c r="M465" s="2497"/>
      <c r="N465" s="910"/>
      <c r="O465" s="910"/>
      <c r="P465" s="910"/>
      <c r="Q465" s="910"/>
      <c r="R465" s="910"/>
      <c r="S465" s="910"/>
      <c r="T465" s="910"/>
      <c r="U465" s="912"/>
      <c r="V465" s="2495"/>
      <c r="W465" s="2495"/>
      <c r="X465" s="2495"/>
      <c r="Y465" s="2495"/>
      <c r="Z465" s="2495"/>
      <c r="AA465" s="2495"/>
      <c r="AB465" s="2495"/>
      <c r="AC465" s="2495"/>
      <c r="AD465" s="2495"/>
      <c r="AE465" s="2495"/>
      <c r="AF465" s="2495"/>
      <c r="AG465" s="2495"/>
      <c r="AH465" s="2495"/>
      <c r="AI465" s="2495"/>
      <c r="AJ465" s="2495"/>
      <c r="AK465" s="2495"/>
      <c r="AL465" s="2495"/>
      <c r="AM465" s="2495"/>
      <c r="AN465" s="2495"/>
      <c r="AO465" s="2495"/>
      <c r="AP465" s="2495"/>
      <c r="AQ465" s="2495"/>
      <c r="AR465" s="2495"/>
      <c r="AS465" s="2495"/>
      <c r="AT465" s="2495"/>
      <c r="AU465" s="2495"/>
    </row>
    <row r="466" spans="1:49" ht="13.15" hidden="1" customHeight="1">
      <c r="A466" s="764"/>
      <c r="B466" s="1331"/>
      <c r="D466" s="1342"/>
      <c r="E466" s="1342"/>
      <c r="F466" s="1342"/>
      <c r="G466" s="1342"/>
      <c r="H466" s="911"/>
      <c r="I466" s="911"/>
      <c r="J466" s="4137"/>
      <c r="K466" s="4137"/>
      <c r="L466" s="4137"/>
      <c r="M466" s="2497"/>
      <c r="N466" s="910"/>
      <c r="O466" s="910"/>
      <c r="P466" s="910"/>
      <c r="Q466" s="910"/>
      <c r="R466" s="910"/>
      <c r="S466" s="910"/>
      <c r="T466" s="910"/>
      <c r="U466" s="912"/>
      <c r="V466" s="2495"/>
      <c r="W466" s="2495"/>
      <c r="X466" s="2495"/>
      <c r="Y466" s="2495"/>
      <c r="Z466" s="2495"/>
      <c r="AA466" s="2495"/>
      <c r="AB466" s="2495"/>
      <c r="AC466" s="2495"/>
      <c r="AD466" s="2495"/>
      <c r="AE466" s="2495"/>
      <c r="AF466" s="2495"/>
      <c r="AG466" s="2495"/>
      <c r="AH466" s="2495"/>
      <c r="AI466" s="2495"/>
      <c r="AJ466" s="2495"/>
      <c r="AK466" s="2495"/>
      <c r="AL466" s="2495"/>
      <c r="AM466" s="2495"/>
      <c r="AN466" s="2495"/>
      <c r="AO466" s="2495"/>
      <c r="AP466" s="2495"/>
      <c r="AQ466" s="2495"/>
      <c r="AR466" s="2495"/>
      <c r="AS466" s="2495"/>
      <c r="AT466" s="2495"/>
      <c r="AU466" s="2495"/>
    </row>
    <row r="467" spans="1:49" ht="13.15" hidden="1" customHeight="1">
      <c r="A467" s="764"/>
      <c r="B467" s="1331"/>
      <c r="D467" s="912"/>
      <c r="E467" s="912"/>
      <c r="F467" s="912"/>
      <c r="G467" s="911"/>
      <c r="H467" s="911"/>
      <c r="I467" s="911"/>
      <c r="J467" s="2492"/>
      <c r="K467" s="2492"/>
      <c r="L467" s="2523"/>
      <c r="M467" s="2497"/>
      <c r="N467" s="910"/>
      <c r="O467" s="910"/>
      <c r="P467" s="910"/>
      <c r="Q467" s="910"/>
      <c r="R467" s="910"/>
      <c r="S467" s="910"/>
      <c r="T467" s="910"/>
      <c r="U467" s="912"/>
      <c r="V467" s="2495"/>
      <c r="W467" s="2495"/>
      <c r="X467" s="2495"/>
      <c r="Y467" s="2495"/>
      <c r="Z467" s="2495"/>
      <c r="AA467" s="2495"/>
      <c r="AB467" s="2495"/>
      <c r="AC467" s="2495"/>
      <c r="AD467" s="2495"/>
      <c r="AE467" s="2495"/>
      <c r="AF467" s="2495"/>
      <c r="AG467" s="2495"/>
      <c r="AH467" s="2495"/>
      <c r="AI467" s="2495"/>
      <c r="AJ467" s="2495"/>
      <c r="AK467" s="2495"/>
      <c r="AL467" s="2495"/>
      <c r="AM467" s="2495"/>
      <c r="AN467" s="2495"/>
      <c r="AO467" s="2495"/>
      <c r="AP467" s="2495"/>
      <c r="AQ467" s="2495"/>
      <c r="AR467" s="2495"/>
      <c r="AS467" s="2495"/>
      <c r="AT467" s="2495"/>
      <c r="AU467" s="2495"/>
    </row>
    <row r="468" spans="1:49" ht="13.15" hidden="1" customHeight="1">
      <c r="A468" s="764"/>
      <c r="B468" s="1331"/>
      <c r="D468" s="912"/>
      <c r="E468" s="912"/>
      <c r="F468" s="912"/>
      <c r="G468" s="911"/>
      <c r="H468" s="911"/>
      <c r="I468" s="911"/>
      <c r="J468" s="2492"/>
      <c r="K468" s="2492"/>
      <c r="L468" s="2523"/>
      <c r="M468" s="2497"/>
      <c r="N468" s="910"/>
      <c r="O468" s="910"/>
      <c r="P468" s="910"/>
      <c r="Q468" s="910"/>
      <c r="R468" s="910"/>
      <c r="S468" s="910"/>
      <c r="T468" s="910"/>
      <c r="U468" s="912"/>
      <c r="V468" s="2495"/>
      <c r="W468" s="2495"/>
      <c r="X468" s="2495"/>
      <c r="Y468" s="2495"/>
      <c r="Z468" s="2495"/>
      <c r="AA468" s="2495"/>
      <c r="AB468" s="2495"/>
      <c r="AC468" s="2495"/>
      <c r="AD468" s="2495"/>
      <c r="AE468" s="2495"/>
      <c r="AF468" s="2495"/>
      <c r="AG468" s="2495"/>
      <c r="AH468" s="2495"/>
      <c r="AI468" s="2495"/>
      <c r="AJ468" s="2495"/>
      <c r="AK468" s="2495"/>
      <c r="AL468" s="2495"/>
      <c r="AM468" s="2495"/>
      <c r="AN468" s="2495"/>
      <c r="AO468" s="2495"/>
      <c r="AP468" s="2495"/>
      <c r="AQ468" s="2495"/>
      <c r="AR468" s="2495"/>
      <c r="AS468" s="2495"/>
      <c r="AT468" s="2495"/>
      <c r="AU468" s="2495"/>
    </row>
    <row r="469" spans="1:49" ht="13.15" hidden="1" customHeight="1">
      <c r="A469" s="764"/>
      <c r="B469" s="1331"/>
      <c r="D469" s="912"/>
      <c r="E469" s="912"/>
      <c r="F469" s="912"/>
      <c r="G469" s="911"/>
      <c r="H469" s="911"/>
      <c r="I469" s="911"/>
      <c r="J469" s="2492"/>
      <c r="K469" s="2492"/>
      <c r="L469" s="2523"/>
      <c r="M469" s="2497"/>
      <c r="N469" s="910"/>
      <c r="O469" s="910"/>
      <c r="P469" s="910"/>
      <c r="Q469" s="910"/>
      <c r="R469" s="910"/>
      <c r="S469" s="910"/>
      <c r="T469" s="910"/>
      <c r="U469" s="912"/>
      <c r="V469" s="2495"/>
      <c r="W469" s="2495"/>
      <c r="X469" s="2495"/>
      <c r="Y469" s="2495"/>
      <c r="Z469" s="2495"/>
      <c r="AA469" s="2495"/>
      <c r="AB469" s="2495"/>
      <c r="AC469" s="2495"/>
      <c r="AD469" s="2495"/>
      <c r="AE469" s="2495"/>
      <c r="AF469" s="2495"/>
      <c r="AG469" s="2495"/>
      <c r="AH469" s="2495"/>
      <c r="AI469" s="2495"/>
      <c r="AJ469" s="2495"/>
      <c r="AK469" s="2495"/>
      <c r="AL469" s="2495"/>
      <c r="AM469" s="2495"/>
      <c r="AN469" s="2495"/>
      <c r="AO469" s="2495"/>
      <c r="AP469" s="2495"/>
      <c r="AQ469" s="2495"/>
      <c r="AR469" s="2495"/>
      <c r="AS469" s="2495"/>
      <c r="AT469" s="2495"/>
      <c r="AU469" s="2495"/>
    </row>
    <row r="470" spans="1:49" ht="13.15" hidden="1" customHeight="1">
      <c r="A470" s="764"/>
      <c r="B470" s="1331"/>
      <c r="D470" s="912"/>
      <c r="E470" s="912"/>
      <c r="F470" s="912"/>
      <c r="G470" s="911"/>
      <c r="H470" s="911"/>
      <c r="I470" s="911"/>
      <c r="J470" s="2492"/>
      <c r="K470" s="2492"/>
      <c r="L470" s="2523"/>
      <c r="M470" s="2497"/>
      <c r="N470" s="910"/>
      <c r="O470" s="910"/>
      <c r="P470" s="910"/>
      <c r="Q470" s="910"/>
      <c r="R470" s="910"/>
      <c r="S470" s="910"/>
      <c r="T470" s="910"/>
      <c r="U470" s="912"/>
      <c r="V470" s="2495"/>
      <c r="W470" s="2495"/>
      <c r="X470" s="2495"/>
      <c r="Y470" s="2495"/>
      <c r="Z470" s="2495"/>
      <c r="AA470" s="2495"/>
      <c r="AB470" s="2495"/>
      <c r="AC470" s="2495"/>
      <c r="AD470" s="2495"/>
      <c r="AE470" s="2495"/>
      <c r="AF470" s="2495"/>
      <c r="AG470" s="2495"/>
      <c r="AH470" s="2495"/>
      <c r="AI470" s="2495"/>
      <c r="AJ470" s="2495"/>
      <c r="AK470" s="2495"/>
      <c r="AL470" s="2495"/>
      <c r="AM470" s="2495"/>
      <c r="AN470" s="2495"/>
      <c r="AO470" s="2495"/>
      <c r="AP470" s="2495"/>
      <c r="AQ470" s="2495"/>
      <c r="AR470" s="2495"/>
      <c r="AS470" s="2495"/>
      <c r="AT470" s="2495"/>
      <c r="AU470" s="2495"/>
    </row>
    <row r="471" spans="1:49" ht="13.15" hidden="1" customHeight="1">
      <c r="A471" s="764"/>
      <c r="B471" s="1331"/>
      <c r="D471" s="912"/>
      <c r="E471" s="912"/>
      <c r="F471" s="912"/>
      <c r="G471" s="911"/>
      <c r="H471" s="911"/>
      <c r="I471" s="911"/>
      <c r="J471" s="2492"/>
      <c r="K471" s="2492"/>
      <c r="L471" s="2523"/>
      <c r="M471" s="2497"/>
      <c r="N471" s="910"/>
      <c r="O471" s="910"/>
      <c r="P471" s="910"/>
      <c r="Q471" s="910"/>
      <c r="R471" s="910"/>
      <c r="S471" s="910"/>
      <c r="T471" s="910"/>
      <c r="U471" s="912"/>
      <c r="V471" s="2495"/>
      <c r="W471" s="2495"/>
      <c r="X471" s="2495"/>
      <c r="Y471" s="2495"/>
      <c r="Z471" s="2495"/>
      <c r="AA471" s="2495"/>
      <c r="AB471" s="2495"/>
      <c r="AC471" s="2495"/>
      <c r="AD471" s="2495"/>
      <c r="AE471" s="2495"/>
      <c r="AF471" s="2495"/>
      <c r="AG471" s="2495"/>
      <c r="AH471" s="2495"/>
      <c r="AI471" s="2495"/>
      <c r="AJ471" s="2495"/>
      <c r="AK471" s="2495"/>
      <c r="AL471" s="2495"/>
      <c r="AM471" s="2495"/>
      <c r="AN471" s="2495"/>
      <c r="AO471" s="2495"/>
      <c r="AP471" s="2495"/>
      <c r="AQ471" s="2495"/>
      <c r="AR471" s="2495"/>
      <c r="AS471" s="2495"/>
      <c r="AT471" s="2495"/>
      <c r="AU471" s="2495"/>
    </row>
    <row r="472" spans="1:49" ht="13.15" hidden="1" customHeight="1">
      <c r="A472" s="764"/>
      <c r="B472" s="1331"/>
      <c r="D472" s="912"/>
      <c r="E472" s="912"/>
      <c r="F472" s="912"/>
      <c r="G472" s="911"/>
      <c r="H472" s="911"/>
      <c r="I472" s="911"/>
      <c r="J472" s="2492"/>
      <c r="K472" s="2492"/>
      <c r="L472" s="2524"/>
      <c r="M472" s="2497"/>
      <c r="N472" s="910"/>
      <c r="O472" s="910"/>
      <c r="P472" s="910"/>
      <c r="Q472" s="910"/>
      <c r="R472" s="910"/>
      <c r="S472" s="910"/>
      <c r="T472" s="910"/>
      <c r="U472" s="912"/>
      <c r="V472" s="2495"/>
      <c r="W472" s="2495"/>
      <c r="X472" s="2495"/>
      <c r="Y472" s="2495"/>
      <c r="Z472" s="2495"/>
      <c r="AA472" s="2495"/>
      <c r="AB472" s="2495"/>
      <c r="AC472" s="2495"/>
      <c r="AD472" s="2495"/>
      <c r="AE472" s="2495"/>
      <c r="AF472" s="2495"/>
      <c r="AG472" s="2495"/>
      <c r="AH472" s="2495"/>
      <c r="AI472" s="2495"/>
      <c r="AJ472" s="2495"/>
      <c r="AK472" s="2495"/>
      <c r="AL472" s="2495"/>
      <c r="AM472" s="2495"/>
      <c r="AN472" s="2495"/>
      <c r="AO472" s="2495"/>
      <c r="AP472" s="2495"/>
      <c r="AQ472" s="2495"/>
      <c r="AR472" s="2495"/>
      <c r="AS472" s="2495"/>
      <c r="AT472" s="2495"/>
      <c r="AU472" s="2495"/>
    </row>
    <row r="473" spans="1:49" ht="13.15" hidden="1" customHeight="1">
      <c r="A473" s="764"/>
      <c r="B473" s="1331"/>
      <c r="D473" s="912"/>
      <c r="E473" s="912"/>
      <c r="F473" s="912"/>
      <c r="G473" s="911"/>
      <c r="H473" s="911"/>
      <c r="I473" s="911"/>
      <c r="J473" s="4134" t="s">
        <v>1670</v>
      </c>
      <c r="K473" s="4134"/>
      <c r="L473" s="4134"/>
      <c r="M473" s="2497"/>
      <c r="N473" s="910"/>
      <c r="O473" s="910"/>
      <c r="P473" s="910"/>
      <c r="Q473" s="910"/>
      <c r="R473" s="910"/>
      <c r="S473" s="910"/>
      <c r="T473" s="910"/>
      <c r="U473" s="912"/>
      <c r="V473" s="2495"/>
      <c r="W473" s="2495"/>
      <c r="X473" s="2495"/>
      <c r="Y473" s="2495"/>
      <c r="Z473" s="2495"/>
      <c r="AA473" s="2495"/>
      <c r="AB473" s="2495"/>
      <c r="AC473" s="2495"/>
      <c r="AD473" s="2495"/>
      <c r="AE473" s="2495"/>
      <c r="AF473" s="2495"/>
      <c r="AG473" s="2495"/>
      <c r="AH473" s="2495"/>
      <c r="AI473" s="2495"/>
      <c r="AJ473" s="2495"/>
      <c r="AK473" s="2495"/>
      <c r="AL473" s="2495"/>
      <c r="AM473" s="2495"/>
      <c r="AN473" s="2495"/>
      <c r="AO473" s="2495"/>
      <c r="AP473" s="2495"/>
      <c r="AQ473" s="2495"/>
      <c r="AR473" s="2495"/>
      <c r="AS473" s="2495"/>
      <c r="AT473" s="2495"/>
      <c r="AU473" s="2495"/>
    </row>
    <row r="474" spans="1:49" ht="13.15" hidden="1" customHeight="1">
      <c r="A474" s="764"/>
      <c r="B474" s="1331"/>
      <c r="D474" s="912"/>
      <c r="E474" s="912"/>
      <c r="F474" s="912"/>
      <c r="G474" s="911"/>
      <c r="H474" s="911"/>
      <c r="I474" s="911"/>
      <c r="J474" s="4134"/>
      <c r="K474" s="4134"/>
      <c r="L474" s="4134"/>
      <c r="M474" s="2497"/>
      <c r="N474" s="910"/>
      <c r="O474" s="910"/>
      <c r="P474" s="910"/>
      <c r="Q474" s="910"/>
      <c r="R474" s="910"/>
      <c r="S474" s="910"/>
      <c r="T474" s="910"/>
      <c r="U474" s="912"/>
      <c r="V474" s="2495"/>
      <c r="W474" s="2495"/>
      <c r="X474" s="2495"/>
      <c r="Y474" s="2495"/>
      <c r="Z474" s="2495"/>
      <c r="AA474" s="2495"/>
      <c r="AB474" s="2495"/>
      <c r="AC474" s="2495"/>
      <c r="AD474" s="2495"/>
      <c r="AE474" s="2495"/>
      <c r="AF474" s="2495"/>
      <c r="AG474" s="2495"/>
      <c r="AH474" s="2495"/>
      <c r="AI474" s="2495"/>
      <c r="AJ474" s="2495"/>
      <c r="AK474" s="2495"/>
      <c r="AL474" s="2495"/>
      <c r="AM474" s="2495"/>
      <c r="AN474" s="2495"/>
      <c r="AO474" s="2495"/>
      <c r="AP474" s="2495"/>
      <c r="AQ474" s="2495"/>
      <c r="AR474" s="2495"/>
      <c r="AS474" s="2495"/>
      <c r="AT474" s="2495"/>
      <c r="AU474" s="2495"/>
    </row>
    <row r="475" spans="1:49" ht="13.15" hidden="1" customHeight="1">
      <c r="A475" s="764"/>
      <c r="B475" s="1331"/>
      <c r="D475" s="912"/>
      <c r="E475" s="912"/>
      <c r="F475" s="912"/>
      <c r="G475" s="911"/>
      <c r="H475" s="911"/>
      <c r="I475" s="911"/>
      <c r="J475" s="2539"/>
      <c r="K475" s="2539"/>
      <c r="L475" s="2523"/>
      <c r="M475" s="2497"/>
      <c r="N475" s="910"/>
      <c r="O475" s="910"/>
      <c r="P475" s="910"/>
      <c r="Q475" s="910"/>
      <c r="R475" s="910"/>
      <c r="S475" s="910"/>
      <c r="T475" s="910"/>
      <c r="U475" s="912"/>
      <c r="V475" s="2495"/>
      <c r="W475" s="2495"/>
      <c r="X475" s="2495"/>
      <c r="Y475" s="2495"/>
      <c r="Z475" s="2495"/>
      <c r="AA475" s="2495"/>
      <c r="AB475" s="2495"/>
      <c r="AC475" s="2495"/>
      <c r="AD475" s="2495"/>
      <c r="AE475" s="2495"/>
      <c r="AF475" s="2495"/>
      <c r="AG475" s="2495"/>
      <c r="AH475" s="2495"/>
      <c r="AI475" s="2495"/>
      <c r="AJ475" s="2495"/>
      <c r="AK475" s="2495"/>
      <c r="AL475" s="2495"/>
      <c r="AM475" s="2495"/>
      <c r="AN475" s="2495"/>
      <c r="AO475" s="2495"/>
      <c r="AP475" s="2495"/>
      <c r="AQ475" s="2495"/>
      <c r="AR475" s="2495"/>
      <c r="AS475" s="2495"/>
      <c r="AT475" s="2495"/>
      <c r="AU475" s="2495"/>
    </row>
    <row r="476" spans="1:49" ht="13.15" hidden="1" customHeight="1">
      <c r="A476" s="764"/>
      <c r="B476" s="1331"/>
      <c r="D476" s="912"/>
      <c r="E476" s="912"/>
      <c r="F476" s="912"/>
      <c r="G476" s="911"/>
      <c r="H476" s="911"/>
      <c r="I476" s="911"/>
      <c r="J476" s="909"/>
      <c r="K476" s="909"/>
      <c r="L476" s="2523"/>
      <c r="M476" s="2497"/>
      <c r="N476" s="910"/>
      <c r="O476" s="910"/>
      <c r="P476" s="910"/>
      <c r="Q476" s="910"/>
      <c r="R476" s="910"/>
      <c r="S476" s="910"/>
      <c r="T476" s="910"/>
      <c r="U476" s="912"/>
      <c r="V476" s="2495"/>
      <c r="W476" s="2495"/>
      <c r="X476" s="2495"/>
      <c r="Y476" s="2495"/>
      <c r="Z476" s="2495"/>
      <c r="AA476" s="2495"/>
      <c r="AB476" s="2495"/>
      <c r="AC476" s="2495"/>
      <c r="AD476" s="2495"/>
      <c r="AE476" s="2495"/>
      <c r="AF476" s="2495"/>
      <c r="AG476" s="2495"/>
      <c r="AH476" s="2495"/>
      <c r="AI476" s="2495"/>
      <c r="AJ476" s="2495"/>
      <c r="AK476" s="2495"/>
      <c r="AL476" s="2495"/>
      <c r="AM476" s="2495"/>
      <c r="AN476" s="2495"/>
      <c r="AO476" s="2495"/>
      <c r="AP476" s="2495"/>
      <c r="AQ476" s="2495"/>
      <c r="AR476" s="2495"/>
      <c r="AS476" s="2495"/>
      <c r="AT476" s="2495"/>
      <c r="AU476" s="2495"/>
    </row>
    <row r="477" spans="1:49" ht="13.15" hidden="1" customHeight="1">
      <c r="A477" s="764"/>
      <c r="B477" s="1331"/>
      <c r="D477" s="912"/>
      <c r="E477" s="912"/>
      <c r="F477" s="912"/>
      <c r="G477" s="911"/>
      <c r="H477" s="911"/>
      <c r="I477" s="911"/>
      <c r="J477" s="909"/>
      <c r="K477" s="909"/>
      <c r="L477" s="2523"/>
      <c r="M477" s="2497"/>
      <c r="N477" s="910"/>
      <c r="O477" s="910"/>
      <c r="P477" s="910"/>
      <c r="Q477" s="910"/>
      <c r="R477" s="910"/>
      <c r="S477" s="910"/>
      <c r="T477" s="910"/>
      <c r="U477" s="912"/>
      <c r="V477" s="2495"/>
      <c r="W477" s="2495"/>
      <c r="X477" s="2495"/>
      <c r="Y477" s="2495"/>
      <c r="Z477" s="2495"/>
      <c r="AA477" s="2495"/>
      <c r="AB477" s="2495"/>
      <c r="AC477" s="2495"/>
      <c r="AD477" s="2495"/>
      <c r="AE477" s="2495"/>
      <c r="AF477" s="2495"/>
      <c r="AG477" s="2495"/>
      <c r="AH477" s="2495"/>
      <c r="AI477" s="2495"/>
      <c r="AJ477" s="2495"/>
      <c r="AK477" s="2495"/>
      <c r="AL477" s="2495"/>
      <c r="AM477" s="2495"/>
      <c r="AN477" s="2495"/>
      <c r="AO477" s="2495"/>
      <c r="AP477" s="2495"/>
      <c r="AQ477" s="2495"/>
      <c r="AR477" s="2495"/>
      <c r="AS477" s="2495"/>
      <c r="AT477" s="2495"/>
      <c r="AU477" s="2495"/>
    </row>
    <row r="478" spans="1:49" ht="13.15" hidden="1" customHeight="1">
      <c r="A478" s="764"/>
      <c r="B478" s="1331"/>
      <c r="D478" s="912"/>
      <c r="E478" s="912"/>
      <c r="F478" s="912"/>
      <c r="G478" s="911"/>
      <c r="H478" s="911"/>
      <c r="I478" s="911"/>
      <c r="J478" s="909"/>
      <c r="K478" s="909"/>
      <c r="L478" s="2523"/>
      <c r="M478" s="2497"/>
      <c r="N478" s="910"/>
      <c r="O478" s="910"/>
      <c r="P478" s="910"/>
      <c r="Q478" s="910"/>
      <c r="R478" s="910"/>
      <c r="S478" s="910"/>
      <c r="T478" s="910"/>
      <c r="U478" s="912"/>
      <c r="V478" s="2495"/>
      <c r="W478" s="2495"/>
      <c r="X478" s="2495"/>
      <c r="Y478" s="2495"/>
      <c r="Z478" s="2495"/>
      <c r="AA478" s="2495"/>
      <c r="AB478" s="2495"/>
      <c r="AC478" s="2495"/>
      <c r="AD478" s="2495"/>
      <c r="AE478" s="2495"/>
      <c r="AF478" s="2495"/>
      <c r="AG478" s="2495"/>
      <c r="AH478" s="2495"/>
      <c r="AI478" s="2495"/>
      <c r="AJ478" s="2495"/>
      <c r="AK478" s="2495"/>
      <c r="AL478" s="2495"/>
      <c r="AM478" s="2495"/>
      <c r="AN478" s="2495"/>
      <c r="AO478" s="2495"/>
      <c r="AP478" s="2495"/>
      <c r="AQ478" s="2495"/>
      <c r="AR478" s="2495"/>
      <c r="AS478" s="2495"/>
      <c r="AT478" s="2495"/>
      <c r="AU478" s="2495"/>
    </row>
    <row r="479" spans="1:49" s="2495" customFormat="1" ht="3" hidden="1" customHeight="1">
      <c r="A479" s="2534"/>
      <c r="B479" s="2535"/>
      <c r="C479" s="2517"/>
      <c r="G479" s="2536"/>
      <c r="H479" s="2536"/>
      <c r="I479" s="2536"/>
      <c r="J479" s="2537"/>
      <c r="K479" s="2537"/>
      <c r="L479" s="2538"/>
      <c r="M479" s="2497"/>
      <c r="N479" s="2533"/>
      <c r="O479" s="2533"/>
      <c r="P479" s="2533"/>
      <c r="Q479" s="2533"/>
      <c r="R479" s="2533"/>
      <c r="S479" s="2533"/>
      <c r="T479" s="2533"/>
      <c r="AW479" s="2496"/>
    </row>
    <row r="480" spans="1:49" ht="13.15" hidden="1" customHeight="1">
      <c r="A480" s="764"/>
      <c r="B480" s="1331"/>
      <c r="D480" s="4120" t="s">
        <v>1165</v>
      </c>
      <c r="E480" s="4120"/>
      <c r="F480" s="4120"/>
      <c r="G480" s="4120"/>
      <c r="H480" s="4120"/>
      <c r="I480" s="4120"/>
      <c r="J480" s="4120"/>
      <c r="K480" s="4120"/>
      <c r="L480" s="4120"/>
      <c r="M480" s="2497"/>
      <c r="N480" s="2541"/>
      <c r="O480" s="2541"/>
      <c r="P480" s="2541"/>
      <c r="Q480" s="2541"/>
      <c r="R480" s="2541"/>
      <c r="S480" s="2541"/>
      <c r="T480" s="2541"/>
      <c r="U480" s="1659"/>
      <c r="V480" s="1659"/>
      <c r="W480" s="1659"/>
      <c r="X480" s="1659"/>
      <c r="Y480" s="1659"/>
      <c r="Z480" s="1659"/>
      <c r="AA480" s="1659"/>
      <c r="AB480" s="1659"/>
      <c r="AC480" s="1659"/>
      <c r="AD480" s="1659"/>
      <c r="AE480" s="1659"/>
      <c r="AF480" s="1659"/>
      <c r="AG480" s="1659"/>
      <c r="AH480" s="1659"/>
      <c r="AI480" s="1659"/>
      <c r="AJ480" s="1659"/>
      <c r="AK480" s="1659"/>
      <c r="AL480" s="2495"/>
      <c r="AM480" s="2495"/>
      <c r="AN480" s="2495"/>
      <c r="AO480" s="2495"/>
      <c r="AP480" s="2495"/>
      <c r="AQ480" s="2495"/>
      <c r="AR480" s="2495"/>
      <c r="AS480" s="2495"/>
      <c r="AT480" s="2495"/>
      <c r="AU480" s="2495"/>
      <c r="AV480" s="2495"/>
    </row>
    <row r="481" spans="1:49" hidden="1">
      <c r="A481" s="641"/>
      <c r="B481" s="1331"/>
      <c r="D481" s="4120"/>
      <c r="E481" s="4120"/>
      <c r="F481" s="4120"/>
      <c r="G481" s="4120"/>
      <c r="H481" s="4120"/>
      <c r="I481" s="4120"/>
      <c r="J481" s="4120"/>
      <c r="K481" s="4120"/>
      <c r="L481" s="4120"/>
      <c r="M481" s="2497"/>
      <c r="N481" s="151"/>
      <c r="O481" s="151"/>
      <c r="P481" s="151"/>
      <c r="Q481" s="151"/>
      <c r="R481" s="151"/>
      <c r="S481" s="151"/>
      <c r="T481" s="151"/>
      <c r="U481" s="151"/>
      <c r="V481" s="151"/>
      <c r="W481" s="151"/>
      <c r="X481" s="151"/>
      <c r="Y481" s="151"/>
      <c r="Z481" s="151"/>
      <c r="AA481" s="151"/>
      <c r="AB481" s="151"/>
      <c r="AC481" s="151"/>
      <c r="AD481" s="151"/>
      <c r="AE481" s="151"/>
      <c r="AF481" s="151"/>
      <c r="AG481" s="151"/>
      <c r="AH481" s="2958"/>
      <c r="AI481" s="151"/>
      <c r="AJ481" s="151"/>
      <c r="AK481" s="151"/>
      <c r="AL481" s="2495"/>
      <c r="AM481" s="2495"/>
      <c r="AN481" s="2495"/>
      <c r="AO481" s="2495"/>
      <c r="AP481" s="2495"/>
      <c r="AQ481" s="2495"/>
      <c r="AR481" s="2495"/>
      <c r="AS481" s="2495"/>
      <c r="AT481" s="2495"/>
      <c r="AU481" s="2495"/>
      <c r="AV481" s="2495"/>
    </row>
    <row r="482" spans="1:49" hidden="1">
      <c r="A482" s="641"/>
      <c r="B482" s="1331"/>
      <c r="D482" s="151"/>
      <c r="E482" s="151"/>
      <c r="F482" s="151"/>
      <c r="G482" s="151"/>
      <c r="H482" s="151"/>
      <c r="I482" s="160"/>
      <c r="J482" s="160"/>
      <c r="K482" s="163"/>
      <c r="L482" s="2523"/>
      <c r="M482" s="2497"/>
      <c r="N482" s="151"/>
      <c r="O482" s="151"/>
      <c r="P482" s="151"/>
      <c r="Q482" s="151"/>
      <c r="R482" s="151"/>
      <c r="S482" s="151"/>
      <c r="T482" s="151"/>
      <c r="U482" s="151"/>
      <c r="V482" s="151"/>
      <c r="W482" s="151"/>
      <c r="X482" s="151"/>
      <c r="Y482" s="151"/>
      <c r="Z482" s="151"/>
      <c r="AA482" s="151"/>
      <c r="AB482" s="151"/>
      <c r="AC482" s="151"/>
      <c r="AD482" s="151"/>
      <c r="AE482" s="151"/>
      <c r="AF482" s="151"/>
      <c r="AG482" s="151"/>
      <c r="AH482" s="2958"/>
      <c r="AI482" s="151"/>
      <c r="AJ482" s="151"/>
      <c r="AK482" s="151"/>
      <c r="AL482" s="2495"/>
      <c r="AM482" s="2495"/>
      <c r="AN482" s="2495"/>
      <c r="AO482" s="2495"/>
      <c r="AP482" s="2495"/>
      <c r="AQ482" s="2495"/>
      <c r="AR482" s="2495"/>
      <c r="AS482" s="2495"/>
      <c r="AT482" s="2495"/>
      <c r="AU482" s="2495"/>
      <c r="AV482" s="2495"/>
    </row>
    <row r="483" spans="1:49" s="2479" customFormat="1" ht="13.15" hidden="1" customHeight="1">
      <c r="A483" s="4042" t="s">
        <v>746</v>
      </c>
      <c r="B483" s="4043"/>
      <c r="C483" s="2457"/>
      <c r="D483" s="4108" t="s">
        <v>1674</v>
      </c>
      <c r="E483" s="4109"/>
      <c r="F483" s="683" t="s">
        <v>753</v>
      </c>
      <c r="G483" s="75"/>
      <c r="H483" s="75"/>
      <c r="I483" s="936"/>
      <c r="J483" s="4108" t="s">
        <v>817</v>
      </c>
      <c r="K483" s="4109"/>
      <c r="L483" s="2525" t="s">
        <v>753</v>
      </c>
      <c r="M483" s="2551"/>
      <c r="N483" s="75"/>
      <c r="O483" s="75"/>
      <c r="P483" s="75"/>
      <c r="Q483" s="75"/>
      <c r="R483" s="75"/>
      <c r="S483" s="75"/>
      <c r="T483" s="75"/>
      <c r="U483" s="75"/>
      <c r="V483" s="937"/>
      <c r="W483" s="4108" t="s">
        <v>754</v>
      </c>
      <c r="X483" s="4109"/>
      <c r="Y483" s="683" t="s">
        <v>753</v>
      </c>
      <c r="Z483" s="75"/>
      <c r="AA483" s="75"/>
      <c r="AB483" s="75"/>
      <c r="AC483" s="75"/>
      <c r="AD483" s="75"/>
      <c r="AE483" s="75"/>
      <c r="AF483" s="75"/>
      <c r="AG483" s="75"/>
      <c r="AH483" s="75"/>
      <c r="AI483" s="4108" t="s">
        <v>755</v>
      </c>
      <c r="AJ483" s="4109"/>
      <c r="AK483" s="683"/>
      <c r="AL483" s="2551"/>
      <c r="AM483" s="2551"/>
      <c r="AN483" s="2551"/>
      <c r="AO483" s="2551"/>
      <c r="AP483" s="2551"/>
      <c r="AQ483" s="2551"/>
      <c r="AR483" s="2551"/>
      <c r="AS483" s="2551"/>
      <c r="AT483" s="2551"/>
      <c r="AU483" s="2551"/>
      <c r="AV483" s="2551"/>
      <c r="AW483" s="2418"/>
    </row>
    <row r="484" spans="1:49" s="2479" customFormat="1" ht="13.15" hidden="1" customHeight="1">
      <c r="A484" s="4040" t="s">
        <v>747</v>
      </c>
      <c r="B484" s="4041"/>
      <c r="C484" s="2458"/>
      <c r="D484" s="684" t="s">
        <v>748</v>
      </c>
      <c r="E484" s="684" t="s">
        <v>718</v>
      </c>
      <c r="F484" s="937"/>
      <c r="G484" s="937"/>
      <c r="H484" s="937"/>
      <c r="I484" s="763" t="s">
        <v>1102</v>
      </c>
      <c r="J484" s="684" t="s">
        <v>748</v>
      </c>
      <c r="K484" s="684" t="s">
        <v>718</v>
      </c>
      <c r="L484" s="2523"/>
      <c r="M484" s="2551"/>
      <c r="N484" s="937"/>
      <c r="O484" s="761" t="s">
        <v>818</v>
      </c>
      <c r="P484" s="937"/>
      <c r="Q484" s="937"/>
      <c r="R484" s="937"/>
      <c r="S484" s="937"/>
      <c r="T484" s="937"/>
      <c r="U484" s="937"/>
      <c r="V484" s="937"/>
      <c r="W484" s="684" t="s">
        <v>748</v>
      </c>
      <c r="X484" s="684" t="s">
        <v>718</v>
      </c>
      <c r="Y484" s="685"/>
      <c r="Z484" s="937"/>
      <c r="AA484" s="761" t="s">
        <v>819</v>
      </c>
      <c r="AB484" s="937"/>
      <c r="AC484" s="937"/>
      <c r="AD484" s="937"/>
      <c r="AE484" s="937"/>
      <c r="AF484" s="937"/>
      <c r="AG484" s="937"/>
      <c r="AH484" s="937"/>
      <c r="AI484" s="684" t="s">
        <v>748</v>
      </c>
      <c r="AJ484" s="684" t="s">
        <v>718</v>
      </c>
      <c r="AK484" s="685"/>
      <c r="AL484" s="2551"/>
      <c r="AM484" s="2551"/>
      <c r="AN484" s="2551"/>
      <c r="AO484" s="2551"/>
      <c r="AP484" s="2551"/>
      <c r="AQ484" s="2551"/>
      <c r="AR484" s="2551"/>
      <c r="AS484" s="2551"/>
      <c r="AT484" s="2551"/>
      <c r="AU484" s="2551"/>
      <c r="AV484" s="2551"/>
      <c r="AW484" s="2418"/>
    </row>
    <row r="485" spans="1:49" s="2479" customFormat="1" hidden="1">
      <c r="A485" s="938"/>
      <c r="B485" s="645"/>
      <c r="C485" s="2451"/>
      <c r="D485" s="75"/>
      <c r="E485" s="75"/>
      <c r="F485" s="75"/>
      <c r="G485" s="75"/>
      <c r="H485" s="75"/>
      <c r="I485" s="936"/>
      <c r="J485" s="75"/>
      <c r="K485" s="75"/>
      <c r="L485" s="2523"/>
      <c r="M485" s="2551"/>
      <c r="N485" s="75"/>
      <c r="O485" s="75"/>
      <c r="P485" s="75"/>
      <c r="Q485" s="75"/>
      <c r="R485" s="75"/>
      <c r="S485" s="75"/>
      <c r="T485" s="75"/>
      <c r="U485" s="75"/>
      <c r="V485" s="937"/>
      <c r="W485" s="75"/>
      <c r="X485" s="75"/>
      <c r="Y485" s="75"/>
      <c r="Z485" s="75"/>
      <c r="AA485" s="75"/>
      <c r="AB485" s="75"/>
      <c r="AC485" s="75"/>
      <c r="AD485" s="75"/>
      <c r="AE485" s="75"/>
      <c r="AF485" s="75"/>
      <c r="AG485" s="75"/>
      <c r="AH485" s="75"/>
      <c r="AI485" s="75"/>
      <c r="AJ485" s="75"/>
      <c r="AK485" s="75"/>
      <c r="AL485" s="2551"/>
      <c r="AM485" s="2551"/>
      <c r="AN485" s="2551"/>
      <c r="AO485" s="2551"/>
      <c r="AP485" s="2551"/>
      <c r="AQ485" s="2551"/>
      <c r="AR485" s="2551"/>
      <c r="AS485" s="2551"/>
      <c r="AT485" s="2551"/>
      <c r="AU485" s="2551"/>
      <c r="AV485" s="2551"/>
      <c r="AW485" s="2418"/>
    </row>
    <row r="486" spans="1:49" s="2479" customFormat="1" hidden="1">
      <c r="A486" s="939" t="s">
        <v>498</v>
      </c>
      <c r="B486" s="2095" t="s">
        <v>52</v>
      </c>
      <c r="C486" s="2459"/>
      <c r="D486" s="869">
        <f>J77</f>
        <v>0.61</v>
      </c>
      <c r="E486" s="940">
        <f>CALCULATIONS!EK5</f>
        <v>1.4833076923076924</v>
      </c>
      <c r="F486" s="75"/>
      <c r="G486" s="75"/>
      <c r="H486" s="75"/>
      <c r="I486" s="936"/>
      <c r="J486" s="869">
        <f>G77</f>
        <v>0.60734824281150157</v>
      </c>
      <c r="K486" s="941">
        <f>'Bloom Cleaner Data'!DV5</f>
        <v>1.4755</v>
      </c>
      <c r="L486" s="2523"/>
      <c r="M486" s="2551"/>
      <c r="N486" s="75"/>
      <c r="O486" s="75"/>
      <c r="P486" s="75"/>
      <c r="Q486" s="75"/>
      <c r="R486" s="75"/>
      <c r="S486" s="75"/>
      <c r="T486" s="75"/>
      <c r="U486" s="75"/>
      <c r="V486" s="937"/>
      <c r="W486" s="686">
        <f t="shared" ref="W486:W507" si="33">H77</f>
        <v>0.60938914027149316</v>
      </c>
      <c r="X486" s="940">
        <f>'Bloom Cleaner Data'!DR5</f>
        <v>1.4647999999999999</v>
      </c>
      <c r="Y486" s="75"/>
      <c r="Z486" s="75"/>
      <c r="AA486" s="75"/>
      <c r="AB486" s="75"/>
      <c r="AC486" s="75"/>
      <c r="AD486" s="75"/>
      <c r="AE486" s="75"/>
      <c r="AF486" s="75"/>
      <c r="AG486" s="75"/>
      <c r="AH486" s="75"/>
      <c r="AI486" s="686"/>
      <c r="AJ486" s="687">
        <f>CALCULATIONS!EL5</f>
        <v>2.6584049570257725E-2</v>
      </c>
      <c r="AK486" s="75"/>
      <c r="AL486" s="2551"/>
      <c r="AM486" s="2551"/>
      <c r="AN486" s="2551"/>
      <c r="AO486" s="2551"/>
      <c r="AP486" s="2551"/>
      <c r="AQ486" s="2551"/>
      <c r="AR486" s="2551"/>
      <c r="AS486" s="2551"/>
      <c r="AT486" s="2551"/>
      <c r="AU486" s="2551"/>
      <c r="AV486" s="2551"/>
      <c r="AW486" s="2418"/>
    </row>
    <row r="487" spans="1:49" s="2479" customFormat="1" hidden="1">
      <c r="A487" s="939" t="s">
        <v>385</v>
      </c>
      <c r="B487" s="2095" t="s">
        <v>276</v>
      </c>
      <c r="C487" s="2459"/>
      <c r="D487" s="869">
        <f t="shared" ref="D487:D507" si="34">J78</f>
        <v>0.60910298289809772</v>
      </c>
      <c r="E487" s="940">
        <f>CALCULATIONS!EK6</f>
        <v>1.5272923076923075</v>
      </c>
      <c r="F487" s="75"/>
      <c r="G487" s="75"/>
      <c r="H487" s="75"/>
      <c r="I487" s="936"/>
      <c r="J487" s="869">
        <f t="shared" ref="J487:J507" si="35">D78</f>
        <v>0.5981133158250882</v>
      </c>
      <c r="K487" s="940">
        <f>CALCULATIONS!EI6</f>
        <v>1.3078000000000001</v>
      </c>
      <c r="L487" s="2523"/>
      <c r="M487" s="2551"/>
      <c r="N487" s="75"/>
      <c r="O487" s="75"/>
      <c r="P487" s="75"/>
      <c r="Q487" s="75"/>
      <c r="R487" s="75"/>
      <c r="S487" s="75"/>
      <c r="T487" s="75"/>
      <c r="U487" s="75"/>
      <c r="V487" s="937"/>
      <c r="W487" s="686">
        <f t="shared" si="33"/>
        <v>0.63280000000000003</v>
      </c>
      <c r="X487" s="940">
        <f>'Bloom Cleaner Data'!DR6</f>
        <v>1.5726</v>
      </c>
      <c r="Y487" s="75"/>
      <c r="Z487" s="75"/>
      <c r="AA487" s="75"/>
      <c r="AB487" s="75"/>
      <c r="AC487" s="75"/>
      <c r="AD487" s="75"/>
      <c r="AE487" s="75"/>
      <c r="AF487" s="75"/>
      <c r="AG487" s="75"/>
      <c r="AH487" s="75"/>
      <c r="AI487" s="686">
        <f>N78</f>
        <v>-5.2071170724915891E-2</v>
      </c>
      <c r="AJ487" s="687">
        <f>CALCULATIONS!EL6</f>
        <v>-0.13909551708248294</v>
      </c>
      <c r="AK487" s="75"/>
      <c r="AL487" s="2551"/>
      <c r="AM487" s="2551"/>
      <c r="AN487" s="2551"/>
      <c r="AO487" s="2551"/>
      <c r="AP487" s="2551"/>
      <c r="AQ487" s="2551"/>
      <c r="AR487" s="2551"/>
      <c r="AS487" s="2551"/>
      <c r="AT487" s="2551"/>
      <c r="AU487" s="2551"/>
      <c r="AV487" s="2551"/>
      <c r="AW487" s="2418"/>
    </row>
    <row r="488" spans="1:49" s="2479" customFormat="1" hidden="1">
      <c r="A488" s="942" t="s">
        <v>319</v>
      </c>
      <c r="B488" s="2096" t="s">
        <v>278</v>
      </c>
      <c r="C488" s="2451"/>
      <c r="D488" s="688">
        <f t="shared" si="34"/>
        <v>0.37158673775730477</v>
      </c>
      <c r="E488" s="943">
        <f>CALCULATIONS!EK7</f>
        <v>1.5174769230769232</v>
      </c>
      <c r="F488" s="937"/>
      <c r="G488" s="937"/>
      <c r="H488" s="937"/>
      <c r="I488" s="944"/>
      <c r="J488" s="688">
        <f t="shared" si="35"/>
        <v>0.33871396895787137</v>
      </c>
      <c r="K488" s="943">
        <f>CALCULATIONS!EI7</f>
        <v>1.2703</v>
      </c>
      <c r="L488" s="2523"/>
      <c r="M488" s="2551"/>
      <c r="N488" s="937"/>
      <c r="O488" s="937"/>
      <c r="P488" s="937"/>
      <c r="Q488" s="937"/>
      <c r="R488" s="937"/>
      <c r="S488" s="937"/>
      <c r="T488" s="937"/>
      <c r="U488" s="937"/>
      <c r="V488" s="937"/>
      <c r="W488" s="688">
        <f t="shared" si="33"/>
        <v>0.38496530454895916</v>
      </c>
      <c r="X488" s="943">
        <f>'Bloom Cleaner Data'!DR7</f>
        <v>1.6858</v>
      </c>
      <c r="Y488" s="937"/>
      <c r="Z488" s="937"/>
      <c r="AA488" s="937"/>
      <c r="AB488" s="937"/>
      <c r="AC488" s="937"/>
      <c r="AD488" s="937"/>
      <c r="AE488" s="937"/>
      <c r="AF488" s="937"/>
      <c r="AG488" s="937"/>
      <c r="AH488" s="937"/>
      <c r="AI488" s="688">
        <f>N79</f>
        <v>-0.1153634304384116</v>
      </c>
      <c r="AJ488" s="689">
        <f>CALCULATIONS!EL7</f>
        <v>-0.26333797262816061</v>
      </c>
      <c r="AK488" s="75"/>
      <c r="AL488" s="2551"/>
      <c r="AM488" s="2551"/>
      <c r="AN488" s="2551"/>
      <c r="AO488" s="2551"/>
      <c r="AP488" s="2551"/>
      <c r="AQ488" s="2551"/>
      <c r="AR488" s="2551"/>
      <c r="AS488" s="2551"/>
      <c r="AT488" s="2551"/>
      <c r="AU488" s="2551"/>
      <c r="AV488" s="2551"/>
      <c r="AW488" s="2418"/>
    </row>
    <row r="489" spans="1:49" s="2479" customFormat="1" hidden="1">
      <c r="A489" s="942" t="s">
        <v>319</v>
      </c>
      <c r="B489" s="2096" t="s">
        <v>275</v>
      </c>
      <c r="C489" s="2451"/>
      <c r="D489" s="688">
        <f t="shared" si="34"/>
        <v>0.91288970849739615</v>
      </c>
      <c r="E489" s="943">
        <f>CALCULATIONS!EK8</f>
        <v>1.5173461538461537</v>
      </c>
      <c r="F489" s="937"/>
      <c r="G489" s="937"/>
      <c r="H489" s="937"/>
      <c r="I489" s="944"/>
      <c r="J489" s="688">
        <f t="shared" si="35"/>
        <v>0.94</v>
      </c>
      <c r="K489" s="943">
        <f>CALCULATIONS!EI8</f>
        <v>0.89280000000000004</v>
      </c>
      <c r="L489" s="2523"/>
      <c r="M489" s="2551"/>
      <c r="N489" s="937"/>
      <c r="O489" s="937"/>
      <c r="P489" s="937"/>
      <c r="Q489" s="937"/>
      <c r="R489" s="937"/>
      <c r="S489" s="937"/>
      <c r="T489" s="937"/>
      <c r="U489" s="937"/>
      <c r="V489" s="937"/>
      <c r="W489" s="688">
        <f t="shared" si="33"/>
        <v>0.94497650196875393</v>
      </c>
      <c r="X489" s="943">
        <f>'Bloom Cleaner Data'!DR8</f>
        <v>2.0177999999999998</v>
      </c>
      <c r="Y489" s="937"/>
      <c r="Z489" s="937"/>
      <c r="AA489" s="937"/>
      <c r="AB489" s="937"/>
      <c r="AC489" s="937"/>
      <c r="AD489" s="937"/>
      <c r="AE489" s="937"/>
      <c r="AF489" s="937"/>
      <c r="AG489" s="937"/>
      <c r="AH489" s="937"/>
      <c r="AI489" s="688">
        <f>N80</f>
        <v>1.1907948675707087E-2</v>
      </c>
      <c r="AJ489" s="689">
        <f>CALCULATIONS!EL8</f>
        <v>-0.50701270016565425</v>
      </c>
      <c r="AK489" s="75"/>
      <c r="AL489" s="2551"/>
      <c r="AM489" s="2551"/>
      <c r="AN489" s="2551"/>
      <c r="AO489" s="2551"/>
      <c r="AP489" s="2551"/>
      <c r="AQ489" s="2551"/>
      <c r="AR489" s="2551"/>
      <c r="AS489" s="2551"/>
      <c r="AT489" s="2551"/>
      <c r="AU489" s="2551"/>
      <c r="AV489" s="2551"/>
      <c r="AW489" s="2418"/>
    </row>
    <row r="490" spans="1:49" s="2479" customFormat="1" hidden="1">
      <c r="A490" s="942" t="s">
        <v>319</v>
      </c>
      <c r="B490" s="2096" t="s">
        <v>281</v>
      </c>
      <c r="C490" s="2451"/>
      <c r="D490" s="688">
        <f t="shared" si="34"/>
        <v>6.4385445236561381E-2</v>
      </c>
      <c r="E490" s="943">
        <f>CALCULATIONS!EK9</f>
        <v>4.4188461538461548</v>
      </c>
      <c r="F490" s="937"/>
      <c r="G490" s="937"/>
      <c r="H490" s="937"/>
      <c r="I490" s="944"/>
      <c r="J490" s="688">
        <f t="shared" si="35"/>
        <v>0.14257620452310718</v>
      </c>
      <c r="K490" s="943">
        <f>CALCULATIONS!EI9</f>
        <v>4.9602000000000004</v>
      </c>
      <c r="L490" s="2523"/>
      <c r="M490" s="2551"/>
      <c r="N490" s="937"/>
      <c r="O490" s="937"/>
      <c r="P490" s="937"/>
      <c r="Q490" s="937"/>
      <c r="R490" s="937"/>
      <c r="S490" s="937"/>
      <c r="T490" s="937"/>
      <c r="U490" s="937"/>
      <c r="V490" s="937"/>
      <c r="W490" s="688">
        <f t="shared" si="33"/>
        <v>5.8479532163742687E-3</v>
      </c>
      <c r="X490" s="943">
        <f>'Bloom Cleaner Data'!DR9</f>
        <v>3.7174</v>
      </c>
      <c r="Y490" s="937"/>
      <c r="Z490" s="937"/>
      <c r="AA490" s="937"/>
      <c r="AB490" s="937"/>
      <c r="AC490" s="937"/>
      <c r="AD490" s="937"/>
      <c r="AE490" s="937"/>
      <c r="AF490" s="937"/>
      <c r="AG490" s="937"/>
      <c r="AH490" s="937"/>
      <c r="AI490" s="688"/>
      <c r="AJ490" s="689"/>
      <c r="AK490" s="75"/>
      <c r="AL490" s="2551"/>
      <c r="AM490" s="2551"/>
      <c r="AN490" s="2551"/>
      <c r="AO490" s="2551"/>
      <c r="AP490" s="2551"/>
      <c r="AQ490" s="2551"/>
      <c r="AR490" s="2551"/>
      <c r="AS490" s="2551"/>
      <c r="AT490" s="2551"/>
      <c r="AU490" s="2551"/>
      <c r="AV490" s="2551"/>
      <c r="AW490" s="2418"/>
    </row>
    <row r="491" spans="1:49" s="2479" customFormat="1" hidden="1">
      <c r="A491" s="643" t="s">
        <v>539</v>
      </c>
      <c r="B491" s="1387" t="s">
        <v>39</v>
      </c>
      <c r="C491" s="2451"/>
      <c r="D491" s="945">
        <f t="shared" si="34"/>
        <v>0.31054928118178421</v>
      </c>
      <c r="E491" s="940">
        <f>CALCULATIONS!EK10</f>
        <v>2.362423076923077</v>
      </c>
      <c r="F491" s="75"/>
      <c r="G491" s="75"/>
      <c r="H491" s="75"/>
      <c r="I491" s="936"/>
      <c r="J491" s="945">
        <f t="shared" si="35"/>
        <v>0.28165979767703259</v>
      </c>
      <c r="K491" s="940">
        <f>CALCULATIONS!EI10</f>
        <v>2.4035000000000002</v>
      </c>
      <c r="L491" s="2523"/>
      <c r="M491" s="2551"/>
      <c r="N491" s="75"/>
      <c r="O491" s="75"/>
      <c r="P491" s="75"/>
      <c r="Q491" s="75"/>
      <c r="R491" s="75"/>
      <c r="S491" s="75"/>
      <c r="T491" s="75"/>
      <c r="U491" s="75"/>
      <c r="V491" s="937"/>
      <c r="W491" s="686">
        <f t="shared" si="33"/>
        <v>0.3141425389755011</v>
      </c>
      <c r="X491" s="940">
        <f>'Bloom Cleaner Data'!DR10</f>
        <v>3.1469</v>
      </c>
      <c r="Y491" s="75"/>
      <c r="Z491" s="75"/>
      <c r="AA491" s="75"/>
      <c r="AB491" s="75"/>
      <c r="AC491" s="75"/>
      <c r="AD491" s="75"/>
      <c r="AE491" s="75"/>
      <c r="AF491" s="75"/>
      <c r="AG491" s="75"/>
      <c r="AH491" s="75"/>
      <c r="AI491" s="686">
        <f>N82</f>
        <v>-0.11491916916279199</v>
      </c>
      <c r="AJ491" s="687">
        <f>CALCULATIONS!EL10</f>
        <v>-0.24676423579554355</v>
      </c>
      <c r="AK491" s="75"/>
      <c r="AL491" s="2551"/>
      <c r="AM491" s="2551"/>
      <c r="AN491" s="2551"/>
      <c r="AO491" s="2551"/>
      <c r="AP491" s="2551"/>
      <c r="AQ491" s="2551"/>
      <c r="AR491" s="2551"/>
      <c r="AS491" s="2551"/>
      <c r="AT491" s="2551"/>
      <c r="AU491" s="2551"/>
      <c r="AV491" s="2551"/>
      <c r="AW491" s="2418"/>
    </row>
    <row r="492" spans="1:49" s="2479" customFormat="1" hidden="1">
      <c r="A492" s="946" t="s">
        <v>217</v>
      </c>
      <c r="B492" s="1387" t="s">
        <v>53</v>
      </c>
      <c r="C492" s="2451"/>
      <c r="D492" s="945">
        <f t="shared" si="34"/>
        <v>0.6158872479982318</v>
      </c>
      <c r="E492" s="940">
        <f>CALCULATIONS!EK11</f>
        <v>2.0117846153846157</v>
      </c>
      <c r="F492" s="75"/>
      <c r="G492" s="75"/>
      <c r="H492" s="75"/>
      <c r="I492" s="936"/>
      <c r="J492" s="945">
        <f t="shared" si="35"/>
        <v>0.63960508302071395</v>
      </c>
      <c r="K492" s="940">
        <f>CALCULATIONS!EI11</f>
        <v>1.7326999999999999</v>
      </c>
      <c r="L492" s="2523"/>
      <c r="M492" s="2551"/>
      <c r="N492" s="75"/>
      <c r="O492" s="75"/>
      <c r="P492" s="75"/>
      <c r="Q492" s="75"/>
      <c r="R492" s="75"/>
      <c r="S492" s="75"/>
      <c r="T492" s="75"/>
      <c r="U492" s="75"/>
      <c r="V492" s="937"/>
      <c r="W492" s="686">
        <f t="shared" si="33"/>
        <v>0.58023511894181368</v>
      </c>
      <c r="X492" s="940">
        <f>'Bloom Cleaner Data'!DR11</f>
        <v>2.4198</v>
      </c>
      <c r="Y492" s="75"/>
      <c r="Z492" s="75"/>
      <c r="AA492" s="75"/>
      <c r="AB492" s="75"/>
      <c r="AC492" s="75"/>
      <c r="AD492" s="75"/>
      <c r="AE492" s="75"/>
      <c r="AF492" s="75"/>
      <c r="AG492" s="75"/>
      <c r="AH492" s="75"/>
      <c r="AI492" s="686">
        <f>N83</f>
        <v>0.11044311863454735</v>
      </c>
      <c r="AJ492" s="687">
        <f>CALCULATIONS!EL11</f>
        <v>-0.19416798437354665</v>
      </c>
      <c r="AK492" s="75"/>
      <c r="AL492" s="2551"/>
      <c r="AM492" s="2551"/>
      <c r="AN492" s="2551"/>
      <c r="AO492" s="2551"/>
      <c r="AP492" s="2551"/>
      <c r="AQ492" s="2551"/>
      <c r="AR492" s="2551"/>
      <c r="AS492" s="2551"/>
      <c r="AT492" s="2551"/>
      <c r="AU492" s="2551"/>
      <c r="AV492" s="2551"/>
      <c r="AW492" s="2418"/>
    </row>
    <row r="493" spans="1:49" s="2479" customFormat="1" hidden="1">
      <c r="A493" s="939" t="s">
        <v>73</v>
      </c>
      <c r="B493" s="2095" t="s">
        <v>283</v>
      </c>
      <c r="C493" s="2459"/>
      <c r="D493" s="872">
        <f t="shared" si="34"/>
        <v>0.62657499999999999</v>
      </c>
      <c r="E493" s="940">
        <f>CALCULATIONS!EK12</f>
        <v>2.1973000000000003</v>
      </c>
      <c r="F493" s="75"/>
      <c r="G493" s="75"/>
      <c r="H493" s="75"/>
      <c r="I493" s="936"/>
      <c r="J493" s="872">
        <f>E84</f>
        <v>0.64439999999999997</v>
      </c>
      <c r="K493" s="941">
        <f>'Bloom Cleaner Data'!ED12</f>
        <v>2.2311999999999999</v>
      </c>
      <c r="L493" s="2523"/>
      <c r="M493" s="2551"/>
      <c r="N493" s="75"/>
      <c r="O493" s="75"/>
      <c r="P493" s="75"/>
      <c r="Q493" s="75"/>
      <c r="R493" s="75"/>
      <c r="S493" s="75"/>
      <c r="T493" s="75"/>
      <c r="U493" s="75"/>
      <c r="V493" s="937"/>
      <c r="W493" s="686">
        <f t="shared" si="33"/>
        <v>0.59929999999999994</v>
      </c>
      <c r="X493" s="940">
        <f>'Bloom Cleaner Data'!DR12</f>
        <v>2.2391999999999999</v>
      </c>
      <c r="Y493" s="75"/>
      <c r="Z493" s="75"/>
      <c r="AA493" s="75"/>
      <c r="AB493" s="75"/>
      <c r="AC493" s="75"/>
      <c r="AD493" s="75"/>
      <c r="AE493" s="75"/>
      <c r="AF493" s="75"/>
      <c r="AG493" s="75"/>
      <c r="AH493" s="75"/>
      <c r="AI493" s="686">
        <f>N84</f>
        <v>5.5614710459497153E-2</v>
      </c>
      <c r="AJ493" s="687">
        <f>CALCULATIONS!EL12</f>
        <v>8.6435331230283755E-2</v>
      </c>
      <c r="AK493" s="75"/>
      <c r="AL493" s="2551"/>
      <c r="AM493" s="2551"/>
      <c r="AN493" s="2551"/>
      <c r="AO493" s="2551"/>
      <c r="AP493" s="2551"/>
      <c r="AQ493" s="2551"/>
      <c r="AR493" s="2551"/>
      <c r="AS493" s="2551"/>
      <c r="AT493" s="2551"/>
      <c r="AU493" s="2551"/>
      <c r="AV493" s="2551"/>
      <c r="AW493" s="2418"/>
    </row>
    <row r="494" spans="1:49" s="2479" customFormat="1" hidden="1">
      <c r="A494" s="643" t="s">
        <v>19</v>
      </c>
      <c r="B494" s="1387" t="s">
        <v>285</v>
      </c>
      <c r="C494" s="2451"/>
      <c r="D494" s="945">
        <f t="shared" si="34"/>
        <v>0.12852484759899571</v>
      </c>
      <c r="E494" s="940">
        <f>CALCULATIONS!EK13</f>
        <v>2.7539884615384618</v>
      </c>
      <c r="F494" s="75"/>
      <c r="G494" s="75"/>
      <c r="H494" s="75"/>
      <c r="I494" s="936"/>
      <c r="J494" s="945">
        <f t="shared" si="35"/>
        <v>0.32841368754782985</v>
      </c>
      <c r="K494" s="940">
        <f>CALCULATIONS!EI13</f>
        <v>3.0099</v>
      </c>
      <c r="L494" s="2523"/>
      <c r="M494" s="2551"/>
      <c r="N494" s="75"/>
      <c r="O494" s="75"/>
      <c r="P494" s="75"/>
      <c r="Q494" s="75"/>
      <c r="R494" s="75"/>
      <c r="S494" s="75"/>
      <c r="T494" s="75"/>
      <c r="U494" s="75"/>
      <c r="V494" s="937"/>
      <c r="W494" s="686">
        <f t="shared" si="33"/>
        <v>0</v>
      </c>
      <c r="X494" s="940">
        <f>'Bloom Cleaner Data'!DR13</f>
        <v>2.6703000000000001</v>
      </c>
      <c r="Y494" s="75"/>
      <c r="Z494" s="75"/>
      <c r="AA494" s="75"/>
      <c r="AB494" s="75"/>
      <c r="AC494" s="75"/>
      <c r="AD494" s="75"/>
      <c r="AE494" s="75"/>
      <c r="AF494" s="75"/>
      <c r="AG494" s="75"/>
      <c r="AH494" s="75"/>
      <c r="AI494" s="686"/>
      <c r="AJ494" s="687"/>
      <c r="AK494" s="75"/>
      <c r="AL494" s="2551"/>
      <c r="AM494" s="2551"/>
      <c r="AN494" s="2551"/>
      <c r="AO494" s="2551"/>
      <c r="AP494" s="2551"/>
      <c r="AQ494" s="2551"/>
      <c r="AR494" s="2551"/>
      <c r="AS494" s="2551"/>
      <c r="AT494" s="2551"/>
      <c r="AU494" s="2551"/>
      <c r="AV494" s="2551"/>
      <c r="AW494" s="2418"/>
    </row>
    <row r="495" spans="1:49" s="2479" customFormat="1" hidden="1">
      <c r="A495" s="643" t="s">
        <v>19</v>
      </c>
      <c r="B495" s="1387" t="s">
        <v>286</v>
      </c>
      <c r="C495" s="2451"/>
      <c r="D495" s="945">
        <f t="shared" si="34"/>
        <v>0.60741568747204655</v>
      </c>
      <c r="E495" s="940">
        <f>CALCULATIONS!EK14</f>
        <v>1.4515346153846156</v>
      </c>
      <c r="F495" s="75"/>
      <c r="G495" s="75"/>
      <c r="H495" s="75"/>
      <c r="I495" s="936"/>
      <c r="J495" s="945">
        <f t="shared" si="35"/>
        <v>0.60484412483227945</v>
      </c>
      <c r="K495" s="940">
        <f>CALCULATIONS!EI14</f>
        <v>1.21</v>
      </c>
      <c r="L495" s="2523"/>
      <c r="M495" s="2551"/>
      <c r="N495" s="75"/>
      <c r="O495" s="75"/>
      <c r="P495" s="75"/>
      <c r="Q495" s="75"/>
      <c r="R495" s="75"/>
      <c r="S495" s="75"/>
      <c r="T495" s="75"/>
      <c r="U495" s="75"/>
      <c r="V495" s="937"/>
      <c r="W495" s="686">
        <f t="shared" si="33"/>
        <v>0.56769999999999998</v>
      </c>
      <c r="X495" s="940">
        <f>'Bloom Cleaner Data'!DR14</f>
        <v>1.823</v>
      </c>
      <c r="Y495" s="75"/>
      <c r="Z495" s="75"/>
      <c r="AA495" s="75"/>
      <c r="AB495" s="75"/>
      <c r="AC495" s="75"/>
      <c r="AD495" s="75"/>
      <c r="AE495" s="75"/>
      <c r="AF495" s="75"/>
      <c r="AG495" s="75"/>
      <c r="AH495" s="75"/>
      <c r="AI495" s="686">
        <f t="shared" ref="AI495:AI507" si="36">N86</f>
        <v>4.0950219141690898E-2</v>
      </c>
      <c r="AJ495" s="687">
        <f>CALCULATIONS!EL14</f>
        <v>-0.28185648999940643</v>
      </c>
      <c r="AK495" s="75"/>
      <c r="AL495" s="2551"/>
      <c r="AM495" s="2551"/>
      <c r="AN495" s="2551"/>
      <c r="AO495" s="2551"/>
      <c r="AP495" s="2551"/>
      <c r="AQ495" s="2551"/>
      <c r="AR495" s="2551"/>
      <c r="AS495" s="2551"/>
      <c r="AT495" s="2551"/>
      <c r="AU495" s="2551"/>
      <c r="AV495" s="2551"/>
      <c r="AW495" s="2418"/>
    </row>
    <row r="496" spans="1:49" s="2479" customFormat="1" hidden="1">
      <c r="A496" s="643" t="s">
        <v>374</v>
      </c>
      <c r="B496" s="1387" t="s">
        <v>42</v>
      </c>
      <c r="C496" s="2451"/>
      <c r="D496" s="945">
        <f t="shared" si="34"/>
        <v>0.50129449294861916</v>
      </c>
      <c r="E496" s="940">
        <f>CALCULATIONS!EK15</f>
        <v>1.2066538461538463</v>
      </c>
      <c r="F496" s="75"/>
      <c r="G496" s="75"/>
      <c r="H496" s="75"/>
      <c r="I496" s="936"/>
      <c r="J496" s="945">
        <f t="shared" si="35"/>
        <v>0.46153846153846151</v>
      </c>
      <c r="K496" s="940">
        <f>CALCULATIONS!EI15</f>
        <v>1.1727000000000001</v>
      </c>
      <c r="L496" s="2523"/>
      <c r="M496" s="2551"/>
      <c r="N496" s="75"/>
      <c r="O496" s="75"/>
      <c r="P496" s="75"/>
      <c r="Q496" s="75"/>
      <c r="R496" s="75"/>
      <c r="S496" s="75"/>
      <c r="T496" s="75"/>
      <c r="U496" s="75"/>
      <c r="V496" s="937"/>
      <c r="W496" s="686">
        <f t="shared" si="33"/>
        <v>0.48849999999999999</v>
      </c>
      <c r="X496" s="940">
        <f>'Bloom Cleaner Data'!DR15</f>
        <v>1.7317</v>
      </c>
      <c r="Y496" s="75"/>
      <c r="Z496" s="75"/>
      <c r="AA496" s="75"/>
      <c r="AB496" s="75"/>
      <c r="AC496" s="75"/>
      <c r="AD496" s="75"/>
      <c r="AE496" s="75"/>
      <c r="AF496" s="75"/>
      <c r="AG496" s="75"/>
      <c r="AH496" s="75"/>
      <c r="AI496" s="686">
        <f t="shared" si="36"/>
        <v>-6.0545455382306421E-2</v>
      </c>
      <c r="AJ496" s="687">
        <f>CALCULATIONS!EL15</f>
        <v>-0.24239291943924024</v>
      </c>
      <c r="AK496" s="75"/>
      <c r="AL496" s="2551"/>
      <c r="AM496" s="2551"/>
      <c r="AN496" s="2551"/>
      <c r="AO496" s="2551"/>
      <c r="AP496" s="2551"/>
      <c r="AQ496" s="2551"/>
      <c r="AR496" s="2551"/>
      <c r="AS496" s="2551"/>
      <c r="AT496" s="2551"/>
      <c r="AU496" s="2551"/>
      <c r="AV496" s="2551"/>
      <c r="AW496" s="2418"/>
    </row>
    <row r="497" spans="1:49" s="2479" customFormat="1" hidden="1">
      <c r="A497" s="939" t="s">
        <v>499</v>
      </c>
      <c r="B497" s="2095" t="s">
        <v>284</v>
      </c>
      <c r="C497" s="2459"/>
      <c r="D497" s="872">
        <f t="shared" si="34"/>
        <v>0.34534166666666666</v>
      </c>
      <c r="E497" s="940">
        <f>CALCULATIONS!EK16</f>
        <v>1.8478384615384618</v>
      </c>
      <c r="F497" s="75"/>
      <c r="G497" s="75"/>
      <c r="H497" s="75"/>
      <c r="I497" s="936"/>
      <c r="J497" s="872">
        <f>E88</f>
        <v>0.34090000000000004</v>
      </c>
      <c r="K497" s="941">
        <f>'Bloom Cleaner Data'!ED16</f>
        <v>1.6389</v>
      </c>
      <c r="L497" s="2523"/>
      <c r="M497" s="2551"/>
      <c r="N497" s="75"/>
      <c r="O497" s="75"/>
      <c r="P497" s="75"/>
      <c r="Q497" s="75"/>
      <c r="R497" s="75"/>
      <c r="S497" s="75"/>
      <c r="T497" s="75"/>
      <c r="U497" s="75"/>
      <c r="V497" s="937"/>
      <c r="W497" s="686">
        <f t="shared" si="33"/>
        <v>0.36840000000000006</v>
      </c>
      <c r="X497" s="940">
        <f>'Bloom Cleaner Data'!DR16</f>
        <v>2.2124000000000001</v>
      </c>
      <c r="Y497" s="75"/>
      <c r="Z497" s="75"/>
      <c r="AA497" s="75"/>
      <c r="AB497" s="75"/>
      <c r="AC497" s="75"/>
      <c r="AD497" s="75"/>
      <c r="AE497" s="75"/>
      <c r="AF497" s="75"/>
      <c r="AG497" s="75"/>
      <c r="AH497" s="75"/>
      <c r="AI497" s="686">
        <f t="shared" si="36"/>
        <v>-5.4500069338510607E-2</v>
      </c>
      <c r="AJ497" s="687">
        <f>CALCULATIONS!EL16</f>
        <v>-0.25569061810672544</v>
      </c>
      <c r="AK497" s="75"/>
      <c r="AL497" s="2551"/>
      <c r="AM497" s="2551"/>
      <c r="AN497" s="2551"/>
      <c r="AO497" s="2551"/>
      <c r="AP497" s="2551"/>
      <c r="AQ497" s="2551"/>
      <c r="AR497" s="2551"/>
      <c r="AS497" s="2551"/>
      <c r="AT497" s="2551"/>
      <c r="AU497" s="2551"/>
      <c r="AV497" s="2551"/>
      <c r="AW497" s="2418"/>
    </row>
    <row r="498" spans="1:49" s="2479" customFormat="1" hidden="1">
      <c r="A498" s="643" t="s">
        <v>500</v>
      </c>
      <c r="B498" s="1387" t="s">
        <v>279</v>
      </c>
      <c r="C498" s="2451"/>
      <c r="D498" s="945">
        <f t="shared" si="34"/>
        <v>0.7344324868237998</v>
      </c>
      <c r="E498" s="940">
        <f>CALCULATIONS!EK17</f>
        <v>2.0217230769230765</v>
      </c>
      <c r="F498" s="75"/>
      <c r="G498" s="75"/>
      <c r="H498" s="75"/>
      <c r="I498" s="936"/>
      <c r="J498" s="945">
        <f t="shared" si="35"/>
        <v>0.74956908795771016</v>
      </c>
      <c r="K498" s="940">
        <f>CALCULATIONS!EI17</f>
        <v>2.2671999999999999</v>
      </c>
      <c r="L498" s="2523"/>
      <c r="M498" s="2551"/>
      <c r="N498" s="75"/>
      <c r="O498" s="75"/>
      <c r="P498" s="75"/>
      <c r="Q498" s="75"/>
      <c r="R498" s="75"/>
      <c r="S498" s="75"/>
      <c r="T498" s="75"/>
      <c r="U498" s="75"/>
      <c r="V498" s="937"/>
      <c r="W498" s="686">
        <f t="shared" si="33"/>
        <v>0.62585722455497383</v>
      </c>
      <c r="X498" s="940">
        <f>'Bloom Cleaner Data'!DR17</f>
        <v>1.8862000000000001</v>
      </c>
      <c r="Y498" s="75"/>
      <c r="Z498" s="75"/>
      <c r="AA498" s="75"/>
      <c r="AB498" s="75"/>
      <c r="AC498" s="75"/>
      <c r="AD498" s="75"/>
      <c r="AE498" s="75"/>
      <c r="AF498" s="75"/>
      <c r="AG498" s="75"/>
      <c r="AH498" s="75"/>
      <c r="AI498" s="686">
        <f t="shared" si="36"/>
        <v>0.10784712869930438</v>
      </c>
      <c r="AJ498" s="687">
        <f>CALCULATIONS!EL17</f>
        <v>0.13752445938487773</v>
      </c>
      <c r="AK498" s="75"/>
      <c r="AL498" s="2551"/>
      <c r="AM498" s="2551"/>
      <c r="AN498" s="2551"/>
      <c r="AO498" s="2551"/>
      <c r="AP498" s="2551"/>
      <c r="AQ498" s="2551"/>
      <c r="AR498" s="2551"/>
      <c r="AS498" s="2551"/>
      <c r="AT498" s="2551"/>
      <c r="AU498" s="2551"/>
      <c r="AV498" s="2551"/>
      <c r="AW498" s="2418"/>
    </row>
    <row r="499" spans="1:49" s="2479" customFormat="1" hidden="1">
      <c r="A499" s="643" t="s">
        <v>501</v>
      </c>
      <c r="B499" s="1387" t="s">
        <v>44</v>
      </c>
      <c r="C499" s="2451"/>
      <c r="D499" s="872">
        <f t="shared" si="34"/>
        <v>0.5805147103617575</v>
      </c>
      <c r="E499" s="940">
        <f>CALCULATIONS!EK18</f>
        <v>1.8971769230769233</v>
      </c>
      <c r="F499" s="75"/>
      <c r="G499" s="75"/>
      <c r="H499" s="75"/>
      <c r="I499" s="936"/>
      <c r="J499" s="945">
        <f t="shared" si="35"/>
        <v>0.60384301884652736</v>
      </c>
      <c r="K499" s="940">
        <f>CALCULATIONS!EI18</f>
        <v>1.3995</v>
      </c>
      <c r="L499" s="2523"/>
      <c r="M499" s="2551"/>
      <c r="N499" s="75"/>
      <c r="O499" s="75"/>
      <c r="P499" s="75"/>
      <c r="Q499" s="75"/>
      <c r="R499" s="75"/>
      <c r="S499" s="75"/>
      <c r="T499" s="75"/>
      <c r="U499" s="75"/>
      <c r="V499" s="937"/>
      <c r="W499" s="686">
        <f t="shared" si="33"/>
        <v>0.5497633776823857</v>
      </c>
      <c r="X499" s="940">
        <f>'Bloom Cleaner Data'!DR18</f>
        <v>2.2279</v>
      </c>
      <c r="Y499" s="75"/>
      <c r="Z499" s="75"/>
      <c r="AA499" s="75"/>
      <c r="AB499" s="75"/>
      <c r="AC499" s="75"/>
      <c r="AD499" s="75"/>
      <c r="AE499" s="75"/>
      <c r="AF499" s="75"/>
      <c r="AG499" s="75"/>
      <c r="AH499" s="75"/>
      <c r="AI499" s="686">
        <f t="shared" si="36"/>
        <v>8.4948466413752491E-2</v>
      </c>
      <c r="AJ499" s="687">
        <f>CALCULATIONS!EL18</f>
        <v>-0.36579507862419003</v>
      </c>
      <c r="AK499" s="75"/>
      <c r="AL499" s="2551"/>
      <c r="AM499" s="2551"/>
      <c r="AN499" s="2551"/>
      <c r="AO499" s="2551"/>
      <c r="AP499" s="2551"/>
      <c r="AQ499" s="2551"/>
      <c r="AR499" s="2551"/>
      <c r="AS499" s="2551"/>
      <c r="AT499" s="2551"/>
      <c r="AU499" s="2551"/>
      <c r="AV499" s="2551"/>
      <c r="AW499" s="2418"/>
    </row>
    <row r="500" spans="1:49" s="2479" customFormat="1" hidden="1">
      <c r="A500" s="643" t="s">
        <v>502</v>
      </c>
      <c r="B500" s="1387" t="s">
        <v>287</v>
      </c>
      <c r="C500" s="2451"/>
      <c r="D500" s="945">
        <f t="shared" si="34"/>
        <v>0.5033608700542046</v>
      </c>
      <c r="E500" s="940">
        <f>CALCULATIONS!EK19</f>
        <v>1.5614461538461539</v>
      </c>
      <c r="F500" s="75"/>
      <c r="G500" s="75"/>
      <c r="H500" s="75"/>
      <c r="I500" s="936"/>
      <c r="J500" s="945">
        <f t="shared" si="35"/>
        <v>0.51013567438148444</v>
      </c>
      <c r="K500" s="940">
        <f>CALCULATIONS!EI19</f>
        <v>1.075</v>
      </c>
      <c r="L500" s="2523"/>
      <c r="M500" s="2551"/>
      <c r="N500" s="75"/>
      <c r="O500" s="75"/>
      <c r="P500" s="75"/>
      <c r="Q500" s="75"/>
      <c r="R500" s="75"/>
      <c r="S500" s="75"/>
      <c r="T500" s="75"/>
      <c r="U500" s="75"/>
      <c r="V500" s="937"/>
      <c r="W500" s="686">
        <f t="shared" si="33"/>
        <v>0.4566820303658996</v>
      </c>
      <c r="X500" s="940">
        <f>'Bloom Cleaner Data'!DR19</f>
        <v>1.5324</v>
      </c>
      <c r="Y500" s="75"/>
      <c r="Z500" s="75"/>
      <c r="AA500" s="75"/>
      <c r="AB500" s="75"/>
      <c r="AC500" s="75"/>
      <c r="AD500" s="75"/>
      <c r="AE500" s="75"/>
      <c r="AF500" s="75"/>
      <c r="AG500" s="75"/>
      <c r="AH500" s="75"/>
      <c r="AI500" s="686">
        <f t="shared" si="36"/>
        <v>9.1811010201268306E-2</v>
      </c>
      <c r="AJ500" s="687">
        <f>CALCULATIONS!EL19</f>
        <v>-0.22483415056244596</v>
      </c>
      <c r="AK500" s="75"/>
      <c r="AL500" s="2551"/>
      <c r="AM500" s="2551"/>
      <c r="AN500" s="2551"/>
      <c r="AO500" s="2551"/>
      <c r="AP500" s="2551"/>
      <c r="AQ500" s="2551"/>
      <c r="AR500" s="2551"/>
      <c r="AS500" s="2551"/>
      <c r="AT500" s="2551"/>
      <c r="AU500" s="2551"/>
      <c r="AV500" s="2551"/>
      <c r="AW500" s="2418"/>
    </row>
    <row r="501" spans="1:49" s="2479" customFormat="1" hidden="1">
      <c r="A501" s="939" t="s">
        <v>27</v>
      </c>
      <c r="B501" s="2095" t="s">
        <v>54</v>
      </c>
      <c r="C501" s="2459"/>
      <c r="D501" s="869">
        <f t="shared" si="34"/>
        <v>0.48460704112825509</v>
      </c>
      <c r="E501" s="940">
        <f>CALCULATIONS!EK20</f>
        <v>2.2663538461538462</v>
      </c>
      <c r="F501" s="75"/>
      <c r="G501" s="75"/>
      <c r="H501" s="75"/>
      <c r="I501" s="936"/>
      <c r="J501" s="869">
        <f>E92</f>
        <v>0.47118282781144899</v>
      </c>
      <c r="K501" s="941">
        <f>'Bloom Cleaner Data'!ED20</f>
        <v>1.7673999999999999</v>
      </c>
      <c r="L501" s="2523"/>
      <c r="M501" s="2551"/>
      <c r="N501" s="75"/>
      <c r="O501" s="75"/>
      <c r="P501" s="75"/>
      <c r="Q501" s="75"/>
      <c r="R501" s="75"/>
      <c r="S501" s="75"/>
      <c r="T501" s="75"/>
      <c r="U501" s="75"/>
      <c r="V501" s="937"/>
      <c r="W501" s="686">
        <f t="shared" si="33"/>
        <v>0.5101</v>
      </c>
      <c r="X501" s="940">
        <f>'Bloom Cleaner Data'!DR20</f>
        <v>2.4291</v>
      </c>
      <c r="Y501" s="75"/>
      <c r="Z501" s="75"/>
      <c r="AA501" s="75"/>
      <c r="AB501" s="75"/>
      <c r="AC501" s="75"/>
      <c r="AD501" s="75"/>
      <c r="AE501" s="75"/>
      <c r="AF501" s="75"/>
      <c r="AG501" s="75"/>
      <c r="AH501" s="75"/>
      <c r="AI501" s="686">
        <f t="shared" si="36"/>
        <v>-0.18079580514885477</v>
      </c>
      <c r="AJ501" s="687">
        <f>CALCULATIONS!EL20</f>
        <v>-0.34895927601809962</v>
      </c>
      <c r="AK501" s="75"/>
      <c r="AL501" s="2551"/>
      <c r="AM501" s="2551"/>
      <c r="AN501" s="2551"/>
      <c r="AO501" s="2551"/>
      <c r="AP501" s="2551"/>
      <c r="AQ501" s="2551"/>
      <c r="AR501" s="2551"/>
      <c r="AS501" s="2551"/>
      <c r="AT501" s="2551"/>
      <c r="AU501" s="2551"/>
      <c r="AV501" s="2551"/>
      <c r="AW501" s="2418"/>
    </row>
    <row r="502" spans="1:49" s="2479" customFormat="1" hidden="1">
      <c r="A502" s="643" t="s">
        <v>32</v>
      </c>
      <c r="B502" s="1387" t="s">
        <v>50</v>
      </c>
      <c r="C502" s="2451"/>
      <c r="D502" s="945">
        <f t="shared" si="34"/>
        <v>0</v>
      </c>
      <c r="E502" s="940">
        <f>CALCULATIONS!EK21</f>
        <v>1.3321076923076924</v>
      </c>
      <c r="F502" s="75"/>
      <c r="G502" s="75"/>
      <c r="H502" s="75"/>
      <c r="I502" s="936"/>
      <c r="J502" s="945">
        <f t="shared" si="35"/>
        <v>0</v>
      </c>
      <c r="K502" s="940">
        <f>CALCULATIONS!EI21</f>
        <v>1.8414000000000001</v>
      </c>
      <c r="L502" s="2523"/>
      <c r="M502" s="2551"/>
      <c r="N502" s="75"/>
      <c r="O502" s="75"/>
      <c r="P502" s="75"/>
      <c r="Q502" s="75"/>
      <c r="R502" s="75"/>
      <c r="S502" s="75"/>
      <c r="T502" s="75"/>
      <c r="U502" s="75"/>
      <c r="V502" s="937"/>
      <c r="W502" s="686">
        <f t="shared" si="33"/>
        <v>0</v>
      </c>
      <c r="X502" s="940">
        <f>'Bloom Cleaner Data'!DR21</f>
        <v>1.0441</v>
      </c>
      <c r="Y502" s="75"/>
      <c r="Z502" s="75"/>
      <c r="AA502" s="75"/>
      <c r="AB502" s="75"/>
      <c r="AC502" s="75"/>
      <c r="AD502" s="75"/>
      <c r="AE502" s="75"/>
      <c r="AF502" s="75"/>
      <c r="AG502" s="75"/>
      <c r="AH502" s="75"/>
      <c r="AI502" s="686">
        <f t="shared" si="36"/>
        <v>0</v>
      </c>
      <c r="AJ502" s="687">
        <f>CALCULATIONS!EL21</f>
        <v>0.82624218982445718</v>
      </c>
      <c r="AK502" s="75"/>
      <c r="AL502" s="2551"/>
      <c r="AM502" s="2551"/>
      <c r="AN502" s="2551"/>
      <c r="AO502" s="2551"/>
      <c r="AP502" s="2551"/>
      <c r="AQ502" s="2551"/>
      <c r="AR502" s="2551"/>
      <c r="AS502" s="2551"/>
      <c r="AT502" s="2551"/>
      <c r="AU502" s="2551"/>
      <c r="AV502" s="2551"/>
      <c r="AW502" s="2418"/>
    </row>
    <row r="503" spans="1:49" s="2479" customFormat="1" hidden="1">
      <c r="A503" s="643" t="s">
        <v>32</v>
      </c>
      <c r="B503" s="1387" t="s">
        <v>277</v>
      </c>
      <c r="C503" s="2451"/>
      <c r="D503" s="945">
        <f t="shared" si="34"/>
        <v>0.91487499999999988</v>
      </c>
      <c r="E503" s="940">
        <f>CALCULATIONS!EK22</f>
        <v>2.543480769230769</v>
      </c>
      <c r="F503" s="75"/>
      <c r="G503" s="75"/>
      <c r="H503" s="75"/>
      <c r="I503" s="936"/>
      <c r="J503" s="945">
        <f>E94</f>
        <v>0.88549999999999995</v>
      </c>
      <c r="K503" s="941">
        <f>'Bloom Cleaner Data'!EE22</f>
        <v>2.7191000000000001</v>
      </c>
      <c r="L503" s="2523"/>
      <c r="M503" s="2551"/>
      <c r="N503" s="75"/>
      <c r="O503" s="75"/>
      <c r="P503" s="75"/>
      <c r="Q503" s="75"/>
      <c r="R503" s="75"/>
      <c r="S503" s="75"/>
      <c r="T503" s="75"/>
      <c r="U503" s="75"/>
      <c r="V503" s="937"/>
      <c r="W503" s="686">
        <f t="shared" si="33"/>
        <v>0.92599999999999993</v>
      </c>
      <c r="X503" s="940">
        <f>'Bloom Cleaner Data'!DR22</f>
        <v>2.5385999999999997</v>
      </c>
      <c r="Y503" s="75"/>
      <c r="Z503" s="75"/>
      <c r="AA503" s="75"/>
      <c r="AB503" s="75"/>
      <c r="AC503" s="75"/>
      <c r="AD503" s="75"/>
      <c r="AE503" s="75"/>
      <c r="AF503" s="75"/>
      <c r="AG503" s="75"/>
      <c r="AH503" s="75"/>
      <c r="AI503" s="686">
        <f t="shared" si="36"/>
        <v>-4.3736501079913587E-2</v>
      </c>
      <c r="AJ503" s="687">
        <f>CALCULATIONS!EL22</f>
        <v>7.0785831019749279E-2</v>
      </c>
      <c r="AK503" s="75"/>
      <c r="AL503" s="2551"/>
      <c r="AM503" s="2551"/>
      <c r="AN503" s="2551"/>
      <c r="AO503" s="2551"/>
      <c r="AP503" s="2551"/>
      <c r="AQ503" s="2551"/>
      <c r="AR503" s="2551"/>
      <c r="AS503" s="2551"/>
      <c r="AT503" s="2551"/>
      <c r="AU503" s="2551"/>
      <c r="AV503" s="2551"/>
      <c r="AW503" s="2418"/>
    </row>
    <row r="504" spans="1:49" s="2479" customFormat="1" hidden="1">
      <c r="A504" s="643" t="s">
        <v>503</v>
      </c>
      <c r="B504" s="1387" t="s">
        <v>282</v>
      </c>
      <c r="C504" s="2451"/>
      <c r="D504" s="945">
        <f t="shared" si="34"/>
        <v>0.65501722002617635</v>
      </c>
      <c r="E504" s="940">
        <f>CALCULATIONS!EK23</f>
        <v>2.6416384615384612</v>
      </c>
      <c r="F504" s="75"/>
      <c r="G504" s="75"/>
      <c r="H504" s="75"/>
      <c r="I504" s="936"/>
      <c r="J504" s="945">
        <f t="shared" si="35"/>
        <v>0.68421052631578949</v>
      </c>
      <c r="K504" s="940">
        <f>CALCULATIONS!EI23</f>
        <v>2.548</v>
      </c>
      <c r="L504" s="2523"/>
      <c r="M504" s="2551"/>
      <c r="N504" s="75"/>
      <c r="O504" s="75"/>
      <c r="P504" s="75"/>
      <c r="Q504" s="75"/>
      <c r="R504" s="75"/>
      <c r="S504" s="75"/>
      <c r="T504" s="75"/>
      <c r="U504" s="75"/>
      <c r="V504" s="937"/>
      <c r="W504" s="686">
        <f t="shared" si="33"/>
        <v>0.60165593376264948</v>
      </c>
      <c r="X504" s="940">
        <f>'Bloom Cleaner Data'!DR23</f>
        <v>2.6501999999999999</v>
      </c>
      <c r="Y504" s="75"/>
      <c r="Z504" s="75"/>
      <c r="AA504" s="75"/>
      <c r="AB504" s="75"/>
      <c r="AC504" s="75"/>
      <c r="AD504" s="75"/>
      <c r="AE504" s="75"/>
      <c r="AF504" s="75"/>
      <c r="AG504" s="75"/>
      <c r="AH504" s="75"/>
      <c r="AI504" s="686">
        <f t="shared" si="36"/>
        <v>0.11334582604034234</v>
      </c>
      <c r="AJ504" s="687">
        <f>CALCULATIONS!EL23</f>
        <v>-4.7476635514018616E-2</v>
      </c>
      <c r="AK504" s="75"/>
      <c r="AL504" s="2551"/>
      <c r="AM504" s="2551"/>
      <c r="AN504" s="2551"/>
      <c r="AO504" s="2551"/>
      <c r="AP504" s="2551"/>
      <c r="AQ504" s="2551"/>
      <c r="AR504" s="2551"/>
      <c r="AS504" s="2551"/>
      <c r="AT504" s="2551"/>
      <c r="AU504" s="2551"/>
      <c r="AV504" s="2551"/>
      <c r="AW504" s="2418"/>
    </row>
    <row r="505" spans="1:49" s="2479" customFormat="1" hidden="1">
      <c r="A505" s="643" t="s">
        <v>503</v>
      </c>
      <c r="B505" s="1387" t="s">
        <v>280</v>
      </c>
      <c r="C505" s="2451"/>
      <c r="D505" s="945">
        <f t="shared" si="34"/>
        <v>0.69332936189191507</v>
      </c>
      <c r="E505" s="940">
        <f>CALCULATIONS!EK24</f>
        <v>1.6592076923076922</v>
      </c>
      <c r="F505" s="75"/>
      <c r="G505" s="75"/>
      <c r="H505" s="75"/>
      <c r="I505" s="936"/>
      <c r="J505" s="945">
        <f t="shared" si="35"/>
        <v>0.70854203330174637</v>
      </c>
      <c r="K505" s="940">
        <f>CALCULATIONS!EI24</f>
        <v>1.19</v>
      </c>
      <c r="L505" s="2523"/>
      <c r="M505" s="2551"/>
      <c r="N505" s="75"/>
      <c r="O505" s="75"/>
      <c r="P505" s="75"/>
      <c r="Q505" s="75"/>
      <c r="R505" s="75"/>
      <c r="S505" s="75"/>
      <c r="T505" s="75"/>
      <c r="U505" s="75"/>
      <c r="V505" s="937"/>
      <c r="W505" s="686">
        <f t="shared" si="33"/>
        <v>0.62427731007201537</v>
      </c>
      <c r="X505" s="940">
        <f>'Bloom Cleaner Data'!DR24</f>
        <v>1.3028999999999999</v>
      </c>
      <c r="Y505" s="75"/>
      <c r="Z505" s="75"/>
      <c r="AA505" s="75"/>
      <c r="AB505" s="75"/>
      <c r="AC505" s="75"/>
      <c r="AD505" s="75"/>
      <c r="AE505" s="75"/>
      <c r="AF505" s="75"/>
      <c r="AG505" s="75"/>
      <c r="AH505" s="75"/>
      <c r="AI505" s="686">
        <f t="shared" si="36"/>
        <v>9.3304513312571363E-2</v>
      </c>
      <c r="AJ505" s="687">
        <f>CALCULATIONS!EL24</f>
        <v>-0.15782024062278846</v>
      </c>
      <c r="AK505" s="75"/>
      <c r="AL505" s="2551"/>
      <c r="AM505" s="2551"/>
      <c r="AN505" s="2551"/>
      <c r="AO505" s="2551"/>
      <c r="AP505" s="2551"/>
      <c r="AQ505" s="2551"/>
      <c r="AR505" s="2551"/>
      <c r="AS505" s="2551"/>
      <c r="AT505" s="2551"/>
      <c r="AU505" s="2551"/>
      <c r="AV505" s="2551"/>
      <c r="AW505" s="2418"/>
    </row>
    <row r="506" spans="1:49" s="2479" customFormat="1" hidden="1">
      <c r="A506" s="643" t="s">
        <v>504</v>
      </c>
      <c r="B506" s="1387" t="s">
        <v>288</v>
      </c>
      <c r="C506" s="2451"/>
      <c r="D506" s="945">
        <f t="shared" si="34"/>
        <v>0.32615050588405037</v>
      </c>
      <c r="E506" s="940">
        <f>CALCULATIONS!EK25</f>
        <v>2.5073538461538467</v>
      </c>
      <c r="F506" s="75"/>
      <c r="G506" s="75"/>
      <c r="H506" s="75"/>
      <c r="I506" s="936"/>
      <c r="J506" s="945">
        <f t="shared" si="35"/>
        <v>0.30985103942866765</v>
      </c>
      <c r="K506" s="940">
        <f>CALCULATIONS!EI25</f>
        <v>2.6587000000000001</v>
      </c>
      <c r="L506" s="2523"/>
      <c r="M506" s="2551"/>
      <c r="N506" s="75"/>
      <c r="O506" s="75"/>
      <c r="P506" s="75"/>
      <c r="Q506" s="75"/>
      <c r="R506" s="75"/>
      <c r="S506" s="75"/>
      <c r="T506" s="75"/>
      <c r="U506" s="75"/>
      <c r="V506" s="937"/>
      <c r="W506" s="686">
        <f t="shared" si="33"/>
        <v>0.35321659907288117</v>
      </c>
      <c r="X506" s="940">
        <f>'Bloom Cleaner Data'!DR25</f>
        <v>2.5263999999999998</v>
      </c>
      <c r="Y506" s="75"/>
      <c r="Z506" s="75"/>
      <c r="AA506" s="75"/>
      <c r="AB506" s="75"/>
      <c r="AC506" s="75"/>
      <c r="AD506" s="75"/>
      <c r="AE506" s="75"/>
      <c r="AF506" s="75"/>
      <c r="AG506" s="75"/>
      <c r="AH506" s="75"/>
      <c r="AI506" s="686">
        <f t="shared" si="36"/>
        <v>-8.7660674172335792E-2</v>
      </c>
      <c r="AJ506" s="687">
        <f>CALCULATIONS!EL25</f>
        <v>0.1071458315982345</v>
      </c>
      <c r="AK506" s="75"/>
      <c r="AL506" s="2551"/>
      <c r="AM506" s="2551"/>
      <c r="AN506" s="2551"/>
      <c r="AO506" s="2551"/>
      <c r="AP506" s="2551"/>
      <c r="AQ506" s="2551"/>
      <c r="AR506" s="2551"/>
      <c r="AS506" s="2551"/>
      <c r="AT506" s="2551"/>
      <c r="AU506" s="2551"/>
      <c r="AV506" s="2551"/>
      <c r="AW506" s="2418"/>
    </row>
    <row r="507" spans="1:49" s="2479" customFormat="1" hidden="1">
      <c r="A507" s="643" t="s">
        <v>27</v>
      </c>
      <c r="B507" s="1387" t="s">
        <v>353</v>
      </c>
      <c r="C507" s="2451"/>
      <c r="D507" s="945">
        <f t="shared" si="34"/>
        <v>0.61617346049174182</v>
      </c>
      <c r="E507" s="940">
        <f>CALCULATIONS!EK26</f>
        <v>0.9397923076923077</v>
      </c>
      <c r="F507" s="75"/>
      <c r="G507" s="75"/>
      <c r="H507" s="75"/>
      <c r="I507" s="936"/>
      <c r="J507" s="945">
        <f t="shared" si="35"/>
        <v>0.58457772337821301</v>
      </c>
      <c r="K507" s="940">
        <f>CALCULATIONS!EI26</f>
        <v>1.1364000000000001</v>
      </c>
      <c r="L507" s="2523"/>
      <c r="M507" s="2551"/>
      <c r="N507" s="75"/>
      <c r="O507" s="75"/>
      <c r="P507" s="75"/>
      <c r="Q507" s="75"/>
      <c r="R507" s="75"/>
      <c r="S507" s="75"/>
      <c r="T507" s="75"/>
      <c r="U507" s="75"/>
      <c r="V507" s="937"/>
      <c r="W507" s="686">
        <f t="shared" si="33"/>
        <v>0.60573232366632679</v>
      </c>
      <c r="X507" s="940">
        <f>'Bloom Cleaner Data'!DR26</f>
        <v>1.0457000000000001</v>
      </c>
      <c r="Y507" s="75"/>
      <c r="Z507" s="75"/>
      <c r="AA507" s="75"/>
      <c r="AB507" s="75"/>
      <c r="AC507" s="75"/>
      <c r="AD507" s="75"/>
      <c r="AE507" s="75"/>
      <c r="AF507" s="75"/>
      <c r="AG507" s="75"/>
      <c r="AH507" s="75"/>
      <c r="AI507" s="686">
        <f t="shared" si="36"/>
        <v>-3.771277618520176E-2</v>
      </c>
      <c r="AJ507" s="687">
        <f>CALCULATIONS!EL26</f>
        <v>0.3437389145086911</v>
      </c>
      <c r="AK507" s="75"/>
      <c r="AL507" s="2551"/>
      <c r="AM507" s="2551"/>
      <c r="AN507" s="2551"/>
      <c r="AO507" s="2551"/>
      <c r="AP507" s="2551"/>
      <c r="AQ507" s="2551"/>
      <c r="AR507" s="2551"/>
      <c r="AS507" s="2551"/>
      <c r="AT507" s="2551"/>
      <c r="AU507" s="2551"/>
      <c r="AV507" s="2551"/>
      <c r="AW507" s="2418"/>
    </row>
    <row r="508" spans="1:49" s="2479" customFormat="1" ht="13.15" hidden="1" customHeight="1">
      <c r="A508" s="938"/>
      <c r="B508" s="645"/>
      <c r="C508" s="2451"/>
      <c r="D508" s="75"/>
      <c r="E508" s="75"/>
      <c r="F508" s="75"/>
      <c r="G508" s="75"/>
      <c r="H508" s="75"/>
      <c r="I508" s="936"/>
      <c r="J508" s="4131"/>
      <c r="K508" s="4131"/>
      <c r="L508" s="2523"/>
      <c r="M508" s="2551"/>
      <c r="N508" s="75"/>
      <c r="O508" s="75"/>
      <c r="P508" s="75"/>
      <c r="Q508" s="75"/>
      <c r="R508" s="75"/>
      <c r="S508" s="75"/>
      <c r="T508" s="75"/>
      <c r="U508" s="75"/>
      <c r="V508" s="75"/>
      <c r="W508" s="75"/>
      <c r="X508" s="75"/>
      <c r="Y508" s="75"/>
      <c r="Z508" s="75"/>
      <c r="AA508" s="75"/>
      <c r="AB508" s="75"/>
      <c r="AC508" s="75"/>
      <c r="AD508" s="75"/>
      <c r="AE508" s="75"/>
      <c r="AF508" s="75"/>
      <c r="AG508" s="75"/>
      <c r="AH508" s="75"/>
      <c r="AI508" s="2085"/>
      <c r="AJ508" s="2085"/>
      <c r="AK508" s="75"/>
      <c r="AL508" s="2551"/>
      <c r="AM508" s="2551"/>
      <c r="AN508" s="2551"/>
      <c r="AO508" s="2551"/>
      <c r="AP508" s="2551"/>
      <c r="AQ508" s="2551"/>
      <c r="AR508" s="2551"/>
      <c r="AS508" s="2551"/>
      <c r="AT508" s="2551"/>
      <c r="AU508" s="2551"/>
      <c r="AV508" s="2551"/>
      <c r="AW508" s="2418"/>
    </row>
    <row r="509" spans="1:49" s="2479" customFormat="1" hidden="1">
      <c r="A509" s="938"/>
      <c r="B509" s="645"/>
      <c r="C509" s="2451"/>
      <c r="D509" s="75"/>
      <c r="E509" s="75"/>
      <c r="F509" s="75"/>
      <c r="G509" s="75"/>
      <c r="H509" s="75"/>
      <c r="I509" s="936"/>
      <c r="J509" s="4131"/>
      <c r="K509" s="4131"/>
      <c r="L509" s="2523"/>
      <c r="M509" s="2551"/>
      <c r="N509" s="75"/>
      <c r="O509" s="75"/>
      <c r="P509" s="75"/>
      <c r="Q509" s="75"/>
      <c r="R509" s="75"/>
      <c r="S509" s="75"/>
      <c r="T509" s="75"/>
      <c r="U509" s="75"/>
      <c r="V509" s="75"/>
      <c r="W509" s="75"/>
      <c r="X509" s="75"/>
      <c r="Y509" s="75"/>
      <c r="Z509" s="75"/>
      <c r="AA509" s="75"/>
      <c r="AB509" s="75"/>
      <c r="AC509" s="75"/>
      <c r="AD509" s="75"/>
      <c r="AE509" s="75"/>
      <c r="AF509" s="75"/>
      <c r="AG509" s="75"/>
      <c r="AH509" s="75"/>
      <c r="AI509" s="2085"/>
      <c r="AJ509" s="2085"/>
      <c r="AK509" s="75"/>
      <c r="AL509" s="2551"/>
      <c r="AM509" s="2551"/>
      <c r="AN509" s="2551"/>
      <c r="AO509" s="2551"/>
      <c r="AP509" s="2551"/>
      <c r="AQ509" s="2551"/>
      <c r="AR509" s="2551"/>
      <c r="AS509" s="2551"/>
      <c r="AT509" s="2551"/>
      <c r="AU509" s="2551"/>
      <c r="AV509" s="2551"/>
      <c r="AW509" s="2418"/>
    </row>
    <row r="510" spans="1:49" s="2479" customFormat="1" hidden="1">
      <c r="A510" s="938"/>
      <c r="B510" s="645"/>
      <c r="C510" s="2451"/>
      <c r="D510" s="75"/>
      <c r="E510" s="75"/>
      <c r="F510" s="75"/>
      <c r="G510" s="75"/>
      <c r="H510" s="75"/>
      <c r="I510" s="936"/>
      <c r="J510" s="4131"/>
      <c r="K510" s="4131"/>
      <c r="L510" s="2523"/>
      <c r="M510" s="2551"/>
      <c r="N510" s="75"/>
      <c r="O510" s="75"/>
      <c r="P510" s="75"/>
      <c r="Q510" s="75"/>
      <c r="R510" s="75"/>
      <c r="S510" s="75"/>
      <c r="T510" s="75"/>
      <c r="U510" s="75"/>
      <c r="V510" s="75"/>
      <c r="W510" s="75"/>
      <c r="X510" s="75"/>
      <c r="Y510" s="75"/>
      <c r="Z510" s="75"/>
      <c r="AA510" s="75"/>
      <c r="AB510" s="75"/>
      <c r="AC510" s="75"/>
      <c r="AD510" s="75"/>
      <c r="AE510" s="75"/>
      <c r="AF510" s="75"/>
      <c r="AG510" s="75"/>
      <c r="AH510" s="75"/>
      <c r="AI510" s="2085"/>
      <c r="AJ510" s="2085"/>
      <c r="AK510" s="75"/>
      <c r="AL510" s="2551"/>
      <c r="AM510" s="2551"/>
      <c r="AN510" s="2551"/>
      <c r="AO510" s="2551"/>
      <c r="AP510" s="2551"/>
      <c r="AQ510" s="2551"/>
      <c r="AR510" s="2551"/>
      <c r="AS510" s="2551"/>
      <c r="AT510" s="2551"/>
      <c r="AU510" s="2551"/>
      <c r="AV510" s="2551"/>
      <c r="AW510" s="2418"/>
    </row>
    <row r="511" spans="1:49" s="2479" customFormat="1" hidden="1">
      <c r="A511" s="938"/>
      <c r="B511" s="645"/>
      <c r="C511" s="2451"/>
      <c r="D511" s="75"/>
      <c r="E511" s="75"/>
      <c r="F511" s="75"/>
      <c r="G511" s="75"/>
      <c r="H511" s="75"/>
      <c r="I511" s="936"/>
      <c r="J511" s="4131"/>
      <c r="K511" s="4131"/>
      <c r="L511" s="2523"/>
      <c r="M511" s="2551"/>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2551"/>
      <c r="AM511" s="2551"/>
      <c r="AN511" s="2551"/>
      <c r="AO511" s="2551"/>
      <c r="AP511" s="2551"/>
      <c r="AQ511" s="2551"/>
      <c r="AR511" s="2551"/>
      <c r="AS511" s="2551"/>
      <c r="AT511" s="2551"/>
      <c r="AU511" s="2551"/>
      <c r="AV511" s="2551"/>
      <c r="AW511" s="2418"/>
    </row>
    <row r="512" spans="1:49">
      <c r="J512" s="2481"/>
      <c r="K512" s="2481"/>
    </row>
    <row r="587" spans="1:49" s="2495" customFormat="1">
      <c r="B587" s="2535"/>
      <c r="C587" s="2517"/>
      <c r="I587" s="2549"/>
      <c r="L587" s="2508"/>
      <c r="M587" s="2507"/>
      <c r="N587" s="2507"/>
      <c r="AW587" s="2496"/>
    </row>
    <row r="588" spans="1:49" s="2348" customFormat="1">
      <c r="A588" s="2355"/>
      <c r="B588" s="2462"/>
      <c r="C588" s="2443"/>
      <c r="I588" s="2463"/>
      <c r="J588" s="2463"/>
      <c r="K588" s="2464"/>
      <c r="L588" s="2465"/>
      <c r="M588" s="2347"/>
    </row>
  </sheetData>
  <sortState ref="N380:O386">
    <sortCondition ref="N380:N386"/>
  </sortState>
  <mergeCells count="126">
    <mergeCell ref="W194:X194"/>
    <mergeCell ref="D166:I167"/>
    <mergeCell ref="D178:I179"/>
    <mergeCell ref="D183:I184"/>
    <mergeCell ref="D188:I189"/>
    <mergeCell ref="D190:I191"/>
    <mergeCell ref="D221:I222"/>
    <mergeCell ref="D223:I224"/>
    <mergeCell ref="H253:I255"/>
    <mergeCell ref="D242:I243"/>
    <mergeCell ref="D244:I245"/>
    <mergeCell ref="Z221:AG222"/>
    <mergeCell ref="Z225:AG227"/>
    <mergeCell ref="Z228:AG229"/>
    <mergeCell ref="D225:I227"/>
    <mergeCell ref="D228:I229"/>
    <mergeCell ref="D230:I231"/>
    <mergeCell ref="D234:I235"/>
    <mergeCell ref="D238:I239"/>
    <mergeCell ref="D240:I241"/>
    <mergeCell ref="Z234:AG235"/>
    <mergeCell ref="AI483:AJ483"/>
    <mergeCell ref="J451:K451"/>
    <mergeCell ref="J508:K511"/>
    <mergeCell ref="H312:I312"/>
    <mergeCell ref="J473:L474"/>
    <mergeCell ref="W483:X483"/>
    <mergeCell ref="X380:AE381"/>
    <mergeCell ref="X382:AE383"/>
    <mergeCell ref="D453:L454"/>
    <mergeCell ref="J457:L462"/>
    <mergeCell ref="J463:L466"/>
    <mergeCell ref="K362:L367"/>
    <mergeCell ref="D380:I381"/>
    <mergeCell ref="D386:I387"/>
    <mergeCell ref="K347:L348"/>
    <mergeCell ref="D440:I441"/>
    <mergeCell ref="D427:I428"/>
    <mergeCell ref="D429:I431"/>
    <mergeCell ref="D330:I331"/>
    <mergeCell ref="D348:I349"/>
    <mergeCell ref="D393:G396"/>
    <mergeCell ref="D397:G401"/>
    <mergeCell ref="I435:I436"/>
    <mergeCell ref="I417:I418"/>
    <mergeCell ref="D6:E6"/>
    <mergeCell ref="G6:H6"/>
    <mergeCell ref="I117:I119"/>
    <mergeCell ref="D483:E483"/>
    <mergeCell ref="J483:K483"/>
    <mergeCell ref="D353:F353"/>
    <mergeCell ref="D194:E194"/>
    <mergeCell ref="J153:K155"/>
    <mergeCell ref="K7:L7"/>
    <mergeCell ref="K6:L6"/>
    <mergeCell ref="K96:L96"/>
    <mergeCell ref="K75:L75"/>
    <mergeCell ref="K76:L76"/>
    <mergeCell ref="D480:L481"/>
    <mergeCell ref="I110:I111"/>
    <mergeCell ref="I112:I113"/>
    <mergeCell ref="H273:I275"/>
    <mergeCell ref="D291:I292"/>
    <mergeCell ref="K293:L294"/>
    <mergeCell ref="H256:I257"/>
    <mergeCell ref="H258:I260"/>
    <mergeCell ref="H262:I263"/>
    <mergeCell ref="H265:I266"/>
    <mergeCell ref="D35:I36"/>
    <mergeCell ref="A71:B71"/>
    <mergeCell ref="A128:B128"/>
    <mergeCell ref="A195:B195"/>
    <mergeCell ref="A194:B194"/>
    <mergeCell ref="F253:G253"/>
    <mergeCell ref="I75:I76"/>
    <mergeCell ref="A75:B75"/>
    <mergeCell ref="I101:I102"/>
    <mergeCell ref="D220:I220"/>
    <mergeCell ref="D253:E253"/>
    <mergeCell ref="A253:B253"/>
    <mergeCell ref="I134:I136"/>
    <mergeCell ref="I73:J73"/>
    <mergeCell ref="I74:J74"/>
    <mergeCell ref="I145:I147"/>
    <mergeCell ref="I148:I149"/>
    <mergeCell ref="I128:I129"/>
    <mergeCell ref="J157:K161"/>
    <mergeCell ref="I162:K162"/>
    <mergeCell ref="A73:B74"/>
    <mergeCell ref="A484:B484"/>
    <mergeCell ref="A483:B483"/>
    <mergeCell ref="D458:G464"/>
    <mergeCell ref="R101:S101"/>
    <mergeCell ref="I103:I104"/>
    <mergeCell ref="N221:U222"/>
    <mergeCell ref="N230:U231"/>
    <mergeCell ref="N233:U235"/>
    <mergeCell ref="J170:L170"/>
    <mergeCell ref="A341:B341"/>
    <mergeCell ref="H267:I269"/>
    <mergeCell ref="H270:I272"/>
    <mergeCell ref="A254:B254"/>
    <mergeCell ref="N386:U387"/>
    <mergeCell ref="K415:L416"/>
    <mergeCell ref="I416:J416"/>
    <mergeCell ref="D343:I344"/>
    <mergeCell ref="A414:B415"/>
    <mergeCell ref="N54:Q54"/>
    <mergeCell ref="I114:I116"/>
    <mergeCell ref="I139:I141"/>
    <mergeCell ref="I142:I143"/>
    <mergeCell ref="N183:T184"/>
    <mergeCell ref="H314:I315"/>
    <mergeCell ref="H316:I318"/>
    <mergeCell ref="H321:I325"/>
    <mergeCell ref="K314:L315"/>
    <mergeCell ref="D300:I301"/>
    <mergeCell ref="D37:I38"/>
    <mergeCell ref="D39:I41"/>
    <mergeCell ref="D44:I46"/>
    <mergeCell ref="D51:I53"/>
    <mergeCell ref="D54:I55"/>
    <mergeCell ref="D57:I58"/>
    <mergeCell ref="D59:I60"/>
    <mergeCell ref="D295:I296"/>
    <mergeCell ref="D298:I299"/>
  </mergeCells>
  <dataValidations disablePrompts="1" count="1">
    <dataValidation type="list" allowBlank="1" showInputMessage="1" showErrorMessage="1" sqref="F1">
      <formula1>$X$1:$Z$1</formula1>
    </dataValidation>
  </dataValidations>
  <hyperlinks>
    <hyperlink ref="J170" location="PROFILES!P99" display="­ See % Mobile from BIPT 2010"/>
    <hyperlink ref="E1" location="PROFILES!A192" display="Ratios :"/>
    <hyperlink ref="N54" r:id="rId1"/>
    <hyperlink ref="I32" location="PROFILES!I320" display="Belgacom's closest comparators are estimated at the end of this sheet (among them: KPN &amp; TDC)."/>
    <hyperlink ref="F43" location="PROFILES!S30" display="&quot;Why should customers pay for any size effect?&quot; "/>
    <hyperlink ref="J170:L170" location="PROFILES!P100" display="­ See % Mobile from BIPT 2010"/>
    <hyperlink ref="K415" location="'Equity Analysts Forecasts '!AK3" display="From calculations in 'Equity Analysts Forecasts'."/>
    <hyperlink ref="A73:B74" location="'SEGMENTS Data &amp; Estimates'!A1" display="From 'SEGMENTS Data &amp; Estimates'"/>
    <hyperlink ref="K347:L348" location="'Equity Analysts Forecasts '!BT37" display="Can be observed with the clear-cut case of Mobistar."/>
  </hyperlinks>
  <pageMargins left="0.7" right="0.7" top="0.75" bottom="0.75" header="0.3" footer="0.3"/>
  <pageSetup paperSize="9"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U543"/>
  <sheetViews>
    <sheetView showGridLines="0" zoomScale="90" zoomScaleNormal="90" workbookViewId="0">
      <pane xSplit="2" ySplit="6" topLeftCell="R7" activePane="bottomRight" state="frozen"/>
      <selection activeCell="E443" sqref="E443"/>
      <selection pane="topRight" activeCell="E443" sqref="E443"/>
      <selection pane="bottomLeft" activeCell="E443" sqref="E443"/>
      <selection pane="bottomRight" activeCell="V29" sqref="V29"/>
    </sheetView>
  </sheetViews>
  <sheetFormatPr defaultColWidth="11.5703125" defaultRowHeight="12.75"/>
  <cols>
    <col min="1" max="1" width="20.7109375" style="2766" customWidth="1"/>
    <col min="2" max="2" width="15.85546875" style="2398" customWidth="1"/>
    <col min="3" max="3" width="7.42578125" style="2398" customWidth="1"/>
    <col min="4" max="4" width="8.28515625" style="2398" customWidth="1"/>
    <col min="5" max="5" width="6.28515625" style="2398" customWidth="1"/>
    <col min="6" max="6" width="6.85546875" style="2398" customWidth="1"/>
    <col min="7" max="7" width="9" style="2398" customWidth="1"/>
    <col min="8" max="8" width="8.28515625" style="2398" customWidth="1"/>
    <col min="9" max="9" width="6.28515625" style="2398" customWidth="1"/>
    <col min="10" max="10" width="8.140625" style="2398" customWidth="1"/>
    <col min="11" max="11" width="6.7109375" style="2398" customWidth="1"/>
    <col min="12" max="12" width="8.28515625" style="2398" customWidth="1"/>
    <col min="13" max="13" width="7.85546875" style="2398" customWidth="1"/>
    <col min="14" max="14" width="9.42578125" style="2398" hidden="1" customWidth="1"/>
    <col min="15" max="15" width="8" style="2398" hidden="1" customWidth="1"/>
    <col min="16" max="16" width="5.42578125" style="2398" customWidth="1"/>
    <col min="17" max="17" width="8.140625" style="2398" customWidth="1"/>
    <col min="18" max="18" width="8" style="2398" customWidth="1"/>
    <col min="19" max="19" width="1.140625" style="2398" customWidth="1"/>
    <col min="20" max="20" width="11.7109375" style="2398" customWidth="1"/>
    <col min="21" max="22" width="11.5703125" style="2398"/>
    <col min="23" max="23" width="11.5703125" style="2398" customWidth="1"/>
    <col min="24" max="28" width="11.5703125" style="2398"/>
    <col min="29" max="29" width="12.140625" style="2398" customWidth="1"/>
    <col min="30" max="30" width="12.7109375" style="2398" bestFit="1" customWidth="1"/>
    <col min="31" max="31" width="11.5703125" style="2398"/>
    <col min="32" max="32" width="15.28515625" style="2399" customWidth="1"/>
    <col min="33" max="33" width="4" style="2399" customWidth="1"/>
    <col min="34" max="34" width="11.5703125" style="2398" customWidth="1"/>
    <col min="35" max="37" width="11.5703125" style="2398"/>
    <col min="38" max="38" width="12.140625" style="2398" customWidth="1"/>
    <col min="39" max="45" width="11.5703125" style="2398"/>
    <col min="46" max="46" width="11.5703125" style="2399"/>
    <col min="47" max="47" width="11.5703125" style="2399" customWidth="1"/>
    <col min="48" max="16384" width="11.5703125" style="2398"/>
  </cols>
  <sheetData>
    <row r="1" spans="1:47">
      <c r="A1" s="1123" t="s">
        <v>2332</v>
      </c>
      <c r="B1" s="1124"/>
      <c r="C1" s="4170" t="s">
        <v>1189</v>
      </c>
      <c r="D1" s="4171"/>
      <c r="E1" s="4172"/>
      <c r="F1" s="4173" t="s">
        <v>1008</v>
      </c>
      <c r="G1" s="4174"/>
      <c r="H1" s="4175"/>
      <c r="I1" s="4170" t="s">
        <v>1015</v>
      </c>
      <c r="J1" s="4171"/>
      <c r="K1" s="4176"/>
      <c r="L1" s="4177" t="s">
        <v>1009</v>
      </c>
      <c r="M1" s="4178"/>
      <c r="N1" s="4179" t="s">
        <v>101</v>
      </c>
      <c r="O1" s="4180"/>
      <c r="P1" s="4177" t="s">
        <v>1002</v>
      </c>
      <c r="Q1" s="4181"/>
      <c r="R1" s="4182"/>
      <c r="S1" s="1192"/>
      <c r="T1" s="4165" t="s">
        <v>1113</v>
      </c>
      <c r="U1" s="4165"/>
      <c r="V1" s="4165"/>
      <c r="W1" s="4165"/>
      <c r="X1" s="4165"/>
      <c r="Y1" s="2656"/>
      <c r="Z1" s="3905" t="s">
        <v>2730</v>
      </c>
      <c r="AA1" s="3378">
        <v>1</v>
      </c>
      <c r="AB1" s="3415" t="s">
        <v>2731</v>
      </c>
      <c r="AC1" s="3415"/>
      <c r="AD1" s="3415"/>
      <c r="AE1" s="1555"/>
      <c r="AF1" s="2656"/>
      <c r="AH1" s="3310">
        <v>1</v>
      </c>
      <c r="AI1" s="3310">
        <v>0.75</v>
      </c>
      <c r="AJ1" s="3310">
        <v>0.5</v>
      </c>
      <c r="AK1" s="3310">
        <v>0</v>
      </c>
      <c r="AL1" s="92"/>
      <c r="AM1" s="92"/>
      <c r="AN1" s="92"/>
      <c r="AO1" s="92"/>
    </row>
    <row r="2" spans="1:47" s="2744" customFormat="1">
      <c r="A2" s="1657" t="s">
        <v>1413</v>
      </c>
      <c r="B2" s="1195"/>
      <c r="C2" s="4167" t="s">
        <v>479</v>
      </c>
      <c r="D2" s="4168"/>
      <c r="E2" s="1039" t="s">
        <v>363</v>
      </c>
      <c r="F2" s="4167" t="s">
        <v>479</v>
      </c>
      <c r="G2" s="4168"/>
      <c r="H2" s="1039" t="s">
        <v>1178</v>
      </c>
      <c r="I2" s="4167" t="s">
        <v>479</v>
      </c>
      <c r="J2" s="4168"/>
      <c r="K2" s="1039" t="s">
        <v>1178</v>
      </c>
      <c r="L2" s="4167" t="s">
        <v>479</v>
      </c>
      <c r="M2" s="4169"/>
      <c r="N2" s="4167" t="s">
        <v>506</v>
      </c>
      <c r="O2" s="4169"/>
      <c r="P2" s="4167" t="s">
        <v>479</v>
      </c>
      <c r="Q2" s="4168"/>
      <c r="R2" s="1039" t="s">
        <v>1178</v>
      </c>
      <c r="S2" s="1193"/>
      <c r="T2" s="4165" t="s">
        <v>1075</v>
      </c>
      <c r="U2" s="4165"/>
      <c r="V2" s="4165"/>
      <c r="W2" s="4165"/>
      <c r="X2" s="4165"/>
      <c r="Y2" s="108"/>
      <c r="Z2" s="3907" t="s">
        <v>2728</v>
      </c>
      <c r="AA2" s="3465" t="s">
        <v>2762</v>
      </c>
      <c r="AB2" s="3309" t="s">
        <v>2729</v>
      </c>
      <c r="AC2" s="1555"/>
      <c r="AD2" s="1555"/>
      <c r="AE2" s="1555"/>
      <c r="AF2" s="108"/>
      <c r="AT2" s="2782"/>
      <c r="AU2" s="2399"/>
    </row>
    <row r="3" spans="1:47">
      <c r="A3" s="1115" t="s">
        <v>2330</v>
      </c>
      <c r="B3" s="1236">
        <f>COUNT(C14:C35)</f>
        <v>22</v>
      </c>
      <c r="C3" s="1046" t="s">
        <v>373</v>
      </c>
      <c r="D3" s="1047" t="s">
        <v>991</v>
      </c>
      <c r="E3" s="1020" t="s">
        <v>771</v>
      </c>
      <c r="F3" s="1046" t="s">
        <v>373</v>
      </c>
      <c r="G3" s="1047" t="s">
        <v>991</v>
      </c>
      <c r="H3" s="1020" t="s">
        <v>771</v>
      </c>
      <c r="I3" s="1046" t="s">
        <v>373</v>
      </c>
      <c r="J3" s="1047" t="s">
        <v>991</v>
      </c>
      <c r="K3" s="1020" t="s">
        <v>771</v>
      </c>
      <c r="L3" s="1041" t="s">
        <v>1017</v>
      </c>
      <c r="M3" s="1041" t="s">
        <v>1018</v>
      </c>
      <c r="N3" s="141" t="s">
        <v>99</v>
      </c>
      <c r="O3" s="155" t="s">
        <v>102</v>
      </c>
      <c r="P3" s="1046" t="s">
        <v>373</v>
      </c>
      <c r="Q3" s="1047" t="s">
        <v>991</v>
      </c>
      <c r="R3" s="1020" t="s">
        <v>771</v>
      </c>
      <c r="S3" s="1159"/>
      <c r="T3" s="4165" t="s">
        <v>1076</v>
      </c>
      <c r="U3" s="4165"/>
      <c r="V3" s="4165"/>
      <c r="W3" s="4165"/>
      <c r="X3" s="4165"/>
      <c r="Y3" s="92"/>
      <c r="Z3" s="92"/>
      <c r="AA3" s="3465" t="s">
        <v>2766</v>
      </c>
      <c r="AB3" s="3309" t="s">
        <v>2763</v>
      </c>
      <c r="AC3" s="3309"/>
      <c r="AD3" s="3309"/>
      <c r="AE3" s="92"/>
      <c r="AF3" s="108"/>
    </row>
    <row r="4" spans="1:47" ht="13.15" customHeight="1">
      <c r="A4" s="1115" t="s">
        <v>2331</v>
      </c>
      <c r="B4" s="1787" t="s">
        <v>1006</v>
      </c>
      <c r="C4" s="103">
        <f>AVERAGE(C14:C35)</f>
        <v>0.52235043496539046</v>
      </c>
      <c r="D4" s="148"/>
      <c r="E4" s="104">
        <f>AVERAGE(E14:E35)</f>
        <v>0.54476787389417491</v>
      </c>
      <c r="F4" s="103">
        <f>AVERAGE(F14:F35)</f>
        <v>0.35910504197369392</v>
      </c>
      <c r="G4" s="148"/>
      <c r="H4" s="104">
        <f>AVERAGE(H14:H35)</f>
        <v>0.397913766092787</v>
      </c>
      <c r="I4" s="103">
        <f>AVERAGE(I14:I35)</f>
        <v>0.39802437502436577</v>
      </c>
      <c r="J4" s="148"/>
      <c r="K4" s="104">
        <f>AVERAGE(K14:K35)</f>
        <v>0.43949371451150621</v>
      </c>
      <c r="L4" s="116">
        <f>AVERAGE(L14:L35)</f>
        <v>3.8919333050671863E-2</v>
      </c>
      <c r="M4" s="116">
        <f>AVERAGE(M14:M35)</f>
        <v>0.14674042712667107</v>
      </c>
      <c r="N4" s="80" t="s">
        <v>992</v>
      </c>
      <c r="O4" s="85"/>
      <c r="P4" s="130">
        <f>AVERAGE(P14:P35)</f>
        <v>2.1121798431666194</v>
      </c>
      <c r="Q4" s="149"/>
      <c r="R4" s="129">
        <f>AVERAGE(R14:R35)</f>
        <v>2.2702022099742205</v>
      </c>
      <c r="S4" s="1194"/>
      <c r="T4" s="4165" t="s">
        <v>1077</v>
      </c>
      <c r="U4" s="4165"/>
      <c r="V4" s="4165"/>
      <c r="W4" s="4165"/>
      <c r="X4" s="4165"/>
      <c r="Y4" s="108"/>
      <c r="Z4" s="92"/>
      <c r="AA4" s="3977" t="s">
        <v>2765</v>
      </c>
      <c r="AB4" s="3309" t="s">
        <v>2764</v>
      </c>
      <c r="AC4" s="108"/>
      <c r="AD4" s="108"/>
      <c r="AE4" s="108"/>
      <c r="AF4" s="108"/>
    </row>
    <row r="5" spans="1:47" ht="13.15" customHeight="1">
      <c r="A5" s="1115"/>
      <c r="B5" s="1787" t="s">
        <v>1061</v>
      </c>
      <c r="C5" s="103">
        <f>MEDIAN(C14:C35)</f>
        <v>0.59396519891690203</v>
      </c>
      <c r="D5" s="148"/>
      <c r="E5" s="104">
        <f>MEDIAN(E14:E35)</f>
        <v>0.62359828525618355</v>
      </c>
      <c r="F5" s="103">
        <f>MEDIAN(F14:F35)</f>
        <v>0.37592759247651186</v>
      </c>
      <c r="G5" s="148"/>
      <c r="H5" s="104">
        <f>MEDIAN(H14:H35)</f>
        <v>0.35324048893528481</v>
      </c>
      <c r="I5" s="103">
        <f>MEDIAN(I14:I35)</f>
        <v>0.43894270290351611</v>
      </c>
      <c r="J5" s="148"/>
      <c r="K5" s="104">
        <f>MEDIAN(K14:K35)</f>
        <v>0.44222220232602294</v>
      </c>
      <c r="L5" s="116">
        <f>MEDIAN(L14:L35)</f>
        <v>2.838003076872446E-2</v>
      </c>
      <c r="M5" s="116">
        <f>MEDIAN(M14:M35)</f>
        <v>0.10749583518266115</v>
      </c>
      <c r="N5" s="80"/>
      <c r="O5" s="85"/>
      <c r="P5" s="130">
        <f>MEDIAN(P14:P35)</f>
        <v>2.1652734031482241</v>
      </c>
      <c r="Q5" s="149"/>
      <c r="R5" s="129">
        <f>MEDIAN(R14:R35)</f>
        <v>2.266022980733382</v>
      </c>
      <c r="S5" s="1161"/>
      <c r="T5" s="3292" t="s">
        <v>1078</v>
      </c>
      <c r="U5" s="3293"/>
      <c r="V5" s="3293"/>
      <c r="W5" s="3293"/>
      <c r="X5" s="3294"/>
      <c r="Y5" s="108"/>
      <c r="Z5" s="2749"/>
      <c r="AA5" s="1561"/>
      <c r="AB5" s="108"/>
      <c r="AC5" s="92"/>
      <c r="AD5" s="108"/>
      <c r="AE5" s="3498"/>
      <c r="AF5" s="108"/>
      <c r="AI5" s="2399"/>
      <c r="AJ5" s="2399"/>
      <c r="AK5" s="4166"/>
      <c r="AL5" s="4166"/>
      <c r="AM5" s="2399"/>
    </row>
    <row r="6" spans="1:47" ht="13.15" customHeight="1">
      <c r="A6" s="1177"/>
      <c r="B6" s="91" t="s">
        <v>1005</v>
      </c>
      <c r="C6" s="158">
        <f>Ranking!N6</f>
        <v>0.62585595875210631</v>
      </c>
      <c r="D6" s="121"/>
      <c r="E6" s="1053">
        <f>Ranking!P6</f>
        <v>0.62875409332854482</v>
      </c>
      <c r="F6" s="158">
        <f>Ranking!Q6</f>
        <v>0.36588419844568371</v>
      </c>
      <c r="G6" s="121"/>
      <c r="H6" s="1053">
        <f>Ranking!S6</f>
        <v>0.35933567043362463</v>
      </c>
      <c r="I6" s="158">
        <f>Ranking!T6</f>
        <v>0.4049663112071929</v>
      </c>
      <c r="J6" s="121"/>
      <c r="K6" s="1053">
        <f>Ranking!V6</f>
        <v>0.40108137654546638</v>
      </c>
      <c r="L6" s="121">
        <f>Ranking!W6</f>
        <v>3.908211276150933E-2</v>
      </c>
      <c r="M6" s="121">
        <f>Ranking!X6</f>
        <v>0.12470220094796375</v>
      </c>
      <c r="N6" s="89"/>
      <c r="O6" s="1054"/>
      <c r="P6" s="156">
        <f>Ranking!AA6</f>
        <v>2.2700754333431159</v>
      </c>
      <c r="Q6" s="159"/>
      <c r="R6" s="157">
        <f>Ranking!AC6</f>
        <v>2.3687197914973996</v>
      </c>
      <c r="S6" s="1361"/>
      <c r="T6" s="3292" t="s">
        <v>1079</v>
      </c>
      <c r="U6" s="3293"/>
      <c r="V6" s="3293"/>
      <c r="W6" s="3293"/>
      <c r="X6" s="3294"/>
      <c r="Y6" s="108"/>
      <c r="Z6" s="2749"/>
      <c r="AA6" s="108"/>
      <c r="AB6" s="108"/>
      <c r="AC6" s="108"/>
      <c r="AD6" s="108"/>
      <c r="AE6" s="92"/>
      <c r="AF6" s="108"/>
      <c r="AI6" s="2399"/>
      <c r="AJ6" s="2399"/>
      <c r="AK6" s="2399"/>
      <c r="AL6" s="2399"/>
      <c r="AM6" s="2399"/>
      <c r="AN6" s="2399"/>
      <c r="AO6" s="2399"/>
      <c r="AP6" s="2399"/>
    </row>
    <row r="7" spans="1:47" s="2399" customFormat="1" ht="13.15" customHeight="1">
      <c r="A7" s="2766"/>
      <c r="C7" s="2684"/>
      <c r="D7" s="2684"/>
      <c r="E7" s="2684"/>
      <c r="F7" s="2684"/>
      <c r="G7" s="2684"/>
      <c r="H7" s="2684"/>
      <c r="I7" s="2684"/>
      <c r="J7" s="2684"/>
      <c r="K7" s="2684"/>
      <c r="L7" s="2684"/>
      <c r="M7" s="2684"/>
      <c r="O7" s="3306"/>
      <c r="P7" s="2770"/>
      <c r="Q7" s="3307"/>
      <c r="R7" s="2770"/>
      <c r="T7" s="3308"/>
      <c r="U7" s="3308"/>
      <c r="V7" s="3308"/>
      <c r="W7" s="3308"/>
      <c r="X7" s="3308"/>
    </row>
    <row r="8" spans="1:47" s="2748" customFormat="1">
      <c r="A8" s="1120" t="s">
        <v>1198</v>
      </c>
      <c r="B8" s="3437"/>
      <c r="C8" s="2413"/>
      <c r="D8" s="2413"/>
      <c r="E8" s="2413"/>
      <c r="F8" s="2413"/>
      <c r="G8" s="2413"/>
      <c r="H8" s="2413"/>
      <c r="I8" s="2413"/>
      <c r="J8" s="2413"/>
      <c r="K8" s="2413"/>
      <c r="L8" s="2413"/>
      <c r="M8" s="2413"/>
      <c r="N8" s="2413"/>
      <c r="O8" s="2413"/>
      <c r="P8" s="2413"/>
      <c r="Q8" s="2413"/>
      <c r="R8" s="2413"/>
      <c r="S8" s="2745"/>
      <c r="T8" s="2784"/>
      <c r="U8" s="1176"/>
      <c r="V8" s="1176"/>
      <c r="W8" s="1176"/>
      <c r="X8" s="1176"/>
      <c r="Y8" s="1176"/>
      <c r="Z8" s="1176"/>
      <c r="AA8" s="1176"/>
      <c r="AB8" s="1176"/>
      <c r="AC8" s="1176"/>
      <c r="AD8" s="1176"/>
      <c r="AE8" s="1176"/>
      <c r="AF8" s="2784"/>
      <c r="AG8" s="2745"/>
      <c r="AH8" s="2745"/>
      <c r="AI8" s="2745"/>
      <c r="AJ8" s="2745"/>
      <c r="AK8" s="2745"/>
      <c r="AL8" s="2745"/>
      <c r="AM8" s="2745"/>
      <c r="AN8" s="2745"/>
      <c r="AO8" s="2745"/>
      <c r="AP8" s="2745"/>
      <c r="AT8" s="2745"/>
      <c r="AU8" s="2745"/>
    </row>
    <row r="9" spans="1:47" s="2748" customFormat="1">
      <c r="A9" s="1683"/>
      <c r="B9" s="118"/>
      <c r="C9" s="1926"/>
      <c r="D9" s="1926"/>
      <c r="E9" s="1926"/>
      <c r="F9" s="1926"/>
      <c r="G9" s="1926"/>
      <c r="H9" s="1926"/>
      <c r="I9" s="1926"/>
      <c r="J9" s="1926"/>
      <c r="K9" s="1926"/>
      <c r="L9" s="1926"/>
      <c r="M9" s="1926"/>
      <c r="N9" s="1926"/>
      <c r="O9" s="1926"/>
      <c r="P9" s="1926"/>
      <c r="Q9" s="1926"/>
      <c r="R9" s="1926"/>
      <c r="S9" s="2745"/>
      <c r="T9" s="1926"/>
      <c r="U9" s="1926"/>
      <c r="V9" s="1926"/>
      <c r="W9" s="1926"/>
      <c r="X9" s="1926"/>
      <c r="Y9" s="1926"/>
      <c r="Z9" s="1926"/>
      <c r="AA9" s="1926"/>
      <c r="AB9" s="1926"/>
      <c r="AC9" s="1926"/>
      <c r="AD9" s="1926"/>
      <c r="AE9" s="1926"/>
      <c r="AF9" s="1926"/>
      <c r="AG9" s="2745"/>
      <c r="AH9" s="2745"/>
      <c r="AI9" s="2745"/>
      <c r="AJ9" s="2745"/>
      <c r="AK9" s="2745"/>
      <c r="AL9" s="2745"/>
      <c r="AM9" s="2745"/>
      <c r="AN9" s="2745"/>
      <c r="AO9" s="2745"/>
      <c r="AP9" s="2745"/>
      <c r="AT9" s="2745"/>
      <c r="AU9" s="2745"/>
    </row>
    <row r="10" spans="1:47" s="2748" customFormat="1">
      <c r="A10" s="1175" t="s">
        <v>2393</v>
      </c>
      <c r="B10" s="3440" t="s">
        <v>2391</v>
      </c>
      <c r="C10" s="3438"/>
      <c r="D10" s="1926"/>
      <c r="E10" s="3438"/>
      <c r="F10" s="1926"/>
      <c r="G10" s="3438"/>
      <c r="H10" s="1926"/>
      <c r="I10" s="3438"/>
      <c r="J10" s="1926"/>
      <c r="K10" s="3438"/>
      <c r="L10" s="1926"/>
      <c r="M10" s="3438"/>
      <c r="N10" s="1926"/>
      <c r="O10" s="3438"/>
      <c r="P10" s="1926"/>
      <c r="Q10" s="3438"/>
      <c r="R10" s="1926"/>
      <c r="T10" s="1926"/>
      <c r="U10" s="1926"/>
      <c r="V10" s="1926"/>
      <c r="W10" s="1926"/>
      <c r="X10" s="1926"/>
      <c r="Y10" s="1926"/>
      <c r="Z10" s="1926"/>
      <c r="AA10" s="1926"/>
      <c r="AB10" s="1926"/>
      <c r="AC10" s="1926"/>
      <c r="AD10" s="1926"/>
      <c r="AE10" s="1926"/>
      <c r="AF10" s="1926"/>
      <c r="AG10" s="2745"/>
      <c r="AH10" s="2745"/>
      <c r="AI10" s="2745"/>
      <c r="AJ10" s="2745"/>
      <c r="AK10" s="2745"/>
      <c r="AL10" s="2745"/>
      <c r="AM10" s="2745"/>
      <c r="AN10" s="2745"/>
      <c r="AO10" s="2745"/>
      <c r="AP10" s="2745"/>
      <c r="AT10" s="2745"/>
      <c r="AU10" s="2745"/>
    </row>
    <row r="11" spans="1:47" ht="3.75" customHeight="1">
      <c r="T11" s="2399"/>
      <c r="U11" s="2399"/>
      <c r="V11" s="2399"/>
      <c r="W11" s="2399"/>
      <c r="X11" s="2399"/>
      <c r="Y11" s="2399"/>
      <c r="Z11" s="2399"/>
      <c r="AA11" s="2399"/>
      <c r="AB11" s="2399"/>
      <c r="AC11" s="2399"/>
      <c r="AD11" s="2399"/>
      <c r="AE11" s="2399"/>
      <c r="AH11" s="2399"/>
      <c r="AI11" s="2399"/>
      <c r="AJ11" s="2399"/>
      <c r="AK11" s="2399"/>
      <c r="AL11" s="2399"/>
      <c r="AM11" s="2399"/>
      <c r="AN11" s="2399"/>
      <c r="AO11" s="2399"/>
      <c r="AP11" s="2399"/>
    </row>
    <row r="12" spans="1:47" s="2748" customFormat="1">
      <c r="A12" s="1683"/>
      <c r="B12" s="118"/>
      <c r="C12" s="3438"/>
      <c r="D12" s="1926"/>
      <c r="E12" s="3438"/>
      <c r="F12" s="1926"/>
      <c r="G12" s="3438"/>
      <c r="H12" s="1926"/>
      <c r="I12" s="3438"/>
      <c r="J12" s="1926"/>
      <c r="K12" s="3438"/>
      <c r="L12" s="1926"/>
      <c r="M12" s="3438"/>
      <c r="N12" s="1926"/>
      <c r="O12" s="3438"/>
      <c r="P12" s="1926"/>
      <c r="Q12" s="3438"/>
      <c r="R12" s="1926"/>
      <c r="T12" s="1926"/>
      <c r="U12" s="1926"/>
      <c r="V12" s="1926"/>
      <c r="W12" s="1926"/>
      <c r="X12" s="1926"/>
      <c r="Y12" s="1926"/>
      <c r="Z12" s="1926"/>
      <c r="AA12" s="1926"/>
      <c r="AB12" s="1926"/>
      <c r="AC12" s="1926"/>
      <c r="AD12" s="1926"/>
      <c r="AE12" s="1926"/>
      <c r="AF12" s="1926"/>
      <c r="AG12" s="2745"/>
      <c r="AH12" s="2745"/>
      <c r="AI12" s="2745"/>
      <c r="AJ12" s="2745"/>
      <c r="AK12" s="2745"/>
      <c r="AL12" s="2745"/>
      <c r="AM12" s="2745"/>
      <c r="AN12" s="2745"/>
      <c r="AO12" s="2745"/>
      <c r="AP12" s="2745"/>
      <c r="AT12" s="2745"/>
      <c r="AU12" s="2745"/>
    </row>
    <row r="13" spans="1:47">
      <c r="A13" s="3439" t="s">
        <v>2337</v>
      </c>
      <c r="B13" s="2126" t="s">
        <v>2338</v>
      </c>
      <c r="C13" s="3160"/>
      <c r="D13" s="3160"/>
      <c r="E13" s="3160"/>
      <c r="F13" s="3160"/>
      <c r="G13" s="3160"/>
      <c r="H13" s="3160"/>
      <c r="I13" s="3160"/>
      <c r="J13" s="3160"/>
      <c r="K13" s="3160"/>
      <c r="L13" s="3160"/>
      <c r="M13" s="3160"/>
      <c r="N13" s="3160"/>
      <c r="O13" s="3160"/>
      <c r="P13" s="3160"/>
      <c r="Q13" s="3160"/>
      <c r="R13" s="1612" t="s">
        <v>2339</v>
      </c>
      <c r="T13" s="3160"/>
      <c r="U13" s="92"/>
      <c r="V13" s="92"/>
      <c r="W13" s="92"/>
      <c r="X13" s="3316" t="s">
        <v>2727</v>
      </c>
      <c r="Y13" s="1809"/>
      <c r="Z13" s="141" t="s">
        <v>777</v>
      </c>
      <c r="AA13" s="1366" t="s">
        <v>1178</v>
      </c>
      <c r="AB13" s="3161"/>
      <c r="AC13" s="3161"/>
      <c r="AD13" s="3161"/>
      <c r="AE13" s="3160"/>
      <c r="AF13" s="3161"/>
      <c r="AH13" s="2840"/>
      <c r="AI13" s="2840"/>
      <c r="AJ13" s="2840"/>
      <c r="AK13" s="2840"/>
      <c r="AL13" s="2399"/>
      <c r="AM13" s="2399"/>
      <c r="AN13" s="2399"/>
      <c r="AO13" s="2399"/>
      <c r="AP13" s="2399"/>
    </row>
    <row r="14" spans="1:47">
      <c r="A14" s="1122" t="s">
        <v>498</v>
      </c>
      <c r="B14" s="82" t="s">
        <v>52</v>
      </c>
      <c r="C14" s="3298">
        <f>PROFILES!E255</f>
        <v>0.61</v>
      </c>
      <c r="D14" s="3299">
        <f>PROFILES!N103</f>
        <v>0</v>
      </c>
      <c r="E14" s="3300">
        <f>PROFILES!G255</f>
        <v>0.62983042679437373</v>
      </c>
      <c r="F14" s="3298">
        <f>CALCULATIONS!HO5</f>
        <v>0.51528895508035288</v>
      </c>
      <c r="G14" s="3299">
        <f>CALCULATIONS!HP5</f>
        <v>-2.4931247740904369E-2</v>
      </c>
      <c r="H14" s="3301">
        <f>CALCULATIONS!HM5</f>
        <v>0.51939744871548044</v>
      </c>
      <c r="I14" s="3298">
        <f>CALCULATIONS!JA5</f>
        <v>0.58808850315066874</v>
      </c>
      <c r="J14" s="3299">
        <f>CALCULATIONS!JB5</f>
        <v>-2.8226553900756759E-2</v>
      </c>
      <c r="K14" s="3300">
        <f>CALCULATIONS!IY5</f>
        <v>0.59074959904524027</v>
      </c>
      <c r="L14" s="3299">
        <f>I14-F14</f>
        <v>7.2799548070315856E-2</v>
      </c>
      <c r="M14" s="3299">
        <f>L14/F14</f>
        <v>0.14127907721011346</v>
      </c>
      <c r="N14" s="1415" t="e">
        <f>#REF!</f>
        <v>#REF!</v>
      </c>
      <c r="O14" s="3302" t="s">
        <v>289</v>
      </c>
      <c r="P14" s="3303">
        <f>CALCULATIONS!ML5</f>
        <v>2.7906818261625395</v>
      </c>
      <c r="Q14" s="3304">
        <f>CALCULATIONS!MM5</f>
        <v>8.5841806528642844E-2</v>
      </c>
      <c r="R14" s="3305">
        <f>CALCULATIONS!MH5</f>
        <v>2.9178287645268703</v>
      </c>
      <c r="S14" s="1157"/>
      <c r="T14" s="92"/>
      <c r="U14" s="92"/>
      <c r="V14" s="92"/>
      <c r="W14" s="92"/>
      <c r="X14" s="3161"/>
      <c r="Y14" s="92"/>
      <c r="Z14" s="1363">
        <f>CALCULATIONS!DE5</f>
        <v>5.0454438985023969E-2</v>
      </c>
      <c r="AA14" s="1367">
        <f>CALCULATIONS!DC5</f>
        <v>7.2332690236133868E-2</v>
      </c>
      <c r="AB14" s="3161"/>
      <c r="AC14" s="3161"/>
      <c r="AD14" s="3161"/>
      <c r="AE14" s="92"/>
      <c r="AF14" s="108"/>
      <c r="AH14" s="2497"/>
      <c r="AI14" s="2399"/>
      <c r="AJ14" s="2399"/>
      <c r="AK14" s="3307"/>
      <c r="AL14" s="3307"/>
      <c r="AM14" s="2399"/>
      <c r="AN14" s="2399"/>
      <c r="AO14" s="2399"/>
      <c r="AP14" s="2399"/>
    </row>
    <row r="15" spans="1:47" ht="13.15" customHeight="1">
      <c r="A15" s="1115" t="s">
        <v>385</v>
      </c>
      <c r="B15" s="73" t="s">
        <v>276</v>
      </c>
      <c r="C15" s="103">
        <f>PROFILES!E256</f>
        <v>0.60910298289809772</v>
      </c>
      <c r="D15" s="116">
        <f>PROFILES!N104</f>
        <v>-5.2071170724915891E-2</v>
      </c>
      <c r="E15" s="101">
        <f>PROFILES!G256</f>
        <v>0.6207941242005639</v>
      </c>
      <c r="F15" s="103">
        <f>CALCULATIONS!HO6</f>
        <v>0.49050145598877937</v>
      </c>
      <c r="G15" s="116">
        <f>CALCULATIONS!HP6</f>
        <v>0.42102559519407173</v>
      </c>
      <c r="H15" s="104">
        <f>CALCULATIONS!HM6</f>
        <v>0.61744816018521742</v>
      </c>
      <c r="I15" s="103">
        <f>CALCULATIONS!JA6</f>
        <v>0.49698573886957192</v>
      </c>
      <c r="J15" s="116">
        <f>CALCULATIONS!JB6</f>
        <v>0.41032171167013903</v>
      </c>
      <c r="K15" s="101">
        <f>CALCULATIONS!IY6</f>
        <v>0.62319136029119382</v>
      </c>
      <c r="L15" s="116">
        <f t="shared" ref="L15:L35" si="0">I15-F15</f>
        <v>6.4842828807925579E-3</v>
      </c>
      <c r="M15" s="116">
        <f t="shared" ref="M15:M35" si="1">L15/F15</f>
        <v>1.3219701596443154E-2</v>
      </c>
      <c r="N15" s="80" t="e">
        <f>#REF!</f>
        <v>#REF!</v>
      </c>
      <c r="O15" s="85" t="s">
        <v>294</v>
      </c>
      <c r="P15" s="130">
        <f>CALCULATIONS!ML6</f>
        <v>2.1902281092407181</v>
      </c>
      <c r="Q15" s="149">
        <f>CALCULATIONS!MM6</f>
        <v>0.36844726500440206</v>
      </c>
      <c r="R15" s="129">
        <f>CALCULATIONS!MH6</f>
        <v>2.5252968522290931</v>
      </c>
      <c r="S15" s="1157"/>
      <c r="T15" s="92"/>
      <c r="U15" s="92"/>
      <c r="V15" s="92"/>
      <c r="W15" s="92"/>
      <c r="X15" s="1829"/>
      <c r="Y15" s="92"/>
      <c r="Z15" s="1364">
        <f>CALCULATIONS!DE6</f>
        <v>2.3486110793804812E-4</v>
      </c>
      <c r="AA15" s="1368">
        <f>CALCULATIONS!DC6</f>
        <v>2.1005474075441732E-4</v>
      </c>
      <c r="AB15" s="1829"/>
      <c r="AC15" s="1829"/>
      <c r="AD15" s="1829"/>
      <c r="AE15" s="92"/>
      <c r="AF15" s="108"/>
      <c r="AH15" s="2497"/>
      <c r="AI15" s="2399"/>
      <c r="AJ15" s="2399"/>
      <c r="AK15" s="3307"/>
      <c r="AL15" s="3307"/>
      <c r="AM15" s="2399"/>
      <c r="AN15" s="2399"/>
      <c r="AO15" s="2399"/>
      <c r="AP15" s="2399"/>
    </row>
    <row r="16" spans="1:47" ht="13.15" customHeight="1">
      <c r="A16" s="1117" t="s">
        <v>319</v>
      </c>
      <c r="B16" s="691" t="s">
        <v>750</v>
      </c>
      <c r="C16" s="1013">
        <f>PROFILES!E257</f>
        <v>0.37158673775730477</v>
      </c>
      <c r="D16" s="1008">
        <f>PROFILES!N105</f>
        <v>-0.1153634304384116</v>
      </c>
      <c r="E16" s="1174">
        <f>PROFILES!G257</f>
        <v>0.36037883142173305</v>
      </c>
      <c r="F16" s="1013">
        <f>CALCULATIONS!HO7</f>
        <v>0.17383796150947908</v>
      </c>
      <c r="G16" s="1008">
        <f>CALCULATIONS!HP7</f>
        <v>0.54445307336528614</v>
      </c>
      <c r="H16" s="1014">
        <f>CALCULATIONS!HM7</f>
        <v>0.26356163003804695</v>
      </c>
      <c r="I16" s="1013">
        <f>CALCULATIONS!JA7</f>
        <v>0.19702478682132593</v>
      </c>
      <c r="J16" s="1008">
        <f>CALCULATIONS!JB7</f>
        <v>0.50034734616182497</v>
      </c>
      <c r="K16" s="1174">
        <f>CALCULATIONS!IY7</f>
        <v>0.28756363720088318</v>
      </c>
      <c r="L16" s="1008">
        <f t="shared" si="0"/>
        <v>2.3186825311846848E-2</v>
      </c>
      <c r="M16" s="1008">
        <f t="shared" si="1"/>
        <v>0.13338182932260462</v>
      </c>
      <c r="N16" s="1016" t="e">
        <f>#REF!</f>
        <v>#REF!</v>
      </c>
      <c r="O16" s="1017" t="s">
        <v>290</v>
      </c>
      <c r="P16" s="1011">
        <f>CALCULATIONS!ML7</f>
        <v>0.93248540191552354</v>
      </c>
      <c r="Q16" s="1015">
        <f>CALCULATIONS!MM7</f>
        <v>0.78949919521054279</v>
      </c>
      <c r="R16" s="1012">
        <f>CALCULATIONS!MH7</f>
        <v>1.3109622071604587</v>
      </c>
      <c r="S16" s="1157"/>
      <c r="T16" s="4204" t="s">
        <v>2344</v>
      </c>
      <c r="U16" s="4204"/>
      <c r="V16" s="4204"/>
      <c r="W16" s="4204"/>
      <c r="X16" s="4231"/>
      <c r="Y16" s="1809"/>
      <c r="Z16" s="2056">
        <f>CALCULATIONS!DE7</f>
        <v>2.3342807395063121E-2</v>
      </c>
      <c r="AA16" s="2055">
        <f>CALCULATIONS!DC7</f>
        <v>2.2623381736432746E-2</v>
      </c>
      <c r="AB16" s="3289"/>
      <c r="AC16" s="3289"/>
      <c r="AD16" s="3289"/>
      <c r="AE16" s="92"/>
      <c r="AF16" s="108"/>
      <c r="AH16" s="2497"/>
      <c r="AI16" s="2399"/>
      <c r="AJ16" s="2399"/>
      <c r="AK16" s="3307"/>
      <c r="AL16" s="3307"/>
      <c r="AM16" s="2399"/>
      <c r="AN16" s="2399"/>
      <c r="AO16" s="2399"/>
      <c r="AP16" s="2399"/>
    </row>
    <row r="17" spans="1:42" ht="13.15" customHeight="1">
      <c r="A17" s="1117" t="s">
        <v>319</v>
      </c>
      <c r="B17" s="691" t="s">
        <v>751</v>
      </c>
      <c r="C17" s="1013">
        <f>PROFILES!E258</f>
        <v>0.95644485424869818</v>
      </c>
      <c r="D17" s="1008">
        <f>PROFILES!N106</f>
        <v>5.7346309608293736E-3</v>
      </c>
      <c r="E17" s="1174">
        <f>PROFILES!G258</f>
        <v>0.97265268915223335</v>
      </c>
      <c r="F17" s="1013">
        <f>CALCULATIONS!HO8</f>
        <v>0.16489915086810925</v>
      </c>
      <c r="G17" s="1008">
        <f>CALCULATIONS!HP8</f>
        <v>2.0043608623878186</v>
      </c>
      <c r="H17" s="1014">
        <f>CALCULATIONS!HM8</f>
        <v>0.32988338723452482</v>
      </c>
      <c r="I17" s="1013">
        <f>CALCULATIONS!JA8</f>
        <v>0.27218937885351913</v>
      </c>
      <c r="J17" s="1008">
        <f>CALCULATIONS!JB8</f>
        <v>1.2181747217666232</v>
      </c>
      <c r="K17" s="1174">
        <f>CALCULATIONS!IY8</f>
        <v>0.4561905930983241</v>
      </c>
      <c r="L17" s="1008">
        <f t="shared" si="0"/>
        <v>0.10729022798540988</v>
      </c>
      <c r="M17" s="1008">
        <f t="shared" si="1"/>
        <v>0.65064148250965514</v>
      </c>
      <c r="N17" s="1016" t="s">
        <v>507</v>
      </c>
      <c r="O17" s="1018"/>
      <c r="P17" s="1011">
        <f>CALCULATIONS!ML8</f>
        <v>1.2440956586918632</v>
      </c>
      <c r="Q17" s="1015">
        <f>CALCULATIONS!MM8</f>
        <v>0.5581122698382367</v>
      </c>
      <c r="R17" s="1012">
        <f>CALCULATIONS!MH8</f>
        <v>1.6771658832683087</v>
      </c>
      <c r="S17" s="1160"/>
      <c r="T17" s="4204"/>
      <c r="U17" s="4204"/>
      <c r="V17" s="4204"/>
      <c r="W17" s="4204"/>
      <c r="X17" s="4231"/>
      <c r="Y17" s="1809"/>
      <c r="Z17" s="2056">
        <f>CALCULATIONS!DE8</f>
        <v>0</v>
      </c>
      <c r="AA17" s="2055">
        <f>CALCULATIONS!DC8</f>
        <v>0</v>
      </c>
      <c r="AB17" s="3289"/>
      <c r="AC17" s="3289"/>
      <c r="AD17" s="3289"/>
      <c r="AE17" s="92"/>
      <c r="AF17" s="108"/>
      <c r="AH17" s="2497"/>
      <c r="AI17" s="2399"/>
      <c r="AJ17" s="2399"/>
      <c r="AK17" s="3307"/>
      <c r="AL17" s="3307"/>
      <c r="AM17" s="2399"/>
      <c r="AN17" s="2399"/>
      <c r="AO17" s="2399"/>
      <c r="AP17" s="2399"/>
    </row>
    <row r="18" spans="1:42">
      <c r="A18" s="1117" t="s">
        <v>319</v>
      </c>
      <c r="B18" s="691" t="s">
        <v>752</v>
      </c>
      <c r="C18" s="1013">
        <f>PROFILES!E259</f>
        <v>6.4385445236561381E-2</v>
      </c>
      <c r="D18" s="1008">
        <f>PROFILES!N107</f>
        <v>14.697799124913645</v>
      </c>
      <c r="E18" s="1174">
        <f>PROFILES!G259</f>
        <v>0.15462918080465343</v>
      </c>
      <c r="F18" s="1013">
        <f>CALCULATIONS!HO9</f>
        <v>0.42399287000325037</v>
      </c>
      <c r="G18" s="1008">
        <f>CALCULATIONS!HP9</f>
        <v>4.5742782667206161E-2</v>
      </c>
      <c r="H18" s="1014">
        <f>CALCULATIONS!HM9</f>
        <v>0.48144640266975475</v>
      </c>
      <c r="I18" s="1013">
        <f>CALCULATIONS!JA9</f>
        <v>0.42695023434228802</v>
      </c>
      <c r="J18" s="1008">
        <f>CALCULATIONS!JB9</f>
        <v>4.1366838913311048E-2</v>
      </c>
      <c r="K18" s="1174">
        <f>CALCULATIONS!IY9</f>
        <v>0.4832654138496531</v>
      </c>
      <c r="L18" s="1008">
        <f t="shared" si="0"/>
        <v>2.9573643390376492E-3</v>
      </c>
      <c r="M18" s="1008">
        <f t="shared" si="1"/>
        <v>6.9750331863245195E-3</v>
      </c>
      <c r="N18" s="1016" t="e">
        <f>#REF!</f>
        <v>#REF!</v>
      </c>
      <c r="O18" s="1017" t="s">
        <v>290</v>
      </c>
      <c r="P18" s="1011">
        <f>CALCULATIONS!ML9</f>
        <v>3.7014756930154613</v>
      </c>
      <c r="Q18" s="1015">
        <f>CALCULATIONS!MM9</f>
        <v>0.31334582285320112</v>
      </c>
      <c r="R18" s="1012">
        <f>CALCULATIONS!MH9</f>
        <v>4.3704719780651446</v>
      </c>
      <c r="S18" s="1161"/>
      <c r="T18" s="92"/>
      <c r="U18" s="92"/>
      <c r="V18" s="92"/>
      <c r="W18" s="92"/>
      <c r="X18" s="3289"/>
      <c r="Y18" s="92"/>
      <c r="Z18" s="2056">
        <f>CALCULATIONS!DE9</f>
        <v>3.2162558560311361E-4</v>
      </c>
      <c r="AA18" s="2055">
        <f>CALCULATIONS!DC9</f>
        <v>7.7848577823469434E-4</v>
      </c>
      <c r="AB18" s="3289"/>
      <c r="AC18" s="3289"/>
      <c r="AD18" s="3289"/>
      <c r="AE18" s="92"/>
      <c r="AF18" s="108"/>
      <c r="AH18" s="2497"/>
      <c r="AI18" s="2399"/>
      <c r="AJ18" s="2399"/>
      <c r="AK18" s="3307"/>
      <c r="AL18" s="3307"/>
      <c r="AM18" s="2399"/>
      <c r="AN18" s="2399"/>
      <c r="AO18" s="2399"/>
      <c r="AP18" s="2399"/>
    </row>
    <row r="19" spans="1:42" ht="13.15" customHeight="1">
      <c r="A19" s="1115" t="s">
        <v>539</v>
      </c>
      <c r="B19" s="73" t="s">
        <v>39</v>
      </c>
      <c r="C19" s="103">
        <f>PROFILES!E260</f>
        <v>0.31054928118178421</v>
      </c>
      <c r="D19" s="116">
        <f>PROFILES!N108</f>
        <v>-0.11491916916279199</v>
      </c>
      <c r="E19" s="101">
        <f>PROFILES!G260</f>
        <v>0.28165979767703259</v>
      </c>
      <c r="F19" s="103">
        <f>CALCULATIONS!HO10</f>
        <v>0.3899242463002407</v>
      </c>
      <c r="G19" s="116">
        <f>CALCULATIONS!HP10</f>
        <v>-0.1197676600756727</v>
      </c>
      <c r="H19" s="104">
        <f>CALCULATIONS!HM10</f>
        <v>0.37944762378701169</v>
      </c>
      <c r="I19" s="103">
        <f>CALCULATIONS!JA10</f>
        <v>0.45093517146474416</v>
      </c>
      <c r="J19" s="116">
        <f>CALCULATIONS!JB10</f>
        <v>-8.3572610535330494E-2</v>
      </c>
      <c r="K19" s="101">
        <f>CALCULATIONS!IY10</f>
        <v>0.43916945384982109</v>
      </c>
      <c r="L19" s="116">
        <f t="shared" si="0"/>
        <v>6.101092516450346E-2</v>
      </c>
      <c r="M19" s="116">
        <f t="shared" si="1"/>
        <v>0.15646866216553562</v>
      </c>
      <c r="N19" s="80" t="e">
        <f>#REF!</f>
        <v>#REF!</v>
      </c>
      <c r="O19" s="86" t="s">
        <v>295</v>
      </c>
      <c r="P19" s="130">
        <f>CALCULATIONS!ML10</f>
        <v>2.6587814840492587</v>
      </c>
      <c r="Q19" s="149">
        <f>CALCULATIONS!MM10</f>
        <v>-0.25803195656746131</v>
      </c>
      <c r="R19" s="129">
        <f>CALCULATIONS!MH10</f>
        <v>2.5933932385229874</v>
      </c>
      <c r="S19" s="1804"/>
      <c r="T19" s="92"/>
      <c r="U19" s="92"/>
      <c r="V19" s="92"/>
      <c r="W19" s="92"/>
      <c r="X19" s="1830"/>
      <c r="Y19" s="92"/>
      <c r="Z19" s="1364">
        <f>CALCULATIONS!DE10</f>
        <v>0</v>
      </c>
      <c r="AA19" s="1368">
        <f>CALCULATIONS!DC10</f>
        <v>0</v>
      </c>
      <c r="AB19" s="1830"/>
      <c r="AC19" s="3161"/>
      <c r="AD19" s="2710"/>
      <c r="AE19" s="92"/>
      <c r="AF19" s="108"/>
      <c r="AH19" s="2497"/>
      <c r="AI19" s="2399"/>
      <c r="AJ19" s="2399"/>
      <c r="AK19" s="3307"/>
      <c r="AL19" s="3307"/>
      <c r="AM19" s="2399"/>
      <c r="AN19" s="2399"/>
      <c r="AO19" s="2399"/>
      <c r="AP19" s="2399"/>
    </row>
    <row r="20" spans="1:42">
      <c r="A20" s="1115" t="s">
        <v>217</v>
      </c>
      <c r="B20" s="73" t="s">
        <v>53</v>
      </c>
      <c r="C20" s="103">
        <f>PROFILES!E261</f>
        <v>0.6158872479982318</v>
      </c>
      <c r="D20" s="116">
        <f>PROFILES!N109</f>
        <v>0.11044311863454735</v>
      </c>
      <c r="E20" s="101">
        <f>PROFILES!G261</f>
        <v>0.66127040038880336</v>
      </c>
      <c r="F20" s="103">
        <f>CALCULATIONS!HO11</f>
        <v>0.48384306036910518</v>
      </c>
      <c r="G20" s="116">
        <f>CALCULATIONS!HP11</f>
        <v>0.2595878527386451</v>
      </c>
      <c r="H20" s="104">
        <f>CALCULATIONS!HM11</f>
        <v>0.54381370963962039</v>
      </c>
      <c r="I20" s="103">
        <f>CALCULATIONS!JA11</f>
        <v>0.51513010935716153</v>
      </c>
      <c r="J20" s="116">
        <f>CALCULATIONS!JB11</f>
        <v>0.26130995158024306</v>
      </c>
      <c r="K20" s="101">
        <f>CALCULATIONS!IY11</f>
        <v>0.57929804018594233</v>
      </c>
      <c r="L20" s="116">
        <f t="shared" si="0"/>
        <v>3.1287048988056343E-2</v>
      </c>
      <c r="M20" s="116">
        <f t="shared" si="1"/>
        <v>6.4663630732222685E-2</v>
      </c>
      <c r="N20" s="80" t="e">
        <f>#REF!</f>
        <v>#REF!</v>
      </c>
      <c r="O20" s="87" t="s">
        <v>337</v>
      </c>
      <c r="P20" s="130">
        <f>CALCULATIONS!ML11</f>
        <v>2.7929780820851775</v>
      </c>
      <c r="Q20" s="149">
        <f>CALCULATIONS!MM11</f>
        <v>0.12404595260605845</v>
      </c>
      <c r="R20" s="129">
        <f>CALCULATIONS!MH11</f>
        <v>2.8353348809740444</v>
      </c>
      <c r="S20" s="1163"/>
      <c r="T20" s="92"/>
      <c r="U20" s="92"/>
      <c r="V20" s="92"/>
      <c r="W20" s="92"/>
      <c r="X20" s="3161"/>
      <c r="Y20" s="92"/>
      <c r="Z20" s="1364">
        <f>CALCULATIONS!DE11</f>
        <v>4.9318861699930633E-2</v>
      </c>
      <c r="AA20" s="1368">
        <f>CALCULATIONS!DC11</f>
        <v>6.1149304502959634E-2</v>
      </c>
      <c r="AB20" s="3161"/>
      <c r="AC20" s="3161"/>
      <c r="AD20" s="3161"/>
      <c r="AE20" s="92"/>
      <c r="AF20" s="108"/>
      <c r="AH20" s="2497"/>
      <c r="AI20" s="2399"/>
      <c r="AJ20" s="2399"/>
      <c r="AK20" s="3307"/>
      <c r="AL20" s="3307"/>
      <c r="AM20" s="2399"/>
      <c r="AN20" s="2399"/>
      <c r="AO20" s="2399"/>
      <c r="AP20" s="2399"/>
    </row>
    <row r="21" spans="1:42">
      <c r="A21" s="1115" t="s">
        <v>73</v>
      </c>
      <c r="B21" s="73" t="s">
        <v>283</v>
      </c>
      <c r="C21" s="103">
        <f>PROFILES!E262</f>
        <v>0.62657499999999999</v>
      </c>
      <c r="D21" s="116">
        <f>PROFILES!N110</f>
        <v>5.5614710459497153E-2</v>
      </c>
      <c r="E21" s="101">
        <f>PROFILES!G262</f>
        <v>0.64439999999999997</v>
      </c>
      <c r="F21" s="103">
        <f>CALCULATIONS!HO12</f>
        <v>0.24190098439360719</v>
      </c>
      <c r="G21" s="116">
        <f>CALCULATIONS!HP12</f>
        <v>0.20667512064869559</v>
      </c>
      <c r="H21" s="104">
        <f>CALCULATIONS!HM12</f>
        <v>0.30597960586046052</v>
      </c>
      <c r="I21" s="103">
        <f>CALCULATIONS!JA12</f>
        <v>0.2616424852780464</v>
      </c>
      <c r="J21" s="116">
        <f>CALCULATIONS!JB12</f>
        <v>0.20296552626351777</v>
      </c>
      <c r="K21" s="101">
        <f>CALCULATIONS!IY12</f>
        <v>0.32061814749302248</v>
      </c>
      <c r="L21" s="116">
        <f t="shared" si="0"/>
        <v>1.9741500884439211E-2</v>
      </c>
      <c r="M21" s="116">
        <f t="shared" si="1"/>
        <v>8.1609841042717679E-2</v>
      </c>
      <c r="N21" s="80" t="e">
        <f>#REF!</f>
        <v>#REF!</v>
      </c>
      <c r="O21" s="85" t="s">
        <v>290</v>
      </c>
      <c r="P21" s="130">
        <f>CALCULATIONS!ML12</f>
        <v>1.7511002028712532</v>
      </c>
      <c r="Q21" s="149">
        <f>CALCULATIONS!MM12</f>
        <v>0.37093258903528414</v>
      </c>
      <c r="R21" s="129">
        <f>CALCULATIONS!MH12</f>
        <v>2.2311132077757287</v>
      </c>
      <c r="S21" s="1804"/>
      <c r="T21" s="92"/>
      <c r="U21" s="92"/>
      <c r="V21" s="92"/>
      <c r="W21" s="92"/>
      <c r="X21" s="108"/>
      <c r="Y21" s="92"/>
      <c r="Z21" s="1364">
        <f>CALCULATIONS!DE12</f>
        <v>1.440263907604698E-3</v>
      </c>
      <c r="AA21" s="1368">
        <f>CALCULATIONS!DC12</f>
        <v>7.7582460974428002E-3</v>
      </c>
      <c r="AB21" s="3161"/>
      <c r="AC21" s="3161"/>
      <c r="AD21" s="3161"/>
      <c r="AE21" s="92"/>
      <c r="AF21" s="108"/>
      <c r="AH21" s="2497"/>
      <c r="AI21" s="2399"/>
      <c r="AJ21" s="2399"/>
      <c r="AK21" s="3307"/>
      <c r="AL21" s="3307"/>
      <c r="AM21" s="2399"/>
      <c r="AN21" s="2399"/>
      <c r="AO21" s="2399"/>
      <c r="AP21" s="2399"/>
    </row>
    <row r="22" spans="1:42" ht="13.15" customHeight="1">
      <c r="A22" s="1115" t="s">
        <v>19</v>
      </c>
      <c r="B22" s="73" t="s">
        <v>285</v>
      </c>
      <c r="C22" s="103">
        <f>PROFILES!E263</f>
        <v>9.1630231095150338E-2</v>
      </c>
      <c r="D22" s="1058" t="s">
        <v>274</v>
      </c>
      <c r="E22" s="101">
        <f>PROFILES!G263</f>
        <v>0.34976819018989347</v>
      </c>
      <c r="F22" s="103">
        <f>CALCULATIONS!HO13</f>
        <v>0.13477545507373562</v>
      </c>
      <c r="G22" s="116">
        <f>CALCULATIONS!HP13</f>
        <v>-0.4264373226073967</v>
      </c>
      <c r="H22" s="104">
        <f>CALCULATIONS!HM13</f>
        <v>9.7905485588969735E-2</v>
      </c>
      <c r="I22" s="103">
        <f>CALCULATIONS!JA13</f>
        <v>0.16024846762312819</v>
      </c>
      <c r="J22" s="116">
        <f>CALCULATIONS!JB13</f>
        <v>-0.25253039609468159</v>
      </c>
      <c r="K22" s="101">
        <f>CALCULATIONS!IY13</f>
        <v>0.12849893093161849</v>
      </c>
      <c r="L22" s="116">
        <f t="shared" si="0"/>
        <v>2.5473012549392576E-2</v>
      </c>
      <c r="M22" s="116">
        <f t="shared" si="1"/>
        <v>0.18900335031669008</v>
      </c>
      <c r="N22" s="80" t="s">
        <v>507</v>
      </c>
      <c r="O22" s="87"/>
      <c r="P22" s="130">
        <f>CALCULATIONS!ML13</f>
        <v>1.265551414722516</v>
      </c>
      <c r="Q22" s="149">
        <f>CALCULATIONS!MM13</f>
        <v>0.38040351489576829</v>
      </c>
      <c r="R22" s="129">
        <f>CALCULATIONS!MH13</f>
        <v>1.242834927692577</v>
      </c>
      <c r="S22" s="1161"/>
      <c r="T22" s="92"/>
      <c r="U22" s="92"/>
      <c r="V22" s="92"/>
      <c r="W22" s="92"/>
      <c r="X22" s="3161"/>
      <c r="Y22" s="92"/>
      <c r="Z22" s="1364">
        <f>CALCULATIONS!DE13</f>
        <v>5.850613816296488E-5</v>
      </c>
      <c r="AA22" s="1368">
        <f>CALCULATIONS!DC13</f>
        <v>0</v>
      </c>
      <c r="AB22" s="3161"/>
      <c r="AC22" s="3161"/>
      <c r="AD22" s="3161"/>
      <c r="AE22" s="92"/>
      <c r="AF22" s="108"/>
      <c r="AH22" s="2497"/>
      <c r="AI22" s="2399"/>
      <c r="AJ22" s="2399"/>
      <c r="AK22" s="3307"/>
      <c r="AL22" s="3307"/>
      <c r="AM22" s="2399"/>
      <c r="AN22" s="2399"/>
      <c r="AO22" s="2399"/>
      <c r="AP22" s="2399"/>
    </row>
    <row r="23" spans="1:42" ht="12.75" customHeight="1">
      <c r="A23" s="1115" t="s">
        <v>19</v>
      </c>
      <c r="B23" s="150" t="s">
        <v>286</v>
      </c>
      <c r="C23" s="103">
        <f>PROFILES!E264</f>
        <v>0.60741568747204655</v>
      </c>
      <c r="D23" s="116">
        <f>PROFILES!N112</f>
        <v>4.0950219141690898E-2</v>
      </c>
      <c r="E23" s="101">
        <f>PROFILES!G264</f>
        <v>0.62738172243152124</v>
      </c>
      <c r="F23" s="103">
        <f>CALCULATIONS!HO14</f>
        <v>0.50834561454306215</v>
      </c>
      <c r="G23" s="116">
        <f>CALCULATIONS!HP14</f>
        <v>0.27477182203191691</v>
      </c>
      <c r="H23" s="104">
        <f>CALCULATIONS!HM14</f>
        <v>0.61196382356206247</v>
      </c>
      <c r="I23" s="103">
        <f>CALCULATIONS!JA14</f>
        <v>0.54898628094174651</v>
      </c>
      <c r="J23" s="116">
        <f>CALCULATIONS!JB14</f>
        <v>0.26756473067663017</v>
      </c>
      <c r="K23" s="101">
        <f>CALCULATIONS!IY14</f>
        <v>0.65530118542007598</v>
      </c>
      <c r="L23" s="116">
        <f t="shared" si="0"/>
        <v>4.0640666398684355E-2</v>
      </c>
      <c r="M23" s="116">
        <f t="shared" si="1"/>
        <v>7.9946920433679999E-2</v>
      </c>
      <c r="N23" s="80" t="e">
        <f>#REF!</f>
        <v>#REF!</v>
      </c>
      <c r="O23" s="85" t="s">
        <v>296</v>
      </c>
      <c r="P23" s="130">
        <f>CALCULATIONS!ML14</f>
        <v>2.5321561588471506</v>
      </c>
      <c r="Q23" s="149">
        <f>CALCULATIONS!MM14</f>
        <v>1.3257606300410854E-2</v>
      </c>
      <c r="R23" s="129">
        <f>CALCULATIONS!MH14</f>
        <v>2.8138910595815916</v>
      </c>
      <c r="S23" s="1157"/>
      <c r="T23" s="92"/>
      <c r="U23" s="92"/>
      <c r="V23" s="92"/>
      <c r="W23" s="92"/>
      <c r="X23" s="1830"/>
      <c r="Y23" s="92"/>
      <c r="Z23" s="1364">
        <f>CALCULATIONS!DE14</f>
        <v>3.0286005368541528E-2</v>
      </c>
      <c r="AA23" s="1368">
        <f>CALCULATIONS!DC14</f>
        <v>3.3650529632482495E-2</v>
      </c>
      <c r="AB23" s="1830"/>
      <c r="AC23" s="1830"/>
      <c r="AD23" s="1830"/>
      <c r="AE23" s="92"/>
      <c r="AF23" s="108"/>
      <c r="AH23" s="2496"/>
      <c r="AI23" s="2399"/>
      <c r="AJ23" s="2399"/>
      <c r="AK23" s="3307"/>
      <c r="AL23" s="3307"/>
      <c r="AM23" s="2399"/>
      <c r="AN23" s="2399"/>
      <c r="AO23" s="2399"/>
      <c r="AP23" s="2399"/>
    </row>
    <row r="24" spans="1:42" ht="13.15" customHeight="1">
      <c r="A24" s="1115" t="s">
        <v>374</v>
      </c>
      <c r="B24" s="73" t="s">
        <v>42</v>
      </c>
      <c r="C24" s="103">
        <f>PROFILES!E265</f>
        <v>0.56323171407839789</v>
      </c>
      <c r="D24" s="116">
        <f>PROFILES!N113</f>
        <v>-0.12023286586287618</v>
      </c>
      <c r="E24" s="101">
        <f>PROFILES!G265</f>
        <v>0.53987730061349704</v>
      </c>
      <c r="F24" s="103">
        <f>CALCULATIONS!HO15</f>
        <v>0.60887331285954671</v>
      </c>
      <c r="G24" s="116">
        <f>CALCULATIONS!HP15</f>
        <v>-0.37303497156800469</v>
      </c>
      <c r="H24" s="104">
        <f>CALCULATIONS!HM15</f>
        <v>0.37659759063604481</v>
      </c>
      <c r="I24" s="103">
        <f>CALCULATIONS!JA15</f>
        <v>0.63388271448107447</v>
      </c>
      <c r="J24" s="116">
        <f>CALCULATIONS!JB15</f>
        <v>-0.25869992498286548</v>
      </c>
      <c r="K24" s="101">
        <f>CALCULATIONS!IY15</f>
        <v>0.44527495080222473</v>
      </c>
      <c r="L24" s="116">
        <f t="shared" si="0"/>
        <v>2.500940162152776E-2</v>
      </c>
      <c r="M24" s="116">
        <f t="shared" si="1"/>
        <v>4.1074885519406669E-2</v>
      </c>
      <c r="N24" s="80" t="e">
        <f>#REF!</f>
        <v>#REF!</v>
      </c>
      <c r="O24" s="85" t="s">
        <v>290</v>
      </c>
      <c r="P24" s="130">
        <f>CALCULATIONS!ML15</f>
        <v>2.172629043332774</v>
      </c>
      <c r="Q24" s="149">
        <f>CALCULATIONS!MM15</f>
        <v>-0.22035736928264804</v>
      </c>
      <c r="R24" s="129">
        <f>CALCULATIONS!MH15</f>
        <v>1.5517268924243866</v>
      </c>
      <c r="S24" s="1157"/>
      <c r="T24" s="92"/>
      <c r="U24" s="92"/>
      <c r="V24" s="92"/>
      <c r="W24" s="92"/>
      <c r="X24" s="3161"/>
      <c r="Y24" s="92"/>
      <c r="Z24" s="1364">
        <f>CALCULATIONS!DE15</f>
        <v>7.5929108039760676E-2</v>
      </c>
      <c r="AA24" s="1368">
        <f>CALCULATIONS!DC15</f>
        <v>7.4336757766092276E-2</v>
      </c>
      <c r="AB24" s="3161"/>
      <c r="AC24" s="3161"/>
      <c r="AD24" s="3161"/>
      <c r="AE24" s="92"/>
      <c r="AF24" s="108"/>
      <c r="AH24" s="2497"/>
      <c r="AI24" s="2399"/>
      <c r="AJ24" s="2399"/>
      <c r="AK24" s="3307"/>
      <c r="AL24" s="3307"/>
      <c r="AM24" s="2399"/>
      <c r="AN24" s="2399"/>
      <c r="AO24" s="2399"/>
      <c r="AP24" s="2399"/>
    </row>
    <row r="25" spans="1:42" ht="12.75" customHeight="1">
      <c r="A25" s="1115" t="s">
        <v>499</v>
      </c>
      <c r="B25" s="73" t="s">
        <v>284</v>
      </c>
      <c r="C25" s="103">
        <f>PROFILES!E266</f>
        <v>0.34534166666666666</v>
      </c>
      <c r="D25" s="116">
        <f>PROFILES!N114</f>
        <v>-5.4500069338510607E-2</v>
      </c>
      <c r="E25" s="101">
        <f>PROFILES!G266</f>
        <v>0.3626280111015483</v>
      </c>
      <c r="F25" s="103">
        <f>CALCULATIONS!HO16</f>
        <v>0.67997702229572432</v>
      </c>
      <c r="G25" s="116">
        <f>CALCULATIONS!HP16</f>
        <v>0.10658020511075152</v>
      </c>
      <c r="H25" s="104">
        <f>CALCULATIONS!HM16</f>
        <v>0.75270955685414354</v>
      </c>
      <c r="I25" s="103">
        <f>CALCULATIONS!JA16</f>
        <v>0.68457317243488636</v>
      </c>
      <c r="J25" s="116">
        <f>CALCULATIONS!JB16</f>
        <v>0.10522314957078965</v>
      </c>
      <c r="K25" s="101">
        <f>CALCULATIONS!IY16</f>
        <v>0.75672107111582532</v>
      </c>
      <c r="L25" s="116">
        <f t="shared" si="0"/>
        <v>4.5961501391620363E-3</v>
      </c>
      <c r="M25" s="116">
        <f t="shared" si="1"/>
        <v>6.7592727231349809E-3</v>
      </c>
      <c r="N25" s="80" t="e">
        <f>#REF!</f>
        <v>#REF!</v>
      </c>
      <c r="O25" s="85" t="s">
        <v>297</v>
      </c>
      <c r="P25" s="130">
        <f>CALCULATIONS!ML16</f>
        <v>2.9152503149286035</v>
      </c>
      <c r="Q25" s="149">
        <f>CALCULATIONS!MM16</f>
        <v>-0.14664752669478531</v>
      </c>
      <c r="R25" s="129">
        <f>CALCULATIONS!MH16</f>
        <v>2.8370691340232916</v>
      </c>
      <c r="S25" s="1157"/>
      <c r="T25" s="92"/>
      <c r="U25" s="92"/>
      <c r="V25" s="92"/>
      <c r="W25" s="92"/>
      <c r="X25" s="3159"/>
      <c r="Y25" s="92"/>
      <c r="Z25" s="1364">
        <f>CALCULATIONS!DE16</f>
        <v>6.8080808466247547E-2</v>
      </c>
      <c r="AA25" s="1368">
        <f>CALCULATIONS!DC16</f>
        <v>8.307843834103501E-2</v>
      </c>
      <c r="AB25" s="3159"/>
      <c r="AC25" s="3159"/>
      <c r="AD25" s="3159"/>
      <c r="AE25" s="92"/>
      <c r="AF25" s="108"/>
      <c r="AH25" s="2497"/>
      <c r="AI25" s="2399"/>
      <c r="AJ25" s="2399"/>
      <c r="AK25" s="3307"/>
      <c r="AL25" s="3307"/>
      <c r="AM25" s="2399"/>
      <c r="AN25" s="2399"/>
      <c r="AO25" s="2399"/>
      <c r="AP25" s="2399"/>
    </row>
    <row r="26" spans="1:42" ht="13.15" customHeight="1">
      <c r="A26" s="1115" t="s">
        <v>500</v>
      </c>
      <c r="B26" s="73" t="s">
        <v>279</v>
      </c>
      <c r="C26" s="103">
        <f>PROFILES!E267</f>
        <v>0.7344324868237998</v>
      </c>
      <c r="D26" s="116">
        <f>PROFILES!N115</f>
        <v>0.10784712869930438</v>
      </c>
      <c r="E26" s="101">
        <f>PROFILES!G267</f>
        <v>0.74956908795771016</v>
      </c>
      <c r="F26" s="103">
        <f>CALCULATIONS!HO17</f>
        <v>0.14726898954609682</v>
      </c>
      <c r="G26" s="116">
        <f>CALCULATIONS!HP17</f>
        <v>4.9939774449528171E-2</v>
      </c>
      <c r="H26" s="104">
        <f>CALCULATIONS!HM17</f>
        <v>0.17272839211728983</v>
      </c>
      <c r="I26" s="103">
        <f>CALCULATIONS!JA17</f>
        <v>0.18443136241749356</v>
      </c>
      <c r="J26" s="116">
        <f>CALCULATIONS!JB17</f>
        <v>-5.7258906752796622E-2</v>
      </c>
      <c r="K26" s="101">
        <f>CALCULATIONS!IY17</f>
        <v>0.198117589718218</v>
      </c>
      <c r="L26" s="116">
        <f t="shared" si="0"/>
        <v>3.7162372871396732E-2</v>
      </c>
      <c r="M26" s="116">
        <f t="shared" si="1"/>
        <v>0.25234350412762557</v>
      </c>
      <c r="N26" s="80" t="e">
        <f>#REF!</f>
        <v>#REF!</v>
      </c>
      <c r="O26" s="85" t="s">
        <v>290</v>
      </c>
      <c r="P26" s="130">
        <f>CALCULATIONS!ML17</f>
        <v>1.0395975936863313</v>
      </c>
      <c r="Q26" s="149">
        <f>CALCULATIONS!MM17</f>
        <v>2.9438923535487854E-2</v>
      </c>
      <c r="R26" s="129">
        <f>CALCULATIONS!MH17</f>
        <v>1.2087727199953455</v>
      </c>
      <c r="S26" s="1804"/>
      <c r="T26" s="92"/>
      <c r="U26" s="92"/>
      <c r="V26" s="92"/>
      <c r="W26" s="92"/>
      <c r="X26" s="3159"/>
      <c r="Y26" s="92"/>
      <c r="Z26" s="1364">
        <f>CALCULATIONS!DE17</f>
        <v>2.8324929642768303E-2</v>
      </c>
      <c r="AA26" s="1368">
        <f>CALCULATIONS!DC17</f>
        <v>1.5186508715957947E-2</v>
      </c>
      <c r="AB26" s="3159"/>
      <c r="AC26" s="3159"/>
      <c r="AD26" s="3159"/>
      <c r="AE26" s="92"/>
      <c r="AF26" s="108"/>
      <c r="AH26" s="2497"/>
      <c r="AI26" s="2399"/>
      <c r="AJ26" s="2399"/>
      <c r="AK26" s="3307"/>
      <c r="AL26" s="3307"/>
      <c r="AM26" s="2399"/>
      <c r="AN26" s="2399"/>
      <c r="AO26" s="2399"/>
      <c r="AP26" s="2399"/>
    </row>
    <row r="27" spans="1:42" ht="12.75" customHeight="1">
      <c r="A27" s="1115" t="s">
        <v>501</v>
      </c>
      <c r="B27" s="73" t="s">
        <v>44</v>
      </c>
      <c r="C27" s="103">
        <f>PROFILES!E268</f>
        <v>0.5805147103617575</v>
      </c>
      <c r="D27" s="116">
        <f>PROFILES!N116</f>
        <v>8.4948466413752491E-2</v>
      </c>
      <c r="E27" s="101">
        <f>PROFILES!G268</f>
        <v>0.6264024463118032</v>
      </c>
      <c r="F27" s="103">
        <f>CALCULATIONS!HO18</f>
        <v>0.51826084585195908</v>
      </c>
      <c r="G27" s="116">
        <f>CALCULATIONS!HP18</f>
        <v>0.40005999871326348</v>
      </c>
      <c r="H27" s="104">
        <f>CALCULATIONS!HM18</f>
        <v>0.58973938770950263</v>
      </c>
      <c r="I27" s="103">
        <f>CALCULATIONS!JA18</f>
        <v>0.5495689942142129</v>
      </c>
      <c r="J27" s="116">
        <f>CALCULATIONS!JB18</f>
        <v>0.40637993517884302</v>
      </c>
      <c r="K27" s="101">
        <f>CALCULATIONS!IY18</f>
        <v>0.63323863537070213</v>
      </c>
      <c r="L27" s="116">
        <f t="shared" si="0"/>
        <v>3.1308148362253818E-2</v>
      </c>
      <c r="M27" s="116">
        <f t="shared" si="1"/>
        <v>6.0410020577161203E-2</v>
      </c>
      <c r="N27" s="80" t="e">
        <f>#REF!</f>
        <v>#REF!</v>
      </c>
      <c r="O27" s="85" t="s">
        <v>296</v>
      </c>
      <c r="P27" s="130">
        <f>CALCULATIONS!ML18</f>
        <v>2.643581803383519</v>
      </c>
      <c r="Q27" s="149">
        <f>CALCULATIONS!MM18</f>
        <v>2.8580691559688957E-2</v>
      </c>
      <c r="R27" s="129">
        <f>CALCULATIONS!MH18</f>
        <v>2.5466878830879209</v>
      </c>
      <c r="S27" s="1157"/>
      <c r="T27" s="92"/>
      <c r="U27" s="92"/>
      <c r="V27" s="92"/>
      <c r="W27" s="92"/>
      <c r="X27" s="3159"/>
      <c r="Y27" s="92"/>
      <c r="Z27" s="1364">
        <f>CALCULATIONS!DE18</f>
        <v>6.0023051177316735E-4</v>
      </c>
      <c r="AA27" s="1368">
        <f>CALCULATIONS!DC18</f>
        <v>2.6890253248352813E-3</v>
      </c>
      <c r="AB27" s="3159"/>
      <c r="AC27" s="3159"/>
      <c r="AD27" s="3159"/>
      <c r="AE27" s="92"/>
      <c r="AF27" s="108"/>
      <c r="AH27" s="2497"/>
      <c r="AI27" s="2399"/>
      <c r="AJ27" s="2399"/>
      <c r="AK27" s="3307"/>
      <c r="AL27" s="3307"/>
      <c r="AM27" s="2399"/>
      <c r="AN27" s="2399"/>
      <c r="AO27" s="2399"/>
      <c r="AP27" s="2399"/>
    </row>
    <row r="28" spans="1:42" ht="13.15" customHeight="1">
      <c r="A28" s="1115" t="s">
        <v>502</v>
      </c>
      <c r="B28" s="73" t="s">
        <v>287</v>
      </c>
      <c r="C28" s="103">
        <f>PROFILES!E269</f>
        <v>0.42290073595624156</v>
      </c>
      <c r="D28" s="116">
        <f>PROFILES!N117</f>
        <v>-9.0086339251873371E-2</v>
      </c>
      <c r="E28" s="101">
        <f>PROFILES!G269</f>
        <v>0.44946685046944856</v>
      </c>
      <c r="F28" s="103">
        <f>CALCULATIONS!HO19</f>
        <v>0.16307046534988884</v>
      </c>
      <c r="G28" s="116">
        <f>CALCULATIONS!HP19</f>
        <v>1.3005419282788433</v>
      </c>
      <c r="H28" s="104">
        <f>CALCULATIONS!HM19</f>
        <v>0.30950096360373897</v>
      </c>
      <c r="I28" s="103">
        <f>CALCULATIONS!JA19</f>
        <v>0.18570292678335293</v>
      </c>
      <c r="J28" s="116">
        <f>CALCULATIONS!JB19</f>
        <v>1.251733079461073</v>
      </c>
      <c r="K28" s="101">
        <f>CALCULATIONS!IY19</f>
        <v>0.34197601038246805</v>
      </c>
      <c r="L28" s="116">
        <f t="shared" si="0"/>
        <v>2.2632461433464091E-2</v>
      </c>
      <c r="M28" s="116">
        <f t="shared" si="1"/>
        <v>0.13878945758144007</v>
      </c>
      <c r="N28" s="80" t="e">
        <f>#REF!</f>
        <v>#REF!</v>
      </c>
      <c r="O28" s="88" t="s">
        <v>291</v>
      </c>
      <c r="P28" s="130">
        <f>CALCULATIONS!ML19</f>
        <v>0.77886477042851432</v>
      </c>
      <c r="Q28" s="149">
        <f>CALCULATIONS!MM19</f>
        <v>1.0703005310133176</v>
      </c>
      <c r="R28" s="129">
        <f>CALCULATIONS!MH19</f>
        <v>1.1762690733772538</v>
      </c>
      <c r="S28" s="1157"/>
      <c r="T28" s="92"/>
      <c r="U28" s="92"/>
      <c r="V28" s="92"/>
      <c r="W28" s="92"/>
      <c r="X28" s="3159"/>
      <c r="Y28" s="92"/>
      <c r="Z28" s="1364">
        <f>CALCULATIONS!DE19</f>
        <v>3.046770118873682E-4</v>
      </c>
      <c r="AA28" s="1368">
        <f>CALCULATIONS!DC19</f>
        <v>1.3108655117610724E-4</v>
      </c>
      <c r="AB28" s="3159"/>
      <c r="AC28" s="3159"/>
      <c r="AD28" s="3159"/>
      <c r="AE28" s="92"/>
      <c r="AF28" s="108"/>
      <c r="AH28" s="2497"/>
      <c r="AI28" s="2399"/>
      <c r="AJ28" s="2399"/>
      <c r="AK28" s="3307"/>
      <c r="AL28" s="3307"/>
      <c r="AM28" s="2399"/>
      <c r="AN28" s="2399"/>
      <c r="AO28" s="2399"/>
      <c r="AP28" s="2399"/>
    </row>
    <row r="29" spans="1:42" ht="13.15" customHeight="1">
      <c r="A29" s="1115" t="s">
        <v>27</v>
      </c>
      <c r="B29" s="73" t="s">
        <v>54</v>
      </c>
      <c r="C29" s="103">
        <f>PROFILES!E270</f>
        <v>0.48460704112825509</v>
      </c>
      <c r="D29" s="116">
        <f>PROFILES!N118</f>
        <v>-0.18079580514885477</v>
      </c>
      <c r="E29" s="101">
        <f>PROFILES!G270</f>
        <v>0.49497857034449522</v>
      </c>
      <c r="F29" s="103">
        <f>CALCULATIONS!HO20</f>
        <v>0.56717095077467305</v>
      </c>
      <c r="G29" s="116">
        <f>CALCULATIONS!HP20</f>
        <v>0.64731222518720821</v>
      </c>
      <c r="H29" s="104">
        <f>CALCULATIONS!HM20</f>
        <v>0.74754623070756221</v>
      </c>
      <c r="I29" s="103">
        <f>CALCULATIONS!JA20</f>
        <v>0.5748403529709204</v>
      </c>
      <c r="J29" s="116">
        <f>CALCULATIONS!JB20</f>
        <v>0.5906099669472562</v>
      </c>
      <c r="K29" s="101">
        <f>CALCULATIONS!IY20</f>
        <v>0.7506672643344422</v>
      </c>
      <c r="L29" s="116">
        <f t="shared" si="0"/>
        <v>7.6694021962473435E-3</v>
      </c>
      <c r="M29" s="116">
        <f t="shared" si="1"/>
        <v>1.3522205581530675E-2</v>
      </c>
      <c r="N29" s="80" t="e">
        <f>#REF!</f>
        <v>#REF!</v>
      </c>
      <c r="O29" s="88" t="s">
        <v>292</v>
      </c>
      <c r="P29" s="130">
        <f>CALCULATIONS!ML20</f>
        <v>3.4278891827637503</v>
      </c>
      <c r="Q29" s="149">
        <f>CALCULATIONS!MM20</f>
        <v>0.24423537898737996</v>
      </c>
      <c r="R29" s="129">
        <f>CALCULATIONS!MH20</f>
        <v>3.8230610288109381</v>
      </c>
      <c r="S29" s="1163"/>
      <c r="T29" s="92"/>
      <c r="U29" s="92"/>
      <c r="V29" s="92"/>
      <c r="W29" s="92"/>
      <c r="X29" s="3295"/>
      <c r="Y29" s="92"/>
      <c r="Z29" s="1364">
        <f>CALCULATIONS!DE20</f>
        <v>5.3987269214191252E-2</v>
      </c>
      <c r="AA29" s="1368">
        <f>CALCULATIONS!DC20</f>
        <v>4.7921192285235392E-2</v>
      </c>
      <c r="AB29" s="3295"/>
      <c r="AC29" s="3295"/>
      <c r="AD29" s="3295"/>
      <c r="AE29" s="92"/>
      <c r="AF29" s="108"/>
      <c r="AH29" s="2497"/>
      <c r="AI29" s="2399"/>
      <c r="AJ29" s="2399"/>
      <c r="AK29" s="3307"/>
      <c r="AL29" s="3307"/>
      <c r="AM29" s="2399"/>
      <c r="AN29" s="2399"/>
      <c r="AO29" s="2399"/>
      <c r="AP29" s="2399"/>
    </row>
    <row r="30" spans="1:42">
      <c r="A30" s="1115" t="s">
        <v>32</v>
      </c>
      <c r="B30" s="73" t="s">
        <v>50</v>
      </c>
      <c r="C30" s="103">
        <f>PROFILES!E271</f>
        <v>0</v>
      </c>
      <c r="D30" s="116">
        <f>PROFILES!N119</f>
        <v>0</v>
      </c>
      <c r="E30" s="101">
        <f>PROFILES!G271</f>
        <v>0</v>
      </c>
      <c r="F30" s="103">
        <f>CALCULATIONS!HO21</f>
        <v>0.37025195227815472</v>
      </c>
      <c r="G30" s="116">
        <f>CALCULATIONS!HP21</f>
        <v>-0.46222821771061889</v>
      </c>
      <c r="H30" s="104">
        <f>CALCULATIONS!HM21</f>
        <v>0.26403640782716253</v>
      </c>
      <c r="I30" s="103">
        <f>CALCULATIONS!JA21</f>
        <v>0.48927059752514818</v>
      </c>
      <c r="J30" s="116">
        <f>CALCULATIONS!JB21</f>
        <v>-0.38189416595312975</v>
      </c>
      <c r="K30" s="101">
        <f>CALCULATIONS!IY21</f>
        <v>0.37414035756341019</v>
      </c>
      <c r="L30" s="116">
        <f t="shared" si="0"/>
        <v>0.11901864524699346</v>
      </c>
      <c r="M30" s="116">
        <f t="shared" si="1"/>
        <v>0.32145312000294263</v>
      </c>
      <c r="N30" s="80" t="e">
        <f>#REF!</f>
        <v>#REF!</v>
      </c>
      <c r="O30" s="85" t="s">
        <v>290</v>
      </c>
      <c r="P30" s="130">
        <f>CALCULATIONS!ML21</f>
        <v>2.2664974928712622</v>
      </c>
      <c r="Q30" s="149">
        <f>CALCULATIONS!MM21</f>
        <v>-0.12537902502142731</v>
      </c>
      <c r="R30" s="129">
        <f>CALCULATIONS!MH21</f>
        <v>2.136201464388483</v>
      </c>
      <c r="S30" s="1159"/>
      <c r="T30" s="92"/>
      <c r="U30" s="92"/>
      <c r="V30" s="92"/>
      <c r="W30" s="92"/>
      <c r="X30" s="3295"/>
      <c r="Y30" s="92"/>
      <c r="Z30" s="1364">
        <f>CALCULATIONS!DE21</f>
        <v>4.705041811957206E-4</v>
      </c>
      <c r="AA30" s="1368">
        <f>CALCULATIONS!DC21</f>
        <v>0</v>
      </c>
      <c r="AB30" s="3295"/>
      <c r="AC30" s="3295"/>
      <c r="AD30" s="3295"/>
      <c r="AE30" s="92"/>
      <c r="AF30" s="108"/>
      <c r="AH30" s="2497"/>
      <c r="AI30" s="2399"/>
      <c r="AJ30" s="2399"/>
      <c r="AK30" s="3307"/>
      <c r="AL30" s="3307"/>
      <c r="AM30" s="2399"/>
      <c r="AN30" s="2399"/>
      <c r="AO30" s="2399"/>
      <c r="AP30" s="2399"/>
    </row>
    <row r="31" spans="1:42" ht="13.15" customHeight="1">
      <c r="A31" s="1115" t="s">
        <v>32</v>
      </c>
      <c r="B31" s="73" t="s">
        <v>277</v>
      </c>
      <c r="C31" s="103">
        <f>PROFILES!E272</f>
        <v>0.91487499999999988</v>
      </c>
      <c r="D31" s="116">
        <f>PROFILES!N120</f>
        <v>-4.3736501079913587E-2</v>
      </c>
      <c r="E31" s="101">
        <f>PROFILES!G272</f>
        <v>0.89481420237931208</v>
      </c>
      <c r="F31" s="103">
        <f>CALCULATIONS!HO22</f>
        <v>0.24509229252810941</v>
      </c>
      <c r="G31" s="116">
        <f>CALCULATIONS!HP22</f>
        <v>-0.16501821733667812</v>
      </c>
      <c r="H31" s="104">
        <f>CALCULATIONS!HM22</f>
        <v>0.23828807339295358</v>
      </c>
      <c r="I31" s="103">
        <f>CALCULATIONS!JA22</f>
        <v>0.27870192226407053</v>
      </c>
      <c r="J31" s="116">
        <f>CALCULATIONS!JB22</f>
        <v>-0.14309331637647091</v>
      </c>
      <c r="K31" s="101">
        <f>CALCULATIONS!IY22</f>
        <v>0.2718321660431175</v>
      </c>
      <c r="L31" s="116">
        <f t="shared" si="0"/>
        <v>3.3609629735961127E-2</v>
      </c>
      <c r="M31" s="116">
        <f t="shared" si="1"/>
        <v>0.13713050455108242</v>
      </c>
      <c r="N31" s="80" t="e">
        <f>#REF!</f>
        <v>#REF!</v>
      </c>
      <c r="O31" s="85" t="s">
        <v>289</v>
      </c>
      <c r="P31" s="130">
        <f>CALCULATIONS!ML22</f>
        <v>2.0880314655341889</v>
      </c>
      <c r="Q31" s="149">
        <f>CALCULATIONS!MM22</f>
        <v>-3.7762767487534328E-2</v>
      </c>
      <c r="R31" s="129">
        <f>CALCULATIONS!MH22</f>
        <v>2.3348198024327131</v>
      </c>
      <c r="S31" s="1159"/>
      <c r="T31" s="92"/>
      <c r="U31" s="92"/>
      <c r="V31" s="92"/>
      <c r="W31" s="92"/>
      <c r="X31" s="3296"/>
      <c r="Y31" s="92"/>
      <c r="Z31" s="1364">
        <f>CALCULATIONS!DE22</f>
        <v>6.7687661896775886E-3</v>
      </c>
      <c r="AA31" s="1368">
        <f>CALCULATIONS!DC22</f>
        <v>8.0648598202692767E-3</v>
      </c>
      <c r="AB31" s="3296"/>
      <c r="AC31" s="3296"/>
      <c r="AD31" s="3296"/>
      <c r="AE31" s="92"/>
      <c r="AF31" s="108"/>
      <c r="AH31" s="2497"/>
      <c r="AI31" s="2399"/>
      <c r="AJ31" s="2399"/>
      <c r="AK31" s="3307"/>
      <c r="AL31" s="3307"/>
      <c r="AM31" s="2399"/>
      <c r="AN31" s="2399"/>
      <c r="AO31" s="2399"/>
      <c r="AP31" s="2399"/>
    </row>
    <row r="32" spans="1:42" ht="12.75" customHeight="1">
      <c r="A32" s="1115" t="s">
        <v>503</v>
      </c>
      <c r="B32" s="73" t="s">
        <v>282</v>
      </c>
      <c r="C32" s="103">
        <f>PROFILES!E273</f>
        <v>0.67984865616162071</v>
      </c>
      <c r="D32" s="116">
        <f>PROFILES!N121</f>
        <v>0.13956056160252914</v>
      </c>
      <c r="E32" s="101">
        <f>PROFILES!G273</f>
        <v>0.7167630057803468</v>
      </c>
      <c r="F32" s="103">
        <f>CALCULATIONS!HO23</f>
        <v>0.23215418017261674</v>
      </c>
      <c r="G32" s="116">
        <f>CALCULATIONS!HP23</f>
        <v>0.36187217108516367</v>
      </c>
      <c r="H32" s="104">
        <f>CALCULATIONS!HM23</f>
        <v>0.26525179681706468</v>
      </c>
      <c r="I32" s="103">
        <f>CALCULATIONS!JA23</f>
        <v>0.2501311526811702</v>
      </c>
      <c r="J32" s="116">
        <f>CALCULATIONS!JB23</f>
        <v>0.31916438327965047</v>
      </c>
      <c r="K32" s="101">
        <f>CALCULATIONS!IY23</f>
        <v>0.28287599661626001</v>
      </c>
      <c r="L32" s="116">
        <f t="shared" si="0"/>
        <v>1.7976972508553457E-2</v>
      </c>
      <c r="M32" s="116">
        <f t="shared" si="1"/>
        <v>7.7435489187344358E-2</v>
      </c>
      <c r="N32" s="80" t="e">
        <f>#REF!</f>
        <v>#REF!</v>
      </c>
      <c r="O32" s="85" t="s">
        <v>290</v>
      </c>
      <c r="P32" s="130">
        <f>CALCULATIONS!ML23</f>
        <v>1.845874038975184</v>
      </c>
      <c r="Q32" s="149">
        <f>CALCULATIONS!MM23</f>
        <v>0.36079457239176377</v>
      </c>
      <c r="R32" s="129">
        <f>CALCULATIONS!MH23</f>
        <v>2.1424428051274771</v>
      </c>
      <c r="S32" s="1804"/>
      <c r="T32" s="92"/>
      <c r="U32" s="92"/>
      <c r="V32" s="92"/>
      <c r="W32" s="92"/>
      <c r="X32" s="3296"/>
      <c r="Y32" s="92"/>
      <c r="Z32" s="1364">
        <f>CALCULATIONS!DE23</f>
        <v>2.0538338510218059E-2</v>
      </c>
      <c r="AA32" s="1368">
        <f>CALCULATIONS!DC23</f>
        <v>1.5296505012799777E-2</v>
      </c>
      <c r="AB32" s="3296"/>
      <c r="AC32" s="3296"/>
      <c r="AD32" s="3296"/>
      <c r="AE32" s="92"/>
      <c r="AF32" s="108"/>
      <c r="AH32" s="2497"/>
      <c r="AI32" s="2399"/>
      <c r="AJ32" s="2399"/>
      <c r="AK32" s="3307"/>
      <c r="AL32" s="3307"/>
      <c r="AM32" s="2399"/>
      <c r="AN32" s="2399"/>
      <c r="AO32" s="2399"/>
      <c r="AP32" s="2399"/>
    </row>
    <row r="33" spans="1:47">
      <c r="A33" s="1115" t="s">
        <v>503</v>
      </c>
      <c r="B33" s="73" t="s">
        <v>280</v>
      </c>
      <c r="C33" s="103">
        <f>PROFILES!E274</f>
        <v>0.67083419702973635</v>
      </c>
      <c r="D33" s="116">
        <f>PROFILES!N122</f>
        <v>-0.11335389957676706</v>
      </c>
      <c r="E33" s="101">
        <f>PROFILES!G274</f>
        <v>0.63639387890884902</v>
      </c>
      <c r="F33" s="103">
        <f>CALCULATIONS!HO24</f>
        <v>0.1536920907726812</v>
      </c>
      <c r="G33" s="116">
        <f>CALCULATIONS!HP24</f>
        <v>1.6283818604559013</v>
      </c>
      <c r="H33" s="104">
        <f>CALCULATIONS!HM24</f>
        <v>0.2022242346359609</v>
      </c>
      <c r="I33" s="103">
        <f>CALCULATIONS!JA24</f>
        <v>0.20961441125119315</v>
      </c>
      <c r="J33" s="116">
        <f>CALCULATIONS!JB24</f>
        <v>0.84200521424561081</v>
      </c>
      <c r="K33" s="101">
        <f>CALCULATIONS!IY24</f>
        <v>0.28147528322389997</v>
      </c>
      <c r="L33" s="116">
        <f t="shared" si="0"/>
        <v>5.592232047851195E-2</v>
      </c>
      <c r="M33" s="116">
        <f t="shared" si="1"/>
        <v>0.36385945559959909</v>
      </c>
      <c r="N33" s="80" t="s">
        <v>507</v>
      </c>
      <c r="O33" s="87"/>
      <c r="P33" s="130">
        <f>CALCULATIONS!ML24</f>
        <v>1.4399592566697517</v>
      </c>
      <c r="Q33" s="149">
        <f>CALCULATIONS!MM24</f>
        <v>0.8442860967329926</v>
      </c>
      <c r="R33" s="129">
        <f>CALCULATIONS!MH24</f>
        <v>1.5521418473212367</v>
      </c>
      <c r="S33" s="1804"/>
      <c r="T33" s="92"/>
      <c r="U33" s="92"/>
      <c r="V33" s="92"/>
      <c r="W33" s="92"/>
      <c r="X33" s="3161"/>
      <c r="Y33" s="92"/>
      <c r="Z33" s="1364">
        <f>CALCULATIONS!DE24</f>
        <v>4.3854276012013677E-5</v>
      </c>
      <c r="AA33" s="1368">
        <f>CALCULATIONS!DC24</f>
        <v>4.0961492890900786E-5</v>
      </c>
      <c r="AB33" s="3161"/>
      <c r="AC33" s="3161"/>
      <c r="AD33" s="3161"/>
      <c r="AE33" s="92"/>
      <c r="AF33" s="108"/>
      <c r="AH33" s="2497"/>
      <c r="AI33" s="2399"/>
      <c r="AJ33" s="2399"/>
      <c r="AK33" s="3307"/>
      <c r="AL33" s="3307"/>
      <c r="AM33" s="2399"/>
      <c r="AN33" s="2399"/>
      <c r="AO33" s="2399"/>
      <c r="AP33" s="2399"/>
    </row>
    <row r="34" spans="1:47" ht="13.15" customHeight="1">
      <c r="A34" s="1115" t="s">
        <v>504</v>
      </c>
      <c r="B34" s="73" t="s">
        <v>288</v>
      </c>
      <c r="C34" s="103">
        <f>PROFILES!E275</f>
        <v>0.32615050588405037</v>
      </c>
      <c r="D34" s="116">
        <f>PROFILES!N123</f>
        <v>-8.7660674172335792E-2</v>
      </c>
      <c r="E34" s="101">
        <f>PROFILES!G275</f>
        <v>0.30985103942866765</v>
      </c>
      <c r="F34" s="103">
        <f>CALCULATIONS!HO25</f>
        <v>0.30558583418722468</v>
      </c>
      <c r="G34" s="116">
        <f>CALCULATIONS!HP25</f>
        <v>-0.13620468181810452</v>
      </c>
      <c r="H34" s="104">
        <f>CALCULATIONS!HM25</f>
        <v>0.29018390059321952</v>
      </c>
      <c r="I34" s="103">
        <f>CALCULATIONS!JA25</f>
        <v>0.31922230141848357</v>
      </c>
      <c r="J34" s="116">
        <f>CALCULATIONS!JB25</f>
        <v>-0.13496032758973828</v>
      </c>
      <c r="K34" s="101">
        <f>CALCULATIONS!IY25</f>
        <v>0.30362227391248225</v>
      </c>
      <c r="L34" s="116">
        <f t="shared" si="0"/>
        <v>1.3636467231258886E-2</v>
      </c>
      <c r="M34" s="116">
        <f t="shared" si="1"/>
        <v>4.4624016252350789E-2</v>
      </c>
      <c r="N34" s="80" t="e">
        <f>#REF!</f>
        <v>#REF!</v>
      </c>
      <c r="O34" s="85" t="s">
        <v>290</v>
      </c>
      <c r="P34" s="130">
        <f>CALCULATIONS!ML25</f>
        <v>2.1579177629636748</v>
      </c>
      <c r="Q34" s="149">
        <f>CALCULATIONS!MM25</f>
        <v>6.0078851309961184E-2</v>
      </c>
      <c r="R34" s="129">
        <f>CALCULATIONS!MH25</f>
        <v>2.3009327536910358</v>
      </c>
      <c r="S34" s="1804"/>
      <c r="T34" s="92"/>
      <c r="U34" s="92"/>
      <c r="V34" s="92"/>
      <c r="W34" s="92"/>
      <c r="X34" s="3159"/>
      <c r="Y34" s="92"/>
      <c r="Z34" s="1364">
        <f>CALCULATIONS!DE25</f>
        <v>3.0042638254503475E-3</v>
      </c>
      <c r="AA34" s="1368">
        <f>CALCULATIONS!DC25</f>
        <v>5.200412537096355E-4</v>
      </c>
      <c r="AB34" s="3159"/>
      <c r="AC34" s="3159"/>
      <c r="AD34" s="3159"/>
      <c r="AE34" s="92"/>
      <c r="AF34" s="108"/>
      <c r="AH34" s="2497"/>
      <c r="AI34" s="2399"/>
      <c r="AJ34" s="2399"/>
      <c r="AK34" s="3307"/>
      <c r="AL34" s="3307"/>
      <c r="AM34" s="2399"/>
      <c r="AN34" s="2399"/>
      <c r="AO34" s="2399"/>
      <c r="AP34" s="2399"/>
    </row>
    <row r="35" spans="1:47">
      <c r="A35" s="1116" t="s">
        <v>27</v>
      </c>
      <c r="B35" s="106" t="s">
        <v>353</v>
      </c>
      <c r="C35" s="121">
        <f>PROFILES!E276</f>
        <v>0.90539538726018864</v>
      </c>
      <c r="D35" s="121">
        <f>PROFILES!N124</f>
        <v>-4.1189056985539901E-2</v>
      </c>
      <c r="E35" s="123">
        <f>PROFILES!G276</f>
        <v>0.90138346931536006</v>
      </c>
      <c r="F35" s="158">
        <f>CALCULATIONS!HO26</f>
        <v>0.38160323267486906</v>
      </c>
      <c r="G35" s="121">
        <f>CALCULATIONS!HP26</f>
        <v>0.13281779457810056</v>
      </c>
      <c r="H35" s="1053">
        <f>CALCULATIONS!HM26</f>
        <v>0.39444904186551905</v>
      </c>
      <c r="I35" s="158">
        <f>CALCULATIONS!JA26</f>
        <v>0.47841518539184064</v>
      </c>
      <c r="J35" s="121">
        <f>CALCULATIONS!JB26</f>
        <v>1.1717685634717274E-2</v>
      </c>
      <c r="K35" s="123">
        <f>CALCULATIONS!IY26</f>
        <v>0.46507375880431212</v>
      </c>
      <c r="L35" s="121">
        <f t="shared" si="0"/>
        <v>9.6811952716971572E-2</v>
      </c>
      <c r="M35" s="121">
        <f t="shared" si="1"/>
        <v>0.25369793656715856</v>
      </c>
      <c r="N35" s="89" t="s">
        <v>507</v>
      </c>
      <c r="O35" s="1054"/>
      <c r="P35" s="156">
        <f>CALCULATIONS!ML26</f>
        <v>1.832329792526622</v>
      </c>
      <c r="Q35" s="159">
        <f>CALCULATIONS!MM26</f>
        <v>-9.9442962217240083E-2</v>
      </c>
      <c r="R35" s="157">
        <f>CALCULATIONS!MH26</f>
        <v>1.8160302149559577</v>
      </c>
      <c r="S35" s="1160"/>
      <c r="T35" s="92"/>
      <c r="U35" s="92"/>
      <c r="V35" s="92"/>
      <c r="W35" s="92"/>
      <c r="X35" s="3159"/>
      <c r="Y35" s="92"/>
      <c r="Z35" s="1365">
        <f>CALCULATIONS!DE26</f>
        <v>2.5443186220054969E-3</v>
      </c>
      <c r="AA35" s="1369">
        <f>CALCULATIONS!DC26</f>
        <v>3.8029457072119577E-4</v>
      </c>
      <c r="AB35" s="3159"/>
      <c r="AC35" s="3159"/>
      <c r="AD35" s="3159"/>
      <c r="AE35" s="92"/>
      <c r="AF35" s="108"/>
      <c r="AH35" s="2497"/>
      <c r="AI35" s="2399"/>
      <c r="AJ35" s="2399"/>
      <c r="AK35" s="3307"/>
      <c r="AL35" s="3307"/>
      <c r="AM35" s="2399"/>
      <c r="AN35" s="2399"/>
      <c r="AO35" s="2399"/>
      <c r="AP35" s="2399"/>
    </row>
    <row r="36" spans="1:47" s="2748" customFormat="1">
      <c r="A36" s="2131" t="s">
        <v>1680</v>
      </c>
      <c r="B36" s="152"/>
      <c r="C36" s="1055">
        <v>2</v>
      </c>
      <c r="D36" s="1056">
        <v>3</v>
      </c>
      <c r="E36" s="1055">
        <v>4</v>
      </c>
      <c r="F36" s="1056">
        <v>5</v>
      </c>
      <c r="G36" s="1055">
        <v>6</v>
      </c>
      <c r="H36" s="1056">
        <v>7</v>
      </c>
      <c r="I36" s="1055">
        <v>8</v>
      </c>
      <c r="J36" s="1056">
        <v>9</v>
      </c>
      <c r="K36" s="1055">
        <v>10</v>
      </c>
      <c r="L36" s="1056">
        <v>11</v>
      </c>
      <c r="M36" s="1055">
        <v>12</v>
      </c>
      <c r="N36" s="1056">
        <v>13</v>
      </c>
      <c r="O36" s="1055">
        <v>14</v>
      </c>
      <c r="P36" s="1056">
        <v>15</v>
      </c>
      <c r="Q36" s="1055">
        <v>16</v>
      </c>
      <c r="R36" s="1056">
        <v>17</v>
      </c>
      <c r="T36" s="3162"/>
      <c r="U36" s="3162"/>
      <c r="V36" s="3162"/>
      <c r="W36" s="3162"/>
      <c r="X36" s="3162"/>
      <c r="Y36" s="3162"/>
      <c r="Z36" s="3162"/>
      <c r="AA36" s="3162"/>
      <c r="AB36" s="3162"/>
      <c r="AC36" s="3162"/>
      <c r="AD36" s="3162"/>
      <c r="AE36" s="3162"/>
      <c r="AF36" s="3162"/>
      <c r="AG36" s="2745"/>
      <c r="AH36" s="2745"/>
      <c r="AI36" s="2745"/>
      <c r="AJ36" s="2745"/>
      <c r="AK36" s="2745"/>
      <c r="AL36" s="2745"/>
      <c r="AM36" s="2745"/>
      <c r="AN36" s="2745"/>
      <c r="AO36" s="2745"/>
      <c r="AP36" s="2745"/>
      <c r="AT36" s="2745"/>
      <c r="AU36" s="2745"/>
    </row>
    <row r="37" spans="1:47" s="2748" customFormat="1">
      <c r="A37" s="2131" t="s">
        <v>1957</v>
      </c>
      <c r="B37" s="152"/>
      <c r="C37" s="1055"/>
      <c r="D37" s="1056"/>
      <c r="E37" s="1055"/>
      <c r="F37" s="1056"/>
      <c r="G37" s="1055"/>
      <c r="H37" s="1056"/>
      <c r="I37" s="1055"/>
      <c r="J37" s="1056"/>
      <c r="K37" s="1055"/>
      <c r="L37" s="1056"/>
      <c r="M37" s="1055"/>
      <c r="N37" s="1056"/>
      <c r="O37" s="1055"/>
      <c r="P37" s="1056"/>
      <c r="Q37" s="1055"/>
      <c r="R37" s="1056"/>
      <c r="T37" s="3297"/>
      <c r="U37" s="3297"/>
      <c r="V37" s="3297"/>
      <c r="W37" s="3297"/>
      <c r="X37" s="3297"/>
      <c r="Y37" s="3297"/>
      <c r="Z37" s="3297"/>
      <c r="AA37" s="3297"/>
      <c r="AB37" s="3297"/>
      <c r="AC37" s="3297"/>
      <c r="AD37" s="3297"/>
      <c r="AE37" s="3297"/>
      <c r="AF37" s="3297"/>
      <c r="AG37" s="2745"/>
      <c r="AH37" s="2745"/>
      <c r="AI37" s="2745"/>
      <c r="AJ37" s="2745"/>
      <c r="AK37" s="2745"/>
      <c r="AL37" s="2745"/>
      <c r="AM37" s="2745"/>
      <c r="AN37" s="2745"/>
      <c r="AO37" s="2745"/>
      <c r="AP37" s="2745"/>
      <c r="AT37" s="2745"/>
      <c r="AU37" s="2745"/>
    </row>
    <row r="38" spans="1:47" ht="3.75" customHeight="1">
      <c r="T38" s="2399"/>
      <c r="U38" s="2399"/>
      <c r="V38" s="2399"/>
      <c r="W38" s="2399"/>
      <c r="X38" s="2399"/>
      <c r="Y38" s="2399"/>
      <c r="Z38" s="2399"/>
      <c r="AA38" s="2399"/>
      <c r="AB38" s="2399"/>
      <c r="AC38" s="2399"/>
      <c r="AD38" s="2399"/>
      <c r="AE38" s="2399"/>
    </row>
    <row r="39" spans="1:47" s="2748" customFormat="1">
      <c r="A39" s="3291"/>
      <c r="B39" s="118"/>
      <c r="C39" s="1198"/>
      <c r="D39" s="1199"/>
      <c r="E39" s="1198"/>
      <c r="F39" s="1199"/>
      <c r="G39" s="1198"/>
      <c r="H39" s="1199"/>
      <c r="I39" s="1198"/>
      <c r="J39" s="1199"/>
      <c r="K39" s="1198"/>
      <c r="L39" s="1199"/>
      <c r="M39" s="1198"/>
      <c r="N39" s="1199"/>
      <c r="O39" s="1198"/>
      <c r="P39" s="1199"/>
      <c r="Q39" s="1198"/>
      <c r="R39" s="1199"/>
      <c r="T39" s="1926"/>
      <c r="U39" s="1926"/>
      <c r="V39" s="1926"/>
      <c r="W39" s="1926"/>
      <c r="X39" s="1926"/>
      <c r="Y39" s="1926"/>
      <c r="Z39" s="1926"/>
      <c r="AA39" s="1926"/>
      <c r="AB39" s="1926"/>
      <c r="AC39" s="1926"/>
      <c r="AD39" s="1926"/>
      <c r="AE39" s="1926"/>
      <c r="AF39" s="1926"/>
      <c r="AG39" s="2745"/>
      <c r="AH39" s="1926"/>
      <c r="AI39" s="1926"/>
      <c r="AJ39" s="1926"/>
      <c r="AK39" s="1926"/>
      <c r="AL39" s="1926"/>
      <c r="AM39" s="1926"/>
      <c r="AN39" s="1926"/>
      <c r="AO39" s="1926"/>
      <c r="AP39" s="2745"/>
      <c r="AT39" s="2745"/>
      <c r="AU39" s="2745"/>
    </row>
    <row r="40" spans="1:47">
      <c r="A40" s="3441" t="s">
        <v>2340</v>
      </c>
      <c r="B40" s="3442" t="s">
        <v>1681</v>
      </c>
      <c r="C40" s="2865"/>
      <c r="D40" s="2865"/>
      <c r="E40" s="2865"/>
      <c r="F40" s="2865"/>
      <c r="G40" s="2865"/>
      <c r="H40" s="2865"/>
      <c r="I40" s="2865"/>
      <c r="J40" s="2865"/>
      <c r="K40" s="2865"/>
      <c r="L40" s="2865"/>
      <c r="M40" s="2865"/>
      <c r="N40" s="2865"/>
      <c r="O40" s="2865"/>
      <c r="P40" s="2865"/>
      <c r="Q40" s="2865"/>
      <c r="R40" s="1612" t="s">
        <v>1112</v>
      </c>
      <c r="T40" s="2865"/>
      <c r="U40" s="2865"/>
      <c r="V40" s="2865"/>
      <c r="W40" s="2865"/>
      <c r="X40" s="3379" t="s">
        <v>2747</v>
      </c>
      <c r="Y40" s="2865"/>
      <c r="Z40" s="2865"/>
      <c r="AA40" s="2865"/>
      <c r="AB40" s="2865"/>
      <c r="AC40" s="2865"/>
      <c r="AD40" s="2865"/>
      <c r="AE40" s="2865"/>
      <c r="AF40" s="2868"/>
      <c r="AH40" s="92"/>
      <c r="AI40" s="2385"/>
      <c r="AJ40" s="2837" t="s">
        <v>775</v>
      </c>
      <c r="AK40" s="2837" t="s">
        <v>1017</v>
      </c>
      <c r="AL40" s="2837" t="s">
        <v>1019</v>
      </c>
      <c r="AM40" s="92"/>
      <c r="AN40" s="92"/>
      <c r="AO40" s="92"/>
    </row>
    <row r="41" spans="1:47">
      <c r="A41" s="2154" t="s">
        <v>319</v>
      </c>
      <c r="B41" s="1697" t="s">
        <v>752</v>
      </c>
      <c r="C41" s="3323">
        <f t="shared" ref="C41:N50" si="2">VLOOKUP($B41,$B$14:$R$35,C$36,FALSE)</f>
        <v>6.4385445236561381E-2</v>
      </c>
      <c r="D41" s="2907">
        <f t="shared" si="2"/>
        <v>14.697799124913645</v>
      </c>
      <c r="E41" s="3324">
        <f t="shared" si="2"/>
        <v>0.15462918080465343</v>
      </c>
      <c r="F41" s="3325">
        <f t="shared" si="2"/>
        <v>0.42399287000325037</v>
      </c>
      <c r="G41" s="2907">
        <f t="shared" si="2"/>
        <v>4.5742782667206161E-2</v>
      </c>
      <c r="H41" s="3324">
        <f t="shared" si="2"/>
        <v>0.48144640266975475</v>
      </c>
      <c r="I41" s="3326">
        <f t="shared" si="2"/>
        <v>0.42695023434228802</v>
      </c>
      <c r="J41" s="2907">
        <f t="shared" si="2"/>
        <v>4.1366838913311048E-2</v>
      </c>
      <c r="K41" s="3324">
        <f t="shared" si="2"/>
        <v>0.4832654138496531</v>
      </c>
      <c r="L41" s="2907">
        <f t="shared" si="2"/>
        <v>2.9573643390376492E-3</v>
      </c>
      <c r="M41" s="3327">
        <f t="shared" si="2"/>
        <v>6.9750331863245195E-3</v>
      </c>
      <c r="N41" s="3328" t="e">
        <f t="shared" si="2"/>
        <v>#REF!</v>
      </c>
      <c r="O41" s="3329"/>
      <c r="P41" s="3330">
        <f t="shared" ref="P41:R62" si="3">VLOOKUP($B41,$B$14:$R$35,P$36,FALSE)</f>
        <v>3.7014756930154613</v>
      </c>
      <c r="Q41" s="3331">
        <f t="shared" si="3"/>
        <v>0.31334582285320112</v>
      </c>
      <c r="R41" s="3332">
        <f t="shared" si="3"/>
        <v>4.3704719780651446</v>
      </c>
      <c r="S41" s="1161"/>
      <c r="T41" s="92"/>
      <c r="U41" s="92"/>
      <c r="V41" s="92"/>
      <c r="W41" s="92"/>
      <c r="X41" s="92"/>
      <c r="Y41" s="2865"/>
      <c r="Z41" s="2865"/>
      <c r="AA41" s="2865"/>
      <c r="AB41" s="92"/>
      <c r="AC41" s="2865"/>
      <c r="AD41" s="2865"/>
      <c r="AE41" s="2865"/>
      <c r="AF41" s="2868"/>
      <c r="AH41" s="92"/>
      <c r="AI41" s="2385" t="str">
        <f t="shared" ref="AI41:AI62" si="4">B41</f>
        <v>TELENET</v>
      </c>
      <c r="AJ41" s="1113">
        <f t="shared" ref="AJ41:AJ62" si="5">F41</f>
        <v>0.42399287000325037</v>
      </c>
      <c r="AK41" s="1113">
        <f t="shared" ref="AK41:AK62" si="6">I41-F41</f>
        <v>2.9573643390376492E-3</v>
      </c>
      <c r="AL41" s="1113">
        <f t="shared" ref="AL41:AL62" si="7">M41</f>
        <v>6.9750331863245195E-3</v>
      </c>
      <c r="AM41" s="92"/>
      <c r="AN41" s="92"/>
      <c r="AO41" s="92"/>
    </row>
    <row r="42" spans="1:47">
      <c r="A42" s="1090" t="s">
        <v>499</v>
      </c>
      <c r="B42" s="73" t="s">
        <v>284</v>
      </c>
      <c r="C42" s="103">
        <f t="shared" si="2"/>
        <v>0.34534166666666666</v>
      </c>
      <c r="D42" s="1067">
        <f t="shared" si="2"/>
        <v>-5.4500069338510607E-2</v>
      </c>
      <c r="E42" s="1068">
        <f t="shared" si="2"/>
        <v>0.3626280111015483</v>
      </c>
      <c r="F42" s="1066">
        <f t="shared" si="2"/>
        <v>0.67997702229572432</v>
      </c>
      <c r="G42" s="1067">
        <f t="shared" si="2"/>
        <v>0.10658020511075152</v>
      </c>
      <c r="H42" s="1068">
        <f t="shared" si="2"/>
        <v>0.75270955685414354</v>
      </c>
      <c r="I42" s="1168">
        <f t="shared" si="2"/>
        <v>0.68457317243488636</v>
      </c>
      <c r="J42" s="1067">
        <f t="shared" si="2"/>
        <v>0.10522314957078965</v>
      </c>
      <c r="K42" s="1068">
        <f t="shared" si="2"/>
        <v>0.75672107111582532</v>
      </c>
      <c r="L42" s="1060">
        <f t="shared" si="2"/>
        <v>4.5961501391620363E-3</v>
      </c>
      <c r="M42" s="116">
        <f t="shared" si="2"/>
        <v>6.7592727231349809E-3</v>
      </c>
      <c r="N42" s="1069" t="e">
        <f t="shared" si="2"/>
        <v>#REF!</v>
      </c>
      <c r="O42" s="1070" t="str">
        <f>VLOOKUP($B42,$B$14:$R$35,O$36,FALSE)</f>
        <v>= ¯ ¯</v>
      </c>
      <c r="P42" s="1172">
        <f t="shared" si="3"/>
        <v>2.9152503149286035</v>
      </c>
      <c r="Q42" s="1071">
        <f t="shared" si="3"/>
        <v>-0.14664752669478531</v>
      </c>
      <c r="R42" s="1065">
        <f t="shared" si="3"/>
        <v>2.8370691340232916</v>
      </c>
      <c r="S42" s="1157"/>
      <c r="T42" s="2753" t="s">
        <v>2748</v>
      </c>
      <c r="U42" s="3312"/>
      <c r="V42" s="92"/>
      <c r="W42" s="92"/>
      <c r="X42" s="92"/>
      <c r="Y42" s="2865"/>
      <c r="Z42" s="2865"/>
      <c r="AA42" s="2865"/>
      <c r="AB42" s="92"/>
      <c r="AC42" s="2868"/>
      <c r="AD42" s="2868"/>
      <c r="AE42" s="2868"/>
      <c r="AF42" s="2868"/>
      <c r="AH42" s="92"/>
      <c r="AI42" s="2385" t="str">
        <f t="shared" si="4"/>
        <v>TIT</v>
      </c>
      <c r="AJ42" s="1113">
        <f t="shared" si="5"/>
        <v>0.67997702229572432</v>
      </c>
      <c r="AK42" s="1113">
        <f t="shared" si="6"/>
        <v>4.5961501391620363E-3</v>
      </c>
      <c r="AL42" s="1113">
        <f t="shared" si="7"/>
        <v>6.7592727231349809E-3</v>
      </c>
      <c r="AM42" s="92"/>
      <c r="AN42" s="92"/>
      <c r="AO42" s="92"/>
    </row>
    <row r="43" spans="1:47" ht="13.15" customHeight="1">
      <c r="A43" s="1090" t="s">
        <v>385</v>
      </c>
      <c r="B43" s="73" t="s">
        <v>276</v>
      </c>
      <c r="C43" s="103">
        <f t="shared" si="2"/>
        <v>0.60910298289809772</v>
      </c>
      <c r="D43" s="1067">
        <f t="shared" si="2"/>
        <v>-5.2071170724915891E-2</v>
      </c>
      <c r="E43" s="1068">
        <f t="shared" si="2"/>
        <v>0.6207941242005639</v>
      </c>
      <c r="F43" s="1066">
        <f t="shared" si="2"/>
        <v>0.49050145598877937</v>
      </c>
      <c r="G43" s="1067">
        <f t="shared" si="2"/>
        <v>0.42102559519407173</v>
      </c>
      <c r="H43" s="1068">
        <f t="shared" si="2"/>
        <v>0.61744816018521742</v>
      </c>
      <c r="I43" s="1168">
        <f t="shared" si="2"/>
        <v>0.49698573886957192</v>
      </c>
      <c r="J43" s="1067">
        <f t="shared" si="2"/>
        <v>0.41032171167013903</v>
      </c>
      <c r="K43" s="1068">
        <f t="shared" si="2"/>
        <v>0.62319136029119382</v>
      </c>
      <c r="L43" s="1060">
        <f t="shared" si="2"/>
        <v>6.4842828807925579E-3</v>
      </c>
      <c r="M43" s="116">
        <f t="shared" si="2"/>
        <v>1.3219701596443154E-2</v>
      </c>
      <c r="N43" s="1069" t="e">
        <f t="shared" si="2"/>
        <v>#REF!</v>
      </c>
      <c r="O43" s="1070" t="str">
        <f>VLOOKUP($B43,$B$14:$R$35,O$36,FALSE)</f>
        <v>= ¯</v>
      </c>
      <c r="P43" s="1172">
        <f t="shared" si="3"/>
        <v>2.1902281092407181</v>
      </c>
      <c r="Q43" s="1071">
        <f t="shared" si="3"/>
        <v>0.36844726500440206</v>
      </c>
      <c r="R43" s="1065">
        <f t="shared" si="3"/>
        <v>2.5252968522290931</v>
      </c>
      <c r="S43" s="1157"/>
      <c r="T43" s="3313" t="s">
        <v>2749</v>
      </c>
      <c r="U43" s="3312"/>
      <c r="V43" s="92"/>
      <c r="W43" s="92"/>
      <c r="X43" s="92"/>
      <c r="Y43" s="2865"/>
      <c r="Z43" s="2865"/>
      <c r="AA43" s="2865"/>
      <c r="AB43" s="92"/>
      <c r="AC43" s="1923"/>
      <c r="AD43" s="1923"/>
      <c r="AE43" s="1923"/>
      <c r="AF43" s="1923"/>
      <c r="AH43" s="92"/>
      <c r="AI43" s="2385" t="str">
        <f t="shared" si="4"/>
        <v>TKA</v>
      </c>
      <c r="AJ43" s="1113">
        <f t="shared" si="5"/>
        <v>0.49050145598877937</v>
      </c>
      <c r="AK43" s="1113">
        <f t="shared" si="6"/>
        <v>6.4842828807925579E-3</v>
      </c>
      <c r="AL43" s="1113">
        <f t="shared" si="7"/>
        <v>1.3219701596443154E-2</v>
      </c>
      <c r="AM43" s="92"/>
      <c r="AN43" s="92"/>
      <c r="AO43" s="92"/>
    </row>
    <row r="44" spans="1:47">
      <c r="A44" s="1090" t="s">
        <v>27</v>
      </c>
      <c r="B44" s="73" t="s">
        <v>54</v>
      </c>
      <c r="C44" s="103">
        <f t="shared" si="2"/>
        <v>0.48460704112825509</v>
      </c>
      <c r="D44" s="1067">
        <f t="shared" si="2"/>
        <v>-0.18079580514885477</v>
      </c>
      <c r="E44" s="1068">
        <f t="shared" si="2"/>
        <v>0.49497857034449522</v>
      </c>
      <c r="F44" s="1066">
        <f t="shared" si="2"/>
        <v>0.56717095077467305</v>
      </c>
      <c r="G44" s="1067">
        <f t="shared" si="2"/>
        <v>0.64731222518720821</v>
      </c>
      <c r="H44" s="1068">
        <f t="shared" si="2"/>
        <v>0.74754623070756221</v>
      </c>
      <c r="I44" s="1168">
        <f t="shared" si="2"/>
        <v>0.5748403529709204</v>
      </c>
      <c r="J44" s="1067">
        <f t="shared" si="2"/>
        <v>0.5906099669472562</v>
      </c>
      <c r="K44" s="1068">
        <f t="shared" si="2"/>
        <v>0.7506672643344422</v>
      </c>
      <c r="L44" s="1060">
        <f t="shared" si="2"/>
        <v>7.6694021962473435E-3</v>
      </c>
      <c r="M44" s="116">
        <f t="shared" si="2"/>
        <v>1.3522205581530675E-2</v>
      </c>
      <c r="N44" s="1069" t="e">
        <f t="shared" si="2"/>
        <v>#REF!</v>
      </c>
      <c r="O44" s="1070"/>
      <c r="P44" s="1172">
        <f t="shared" si="3"/>
        <v>3.4278891827637503</v>
      </c>
      <c r="Q44" s="1071">
        <f t="shared" si="3"/>
        <v>0.24423537898737996</v>
      </c>
      <c r="R44" s="1065">
        <f t="shared" si="3"/>
        <v>3.8230610288109381</v>
      </c>
      <c r="S44" s="1163"/>
      <c r="T44" s="3314" t="str">
        <f>CONCATENATE("- Belgacom median (median = ",ROUND(AL64*100,0),"%);")</f>
        <v>- Belgacom median (median = 11%);</v>
      </c>
      <c r="U44" s="3312"/>
      <c r="V44" s="92"/>
      <c r="W44" s="92"/>
      <c r="X44" s="92"/>
      <c r="Y44" s="2865"/>
      <c r="Z44" s="2865"/>
      <c r="AA44" s="2865"/>
      <c r="AB44" s="92"/>
      <c r="AC44" s="1923"/>
      <c r="AD44" s="1923"/>
      <c r="AE44" s="1923"/>
      <c r="AF44" s="1923"/>
      <c r="AH44" s="92"/>
      <c r="AI44" s="2385" t="str">
        <f t="shared" si="4"/>
        <v>PT</v>
      </c>
      <c r="AJ44" s="1113">
        <f t="shared" si="5"/>
        <v>0.56717095077467305</v>
      </c>
      <c r="AK44" s="1113">
        <f t="shared" si="6"/>
        <v>7.6694021962473435E-3</v>
      </c>
      <c r="AL44" s="1113">
        <f t="shared" si="7"/>
        <v>1.3522205581530675E-2</v>
      </c>
      <c r="AM44" s="92"/>
      <c r="AN44" s="92"/>
      <c r="AO44" s="92"/>
    </row>
    <row r="45" spans="1:47" ht="13.15" customHeight="1">
      <c r="A45" s="1090" t="s">
        <v>374</v>
      </c>
      <c r="B45" s="73" t="s">
        <v>42</v>
      </c>
      <c r="C45" s="103">
        <f t="shared" si="2"/>
        <v>0.56323171407839789</v>
      </c>
      <c r="D45" s="1067">
        <f t="shared" si="2"/>
        <v>-0.12023286586287618</v>
      </c>
      <c r="E45" s="1068">
        <f t="shared" si="2"/>
        <v>0.53987730061349704</v>
      </c>
      <c r="F45" s="1066">
        <f t="shared" si="2"/>
        <v>0.60887331285954671</v>
      </c>
      <c r="G45" s="1067">
        <f t="shared" si="2"/>
        <v>-0.37303497156800469</v>
      </c>
      <c r="H45" s="1068">
        <f t="shared" si="2"/>
        <v>0.37659759063604481</v>
      </c>
      <c r="I45" s="1168">
        <f t="shared" si="2"/>
        <v>0.63388271448107447</v>
      </c>
      <c r="J45" s="1067">
        <f t="shared" si="2"/>
        <v>-0.25869992498286548</v>
      </c>
      <c r="K45" s="1068">
        <f t="shared" si="2"/>
        <v>0.44527495080222473</v>
      </c>
      <c r="L45" s="1060">
        <f t="shared" si="2"/>
        <v>2.500940162152776E-2</v>
      </c>
      <c r="M45" s="116">
        <f t="shared" si="2"/>
        <v>4.1074885519406669E-2</v>
      </c>
      <c r="N45" s="1069" t="e">
        <f t="shared" si="2"/>
        <v>#REF!</v>
      </c>
      <c r="O45" s="1070" t="str">
        <f>VLOOKUP($B45,$B$14:$R$35,O$36,FALSE)</f>
        <v>= =</v>
      </c>
      <c r="P45" s="1172">
        <f t="shared" si="3"/>
        <v>2.172629043332774</v>
      </c>
      <c r="Q45" s="1071">
        <f t="shared" si="3"/>
        <v>-0.22035736928264804</v>
      </c>
      <c r="R45" s="1065">
        <f t="shared" si="3"/>
        <v>1.5517268924243866</v>
      </c>
      <c r="S45" s="1157"/>
      <c r="T45" s="3314" t="s">
        <v>1682</v>
      </c>
      <c r="U45" s="3312"/>
      <c r="V45" s="92"/>
      <c r="W45" s="92"/>
      <c r="X45" s="92"/>
      <c r="Y45" s="2865"/>
      <c r="Z45" s="2865"/>
      <c r="AA45" s="2865"/>
      <c r="AB45" s="92"/>
      <c r="AC45" s="2868"/>
      <c r="AD45" s="2868"/>
      <c r="AE45" s="2868"/>
      <c r="AF45" s="2868"/>
      <c r="AH45" s="92"/>
      <c r="AI45" s="2385" t="str">
        <f t="shared" si="4"/>
        <v>OTE</v>
      </c>
      <c r="AJ45" s="1113">
        <f t="shared" si="5"/>
        <v>0.60887331285954671</v>
      </c>
      <c r="AK45" s="1113">
        <f t="shared" si="6"/>
        <v>2.500940162152776E-2</v>
      </c>
      <c r="AL45" s="1113">
        <f t="shared" si="7"/>
        <v>4.1074885519406669E-2</v>
      </c>
      <c r="AM45" s="92"/>
      <c r="AN45" s="92"/>
      <c r="AO45" s="92"/>
    </row>
    <row r="46" spans="1:47">
      <c r="A46" s="1090" t="s">
        <v>504</v>
      </c>
      <c r="B46" s="73" t="s">
        <v>288</v>
      </c>
      <c r="C46" s="103">
        <f t="shared" si="2"/>
        <v>0.32615050588405037</v>
      </c>
      <c r="D46" s="1067">
        <f t="shared" si="2"/>
        <v>-8.7660674172335792E-2</v>
      </c>
      <c r="E46" s="1068">
        <f t="shared" si="2"/>
        <v>0.30985103942866765</v>
      </c>
      <c r="F46" s="1066">
        <f t="shared" si="2"/>
        <v>0.30558583418722468</v>
      </c>
      <c r="G46" s="1067">
        <f t="shared" si="2"/>
        <v>-0.13620468181810452</v>
      </c>
      <c r="H46" s="1068">
        <f t="shared" si="2"/>
        <v>0.29018390059321952</v>
      </c>
      <c r="I46" s="1168">
        <f t="shared" si="2"/>
        <v>0.31922230141848357</v>
      </c>
      <c r="J46" s="1067">
        <f t="shared" si="2"/>
        <v>-0.13496032758973828</v>
      </c>
      <c r="K46" s="1068">
        <f t="shared" si="2"/>
        <v>0.30362227391248225</v>
      </c>
      <c r="L46" s="1060">
        <f t="shared" si="2"/>
        <v>1.3636467231258886E-2</v>
      </c>
      <c r="M46" s="116">
        <f t="shared" si="2"/>
        <v>4.4624016252350789E-2</v>
      </c>
      <c r="N46" s="1069" t="e">
        <f t="shared" si="2"/>
        <v>#REF!</v>
      </c>
      <c r="O46" s="1070" t="str">
        <f>VLOOKUP($B46,$B$14:$R$35,O$36,FALSE)</f>
        <v>= =</v>
      </c>
      <c r="P46" s="1172">
        <f t="shared" si="3"/>
        <v>2.1579177629636748</v>
      </c>
      <c r="Q46" s="1071">
        <f t="shared" si="3"/>
        <v>6.0078851309961184E-2</v>
      </c>
      <c r="R46" s="1065">
        <f t="shared" si="3"/>
        <v>2.3009327536910358</v>
      </c>
      <c r="S46" s="1158"/>
      <c r="T46" s="92"/>
      <c r="U46" s="92"/>
      <c r="V46" s="92"/>
      <c r="W46" s="92"/>
      <c r="X46" s="92"/>
      <c r="Y46" s="2865"/>
      <c r="Z46" s="2865"/>
      <c r="AA46" s="2865"/>
      <c r="AB46" s="92"/>
      <c r="AC46" s="2868"/>
      <c r="AD46" s="2868"/>
      <c r="AE46" s="2868"/>
      <c r="AF46" s="2868"/>
      <c r="AH46" s="92"/>
      <c r="AI46" s="2385" t="str">
        <f t="shared" si="4"/>
        <v>SCM</v>
      </c>
      <c r="AJ46" s="1113">
        <f t="shared" si="5"/>
        <v>0.30558583418722468</v>
      </c>
      <c r="AK46" s="1113">
        <f t="shared" si="6"/>
        <v>1.3636467231258886E-2</v>
      </c>
      <c r="AL46" s="1113">
        <f t="shared" si="7"/>
        <v>4.4624016252350789E-2</v>
      </c>
      <c r="AM46" s="92"/>
      <c r="AN46" s="92"/>
      <c r="AO46" s="92"/>
    </row>
    <row r="47" spans="1:47">
      <c r="A47" s="1090" t="s">
        <v>501</v>
      </c>
      <c r="B47" s="73" t="s">
        <v>44</v>
      </c>
      <c r="C47" s="103">
        <f t="shared" si="2"/>
        <v>0.5805147103617575</v>
      </c>
      <c r="D47" s="1067">
        <f t="shared" si="2"/>
        <v>8.4948466413752491E-2</v>
      </c>
      <c r="E47" s="1068">
        <f t="shared" si="2"/>
        <v>0.6264024463118032</v>
      </c>
      <c r="F47" s="1066">
        <f t="shared" si="2"/>
        <v>0.51826084585195908</v>
      </c>
      <c r="G47" s="1067">
        <f t="shared" si="2"/>
        <v>0.40005999871326348</v>
      </c>
      <c r="H47" s="1068">
        <f t="shared" si="2"/>
        <v>0.58973938770950263</v>
      </c>
      <c r="I47" s="1168">
        <f t="shared" si="2"/>
        <v>0.5495689942142129</v>
      </c>
      <c r="J47" s="1067">
        <f t="shared" si="2"/>
        <v>0.40637993517884302</v>
      </c>
      <c r="K47" s="1068">
        <f t="shared" si="2"/>
        <v>0.63323863537070213</v>
      </c>
      <c r="L47" s="1060">
        <f t="shared" si="2"/>
        <v>3.1308148362253818E-2</v>
      </c>
      <c r="M47" s="116">
        <f t="shared" si="2"/>
        <v>6.0410020577161203E-2</v>
      </c>
      <c r="N47" s="1069" t="e">
        <f t="shared" si="2"/>
        <v>#REF!</v>
      </c>
      <c r="O47" s="1070" t="str">
        <f>VLOOKUP($B47,$B$14:$R$35,O$36,FALSE)</f>
        <v>= = ¯</v>
      </c>
      <c r="P47" s="1172">
        <f t="shared" si="3"/>
        <v>2.643581803383519</v>
      </c>
      <c r="Q47" s="1071">
        <f t="shared" si="3"/>
        <v>2.8580691559688957E-2</v>
      </c>
      <c r="R47" s="1065">
        <f t="shared" si="3"/>
        <v>2.5466878830879209</v>
      </c>
      <c r="S47" s="1157"/>
      <c r="T47" s="4231" t="s">
        <v>2750</v>
      </c>
      <c r="U47" s="4231"/>
      <c r="V47" s="4231"/>
      <c r="W47" s="4231"/>
      <c r="X47" s="4231"/>
      <c r="Y47" s="2865"/>
      <c r="Z47" s="2865"/>
      <c r="AA47" s="2865"/>
      <c r="AB47" s="92"/>
      <c r="AC47" s="2868"/>
      <c r="AD47" s="2868"/>
      <c r="AE47" s="2868"/>
      <c r="AF47" s="2868"/>
      <c r="AH47" s="92"/>
      <c r="AI47" s="2385" t="str">
        <f t="shared" si="4"/>
        <v>KPN</v>
      </c>
      <c r="AJ47" s="1113">
        <f t="shared" si="5"/>
        <v>0.51826084585195908</v>
      </c>
      <c r="AK47" s="1113">
        <f t="shared" si="6"/>
        <v>3.1308148362253818E-2</v>
      </c>
      <c r="AL47" s="1113">
        <f t="shared" si="7"/>
        <v>6.0410020577161203E-2</v>
      </c>
      <c r="AM47" s="92"/>
      <c r="AN47" s="92"/>
      <c r="AO47" s="92"/>
    </row>
    <row r="48" spans="1:47" ht="12.75" customHeight="1">
      <c r="A48" s="1090" t="s">
        <v>217</v>
      </c>
      <c r="B48" s="73" t="s">
        <v>53</v>
      </c>
      <c r="C48" s="103">
        <f t="shared" si="2"/>
        <v>0.6158872479982318</v>
      </c>
      <c r="D48" s="1067">
        <f t="shared" si="2"/>
        <v>0.11044311863454735</v>
      </c>
      <c r="E48" s="1068">
        <f t="shared" si="2"/>
        <v>0.66127040038880336</v>
      </c>
      <c r="F48" s="1066">
        <f t="shared" si="2"/>
        <v>0.48384306036910518</v>
      </c>
      <c r="G48" s="1067">
        <f t="shared" si="2"/>
        <v>0.2595878527386451</v>
      </c>
      <c r="H48" s="1068">
        <f t="shared" si="2"/>
        <v>0.54381370963962039</v>
      </c>
      <c r="I48" s="1168">
        <f t="shared" si="2"/>
        <v>0.51513010935716153</v>
      </c>
      <c r="J48" s="1067">
        <f t="shared" si="2"/>
        <v>0.26130995158024306</v>
      </c>
      <c r="K48" s="1068">
        <f t="shared" si="2"/>
        <v>0.57929804018594233</v>
      </c>
      <c r="L48" s="1060">
        <f t="shared" si="2"/>
        <v>3.1287048988056343E-2</v>
      </c>
      <c r="M48" s="116">
        <f t="shared" si="2"/>
        <v>6.4663630732222685E-2</v>
      </c>
      <c r="N48" s="1069" t="e">
        <f t="shared" si="2"/>
        <v>#REF!</v>
      </c>
      <c r="O48" s="1070" t="str">
        <f>VLOOKUP($B48,$B$14:$R$35,O$36,FALSE)</f>
        <v>¯ ¯ ¯</v>
      </c>
      <c r="P48" s="1172">
        <f t="shared" si="3"/>
        <v>2.7929780820851775</v>
      </c>
      <c r="Q48" s="1071">
        <f t="shared" si="3"/>
        <v>0.12404595260605845</v>
      </c>
      <c r="R48" s="1065">
        <f t="shared" si="3"/>
        <v>2.8353348809740444</v>
      </c>
      <c r="S48" s="1163"/>
      <c r="T48" s="4231"/>
      <c r="U48" s="4231"/>
      <c r="V48" s="4231"/>
      <c r="W48" s="4231"/>
      <c r="X48" s="4231"/>
      <c r="Y48" s="2865"/>
      <c r="Z48" s="2865"/>
      <c r="AA48" s="2865"/>
      <c r="AB48" s="92"/>
      <c r="AC48" s="3159"/>
      <c r="AD48" s="3159"/>
      <c r="AE48" s="3159"/>
      <c r="AF48" s="3159"/>
      <c r="AH48" s="92"/>
      <c r="AI48" s="2385" t="str">
        <f t="shared" si="4"/>
        <v>TEF</v>
      </c>
      <c r="AJ48" s="1113">
        <f t="shared" si="5"/>
        <v>0.48384306036910518</v>
      </c>
      <c r="AK48" s="1113">
        <f t="shared" si="6"/>
        <v>3.1287048988056343E-2</v>
      </c>
      <c r="AL48" s="1113">
        <f t="shared" si="7"/>
        <v>6.4663630732222685E-2</v>
      </c>
      <c r="AM48" s="92"/>
      <c r="AN48" s="92"/>
      <c r="AO48" s="92"/>
    </row>
    <row r="49" spans="1:47">
      <c r="A49" s="1090" t="s">
        <v>503</v>
      </c>
      <c r="B49" s="73" t="s">
        <v>282</v>
      </c>
      <c r="C49" s="103">
        <f t="shared" si="2"/>
        <v>0.67984865616162071</v>
      </c>
      <c r="D49" s="1067">
        <f t="shared" si="2"/>
        <v>0.13956056160252914</v>
      </c>
      <c r="E49" s="1068">
        <f t="shared" si="2"/>
        <v>0.7167630057803468</v>
      </c>
      <c r="F49" s="1066">
        <f t="shared" si="2"/>
        <v>0.23215418017261674</v>
      </c>
      <c r="G49" s="1067">
        <f t="shared" si="2"/>
        <v>0.36187217108516367</v>
      </c>
      <c r="H49" s="1068">
        <f t="shared" si="2"/>
        <v>0.26525179681706468</v>
      </c>
      <c r="I49" s="1168">
        <f t="shared" si="2"/>
        <v>0.2501311526811702</v>
      </c>
      <c r="J49" s="1067">
        <f t="shared" si="2"/>
        <v>0.31916438327965047</v>
      </c>
      <c r="K49" s="1068">
        <f t="shared" si="2"/>
        <v>0.28287599661626001</v>
      </c>
      <c r="L49" s="1060">
        <f t="shared" si="2"/>
        <v>1.7976972508553457E-2</v>
      </c>
      <c r="M49" s="116">
        <f t="shared" si="2"/>
        <v>7.7435489187344358E-2</v>
      </c>
      <c r="N49" s="1069" t="e">
        <f t="shared" si="2"/>
        <v>#REF!</v>
      </c>
      <c r="O49" s="1070" t="str">
        <f>VLOOKUP($B49,$B$14:$R$35,O$36,FALSE)</f>
        <v>= =</v>
      </c>
      <c r="P49" s="1172">
        <f t="shared" si="3"/>
        <v>1.845874038975184</v>
      </c>
      <c r="Q49" s="1071">
        <f t="shared" si="3"/>
        <v>0.36079457239176377</v>
      </c>
      <c r="R49" s="1065">
        <f t="shared" si="3"/>
        <v>2.1424428051274771</v>
      </c>
      <c r="S49" s="1158"/>
      <c r="T49" s="2753" t="s">
        <v>1956</v>
      </c>
      <c r="U49" s="92"/>
      <c r="V49" s="92"/>
      <c r="W49" s="92"/>
      <c r="X49" s="92"/>
      <c r="Y49" s="2865"/>
      <c r="Z49" s="2865"/>
      <c r="AA49" s="2865"/>
      <c r="AB49" s="92"/>
      <c r="AC49" s="3159"/>
      <c r="AD49" s="3159"/>
      <c r="AE49" s="3159"/>
      <c r="AF49" s="3159"/>
      <c r="AH49" s="92"/>
      <c r="AI49" s="2385" t="str">
        <f t="shared" si="4"/>
        <v>TLSN</v>
      </c>
      <c r="AJ49" s="1113">
        <f t="shared" si="5"/>
        <v>0.23215418017261674</v>
      </c>
      <c r="AK49" s="1113">
        <f t="shared" si="6"/>
        <v>1.7976972508553457E-2</v>
      </c>
      <c r="AL49" s="1113">
        <f t="shared" si="7"/>
        <v>7.7435489187344358E-2</v>
      </c>
      <c r="AM49" s="92"/>
      <c r="AN49" s="92"/>
      <c r="AO49" s="92"/>
    </row>
    <row r="50" spans="1:47">
      <c r="A50" s="1090" t="s">
        <v>19</v>
      </c>
      <c r="B50" s="150" t="s">
        <v>286</v>
      </c>
      <c r="C50" s="103">
        <f t="shared" si="2"/>
        <v>0.60741568747204655</v>
      </c>
      <c r="D50" s="1067">
        <f t="shared" si="2"/>
        <v>4.0950219141690898E-2</v>
      </c>
      <c r="E50" s="1068">
        <f t="shared" si="2"/>
        <v>0.62738172243152124</v>
      </c>
      <c r="F50" s="1066">
        <f t="shared" si="2"/>
        <v>0.50834561454306215</v>
      </c>
      <c r="G50" s="1067">
        <f t="shared" si="2"/>
        <v>0.27477182203191691</v>
      </c>
      <c r="H50" s="1068">
        <f t="shared" si="2"/>
        <v>0.61196382356206247</v>
      </c>
      <c r="I50" s="1168">
        <f t="shared" si="2"/>
        <v>0.54898628094174651</v>
      </c>
      <c r="J50" s="1067">
        <f t="shared" si="2"/>
        <v>0.26756473067663017</v>
      </c>
      <c r="K50" s="1068">
        <f t="shared" si="2"/>
        <v>0.65530118542007598</v>
      </c>
      <c r="L50" s="1060">
        <f t="shared" si="2"/>
        <v>4.0640666398684355E-2</v>
      </c>
      <c r="M50" s="116">
        <f t="shared" si="2"/>
        <v>7.9946920433679999E-2</v>
      </c>
      <c r="N50" s="1069" t="e">
        <f t="shared" si="2"/>
        <v>#REF!</v>
      </c>
      <c r="O50" s="1070"/>
      <c r="P50" s="1172">
        <f t="shared" si="3"/>
        <v>2.5321561588471506</v>
      </c>
      <c r="Q50" s="1071">
        <f t="shared" si="3"/>
        <v>1.3257606300410854E-2</v>
      </c>
      <c r="R50" s="1065">
        <f t="shared" si="3"/>
        <v>2.8138910595815916</v>
      </c>
      <c r="S50" s="1157"/>
      <c r="T50" s="92"/>
      <c r="U50" s="92"/>
      <c r="V50" s="92"/>
      <c r="W50" s="92"/>
      <c r="X50" s="92"/>
      <c r="Y50" s="2865"/>
      <c r="Z50" s="2865"/>
      <c r="AA50" s="2865"/>
      <c r="AB50" s="92"/>
      <c r="AC50" s="2867"/>
      <c r="AD50" s="2867"/>
      <c r="AE50" s="2867"/>
      <c r="AF50" s="2867"/>
      <c r="AH50" s="92"/>
      <c r="AI50" s="2385" t="str">
        <f t="shared" si="4"/>
        <v>ORA</v>
      </c>
      <c r="AJ50" s="1113">
        <f t="shared" si="5"/>
        <v>0.50834561454306215</v>
      </c>
      <c r="AK50" s="1113">
        <f t="shared" si="6"/>
        <v>4.0640666398684355E-2</v>
      </c>
      <c r="AL50" s="1113">
        <f t="shared" si="7"/>
        <v>7.9946920433679999E-2</v>
      </c>
      <c r="AM50" s="92"/>
      <c r="AN50" s="92"/>
      <c r="AO50" s="92"/>
    </row>
    <row r="51" spans="1:47">
      <c r="A51" s="1090" t="s">
        <v>73</v>
      </c>
      <c r="B51" s="73" t="s">
        <v>283</v>
      </c>
      <c r="C51" s="103">
        <f t="shared" ref="C51:N62" si="8">VLOOKUP($B51,$B$14:$R$35,C$36,FALSE)</f>
        <v>0.62657499999999999</v>
      </c>
      <c r="D51" s="1067">
        <f t="shared" si="8"/>
        <v>5.5614710459497153E-2</v>
      </c>
      <c r="E51" s="1068">
        <f t="shared" si="8"/>
        <v>0.64439999999999997</v>
      </c>
      <c r="F51" s="1066">
        <f t="shared" si="8"/>
        <v>0.24190098439360719</v>
      </c>
      <c r="G51" s="1067">
        <f t="shared" si="8"/>
        <v>0.20667512064869559</v>
      </c>
      <c r="H51" s="1068">
        <f t="shared" si="8"/>
        <v>0.30597960586046052</v>
      </c>
      <c r="I51" s="1168">
        <f t="shared" si="8"/>
        <v>0.2616424852780464</v>
      </c>
      <c r="J51" s="1067">
        <f t="shared" si="8"/>
        <v>0.20296552626351777</v>
      </c>
      <c r="K51" s="1068">
        <f t="shared" si="8"/>
        <v>0.32061814749302248</v>
      </c>
      <c r="L51" s="1060">
        <f t="shared" si="8"/>
        <v>1.9741500884439211E-2</v>
      </c>
      <c r="M51" s="116">
        <f t="shared" si="8"/>
        <v>8.1609841042717679E-2</v>
      </c>
      <c r="N51" s="1069" t="e">
        <f t="shared" si="8"/>
        <v>#REF!</v>
      </c>
      <c r="O51" s="1070" t="str">
        <f>VLOOKUP($B51,$B$14:$R$35,O$36,FALSE)</f>
        <v>= =</v>
      </c>
      <c r="P51" s="1172">
        <f t="shared" si="3"/>
        <v>1.7511002028712532</v>
      </c>
      <c r="Q51" s="1071">
        <f t="shared" si="3"/>
        <v>0.37093258903528414</v>
      </c>
      <c r="R51" s="1065">
        <f t="shared" si="3"/>
        <v>2.2311132077757287</v>
      </c>
      <c r="S51" s="1158"/>
      <c r="T51" s="92"/>
      <c r="U51" s="92"/>
      <c r="V51" s="92"/>
      <c r="W51" s="92"/>
      <c r="X51" s="92"/>
      <c r="Y51" s="2865"/>
      <c r="Z51" s="2865"/>
      <c r="AA51" s="2865"/>
      <c r="AB51" s="108"/>
      <c r="AC51" s="2868"/>
      <c r="AD51" s="2868"/>
      <c r="AE51" s="2868"/>
      <c r="AF51" s="2868"/>
      <c r="AH51" s="92"/>
      <c r="AI51" s="2385" t="str">
        <f t="shared" si="4"/>
        <v>ELI</v>
      </c>
      <c r="AJ51" s="1113">
        <f t="shared" si="5"/>
        <v>0.24190098439360719</v>
      </c>
      <c r="AK51" s="1113">
        <f t="shared" si="6"/>
        <v>1.9741500884439211E-2</v>
      </c>
      <c r="AL51" s="1113">
        <f t="shared" si="7"/>
        <v>8.1609841042717679E-2</v>
      </c>
      <c r="AM51" s="92"/>
      <c r="AN51" s="92"/>
      <c r="AO51" s="92"/>
    </row>
    <row r="52" spans="1:47">
      <c r="A52" s="1091" t="s">
        <v>319</v>
      </c>
      <c r="B52" s="691" t="s">
        <v>750</v>
      </c>
      <c r="C52" s="1013">
        <f t="shared" si="8"/>
        <v>0.37158673775730477</v>
      </c>
      <c r="D52" s="1079">
        <f t="shared" si="8"/>
        <v>-0.1153634304384116</v>
      </c>
      <c r="E52" s="1080">
        <f t="shared" si="8"/>
        <v>0.36037883142173305</v>
      </c>
      <c r="F52" s="1078">
        <f t="shared" si="8"/>
        <v>0.17383796150947908</v>
      </c>
      <c r="G52" s="1079">
        <f t="shared" si="8"/>
        <v>0.54445307336528614</v>
      </c>
      <c r="H52" s="1080">
        <f t="shared" si="8"/>
        <v>0.26356163003804695</v>
      </c>
      <c r="I52" s="1169">
        <f t="shared" si="8"/>
        <v>0.19702478682132593</v>
      </c>
      <c r="J52" s="1079">
        <f t="shared" si="8"/>
        <v>0.50034734616182497</v>
      </c>
      <c r="K52" s="1080">
        <f t="shared" si="8"/>
        <v>0.28756363720088318</v>
      </c>
      <c r="L52" s="1072">
        <f t="shared" si="8"/>
        <v>2.3186825311846848E-2</v>
      </c>
      <c r="M52" s="1008">
        <f t="shared" si="8"/>
        <v>0.13338182932260462</v>
      </c>
      <c r="N52" s="1081" t="e">
        <f t="shared" si="8"/>
        <v>#REF!</v>
      </c>
      <c r="O52" s="1082" t="str">
        <f>VLOOKUP($B52,$B$14:$R$35,O$36,FALSE)</f>
        <v>= =</v>
      </c>
      <c r="P52" s="1171">
        <f t="shared" si="3"/>
        <v>0.93248540191552354</v>
      </c>
      <c r="Q52" s="1083">
        <f t="shared" si="3"/>
        <v>0.78949919521054279</v>
      </c>
      <c r="R52" s="1077">
        <f t="shared" si="3"/>
        <v>1.3109622071604587</v>
      </c>
      <c r="S52" s="1219"/>
      <c r="T52" s="2865"/>
      <c r="U52" s="2865"/>
      <c r="V52" s="2865"/>
      <c r="W52" s="2865"/>
      <c r="X52" s="2865"/>
      <c r="Y52" s="2865"/>
      <c r="Z52" s="2865"/>
      <c r="AA52" s="2865"/>
      <c r="AB52" s="1455"/>
      <c r="AC52" s="1455"/>
      <c r="AD52" s="2865"/>
      <c r="AE52" s="131"/>
      <c r="AF52" s="1633"/>
      <c r="AH52" s="92"/>
      <c r="AI52" s="2385" t="str">
        <f t="shared" si="4"/>
        <v>BELGACOM</v>
      </c>
      <c r="AJ52" s="1113">
        <f t="shared" si="5"/>
        <v>0.17383796150947908</v>
      </c>
      <c r="AK52" s="1113">
        <f t="shared" si="6"/>
        <v>2.3186825311846848E-2</v>
      </c>
      <c r="AL52" s="1113">
        <f t="shared" si="7"/>
        <v>0.13338182932260462</v>
      </c>
      <c r="AM52" s="92"/>
      <c r="AN52" s="92"/>
      <c r="AO52" s="92"/>
    </row>
    <row r="53" spans="1:47">
      <c r="A53" s="1090" t="s">
        <v>32</v>
      </c>
      <c r="B53" s="73" t="s">
        <v>277</v>
      </c>
      <c r="C53" s="103">
        <f t="shared" si="8"/>
        <v>0.91487499999999988</v>
      </c>
      <c r="D53" s="1067">
        <f t="shared" si="8"/>
        <v>-4.3736501079913587E-2</v>
      </c>
      <c r="E53" s="1068">
        <f t="shared" si="8"/>
        <v>0.89481420237931208</v>
      </c>
      <c r="F53" s="1066">
        <f t="shared" si="8"/>
        <v>0.24509229252810941</v>
      </c>
      <c r="G53" s="1067">
        <f t="shared" si="8"/>
        <v>-0.16501821733667812</v>
      </c>
      <c r="H53" s="1068">
        <f t="shared" si="8"/>
        <v>0.23828807339295358</v>
      </c>
      <c r="I53" s="1168">
        <f t="shared" si="8"/>
        <v>0.27870192226407053</v>
      </c>
      <c r="J53" s="1067">
        <f t="shared" si="8"/>
        <v>-0.14309331637647091</v>
      </c>
      <c r="K53" s="1068">
        <f t="shared" si="8"/>
        <v>0.2718321660431175</v>
      </c>
      <c r="L53" s="1060">
        <f t="shared" si="8"/>
        <v>3.3609629735961127E-2</v>
      </c>
      <c r="M53" s="116">
        <f t="shared" si="8"/>
        <v>0.13713050455108242</v>
      </c>
      <c r="N53" s="1069" t="e">
        <f t="shared" si="8"/>
        <v>#REF!</v>
      </c>
      <c r="O53" s="1070"/>
      <c r="P53" s="1172">
        <f t="shared" si="3"/>
        <v>2.0880314655341889</v>
      </c>
      <c r="Q53" s="1071">
        <f t="shared" si="3"/>
        <v>-3.7762767487534328E-2</v>
      </c>
      <c r="R53" s="1065">
        <f t="shared" si="3"/>
        <v>2.3348198024327131</v>
      </c>
      <c r="S53" s="1159"/>
      <c r="T53" s="2865"/>
      <c r="U53" s="2865"/>
      <c r="V53" s="2865"/>
      <c r="W53" s="2865"/>
      <c r="X53" s="2865"/>
      <c r="Y53" s="2865"/>
      <c r="Z53" s="2865"/>
      <c r="AA53" s="2865"/>
      <c r="AB53" s="1455"/>
      <c r="AC53" s="1455"/>
      <c r="AD53" s="148"/>
      <c r="AE53" s="148"/>
      <c r="AF53" s="116"/>
      <c r="AH53" s="92"/>
      <c r="AI53" s="2385" t="str">
        <f t="shared" si="4"/>
        <v>VOD</v>
      </c>
      <c r="AJ53" s="1113">
        <f t="shared" si="5"/>
        <v>0.24509229252810941</v>
      </c>
      <c r="AK53" s="1113">
        <f t="shared" si="6"/>
        <v>3.3609629735961127E-2</v>
      </c>
      <c r="AL53" s="1113">
        <f t="shared" si="7"/>
        <v>0.13713050455108242</v>
      </c>
      <c r="AM53" s="92"/>
      <c r="AN53" s="92"/>
      <c r="AO53" s="92"/>
    </row>
    <row r="54" spans="1:47">
      <c r="A54" s="1090" t="s">
        <v>502</v>
      </c>
      <c r="B54" s="73" t="s">
        <v>287</v>
      </c>
      <c r="C54" s="103">
        <f t="shared" si="8"/>
        <v>0.42290073595624156</v>
      </c>
      <c r="D54" s="1067">
        <f t="shared" si="8"/>
        <v>-9.0086339251873371E-2</v>
      </c>
      <c r="E54" s="1068">
        <f t="shared" si="8"/>
        <v>0.44946685046944856</v>
      </c>
      <c r="F54" s="1066">
        <f t="shared" si="8"/>
        <v>0.16307046534988884</v>
      </c>
      <c r="G54" s="1067">
        <f t="shared" si="8"/>
        <v>1.3005419282788433</v>
      </c>
      <c r="H54" s="1068">
        <f t="shared" si="8"/>
        <v>0.30950096360373897</v>
      </c>
      <c r="I54" s="1168">
        <f t="shared" si="8"/>
        <v>0.18570292678335293</v>
      </c>
      <c r="J54" s="1067">
        <f t="shared" si="8"/>
        <v>1.251733079461073</v>
      </c>
      <c r="K54" s="1068">
        <f t="shared" si="8"/>
        <v>0.34197601038246805</v>
      </c>
      <c r="L54" s="1060">
        <f t="shared" si="8"/>
        <v>2.2632461433464091E-2</v>
      </c>
      <c r="M54" s="116">
        <f t="shared" si="8"/>
        <v>0.13878945758144007</v>
      </c>
      <c r="N54" s="1069" t="e">
        <f t="shared" si="8"/>
        <v>#REF!</v>
      </c>
      <c r="O54" s="1070" t="str">
        <f>VLOOKUP($B54,$B$14:$R$35,O$36,FALSE)</f>
        <v>¯ ¯</v>
      </c>
      <c r="P54" s="1172">
        <f t="shared" si="3"/>
        <v>0.77886477042851432</v>
      </c>
      <c r="Q54" s="1071">
        <f t="shared" si="3"/>
        <v>1.0703005310133176</v>
      </c>
      <c r="R54" s="1065">
        <f t="shared" si="3"/>
        <v>1.1762690733772538</v>
      </c>
      <c r="S54" s="1157"/>
      <c r="T54" s="2865"/>
      <c r="U54" s="2865"/>
      <c r="V54" s="2865"/>
      <c r="W54" s="2865"/>
      <c r="X54" s="2865"/>
      <c r="Y54" s="2865"/>
      <c r="Z54" s="2865"/>
      <c r="AA54" s="2865"/>
      <c r="AB54" s="1455"/>
      <c r="AC54" s="1455"/>
      <c r="AD54" s="148"/>
      <c r="AE54" s="148"/>
      <c r="AF54" s="116"/>
      <c r="AH54" s="92"/>
      <c r="AI54" s="2385" t="str">
        <f t="shared" si="4"/>
        <v>TPS</v>
      </c>
      <c r="AJ54" s="1113">
        <f t="shared" si="5"/>
        <v>0.16307046534988884</v>
      </c>
      <c r="AK54" s="1113">
        <f t="shared" si="6"/>
        <v>2.2632461433464091E-2</v>
      </c>
      <c r="AL54" s="1113">
        <f t="shared" si="7"/>
        <v>0.13878945758144007</v>
      </c>
      <c r="AM54" s="92"/>
      <c r="AN54" s="92"/>
      <c r="AO54" s="92"/>
    </row>
    <row r="55" spans="1:47">
      <c r="A55" s="1090" t="s">
        <v>498</v>
      </c>
      <c r="B55" s="73" t="s">
        <v>52</v>
      </c>
      <c r="C55" s="103">
        <f t="shared" si="8"/>
        <v>0.61</v>
      </c>
      <c r="D55" s="1067">
        <f t="shared" si="8"/>
        <v>0</v>
      </c>
      <c r="E55" s="1068">
        <f t="shared" si="8"/>
        <v>0.62983042679437373</v>
      </c>
      <c r="F55" s="1066">
        <f t="shared" si="8"/>
        <v>0.51528895508035288</v>
      </c>
      <c r="G55" s="1067">
        <f t="shared" si="8"/>
        <v>-2.4931247740904369E-2</v>
      </c>
      <c r="H55" s="1068">
        <f t="shared" si="8"/>
        <v>0.51939744871548044</v>
      </c>
      <c r="I55" s="1168">
        <f t="shared" si="8"/>
        <v>0.58808850315066874</v>
      </c>
      <c r="J55" s="1067">
        <f t="shared" si="8"/>
        <v>-2.8226553900756759E-2</v>
      </c>
      <c r="K55" s="1068">
        <f t="shared" si="8"/>
        <v>0.59074959904524027</v>
      </c>
      <c r="L55" s="1060">
        <f t="shared" si="8"/>
        <v>7.2799548070315856E-2</v>
      </c>
      <c r="M55" s="116">
        <f t="shared" si="8"/>
        <v>0.14127907721011346</v>
      </c>
      <c r="N55" s="1069" t="e">
        <f t="shared" si="8"/>
        <v>#REF!</v>
      </c>
      <c r="O55" s="1070" t="str">
        <f>VLOOKUP($B55,$B$14:$R$35,O$36,FALSE)</f>
        <v>= = =</v>
      </c>
      <c r="P55" s="1172">
        <f t="shared" si="3"/>
        <v>2.7906818261625395</v>
      </c>
      <c r="Q55" s="1071">
        <f t="shared" si="3"/>
        <v>8.5841806528642844E-2</v>
      </c>
      <c r="R55" s="1065">
        <f t="shared" si="3"/>
        <v>2.9178287645268703</v>
      </c>
      <c r="S55" s="1157"/>
      <c r="T55" s="2865"/>
      <c r="U55" s="2865"/>
      <c r="V55" s="2865"/>
      <c r="W55" s="2865"/>
      <c r="X55" s="2865"/>
      <c r="Y55" s="2865"/>
      <c r="Z55" s="2865"/>
      <c r="AA55" s="2865"/>
      <c r="AB55" s="2865"/>
      <c r="AC55" s="2865"/>
      <c r="AD55" s="148"/>
      <c r="AE55" s="148"/>
      <c r="AF55" s="116"/>
      <c r="AH55" s="92"/>
      <c r="AI55" s="2385" t="str">
        <f t="shared" si="4"/>
        <v>DT</v>
      </c>
      <c r="AJ55" s="1113">
        <f t="shared" si="5"/>
        <v>0.51528895508035288</v>
      </c>
      <c r="AK55" s="1113">
        <f t="shared" si="6"/>
        <v>7.2799548070315856E-2</v>
      </c>
      <c r="AL55" s="1113">
        <f t="shared" si="7"/>
        <v>0.14127907721011346</v>
      </c>
      <c r="AM55" s="92"/>
      <c r="AN55" s="92"/>
      <c r="AO55" s="92"/>
    </row>
    <row r="56" spans="1:47">
      <c r="A56" s="1090" t="s">
        <v>539</v>
      </c>
      <c r="B56" s="73" t="s">
        <v>39</v>
      </c>
      <c r="C56" s="103">
        <f t="shared" si="8"/>
        <v>0.31054928118178421</v>
      </c>
      <c r="D56" s="1067">
        <f t="shared" si="8"/>
        <v>-0.11491916916279199</v>
      </c>
      <c r="E56" s="1068">
        <f t="shared" si="8"/>
        <v>0.28165979767703259</v>
      </c>
      <c r="F56" s="1066">
        <f t="shared" si="8"/>
        <v>0.3899242463002407</v>
      </c>
      <c r="G56" s="1067">
        <f t="shared" si="8"/>
        <v>-0.1197676600756727</v>
      </c>
      <c r="H56" s="1068">
        <f t="shared" si="8"/>
        <v>0.37944762378701169</v>
      </c>
      <c r="I56" s="1168">
        <f t="shared" si="8"/>
        <v>0.45093517146474416</v>
      </c>
      <c r="J56" s="1067">
        <f t="shared" si="8"/>
        <v>-8.3572610535330494E-2</v>
      </c>
      <c r="K56" s="1068">
        <f t="shared" si="8"/>
        <v>0.43916945384982109</v>
      </c>
      <c r="L56" s="1060">
        <f t="shared" si="8"/>
        <v>6.101092516450346E-2</v>
      </c>
      <c r="M56" s="116">
        <f t="shared" si="8"/>
        <v>0.15646866216553562</v>
      </c>
      <c r="N56" s="1069" t="e">
        <f t="shared" si="8"/>
        <v>#REF!</v>
      </c>
      <c r="O56" s="1070" t="str">
        <f>VLOOKUP($B56,$B$14:$R$35,O$36,FALSE)</f>
        <v>­ = =</v>
      </c>
      <c r="P56" s="1172">
        <f t="shared" si="3"/>
        <v>2.6587814840492587</v>
      </c>
      <c r="Q56" s="1071">
        <f t="shared" si="3"/>
        <v>-0.25803195656746131</v>
      </c>
      <c r="R56" s="1065">
        <f t="shared" si="3"/>
        <v>2.5933932385229874</v>
      </c>
      <c r="S56" s="1162"/>
      <c r="T56" s="2865"/>
      <c r="U56" s="2865"/>
      <c r="V56" s="2865"/>
      <c r="W56" s="2865"/>
      <c r="X56" s="2865"/>
      <c r="Y56" s="2865"/>
      <c r="Z56" s="2865"/>
      <c r="AA56" s="2865"/>
      <c r="AB56" s="2865"/>
      <c r="AC56" s="2711"/>
      <c r="AD56" s="148"/>
      <c r="AE56" s="148"/>
      <c r="AF56" s="116"/>
      <c r="AH56" s="92"/>
      <c r="AI56" s="2385" t="str">
        <f t="shared" si="4"/>
        <v>TDC</v>
      </c>
      <c r="AJ56" s="1113">
        <f t="shared" si="5"/>
        <v>0.3899242463002407</v>
      </c>
      <c r="AK56" s="1113">
        <f t="shared" si="6"/>
        <v>6.101092516450346E-2</v>
      </c>
      <c r="AL56" s="1113">
        <f t="shared" si="7"/>
        <v>0.15646866216553562</v>
      </c>
      <c r="AM56" s="92"/>
      <c r="AN56" s="92"/>
      <c r="AO56" s="92"/>
    </row>
    <row r="57" spans="1:47">
      <c r="A57" s="1090" t="s">
        <v>19</v>
      </c>
      <c r="B57" s="73" t="s">
        <v>285</v>
      </c>
      <c r="C57" s="103">
        <f t="shared" si="8"/>
        <v>9.1630231095150338E-2</v>
      </c>
      <c r="D57" s="1084" t="str">
        <f t="shared" si="8"/>
        <v>¥</v>
      </c>
      <c r="E57" s="1068">
        <f t="shared" si="8"/>
        <v>0.34976819018989347</v>
      </c>
      <c r="F57" s="1066">
        <f t="shared" si="8"/>
        <v>0.13477545507373562</v>
      </c>
      <c r="G57" s="1067">
        <f t="shared" si="8"/>
        <v>-0.4264373226073967</v>
      </c>
      <c r="H57" s="1068">
        <f t="shared" si="8"/>
        <v>9.7905485588969735E-2</v>
      </c>
      <c r="I57" s="1168">
        <f t="shared" si="8"/>
        <v>0.16024846762312819</v>
      </c>
      <c r="J57" s="1067">
        <f t="shared" si="8"/>
        <v>-0.25253039609468159</v>
      </c>
      <c r="K57" s="1068">
        <f t="shared" si="8"/>
        <v>0.12849893093161849</v>
      </c>
      <c r="L57" s="1060">
        <f t="shared" si="8"/>
        <v>2.5473012549392576E-2</v>
      </c>
      <c r="M57" s="116">
        <f t="shared" si="8"/>
        <v>0.18900335031669008</v>
      </c>
      <c r="N57" s="1069" t="str">
        <f t="shared" si="8"/>
        <v>No rating</v>
      </c>
      <c r="O57" s="1070"/>
      <c r="P57" s="1172">
        <f t="shared" si="3"/>
        <v>1.265551414722516</v>
      </c>
      <c r="Q57" s="1071">
        <f t="shared" si="3"/>
        <v>0.38040351489576829</v>
      </c>
      <c r="R57" s="1065">
        <f t="shared" si="3"/>
        <v>1.242834927692577</v>
      </c>
      <c r="S57" s="1161"/>
      <c r="T57" s="2865"/>
      <c r="U57" s="2865"/>
      <c r="V57" s="2865"/>
      <c r="W57" s="2865"/>
      <c r="X57" s="2865"/>
      <c r="Y57" s="2865"/>
      <c r="Z57" s="2865"/>
      <c r="AA57" s="2865"/>
      <c r="AB57" s="2865"/>
      <c r="AC57" s="2865"/>
      <c r="AD57" s="2865"/>
      <c r="AE57" s="2865"/>
      <c r="AF57" s="2868"/>
      <c r="AH57" s="92"/>
      <c r="AI57" s="2385" t="str">
        <f t="shared" si="4"/>
        <v>ILD</v>
      </c>
      <c r="AJ57" s="1113">
        <f t="shared" si="5"/>
        <v>0.13477545507373562</v>
      </c>
      <c r="AK57" s="1113">
        <f t="shared" si="6"/>
        <v>2.5473012549392576E-2</v>
      </c>
      <c r="AL57" s="1113">
        <f t="shared" si="7"/>
        <v>0.18900335031669008</v>
      </c>
      <c r="AM57" s="92"/>
      <c r="AN57" s="92"/>
      <c r="AO57" s="92"/>
    </row>
    <row r="58" spans="1:47">
      <c r="A58" s="1090" t="s">
        <v>500</v>
      </c>
      <c r="B58" s="73" t="s">
        <v>279</v>
      </c>
      <c r="C58" s="103">
        <f t="shared" si="8"/>
        <v>0.7344324868237998</v>
      </c>
      <c r="D58" s="1067">
        <f t="shared" si="8"/>
        <v>0.10784712869930438</v>
      </c>
      <c r="E58" s="1068">
        <f t="shared" si="8"/>
        <v>0.74956908795771016</v>
      </c>
      <c r="F58" s="1066">
        <f t="shared" si="8"/>
        <v>0.14726898954609682</v>
      </c>
      <c r="G58" s="1067">
        <f t="shared" si="8"/>
        <v>4.9939774449528171E-2</v>
      </c>
      <c r="H58" s="1068">
        <f t="shared" si="8"/>
        <v>0.17272839211728983</v>
      </c>
      <c r="I58" s="1168">
        <f t="shared" si="8"/>
        <v>0.18443136241749356</v>
      </c>
      <c r="J58" s="1067">
        <f t="shared" si="8"/>
        <v>-5.7258906752796622E-2</v>
      </c>
      <c r="K58" s="1068">
        <f t="shared" si="8"/>
        <v>0.198117589718218</v>
      </c>
      <c r="L58" s="1060">
        <f t="shared" si="8"/>
        <v>3.7162372871396732E-2</v>
      </c>
      <c r="M58" s="116">
        <f t="shared" si="8"/>
        <v>0.25234350412762557</v>
      </c>
      <c r="N58" s="1069" t="e">
        <f t="shared" si="8"/>
        <v>#REF!</v>
      </c>
      <c r="O58" s="1070" t="str">
        <f>VLOOKUP($B58,$B$14:$R$35,O$36,FALSE)</f>
        <v>= =</v>
      </c>
      <c r="P58" s="1172">
        <f t="shared" si="3"/>
        <v>1.0395975936863313</v>
      </c>
      <c r="Q58" s="1071">
        <f t="shared" si="3"/>
        <v>2.9438923535487854E-2</v>
      </c>
      <c r="R58" s="1065">
        <f t="shared" si="3"/>
        <v>1.2087727199953455</v>
      </c>
      <c r="S58" s="1158"/>
      <c r="T58" s="2865"/>
      <c r="U58" s="2865"/>
      <c r="V58" s="2865"/>
      <c r="W58" s="2865"/>
      <c r="X58" s="2865"/>
      <c r="Y58" s="2865"/>
      <c r="Z58" s="2865"/>
      <c r="AA58" s="2865"/>
      <c r="AB58" s="2865"/>
      <c r="AC58" s="2865"/>
      <c r="AD58" s="2865"/>
      <c r="AE58" s="2865"/>
      <c r="AF58" s="2868"/>
      <c r="AH58" s="92"/>
      <c r="AI58" s="2385" t="str">
        <f t="shared" si="4"/>
        <v>TEL</v>
      </c>
      <c r="AJ58" s="1113">
        <f t="shared" si="5"/>
        <v>0.14726898954609682</v>
      </c>
      <c r="AK58" s="1113">
        <f t="shared" si="6"/>
        <v>3.7162372871396732E-2</v>
      </c>
      <c r="AL58" s="1113">
        <f t="shared" si="7"/>
        <v>0.25234350412762557</v>
      </c>
      <c r="AM58" s="92"/>
      <c r="AN58" s="92"/>
      <c r="AO58" s="92"/>
    </row>
    <row r="59" spans="1:47">
      <c r="A59" s="1090" t="s">
        <v>27</v>
      </c>
      <c r="B59" s="73" t="s">
        <v>353</v>
      </c>
      <c r="C59" s="103">
        <f t="shared" si="8"/>
        <v>0.90539538726018864</v>
      </c>
      <c r="D59" s="1067">
        <f t="shared" si="8"/>
        <v>-4.1189056985539901E-2</v>
      </c>
      <c r="E59" s="1068">
        <f t="shared" si="8"/>
        <v>0.90138346931536006</v>
      </c>
      <c r="F59" s="1066">
        <f t="shared" si="8"/>
        <v>0.38160323267486906</v>
      </c>
      <c r="G59" s="1067">
        <f t="shared" si="8"/>
        <v>0.13281779457810056</v>
      </c>
      <c r="H59" s="1068">
        <f t="shared" si="8"/>
        <v>0.39444904186551905</v>
      </c>
      <c r="I59" s="1168">
        <f t="shared" si="8"/>
        <v>0.47841518539184064</v>
      </c>
      <c r="J59" s="1067">
        <f t="shared" si="8"/>
        <v>1.1717685634717274E-2</v>
      </c>
      <c r="K59" s="1068">
        <f t="shared" si="8"/>
        <v>0.46507375880431212</v>
      </c>
      <c r="L59" s="1060">
        <f t="shared" si="8"/>
        <v>9.6811952716971572E-2</v>
      </c>
      <c r="M59" s="116">
        <f t="shared" si="8"/>
        <v>0.25369793656715856</v>
      </c>
      <c r="N59" s="1069" t="str">
        <f t="shared" si="8"/>
        <v>No rating</v>
      </c>
      <c r="O59" s="1070"/>
      <c r="P59" s="1172">
        <f t="shared" si="3"/>
        <v>1.832329792526622</v>
      </c>
      <c r="Q59" s="1071">
        <f t="shared" si="3"/>
        <v>-9.9442962217240083E-2</v>
      </c>
      <c r="R59" s="1065">
        <f t="shared" si="3"/>
        <v>1.8160302149559577</v>
      </c>
      <c r="S59" s="1160"/>
      <c r="T59" s="2865"/>
      <c r="U59" s="2865"/>
      <c r="V59" s="2865"/>
      <c r="W59" s="2865"/>
      <c r="X59" s="2865"/>
      <c r="Y59" s="2865"/>
      <c r="Z59" s="2865"/>
      <c r="AA59" s="2865"/>
      <c r="AB59" s="2865"/>
      <c r="AC59" s="2865"/>
      <c r="AD59" s="2865"/>
      <c r="AE59" s="2865"/>
      <c r="AF59" s="2868"/>
      <c r="AH59" s="92"/>
      <c r="AI59" s="2385" t="str">
        <f t="shared" si="4"/>
        <v>SNC</v>
      </c>
      <c r="AJ59" s="1113">
        <f t="shared" si="5"/>
        <v>0.38160323267486906</v>
      </c>
      <c r="AK59" s="1113">
        <f t="shared" si="6"/>
        <v>9.6811952716971572E-2</v>
      </c>
      <c r="AL59" s="1113">
        <f t="shared" si="7"/>
        <v>0.25369793656715856</v>
      </c>
      <c r="AM59" s="92"/>
      <c r="AN59" s="92"/>
      <c r="AO59" s="92"/>
    </row>
    <row r="60" spans="1:47">
      <c r="A60" s="1090" t="s">
        <v>32</v>
      </c>
      <c r="B60" s="73" t="s">
        <v>50</v>
      </c>
      <c r="C60" s="103">
        <f t="shared" si="8"/>
        <v>0</v>
      </c>
      <c r="D60" s="1067">
        <f t="shared" si="8"/>
        <v>0</v>
      </c>
      <c r="E60" s="1068">
        <f t="shared" si="8"/>
        <v>0</v>
      </c>
      <c r="F60" s="1066">
        <f t="shared" si="8"/>
        <v>0.37025195227815472</v>
      </c>
      <c r="G60" s="1067">
        <f t="shared" si="8"/>
        <v>-0.46222821771061889</v>
      </c>
      <c r="H60" s="1068">
        <f t="shared" si="8"/>
        <v>0.26403640782716253</v>
      </c>
      <c r="I60" s="1168">
        <f t="shared" si="8"/>
        <v>0.48927059752514818</v>
      </c>
      <c r="J60" s="1067">
        <f t="shared" si="8"/>
        <v>-0.38189416595312975</v>
      </c>
      <c r="K60" s="1068">
        <f t="shared" si="8"/>
        <v>0.37414035756341019</v>
      </c>
      <c r="L60" s="1060">
        <f t="shared" si="8"/>
        <v>0.11901864524699346</v>
      </c>
      <c r="M60" s="116">
        <f t="shared" si="8"/>
        <v>0.32145312000294263</v>
      </c>
      <c r="N60" s="1069" t="e">
        <f t="shared" si="8"/>
        <v>#REF!</v>
      </c>
      <c r="O60" s="1070" t="str">
        <f>VLOOKUP($B60,$B$14:$R$35,O$36,FALSE)</f>
        <v>= =</v>
      </c>
      <c r="P60" s="1172">
        <f t="shared" si="3"/>
        <v>2.2664974928712622</v>
      </c>
      <c r="Q60" s="1071">
        <f t="shared" si="3"/>
        <v>-0.12537902502142731</v>
      </c>
      <c r="R60" s="1065">
        <f t="shared" si="3"/>
        <v>2.136201464388483</v>
      </c>
      <c r="S60" s="1159"/>
      <c r="T60" s="2865"/>
      <c r="U60" s="2865"/>
      <c r="V60" s="2865"/>
      <c r="W60" s="2865"/>
      <c r="X60" s="2865"/>
      <c r="Y60" s="2865"/>
      <c r="Z60" s="2865"/>
      <c r="AA60" s="2865"/>
      <c r="AB60" s="2865"/>
      <c r="AC60" s="2865"/>
      <c r="AD60" s="2865"/>
      <c r="AE60" s="2865"/>
      <c r="AF60" s="2868"/>
      <c r="AH60" s="92"/>
      <c r="AI60" s="2385" t="str">
        <f t="shared" si="4"/>
        <v>BT</v>
      </c>
      <c r="AJ60" s="1113">
        <f t="shared" si="5"/>
        <v>0.37025195227815472</v>
      </c>
      <c r="AK60" s="1113">
        <f t="shared" si="6"/>
        <v>0.11901864524699346</v>
      </c>
      <c r="AL60" s="1113">
        <f t="shared" si="7"/>
        <v>0.32145312000294263</v>
      </c>
      <c r="AM60" s="92"/>
      <c r="AN60" s="92"/>
      <c r="AO60" s="92"/>
    </row>
    <row r="61" spans="1:47">
      <c r="A61" s="1090" t="s">
        <v>503</v>
      </c>
      <c r="B61" s="73" t="s">
        <v>280</v>
      </c>
      <c r="C61" s="103">
        <f t="shared" si="8"/>
        <v>0.67083419702973635</v>
      </c>
      <c r="D61" s="1067">
        <f t="shared" si="8"/>
        <v>-0.11335389957676706</v>
      </c>
      <c r="E61" s="1068">
        <f t="shared" si="8"/>
        <v>0.63639387890884902</v>
      </c>
      <c r="F61" s="1066">
        <f t="shared" si="8"/>
        <v>0.1536920907726812</v>
      </c>
      <c r="G61" s="1067">
        <f t="shared" si="8"/>
        <v>1.6283818604559013</v>
      </c>
      <c r="H61" s="1068">
        <f t="shared" si="8"/>
        <v>0.2022242346359609</v>
      </c>
      <c r="I61" s="1168">
        <f t="shared" si="8"/>
        <v>0.20961441125119315</v>
      </c>
      <c r="J61" s="1067">
        <f t="shared" si="8"/>
        <v>0.84200521424561081</v>
      </c>
      <c r="K61" s="1068">
        <f t="shared" si="8"/>
        <v>0.28147528322389997</v>
      </c>
      <c r="L61" s="1060">
        <f t="shared" si="8"/>
        <v>5.592232047851195E-2</v>
      </c>
      <c r="M61" s="116">
        <f t="shared" si="8"/>
        <v>0.36385945559959909</v>
      </c>
      <c r="N61" s="1069" t="str">
        <f t="shared" si="8"/>
        <v>No rating</v>
      </c>
      <c r="O61" s="1070"/>
      <c r="P61" s="1172">
        <f t="shared" si="3"/>
        <v>1.4399592566697517</v>
      </c>
      <c r="Q61" s="1071">
        <f t="shared" si="3"/>
        <v>0.8442860967329926</v>
      </c>
      <c r="R61" s="1065">
        <f t="shared" si="3"/>
        <v>1.5521418473212367</v>
      </c>
      <c r="S61" s="1158"/>
      <c r="T61" s="2865"/>
      <c r="U61" s="2865"/>
      <c r="V61" s="2865"/>
      <c r="W61" s="2865"/>
      <c r="X61" s="2865"/>
      <c r="Y61" s="2865"/>
      <c r="Z61" s="2865"/>
      <c r="AA61" s="2865"/>
      <c r="AB61" s="2865"/>
      <c r="AC61" s="2865"/>
      <c r="AD61" s="2865"/>
      <c r="AE61" s="2865"/>
      <c r="AF61" s="2868"/>
      <c r="AH61" s="92"/>
      <c r="AI61" s="2385" t="str">
        <f t="shared" si="4"/>
        <v>TEL2</v>
      </c>
      <c r="AJ61" s="1113">
        <f t="shared" si="5"/>
        <v>0.1536920907726812</v>
      </c>
      <c r="AK61" s="1113">
        <f t="shared" si="6"/>
        <v>5.592232047851195E-2</v>
      </c>
      <c r="AL61" s="1113">
        <f t="shared" si="7"/>
        <v>0.36385945559959909</v>
      </c>
      <c r="AM61" s="92"/>
      <c r="AN61" s="92"/>
      <c r="AO61" s="92"/>
    </row>
    <row r="62" spans="1:47">
      <c r="A62" s="3333" t="s">
        <v>319</v>
      </c>
      <c r="B62" s="1808" t="s">
        <v>751</v>
      </c>
      <c r="C62" s="3334">
        <f t="shared" si="8"/>
        <v>0.95644485424869818</v>
      </c>
      <c r="D62" s="3335">
        <f t="shared" si="8"/>
        <v>5.7346309608293736E-3</v>
      </c>
      <c r="E62" s="3336">
        <f t="shared" si="8"/>
        <v>0.97265268915223335</v>
      </c>
      <c r="F62" s="3337">
        <f t="shared" si="8"/>
        <v>0.16489915086810925</v>
      </c>
      <c r="G62" s="3335">
        <f t="shared" si="8"/>
        <v>2.0043608623878186</v>
      </c>
      <c r="H62" s="3336">
        <f t="shared" si="8"/>
        <v>0.32988338723452482</v>
      </c>
      <c r="I62" s="3338">
        <f t="shared" si="8"/>
        <v>0.27218937885351913</v>
      </c>
      <c r="J62" s="3335">
        <f t="shared" si="8"/>
        <v>1.2181747217666232</v>
      </c>
      <c r="K62" s="3336">
        <f t="shared" si="8"/>
        <v>0.4561905930983241</v>
      </c>
      <c r="L62" s="3335">
        <f t="shared" si="8"/>
        <v>0.10729022798540988</v>
      </c>
      <c r="M62" s="3334">
        <f t="shared" si="8"/>
        <v>0.65064148250965514</v>
      </c>
      <c r="N62" s="3339" t="str">
        <f t="shared" si="8"/>
        <v>No rating</v>
      </c>
      <c r="O62" s="3340"/>
      <c r="P62" s="3341">
        <f t="shared" si="3"/>
        <v>1.2440956586918632</v>
      </c>
      <c r="Q62" s="3342">
        <f t="shared" si="3"/>
        <v>0.5581122698382367</v>
      </c>
      <c r="R62" s="3343">
        <f t="shared" si="3"/>
        <v>1.6771658832683087</v>
      </c>
      <c r="S62" s="1160"/>
      <c r="T62" s="2865"/>
      <c r="U62" s="2865"/>
      <c r="V62" s="2865"/>
      <c r="W62" s="2865"/>
      <c r="X62" s="2865"/>
      <c r="Y62" s="2865"/>
      <c r="Z62" s="2865"/>
      <c r="AA62" s="2865"/>
      <c r="AB62" s="2865"/>
      <c r="AC62" s="2865"/>
      <c r="AD62" s="2865"/>
      <c r="AE62" s="2865"/>
      <c r="AF62" s="2868"/>
      <c r="AH62" s="92"/>
      <c r="AI62" s="2385" t="str">
        <f t="shared" si="4"/>
        <v>MOBISTAR</v>
      </c>
      <c r="AJ62" s="1113">
        <f t="shared" si="5"/>
        <v>0.16489915086810925</v>
      </c>
      <c r="AK62" s="1113">
        <f t="shared" si="6"/>
        <v>0.10729022798540988</v>
      </c>
      <c r="AL62" s="1113">
        <f t="shared" si="7"/>
        <v>0.65064148250965514</v>
      </c>
      <c r="AM62" s="92"/>
      <c r="AN62" s="92"/>
      <c r="AO62" s="92"/>
    </row>
    <row r="63" spans="1:47" s="2748" customFormat="1">
      <c r="A63" s="1121"/>
      <c r="B63" s="118"/>
      <c r="C63" s="1198"/>
      <c r="D63" s="1199"/>
      <c r="E63" s="1198"/>
      <c r="F63" s="1199"/>
      <c r="G63" s="1198"/>
      <c r="H63" s="1199"/>
      <c r="I63" s="1198"/>
      <c r="J63" s="1199"/>
      <c r="K63" s="1198"/>
      <c r="L63" s="1199"/>
      <c r="M63" s="1198"/>
      <c r="N63" s="1199"/>
      <c r="O63" s="1198"/>
      <c r="P63" s="1199"/>
      <c r="Q63" s="1198"/>
      <c r="R63" s="1200"/>
      <c r="T63" s="118"/>
      <c r="U63" s="118"/>
      <c r="V63" s="118"/>
      <c r="W63" s="118"/>
      <c r="X63" s="118"/>
      <c r="Y63" s="118"/>
      <c r="Z63" s="118"/>
      <c r="AA63" s="118"/>
      <c r="AB63" s="118"/>
      <c r="AC63" s="118"/>
      <c r="AD63" s="118"/>
      <c r="AE63" s="118"/>
      <c r="AF63" s="1926"/>
      <c r="AG63" s="2745"/>
      <c r="AH63" s="118"/>
      <c r="AI63" s="1926"/>
      <c r="AJ63" s="118"/>
      <c r="AK63" s="118"/>
      <c r="AL63" s="118"/>
      <c r="AM63" s="118"/>
      <c r="AN63" s="118"/>
      <c r="AO63" s="118"/>
      <c r="AT63" s="2745"/>
      <c r="AU63" s="2745"/>
    </row>
    <row r="64" spans="1:47" s="2748" customFormat="1">
      <c r="A64" s="1121"/>
      <c r="B64" s="118"/>
      <c r="C64" s="1198"/>
      <c r="D64" s="1199"/>
      <c r="E64" s="1198"/>
      <c r="F64" s="1199"/>
      <c r="G64" s="1198"/>
      <c r="H64" s="1199"/>
      <c r="I64" s="1198"/>
      <c r="J64" s="1199"/>
      <c r="K64" s="1198"/>
      <c r="L64" s="1199"/>
      <c r="M64" s="1198"/>
      <c r="N64" s="1199"/>
      <c r="O64" s="1198"/>
      <c r="P64" s="1199"/>
      <c r="Q64" s="1198"/>
      <c r="R64" s="1200"/>
      <c r="T64" s="118"/>
      <c r="U64" s="118"/>
      <c r="V64" s="118"/>
      <c r="W64" s="118"/>
      <c r="X64" s="118"/>
      <c r="Y64" s="118"/>
      <c r="Z64" s="118"/>
      <c r="AA64" s="118"/>
      <c r="AB64" s="118"/>
      <c r="AC64" s="118"/>
      <c r="AD64" s="118"/>
      <c r="AE64" s="118"/>
      <c r="AF64" s="1926"/>
      <c r="AG64" s="2745"/>
      <c r="AH64" s="118"/>
      <c r="AI64" s="1926"/>
      <c r="AJ64" s="118"/>
      <c r="AK64" s="1113" t="s">
        <v>1061</v>
      </c>
      <c r="AL64" s="1113">
        <f>MEDIAN(AL41:AL62)</f>
        <v>0.10749583518266115</v>
      </c>
      <c r="AM64" s="118"/>
      <c r="AN64" s="118"/>
      <c r="AO64" s="118"/>
      <c r="AT64" s="2745"/>
      <c r="AU64" s="2745"/>
    </row>
    <row r="65" spans="1:47" s="2748" customFormat="1">
      <c r="A65" s="1121"/>
      <c r="B65" s="118"/>
      <c r="C65" s="1198"/>
      <c r="D65" s="1199"/>
      <c r="E65" s="1198"/>
      <c r="F65" s="1199"/>
      <c r="G65" s="1198"/>
      <c r="H65" s="1199"/>
      <c r="I65" s="1198"/>
      <c r="J65" s="1199"/>
      <c r="K65" s="1198"/>
      <c r="L65" s="1199"/>
      <c r="M65" s="1198"/>
      <c r="N65" s="1199"/>
      <c r="O65" s="1198"/>
      <c r="P65" s="1199"/>
      <c r="Q65" s="1198"/>
      <c r="R65" s="1200"/>
      <c r="T65" s="118"/>
      <c r="U65" s="118"/>
      <c r="V65" s="118"/>
      <c r="W65" s="118"/>
      <c r="X65" s="118"/>
      <c r="Y65" s="118"/>
      <c r="Z65" s="118"/>
      <c r="AA65" s="118"/>
      <c r="AB65" s="118"/>
      <c r="AC65" s="118"/>
      <c r="AD65" s="118"/>
      <c r="AE65" s="118"/>
      <c r="AF65" s="1926"/>
      <c r="AG65" s="2745"/>
      <c r="AH65" s="118"/>
      <c r="AI65" s="118"/>
      <c r="AJ65" s="118"/>
      <c r="AK65" s="118"/>
      <c r="AL65" s="118"/>
      <c r="AM65" s="118"/>
      <c r="AN65" s="118"/>
      <c r="AO65" s="118"/>
      <c r="AT65" s="2745"/>
      <c r="AU65" s="2745"/>
    </row>
    <row r="66" spans="1:47" s="2748" customFormat="1">
      <c r="A66" s="1121"/>
      <c r="B66" s="118"/>
      <c r="C66" s="1198"/>
      <c r="D66" s="1199"/>
      <c r="E66" s="1198"/>
      <c r="F66" s="1199"/>
      <c r="G66" s="1198"/>
      <c r="H66" s="1199"/>
      <c r="I66" s="1198"/>
      <c r="J66" s="1199"/>
      <c r="K66" s="1198"/>
      <c r="L66" s="1199"/>
      <c r="M66" s="1198"/>
      <c r="N66" s="1199"/>
      <c r="O66" s="1198"/>
      <c r="P66" s="1199"/>
      <c r="Q66" s="1198"/>
      <c r="R66" s="1200"/>
      <c r="T66" s="118"/>
      <c r="U66" s="118"/>
      <c r="V66" s="118"/>
      <c r="W66" s="118"/>
      <c r="X66" s="118"/>
      <c r="Y66" s="118"/>
      <c r="Z66" s="118"/>
      <c r="AA66" s="118"/>
      <c r="AB66" s="118"/>
      <c r="AC66" s="118"/>
      <c r="AD66" s="118"/>
      <c r="AE66" s="118"/>
      <c r="AF66" s="1926"/>
      <c r="AG66" s="2745"/>
      <c r="AH66" s="118"/>
      <c r="AI66" s="118"/>
      <c r="AJ66" s="118"/>
      <c r="AK66" s="118"/>
      <c r="AL66" s="118"/>
      <c r="AM66" s="118"/>
      <c r="AN66" s="118"/>
      <c r="AO66" s="118"/>
      <c r="AT66" s="2745"/>
      <c r="AU66" s="2745"/>
    </row>
    <row r="67" spans="1:47" s="2748" customFormat="1">
      <c r="A67" s="1121"/>
      <c r="B67" s="118"/>
      <c r="C67" s="1198"/>
      <c r="D67" s="1199"/>
      <c r="E67" s="1198"/>
      <c r="F67" s="1199"/>
      <c r="G67" s="1198"/>
      <c r="H67" s="1199"/>
      <c r="I67" s="1198"/>
      <c r="J67" s="1199"/>
      <c r="K67" s="1198"/>
      <c r="L67" s="1199"/>
      <c r="M67" s="1198"/>
      <c r="N67" s="1199"/>
      <c r="O67" s="1198"/>
      <c r="P67" s="1199"/>
      <c r="Q67" s="1198"/>
      <c r="R67" s="1200"/>
      <c r="T67" s="118"/>
      <c r="U67" s="118"/>
      <c r="V67" s="118"/>
      <c r="W67" s="118"/>
      <c r="X67" s="118"/>
      <c r="Y67" s="118"/>
      <c r="Z67" s="118"/>
      <c r="AA67" s="118"/>
      <c r="AB67" s="118"/>
      <c r="AC67" s="118"/>
      <c r="AD67" s="118"/>
      <c r="AE67" s="118"/>
      <c r="AF67" s="1926"/>
      <c r="AG67" s="2745"/>
      <c r="AH67" s="118"/>
      <c r="AI67" s="118"/>
      <c r="AJ67" s="118"/>
      <c r="AK67" s="118"/>
      <c r="AL67" s="118"/>
      <c r="AM67" s="118"/>
      <c r="AN67" s="118"/>
      <c r="AO67" s="118"/>
      <c r="AT67" s="2745"/>
      <c r="AU67" s="2745"/>
    </row>
    <row r="68" spans="1:47" s="2748" customFormat="1">
      <c r="A68" s="1121"/>
      <c r="B68" s="118"/>
      <c r="C68" s="1198"/>
      <c r="D68" s="1199"/>
      <c r="E68" s="1198"/>
      <c r="F68" s="1199"/>
      <c r="G68" s="1198"/>
      <c r="H68" s="1199"/>
      <c r="I68" s="1198"/>
      <c r="J68" s="1199"/>
      <c r="K68" s="1198"/>
      <c r="L68" s="1199"/>
      <c r="M68" s="1198"/>
      <c r="N68" s="1199"/>
      <c r="O68" s="1198"/>
      <c r="P68" s="1199"/>
      <c r="Q68" s="1198"/>
      <c r="R68" s="1200"/>
      <c r="T68" s="118"/>
      <c r="U68" s="118"/>
      <c r="V68" s="118"/>
      <c r="W68" s="118"/>
      <c r="X68" s="118"/>
      <c r="Y68" s="118"/>
      <c r="Z68" s="118"/>
      <c r="AA68" s="118"/>
      <c r="AB68" s="118"/>
      <c r="AC68" s="118"/>
      <c r="AD68" s="118"/>
      <c r="AE68" s="118"/>
      <c r="AF68" s="1926"/>
      <c r="AG68" s="2745"/>
      <c r="AH68" s="118"/>
      <c r="AI68" s="118"/>
      <c r="AJ68" s="118"/>
      <c r="AK68" s="118"/>
      <c r="AL68" s="118"/>
      <c r="AM68" s="118"/>
      <c r="AN68" s="118"/>
      <c r="AO68" s="118"/>
      <c r="AT68" s="2745"/>
      <c r="AU68" s="2745"/>
    </row>
    <row r="69" spans="1:47" ht="3.75" customHeight="1">
      <c r="T69" s="2399"/>
      <c r="U69" s="2399"/>
      <c r="V69" s="2399"/>
      <c r="W69" s="2399"/>
      <c r="X69" s="2399"/>
      <c r="Y69" s="2399"/>
      <c r="Z69" s="2399"/>
      <c r="AA69" s="2399"/>
      <c r="AB69" s="2399"/>
      <c r="AC69" s="2399"/>
      <c r="AD69" s="2399"/>
      <c r="AE69" s="2399"/>
    </row>
    <row r="70" spans="1:47" s="2748" customFormat="1">
      <c r="A70" s="3291"/>
      <c r="B70" s="118"/>
      <c r="C70" s="2780"/>
      <c r="D70" s="2781"/>
      <c r="E70" s="2780"/>
      <c r="F70" s="2781"/>
      <c r="G70" s="2780"/>
      <c r="H70" s="2781"/>
      <c r="I70" s="2780"/>
      <c r="J70" s="2781"/>
      <c r="K70" s="2780"/>
      <c r="L70" s="2781"/>
      <c r="M70" s="2780"/>
      <c r="N70" s="2781"/>
      <c r="O70" s="2780"/>
      <c r="P70" s="2781"/>
      <c r="Q70" s="2780"/>
      <c r="R70" s="2781"/>
      <c r="T70" s="1926"/>
      <c r="U70" s="1926"/>
      <c r="V70" s="1926"/>
      <c r="W70" s="1926"/>
      <c r="X70" s="1926"/>
      <c r="Y70" s="1926"/>
      <c r="Z70" s="1926"/>
      <c r="AA70" s="1926"/>
      <c r="AB70" s="1926"/>
      <c r="AC70" s="1926"/>
      <c r="AD70" s="1926"/>
      <c r="AE70" s="1926"/>
      <c r="AF70" s="1926"/>
      <c r="AG70" s="2745"/>
      <c r="AH70" s="1926"/>
      <c r="AI70" s="1926"/>
      <c r="AJ70" s="1926"/>
      <c r="AK70" s="1926"/>
      <c r="AL70" s="1926"/>
      <c r="AM70" s="1926"/>
      <c r="AN70" s="1926"/>
      <c r="AO70" s="1926"/>
      <c r="AP70" s="2745"/>
      <c r="AT70" s="2745"/>
      <c r="AU70" s="2745"/>
    </row>
    <row r="71" spans="1:47" s="2748" customFormat="1">
      <c r="A71" s="3439" t="s">
        <v>2341</v>
      </c>
      <c r="B71" s="1707" t="s">
        <v>1681</v>
      </c>
      <c r="C71" s="2398"/>
      <c r="D71" s="2398"/>
      <c r="E71" s="2398"/>
      <c r="F71" s="2398"/>
      <c r="G71" s="2398"/>
      <c r="H71" s="2398"/>
      <c r="I71" s="2398"/>
      <c r="J71" s="2398"/>
      <c r="K71" s="2398"/>
      <c r="L71" s="2398"/>
      <c r="M71" s="2398"/>
      <c r="N71" s="2398"/>
      <c r="O71" s="2398"/>
      <c r="P71" s="2398"/>
      <c r="Q71" s="2398"/>
      <c r="R71" s="2398"/>
      <c r="S71" s="2398"/>
      <c r="T71" s="2865"/>
      <c r="U71" s="2868"/>
      <c r="V71" s="2868"/>
      <c r="W71" s="2868"/>
      <c r="X71" s="2868"/>
      <c r="Y71" s="2868"/>
      <c r="Z71" s="2868"/>
      <c r="AA71" s="2868"/>
      <c r="AB71" s="2868"/>
      <c r="AC71" s="2868"/>
      <c r="AD71" s="2868"/>
      <c r="AE71" s="2868"/>
      <c r="AF71" s="1371"/>
      <c r="AG71" s="2399"/>
      <c r="AH71" s="108"/>
      <c r="AI71" s="92"/>
      <c r="AJ71" s="92"/>
      <c r="AK71" s="92"/>
      <c r="AL71" s="92"/>
      <c r="AM71" s="92"/>
      <c r="AN71" s="92"/>
      <c r="AO71" s="118"/>
      <c r="AT71" s="2745"/>
      <c r="AU71" s="2745"/>
    </row>
    <row r="72" spans="1:47" s="2748" customFormat="1">
      <c r="A72" s="1091" t="s">
        <v>319</v>
      </c>
      <c r="B72" s="1756" t="s">
        <v>752</v>
      </c>
      <c r="C72" s="2398"/>
      <c r="D72" s="2398"/>
      <c r="E72" s="2398"/>
      <c r="F72" s="2398"/>
      <c r="G72" s="2398"/>
      <c r="H72" s="2398"/>
      <c r="I72" s="2398"/>
      <c r="J72" s="2398"/>
      <c r="K72" s="2398"/>
      <c r="L72" s="2399"/>
      <c r="M72" s="2398"/>
      <c r="N72" s="2398"/>
      <c r="O72" s="2398"/>
      <c r="P72" s="2497"/>
      <c r="Q72" s="2398"/>
      <c r="R72" s="2398"/>
      <c r="S72" s="1161"/>
      <c r="T72" s="2865"/>
      <c r="U72" s="2868"/>
      <c r="V72" s="2868"/>
      <c r="W72" s="2868"/>
      <c r="X72" s="3379" t="s">
        <v>2343</v>
      </c>
      <c r="Y72" s="2868"/>
      <c r="Z72" s="2868"/>
      <c r="AA72" s="2868"/>
      <c r="AB72" s="2868"/>
      <c r="AC72" s="2868"/>
      <c r="AD72" s="2868"/>
      <c r="AE72" s="2868"/>
      <c r="AF72" s="1371"/>
      <c r="AG72" s="2399"/>
      <c r="AH72" s="118"/>
      <c r="AI72" s="108"/>
      <c r="AJ72" s="92"/>
      <c r="AK72" s="3290" t="s">
        <v>2335</v>
      </c>
      <c r="AL72" s="92"/>
      <c r="AM72" s="1556"/>
      <c r="AN72" s="92"/>
      <c r="AO72" s="118"/>
      <c r="AT72" s="2745"/>
      <c r="AU72" s="2745"/>
    </row>
    <row r="73" spans="1:47" s="2748" customFormat="1">
      <c r="A73" s="1090" t="s">
        <v>499</v>
      </c>
      <c r="B73" s="108" t="s">
        <v>284</v>
      </c>
      <c r="C73" s="2398"/>
      <c r="D73" s="2398"/>
      <c r="E73" s="2398"/>
      <c r="F73" s="2398"/>
      <c r="G73" s="2398"/>
      <c r="H73" s="2398"/>
      <c r="I73" s="2398"/>
      <c r="L73" s="2399"/>
      <c r="N73" s="2398"/>
      <c r="O73" s="2398"/>
      <c r="P73" s="2497"/>
      <c r="Q73" s="2398"/>
      <c r="R73" s="2398"/>
      <c r="S73" s="1157"/>
      <c r="T73" s="2865"/>
      <c r="U73" s="2868"/>
      <c r="V73" s="2868"/>
      <c r="W73" s="2868"/>
      <c r="X73" s="2868"/>
      <c r="Y73" s="2868"/>
      <c r="Z73" s="2868"/>
      <c r="AA73" s="2868"/>
      <c r="AB73" s="2868"/>
      <c r="AC73" s="2868"/>
      <c r="AD73" s="2868"/>
      <c r="AE73" s="2868"/>
      <c r="AF73" s="1371"/>
      <c r="AG73" s="2399"/>
      <c r="AH73" s="118"/>
      <c r="AI73" s="2385"/>
      <c r="AJ73" s="2837" t="s">
        <v>2333</v>
      </c>
      <c r="AK73" s="2837" t="s">
        <v>2334</v>
      </c>
      <c r="AL73" s="2837" t="s">
        <v>2336</v>
      </c>
      <c r="AM73" s="1555"/>
      <c r="AN73" s="92"/>
      <c r="AO73" s="118"/>
      <c r="AT73" s="2745"/>
      <c r="AU73" s="2745"/>
    </row>
    <row r="74" spans="1:47" s="2748" customFormat="1">
      <c r="A74" s="1090" t="s">
        <v>27</v>
      </c>
      <c r="B74" s="108" t="s">
        <v>54</v>
      </c>
      <c r="C74" s="2398"/>
      <c r="D74" s="2398"/>
      <c r="E74" s="2398"/>
      <c r="F74" s="2398"/>
      <c r="G74" s="2398"/>
      <c r="H74" s="2398"/>
      <c r="I74" s="2398"/>
      <c r="L74" s="2399"/>
      <c r="N74" s="2398"/>
      <c r="O74" s="2398"/>
      <c r="P74" s="2497"/>
      <c r="Q74" s="2398"/>
      <c r="S74" s="1163"/>
      <c r="T74" s="3376" t="s">
        <v>1773</v>
      </c>
      <c r="U74" s="2868"/>
      <c r="V74" s="2868"/>
      <c r="W74" s="2868"/>
      <c r="X74" s="2868"/>
      <c r="Y74" s="2868"/>
      <c r="Z74" s="2868"/>
      <c r="AA74" s="2868"/>
      <c r="AB74" s="2868"/>
      <c r="AC74" s="2868"/>
      <c r="AD74" s="2868"/>
      <c r="AE74" s="2868"/>
      <c r="AF74" s="1371"/>
      <c r="AG74" s="2399"/>
      <c r="AH74" s="118"/>
      <c r="AI74" s="2385" t="s">
        <v>752</v>
      </c>
      <c r="AJ74" s="2838">
        <f>CALCULATIONS!$KS$9</f>
        <v>3.6874279096722566</v>
      </c>
      <c r="AK74" s="2869">
        <f>CALCULATIONS!$LR$9</f>
        <v>1.4047783343204667E-2</v>
      </c>
      <c r="AL74" s="1113">
        <f t="shared" ref="AL74:AL96" si="9">AK74/AJ74</f>
        <v>3.8096428424693601E-3</v>
      </c>
      <c r="AM74" s="92"/>
      <c r="AN74" s="92"/>
      <c r="AO74" s="118"/>
      <c r="AT74" s="2745"/>
      <c r="AU74" s="2745"/>
    </row>
    <row r="75" spans="1:47" s="2748" customFormat="1">
      <c r="A75" s="1090" t="s">
        <v>385</v>
      </c>
      <c r="B75" s="108" t="s">
        <v>276</v>
      </c>
      <c r="C75" s="2398"/>
      <c r="D75" s="2398"/>
      <c r="E75" s="2398"/>
      <c r="F75" s="2398"/>
      <c r="G75" s="2398"/>
      <c r="H75" s="2398"/>
      <c r="I75" s="2398"/>
      <c r="L75" s="2399"/>
      <c r="N75" s="2398"/>
      <c r="O75" s="2398"/>
      <c r="P75" s="2497"/>
      <c r="Q75" s="2398"/>
      <c r="R75" s="2398"/>
      <c r="S75" s="1157"/>
      <c r="T75" s="2865"/>
      <c r="U75" s="2868"/>
      <c r="V75" s="2868"/>
      <c r="W75" s="2868"/>
      <c r="X75" s="2868"/>
      <c r="Y75" s="2868"/>
      <c r="Z75" s="2868"/>
      <c r="AA75" s="2868"/>
      <c r="AB75" s="2868"/>
      <c r="AC75" s="2868"/>
      <c r="AD75" s="2868"/>
      <c r="AE75" s="2868"/>
      <c r="AF75" s="1371"/>
      <c r="AG75" s="2399"/>
      <c r="AH75" s="118"/>
      <c r="AI75" s="2385" t="s">
        <v>284</v>
      </c>
      <c r="AJ75" s="2838">
        <f>CALCULATIONS!$KS$16</f>
        <v>2.8820645123777022</v>
      </c>
      <c r="AK75" s="2869">
        <f>CALCULATIONS!$LR$16</f>
        <v>3.3185802550901311E-2</v>
      </c>
      <c r="AL75" s="1113">
        <f t="shared" si="9"/>
        <v>1.1514593933750301E-2</v>
      </c>
      <c r="AM75" s="2385"/>
      <c r="AN75" s="92"/>
      <c r="AO75" s="118"/>
      <c r="AT75" s="2745"/>
      <c r="AU75" s="2745"/>
    </row>
    <row r="76" spans="1:47" s="2748" customFormat="1">
      <c r="A76" s="1090" t="s">
        <v>504</v>
      </c>
      <c r="B76" s="108" t="s">
        <v>288</v>
      </c>
      <c r="C76" s="2398"/>
      <c r="D76" s="2398"/>
      <c r="E76" s="2398"/>
      <c r="F76" s="2398"/>
      <c r="G76" s="2398"/>
      <c r="H76" s="2398"/>
      <c r="I76" s="2398"/>
      <c r="L76" s="2399"/>
      <c r="N76" s="2398"/>
      <c r="O76" s="2398"/>
      <c r="P76" s="2497"/>
      <c r="Q76" s="2398"/>
      <c r="S76" s="1158"/>
      <c r="T76" s="2865"/>
      <c r="U76" s="2868"/>
      <c r="V76" s="2868"/>
      <c r="W76" s="2868"/>
      <c r="X76" s="2868"/>
      <c r="Y76" s="2868"/>
      <c r="Z76" s="2868"/>
      <c r="AA76" s="2868"/>
      <c r="AB76" s="2868"/>
      <c r="AC76" s="2868"/>
      <c r="AD76" s="2868"/>
      <c r="AE76" s="2868"/>
      <c r="AF76" s="1371"/>
      <c r="AG76" s="2399"/>
      <c r="AH76" s="118"/>
      <c r="AI76" s="2385" t="s">
        <v>54</v>
      </c>
      <c r="AJ76" s="2838">
        <f>CALCULATIONS!$KS$20</f>
        <v>3.3820630739244848</v>
      </c>
      <c r="AK76" s="2869">
        <f>CALCULATIONS!$LR$20</f>
        <v>4.5826108839265522E-2</v>
      </c>
      <c r="AL76" s="1113">
        <f t="shared" si="9"/>
        <v>1.3549749912289405E-2</v>
      </c>
      <c r="AM76" s="2385"/>
      <c r="AN76" s="92"/>
      <c r="AO76" s="118"/>
      <c r="AT76" s="2745"/>
      <c r="AU76" s="2745"/>
    </row>
    <row r="77" spans="1:47" s="2748" customFormat="1">
      <c r="A77" s="1090"/>
      <c r="B77" s="108" t="s">
        <v>1990</v>
      </c>
      <c r="C77" s="2398"/>
      <c r="D77" s="2398"/>
      <c r="E77" s="2398"/>
      <c r="F77" s="2398"/>
      <c r="G77" s="2398"/>
      <c r="H77" s="2398"/>
      <c r="I77" s="2398"/>
      <c r="L77" s="2399"/>
      <c r="N77" s="2398"/>
      <c r="O77" s="2398"/>
      <c r="R77" s="2398"/>
      <c r="T77" s="2865"/>
      <c r="U77" s="2868"/>
      <c r="V77" s="2868"/>
      <c r="W77" s="2868"/>
      <c r="X77" s="2868"/>
      <c r="Y77" s="2868"/>
      <c r="Z77" s="2868"/>
      <c r="AA77" s="2868"/>
      <c r="AB77" s="2868"/>
      <c r="AC77" s="2868"/>
      <c r="AD77" s="2868"/>
      <c r="AE77" s="2868"/>
      <c r="AF77" s="1371"/>
      <c r="AG77" s="2399"/>
      <c r="AH77" s="118"/>
      <c r="AI77" s="2385" t="s">
        <v>276</v>
      </c>
      <c r="AJ77" s="2838">
        <f>CALCULATIONS!$KS$6</f>
        <v>2.1523540323300847</v>
      </c>
      <c r="AK77" s="2869">
        <f>CALCULATIONS!$LR$6</f>
        <v>3.7874076910633381E-2</v>
      </c>
      <c r="AL77" s="1113">
        <f t="shared" si="9"/>
        <v>1.7596583248728766E-2</v>
      </c>
      <c r="AM77" s="2385"/>
      <c r="AN77" s="92"/>
      <c r="AO77" s="118"/>
      <c r="AT77" s="2745"/>
      <c r="AU77" s="2745"/>
    </row>
    <row r="78" spans="1:47" s="2748" customFormat="1">
      <c r="A78" s="1090" t="s">
        <v>374</v>
      </c>
      <c r="B78" s="108" t="s">
        <v>42</v>
      </c>
      <c r="C78" s="2398"/>
      <c r="D78" s="2398"/>
      <c r="E78" s="2398"/>
      <c r="F78" s="2398"/>
      <c r="G78" s="2398"/>
      <c r="H78" s="2398"/>
      <c r="I78" s="2398"/>
      <c r="L78" s="2399"/>
      <c r="N78" s="2398"/>
      <c r="O78" s="2398"/>
      <c r="P78" s="2497"/>
      <c r="Q78" s="2398"/>
      <c r="S78" s="1157"/>
      <c r="T78" s="2865"/>
      <c r="U78" s="2868"/>
      <c r="V78" s="2868"/>
      <c r="W78" s="2868"/>
      <c r="X78" s="2868"/>
      <c r="Y78" s="2868"/>
      <c r="Z78" s="2868"/>
      <c r="AA78" s="2868"/>
      <c r="AB78" s="2868"/>
      <c r="AC78" s="2868"/>
      <c r="AD78" s="2868"/>
      <c r="AE78" s="2868"/>
      <c r="AF78" s="1371"/>
      <c r="AG78" s="2399"/>
      <c r="AH78" s="118"/>
      <c r="AI78" s="2385" t="s">
        <v>288</v>
      </c>
      <c r="AJ78" s="2838">
        <f>CALCULATIONS!$KS$25</f>
        <v>2.0663267639403311</v>
      </c>
      <c r="AK78" s="2869">
        <f>CALCULATIONS!$LR$25</f>
        <v>9.1590999023343667E-2</v>
      </c>
      <c r="AL78" s="1113">
        <f t="shared" si="9"/>
        <v>4.4325515509795972E-2</v>
      </c>
      <c r="AM78" s="2385"/>
      <c r="AN78" s="92"/>
      <c r="AO78" s="118"/>
      <c r="AT78" s="2745"/>
      <c r="AU78" s="2745"/>
    </row>
    <row r="79" spans="1:47" s="2748" customFormat="1">
      <c r="A79" s="1090" t="s">
        <v>503</v>
      </c>
      <c r="B79" s="108" t="s">
        <v>282</v>
      </c>
      <c r="C79" s="2398"/>
      <c r="D79" s="2398"/>
      <c r="E79" s="2398"/>
      <c r="F79" s="2398"/>
      <c r="G79" s="2398"/>
      <c r="H79" s="2398"/>
      <c r="I79" s="2398"/>
      <c r="L79" s="2399"/>
      <c r="N79" s="2398"/>
      <c r="O79" s="2398"/>
      <c r="P79" s="2497"/>
      <c r="Q79" s="2398"/>
      <c r="S79" s="1158"/>
      <c r="T79" s="2865"/>
      <c r="U79" s="2868"/>
      <c r="V79" s="2868"/>
      <c r="W79" s="2868"/>
      <c r="X79" s="2868"/>
      <c r="Y79" s="2868"/>
      <c r="Z79" s="2868"/>
      <c r="AA79" s="2868"/>
      <c r="AB79" s="2868"/>
      <c r="AC79" s="2868"/>
      <c r="AD79" s="2868"/>
      <c r="AE79" s="2868"/>
      <c r="AF79" s="1371"/>
      <c r="AG79" s="2399"/>
      <c r="AH79" s="118"/>
      <c r="AI79" s="2385" t="s">
        <v>1990</v>
      </c>
      <c r="AJ79" s="2838">
        <f>CALCULATIONS!$LP$29</f>
        <v>2.2241040408323816</v>
      </c>
      <c r="AK79" s="2869">
        <f>CALCULATIONS!$LR$29</f>
        <v>0.14081019023108254</v>
      </c>
      <c r="AL79" s="1113">
        <f t="shared" si="9"/>
        <v>6.3310972708985169E-2</v>
      </c>
      <c r="AM79" s="2385"/>
      <c r="AN79" s="92"/>
      <c r="AO79" s="118"/>
      <c r="AT79" s="2745"/>
      <c r="AU79" s="2745"/>
    </row>
    <row r="80" spans="1:47" s="2748" customFormat="1">
      <c r="A80" s="1090" t="s">
        <v>217</v>
      </c>
      <c r="B80" s="108" t="s">
        <v>53</v>
      </c>
      <c r="C80" s="2398"/>
      <c r="D80" s="2398"/>
      <c r="E80" s="2398"/>
      <c r="F80" s="2398"/>
      <c r="G80" s="2398"/>
      <c r="H80" s="2398"/>
      <c r="I80" s="2398"/>
      <c r="L80" s="2399"/>
      <c r="N80" s="2398"/>
      <c r="O80" s="2398"/>
      <c r="P80" s="2497"/>
      <c r="Q80" s="2398"/>
      <c r="R80" s="2398"/>
      <c r="S80" s="1163"/>
      <c r="T80" s="2865"/>
      <c r="U80" s="2868"/>
      <c r="V80" s="2868"/>
      <c r="W80" s="2868"/>
      <c r="X80" s="2868"/>
      <c r="Y80" s="2868"/>
      <c r="Z80" s="2868"/>
      <c r="AA80" s="2868"/>
      <c r="AB80" s="2868"/>
      <c r="AC80" s="2868"/>
      <c r="AD80" s="2868"/>
      <c r="AE80" s="2868"/>
      <c r="AF80" s="1371"/>
      <c r="AG80" s="2399"/>
      <c r="AH80" s="118"/>
      <c r="AI80" s="2385" t="s">
        <v>42</v>
      </c>
      <c r="AJ80" s="2838">
        <f>CALCULATIONS!$KS$15</f>
        <v>2.0430730679441607</v>
      </c>
      <c r="AK80" s="2869">
        <f>CALCULATIONS!$LR$15</f>
        <v>0.1295559753886133</v>
      </c>
      <c r="AL80" s="1113">
        <f t="shared" si="9"/>
        <v>6.341230640320604E-2</v>
      </c>
      <c r="AM80" s="2385"/>
      <c r="AN80" s="92"/>
      <c r="AO80" s="118"/>
      <c r="AT80" s="2745"/>
      <c r="AU80" s="2745"/>
    </row>
    <row r="81" spans="1:47" s="2748" customFormat="1">
      <c r="A81" s="1090" t="s">
        <v>73</v>
      </c>
      <c r="B81" s="108" t="s">
        <v>283</v>
      </c>
      <c r="C81" s="2398"/>
      <c r="D81" s="2398"/>
      <c r="E81" s="2398"/>
      <c r="F81" s="2398"/>
      <c r="G81" s="2398"/>
      <c r="H81" s="2398"/>
      <c r="I81" s="2398"/>
      <c r="L81" s="2399"/>
      <c r="N81" s="2398"/>
      <c r="O81" s="2398"/>
      <c r="P81" s="2497"/>
      <c r="Q81" s="2398"/>
      <c r="R81" s="2398"/>
      <c r="S81" s="1158"/>
      <c r="T81" s="2865"/>
      <c r="U81" s="2868"/>
      <c r="V81" s="2868"/>
      <c r="W81" s="2868"/>
      <c r="X81" s="2868"/>
      <c r="Y81" s="2868"/>
      <c r="Z81" s="2868"/>
      <c r="AA81" s="2868"/>
      <c r="AB81" s="2868"/>
      <c r="AC81" s="2868"/>
      <c r="AD81" s="2868"/>
      <c r="AE81" s="2868"/>
      <c r="AF81" s="1371"/>
      <c r="AG81" s="2399"/>
      <c r="AH81" s="118"/>
      <c r="AI81" s="2385" t="s">
        <v>282</v>
      </c>
      <c r="AJ81" s="2838">
        <f>CALCULATIONS!$KS$23</f>
        <v>1.717850736111429</v>
      </c>
      <c r="AK81" s="2869">
        <f>CALCULATIONS!$LR$23</f>
        <v>0.12802330286375496</v>
      </c>
      <c r="AL81" s="1113">
        <f t="shared" si="9"/>
        <v>7.45252775299627E-2</v>
      </c>
      <c r="AM81" s="2385"/>
      <c r="AN81" s="92"/>
      <c r="AO81" s="118"/>
      <c r="AT81" s="2745"/>
      <c r="AU81" s="2745"/>
    </row>
    <row r="82" spans="1:47" s="2748" customFormat="1">
      <c r="A82" s="1090" t="s">
        <v>501</v>
      </c>
      <c r="B82" s="108" t="s">
        <v>44</v>
      </c>
      <c r="C82" s="2398"/>
      <c r="D82" s="2398"/>
      <c r="E82" s="2398"/>
      <c r="F82" s="2398"/>
      <c r="G82" s="2398"/>
      <c r="H82" s="2398"/>
      <c r="I82" s="2398"/>
      <c r="L82" s="2399"/>
      <c r="N82" s="2398"/>
      <c r="O82" s="2398"/>
      <c r="P82" s="2496"/>
      <c r="Q82" s="2398"/>
      <c r="R82" s="2398"/>
      <c r="S82" s="1157"/>
      <c r="T82" s="2865"/>
      <c r="U82" s="2868"/>
      <c r="V82" s="2868"/>
      <c r="W82" s="2868"/>
      <c r="X82" s="2868"/>
      <c r="Y82" s="2868"/>
      <c r="Z82" s="2868"/>
      <c r="AA82" s="2868"/>
      <c r="AB82" s="2868"/>
      <c r="AC82" s="2868"/>
      <c r="AD82" s="2868"/>
      <c r="AE82" s="2868"/>
      <c r="AF82" s="1371"/>
      <c r="AG82" s="2399"/>
      <c r="AH82" s="118"/>
      <c r="AI82" s="2385" t="s">
        <v>53</v>
      </c>
      <c r="AJ82" s="2838">
        <f>CALCULATIONS!$KS$11</f>
        <v>2.5964072455904952</v>
      </c>
      <c r="AK82" s="2869">
        <f>CALCULATIONS!$LR$11</f>
        <v>0.19657083649468232</v>
      </c>
      <c r="AL82" s="1113">
        <f t="shared" si="9"/>
        <v>7.5708784447632613E-2</v>
      </c>
      <c r="AM82" s="2385"/>
      <c r="AN82" s="92"/>
      <c r="AO82" s="118"/>
      <c r="AT82" s="2745"/>
      <c r="AU82" s="2745"/>
    </row>
    <row r="83" spans="1:47" s="2748" customFormat="1">
      <c r="A83" s="1090" t="s">
        <v>19</v>
      </c>
      <c r="B83" s="108" t="s">
        <v>286</v>
      </c>
      <c r="C83" s="2398"/>
      <c r="D83" s="2398"/>
      <c r="E83" s="2398"/>
      <c r="F83" s="2398"/>
      <c r="G83" s="2398"/>
      <c r="H83" s="2398"/>
      <c r="I83" s="2398"/>
      <c r="L83" s="2399"/>
      <c r="N83" s="2398"/>
      <c r="O83" s="2398"/>
      <c r="P83" s="2497"/>
      <c r="Q83" s="2398"/>
      <c r="R83" s="2398"/>
      <c r="S83" s="1157"/>
      <c r="T83" s="2865"/>
      <c r="U83" s="2868"/>
      <c r="V83" s="2868"/>
      <c r="W83" s="2868"/>
      <c r="X83" s="2868"/>
      <c r="Y83" s="2868"/>
      <c r="Z83" s="2868"/>
      <c r="AA83" s="2868"/>
      <c r="AB83" s="2868"/>
      <c r="AC83" s="2868"/>
      <c r="AD83" s="2868"/>
      <c r="AE83" s="2868"/>
      <c r="AF83" s="1371"/>
      <c r="AG83" s="2399"/>
      <c r="AH83" s="118"/>
      <c r="AI83" s="2385" t="s">
        <v>283</v>
      </c>
      <c r="AJ83" s="2838">
        <f>CALCULATIONS!$KS$12</f>
        <v>1.6210408787057859</v>
      </c>
      <c r="AK83" s="2869">
        <f>CALCULATIONS!$LR$12</f>
        <v>0.13005932416546728</v>
      </c>
      <c r="AL83" s="1113">
        <f t="shared" si="9"/>
        <v>8.0231982964738463E-2</v>
      </c>
      <c r="AM83" s="2385"/>
      <c r="AN83" s="92"/>
      <c r="AO83" s="118"/>
      <c r="AT83" s="2745"/>
      <c r="AU83" s="2745"/>
    </row>
    <row r="84" spans="1:47" s="2748" customFormat="1">
      <c r="A84" s="1090" t="s">
        <v>32</v>
      </c>
      <c r="B84" s="108" t="s">
        <v>277</v>
      </c>
      <c r="C84" s="2398"/>
      <c r="D84" s="2398"/>
      <c r="E84" s="2398"/>
      <c r="F84" s="2398"/>
      <c r="G84" s="2398"/>
      <c r="H84" s="2398"/>
      <c r="I84" s="2398"/>
      <c r="L84" s="2399"/>
      <c r="N84" s="2398"/>
      <c r="O84" s="2398"/>
      <c r="P84" s="2497"/>
      <c r="Q84" s="2398"/>
      <c r="R84" s="2398"/>
      <c r="S84" s="1159"/>
      <c r="T84" s="2865"/>
      <c r="U84" s="2868"/>
      <c r="V84" s="2868"/>
      <c r="W84" s="2868"/>
      <c r="X84" s="2868"/>
      <c r="Y84" s="2868"/>
      <c r="Z84" s="2868"/>
      <c r="AA84" s="2868"/>
      <c r="AB84" s="2868"/>
      <c r="AC84" s="2868"/>
      <c r="AD84" s="2868"/>
      <c r="AE84" s="2868"/>
      <c r="AF84" s="1371"/>
      <c r="AG84" s="2399"/>
      <c r="AH84" s="118"/>
      <c r="AI84" s="2385" t="s">
        <v>44</v>
      </c>
      <c r="AJ84" s="2838">
        <f>CALCULATIONS!$KS$18</f>
        <v>2.4419808802307674</v>
      </c>
      <c r="AK84" s="2869">
        <f>CALCULATIONS!$LR$18</f>
        <v>0.20160092315275158</v>
      </c>
      <c r="AL84" s="1113">
        <f t="shared" si="9"/>
        <v>8.25563069657205E-2</v>
      </c>
      <c r="AM84" s="2385"/>
      <c r="AN84" s="92"/>
      <c r="AO84" s="118"/>
      <c r="AT84" s="2745"/>
      <c r="AU84" s="2745"/>
    </row>
    <row r="85" spans="1:47" s="2748" customFormat="1">
      <c r="A85" s="1091" t="s">
        <v>319</v>
      </c>
      <c r="B85" s="1756" t="s">
        <v>750</v>
      </c>
      <c r="C85" s="2398"/>
      <c r="D85" s="2398"/>
      <c r="E85" s="2398"/>
      <c r="F85" s="2398"/>
      <c r="G85" s="2398"/>
      <c r="H85" s="2398"/>
      <c r="I85" s="2398"/>
      <c r="L85" s="2399"/>
      <c r="N85" s="2398"/>
      <c r="O85" s="2398"/>
      <c r="P85" s="2497"/>
      <c r="Q85" s="2398"/>
      <c r="S85" s="1219"/>
      <c r="T85" s="2865"/>
      <c r="U85" s="2868"/>
      <c r="V85" s="2868"/>
      <c r="W85" s="2868"/>
      <c r="X85" s="2868"/>
      <c r="Y85" s="2868"/>
      <c r="Z85" s="2868"/>
      <c r="AA85" s="2868"/>
      <c r="AB85" s="2868"/>
      <c r="AC85" s="2868"/>
      <c r="AD85" s="2868"/>
      <c r="AE85" s="2868"/>
      <c r="AF85" s="1371"/>
      <c r="AG85" s="2399"/>
      <c r="AH85" s="118"/>
      <c r="AI85" s="2385" t="s">
        <v>286</v>
      </c>
      <c r="AJ85" s="2838">
        <f>CALCULATIONS!$KS$14</f>
        <v>2.279200346845534</v>
      </c>
      <c r="AK85" s="2869">
        <f>CALCULATIONS!$LR$14</f>
        <v>0.25295581200161665</v>
      </c>
      <c r="AL85" s="1113">
        <f t="shared" si="9"/>
        <v>0.11098445661072022</v>
      </c>
      <c r="AM85" s="2385"/>
      <c r="AN85" s="92"/>
      <c r="AO85" s="118"/>
      <c r="AT85" s="2745"/>
      <c r="AU85" s="2745"/>
    </row>
    <row r="86" spans="1:47" s="2748" customFormat="1">
      <c r="A86" s="1090" t="s">
        <v>502</v>
      </c>
      <c r="B86" s="108" t="s">
        <v>287</v>
      </c>
      <c r="C86" s="2398"/>
      <c r="D86" s="2398"/>
      <c r="E86" s="2398"/>
      <c r="F86" s="2398"/>
      <c r="G86" s="2398"/>
      <c r="H86" s="2398"/>
      <c r="I86" s="2398"/>
      <c r="L86" s="2399"/>
      <c r="N86" s="2398"/>
      <c r="O86" s="2398"/>
      <c r="P86" s="2497"/>
      <c r="Q86" s="2398"/>
      <c r="R86" s="2398"/>
      <c r="S86" s="1157"/>
      <c r="T86" s="2865"/>
      <c r="U86" s="2868"/>
      <c r="V86" s="2868"/>
      <c r="W86" s="2868"/>
      <c r="X86" s="2868"/>
      <c r="Y86" s="2868"/>
      <c r="Z86" s="2868"/>
      <c r="AA86" s="2868"/>
      <c r="AB86" s="2868"/>
      <c r="AC86" s="2868"/>
      <c r="AD86" s="2868"/>
      <c r="AE86" s="2868"/>
      <c r="AF86" s="1371"/>
      <c r="AG86" s="2399"/>
      <c r="AH86" s="118"/>
      <c r="AI86" s="2385" t="s">
        <v>277</v>
      </c>
      <c r="AJ86" s="2838">
        <f>CALCULATIONS!$KS$22</f>
        <v>1.8495966078439008</v>
      </c>
      <c r="AK86" s="2869">
        <f>CALCULATIONS!$LR$22</f>
        <v>0.23843485769028816</v>
      </c>
      <c r="AL86" s="1113">
        <f t="shared" si="9"/>
        <v>0.12891181605714278</v>
      </c>
      <c r="AM86" s="2385"/>
      <c r="AN86" s="92"/>
      <c r="AO86" s="118"/>
      <c r="AT86" s="2745"/>
      <c r="AU86" s="2745"/>
    </row>
    <row r="87" spans="1:47" s="2748" customFormat="1">
      <c r="A87" s="1090" t="s">
        <v>539</v>
      </c>
      <c r="B87" s="108" t="s">
        <v>39</v>
      </c>
      <c r="C87" s="2398"/>
      <c r="D87" s="2398"/>
      <c r="E87" s="2398"/>
      <c r="F87" s="2398"/>
      <c r="G87" s="2398"/>
      <c r="H87" s="2398"/>
      <c r="I87" s="2398"/>
      <c r="L87" s="2399"/>
      <c r="N87" s="2398"/>
      <c r="O87" s="2398"/>
      <c r="P87" s="2497"/>
      <c r="Q87" s="2398"/>
      <c r="S87" s="1162"/>
      <c r="T87" s="2865"/>
      <c r="U87" s="2868"/>
      <c r="V87" s="2868"/>
      <c r="W87" s="2868"/>
      <c r="X87" s="2868"/>
      <c r="Y87" s="2868"/>
      <c r="Z87" s="2868"/>
      <c r="AA87" s="2868"/>
      <c r="AB87" s="2868"/>
      <c r="AC87" s="2868"/>
      <c r="AD87" s="2868"/>
      <c r="AE87" s="2868"/>
      <c r="AF87" s="1371"/>
      <c r="AG87" s="2399"/>
      <c r="AH87" s="118"/>
      <c r="AI87" s="2385" t="s">
        <v>750</v>
      </c>
      <c r="AJ87" s="2838">
        <f>CALCULATIONS!$KS$7</f>
        <v>0.81576544056169398</v>
      </c>
      <c r="AK87" s="2869">
        <f>CALCULATIONS!$LR$7</f>
        <v>0.11671996135382956</v>
      </c>
      <c r="AL87" s="1113">
        <f t="shared" si="9"/>
        <v>0.14308029679887177</v>
      </c>
      <c r="AM87" s="2385"/>
      <c r="AN87" s="92"/>
      <c r="AO87" s="118"/>
      <c r="AT87" s="2745"/>
      <c r="AU87" s="2745"/>
    </row>
    <row r="88" spans="1:47" s="2748" customFormat="1">
      <c r="A88" s="1090" t="s">
        <v>498</v>
      </c>
      <c r="B88" s="108" t="s">
        <v>52</v>
      </c>
      <c r="C88" s="2398"/>
      <c r="D88" s="2398"/>
      <c r="E88" s="2398"/>
      <c r="F88" s="2398"/>
      <c r="G88" s="2398"/>
      <c r="H88" s="2398"/>
      <c r="I88" s="2398"/>
      <c r="L88" s="2399"/>
      <c r="N88" s="2398"/>
      <c r="O88" s="2398"/>
      <c r="P88" s="2497"/>
      <c r="Q88" s="2398"/>
      <c r="R88" s="2398"/>
      <c r="S88" s="1157"/>
      <c r="T88" s="2865"/>
      <c r="U88" s="2868"/>
      <c r="V88" s="2868"/>
      <c r="W88" s="2868"/>
      <c r="X88" s="2868"/>
      <c r="Y88" s="2868"/>
      <c r="Z88" s="2868"/>
      <c r="AA88" s="2868"/>
      <c r="AB88" s="2868"/>
      <c r="AC88" s="2868"/>
      <c r="AD88" s="2868"/>
      <c r="AE88" s="2868"/>
      <c r="AF88" s="1371"/>
      <c r="AG88" s="2399"/>
      <c r="AH88" s="118"/>
      <c r="AI88" s="2385" t="s">
        <v>287</v>
      </c>
      <c r="AJ88" s="2838">
        <f>CALCULATIONS!$KS$19</f>
        <v>0.67358101241132673</v>
      </c>
      <c r="AK88" s="2869">
        <f>CALCULATIONS!$LR$19</f>
        <v>0.10528375801718759</v>
      </c>
      <c r="AL88" s="1113">
        <f t="shared" si="9"/>
        <v>0.15630452176834131</v>
      </c>
      <c r="AM88" s="2385"/>
      <c r="AN88" s="92"/>
      <c r="AO88" s="118"/>
      <c r="AT88" s="2745"/>
      <c r="AU88" s="2745"/>
    </row>
    <row r="89" spans="1:47" s="2748" customFormat="1">
      <c r="A89" s="1090" t="s">
        <v>19</v>
      </c>
      <c r="B89" s="108" t="s">
        <v>285</v>
      </c>
      <c r="C89" s="2398"/>
      <c r="D89" s="2398"/>
      <c r="E89" s="2398"/>
      <c r="F89" s="2398"/>
      <c r="G89" s="2398"/>
      <c r="H89" s="2398"/>
      <c r="I89" s="2398"/>
      <c r="L89" s="2399"/>
      <c r="N89" s="2398"/>
      <c r="O89" s="2398"/>
      <c r="P89" s="2497"/>
      <c r="Q89" s="2398"/>
      <c r="R89" s="2398"/>
      <c r="S89" s="1161"/>
      <c r="T89" s="2865"/>
      <c r="U89" s="2868"/>
      <c r="V89" s="2868"/>
      <c r="W89" s="2868"/>
      <c r="X89" s="2868"/>
      <c r="Y89" s="2868"/>
      <c r="Z89" s="2868"/>
      <c r="AA89" s="2868"/>
      <c r="AB89" s="2868"/>
      <c r="AC89" s="2868"/>
      <c r="AD89" s="2868"/>
      <c r="AE89" s="2868"/>
      <c r="AF89" s="1371"/>
      <c r="AG89" s="2399"/>
      <c r="AH89" s="118"/>
      <c r="AI89" s="2385" t="s">
        <v>39</v>
      </c>
      <c r="AJ89" s="2838">
        <f>CALCULATIONS!$KS$10</f>
        <v>2.2834559023175789</v>
      </c>
      <c r="AK89" s="2869">
        <f>CALCULATIONS!$LR$10</f>
        <v>0.37532558173167985</v>
      </c>
      <c r="AL89" s="1113">
        <f t="shared" si="9"/>
        <v>0.16436734396786273</v>
      </c>
      <c r="AM89" s="2385"/>
      <c r="AN89" s="92"/>
      <c r="AO89" s="118"/>
      <c r="AT89" s="2745"/>
      <c r="AU89" s="2745"/>
    </row>
    <row r="90" spans="1:47" s="2748" customFormat="1">
      <c r="A90" s="1090" t="s">
        <v>500</v>
      </c>
      <c r="B90" s="108" t="s">
        <v>279</v>
      </c>
      <c r="C90" s="2398"/>
      <c r="D90" s="2398"/>
      <c r="E90" s="2398"/>
      <c r="F90" s="2398"/>
      <c r="G90" s="2398"/>
      <c r="H90" s="2398"/>
      <c r="I90" s="2398"/>
      <c r="L90" s="2399"/>
      <c r="N90" s="2398"/>
      <c r="O90" s="2398"/>
      <c r="P90" s="2497"/>
      <c r="Q90" s="2398"/>
      <c r="R90" s="2398"/>
      <c r="S90" s="1158"/>
      <c r="T90" s="2865"/>
      <c r="U90" s="2868"/>
      <c r="V90" s="2868"/>
      <c r="W90" s="2868"/>
      <c r="X90" s="2868"/>
      <c r="Y90" s="2868"/>
      <c r="Z90" s="2868"/>
      <c r="AA90" s="2868"/>
      <c r="AB90" s="2868"/>
      <c r="AC90" s="2868"/>
      <c r="AD90" s="2868"/>
      <c r="AE90" s="2868"/>
      <c r="AF90" s="1371"/>
      <c r="AG90" s="2399"/>
      <c r="AH90" s="118"/>
      <c r="AI90" s="2385" t="s">
        <v>52</v>
      </c>
      <c r="AJ90" s="2838">
        <f>CALCULATIONS!$KS$5</f>
        <v>2.3343928573367374</v>
      </c>
      <c r="AK90" s="2869">
        <f>CALCULATIONS!$LR$5</f>
        <v>0.45628896882580205</v>
      </c>
      <c r="AL90" s="1113">
        <f t="shared" si="9"/>
        <v>0.19546365873753277</v>
      </c>
      <c r="AM90" s="2385"/>
      <c r="AN90" s="92"/>
      <c r="AO90" s="118"/>
      <c r="AT90" s="2745"/>
      <c r="AU90" s="2745"/>
    </row>
    <row r="91" spans="1:47" s="2748" customFormat="1">
      <c r="A91" s="1090" t="s">
        <v>27</v>
      </c>
      <c r="B91" s="108" t="s">
        <v>353</v>
      </c>
      <c r="C91" s="2398"/>
      <c r="D91" s="2398"/>
      <c r="E91" s="2398"/>
      <c r="F91" s="2398"/>
      <c r="G91" s="2398"/>
      <c r="H91" s="2398"/>
      <c r="I91" s="2398"/>
      <c r="L91" s="2399"/>
      <c r="N91" s="2398"/>
      <c r="O91" s="2398"/>
      <c r="P91" s="2497"/>
      <c r="Q91" s="2398"/>
      <c r="R91" s="2398"/>
      <c r="S91" s="1160"/>
      <c r="T91" s="2865"/>
      <c r="U91" s="2868"/>
      <c r="V91" s="2868"/>
      <c r="W91" s="2868"/>
      <c r="X91" s="2868"/>
      <c r="Y91" s="2868"/>
      <c r="Z91" s="2868"/>
      <c r="AA91" s="2868"/>
      <c r="AB91" s="2868"/>
      <c r="AC91" s="2868"/>
      <c r="AD91" s="2868"/>
      <c r="AE91" s="2868"/>
      <c r="AF91" s="1371"/>
      <c r="AG91" s="2399"/>
      <c r="AH91" s="118"/>
      <c r="AI91" s="2385" t="s">
        <v>285</v>
      </c>
      <c r="AJ91" s="2838">
        <f>CALCULATIONS!$KS$13</f>
        <v>1.0573612730295383</v>
      </c>
      <c r="AK91" s="2869">
        <f>CALCULATIONS!$LR$13</f>
        <v>0.20819014169297767</v>
      </c>
      <c r="AL91" s="1113">
        <f t="shared" si="9"/>
        <v>0.19689593992455756</v>
      </c>
      <c r="AM91" s="2385"/>
      <c r="AN91" s="92"/>
      <c r="AO91" s="118"/>
      <c r="AT91" s="2745"/>
      <c r="AU91" s="2745"/>
    </row>
    <row r="92" spans="1:47" s="2748" customFormat="1">
      <c r="A92" s="1090" t="s">
        <v>503</v>
      </c>
      <c r="B92" s="108" t="s">
        <v>280</v>
      </c>
      <c r="C92" s="2398"/>
      <c r="D92" s="2398"/>
      <c r="E92" s="2398"/>
      <c r="F92" s="2398"/>
      <c r="G92" s="2398"/>
      <c r="H92" s="2398"/>
      <c r="I92" s="2398"/>
      <c r="L92" s="2399"/>
      <c r="N92" s="2398"/>
      <c r="O92" s="2398"/>
      <c r="P92" s="2497"/>
      <c r="Q92" s="2398"/>
      <c r="R92" s="2398"/>
      <c r="S92" s="1158"/>
      <c r="T92" s="2865"/>
      <c r="U92" s="2868"/>
      <c r="V92" s="2868"/>
      <c r="W92" s="2868"/>
      <c r="X92" s="2868"/>
      <c r="Y92" s="2868"/>
      <c r="Z92" s="2868"/>
      <c r="AA92" s="2868"/>
      <c r="AB92" s="2868"/>
      <c r="AC92" s="2868"/>
      <c r="AD92" s="2868"/>
      <c r="AE92" s="2868"/>
      <c r="AF92" s="1371"/>
      <c r="AG92" s="2399"/>
      <c r="AH92" s="118"/>
      <c r="AI92" s="2385" t="s">
        <v>279</v>
      </c>
      <c r="AJ92" s="2838">
        <f>CALCULATIONS!$KS$17</f>
        <v>0.82480714798491916</v>
      </c>
      <c r="AK92" s="2869">
        <f>CALCULATIONS!$LR$17</f>
        <v>0.21479044570141215</v>
      </c>
      <c r="AL92" s="1113">
        <f t="shared" si="9"/>
        <v>0.26041292952681755</v>
      </c>
      <c r="AM92" s="2385"/>
      <c r="AN92" s="92"/>
      <c r="AO92" s="118"/>
      <c r="AT92" s="2745"/>
      <c r="AU92" s="2745"/>
    </row>
    <row r="93" spans="1:47" s="2748" customFormat="1">
      <c r="A93" s="1090" t="s">
        <v>32</v>
      </c>
      <c r="B93" s="108" t="s">
        <v>50</v>
      </c>
      <c r="C93" s="2398"/>
      <c r="D93" s="2398"/>
      <c r="E93" s="2398"/>
      <c r="F93" s="2398"/>
      <c r="G93" s="2398"/>
      <c r="H93" s="2398"/>
      <c r="I93" s="2398"/>
      <c r="L93" s="2399"/>
      <c r="N93" s="2398"/>
      <c r="O93" s="2398"/>
      <c r="P93" s="2497"/>
      <c r="Q93" s="2398"/>
      <c r="S93" s="1159"/>
      <c r="T93" s="2865"/>
      <c r="U93" s="2868"/>
      <c r="V93" s="2868"/>
      <c r="W93" s="2868"/>
      <c r="X93" s="2868"/>
      <c r="Y93" s="2868"/>
      <c r="Z93" s="2868"/>
      <c r="AA93" s="2868"/>
      <c r="AB93" s="2868"/>
      <c r="AC93" s="2868"/>
      <c r="AD93" s="2868"/>
      <c r="AE93" s="2868"/>
      <c r="AF93" s="1371"/>
      <c r="AG93" s="2399"/>
      <c r="AH93" s="118"/>
      <c r="AI93" s="2385" t="s">
        <v>353</v>
      </c>
      <c r="AJ93" s="2838">
        <f>CALCULATIONS!$KS$26</f>
        <v>1.3774881488921666</v>
      </c>
      <c r="AK93" s="2869">
        <f>CALCULATIONS!$LR$26</f>
        <v>0.45484164363445534</v>
      </c>
      <c r="AL93" s="1113">
        <f t="shared" si="9"/>
        <v>0.33019641149018808</v>
      </c>
      <c r="AM93" s="2385"/>
      <c r="AN93" s="92"/>
      <c r="AO93" s="118"/>
      <c r="AT93" s="2745"/>
      <c r="AU93" s="2745"/>
    </row>
    <row r="94" spans="1:47" s="2748" customFormat="1">
      <c r="A94" s="3333" t="s">
        <v>319</v>
      </c>
      <c r="B94" s="3373" t="s">
        <v>751</v>
      </c>
      <c r="C94" s="2398"/>
      <c r="D94" s="2398"/>
      <c r="E94" s="2398"/>
      <c r="F94" s="2398"/>
      <c r="G94" s="2398"/>
      <c r="H94" s="2398"/>
      <c r="I94" s="2398"/>
      <c r="L94" s="2399"/>
      <c r="N94" s="2398"/>
      <c r="O94" s="2398"/>
      <c r="P94" s="2497"/>
      <c r="Q94" s="2398"/>
      <c r="R94" s="2398"/>
      <c r="S94" s="1160"/>
      <c r="T94" s="2865"/>
      <c r="U94" s="2868"/>
      <c r="V94" s="2868"/>
      <c r="W94" s="2868"/>
      <c r="X94" s="2868"/>
      <c r="Y94" s="2868"/>
      <c r="Z94" s="2868"/>
      <c r="AA94" s="2868"/>
      <c r="AB94" s="2868"/>
      <c r="AC94" s="2868"/>
      <c r="AD94" s="2868"/>
      <c r="AE94" s="2868"/>
      <c r="AF94" s="1371"/>
      <c r="AG94" s="2399"/>
      <c r="AH94" s="118"/>
      <c r="AI94" s="2385" t="s">
        <v>280</v>
      </c>
      <c r="AJ94" s="2838">
        <f>CALCULATIONS!$KS$24</f>
        <v>1.078796250705039</v>
      </c>
      <c r="AK94" s="2869">
        <f>CALCULATIONS!$LR$24</f>
        <v>0.36116300596471262</v>
      </c>
      <c r="AL94" s="1113">
        <f t="shared" si="9"/>
        <v>0.334783334414332</v>
      </c>
      <c r="AM94" s="2385"/>
      <c r="AN94" s="92"/>
      <c r="AO94" s="118"/>
      <c r="AT94" s="2745"/>
      <c r="AU94" s="2745"/>
    </row>
    <row r="95" spans="1:47" s="2748" customFormat="1">
      <c r="A95" s="2864"/>
      <c r="B95" s="2865"/>
      <c r="H95" s="2398"/>
      <c r="I95" s="2398"/>
      <c r="N95" s="2398"/>
      <c r="O95" s="2398"/>
      <c r="P95" s="2398"/>
      <c r="Q95" s="2398"/>
      <c r="R95" s="2398"/>
      <c r="S95" s="2398"/>
      <c r="T95" s="3319"/>
      <c r="U95" s="2868"/>
      <c r="V95" s="2868"/>
      <c r="W95" s="2868"/>
      <c r="X95" s="2868"/>
      <c r="Y95" s="2868"/>
      <c r="Z95" s="2868"/>
      <c r="AA95" s="2868"/>
      <c r="AB95" s="2868"/>
      <c r="AC95" s="2868"/>
      <c r="AD95" s="2868"/>
      <c r="AE95" s="2868"/>
      <c r="AF95" s="1371"/>
      <c r="AG95" s="2399"/>
      <c r="AH95" s="118"/>
      <c r="AI95" s="2385" t="s">
        <v>50</v>
      </c>
      <c r="AJ95" s="2838">
        <f>CALCULATIONS!$KS$21</f>
        <v>1.60152453729338</v>
      </c>
      <c r="AK95" s="2869">
        <f>CALCULATIONS!$LR$21</f>
        <v>0.66497295557788227</v>
      </c>
      <c r="AL95" s="1113">
        <f t="shared" si="9"/>
        <v>0.41521246792865546</v>
      </c>
      <c r="AM95" s="2385"/>
      <c r="AN95" s="92"/>
      <c r="AO95" s="118"/>
      <c r="AT95" s="2745"/>
      <c r="AU95" s="2745"/>
    </row>
    <row r="96" spans="1:47" s="2748" customFormat="1">
      <c r="A96" s="2864"/>
      <c r="B96" s="2865"/>
      <c r="C96" s="3421"/>
      <c r="D96" s="2777"/>
      <c r="E96" s="2777"/>
      <c r="F96" s="2777"/>
      <c r="G96" s="2777"/>
      <c r="H96" s="2777"/>
      <c r="I96" s="2777"/>
      <c r="J96" s="3422"/>
      <c r="K96" s="3422"/>
      <c r="L96" s="3422"/>
      <c r="M96" s="3422"/>
      <c r="N96" s="2777"/>
      <c r="O96" s="2777"/>
      <c r="P96" s="2777"/>
      <c r="Q96" s="2777"/>
      <c r="R96" s="2777"/>
      <c r="S96" s="2398"/>
      <c r="T96" s="3416" t="s">
        <v>2360</v>
      </c>
      <c r="U96" s="3417"/>
      <c r="V96" s="3417"/>
      <c r="W96" s="3417"/>
      <c r="X96" s="3417"/>
      <c r="Y96" s="3309"/>
      <c r="Z96" s="3309"/>
      <c r="AA96" s="2868"/>
      <c r="AB96" s="2868"/>
      <c r="AC96" s="2868"/>
      <c r="AD96" s="2868"/>
      <c r="AE96" s="2868"/>
      <c r="AF96" s="1371"/>
      <c r="AG96" s="2399"/>
      <c r="AH96" s="118"/>
      <c r="AI96" s="2385" t="s">
        <v>751</v>
      </c>
      <c r="AJ96" s="2838">
        <f>CALCULATIONS!$KS$8</f>
        <v>0.70015763723018054</v>
      </c>
      <c r="AK96" s="2869">
        <f>CALCULATIONS!$LR$8</f>
        <v>0.54393802146168269</v>
      </c>
      <c r="AL96" s="1113">
        <f t="shared" si="9"/>
        <v>0.7768793662145832</v>
      </c>
      <c r="AM96" s="2837"/>
      <c r="AN96" s="92"/>
      <c r="AO96" s="118"/>
      <c r="AT96" s="2745"/>
      <c r="AU96" s="2745"/>
    </row>
    <row r="97" spans="1:47" s="2748" customFormat="1">
      <c r="A97" s="2864"/>
      <c r="B97" s="2865"/>
      <c r="C97" s="3423"/>
      <c r="D97" s="2777"/>
      <c r="E97" s="2777"/>
      <c r="F97" s="2777"/>
      <c r="G97" s="2777"/>
      <c r="H97" s="2777"/>
      <c r="I97" s="2777"/>
      <c r="J97" s="3422"/>
      <c r="K97" s="3422"/>
      <c r="L97" s="3422"/>
      <c r="M97" s="3422"/>
      <c r="N97" s="2777"/>
      <c r="O97" s="2777"/>
      <c r="P97" s="2777"/>
      <c r="Q97" s="2777"/>
      <c r="R97" s="2777"/>
      <c r="S97" s="2398"/>
      <c r="T97" s="3418" t="s">
        <v>2359</v>
      </c>
      <c r="U97" s="3417"/>
      <c r="V97" s="3417"/>
      <c r="W97" s="3417"/>
      <c r="X97" s="3417"/>
      <c r="Y97" s="3309"/>
      <c r="Z97" s="3309"/>
      <c r="AA97" s="2868"/>
      <c r="AB97" s="2868"/>
      <c r="AC97" s="2868"/>
      <c r="AD97" s="2868"/>
      <c r="AE97" s="2868"/>
      <c r="AF97" s="1371"/>
      <c r="AG97" s="2399"/>
      <c r="AH97" s="118"/>
      <c r="AI97" s="2385"/>
      <c r="AJ97" s="2837"/>
      <c r="AK97" s="118"/>
      <c r="AL97" s="118"/>
      <c r="AM97" s="2837"/>
      <c r="AN97" s="92"/>
      <c r="AO97" s="118"/>
      <c r="AT97" s="2745"/>
      <c r="AU97" s="2745"/>
    </row>
    <row r="98" spans="1:47" s="2748" customFormat="1">
      <c r="A98" s="2864"/>
      <c r="B98" s="2865"/>
      <c r="C98" s="3423"/>
      <c r="D98" s="2777"/>
      <c r="E98" s="2777"/>
      <c r="F98" s="2777"/>
      <c r="G98" s="2777"/>
      <c r="H98" s="2777"/>
      <c r="I98" s="2777"/>
      <c r="J98" s="3422"/>
      <c r="K98" s="3422"/>
      <c r="L98" s="3422"/>
      <c r="M98" s="3422"/>
      <c r="N98" s="2777"/>
      <c r="O98" s="2777"/>
      <c r="P98" s="2777"/>
      <c r="Q98" s="2777"/>
      <c r="R98" s="2777"/>
      <c r="S98" s="2398"/>
      <c r="T98" s="3418" t="s">
        <v>2362</v>
      </c>
      <c r="U98" s="3417"/>
      <c r="V98" s="3417"/>
      <c r="W98" s="3417"/>
      <c r="X98" s="3417"/>
      <c r="Y98" s="3309"/>
      <c r="Z98" s="3309"/>
      <c r="AA98" s="2868"/>
      <c r="AB98" s="2868"/>
      <c r="AC98" s="2868"/>
      <c r="AD98" s="2868"/>
      <c r="AE98" s="2868"/>
      <c r="AF98" s="1371"/>
      <c r="AG98" s="2399"/>
      <c r="AH98" s="118"/>
      <c r="AI98" s="108"/>
      <c r="AJ98" s="92"/>
      <c r="AK98" s="1113" t="s">
        <v>1061</v>
      </c>
      <c r="AL98" s="1113">
        <f>MEDIAN(AL74:AL95)</f>
        <v>9.6770381788220367E-2</v>
      </c>
      <c r="AM98" s="92"/>
      <c r="AN98" s="92"/>
      <c r="AO98" s="118"/>
      <c r="AT98" s="2745"/>
      <c r="AU98" s="2745"/>
    </row>
    <row r="99" spans="1:47" s="2748" customFormat="1">
      <c r="A99" s="2864"/>
      <c r="B99" s="2865"/>
      <c r="C99" s="3423"/>
      <c r="D99" s="2777"/>
      <c r="E99" s="2777"/>
      <c r="F99" s="2777"/>
      <c r="G99" s="2777"/>
      <c r="H99" s="2777"/>
      <c r="I99" s="2777"/>
      <c r="J99" s="2777"/>
      <c r="K99" s="2777"/>
      <c r="L99" s="2777"/>
      <c r="M99" s="2777"/>
      <c r="N99" s="2777"/>
      <c r="O99" s="2777"/>
      <c r="P99" s="2777"/>
      <c r="Q99" s="2777"/>
      <c r="R99" s="2777"/>
      <c r="S99" s="2398"/>
      <c r="T99" s="3418" t="s">
        <v>2361</v>
      </c>
      <c r="U99" s="3417"/>
      <c r="V99" s="3417"/>
      <c r="W99" s="3417"/>
      <c r="X99" s="3417"/>
      <c r="Y99" s="3309"/>
      <c r="Z99" s="3309"/>
      <c r="AA99" s="2868"/>
      <c r="AB99" s="2868"/>
      <c r="AC99" s="2868"/>
      <c r="AD99" s="2868"/>
      <c r="AE99" s="2868"/>
      <c r="AF99" s="1371"/>
      <c r="AG99" s="2399"/>
      <c r="AH99" s="108"/>
      <c r="AI99" s="92"/>
      <c r="AJ99" s="92"/>
      <c r="AK99" s="92"/>
      <c r="AL99" s="92"/>
      <c r="AM99" s="92"/>
      <c r="AN99" s="92"/>
      <c r="AO99" s="118"/>
      <c r="AT99" s="2745"/>
      <c r="AU99" s="2745"/>
    </row>
    <row r="100" spans="1:47" s="2748" customFormat="1">
      <c r="A100" s="2864"/>
      <c r="B100" s="2865"/>
      <c r="C100" s="3424"/>
      <c r="D100" s="2777"/>
      <c r="E100" s="2777"/>
      <c r="F100" s="2777"/>
      <c r="G100" s="2777"/>
      <c r="H100" s="2777"/>
      <c r="I100" s="2777"/>
      <c r="J100" s="2777"/>
      <c r="K100" s="2777"/>
      <c r="L100" s="2777"/>
      <c r="M100" s="2777"/>
      <c r="N100" s="2777"/>
      <c r="O100" s="2777"/>
      <c r="P100" s="2777"/>
      <c r="Q100" s="2777"/>
      <c r="R100" s="3425"/>
      <c r="S100" s="2398"/>
      <c r="T100" s="3419" t="s">
        <v>1387</v>
      </c>
      <c r="U100" s="1430"/>
      <c r="V100" s="1430"/>
      <c r="W100" s="1430"/>
      <c r="X100" s="3420" t="s">
        <v>1387</v>
      </c>
      <c r="Y100" s="1430"/>
      <c r="Z100" s="1430"/>
      <c r="AA100" s="1430"/>
      <c r="AB100" s="1430"/>
      <c r="AC100" s="1430"/>
      <c r="AD100" s="1430"/>
      <c r="AE100" s="1430"/>
      <c r="AF100" s="3420"/>
      <c r="AG100" s="2399"/>
      <c r="AH100" s="108"/>
      <c r="AI100" s="92"/>
      <c r="AJ100" s="92"/>
      <c r="AK100" s="92"/>
      <c r="AL100" s="92"/>
      <c r="AM100" s="92"/>
      <c r="AN100" s="92"/>
      <c r="AO100" s="118"/>
      <c r="AT100" s="2745"/>
      <c r="AU100" s="2745"/>
    </row>
    <row r="101" spans="1:47" ht="3.75" customHeight="1">
      <c r="T101" s="2399"/>
      <c r="U101" s="2399"/>
      <c r="V101" s="2399"/>
      <c r="W101" s="2399"/>
      <c r="X101" s="2399"/>
      <c r="Y101" s="2399"/>
      <c r="Z101" s="2399"/>
      <c r="AA101" s="2399"/>
      <c r="AB101" s="2399"/>
      <c r="AC101" s="2399"/>
      <c r="AD101" s="2399"/>
      <c r="AE101" s="2399"/>
    </row>
    <row r="102" spans="1:47" s="2748" customFormat="1" hidden="1">
      <c r="A102" s="3291"/>
      <c r="B102" s="118"/>
      <c r="C102" s="2780"/>
      <c r="D102" s="2781"/>
      <c r="E102" s="2780"/>
      <c r="F102" s="2781"/>
      <c r="G102" s="2780"/>
      <c r="H102" s="2781"/>
      <c r="I102" s="2780"/>
      <c r="J102" s="2781"/>
      <c r="K102" s="2780"/>
      <c r="L102" s="2781"/>
      <c r="M102" s="2780"/>
      <c r="N102" s="2781"/>
      <c r="O102" s="2780"/>
      <c r="P102" s="2781"/>
      <c r="Q102" s="2780"/>
      <c r="R102" s="2781"/>
      <c r="T102" s="1926"/>
      <c r="U102" s="1926"/>
      <c r="V102" s="1926"/>
      <c r="W102" s="1926"/>
      <c r="X102" s="1926"/>
      <c r="Y102" s="1926"/>
      <c r="Z102" s="1926"/>
      <c r="AA102" s="1926"/>
      <c r="AB102" s="1926"/>
      <c r="AC102" s="1926"/>
      <c r="AD102" s="1926"/>
      <c r="AE102" s="1926"/>
      <c r="AF102" s="1926"/>
      <c r="AG102" s="2745"/>
      <c r="AH102" s="2745"/>
      <c r="AI102" s="2745"/>
      <c r="AJ102" s="2745"/>
      <c r="AK102" s="2745"/>
      <c r="AL102" s="2745"/>
      <c r="AM102" s="2745"/>
      <c r="AN102" s="2745"/>
      <c r="AO102" s="2745"/>
      <c r="AP102" s="2745"/>
      <c r="AT102" s="2745"/>
      <c r="AU102" s="2745"/>
    </row>
    <row r="103" spans="1:47" s="2748" customFormat="1" hidden="1">
      <c r="A103" s="1175" t="s">
        <v>2341</v>
      </c>
      <c r="B103" s="1059" t="s">
        <v>1111</v>
      </c>
      <c r="C103" s="2398"/>
      <c r="D103" s="2398"/>
      <c r="E103" s="2398"/>
      <c r="F103" s="2398"/>
      <c r="G103" s="2398"/>
      <c r="H103" s="2398"/>
      <c r="I103" s="2398"/>
      <c r="J103" s="2398"/>
      <c r="K103" s="2398"/>
      <c r="L103" s="2398"/>
      <c r="M103" s="2398"/>
      <c r="N103" s="2398"/>
      <c r="O103" s="2398"/>
      <c r="P103" s="2398"/>
      <c r="Q103" s="2398"/>
      <c r="R103" s="2398"/>
      <c r="S103" s="2398"/>
      <c r="T103" s="3160"/>
      <c r="U103" s="3161"/>
      <c r="V103" s="3161"/>
      <c r="W103" s="3161"/>
      <c r="X103" s="3161"/>
      <c r="Y103" s="3161"/>
      <c r="Z103" s="3161"/>
      <c r="AA103" s="3161"/>
      <c r="AB103" s="3161"/>
      <c r="AC103" s="3161"/>
      <c r="AD103" s="3161"/>
      <c r="AE103" s="3161"/>
      <c r="AF103" s="1371"/>
      <c r="AG103" s="2399"/>
      <c r="AH103" s="2399"/>
      <c r="AI103" s="2398"/>
      <c r="AJ103" s="2398"/>
      <c r="AK103" s="2398"/>
      <c r="AL103" s="2398"/>
      <c r="AM103" s="2398"/>
      <c r="AN103" s="2398"/>
      <c r="AT103" s="2745"/>
      <c r="AU103" s="2745"/>
    </row>
    <row r="104" spans="1:47" s="2748" customFormat="1" hidden="1">
      <c r="A104" s="3291"/>
      <c r="B104" s="118"/>
      <c r="C104" s="2780"/>
      <c r="D104" s="2781"/>
      <c r="E104" s="2780"/>
      <c r="F104" s="2781"/>
      <c r="G104" s="2780"/>
      <c r="H104" s="2781"/>
      <c r="I104" s="2780"/>
      <c r="J104" s="2781"/>
      <c r="K104" s="2780"/>
      <c r="L104" s="2781"/>
      <c r="M104" s="2780"/>
      <c r="N104" s="2781"/>
      <c r="O104" s="2780"/>
      <c r="P104" s="2781"/>
      <c r="Q104" s="2780"/>
      <c r="R104" s="2781"/>
      <c r="T104" s="1926"/>
      <c r="U104" s="1926"/>
      <c r="V104" s="1926"/>
      <c r="W104" s="1926"/>
      <c r="X104" s="1926"/>
      <c r="Y104" s="1926"/>
      <c r="Z104" s="1926"/>
      <c r="AA104" s="1926"/>
      <c r="AB104" s="1926"/>
      <c r="AC104" s="1926"/>
      <c r="AD104" s="1926"/>
      <c r="AE104" s="1926"/>
      <c r="AF104" s="1926"/>
      <c r="AG104" s="2745"/>
      <c r="AT104" s="2745"/>
      <c r="AU104" s="2745"/>
    </row>
    <row r="105" spans="1:47" s="2748" customFormat="1" hidden="1">
      <c r="A105" s="3291"/>
      <c r="B105" s="118"/>
      <c r="C105" s="2780"/>
      <c r="D105" s="2781"/>
      <c r="E105" s="2780"/>
      <c r="F105" s="2781"/>
      <c r="G105" s="2780"/>
      <c r="H105" s="2781"/>
      <c r="I105" s="2780"/>
      <c r="J105" s="2781"/>
      <c r="K105" s="2780"/>
      <c r="L105" s="2781"/>
      <c r="M105" s="2780"/>
      <c r="N105" s="2781"/>
      <c r="O105" s="2780"/>
      <c r="P105" s="2781"/>
      <c r="Q105" s="2780"/>
      <c r="R105" s="2781"/>
      <c r="T105" s="1926"/>
      <c r="U105" s="1926"/>
      <c r="V105" s="1926"/>
      <c r="W105" s="1926"/>
      <c r="X105" s="1926"/>
      <c r="Y105" s="1926"/>
      <c r="Z105" s="1926"/>
      <c r="AA105" s="1926"/>
      <c r="AB105" s="1926"/>
      <c r="AC105" s="1926"/>
      <c r="AD105" s="1926"/>
      <c r="AE105" s="1926"/>
      <c r="AF105" s="1926"/>
      <c r="AG105" s="2745"/>
      <c r="AT105" s="2745"/>
      <c r="AU105" s="2745"/>
    </row>
    <row r="106" spans="1:47" s="2748" customFormat="1" hidden="1">
      <c r="A106" s="3291"/>
      <c r="B106" s="118"/>
      <c r="C106" s="2780"/>
      <c r="D106" s="2781"/>
      <c r="E106" s="2780"/>
      <c r="F106" s="2781"/>
      <c r="G106" s="2780"/>
      <c r="H106" s="2781"/>
      <c r="I106" s="2780"/>
      <c r="J106" s="2781"/>
      <c r="K106" s="2780"/>
      <c r="L106" s="2781"/>
      <c r="M106" s="2780"/>
      <c r="N106" s="2781"/>
      <c r="O106" s="2780"/>
      <c r="P106" s="2781"/>
      <c r="Q106" s="2780"/>
      <c r="R106" s="2781"/>
      <c r="T106" s="1926"/>
      <c r="U106" s="1926"/>
      <c r="V106" s="1926"/>
      <c r="W106" s="1926"/>
      <c r="X106" s="1926"/>
      <c r="Y106" s="1926"/>
      <c r="Z106" s="1926"/>
      <c r="AA106" s="1926"/>
      <c r="AB106" s="1926"/>
      <c r="AC106" s="1926"/>
      <c r="AD106" s="1926"/>
      <c r="AE106" s="1926"/>
      <c r="AF106" s="1926"/>
      <c r="AG106" s="2745"/>
      <c r="AT106" s="2745"/>
      <c r="AU106" s="2745"/>
    </row>
    <row r="107" spans="1:47" s="2748" customFormat="1" hidden="1">
      <c r="A107" s="3291"/>
      <c r="B107" s="118"/>
      <c r="C107" s="2780"/>
      <c r="D107" s="2781"/>
      <c r="E107" s="2780"/>
      <c r="F107" s="2781"/>
      <c r="G107" s="2780"/>
      <c r="H107" s="2781"/>
      <c r="I107" s="2780"/>
      <c r="J107" s="2781"/>
      <c r="K107" s="2780"/>
      <c r="L107" s="2781"/>
      <c r="M107" s="2780"/>
      <c r="N107" s="2781"/>
      <c r="O107" s="2780"/>
      <c r="P107" s="2781"/>
      <c r="Q107" s="2780"/>
      <c r="R107" s="2781"/>
      <c r="T107" s="1926"/>
      <c r="U107" s="1926"/>
      <c r="V107" s="1926"/>
      <c r="W107" s="1926"/>
      <c r="X107" s="1926"/>
      <c r="Y107" s="1926"/>
      <c r="Z107" s="1926"/>
      <c r="AA107" s="1926"/>
      <c r="AB107" s="1926"/>
      <c r="AC107" s="1926"/>
      <c r="AD107" s="1926"/>
      <c r="AE107" s="1926"/>
      <c r="AF107" s="1926"/>
      <c r="AG107" s="2745"/>
      <c r="AT107" s="2745"/>
      <c r="AU107" s="2745"/>
    </row>
    <row r="108" spans="1:47" s="2748" customFormat="1" hidden="1">
      <c r="A108" s="3291"/>
      <c r="B108" s="118"/>
      <c r="C108" s="2780"/>
      <c r="D108" s="2781"/>
      <c r="E108" s="2780"/>
      <c r="F108" s="2781"/>
      <c r="G108" s="2780"/>
      <c r="H108" s="2781"/>
      <c r="I108" s="2780"/>
      <c r="J108" s="2781"/>
      <c r="K108" s="2780"/>
      <c r="L108" s="2781"/>
      <c r="M108" s="2780"/>
      <c r="N108" s="2781"/>
      <c r="O108" s="2780"/>
      <c r="P108" s="2781"/>
      <c r="Q108" s="2780"/>
      <c r="R108" s="2781"/>
      <c r="T108" s="1926"/>
      <c r="U108" s="1926"/>
      <c r="V108" s="1926"/>
      <c r="W108" s="1926"/>
      <c r="X108" s="1926"/>
      <c r="Y108" s="1926"/>
      <c r="Z108" s="1926"/>
      <c r="AA108" s="1926"/>
      <c r="AB108" s="1926"/>
      <c r="AC108" s="1926"/>
      <c r="AD108" s="1926"/>
      <c r="AE108" s="1926"/>
      <c r="AF108" s="1926"/>
      <c r="AG108" s="2745"/>
      <c r="AT108" s="2745"/>
      <c r="AU108" s="2745"/>
    </row>
    <row r="109" spans="1:47" s="2748" customFormat="1" hidden="1">
      <c r="A109" s="3291"/>
      <c r="B109" s="118"/>
      <c r="C109" s="2780"/>
      <c r="D109" s="2781"/>
      <c r="E109" s="2780"/>
      <c r="F109" s="2781"/>
      <c r="G109" s="2780"/>
      <c r="H109" s="2781"/>
      <c r="I109" s="2780"/>
      <c r="J109" s="2781"/>
      <c r="K109" s="2780"/>
      <c r="L109" s="2781"/>
      <c r="M109" s="2780"/>
      <c r="N109" s="2781"/>
      <c r="O109" s="2780"/>
      <c r="P109" s="2781"/>
      <c r="Q109" s="2780"/>
      <c r="R109" s="2781"/>
      <c r="T109" s="1926"/>
      <c r="U109" s="1926"/>
      <c r="V109" s="1926"/>
      <c r="W109" s="1926"/>
      <c r="X109" s="1926"/>
      <c r="Y109" s="1926"/>
      <c r="Z109" s="1926"/>
      <c r="AA109" s="1926"/>
      <c r="AB109" s="1926"/>
      <c r="AC109" s="1926"/>
      <c r="AD109" s="1926"/>
      <c r="AE109" s="1926"/>
      <c r="AF109" s="1926"/>
      <c r="AG109" s="2745"/>
      <c r="AT109" s="2745"/>
      <c r="AU109" s="2745"/>
    </row>
    <row r="110" spans="1:47" s="2748" customFormat="1" hidden="1">
      <c r="A110" s="3291"/>
      <c r="B110" s="118"/>
      <c r="C110" s="2780"/>
      <c r="D110" s="2781"/>
      <c r="E110" s="2780"/>
      <c r="F110" s="2781"/>
      <c r="G110" s="2780"/>
      <c r="H110" s="2781"/>
      <c r="I110" s="2780"/>
      <c r="J110" s="2781"/>
      <c r="K110" s="2780"/>
      <c r="L110" s="2781"/>
      <c r="M110" s="2780"/>
      <c r="N110" s="2781"/>
      <c r="O110" s="2780"/>
      <c r="P110" s="2781"/>
      <c r="Q110" s="2780"/>
      <c r="R110" s="2781"/>
      <c r="T110" s="1926"/>
      <c r="U110" s="1926"/>
      <c r="V110" s="1926"/>
      <c r="W110" s="1926"/>
      <c r="X110" s="1926"/>
      <c r="Y110" s="1926"/>
      <c r="Z110" s="1926"/>
      <c r="AA110" s="1926"/>
      <c r="AB110" s="1926"/>
      <c r="AC110" s="1926"/>
      <c r="AD110" s="1926"/>
      <c r="AE110" s="1926"/>
      <c r="AF110" s="1926"/>
      <c r="AG110" s="2745"/>
      <c r="AT110" s="2745"/>
      <c r="AU110" s="2745"/>
    </row>
    <row r="111" spans="1:47" s="2748" customFormat="1" hidden="1">
      <c r="A111" s="3291"/>
      <c r="B111" s="118"/>
      <c r="C111" s="2780"/>
      <c r="D111" s="2781"/>
      <c r="E111" s="2780"/>
      <c r="F111" s="2781"/>
      <c r="G111" s="2780"/>
      <c r="H111" s="2781"/>
      <c r="I111" s="2780"/>
      <c r="J111" s="2781"/>
      <c r="K111" s="2780"/>
      <c r="L111" s="2781"/>
      <c r="M111" s="2780"/>
      <c r="N111" s="2781"/>
      <c r="O111" s="2780"/>
      <c r="P111" s="2781"/>
      <c r="Q111" s="2780"/>
      <c r="R111" s="2781"/>
      <c r="T111" s="1926"/>
      <c r="U111" s="1926"/>
      <c r="V111" s="1926"/>
      <c r="W111" s="1926"/>
      <c r="X111" s="1926"/>
      <c r="Y111" s="1926"/>
      <c r="Z111" s="1926"/>
      <c r="AA111" s="1926"/>
      <c r="AB111" s="1926"/>
      <c r="AC111" s="1926"/>
      <c r="AD111" s="1926"/>
      <c r="AE111" s="1926"/>
      <c r="AF111" s="1926"/>
      <c r="AG111" s="2745"/>
      <c r="AT111" s="2745"/>
      <c r="AU111" s="2745"/>
    </row>
    <row r="112" spans="1:47" s="2748" customFormat="1" hidden="1">
      <c r="A112" s="3291"/>
      <c r="B112" s="118"/>
      <c r="C112" s="2780"/>
      <c r="D112" s="2781"/>
      <c r="E112" s="2780"/>
      <c r="F112" s="2781"/>
      <c r="G112" s="2780"/>
      <c r="H112" s="2781"/>
      <c r="I112" s="2780"/>
      <c r="J112" s="2781"/>
      <c r="K112" s="2780"/>
      <c r="L112" s="2781"/>
      <c r="M112" s="2780"/>
      <c r="N112" s="2781"/>
      <c r="O112" s="2780"/>
      <c r="P112" s="2781"/>
      <c r="Q112" s="2780"/>
      <c r="R112" s="2781"/>
      <c r="T112" s="1926"/>
      <c r="U112" s="1926"/>
      <c r="V112" s="1926"/>
      <c r="W112" s="1926"/>
      <c r="X112" s="1926"/>
      <c r="Y112" s="1926"/>
      <c r="Z112" s="1926"/>
      <c r="AA112" s="1926"/>
      <c r="AB112" s="1926"/>
      <c r="AC112" s="1926"/>
      <c r="AD112" s="1926"/>
      <c r="AE112" s="1926"/>
      <c r="AF112" s="1926"/>
      <c r="AG112" s="2745"/>
      <c r="AT112" s="2745"/>
      <c r="AU112" s="2745"/>
    </row>
    <row r="113" spans="1:47" s="2748" customFormat="1" ht="12.75" hidden="1" customHeight="1">
      <c r="A113" s="3291"/>
      <c r="B113" s="118"/>
      <c r="C113" s="2780"/>
      <c r="D113" s="2781"/>
      <c r="E113" s="2780"/>
      <c r="F113" s="2781"/>
      <c r="G113" s="2780"/>
      <c r="H113" s="2781"/>
      <c r="I113" s="2780"/>
      <c r="J113" s="2781"/>
      <c r="K113" s="2780"/>
      <c r="L113" s="2781"/>
      <c r="M113" s="2780"/>
      <c r="N113" s="2781"/>
      <c r="O113" s="2780"/>
      <c r="P113" s="2781"/>
      <c r="Q113" s="2780"/>
      <c r="R113" s="2781"/>
      <c r="T113" s="118"/>
      <c r="U113" s="3318"/>
      <c r="V113" s="3318"/>
      <c r="W113" s="3318"/>
      <c r="X113" s="3318"/>
      <c r="Y113" s="1926"/>
      <c r="Z113" s="1926"/>
      <c r="AA113" s="1926"/>
      <c r="AB113" s="1926"/>
      <c r="AC113" s="1926"/>
      <c r="AD113" s="1926"/>
      <c r="AE113" s="1926"/>
      <c r="AF113" s="1926"/>
      <c r="AG113" s="2745"/>
      <c r="AT113" s="2745"/>
      <c r="AU113" s="2745"/>
    </row>
    <row r="114" spans="1:47" s="2748" customFormat="1" hidden="1">
      <c r="A114" s="3291"/>
      <c r="B114" s="118"/>
      <c r="C114" s="2780"/>
      <c r="D114" s="2781"/>
      <c r="E114" s="2780"/>
      <c r="F114" s="2781"/>
      <c r="G114" s="2780"/>
      <c r="H114" s="2781"/>
      <c r="I114" s="2780"/>
      <c r="J114" s="2781"/>
      <c r="K114" s="2780"/>
      <c r="L114" s="2781"/>
      <c r="M114" s="2780"/>
      <c r="N114" s="2781"/>
      <c r="O114" s="2780"/>
      <c r="P114" s="2781"/>
      <c r="Q114" s="2780"/>
      <c r="R114" s="2781"/>
      <c r="T114" s="3318"/>
      <c r="U114" s="3318"/>
      <c r="V114" s="3318"/>
      <c r="W114" s="3318"/>
      <c r="X114" s="3318"/>
      <c r="Y114" s="1926"/>
      <c r="Z114" s="1926"/>
      <c r="AA114" s="1926"/>
      <c r="AB114" s="1926"/>
      <c r="AC114" s="1926"/>
      <c r="AD114" s="1926"/>
      <c r="AE114" s="1926"/>
      <c r="AF114" s="1926"/>
      <c r="AG114" s="2745"/>
      <c r="AT114" s="2745"/>
      <c r="AU114" s="2745"/>
    </row>
    <row r="115" spans="1:47" s="2748" customFormat="1" hidden="1">
      <c r="A115" s="3291"/>
      <c r="B115" s="118"/>
      <c r="C115" s="2780"/>
      <c r="D115" s="2781"/>
      <c r="E115" s="2780"/>
      <c r="F115" s="2781"/>
      <c r="G115" s="2780"/>
      <c r="H115" s="2781"/>
      <c r="I115" s="2780"/>
      <c r="J115" s="2781"/>
      <c r="K115" s="2780"/>
      <c r="L115" s="2781"/>
      <c r="M115" s="2780"/>
      <c r="N115" s="2781"/>
      <c r="O115" s="2780"/>
      <c r="P115" s="2781"/>
      <c r="Q115" s="2780"/>
      <c r="R115" s="2781"/>
      <c r="T115" s="1926"/>
      <c r="U115" s="1926"/>
      <c r="V115" s="1926"/>
      <c r="W115" s="1926"/>
      <c r="X115" s="1926"/>
      <c r="Y115" s="1926"/>
      <c r="Z115" s="1926"/>
      <c r="AA115" s="1926"/>
      <c r="AB115" s="1926"/>
      <c r="AC115" s="1926"/>
      <c r="AD115" s="1926"/>
      <c r="AE115" s="1926"/>
      <c r="AF115" s="1926"/>
      <c r="AG115" s="2745"/>
      <c r="AT115" s="2745"/>
      <c r="AU115" s="2745"/>
    </row>
    <row r="116" spans="1:47" s="2748" customFormat="1" hidden="1">
      <c r="A116" s="3291"/>
      <c r="B116" s="118"/>
      <c r="C116" s="2780"/>
      <c r="D116" s="2781"/>
      <c r="E116" s="2780"/>
      <c r="F116" s="2781"/>
      <c r="G116" s="2780"/>
      <c r="H116" s="2781"/>
      <c r="I116" s="2780"/>
      <c r="J116" s="2781"/>
      <c r="K116" s="2780"/>
      <c r="L116" s="2781"/>
      <c r="M116" s="2780"/>
      <c r="N116" s="2781"/>
      <c r="O116" s="2780"/>
      <c r="P116" s="2781"/>
      <c r="Q116" s="2780"/>
      <c r="R116" s="2781"/>
      <c r="T116" s="118"/>
      <c r="U116" s="1926"/>
      <c r="V116" s="1926"/>
      <c r="W116" s="1926"/>
      <c r="X116" s="1926"/>
      <c r="Y116" s="1926"/>
      <c r="Z116" s="1926"/>
      <c r="AA116" s="1926"/>
      <c r="AB116" s="1926"/>
      <c r="AC116" s="1926"/>
      <c r="AD116" s="1926"/>
      <c r="AE116" s="1926"/>
      <c r="AF116" s="1926"/>
      <c r="AG116" s="2745"/>
      <c r="AT116" s="2745"/>
      <c r="AU116" s="2745"/>
    </row>
    <row r="117" spans="1:47" s="2748" customFormat="1" hidden="1">
      <c r="A117" s="3291"/>
      <c r="B117" s="118"/>
      <c r="C117" s="2780"/>
      <c r="D117" s="2781"/>
      <c r="E117" s="2780"/>
      <c r="F117" s="2781"/>
      <c r="G117" s="2780"/>
      <c r="H117" s="2781"/>
      <c r="I117" s="2780"/>
      <c r="J117" s="2781"/>
      <c r="K117" s="2780"/>
      <c r="L117" s="2781"/>
      <c r="M117" s="2780"/>
      <c r="N117" s="2781"/>
      <c r="O117" s="2780"/>
      <c r="P117" s="2781"/>
      <c r="Q117" s="2780"/>
      <c r="R117" s="2781"/>
      <c r="T117" s="1926"/>
      <c r="U117" s="1926"/>
      <c r="V117" s="1926"/>
      <c r="W117" s="1926"/>
      <c r="X117" s="1926"/>
      <c r="Y117" s="1926"/>
      <c r="Z117" s="1926"/>
      <c r="AA117" s="1926"/>
      <c r="AB117" s="1926"/>
      <c r="AC117" s="1926"/>
      <c r="AD117" s="1926"/>
      <c r="AE117" s="1926"/>
      <c r="AF117" s="1926"/>
      <c r="AG117" s="2745"/>
      <c r="AT117" s="2745"/>
      <c r="AU117" s="2745"/>
    </row>
    <row r="118" spans="1:47" ht="3.75" hidden="1" customHeight="1">
      <c r="T118" s="2399"/>
      <c r="U118" s="2399"/>
      <c r="V118" s="2399"/>
      <c r="W118" s="2399"/>
      <c r="X118" s="2399"/>
      <c r="Y118" s="2399"/>
      <c r="Z118" s="2399"/>
      <c r="AA118" s="2399"/>
      <c r="AB118" s="2399"/>
      <c r="AC118" s="2399"/>
      <c r="AD118" s="2399"/>
      <c r="AE118" s="2399"/>
    </row>
    <row r="119" spans="1:47" s="2748" customFormat="1" hidden="1">
      <c r="A119" s="3291"/>
      <c r="B119" s="118"/>
      <c r="C119" s="1198"/>
      <c r="D119" s="1199"/>
      <c r="E119" s="1198"/>
      <c r="F119" s="1199"/>
      <c r="G119" s="1198"/>
      <c r="H119" s="1199"/>
      <c r="I119" s="1198"/>
      <c r="J119" s="1199"/>
      <c r="K119" s="1198"/>
      <c r="L119" s="1199"/>
      <c r="M119" s="1198"/>
      <c r="N119" s="1199"/>
      <c r="O119" s="1198"/>
      <c r="P119" s="1199"/>
      <c r="Q119" s="1198"/>
      <c r="R119" s="1199"/>
      <c r="T119" s="1926"/>
      <c r="U119" s="1926"/>
      <c r="V119" s="1926"/>
      <c r="W119" s="1926"/>
      <c r="X119" s="1926"/>
      <c r="Y119" s="1926"/>
      <c r="Z119" s="1926"/>
      <c r="AA119" s="1926"/>
      <c r="AB119" s="1926"/>
      <c r="AC119" s="1926"/>
      <c r="AD119" s="1926"/>
      <c r="AE119" s="1926"/>
      <c r="AF119" s="1926"/>
      <c r="AG119" s="2745"/>
      <c r="AH119" s="2745"/>
      <c r="AI119" s="2745"/>
      <c r="AJ119" s="2745"/>
      <c r="AK119" s="2745"/>
      <c r="AL119" s="2745"/>
      <c r="AM119" s="2745"/>
      <c r="AN119" s="2745"/>
      <c r="AO119" s="2745"/>
      <c r="AP119" s="2745"/>
      <c r="AT119" s="2745"/>
      <c r="AU119" s="2745"/>
    </row>
    <row r="120" spans="1:47" hidden="1">
      <c r="A120" s="1175" t="s">
        <v>1002</v>
      </c>
      <c r="B120" s="1059" t="s">
        <v>1681</v>
      </c>
      <c r="C120" s="2865"/>
      <c r="D120" s="2865"/>
      <c r="E120" s="2865"/>
      <c r="F120" s="2865"/>
      <c r="G120" s="2865"/>
      <c r="H120" s="2865"/>
      <c r="I120" s="2865"/>
      <c r="J120" s="2865"/>
      <c r="K120" s="2865"/>
      <c r="L120" s="2865"/>
      <c r="M120" s="2865"/>
      <c r="N120" s="2865"/>
      <c r="O120" s="2865"/>
      <c r="P120" s="2865"/>
      <c r="Q120" s="2865"/>
      <c r="R120" s="1156"/>
      <c r="T120" s="3388" t="s">
        <v>2388</v>
      </c>
      <c r="U120" s="2865"/>
      <c r="V120" s="2865"/>
      <c r="W120" s="2865"/>
      <c r="X120" s="2865"/>
      <c r="Y120" s="2865"/>
      <c r="Z120" s="2865"/>
      <c r="AA120" s="2865"/>
      <c r="AB120" s="2865"/>
      <c r="AC120" s="2865"/>
      <c r="AD120" s="2865"/>
      <c r="AE120" s="2865"/>
      <c r="AF120" s="2868"/>
    </row>
    <row r="121" spans="1:47" hidden="1">
      <c r="A121" s="1091" t="s">
        <v>319</v>
      </c>
      <c r="B121" s="691" t="s">
        <v>752</v>
      </c>
      <c r="C121" s="1013">
        <f t="shared" ref="C121:N136" si="10">VLOOKUP($B121,$B$14:$R$35,C$36,FALSE)</f>
        <v>6.4385445236561381E-2</v>
      </c>
      <c r="D121" s="1079">
        <f t="shared" si="10"/>
        <v>14.697799124913645</v>
      </c>
      <c r="E121" s="1080">
        <f t="shared" si="10"/>
        <v>0.15462918080465343</v>
      </c>
      <c r="F121" s="1078">
        <f t="shared" si="10"/>
        <v>0.42399287000325037</v>
      </c>
      <c r="G121" s="1079">
        <f t="shared" si="10"/>
        <v>4.5742782667206161E-2</v>
      </c>
      <c r="H121" s="1080">
        <f t="shared" si="10"/>
        <v>0.48144640266975475</v>
      </c>
      <c r="I121" s="1078">
        <f t="shared" si="10"/>
        <v>0.42695023434228802</v>
      </c>
      <c r="J121" s="1079">
        <f t="shared" si="10"/>
        <v>4.1366838913311048E-2</v>
      </c>
      <c r="K121" s="1080">
        <f t="shared" si="10"/>
        <v>0.4832654138496531</v>
      </c>
      <c r="L121" s="1072">
        <f t="shared" si="10"/>
        <v>2.9573643390376492E-3</v>
      </c>
      <c r="M121" s="1072">
        <f t="shared" si="10"/>
        <v>6.9750331863245195E-3</v>
      </c>
      <c r="N121" s="1081" t="e">
        <f t="shared" si="10"/>
        <v>#REF!</v>
      </c>
      <c r="O121" s="1082"/>
      <c r="P121" s="1201">
        <f t="shared" ref="P121:R142" si="11">VLOOKUP($B121,$B$14:$R$35,P$36,FALSE)</f>
        <v>3.7014756930154613</v>
      </c>
      <c r="Q121" s="1083">
        <f t="shared" si="11"/>
        <v>0.31334582285320112</v>
      </c>
      <c r="R121" s="1077">
        <f t="shared" si="11"/>
        <v>4.3704719780651446</v>
      </c>
      <c r="S121" s="1161"/>
      <c r="T121" s="92"/>
      <c r="U121" s="2865"/>
      <c r="V121" s="2865"/>
      <c r="W121" s="2865"/>
      <c r="X121" s="2865"/>
      <c r="Y121" s="2865"/>
      <c r="Z121" s="2865"/>
      <c r="AA121" s="2865"/>
      <c r="AB121" s="2865"/>
      <c r="AC121" s="2865"/>
      <c r="AD121" s="2865"/>
      <c r="AE121" s="2865"/>
      <c r="AF121" s="2868"/>
    </row>
    <row r="122" spans="1:47" hidden="1">
      <c r="A122" s="1090" t="s">
        <v>27</v>
      </c>
      <c r="B122" s="73" t="s">
        <v>54</v>
      </c>
      <c r="C122" s="103">
        <f t="shared" si="10"/>
        <v>0.48460704112825509</v>
      </c>
      <c r="D122" s="1067">
        <f t="shared" si="10"/>
        <v>-0.18079580514885477</v>
      </c>
      <c r="E122" s="1068">
        <f t="shared" si="10"/>
        <v>0.49497857034449522</v>
      </c>
      <c r="F122" s="1066">
        <f t="shared" si="10"/>
        <v>0.56717095077467305</v>
      </c>
      <c r="G122" s="1067">
        <f t="shared" si="10"/>
        <v>0.64731222518720821</v>
      </c>
      <c r="H122" s="1068">
        <f t="shared" si="10"/>
        <v>0.74754623070756221</v>
      </c>
      <c r="I122" s="1066">
        <f t="shared" si="10"/>
        <v>0.5748403529709204</v>
      </c>
      <c r="J122" s="1067">
        <f t="shared" si="10"/>
        <v>0.5906099669472562</v>
      </c>
      <c r="K122" s="1068">
        <f t="shared" si="10"/>
        <v>0.7506672643344422</v>
      </c>
      <c r="L122" s="1060">
        <f t="shared" si="10"/>
        <v>7.6694021962473435E-3</v>
      </c>
      <c r="M122" s="1060">
        <f t="shared" si="10"/>
        <v>1.3522205581530675E-2</v>
      </c>
      <c r="N122" s="1069" t="e">
        <f t="shared" si="10"/>
        <v>#REF!</v>
      </c>
      <c r="O122" s="1070"/>
      <c r="P122" s="130">
        <f t="shared" si="11"/>
        <v>3.4278891827637503</v>
      </c>
      <c r="Q122" s="1071">
        <f t="shared" si="11"/>
        <v>0.24423537898737996</v>
      </c>
      <c r="R122" s="1065">
        <f t="shared" si="11"/>
        <v>3.8230610288109381</v>
      </c>
      <c r="S122" s="1163"/>
      <c r="T122" s="2865"/>
      <c r="U122" s="2865"/>
      <c r="V122" s="2865"/>
      <c r="W122" s="2865"/>
      <c r="X122" s="2865"/>
      <c r="Y122" s="2865"/>
      <c r="Z122" s="2865"/>
      <c r="AA122" s="2865"/>
      <c r="AB122" s="2865"/>
      <c r="AC122" s="2865"/>
      <c r="AD122" s="2865"/>
      <c r="AE122" s="2865"/>
      <c r="AF122" s="2868"/>
    </row>
    <row r="123" spans="1:47" hidden="1">
      <c r="A123" s="1090" t="s">
        <v>499</v>
      </c>
      <c r="B123" s="73" t="s">
        <v>284</v>
      </c>
      <c r="C123" s="103">
        <f t="shared" si="10"/>
        <v>0.34534166666666666</v>
      </c>
      <c r="D123" s="1067">
        <f t="shared" si="10"/>
        <v>-5.4500069338510607E-2</v>
      </c>
      <c r="E123" s="1068">
        <f t="shared" si="10"/>
        <v>0.3626280111015483</v>
      </c>
      <c r="F123" s="1066">
        <f t="shared" si="10"/>
        <v>0.67997702229572432</v>
      </c>
      <c r="G123" s="1067">
        <f t="shared" si="10"/>
        <v>0.10658020511075152</v>
      </c>
      <c r="H123" s="1068">
        <f t="shared" si="10"/>
        <v>0.75270955685414354</v>
      </c>
      <c r="I123" s="1066">
        <f t="shared" si="10"/>
        <v>0.68457317243488636</v>
      </c>
      <c r="J123" s="1067">
        <f t="shared" si="10"/>
        <v>0.10522314957078965</v>
      </c>
      <c r="K123" s="1068">
        <f t="shared" si="10"/>
        <v>0.75672107111582532</v>
      </c>
      <c r="L123" s="1060">
        <f t="shared" si="10"/>
        <v>4.5961501391620363E-3</v>
      </c>
      <c r="M123" s="1060">
        <f t="shared" si="10"/>
        <v>6.7592727231349809E-3</v>
      </c>
      <c r="N123" s="1069" t="e">
        <f t="shared" si="10"/>
        <v>#REF!</v>
      </c>
      <c r="O123" s="1070" t="str">
        <f>VLOOKUP($B123,$B$14:$R$35,O$36,FALSE)</f>
        <v>= ¯ ¯</v>
      </c>
      <c r="P123" s="130">
        <f t="shared" si="11"/>
        <v>2.9152503149286035</v>
      </c>
      <c r="Q123" s="1071">
        <f t="shared" si="11"/>
        <v>-0.14664752669478531</v>
      </c>
      <c r="R123" s="1065">
        <f t="shared" si="11"/>
        <v>2.8370691340232916</v>
      </c>
      <c r="S123" s="1157"/>
      <c r="T123" s="2865"/>
      <c r="U123" s="2865"/>
      <c r="V123" s="2865"/>
      <c r="W123" s="2865"/>
      <c r="X123" s="2865"/>
      <c r="Y123" s="2865"/>
      <c r="Z123" s="2865"/>
      <c r="AA123" s="2865"/>
      <c r="AB123" s="2865"/>
      <c r="AC123" s="2865"/>
      <c r="AD123" s="2865"/>
      <c r="AE123" s="2865"/>
      <c r="AF123" s="2868"/>
    </row>
    <row r="124" spans="1:47" hidden="1">
      <c r="A124" s="1090" t="s">
        <v>217</v>
      </c>
      <c r="B124" s="73" t="s">
        <v>53</v>
      </c>
      <c r="C124" s="103">
        <f t="shared" si="10"/>
        <v>0.6158872479982318</v>
      </c>
      <c r="D124" s="1067">
        <f t="shared" si="10"/>
        <v>0.11044311863454735</v>
      </c>
      <c r="E124" s="1068">
        <f t="shared" si="10"/>
        <v>0.66127040038880336</v>
      </c>
      <c r="F124" s="1066">
        <f t="shared" si="10"/>
        <v>0.48384306036910518</v>
      </c>
      <c r="G124" s="1067">
        <f t="shared" si="10"/>
        <v>0.2595878527386451</v>
      </c>
      <c r="H124" s="1068">
        <f t="shared" si="10"/>
        <v>0.54381370963962039</v>
      </c>
      <c r="I124" s="1066">
        <f t="shared" si="10"/>
        <v>0.51513010935716153</v>
      </c>
      <c r="J124" s="1067">
        <f t="shared" si="10"/>
        <v>0.26130995158024306</v>
      </c>
      <c r="K124" s="1068">
        <f t="shared" si="10"/>
        <v>0.57929804018594233</v>
      </c>
      <c r="L124" s="1060">
        <f t="shared" si="10"/>
        <v>3.1287048988056343E-2</v>
      </c>
      <c r="M124" s="1060">
        <f t="shared" si="10"/>
        <v>6.4663630732222685E-2</v>
      </c>
      <c r="N124" s="1069" t="e">
        <f t="shared" si="10"/>
        <v>#REF!</v>
      </c>
      <c r="O124" s="1070" t="str">
        <f>VLOOKUP($B124,$B$14:$R$35,O$36,FALSE)</f>
        <v>¯ ¯ ¯</v>
      </c>
      <c r="P124" s="130">
        <f t="shared" si="11"/>
        <v>2.7929780820851775</v>
      </c>
      <c r="Q124" s="1071">
        <f t="shared" si="11"/>
        <v>0.12404595260605845</v>
      </c>
      <c r="R124" s="1065">
        <f t="shared" si="11"/>
        <v>2.8353348809740444</v>
      </c>
      <c r="S124" s="1163"/>
      <c r="T124" s="2865"/>
      <c r="U124" s="2865"/>
      <c r="V124" s="2865"/>
      <c r="W124" s="2865"/>
      <c r="X124" s="2865"/>
      <c r="Y124" s="2865"/>
      <c r="Z124" s="2865"/>
      <c r="AA124" s="2865"/>
      <c r="AB124" s="2865"/>
      <c r="AC124" s="2865"/>
      <c r="AD124" s="2865"/>
      <c r="AE124" s="2865"/>
      <c r="AF124" s="2868"/>
    </row>
    <row r="125" spans="1:47" hidden="1">
      <c r="A125" s="1090" t="s">
        <v>498</v>
      </c>
      <c r="B125" s="73" t="s">
        <v>52</v>
      </c>
      <c r="C125" s="103">
        <f t="shared" si="10"/>
        <v>0.61</v>
      </c>
      <c r="D125" s="1067">
        <f t="shared" si="10"/>
        <v>0</v>
      </c>
      <c r="E125" s="1068">
        <f t="shared" si="10"/>
        <v>0.62983042679437373</v>
      </c>
      <c r="F125" s="1066">
        <f t="shared" si="10"/>
        <v>0.51528895508035288</v>
      </c>
      <c r="G125" s="1067">
        <f t="shared" si="10"/>
        <v>-2.4931247740904369E-2</v>
      </c>
      <c r="H125" s="1068">
        <f t="shared" si="10"/>
        <v>0.51939744871548044</v>
      </c>
      <c r="I125" s="1066">
        <f t="shared" si="10"/>
        <v>0.58808850315066874</v>
      </c>
      <c r="J125" s="1067">
        <f t="shared" si="10"/>
        <v>-2.8226553900756759E-2</v>
      </c>
      <c r="K125" s="1068">
        <f t="shared" si="10"/>
        <v>0.59074959904524027</v>
      </c>
      <c r="L125" s="1060">
        <f t="shared" si="10"/>
        <v>7.2799548070315856E-2</v>
      </c>
      <c r="M125" s="1060">
        <f t="shared" si="10"/>
        <v>0.14127907721011346</v>
      </c>
      <c r="N125" s="1069" t="e">
        <f t="shared" si="10"/>
        <v>#REF!</v>
      </c>
      <c r="O125" s="1070" t="str">
        <f>VLOOKUP($B125,$B$14:$R$35,O$36,FALSE)</f>
        <v>= = =</v>
      </c>
      <c r="P125" s="130">
        <f t="shared" si="11"/>
        <v>2.7906818261625395</v>
      </c>
      <c r="Q125" s="1071">
        <f t="shared" si="11"/>
        <v>8.5841806528642844E-2</v>
      </c>
      <c r="R125" s="1065">
        <f t="shared" si="11"/>
        <v>2.9178287645268703</v>
      </c>
      <c r="S125" s="1157"/>
      <c r="T125" s="79"/>
      <c r="U125" s="2865"/>
      <c r="V125" s="2865"/>
      <c r="W125" s="2865"/>
      <c r="X125" s="2865"/>
      <c r="Y125" s="2865"/>
      <c r="Z125" s="2865"/>
      <c r="AA125" s="2865"/>
      <c r="AB125" s="2865"/>
      <c r="AC125" s="2865"/>
      <c r="AD125" s="2865"/>
      <c r="AE125" s="2865"/>
      <c r="AF125" s="2868"/>
    </row>
    <row r="126" spans="1:47" hidden="1">
      <c r="A126" s="1090" t="s">
        <v>501</v>
      </c>
      <c r="B126" s="73" t="s">
        <v>44</v>
      </c>
      <c r="C126" s="103">
        <f t="shared" si="10"/>
        <v>0.5805147103617575</v>
      </c>
      <c r="D126" s="1067">
        <f t="shared" si="10"/>
        <v>8.4948466413752491E-2</v>
      </c>
      <c r="E126" s="1068">
        <f t="shared" si="10"/>
        <v>0.6264024463118032</v>
      </c>
      <c r="F126" s="1066">
        <f t="shared" si="10"/>
        <v>0.51826084585195908</v>
      </c>
      <c r="G126" s="1067">
        <f t="shared" si="10"/>
        <v>0.40005999871326348</v>
      </c>
      <c r="H126" s="1068">
        <f t="shared" si="10"/>
        <v>0.58973938770950263</v>
      </c>
      <c r="I126" s="1066">
        <f t="shared" si="10"/>
        <v>0.5495689942142129</v>
      </c>
      <c r="J126" s="1067">
        <f t="shared" si="10"/>
        <v>0.40637993517884302</v>
      </c>
      <c r="K126" s="1068">
        <f t="shared" si="10"/>
        <v>0.63323863537070213</v>
      </c>
      <c r="L126" s="1060">
        <f t="shared" si="10"/>
        <v>3.1308148362253818E-2</v>
      </c>
      <c r="M126" s="1060">
        <f t="shared" si="10"/>
        <v>6.0410020577161203E-2</v>
      </c>
      <c r="N126" s="1069" t="e">
        <f t="shared" si="10"/>
        <v>#REF!</v>
      </c>
      <c r="O126" s="1070" t="str">
        <f>VLOOKUP($B126,$B$14:$R$35,O$36,FALSE)</f>
        <v>= = ¯</v>
      </c>
      <c r="P126" s="130">
        <f t="shared" si="11"/>
        <v>2.643581803383519</v>
      </c>
      <c r="Q126" s="1071">
        <f t="shared" si="11"/>
        <v>2.8580691559688957E-2</v>
      </c>
      <c r="R126" s="1065">
        <f t="shared" si="11"/>
        <v>2.5466878830879209</v>
      </c>
      <c r="S126" s="1157"/>
      <c r="T126" s="2865"/>
      <c r="U126" s="2865"/>
      <c r="V126" s="2865"/>
      <c r="W126" s="2865"/>
      <c r="X126" s="2865"/>
      <c r="Y126" s="2865"/>
      <c r="Z126" s="2865"/>
      <c r="AA126" s="2865"/>
      <c r="AB126" s="2865"/>
      <c r="AC126" s="2865"/>
      <c r="AD126" s="2865"/>
      <c r="AE126" s="2865"/>
      <c r="AF126" s="2868"/>
    </row>
    <row r="127" spans="1:47" hidden="1">
      <c r="A127" s="1090" t="s">
        <v>539</v>
      </c>
      <c r="B127" s="73" t="s">
        <v>39</v>
      </c>
      <c r="C127" s="103">
        <f t="shared" si="10"/>
        <v>0.31054928118178421</v>
      </c>
      <c r="D127" s="1067">
        <f t="shared" si="10"/>
        <v>-0.11491916916279199</v>
      </c>
      <c r="E127" s="1068">
        <f t="shared" si="10"/>
        <v>0.28165979767703259</v>
      </c>
      <c r="F127" s="1066">
        <f t="shared" si="10"/>
        <v>0.3899242463002407</v>
      </c>
      <c r="G127" s="1067">
        <f t="shared" si="10"/>
        <v>-0.1197676600756727</v>
      </c>
      <c r="H127" s="1068">
        <f t="shared" si="10"/>
        <v>0.37944762378701169</v>
      </c>
      <c r="I127" s="1066">
        <f t="shared" si="10"/>
        <v>0.45093517146474416</v>
      </c>
      <c r="J127" s="1067">
        <f t="shared" si="10"/>
        <v>-8.3572610535330494E-2</v>
      </c>
      <c r="K127" s="1068">
        <f t="shared" si="10"/>
        <v>0.43916945384982109</v>
      </c>
      <c r="L127" s="1060">
        <f t="shared" si="10"/>
        <v>6.101092516450346E-2</v>
      </c>
      <c r="M127" s="1060">
        <f t="shared" si="10"/>
        <v>0.15646866216553562</v>
      </c>
      <c r="N127" s="1069" t="e">
        <f t="shared" si="10"/>
        <v>#REF!</v>
      </c>
      <c r="O127" s="1070" t="str">
        <f>VLOOKUP($B127,$B$14:$R$35,O$36,FALSE)</f>
        <v>­ = =</v>
      </c>
      <c r="P127" s="130">
        <f t="shared" si="11"/>
        <v>2.6587814840492587</v>
      </c>
      <c r="Q127" s="1071">
        <f t="shared" si="11"/>
        <v>-0.25803195656746131</v>
      </c>
      <c r="R127" s="1065">
        <f t="shared" si="11"/>
        <v>2.5933932385229874</v>
      </c>
      <c r="S127" s="1162"/>
      <c r="T127" s="2865"/>
      <c r="U127" s="2865"/>
      <c r="V127" s="2865"/>
      <c r="W127" s="2865"/>
      <c r="X127" s="2865"/>
      <c r="Y127" s="2865"/>
      <c r="Z127" s="2865"/>
      <c r="AA127" s="2865"/>
      <c r="AB127" s="2865"/>
      <c r="AC127" s="2865"/>
      <c r="AD127" s="2865"/>
      <c r="AE127" s="2865"/>
      <c r="AF127" s="2868"/>
    </row>
    <row r="128" spans="1:47" hidden="1">
      <c r="A128" s="1090" t="s">
        <v>19</v>
      </c>
      <c r="B128" s="150" t="s">
        <v>286</v>
      </c>
      <c r="C128" s="103">
        <f t="shared" si="10"/>
        <v>0.60741568747204655</v>
      </c>
      <c r="D128" s="1067">
        <f t="shared" si="10"/>
        <v>4.0950219141690898E-2</v>
      </c>
      <c r="E128" s="1068">
        <f t="shared" si="10"/>
        <v>0.62738172243152124</v>
      </c>
      <c r="F128" s="1066">
        <f t="shared" si="10"/>
        <v>0.50834561454306215</v>
      </c>
      <c r="G128" s="1067">
        <f t="shared" si="10"/>
        <v>0.27477182203191691</v>
      </c>
      <c r="H128" s="1068">
        <f t="shared" si="10"/>
        <v>0.61196382356206247</v>
      </c>
      <c r="I128" s="1066">
        <f t="shared" si="10"/>
        <v>0.54898628094174651</v>
      </c>
      <c r="J128" s="1067">
        <f t="shared" si="10"/>
        <v>0.26756473067663017</v>
      </c>
      <c r="K128" s="1068">
        <f t="shared" si="10"/>
        <v>0.65530118542007598</v>
      </c>
      <c r="L128" s="1060">
        <f t="shared" si="10"/>
        <v>4.0640666398684355E-2</v>
      </c>
      <c r="M128" s="1060">
        <f t="shared" si="10"/>
        <v>7.9946920433679999E-2</v>
      </c>
      <c r="N128" s="1069" t="e">
        <f t="shared" si="10"/>
        <v>#REF!</v>
      </c>
      <c r="O128" s="1070"/>
      <c r="P128" s="130">
        <f t="shared" si="11"/>
        <v>2.5321561588471506</v>
      </c>
      <c r="Q128" s="1071">
        <f t="shared" si="11"/>
        <v>1.3257606300410854E-2</v>
      </c>
      <c r="R128" s="1065">
        <f t="shared" si="11"/>
        <v>2.8138910595815916</v>
      </c>
      <c r="S128" s="1157"/>
      <c r="T128" s="2865"/>
      <c r="U128" s="2865"/>
      <c r="V128" s="2865"/>
      <c r="W128" s="2865"/>
      <c r="X128" s="2865"/>
      <c r="Y128" s="2865"/>
      <c r="Z128" s="2865"/>
      <c r="AA128" s="2865"/>
      <c r="AB128" s="2865"/>
      <c r="AC128" s="2865"/>
      <c r="AD128" s="2865"/>
      <c r="AE128" s="2865"/>
      <c r="AF128" s="2868"/>
    </row>
    <row r="129" spans="1:32" hidden="1">
      <c r="A129" s="1090" t="s">
        <v>385</v>
      </c>
      <c r="B129" s="73" t="s">
        <v>276</v>
      </c>
      <c r="C129" s="103">
        <f t="shared" si="10"/>
        <v>0.60910298289809772</v>
      </c>
      <c r="D129" s="1067">
        <f t="shared" si="10"/>
        <v>-5.2071170724915891E-2</v>
      </c>
      <c r="E129" s="1068">
        <f t="shared" si="10"/>
        <v>0.6207941242005639</v>
      </c>
      <c r="F129" s="1066">
        <f t="shared" si="10"/>
        <v>0.49050145598877937</v>
      </c>
      <c r="G129" s="1067">
        <f t="shared" si="10"/>
        <v>0.42102559519407173</v>
      </c>
      <c r="H129" s="1068">
        <f t="shared" si="10"/>
        <v>0.61744816018521742</v>
      </c>
      <c r="I129" s="1066">
        <f t="shared" si="10"/>
        <v>0.49698573886957192</v>
      </c>
      <c r="J129" s="1067">
        <f t="shared" si="10"/>
        <v>0.41032171167013903</v>
      </c>
      <c r="K129" s="1068">
        <f t="shared" si="10"/>
        <v>0.62319136029119382</v>
      </c>
      <c r="L129" s="1060">
        <f t="shared" si="10"/>
        <v>6.4842828807925579E-3</v>
      </c>
      <c r="M129" s="1060">
        <f t="shared" si="10"/>
        <v>1.3219701596443154E-2</v>
      </c>
      <c r="N129" s="1069" t="e">
        <f t="shared" si="10"/>
        <v>#REF!</v>
      </c>
      <c r="O129" s="1070" t="str">
        <f>VLOOKUP($B129,$B$14:$R$35,O$36,FALSE)</f>
        <v>= ¯</v>
      </c>
      <c r="P129" s="130">
        <f t="shared" si="11"/>
        <v>2.1902281092407181</v>
      </c>
      <c r="Q129" s="1071">
        <f t="shared" si="11"/>
        <v>0.36844726500440206</v>
      </c>
      <c r="R129" s="1065">
        <f t="shared" si="11"/>
        <v>2.5252968522290931</v>
      </c>
      <c r="S129" s="1157"/>
      <c r="T129" s="2865"/>
      <c r="U129" s="2865"/>
      <c r="V129" s="2865"/>
      <c r="W129" s="2865"/>
      <c r="X129" s="2865"/>
      <c r="Y129" s="2865"/>
      <c r="Z129" s="2865"/>
      <c r="AA129" s="2865"/>
      <c r="AB129" s="2865"/>
      <c r="AC129" s="2865"/>
      <c r="AD129" s="2865"/>
      <c r="AE129" s="2865"/>
      <c r="AF129" s="2868"/>
    </row>
    <row r="130" spans="1:32" hidden="1">
      <c r="A130" s="1090" t="s">
        <v>374</v>
      </c>
      <c r="B130" s="73" t="s">
        <v>42</v>
      </c>
      <c r="C130" s="103">
        <f t="shared" si="10"/>
        <v>0.56323171407839789</v>
      </c>
      <c r="D130" s="1067">
        <f t="shared" si="10"/>
        <v>-0.12023286586287618</v>
      </c>
      <c r="E130" s="1068">
        <f t="shared" si="10"/>
        <v>0.53987730061349704</v>
      </c>
      <c r="F130" s="1066">
        <f t="shared" si="10"/>
        <v>0.60887331285954671</v>
      </c>
      <c r="G130" s="1067">
        <f t="shared" si="10"/>
        <v>-0.37303497156800469</v>
      </c>
      <c r="H130" s="1068">
        <f t="shared" si="10"/>
        <v>0.37659759063604481</v>
      </c>
      <c r="I130" s="1066">
        <f t="shared" si="10"/>
        <v>0.63388271448107447</v>
      </c>
      <c r="J130" s="1067">
        <f t="shared" si="10"/>
        <v>-0.25869992498286548</v>
      </c>
      <c r="K130" s="1068">
        <f t="shared" si="10"/>
        <v>0.44527495080222473</v>
      </c>
      <c r="L130" s="1060">
        <f t="shared" si="10"/>
        <v>2.500940162152776E-2</v>
      </c>
      <c r="M130" s="1060">
        <f t="shared" si="10"/>
        <v>4.1074885519406669E-2</v>
      </c>
      <c r="N130" s="1069" t="e">
        <f t="shared" si="10"/>
        <v>#REF!</v>
      </c>
      <c r="O130" s="1070" t="str">
        <f>VLOOKUP($B130,$B$14:$R$35,O$36,FALSE)</f>
        <v>= =</v>
      </c>
      <c r="P130" s="130">
        <f t="shared" si="11"/>
        <v>2.172629043332774</v>
      </c>
      <c r="Q130" s="1071">
        <f t="shared" si="11"/>
        <v>-0.22035736928264804</v>
      </c>
      <c r="R130" s="1065">
        <f t="shared" si="11"/>
        <v>1.5517268924243866</v>
      </c>
      <c r="S130" s="1157"/>
      <c r="T130" s="2865"/>
      <c r="U130" s="2865"/>
      <c r="V130" s="2865"/>
      <c r="W130" s="2865"/>
      <c r="X130" s="2865"/>
      <c r="Y130" s="2865"/>
      <c r="Z130" s="2865"/>
      <c r="AA130" s="2865"/>
      <c r="AB130" s="2865"/>
      <c r="AC130" s="2865"/>
      <c r="AD130" s="2865"/>
      <c r="AE130" s="2865"/>
      <c r="AF130" s="2868"/>
    </row>
    <row r="131" spans="1:32" hidden="1">
      <c r="A131" s="1090" t="s">
        <v>504</v>
      </c>
      <c r="B131" s="73" t="s">
        <v>288</v>
      </c>
      <c r="C131" s="103">
        <f t="shared" si="10"/>
        <v>0.32615050588405037</v>
      </c>
      <c r="D131" s="1067">
        <f t="shared" si="10"/>
        <v>-8.7660674172335792E-2</v>
      </c>
      <c r="E131" s="1068">
        <f t="shared" si="10"/>
        <v>0.30985103942866765</v>
      </c>
      <c r="F131" s="1066">
        <f t="shared" si="10"/>
        <v>0.30558583418722468</v>
      </c>
      <c r="G131" s="1067">
        <f t="shared" si="10"/>
        <v>-0.13620468181810452</v>
      </c>
      <c r="H131" s="1068">
        <f t="shared" si="10"/>
        <v>0.29018390059321952</v>
      </c>
      <c r="I131" s="1066">
        <f t="shared" si="10"/>
        <v>0.31922230141848357</v>
      </c>
      <c r="J131" s="1067">
        <f t="shared" si="10"/>
        <v>-0.13496032758973828</v>
      </c>
      <c r="K131" s="1068">
        <f t="shared" si="10"/>
        <v>0.30362227391248225</v>
      </c>
      <c r="L131" s="1060">
        <f t="shared" si="10"/>
        <v>1.3636467231258886E-2</v>
      </c>
      <c r="M131" s="1060">
        <f t="shared" si="10"/>
        <v>4.4624016252350789E-2</v>
      </c>
      <c r="N131" s="1069" t="e">
        <f t="shared" si="10"/>
        <v>#REF!</v>
      </c>
      <c r="O131" s="1070" t="str">
        <f>VLOOKUP($B131,$B$14:$R$35,O$36,FALSE)</f>
        <v>= =</v>
      </c>
      <c r="P131" s="130">
        <f t="shared" si="11"/>
        <v>2.1579177629636748</v>
      </c>
      <c r="Q131" s="1071">
        <f t="shared" si="11"/>
        <v>6.0078851309961184E-2</v>
      </c>
      <c r="R131" s="1065">
        <f t="shared" si="11"/>
        <v>2.3009327536910358</v>
      </c>
      <c r="S131" s="1158"/>
      <c r="T131" s="2865"/>
      <c r="U131" s="2865"/>
      <c r="V131" s="2865"/>
      <c r="W131" s="2865"/>
      <c r="X131" s="2865"/>
      <c r="Y131" s="2865"/>
      <c r="Z131" s="2865"/>
      <c r="AA131" s="2865"/>
      <c r="AB131" s="2865"/>
      <c r="AC131" s="2865"/>
      <c r="AD131" s="2865"/>
      <c r="AE131" s="2865"/>
      <c r="AF131" s="2868"/>
    </row>
    <row r="132" spans="1:32" hidden="1">
      <c r="A132" s="1090" t="s">
        <v>32</v>
      </c>
      <c r="B132" s="73" t="s">
        <v>50</v>
      </c>
      <c r="C132" s="103">
        <f t="shared" si="10"/>
        <v>0</v>
      </c>
      <c r="D132" s="1067">
        <f t="shared" si="10"/>
        <v>0</v>
      </c>
      <c r="E132" s="1068">
        <f t="shared" si="10"/>
        <v>0</v>
      </c>
      <c r="F132" s="1066">
        <f t="shared" si="10"/>
        <v>0.37025195227815472</v>
      </c>
      <c r="G132" s="1067">
        <f t="shared" si="10"/>
        <v>-0.46222821771061889</v>
      </c>
      <c r="H132" s="1068">
        <f t="shared" si="10"/>
        <v>0.26403640782716253</v>
      </c>
      <c r="I132" s="1066">
        <f t="shared" si="10"/>
        <v>0.48927059752514818</v>
      </c>
      <c r="J132" s="1067">
        <f t="shared" si="10"/>
        <v>-0.38189416595312975</v>
      </c>
      <c r="K132" s="1068">
        <f t="shared" si="10"/>
        <v>0.37414035756341019</v>
      </c>
      <c r="L132" s="1060">
        <f t="shared" si="10"/>
        <v>0.11901864524699346</v>
      </c>
      <c r="M132" s="1060">
        <f t="shared" si="10"/>
        <v>0.32145312000294263</v>
      </c>
      <c r="N132" s="1069" t="e">
        <f t="shared" si="10"/>
        <v>#REF!</v>
      </c>
      <c r="O132" s="1070" t="str">
        <f>VLOOKUP($B132,$B$14:$R$35,O$36,FALSE)</f>
        <v>= =</v>
      </c>
      <c r="P132" s="130">
        <f t="shared" si="11"/>
        <v>2.2664974928712622</v>
      </c>
      <c r="Q132" s="1071">
        <f t="shared" si="11"/>
        <v>-0.12537902502142731</v>
      </c>
      <c r="R132" s="1065">
        <f t="shared" si="11"/>
        <v>2.136201464388483</v>
      </c>
      <c r="S132" s="1159"/>
      <c r="T132" s="2865"/>
      <c r="U132" s="2865"/>
      <c r="V132" s="2865"/>
      <c r="W132" s="2865"/>
      <c r="X132" s="2865"/>
      <c r="Y132" s="2865"/>
      <c r="Z132" s="2865"/>
      <c r="AA132" s="2865"/>
      <c r="AB132" s="2865"/>
      <c r="AC132" s="2865"/>
      <c r="AD132" s="2865"/>
      <c r="AE132" s="2865"/>
      <c r="AF132" s="2868"/>
    </row>
    <row r="133" spans="1:32" hidden="1">
      <c r="A133" s="1090" t="s">
        <v>32</v>
      </c>
      <c r="B133" s="73" t="s">
        <v>277</v>
      </c>
      <c r="C133" s="103">
        <f t="shared" si="10"/>
        <v>0.91487499999999988</v>
      </c>
      <c r="D133" s="1067">
        <f t="shared" si="10"/>
        <v>-4.3736501079913587E-2</v>
      </c>
      <c r="E133" s="1068">
        <f t="shared" si="10"/>
        <v>0.89481420237931208</v>
      </c>
      <c r="F133" s="1066">
        <f t="shared" si="10"/>
        <v>0.24509229252810941</v>
      </c>
      <c r="G133" s="1067">
        <f t="shared" si="10"/>
        <v>-0.16501821733667812</v>
      </c>
      <c r="H133" s="1068">
        <f t="shared" si="10"/>
        <v>0.23828807339295358</v>
      </c>
      <c r="I133" s="1066">
        <f t="shared" si="10"/>
        <v>0.27870192226407053</v>
      </c>
      <c r="J133" s="1067">
        <f t="shared" si="10"/>
        <v>-0.14309331637647091</v>
      </c>
      <c r="K133" s="1068">
        <f t="shared" si="10"/>
        <v>0.2718321660431175</v>
      </c>
      <c r="L133" s="1060">
        <f t="shared" si="10"/>
        <v>3.3609629735961127E-2</v>
      </c>
      <c r="M133" s="1060">
        <f t="shared" si="10"/>
        <v>0.13713050455108242</v>
      </c>
      <c r="N133" s="1069" t="e">
        <f t="shared" si="10"/>
        <v>#REF!</v>
      </c>
      <c r="O133" s="1070"/>
      <c r="P133" s="130">
        <f t="shared" si="11"/>
        <v>2.0880314655341889</v>
      </c>
      <c r="Q133" s="1071">
        <f t="shared" si="11"/>
        <v>-3.7762767487534328E-2</v>
      </c>
      <c r="R133" s="1065">
        <f t="shared" si="11"/>
        <v>2.3348198024327131</v>
      </c>
      <c r="S133" s="1159"/>
      <c r="T133" s="2865"/>
      <c r="U133" s="2865"/>
      <c r="V133" s="2865"/>
      <c r="W133" s="2865"/>
      <c r="X133" s="2865"/>
      <c r="Y133" s="2865"/>
      <c r="Z133" s="2865"/>
      <c r="AA133" s="2865"/>
      <c r="AB133" s="2865"/>
      <c r="AC133" s="2865"/>
      <c r="AD133" s="2865"/>
      <c r="AE133" s="2865"/>
      <c r="AF133" s="2868"/>
    </row>
    <row r="134" spans="1:32" hidden="1">
      <c r="A134" s="1090" t="s">
        <v>503</v>
      </c>
      <c r="B134" s="73" t="s">
        <v>282</v>
      </c>
      <c r="C134" s="103">
        <f t="shared" si="10"/>
        <v>0.67984865616162071</v>
      </c>
      <c r="D134" s="1067">
        <f t="shared" si="10"/>
        <v>0.13956056160252914</v>
      </c>
      <c r="E134" s="1068">
        <f t="shared" si="10"/>
        <v>0.7167630057803468</v>
      </c>
      <c r="F134" s="1066">
        <f t="shared" si="10"/>
        <v>0.23215418017261674</v>
      </c>
      <c r="G134" s="1067">
        <f t="shared" si="10"/>
        <v>0.36187217108516367</v>
      </c>
      <c r="H134" s="1068">
        <f t="shared" si="10"/>
        <v>0.26525179681706468</v>
      </c>
      <c r="I134" s="1066">
        <f t="shared" si="10"/>
        <v>0.2501311526811702</v>
      </c>
      <c r="J134" s="1067">
        <f t="shared" si="10"/>
        <v>0.31916438327965047</v>
      </c>
      <c r="K134" s="1068">
        <f t="shared" si="10"/>
        <v>0.28287599661626001</v>
      </c>
      <c r="L134" s="1060">
        <f t="shared" si="10"/>
        <v>1.7976972508553457E-2</v>
      </c>
      <c r="M134" s="1060">
        <f t="shared" si="10"/>
        <v>7.7435489187344358E-2</v>
      </c>
      <c r="N134" s="1069" t="e">
        <f t="shared" si="10"/>
        <v>#REF!</v>
      </c>
      <c r="O134" s="1070" t="str">
        <f>VLOOKUP($B134,$B$14:$R$35,O$36,FALSE)</f>
        <v>= =</v>
      </c>
      <c r="P134" s="130">
        <f t="shared" si="11"/>
        <v>1.845874038975184</v>
      </c>
      <c r="Q134" s="1071">
        <f t="shared" si="11"/>
        <v>0.36079457239176377</v>
      </c>
      <c r="R134" s="1065">
        <f t="shared" si="11"/>
        <v>2.1424428051274771</v>
      </c>
      <c r="S134" s="1158"/>
      <c r="T134" s="2865"/>
      <c r="U134" s="2865"/>
      <c r="V134" s="2865"/>
      <c r="W134" s="2865"/>
      <c r="X134" s="2865"/>
      <c r="Y134" s="2865"/>
      <c r="Z134" s="2865"/>
      <c r="AA134" s="2865"/>
      <c r="AB134" s="2865"/>
      <c r="AC134" s="2865"/>
      <c r="AD134" s="2865"/>
      <c r="AE134" s="2865"/>
      <c r="AF134" s="2868"/>
    </row>
    <row r="135" spans="1:32" hidden="1">
      <c r="A135" s="1090" t="s">
        <v>27</v>
      </c>
      <c r="B135" s="73" t="s">
        <v>353</v>
      </c>
      <c r="C135" s="103">
        <f t="shared" si="10"/>
        <v>0.90539538726018864</v>
      </c>
      <c r="D135" s="1067">
        <f t="shared" si="10"/>
        <v>-4.1189056985539901E-2</v>
      </c>
      <c r="E135" s="1068">
        <f t="shared" si="10"/>
        <v>0.90138346931536006</v>
      </c>
      <c r="F135" s="1066">
        <f t="shared" si="10"/>
        <v>0.38160323267486906</v>
      </c>
      <c r="G135" s="1067">
        <f t="shared" si="10"/>
        <v>0.13281779457810056</v>
      </c>
      <c r="H135" s="1068">
        <f t="shared" si="10"/>
        <v>0.39444904186551905</v>
      </c>
      <c r="I135" s="1066">
        <f t="shared" si="10"/>
        <v>0.47841518539184064</v>
      </c>
      <c r="J135" s="1067">
        <f t="shared" si="10"/>
        <v>1.1717685634717274E-2</v>
      </c>
      <c r="K135" s="1068">
        <f t="shared" si="10"/>
        <v>0.46507375880431212</v>
      </c>
      <c r="L135" s="1060">
        <f t="shared" si="10"/>
        <v>9.6811952716971572E-2</v>
      </c>
      <c r="M135" s="1060">
        <f t="shared" si="10"/>
        <v>0.25369793656715856</v>
      </c>
      <c r="N135" s="1069" t="str">
        <f t="shared" si="10"/>
        <v>No rating</v>
      </c>
      <c r="O135" s="1070"/>
      <c r="P135" s="130">
        <f t="shared" si="11"/>
        <v>1.832329792526622</v>
      </c>
      <c r="Q135" s="1071">
        <f t="shared" si="11"/>
        <v>-9.9442962217240083E-2</v>
      </c>
      <c r="R135" s="1065">
        <f t="shared" si="11"/>
        <v>1.8160302149559577</v>
      </c>
      <c r="S135" s="1160"/>
      <c r="T135" s="2865"/>
      <c r="U135" s="2865"/>
      <c r="V135" s="2865"/>
      <c r="W135" s="2865"/>
      <c r="X135" s="2865"/>
      <c r="Y135" s="2865"/>
      <c r="Z135" s="2865"/>
      <c r="AA135" s="2865"/>
      <c r="AB135" s="2865"/>
      <c r="AC135" s="2865"/>
      <c r="AD135" s="2865"/>
      <c r="AE135" s="2865"/>
      <c r="AF135" s="2868"/>
    </row>
    <row r="136" spans="1:32" hidden="1">
      <c r="A136" s="1090" t="s">
        <v>73</v>
      </c>
      <c r="B136" s="73" t="s">
        <v>283</v>
      </c>
      <c r="C136" s="103">
        <f t="shared" si="10"/>
        <v>0.62657499999999999</v>
      </c>
      <c r="D136" s="1067">
        <f t="shared" si="10"/>
        <v>5.5614710459497153E-2</v>
      </c>
      <c r="E136" s="1068">
        <f t="shared" si="10"/>
        <v>0.64439999999999997</v>
      </c>
      <c r="F136" s="1066">
        <f t="shared" si="10"/>
        <v>0.24190098439360719</v>
      </c>
      <c r="G136" s="1067">
        <f t="shared" si="10"/>
        <v>0.20667512064869559</v>
      </c>
      <c r="H136" s="1068">
        <f t="shared" si="10"/>
        <v>0.30597960586046052</v>
      </c>
      <c r="I136" s="1066">
        <f t="shared" si="10"/>
        <v>0.2616424852780464</v>
      </c>
      <c r="J136" s="1067">
        <f t="shared" si="10"/>
        <v>0.20296552626351777</v>
      </c>
      <c r="K136" s="1068">
        <f t="shared" si="10"/>
        <v>0.32061814749302248</v>
      </c>
      <c r="L136" s="1060">
        <f t="shared" si="10"/>
        <v>1.9741500884439211E-2</v>
      </c>
      <c r="M136" s="1060">
        <f t="shared" si="10"/>
        <v>8.1609841042717679E-2</v>
      </c>
      <c r="N136" s="1069" t="e">
        <f t="shared" si="10"/>
        <v>#REF!</v>
      </c>
      <c r="O136" s="1070" t="str">
        <f>VLOOKUP($B136,$B$14:$R$35,O$36,FALSE)</f>
        <v>= =</v>
      </c>
      <c r="P136" s="130">
        <f t="shared" si="11"/>
        <v>1.7511002028712532</v>
      </c>
      <c r="Q136" s="1071">
        <f t="shared" si="11"/>
        <v>0.37093258903528414</v>
      </c>
      <c r="R136" s="1065">
        <f t="shared" si="11"/>
        <v>2.2311132077757287</v>
      </c>
      <c r="S136" s="1158"/>
      <c r="T136" s="2865"/>
      <c r="U136" s="2865"/>
      <c r="V136" s="2865"/>
      <c r="W136" s="2865"/>
      <c r="X136" s="2865"/>
      <c r="Y136" s="2865"/>
      <c r="Z136" s="2865"/>
      <c r="AA136" s="2865"/>
      <c r="AB136" s="2865"/>
      <c r="AC136" s="2865"/>
      <c r="AD136" s="2865"/>
      <c r="AE136" s="2865"/>
      <c r="AF136" s="2868"/>
    </row>
    <row r="137" spans="1:32" hidden="1">
      <c r="A137" s="1090" t="s">
        <v>503</v>
      </c>
      <c r="B137" s="73" t="s">
        <v>280</v>
      </c>
      <c r="C137" s="103">
        <f t="shared" ref="C137:N142" si="12">VLOOKUP($B137,$B$14:$R$35,C$36,FALSE)</f>
        <v>0.67083419702973635</v>
      </c>
      <c r="D137" s="1067">
        <f t="shared" si="12"/>
        <v>-0.11335389957676706</v>
      </c>
      <c r="E137" s="1068">
        <f t="shared" si="12"/>
        <v>0.63639387890884902</v>
      </c>
      <c r="F137" s="1066">
        <f t="shared" si="12"/>
        <v>0.1536920907726812</v>
      </c>
      <c r="G137" s="1067">
        <f t="shared" si="12"/>
        <v>1.6283818604559013</v>
      </c>
      <c r="H137" s="1068">
        <f t="shared" si="12"/>
        <v>0.2022242346359609</v>
      </c>
      <c r="I137" s="1066">
        <f t="shared" si="12"/>
        <v>0.20961441125119315</v>
      </c>
      <c r="J137" s="1067">
        <f t="shared" si="12"/>
        <v>0.84200521424561081</v>
      </c>
      <c r="K137" s="1068">
        <f t="shared" si="12"/>
        <v>0.28147528322389997</v>
      </c>
      <c r="L137" s="1060">
        <f t="shared" si="12"/>
        <v>5.592232047851195E-2</v>
      </c>
      <c r="M137" s="1060">
        <f t="shared" si="12"/>
        <v>0.36385945559959909</v>
      </c>
      <c r="N137" s="1069" t="str">
        <f t="shared" si="12"/>
        <v>No rating</v>
      </c>
      <c r="O137" s="1070"/>
      <c r="P137" s="130">
        <f t="shared" si="11"/>
        <v>1.4399592566697517</v>
      </c>
      <c r="Q137" s="1071">
        <f t="shared" si="11"/>
        <v>0.8442860967329926</v>
      </c>
      <c r="R137" s="1065">
        <f t="shared" si="11"/>
        <v>1.5521418473212367</v>
      </c>
      <c r="S137" s="1158"/>
      <c r="T137" s="2865"/>
      <c r="U137" s="2865"/>
      <c r="V137" s="2865"/>
      <c r="W137" s="2865"/>
      <c r="X137" s="2865"/>
      <c r="Y137" s="2865"/>
      <c r="Z137" s="2865"/>
      <c r="AA137" s="2865"/>
      <c r="AB137" s="2865"/>
      <c r="AC137" s="2865"/>
      <c r="AD137" s="2865"/>
      <c r="AE137" s="2865"/>
      <c r="AF137" s="2868"/>
    </row>
    <row r="138" spans="1:32" hidden="1">
      <c r="A138" s="1090" t="s">
        <v>19</v>
      </c>
      <c r="B138" s="73" t="s">
        <v>285</v>
      </c>
      <c r="C138" s="103">
        <f t="shared" si="12"/>
        <v>9.1630231095150338E-2</v>
      </c>
      <c r="D138" s="1084" t="str">
        <f t="shared" si="12"/>
        <v>¥</v>
      </c>
      <c r="E138" s="1068">
        <f t="shared" si="12"/>
        <v>0.34976819018989347</v>
      </c>
      <c r="F138" s="1066">
        <f t="shared" si="12"/>
        <v>0.13477545507373562</v>
      </c>
      <c r="G138" s="1067">
        <f t="shared" si="12"/>
        <v>-0.4264373226073967</v>
      </c>
      <c r="H138" s="1068">
        <f t="shared" si="12"/>
        <v>9.7905485588969735E-2</v>
      </c>
      <c r="I138" s="1066">
        <f t="shared" si="12"/>
        <v>0.16024846762312819</v>
      </c>
      <c r="J138" s="1067">
        <f t="shared" si="12"/>
        <v>-0.25253039609468159</v>
      </c>
      <c r="K138" s="1068">
        <f t="shared" si="12"/>
        <v>0.12849893093161849</v>
      </c>
      <c r="L138" s="1060">
        <f t="shared" si="12"/>
        <v>2.5473012549392576E-2</v>
      </c>
      <c r="M138" s="1060">
        <f t="shared" si="12"/>
        <v>0.18900335031669008</v>
      </c>
      <c r="N138" s="1069" t="str">
        <f t="shared" si="12"/>
        <v>No rating</v>
      </c>
      <c r="O138" s="1070"/>
      <c r="P138" s="130">
        <f t="shared" si="11"/>
        <v>1.265551414722516</v>
      </c>
      <c r="Q138" s="1071">
        <f t="shared" si="11"/>
        <v>0.38040351489576829</v>
      </c>
      <c r="R138" s="1065">
        <f t="shared" si="11"/>
        <v>1.242834927692577</v>
      </c>
      <c r="S138" s="1161"/>
      <c r="T138" s="2865"/>
      <c r="U138" s="2865"/>
      <c r="V138" s="2865"/>
      <c r="W138" s="2865"/>
      <c r="X138" s="2865"/>
      <c r="Y138" s="2865"/>
      <c r="Z138" s="2865"/>
      <c r="AA138" s="2865"/>
      <c r="AB138" s="2865"/>
      <c r="AC138" s="2865"/>
      <c r="AD138" s="2865"/>
      <c r="AE138" s="2865"/>
      <c r="AF138" s="2868"/>
    </row>
    <row r="139" spans="1:32" hidden="1">
      <c r="A139" s="1091" t="s">
        <v>319</v>
      </c>
      <c r="B139" s="691" t="s">
        <v>751</v>
      </c>
      <c r="C139" s="1013">
        <f t="shared" si="12"/>
        <v>0.95644485424869818</v>
      </c>
      <c r="D139" s="1079">
        <f t="shared" si="12"/>
        <v>5.7346309608293736E-3</v>
      </c>
      <c r="E139" s="1080">
        <f t="shared" si="12"/>
        <v>0.97265268915223335</v>
      </c>
      <c r="F139" s="1078">
        <f t="shared" si="12"/>
        <v>0.16489915086810925</v>
      </c>
      <c r="G139" s="1079">
        <f t="shared" si="12"/>
        <v>2.0043608623878186</v>
      </c>
      <c r="H139" s="1080">
        <f t="shared" si="12"/>
        <v>0.32988338723452482</v>
      </c>
      <c r="I139" s="1078">
        <f t="shared" si="12"/>
        <v>0.27218937885351913</v>
      </c>
      <c r="J139" s="1079">
        <f t="shared" si="12"/>
        <v>1.2181747217666232</v>
      </c>
      <c r="K139" s="1080">
        <f t="shared" si="12"/>
        <v>0.4561905930983241</v>
      </c>
      <c r="L139" s="1072">
        <f t="shared" si="12"/>
        <v>0.10729022798540988</v>
      </c>
      <c r="M139" s="1072">
        <f t="shared" si="12"/>
        <v>0.65064148250965514</v>
      </c>
      <c r="N139" s="1081" t="str">
        <f t="shared" si="12"/>
        <v>No rating</v>
      </c>
      <c r="O139" s="1082"/>
      <c r="P139" s="1201">
        <f t="shared" si="11"/>
        <v>1.2440956586918632</v>
      </c>
      <c r="Q139" s="1083">
        <f t="shared" si="11"/>
        <v>0.5581122698382367</v>
      </c>
      <c r="R139" s="1077">
        <f t="shared" si="11"/>
        <v>1.6771658832683087</v>
      </c>
      <c r="S139" s="1160"/>
      <c r="T139" s="2865"/>
      <c r="U139" s="2865"/>
      <c r="V139" s="2865"/>
      <c r="W139" s="2865"/>
      <c r="X139" s="2865"/>
      <c r="Y139" s="2865"/>
      <c r="Z139" s="2865"/>
      <c r="AA139" s="2865"/>
      <c r="AB139" s="2865"/>
      <c r="AC139" s="2865"/>
      <c r="AD139" s="2865"/>
      <c r="AE139" s="2865"/>
      <c r="AF139" s="2868"/>
    </row>
    <row r="140" spans="1:32" hidden="1">
      <c r="A140" s="1090" t="s">
        <v>500</v>
      </c>
      <c r="B140" s="73" t="s">
        <v>279</v>
      </c>
      <c r="C140" s="103">
        <f t="shared" si="12"/>
        <v>0.7344324868237998</v>
      </c>
      <c r="D140" s="1067">
        <f t="shared" si="12"/>
        <v>0.10784712869930438</v>
      </c>
      <c r="E140" s="1068">
        <f t="shared" si="12"/>
        <v>0.74956908795771016</v>
      </c>
      <c r="F140" s="1066">
        <f t="shared" si="12"/>
        <v>0.14726898954609682</v>
      </c>
      <c r="G140" s="1067">
        <f t="shared" si="12"/>
        <v>4.9939774449528171E-2</v>
      </c>
      <c r="H140" s="1068">
        <f t="shared" si="12"/>
        <v>0.17272839211728983</v>
      </c>
      <c r="I140" s="1066">
        <f t="shared" si="12"/>
        <v>0.18443136241749356</v>
      </c>
      <c r="J140" s="1067">
        <f t="shared" si="12"/>
        <v>-5.7258906752796622E-2</v>
      </c>
      <c r="K140" s="1068">
        <f t="shared" si="12"/>
        <v>0.198117589718218</v>
      </c>
      <c r="L140" s="1060">
        <f t="shared" si="12"/>
        <v>3.7162372871396732E-2</v>
      </c>
      <c r="M140" s="1060">
        <f t="shared" si="12"/>
        <v>0.25234350412762557</v>
      </c>
      <c r="N140" s="1069" t="e">
        <f t="shared" si="12"/>
        <v>#REF!</v>
      </c>
      <c r="O140" s="1070" t="str">
        <f>VLOOKUP($B140,$B$14:$R$35,O$36,FALSE)</f>
        <v>= =</v>
      </c>
      <c r="P140" s="130">
        <f t="shared" si="11"/>
        <v>1.0395975936863313</v>
      </c>
      <c r="Q140" s="1071">
        <f t="shared" si="11"/>
        <v>2.9438923535487854E-2</v>
      </c>
      <c r="R140" s="1065">
        <f t="shared" si="11"/>
        <v>1.2087727199953455</v>
      </c>
      <c r="S140" s="1158"/>
      <c r="T140" s="2865"/>
      <c r="U140" s="2865"/>
      <c r="V140" s="2865"/>
      <c r="W140" s="2865"/>
      <c r="X140" s="2865"/>
      <c r="Y140" s="2865"/>
      <c r="Z140" s="2865"/>
      <c r="AA140" s="2865"/>
      <c r="AB140" s="2865"/>
      <c r="AC140" s="2865"/>
      <c r="AD140" s="2865"/>
      <c r="AE140" s="2865"/>
      <c r="AF140" s="2868"/>
    </row>
    <row r="141" spans="1:32" hidden="1">
      <c r="A141" s="1091" t="s">
        <v>319</v>
      </c>
      <c r="B141" s="691" t="s">
        <v>750</v>
      </c>
      <c r="C141" s="1013">
        <f t="shared" si="12"/>
        <v>0.37158673775730477</v>
      </c>
      <c r="D141" s="1079">
        <f t="shared" si="12"/>
        <v>-0.1153634304384116</v>
      </c>
      <c r="E141" s="1080">
        <f t="shared" si="12"/>
        <v>0.36037883142173305</v>
      </c>
      <c r="F141" s="1078">
        <f t="shared" si="12"/>
        <v>0.17383796150947908</v>
      </c>
      <c r="G141" s="1079">
        <f t="shared" si="12"/>
        <v>0.54445307336528614</v>
      </c>
      <c r="H141" s="1080">
        <f t="shared" si="12"/>
        <v>0.26356163003804695</v>
      </c>
      <c r="I141" s="1078">
        <f t="shared" si="12"/>
        <v>0.19702478682132593</v>
      </c>
      <c r="J141" s="1079">
        <f t="shared" si="12"/>
        <v>0.50034734616182497</v>
      </c>
      <c r="K141" s="1080">
        <f t="shared" si="12"/>
        <v>0.28756363720088318</v>
      </c>
      <c r="L141" s="1072">
        <f t="shared" si="12"/>
        <v>2.3186825311846848E-2</v>
      </c>
      <c r="M141" s="1072">
        <f t="shared" si="12"/>
        <v>0.13338182932260462</v>
      </c>
      <c r="N141" s="1081" t="e">
        <f t="shared" si="12"/>
        <v>#REF!</v>
      </c>
      <c r="O141" s="1082" t="str">
        <f>VLOOKUP($B141,$B$14:$R$35,O$36,FALSE)</f>
        <v>= =</v>
      </c>
      <c r="P141" s="1201">
        <f t="shared" si="11"/>
        <v>0.93248540191552354</v>
      </c>
      <c r="Q141" s="1083">
        <f t="shared" si="11"/>
        <v>0.78949919521054279</v>
      </c>
      <c r="R141" s="1077">
        <f t="shared" si="11"/>
        <v>1.3109622071604587</v>
      </c>
      <c r="S141" s="1219"/>
      <c r="T141" s="2865"/>
      <c r="U141" s="2865"/>
      <c r="V141" s="2865"/>
      <c r="W141" s="2865"/>
      <c r="X141" s="2865"/>
      <c r="Y141" s="2865"/>
      <c r="Z141" s="2865"/>
      <c r="AA141" s="2865"/>
      <c r="AB141" s="2865"/>
      <c r="AC141" s="2865"/>
      <c r="AD141" s="2865"/>
      <c r="AE141" s="2865"/>
      <c r="AF141" s="2868"/>
    </row>
    <row r="142" spans="1:32" hidden="1">
      <c r="A142" s="1090" t="s">
        <v>502</v>
      </c>
      <c r="B142" s="73" t="s">
        <v>287</v>
      </c>
      <c r="C142" s="116">
        <f t="shared" si="12"/>
        <v>0.42290073595624156</v>
      </c>
      <c r="D142" s="1067">
        <f t="shared" si="12"/>
        <v>-9.0086339251873371E-2</v>
      </c>
      <c r="E142" s="1068">
        <f t="shared" si="12"/>
        <v>0.44946685046944856</v>
      </c>
      <c r="F142" s="1066">
        <f t="shared" si="12"/>
        <v>0.16307046534988884</v>
      </c>
      <c r="G142" s="1067">
        <f t="shared" si="12"/>
        <v>1.3005419282788433</v>
      </c>
      <c r="H142" s="1068">
        <f t="shared" si="12"/>
        <v>0.30950096360373897</v>
      </c>
      <c r="I142" s="1066">
        <f t="shared" si="12"/>
        <v>0.18570292678335293</v>
      </c>
      <c r="J142" s="1067">
        <f t="shared" si="12"/>
        <v>1.251733079461073</v>
      </c>
      <c r="K142" s="1068">
        <f t="shared" si="12"/>
        <v>0.34197601038246805</v>
      </c>
      <c r="L142" s="1060">
        <f t="shared" si="12"/>
        <v>2.2632461433464091E-2</v>
      </c>
      <c r="M142" s="1060">
        <f t="shared" si="12"/>
        <v>0.13878945758144007</v>
      </c>
      <c r="N142" s="1069" t="e">
        <f t="shared" si="12"/>
        <v>#REF!</v>
      </c>
      <c r="O142" s="1070" t="str">
        <f>VLOOKUP($B142,$B$14:$R$35,O$36,FALSE)</f>
        <v>¯ ¯</v>
      </c>
      <c r="P142" s="130">
        <f t="shared" si="11"/>
        <v>0.77886477042851432</v>
      </c>
      <c r="Q142" s="1071">
        <f t="shared" si="11"/>
        <v>1.0703005310133176</v>
      </c>
      <c r="R142" s="1065">
        <f t="shared" si="11"/>
        <v>1.1762690733772538</v>
      </c>
      <c r="S142" s="1157"/>
      <c r="T142" s="2865"/>
      <c r="U142" s="2865"/>
      <c r="V142" s="2865"/>
      <c r="W142" s="2865"/>
      <c r="X142" s="2865"/>
      <c r="Y142" s="2865"/>
      <c r="Z142" s="2865"/>
      <c r="AA142" s="2865"/>
      <c r="AB142" s="2865"/>
      <c r="AC142" s="2865"/>
      <c r="AD142" s="2865"/>
      <c r="AE142" s="2865"/>
      <c r="AF142" s="2868"/>
    </row>
    <row r="143" spans="1:32" hidden="1">
      <c r="A143" s="1090"/>
      <c r="B143" s="2865"/>
      <c r="C143" s="2865"/>
      <c r="D143" s="2865"/>
      <c r="E143" s="2865"/>
      <c r="F143" s="2865"/>
      <c r="G143" s="2865"/>
      <c r="H143" s="2865"/>
      <c r="I143" s="2865"/>
      <c r="J143" s="2865"/>
      <c r="K143" s="2865"/>
      <c r="L143" s="2865"/>
      <c r="M143" s="2865"/>
      <c r="N143" s="2865"/>
      <c r="O143" s="2865"/>
      <c r="P143" s="2865"/>
      <c r="Q143" s="2865"/>
      <c r="R143" s="2865"/>
      <c r="T143" s="2865"/>
      <c r="U143" s="2865"/>
      <c r="V143" s="2865"/>
      <c r="W143" s="2865"/>
      <c r="X143" s="2865"/>
      <c r="Y143" s="2865"/>
      <c r="Z143" s="2865"/>
      <c r="AA143" s="2865"/>
      <c r="AB143" s="2865"/>
      <c r="AC143" s="2865"/>
      <c r="AD143" s="2865"/>
      <c r="AE143" s="2865"/>
      <c r="AF143" s="2868"/>
    </row>
    <row r="144" spans="1:32" ht="13.15" hidden="1" customHeight="1">
      <c r="A144" s="2114" t="s">
        <v>319</v>
      </c>
      <c r="B144" s="2114"/>
      <c r="C144" s="4254"/>
      <c r="D144" s="4254"/>
      <c r="E144" s="4254"/>
      <c r="F144" s="4254"/>
      <c r="G144" s="4254"/>
      <c r="H144" s="4254"/>
      <c r="I144" s="4254"/>
      <c r="J144" s="4254"/>
      <c r="K144" s="4254"/>
      <c r="L144" s="4254"/>
      <c r="M144" s="4254"/>
      <c r="N144" s="4254"/>
      <c r="O144" s="4254"/>
      <c r="P144" s="4254"/>
      <c r="Q144" s="4254"/>
      <c r="R144" s="4254"/>
      <c r="S144" s="2783"/>
      <c r="T144" s="4246" t="s">
        <v>1675</v>
      </c>
      <c r="U144" s="4246"/>
      <c r="V144" s="4246"/>
      <c r="W144" s="4246"/>
      <c r="X144" s="4246"/>
      <c r="Y144" s="4246"/>
      <c r="Z144" s="4246"/>
      <c r="AA144" s="4246"/>
      <c r="AB144" s="4246"/>
      <c r="AC144" s="4246"/>
      <c r="AD144" s="4246"/>
      <c r="AE144" s="4246"/>
      <c r="AF144" s="4247"/>
    </row>
    <row r="145" spans="1:47" ht="13.15" hidden="1" customHeight="1">
      <c r="A145" s="2115"/>
      <c r="B145" s="2115"/>
      <c r="C145" s="2116"/>
      <c r="D145" s="2116"/>
      <c r="E145" s="2116"/>
      <c r="F145" s="2116"/>
      <c r="G145" s="2116"/>
      <c r="H145" s="2116"/>
      <c r="I145" s="2116"/>
      <c r="J145" s="2116"/>
      <c r="K145" s="2116"/>
      <c r="L145" s="2116"/>
      <c r="M145" s="2116"/>
      <c r="N145" s="2116"/>
      <c r="O145" s="2116"/>
      <c r="P145" s="2116"/>
      <c r="Q145" s="2116"/>
      <c r="R145" s="2116"/>
      <c r="S145" s="2783"/>
      <c r="T145" s="4250" t="s">
        <v>2346</v>
      </c>
      <c r="U145" s="4250"/>
      <c r="V145" s="4250"/>
      <c r="W145" s="4250"/>
      <c r="X145" s="4250"/>
      <c r="Y145" s="4250"/>
      <c r="Z145" s="4250"/>
      <c r="AA145" s="4250"/>
      <c r="AB145" s="4250"/>
      <c r="AC145" s="4250"/>
      <c r="AD145" s="4250"/>
      <c r="AE145" s="4250"/>
      <c r="AF145" s="4251"/>
    </row>
    <row r="146" spans="1:47" hidden="1">
      <c r="A146" s="2117" t="s">
        <v>1039</v>
      </c>
      <c r="B146" s="2117"/>
      <c r="C146" s="4255"/>
      <c r="D146" s="4255"/>
      <c r="E146" s="4255"/>
      <c r="F146" s="4255"/>
      <c r="G146" s="4255"/>
      <c r="H146" s="4255"/>
      <c r="I146" s="4255"/>
      <c r="J146" s="4255"/>
      <c r="K146" s="4255"/>
      <c r="L146" s="4255"/>
      <c r="M146" s="4255"/>
      <c r="N146" s="4255"/>
      <c r="O146" s="4255"/>
      <c r="P146" s="4255"/>
      <c r="Q146" s="4255"/>
      <c r="R146" s="4255"/>
      <c r="S146" s="2783"/>
      <c r="T146" s="4246" t="s">
        <v>2347</v>
      </c>
      <c r="U146" s="4246"/>
      <c r="V146" s="4246"/>
      <c r="W146" s="4246"/>
      <c r="X146" s="4246"/>
      <c r="Y146" s="4246"/>
      <c r="Z146" s="4246"/>
      <c r="AA146" s="4246"/>
      <c r="AB146" s="4246"/>
      <c r="AC146" s="4246"/>
      <c r="AD146" s="4246"/>
      <c r="AE146" s="4246"/>
      <c r="AF146" s="4247"/>
    </row>
    <row r="147" spans="1:47" hidden="1">
      <c r="A147" s="2118"/>
      <c r="B147" s="2118"/>
      <c r="C147" s="2866"/>
      <c r="D147" s="2866"/>
      <c r="E147" s="2866"/>
      <c r="F147" s="2866"/>
      <c r="G147" s="2866"/>
      <c r="H147" s="2866"/>
      <c r="I147" s="2866"/>
      <c r="J147" s="2866"/>
      <c r="K147" s="2866"/>
      <c r="L147" s="2866"/>
      <c r="M147" s="2866"/>
      <c r="N147" s="2866"/>
      <c r="O147" s="2866"/>
      <c r="P147" s="2866"/>
      <c r="Q147" s="2866"/>
      <c r="R147" s="2866"/>
      <c r="S147" s="2783"/>
      <c r="T147" s="4250"/>
      <c r="U147" s="4250"/>
      <c r="V147" s="4250"/>
      <c r="W147" s="4250"/>
      <c r="X147" s="4250"/>
      <c r="Y147" s="4250"/>
      <c r="Z147" s="4250"/>
      <c r="AA147" s="4250"/>
      <c r="AB147" s="4250"/>
      <c r="AC147" s="4250"/>
      <c r="AD147" s="4250"/>
      <c r="AE147" s="4250"/>
      <c r="AF147" s="4251"/>
    </row>
    <row r="148" spans="1:47" hidden="1">
      <c r="A148" s="2119" t="s">
        <v>32</v>
      </c>
      <c r="B148" s="2119"/>
      <c r="C148" s="2866"/>
      <c r="D148" s="2866"/>
      <c r="E148" s="2866"/>
      <c r="F148" s="2866"/>
      <c r="G148" s="2866"/>
      <c r="H148" s="2866"/>
      <c r="I148" s="2866"/>
      <c r="J148" s="2866"/>
      <c r="K148" s="2866"/>
      <c r="L148" s="2866"/>
      <c r="M148" s="2866"/>
      <c r="N148" s="2866"/>
      <c r="O148" s="2866"/>
      <c r="P148" s="2866"/>
      <c r="Q148" s="2866"/>
      <c r="R148" s="2866"/>
      <c r="S148" s="2783"/>
      <c r="T148" s="4242" t="s">
        <v>1677</v>
      </c>
      <c r="U148" s="4242"/>
      <c r="V148" s="4242"/>
      <c r="W148" s="4242"/>
      <c r="X148" s="4242"/>
      <c r="Y148" s="4242"/>
      <c r="Z148" s="4242"/>
      <c r="AA148" s="4242"/>
      <c r="AB148" s="4242"/>
      <c r="AC148" s="4242"/>
      <c r="AD148" s="4242"/>
      <c r="AE148" s="4242"/>
      <c r="AF148" s="4243"/>
    </row>
    <row r="149" spans="1:47" hidden="1">
      <c r="A149" s="1090"/>
      <c r="B149" s="2865"/>
      <c r="C149" s="2865"/>
      <c r="D149" s="2865"/>
      <c r="E149" s="2865"/>
      <c r="F149" s="2865"/>
      <c r="G149" s="2865"/>
      <c r="H149" s="2865"/>
      <c r="I149" s="2865"/>
      <c r="J149" s="2865"/>
      <c r="K149" s="2865"/>
      <c r="L149" s="2865"/>
      <c r="M149" s="2865"/>
      <c r="N149" s="2865"/>
      <c r="O149" s="2865"/>
      <c r="P149" s="2865"/>
      <c r="Q149" s="2865"/>
      <c r="R149" s="2865"/>
      <c r="T149" s="2865"/>
      <c r="U149" s="2865"/>
      <c r="V149" s="2865"/>
      <c r="W149" s="2865"/>
      <c r="X149" s="2865"/>
      <c r="Y149" s="2865"/>
      <c r="Z149" s="2865"/>
      <c r="AA149" s="2865"/>
      <c r="AB149" s="2865"/>
      <c r="AC149" s="2865"/>
      <c r="AD149" s="2865"/>
      <c r="AE149" s="2865"/>
      <c r="AF149" s="2868"/>
    </row>
    <row r="150" spans="1:47" ht="3.75" hidden="1" customHeight="1">
      <c r="T150" s="2399"/>
      <c r="U150" s="2399"/>
      <c r="V150" s="2399"/>
      <c r="W150" s="2399"/>
      <c r="X150" s="2399"/>
      <c r="Y150" s="2399"/>
      <c r="Z150" s="2399"/>
      <c r="AA150" s="2399"/>
      <c r="AB150" s="2399"/>
      <c r="AC150" s="2399"/>
      <c r="AD150" s="2399"/>
      <c r="AE150" s="2399"/>
    </row>
    <row r="151" spans="1:47" s="2748" customFormat="1" hidden="1">
      <c r="A151" s="3291"/>
      <c r="B151" s="118"/>
      <c r="C151" s="1198"/>
      <c r="D151" s="1199"/>
      <c r="E151" s="1198"/>
      <c r="F151" s="1199"/>
      <c r="G151" s="1198"/>
      <c r="H151" s="1199"/>
      <c r="I151" s="1198"/>
      <c r="J151" s="1199"/>
      <c r="K151" s="1198"/>
      <c r="L151" s="1199"/>
      <c r="M151" s="1198"/>
      <c r="N151" s="1199"/>
      <c r="O151" s="1198"/>
      <c r="P151" s="1199"/>
      <c r="Q151" s="1198"/>
      <c r="R151" s="1199"/>
      <c r="T151" s="1926"/>
      <c r="U151" s="1926"/>
      <c r="V151" s="1926"/>
      <c r="W151" s="1926"/>
      <c r="X151" s="1926"/>
      <c r="Y151" s="1926"/>
      <c r="Z151" s="1926"/>
      <c r="AA151" s="1926"/>
      <c r="AB151" s="1926"/>
      <c r="AC151" s="1926"/>
      <c r="AD151" s="1926"/>
      <c r="AE151" s="1926"/>
      <c r="AF151" s="1926"/>
      <c r="AG151" s="2745"/>
      <c r="AH151" s="1926"/>
      <c r="AI151" s="1926"/>
      <c r="AJ151" s="1926"/>
      <c r="AK151" s="1926"/>
      <c r="AL151" s="1926"/>
      <c r="AM151" s="1926"/>
      <c r="AN151" s="1926"/>
      <c r="AO151" s="2745"/>
      <c r="AP151" s="2745"/>
      <c r="AT151" s="2745"/>
      <c r="AU151" s="2745"/>
    </row>
    <row r="152" spans="1:47" hidden="1">
      <c r="A152" s="1175" t="s">
        <v>1002</v>
      </c>
      <c r="B152" s="1059" t="s">
        <v>1178</v>
      </c>
      <c r="C152" s="2865"/>
      <c r="D152" s="2865"/>
      <c r="E152" s="2865"/>
      <c r="F152" s="2865"/>
      <c r="G152" s="2865"/>
      <c r="H152" s="2865"/>
      <c r="I152" s="2865"/>
      <c r="J152" s="2865"/>
      <c r="K152" s="2865"/>
      <c r="L152" s="2865"/>
      <c r="M152" s="2865"/>
      <c r="N152" s="2865"/>
      <c r="O152" s="2865"/>
      <c r="P152" s="2865"/>
      <c r="Q152" s="2865"/>
      <c r="R152" s="1156"/>
      <c r="T152" s="2865"/>
      <c r="U152" s="2865"/>
      <c r="V152" s="2865"/>
      <c r="W152" s="2865"/>
      <c r="X152" s="2865"/>
      <c r="Y152" s="2865"/>
      <c r="Z152" s="2865"/>
      <c r="AA152" s="2865"/>
      <c r="AB152" s="2865"/>
      <c r="AC152" s="2865"/>
      <c r="AD152" s="2865"/>
      <c r="AE152" s="2865"/>
      <c r="AF152" s="2868"/>
      <c r="AH152" s="1545" t="s">
        <v>2348</v>
      </c>
      <c r="AI152" s="2865"/>
      <c r="AJ152" s="2865"/>
      <c r="AK152" s="2865"/>
      <c r="AL152" s="2865"/>
      <c r="AM152" s="2865"/>
      <c r="AN152" s="2865"/>
    </row>
    <row r="153" spans="1:47" hidden="1">
      <c r="A153" s="1091" t="s">
        <v>319</v>
      </c>
      <c r="B153" s="691" t="s">
        <v>752</v>
      </c>
      <c r="C153" s="1078">
        <f t="shared" ref="C153:N168" si="13">VLOOKUP($B153,$B$14:$R$35,C$36,FALSE)</f>
        <v>6.4385445236561381E-2</v>
      </c>
      <c r="D153" s="1079">
        <f t="shared" si="13"/>
        <v>14.697799124913645</v>
      </c>
      <c r="E153" s="1014">
        <f t="shared" si="13"/>
        <v>0.15462918080465343</v>
      </c>
      <c r="F153" s="1078">
        <f t="shared" si="13"/>
        <v>0.42399287000325037</v>
      </c>
      <c r="G153" s="1079">
        <f t="shared" si="13"/>
        <v>4.5742782667206161E-2</v>
      </c>
      <c r="H153" s="1080">
        <f t="shared" si="13"/>
        <v>0.48144640266975475</v>
      </c>
      <c r="I153" s="1078">
        <f t="shared" si="13"/>
        <v>0.42695023434228802</v>
      </c>
      <c r="J153" s="1079">
        <f t="shared" si="13"/>
        <v>4.1366838913311048E-2</v>
      </c>
      <c r="K153" s="1080">
        <f t="shared" si="13"/>
        <v>0.4832654138496531</v>
      </c>
      <c r="L153" s="1072">
        <f t="shared" si="13"/>
        <v>2.9573643390376492E-3</v>
      </c>
      <c r="M153" s="1072">
        <f t="shared" si="13"/>
        <v>6.9750331863245195E-3</v>
      </c>
      <c r="N153" s="1081" t="e">
        <f t="shared" si="13"/>
        <v>#REF!</v>
      </c>
      <c r="O153" s="1082"/>
      <c r="P153" s="1076">
        <f t="shared" ref="P153:R174" si="14">VLOOKUP($B153,$B$14:$R$35,P$36,FALSE)</f>
        <v>3.7014756930154613</v>
      </c>
      <c r="Q153" s="1083">
        <f t="shared" si="14"/>
        <v>0.31334582285320112</v>
      </c>
      <c r="R153" s="1012">
        <f t="shared" si="14"/>
        <v>4.3704719780651446</v>
      </c>
      <c r="S153" s="1161"/>
      <c r="T153" s="2865"/>
      <c r="U153" s="2865"/>
      <c r="V153" s="2865"/>
      <c r="W153" s="2865"/>
      <c r="X153" s="2865"/>
      <c r="Y153" s="2865"/>
      <c r="Z153" s="2865"/>
      <c r="AA153" s="2865"/>
      <c r="AB153" s="2865"/>
      <c r="AC153" s="2865"/>
      <c r="AD153" s="2865"/>
      <c r="AE153" s="2865"/>
      <c r="AF153" s="2868"/>
      <c r="AH153" s="2865"/>
      <c r="AI153" s="2865"/>
      <c r="AJ153" s="2865"/>
      <c r="AK153" s="2865"/>
      <c r="AL153" s="2865"/>
      <c r="AM153" s="2865"/>
      <c r="AN153" s="2865"/>
    </row>
    <row r="154" spans="1:47" hidden="1">
      <c r="A154" s="1090" t="s">
        <v>27</v>
      </c>
      <c r="B154" s="73" t="s">
        <v>54</v>
      </c>
      <c r="C154" s="1066">
        <f t="shared" si="13"/>
        <v>0.48460704112825509</v>
      </c>
      <c r="D154" s="1067">
        <f t="shared" si="13"/>
        <v>-0.18079580514885477</v>
      </c>
      <c r="E154" s="104">
        <f t="shared" si="13"/>
        <v>0.49497857034449522</v>
      </c>
      <c r="F154" s="1066">
        <f t="shared" si="13"/>
        <v>0.56717095077467305</v>
      </c>
      <c r="G154" s="1067">
        <f t="shared" si="13"/>
        <v>0.64731222518720821</v>
      </c>
      <c r="H154" s="1068">
        <f t="shared" si="13"/>
        <v>0.74754623070756221</v>
      </c>
      <c r="I154" s="1066">
        <f t="shared" si="13"/>
        <v>0.5748403529709204</v>
      </c>
      <c r="J154" s="1067">
        <f t="shared" si="13"/>
        <v>0.5906099669472562</v>
      </c>
      <c r="K154" s="1068">
        <f t="shared" si="13"/>
        <v>0.7506672643344422</v>
      </c>
      <c r="L154" s="1060">
        <f t="shared" si="13"/>
        <v>7.6694021962473435E-3</v>
      </c>
      <c r="M154" s="1060">
        <f t="shared" si="13"/>
        <v>1.3522205581530675E-2</v>
      </c>
      <c r="N154" s="1069" t="e">
        <f t="shared" si="13"/>
        <v>#REF!</v>
      </c>
      <c r="O154" s="1070"/>
      <c r="P154" s="1064">
        <f t="shared" si="14"/>
        <v>3.4278891827637503</v>
      </c>
      <c r="Q154" s="1071">
        <f t="shared" si="14"/>
        <v>0.24423537898737996</v>
      </c>
      <c r="R154" s="129">
        <f t="shared" si="14"/>
        <v>3.8230610288109381</v>
      </c>
      <c r="S154" s="1163"/>
      <c r="T154" s="2865"/>
      <c r="U154" s="2865"/>
      <c r="V154" s="2865"/>
      <c r="W154" s="2865"/>
      <c r="X154" s="2865"/>
      <c r="Y154" s="2865"/>
      <c r="Z154" s="2865"/>
      <c r="AA154" s="2865"/>
      <c r="AB154" s="2865"/>
      <c r="AC154" s="2865"/>
      <c r="AD154" s="2865"/>
      <c r="AE154" s="2865"/>
      <c r="AF154" s="2868"/>
      <c r="AH154" s="2865"/>
      <c r="AI154" s="2865"/>
      <c r="AJ154" s="2865"/>
      <c r="AK154" s="2865"/>
      <c r="AL154" s="2865"/>
      <c r="AM154" s="2865"/>
      <c r="AN154" s="2865"/>
    </row>
    <row r="155" spans="1:47" hidden="1">
      <c r="A155" s="1090" t="s">
        <v>498</v>
      </c>
      <c r="B155" s="73" t="s">
        <v>52</v>
      </c>
      <c r="C155" s="1066">
        <f t="shared" si="13"/>
        <v>0.61</v>
      </c>
      <c r="D155" s="1067">
        <f t="shared" si="13"/>
        <v>0</v>
      </c>
      <c r="E155" s="104">
        <f t="shared" si="13"/>
        <v>0.62983042679437373</v>
      </c>
      <c r="F155" s="1066">
        <f t="shared" si="13"/>
        <v>0.51528895508035288</v>
      </c>
      <c r="G155" s="1067">
        <f t="shared" si="13"/>
        <v>-2.4931247740904369E-2</v>
      </c>
      <c r="H155" s="1068">
        <f t="shared" si="13"/>
        <v>0.51939744871548044</v>
      </c>
      <c r="I155" s="1066">
        <f t="shared" si="13"/>
        <v>0.58808850315066874</v>
      </c>
      <c r="J155" s="1067">
        <f t="shared" si="13"/>
        <v>-2.8226553900756759E-2</v>
      </c>
      <c r="K155" s="1068">
        <f t="shared" si="13"/>
        <v>0.59074959904524027</v>
      </c>
      <c r="L155" s="1060">
        <f t="shared" si="13"/>
        <v>7.2799548070315856E-2</v>
      </c>
      <c r="M155" s="1060">
        <f t="shared" si="13"/>
        <v>0.14127907721011346</v>
      </c>
      <c r="N155" s="1069" t="e">
        <f t="shared" si="13"/>
        <v>#REF!</v>
      </c>
      <c r="O155" s="1070" t="str">
        <f>VLOOKUP($B155,$B$14:$R$35,O$36,FALSE)</f>
        <v>= = =</v>
      </c>
      <c r="P155" s="1064">
        <f t="shared" si="14"/>
        <v>2.7906818261625395</v>
      </c>
      <c r="Q155" s="1071">
        <f t="shared" si="14"/>
        <v>8.5841806528642844E-2</v>
      </c>
      <c r="R155" s="129">
        <f t="shared" si="14"/>
        <v>2.9178287645268703</v>
      </c>
      <c r="S155" s="1157"/>
      <c r="T155" s="2865"/>
      <c r="U155" s="2865"/>
      <c r="V155" s="2865"/>
      <c r="W155" s="2865"/>
      <c r="X155" s="2865"/>
      <c r="Y155" s="2865"/>
      <c r="Z155" s="2865"/>
      <c r="AA155" s="2865"/>
      <c r="AB155" s="2865"/>
      <c r="AC155" s="2865"/>
      <c r="AD155" s="2865"/>
      <c r="AE155" s="2865"/>
      <c r="AF155" s="2868"/>
      <c r="AH155" s="2865"/>
      <c r="AI155" s="2865"/>
      <c r="AJ155" s="2865"/>
      <c r="AK155" s="2865"/>
      <c r="AL155" s="2865"/>
      <c r="AM155" s="2865"/>
      <c r="AN155" s="2865"/>
    </row>
    <row r="156" spans="1:47" hidden="1">
      <c r="A156" s="1090" t="s">
        <v>499</v>
      </c>
      <c r="B156" s="73" t="s">
        <v>284</v>
      </c>
      <c r="C156" s="1066">
        <f t="shared" si="13"/>
        <v>0.34534166666666666</v>
      </c>
      <c r="D156" s="1067">
        <f t="shared" si="13"/>
        <v>-5.4500069338510607E-2</v>
      </c>
      <c r="E156" s="104">
        <f t="shared" si="13"/>
        <v>0.3626280111015483</v>
      </c>
      <c r="F156" s="1066">
        <f t="shared" si="13"/>
        <v>0.67997702229572432</v>
      </c>
      <c r="G156" s="1067">
        <f t="shared" si="13"/>
        <v>0.10658020511075152</v>
      </c>
      <c r="H156" s="1068">
        <f t="shared" si="13"/>
        <v>0.75270955685414354</v>
      </c>
      <c r="I156" s="1066">
        <f t="shared" si="13"/>
        <v>0.68457317243488636</v>
      </c>
      <c r="J156" s="1067">
        <f t="shared" si="13"/>
        <v>0.10522314957078965</v>
      </c>
      <c r="K156" s="1068">
        <f t="shared" si="13"/>
        <v>0.75672107111582532</v>
      </c>
      <c r="L156" s="1060">
        <f t="shared" si="13"/>
        <v>4.5961501391620363E-3</v>
      </c>
      <c r="M156" s="1060">
        <f t="shared" si="13"/>
        <v>6.7592727231349809E-3</v>
      </c>
      <c r="N156" s="1069" t="e">
        <f t="shared" si="13"/>
        <v>#REF!</v>
      </c>
      <c r="O156" s="1070" t="str">
        <f>VLOOKUP($B156,$B$14:$R$35,O$36,FALSE)</f>
        <v>= ¯ ¯</v>
      </c>
      <c r="P156" s="1064">
        <f t="shared" si="14"/>
        <v>2.9152503149286035</v>
      </c>
      <c r="Q156" s="1071">
        <f t="shared" si="14"/>
        <v>-0.14664752669478531</v>
      </c>
      <c r="R156" s="129">
        <f t="shared" si="14"/>
        <v>2.8370691340232916</v>
      </c>
      <c r="S156" s="1157"/>
      <c r="T156" s="2865"/>
      <c r="U156" s="2865"/>
      <c r="V156" s="2865"/>
      <c r="W156" s="2865"/>
      <c r="X156" s="2865"/>
      <c r="Y156" s="2865"/>
      <c r="Z156" s="2865"/>
      <c r="AA156" s="2865"/>
      <c r="AB156" s="2865"/>
      <c r="AC156" s="2865"/>
      <c r="AD156" s="2865"/>
      <c r="AE156" s="2865"/>
      <c r="AF156" s="2868"/>
      <c r="AH156" s="2865"/>
      <c r="AI156" s="2865"/>
      <c r="AJ156" s="2865"/>
      <c r="AK156" s="2865"/>
      <c r="AL156" s="2865"/>
      <c r="AM156" s="2865"/>
      <c r="AN156" s="2865"/>
    </row>
    <row r="157" spans="1:47" hidden="1">
      <c r="A157" s="1090" t="s">
        <v>217</v>
      </c>
      <c r="B157" s="73" t="s">
        <v>53</v>
      </c>
      <c r="C157" s="1066">
        <f t="shared" si="13"/>
        <v>0.6158872479982318</v>
      </c>
      <c r="D157" s="1067">
        <f t="shared" si="13"/>
        <v>0.11044311863454735</v>
      </c>
      <c r="E157" s="104">
        <f t="shared" si="13"/>
        <v>0.66127040038880336</v>
      </c>
      <c r="F157" s="1066">
        <f t="shared" si="13"/>
        <v>0.48384306036910518</v>
      </c>
      <c r="G157" s="1067">
        <f t="shared" si="13"/>
        <v>0.2595878527386451</v>
      </c>
      <c r="H157" s="1068">
        <f t="shared" si="13"/>
        <v>0.54381370963962039</v>
      </c>
      <c r="I157" s="1066">
        <f t="shared" si="13"/>
        <v>0.51513010935716153</v>
      </c>
      <c r="J157" s="1067">
        <f t="shared" si="13"/>
        <v>0.26130995158024306</v>
      </c>
      <c r="K157" s="1068">
        <f t="shared" si="13"/>
        <v>0.57929804018594233</v>
      </c>
      <c r="L157" s="1060">
        <f t="shared" si="13"/>
        <v>3.1287048988056343E-2</v>
      </c>
      <c r="M157" s="1060">
        <f t="shared" si="13"/>
        <v>6.4663630732222685E-2</v>
      </c>
      <c r="N157" s="1069" t="e">
        <f t="shared" si="13"/>
        <v>#REF!</v>
      </c>
      <c r="O157" s="1070" t="str">
        <f>VLOOKUP($B157,$B$14:$R$35,O$36,FALSE)</f>
        <v>¯ ¯ ¯</v>
      </c>
      <c r="P157" s="1064">
        <f t="shared" si="14"/>
        <v>2.7929780820851775</v>
      </c>
      <c r="Q157" s="1071">
        <f t="shared" si="14"/>
        <v>0.12404595260605845</v>
      </c>
      <c r="R157" s="129">
        <f t="shared" si="14"/>
        <v>2.8353348809740444</v>
      </c>
      <c r="S157" s="1163"/>
      <c r="T157" s="2865"/>
      <c r="U157" s="2865"/>
      <c r="V157" s="2865"/>
      <c r="W157" s="2865"/>
      <c r="X157" s="2865"/>
      <c r="Y157" s="2865"/>
      <c r="Z157" s="2865"/>
      <c r="AA157" s="2865"/>
      <c r="AB157" s="2865"/>
      <c r="AC157" s="2865"/>
      <c r="AD157" s="2865"/>
      <c r="AE157" s="2865"/>
      <c r="AF157" s="2868"/>
      <c r="AH157" s="2865"/>
      <c r="AI157" s="2865"/>
      <c r="AJ157" s="2865"/>
      <c r="AK157" s="2865"/>
      <c r="AL157" s="2865"/>
      <c r="AM157" s="2865"/>
      <c r="AN157" s="2865"/>
    </row>
    <row r="158" spans="1:47" hidden="1">
      <c r="A158" s="1090" t="s">
        <v>19</v>
      </c>
      <c r="B158" s="150" t="s">
        <v>286</v>
      </c>
      <c r="C158" s="1066">
        <f t="shared" si="13"/>
        <v>0.60741568747204655</v>
      </c>
      <c r="D158" s="1067">
        <f t="shared" si="13"/>
        <v>4.0950219141690898E-2</v>
      </c>
      <c r="E158" s="104">
        <f t="shared" si="13"/>
        <v>0.62738172243152124</v>
      </c>
      <c r="F158" s="1066">
        <f t="shared" si="13"/>
        <v>0.50834561454306215</v>
      </c>
      <c r="G158" s="1067">
        <f t="shared" si="13"/>
        <v>0.27477182203191691</v>
      </c>
      <c r="H158" s="1068">
        <f t="shared" si="13"/>
        <v>0.61196382356206247</v>
      </c>
      <c r="I158" s="1066">
        <f t="shared" si="13"/>
        <v>0.54898628094174651</v>
      </c>
      <c r="J158" s="1067">
        <f t="shared" si="13"/>
        <v>0.26756473067663017</v>
      </c>
      <c r="K158" s="1068">
        <f t="shared" si="13"/>
        <v>0.65530118542007598</v>
      </c>
      <c r="L158" s="1060">
        <f t="shared" si="13"/>
        <v>4.0640666398684355E-2</v>
      </c>
      <c r="M158" s="1060">
        <f t="shared" si="13"/>
        <v>7.9946920433679999E-2</v>
      </c>
      <c r="N158" s="1069" t="e">
        <f t="shared" si="13"/>
        <v>#REF!</v>
      </c>
      <c r="O158" s="1070" t="str">
        <f>VLOOKUP($B158,$B$14:$R$35,O$36,FALSE)</f>
        <v>= = ¯</v>
      </c>
      <c r="P158" s="1064">
        <f t="shared" si="14"/>
        <v>2.5321561588471506</v>
      </c>
      <c r="Q158" s="1071">
        <f t="shared" si="14"/>
        <v>1.3257606300410854E-2</v>
      </c>
      <c r="R158" s="129">
        <f t="shared" si="14"/>
        <v>2.8138910595815916</v>
      </c>
      <c r="S158" s="1157"/>
      <c r="T158" s="2865"/>
      <c r="U158" s="2865"/>
      <c r="V158" s="2865"/>
      <c r="W158" s="2865"/>
      <c r="X158" s="2865"/>
      <c r="Y158" s="2865"/>
      <c r="Z158" s="2865"/>
      <c r="AA158" s="2865"/>
      <c r="AB158" s="2865"/>
      <c r="AC158" s="2865"/>
      <c r="AD158" s="2865"/>
      <c r="AE158" s="2865"/>
      <c r="AF158" s="2868"/>
      <c r="AH158" s="2865"/>
      <c r="AI158" s="2865"/>
      <c r="AJ158" s="2865"/>
      <c r="AK158" s="2865"/>
      <c r="AL158" s="2865"/>
      <c r="AM158" s="2865"/>
      <c r="AN158" s="2865"/>
    </row>
    <row r="159" spans="1:47" hidden="1">
      <c r="A159" s="1090" t="s">
        <v>539</v>
      </c>
      <c r="B159" s="73" t="s">
        <v>39</v>
      </c>
      <c r="C159" s="1066">
        <f t="shared" si="13"/>
        <v>0.31054928118178421</v>
      </c>
      <c r="D159" s="1067">
        <f t="shared" si="13"/>
        <v>-0.11491916916279199</v>
      </c>
      <c r="E159" s="104">
        <f t="shared" si="13"/>
        <v>0.28165979767703259</v>
      </c>
      <c r="F159" s="1066">
        <f t="shared" si="13"/>
        <v>0.3899242463002407</v>
      </c>
      <c r="G159" s="1067">
        <f t="shared" si="13"/>
        <v>-0.1197676600756727</v>
      </c>
      <c r="H159" s="1068">
        <f t="shared" si="13"/>
        <v>0.37944762378701169</v>
      </c>
      <c r="I159" s="1066">
        <f t="shared" si="13"/>
        <v>0.45093517146474416</v>
      </c>
      <c r="J159" s="1067">
        <f t="shared" si="13"/>
        <v>-8.3572610535330494E-2</v>
      </c>
      <c r="K159" s="1068">
        <f t="shared" si="13"/>
        <v>0.43916945384982109</v>
      </c>
      <c r="L159" s="1060">
        <f t="shared" si="13"/>
        <v>6.101092516450346E-2</v>
      </c>
      <c r="M159" s="1060">
        <f t="shared" si="13"/>
        <v>0.15646866216553562</v>
      </c>
      <c r="N159" s="1069" t="e">
        <f t="shared" si="13"/>
        <v>#REF!</v>
      </c>
      <c r="O159" s="1070" t="str">
        <f>VLOOKUP($B159,$B$14:$R$35,O$36,FALSE)</f>
        <v>­ = =</v>
      </c>
      <c r="P159" s="1064">
        <f t="shared" si="14"/>
        <v>2.6587814840492587</v>
      </c>
      <c r="Q159" s="1071">
        <f t="shared" si="14"/>
        <v>-0.25803195656746131</v>
      </c>
      <c r="R159" s="129">
        <f t="shared" si="14"/>
        <v>2.5933932385229874</v>
      </c>
      <c r="S159" s="1162"/>
      <c r="T159" s="2865"/>
      <c r="U159" s="2865"/>
      <c r="V159" s="2865"/>
      <c r="W159" s="2865"/>
      <c r="X159" s="2865"/>
      <c r="Y159" s="2865"/>
      <c r="Z159" s="2865"/>
      <c r="AA159" s="2865"/>
      <c r="AB159" s="2865"/>
      <c r="AC159" s="2865"/>
      <c r="AD159" s="2865"/>
      <c r="AE159" s="2865"/>
      <c r="AF159" s="2868"/>
      <c r="AH159" s="2865"/>
      <c r="AI159" s="2865"/>
      <c r="AJ159" s="2865"/>
      <c r="AK159" s="2865"/>
      <c r="AL159" s="2865"/>
      <c r="AM159" s="2865"/>
      <c r="AN159" s="2865"/>
    </row>
    <row r="160" spans="1:47" hidden="1">
      <c r="A160" s="1090" t="s">
        <v>385</v>
      </c>
      <c r="B160" s="73" t="s">
        <v>276</v>
      </c>
      <c r="C160" s="1066">
        <f t="shared" si="13"/>
        <v>0.60910298289809772</v>
      </c>
      <c r="D160" s="1067">
        <f t="shared" si="13"/>
        <v>-5.2071170724915891E-2</v>
      </c>
      <c r="E160" s="104">
        <f t="shared" si="13"/>
        <v>0.6207941242005639</v>
      </c>
      <c r="F160" s="1066">
        <f t="shared" si="13"/>
        <v>0.49050145598877937</v>
      </c>
      <c r="G160" s="1067">
        <f t="shared" si="13"/>
        <v>0.42102559519407173</v>
      </c>
      <c r="H160" s="1068">
        <f t="shared" si="13"/>
        <v>0.61744816018521742</v>
      </c>
      <c r="I160" s="1066">
        <f t="shared" si="13"/>
        <v>0.49698573886957192</v>
      </c>
      <c r="J160" s="1067">
        <f t="shared" si="13"/>
        <v>0.41032171167013903</v>
      </c>
      <c r="K160" s="1068">
        <f t="shared" si="13"/>
        <v>0.62319136029119382</v>
      </c>
      <c r="L160" s="1060">
        <f t="shared" si="13"/>
        <v>6.4842828807925579E-3</v>
      </c>
      <c r="M160" s="1060">
        <f t="shared" si="13"/>
        <v>1.3219701596443154E-2</v>
      </c>
      <c r="N160" s="1069" t="e">
        <f t="shared" si="13"/>
        <v>#REF!</v>
      </c>
      <c r="O160" s="1070"/>
      <c r="P160" s="1064">
        <f t="shared" si="14"/>
        <v>2.1902281092407181</v>
      </c>
      <c r="Q160" s="1071">
        <f t="shared" si="14"/>
        <v>0.36844726500440206</v>
      </c>
      <c r="R160" s="129">
        <f t="shared" si="14"/>
        <v>2.5252968522290931</v>
      </c>
      <c r="S160" s="1157"/>
      <c r="T160" s="2865"/>
      <c r="U160" s="2865"/>
      <c r="V160" s="2865"/>
      <c r="W160" s="2865"/>
      <c r="X160" s="2865"/>
      <c r="Y160" s="2865"/>
      <c r="Z160" s="2865"/>
      <c r="AA160" s="2865"/>
      <c r="AB160" s="2865"/>
      <c r="AC160" s="2865"/>
      <c r="AD160" s="2865"/>
      <c r="AE160" s="2865"/>
      <c r="AF160" s="2868"/>
      <c r="AH160" s="2865"/>
      <c r="AI160" s="2865"/>
      <c r="AJ160" s="2865"/>
      <c r="AK160" s="2865"/>
      <c r="AL160" s="2865"/>
      <c r="AM160" s="2865"/>
      <c r="AN160" s="2865"/>
    </row>
    <row r="161" spans="1:40" hidden="1">
      <c r="A161" s="1090" t="s">
        <v>501</v>
      </c>
      <c r="B161" s="73" t="s">
        <v>44</v>
      </c>
      <c r="C161" s="1066">
        <f t="shared" si="13"/>
        <v>0.5805147103617575</v>
      </c>
      <c r="D161" s="1067">
        <f t="shared" si="13"/>
        <v>8.4948466413752491E-2</v>
      </c>
      <c r="E161" s="104">
        <f t="shared" si="13"/>
        <v>0.6264024463118032</v>
      </c>
      <c r="F161" s="1066">
        <f t="shared" si="13"/>
        <v>0.51826084585195908</v>
      </c>
      <c r="G161" s="1067">
        <f t="shared" si="13"/>
        <v>0.40005999871326348</v>
      </c>
      <c r="H161" s="1068">
        <f t="shared" si="13"/>
        <v>0.58973938770950263</v>
      </c>
      <c r="I161" s="1066">
        <f t="shared" si="13"/>
        <v>0.5495689942142129</v>
      </c>
      <c r="J161" s="1067">
        <f t="shared" si="13"/>
        <v>0.40637993517884302</v>
      </c>
      <c r="K161" s="1068">
        <f t="shared" si="13"/>
        <v>0.63323863537070213</v>
      </c>
      <c r="L161" s="1060">
        <f t="shared" si="13"/>
        <v>3.1308148362253818E-2</v>
      </c>
      <c r="M161" s="1060">
        <f t="shared" si="13"/>
        <v>6.0410020577161203E-2</v>
      </c>
      <c r="N161" s="1069" t="e">
        <f t="shared" si="13"/>
        <v>#REF!</v>
      </c>
      <c r="O161" s="1070" t="str">
        <f>VLOOKUP($B161,$B$14:$R$35,O$36,FALSE)</f>
        <v>= = ¯</v>
      </c>
      <c r="P161" s="1064">
        <f t="shared" si="14"/>
        <v>2.643581803383519</v>
      </c>
      <c r="Q161" s="1071">
        <f t="shared" si="14"/>
        <v>2.8580691559688957E-2</v>
      </c>
      <c r="R161" s="129">
        <f t="shared" si="14"/>
        <v>2.5466878830879209</v>
      </c>
      <c r="S161" s="1157"/>
      <c r="T161" s="2865"/>
      <c r="U161" s="2865"/>
      <c r="V161" s="2865"/>
      <c r="W161" s="2865"/>
      <c r="X161" s="2865"/>
      <c r="Y161" s="2865"/>
      <c r="Z161" s="2865"/>
      <c r="AA161" s="2865"/>
      <c r="AB161" s="2865"/>
      <c r="AC161" s="2865"/>
      <c r="AD161" s="2865"/>
      <c r="AE161" s="2865"/>
      <c r="AF161" s="2868"/>
      <c r="AH161" s="2865"/>
      <c r="AI161" s="2865"/>
      <c r="AJ161" s="2865"/>
      <c r="AK161" s="2865"/>
      <c r="AL161" s="2865"/>
      <c r="AM161" s="2865"/>
      <c r="AN161" s="2865"/>
    </row>
    <row r="162" spans="1:40" hidden="1">
      <c r="A162" s="1090" t="s">
        <v>504</v>
      </c>
      <c r="B162" s="73" t="s">
        <v>288</v>
      </c>
      <c r="C162" s="1066">
        <f t="shared" si="13"/>
        <v>0.32615050588405037</v>
      </c>
      <c r="D162" s="1067">
        <f t="shared" si="13"/>
        <v>-8.7660674172335792E-2</v>
      </c>
      <c r="E162" s="104">
        <f t="shared" si="13"/>
        <v>0.30985103942866765</v>
      </c>
      <c r="F162" s="1066">
        <f t="shared" si="13"/>
        <v>0.30558583418722468</v>
      </c>
      <c r="G162" s="1067">
        <f t="shared" si="13"/>
        <v>-0.13620468181810452</v>
      </c>
      <c r="H162" s="1068">
        <f t="shared" si="13"/>
        <v>0.29018390059321952</v>
      </c>
      <c r="I162" s="1066">
        <f t="shared" si="13"/>
        <v>0.31922230141848357</v>
      </c>
      <c r="J162" s="1067">
        <f t="shared" si="13"/>
        <v>-0.13496032758973828</v>
      </c>
      <c r="K162" s="1068">
        <f t="shared" si="13"/>
        <v>0.30362227391248225</v>
      </c>
      <c r="L162" s="1060">
        <f t="shared" si="13"/>
        <v>1.3636467231258886E-2</v>
      </c>
      <c r="M162" s="1060">
        <f t="shared" si="13"/>
        <v>4.4624016252350789E-2</v>
      </c>
      <c r="N162" s="1069" t="e">
        <f t="shared" si="13"/>
        <v>#REF!</v>
      </c>
      <c r="O162" s="1070" t="str">
        <f>VLOOKUP($B162,$B$14:$R$35,O$36,FALSE)</f>
        <v>= =</v>
      </c>
      <c r="P162" s="1064">
        <f t="shared" si="14"/>
        <v>2.1579177629636748</v>
      </c>
      <c r="Q162" s="1071">
        <f t="shared" si="14"/>
        <v>6.0078851309961184E-2</v>
      </c>
      <c r="R162" s="129">
        <f t="shared" si="14"/>
        <v>2.3009327536910358</v>
      </c>
      <c r="S162" s="1162"/>
      <c r="T162" s="2865"/>
      <c r="U162" s="2865"/>
      <c r="V162" s="2865"/>
      <c r="W162" s="2865"/>
      <c r="X162" s="2865"/>
      <c r="Y162" s="2865"/>
      <c r="Z162" s="2865"/>
      <c r="AA162" s="2865"/>
      <c r="AB162" s="2865"/>
      <c r="AC162" s="2865"/>
      <c r="AD162" s="2865"/>
      <c r="AE162" s="2865"/>
      <c r="AF162" s="2868"/>
      <c r="AH162" s="2865"/>
      <c r="AI162" s="2865"/>
      <c r="AJ162" s="2865"/>
      <c r="AK162" s="2865"/>
      <c r="AL162" s="2865"/>
      <c r="AM162" s="2865"/>
      <c r="AN162" s="2865"/>
    </row>
    <row r="163" spans="1:40" hidden="1">
      <c r="A163" s="1090" t="s">
        <v>32</v>
      </c>
      <c r="B163" s="73" t="s">
        <v>277</v>
      </c>
      <c r="C163" s="1066">
        <f t="shared" si="13"/>
        <v>0.91487499999999988</v>
      </c>
      <c r="D163" s="1067">
        <f t="shared" si="13"/>
        <v>-4.3736501079913587E-2</v>
      </c>
      <c r="E163" s="104">
        <f t="shared" si="13"/>
        <v>0.89481420237931208</v>
      </c>
      <c r="F163" s="1066">
        <f t="shared" si="13"/>
        <v>0.24509229252810941</v>
      </c>
      <c r="G163" s="1067">
        <f t="shared" si="13"/>
        <v>-0.16501821733667812</v>
      </c>
      <c r="H163" s="1068">
        <f t="shared" si="13"/>
        <v>0.23828807339295358</v>
      </c>
      <c r="I163" s="1066">
        <f t="shared" si="13"/>
        <v>0.27870192226407053</v>
      </c>
      <c r="J163" s="1067">
        <f t="shared" si="13"/>
        <v>-0.14309331637647091</v>
      </c>
      <c r="K163" s="1068">
        <f t="shared" si="13"/>
        <v>0.2718321660431175</v>
      </c>
      <c r="L163" s="1060">
        <f t="shared" si="13"/>
        <v>3.3609629735961127E-2</v>
      </c>
      <c r="M163" s="1060">
        <f t="shared" si="13"/>
        <v>0.13713050455108242</v>
      </c>
      <c r="N163" s="1069" t="e">
        <f t="shared" si="13"/>
        <v>#REF!</v>
      </c>
      <c r="O163" s="1070" t="str">
        <f>VLOOKUP($B163,$B$14:$R$35,O$36,FALSE)</f>
        <v>= = =</v>
      </c>
      <c r="P163" s="1064">
        <f t="shared" si="14"/>
        <v>2.0880314655341889</v>
      </c>
      <c r="Q163" s="1071">
        <f t="shared" si="14"/>
        <v>-3.7762767487534328E-2</v>
      </c>
      <c r="R163" s="129">
        <f t="shared" si="14"/>
        <v>2.3348198024327131</v>
      </c>
      <c r="S163" s="1159"/>
      <c r="T163" s="2865"/>
      <c r="U163" s="2865"/>
      <c r="V163" s="2865"/>
      <c r="W163" s="2865"/>
      <c r="X163" s="2865"/>
      <c r="Y163" s="2865"/>
      <c r="Z163" s="2865"/>
      <c r="AA163" s="2865"/>
      <c r="AB163" s="2865"/>
      <c r="AC163" s="2865"/>
      <c r="AD163" s="2865"/>
      <c r="AE163" s="2865"/>
      <c r="AF163" s="2868"/>
      <c r="AH163" s="2865"/>
      <c r="AI163" s="2865"/>
      <c r="AJ163" s="2865"/>
      <c r="AK163" s="2865"/>
      <c r="AL163" s="2865"/>
      <c r="AM163" s="2865"/>
      <c r="AN163" s="2865"/>
    </row>
    <row r="164" spans="1:40" hidden="1">
      <c r="A164" s="1090" t="s">
        <v>73</v>
      </c>
      <c r="B164" s="73" t="s">
        <v>283</v>
      </c>
      <c r="C164" s="1066">
        <f t="shared" si="13"/>
        <v>0.62657499999999999</v>
      </c>
      <c r="D164" s="1067">
        <f t="shared" si="13"/>
        <v>5.5614710459497153E-2</v>
      </c>
      <c r="E164" s="104">
        <f t="shared" si="13"/>
        <v>0.64439999999999997</v>
      </c>
      <c r="F164" s="1066">
        <f t="shared" si="13"/>
        <v>0.24190098439360719</v>
      </c>
      <c r="G164" s="1067">
        <f t="shared" si="13"/>
        <v>0.20667512064869559</v>
      </c>
      <c r="H164" s="1068">
        <f t="shared" si="13"/>
        <v>0.30597960586046052</v>
      </c>
      <c r="I164" s="1066">
        <f t="shared" si="13"/>
        <v>0.2616424852780464</v>
      </c>
      <c r="J164" s="1067">
        <f t="shared" si="13"/>
        <v>0.20296552626351777</v>
      </c>
      <c r="K164" s="1068">
        <f t="shared" si="13"/>
        <v>0.32061814749302248</v>
      </c>
      <c r="L164" s="1060">
        <f t="shared" si="13"/>
        <v>1.9741500884439211E-2</v>
      </c>
      <c r="M164" s="1060">
        <f t="shared" si="13"/>
        <v>8.1609841042717679E-2</v>
      </c>
      <c r="N164" s="1069" t="e">
        <f t="shared" si="13"/>
        <v>#REF!</v>
      </c>
      <c r="O164" s="1070" t="str">
        <f>VLOOKUP($B164,$B$14:$R$35,O$36,FALSE)</f>
        <v>= =</v>
      </c>
      <c r="P164" s="1064">
        <f t="shared" si="14"/>
        <v>1.7511002028712532</v>
      </c>
      <c r="Q164" s="1071">
        <f t="shared" si="14"/>
        <v>0.37093258903528414</v>
      </c>
      <c r="R164" s="129">
        <f t="shared" si="14"/>
        <v>2.2311132077757287</v>
      </c>
      <c r="S164" s="1158"/>
      <c r="T164" s="2865"/>
      <c r="U164" s="2865"/>
      <c r="V164" s="2865"/>
      <c r="W164" s="2865"/>
      <c r="X164" s="2865"/>
      <c r="Y164" s="2865"/>
      <c r="Z164" s="2865"/>
      <c r="AA164" s="2865"/>
      <c r="AB164" s="2865"/>
      <c r="AC164" s="2865"/>
      <c r="AD164" s="2865"/>
      <c r="AE164" s="2865"/>
      <c r="AF164" s="2868"/>
      <c r="AH164" s="2865"/>
      <c r="AI164" s="2865"/>
      <c r="AJ164" s="2865"/>
      <c r="AK164" s="2865"/>
      <c r="AL164" s="2865"/>
      <c r="AM164" s="2865"/>
      <c r="AN164" s="2865"/>
    </row>
    <row r="165" spans="1:40" hidden="1">
      <c r="A165" s="1090" t="s">
        <v>503</v>
      </c>
      <c r="B165" s="73" t="s">
        <v>282</v>
      </c>
      <c r="C165" s="1066">
        <f t="shared" si="13"/>
        <v>0.67984865616162071</v>
      </c>
      <c r="D165" s="1067">
        <f t="shared" si="13"/>
        <v>0.13956056160252914</v>
      </c>
      <c r="E165" s="104">
        <f t="shared" si="13"/>
        <v>0.7167630057803468</v>
      </c>
      <c r="F165" s="1066">
        <f t="shared" si="13"/>
        <v>0.23215418017261674</v>
      </c>
      <c r="G165" s="1067">
        <f t="shared" si="13"/>
        <v>0.36187217108516367</v>
      </c>
      <c r="H165" s="1068">
        <f t="shared" si="13"/>
        <v>0.26525179681706468</v>
      </c>
      <c r="I165" s="1066">
        <f t="shared" si="13"/>
        <v>0.2501311526811702</v>
      </c>
      <c r="J165" s="1067">
        <f t="shared" si="13"/>
        <v>0.31916438327965047</v>
      </c>
      <c r="K165" s="1068">
        <f t="shared" si="13"/>
        <v>0.28287599661626001</v>
      </c>
      <c r="L165" s="1060">
        <f t="shared" si="13"/>
        <v>1.7976972508553457E-2</v>
      </c>
      <c r="M165" s="1060">
        <f t="shared" si="13"/>
        <v>7.7435489187344358E-2</v>
      </c>
      <c r="N165" s="1069" t="e">
        <f t="shared" si="13"/>
        <v>#REF!</v>
      </c>
      <c r="O165" s="1070"/>
      <c r="P165" s="1064">
        <f t="shared" si="14"/>
        <v>1.845874038975184</v>
      </c>
      <c r="Q165" s="1071">
        <f t="shared" si="14"/>
        <v>0.36079457239176377</v>
      </c>
      <c r="R165" s="129">
        <f t="shared" si="14"/>
        <v>2.1424428051274771</v>
      </c>
      <c r="S165" s="1158"/>
      <c r="T165" s="2865"/>
      <c r="U165" s="2865"/>
      <c r="V165" s="2865"/>
      <c r="W165" s="2865"/>
      <c r="X165" s="2865"/>
      <c r="Y165" s="2865"/>
      <c r="Z165" s="2865"/>
      <c r="AA165" s="2865"/>
      <c r="AB165" s="2865"/>
      <c r="AC165" s="2865"/>
      <c r="AD165" s="2865"/>
      <c r="AE165" s="2865"/>
      <c r="AF165" s="2868"/>
      <c r="AH165" s="2865"/>
      <c r="AI165" s="2865"/>
      <c r="AJ165" s="2865"/>
      <c r="AK165" s="2865"/>
      <c r="AL165" s="2865"/>
      <c r="AM165" s="2865"/>
      <c r="AN165" s="2865"/>
    </row>
    <row r="166" spans="1:40" hidden="1">
      <c r="A166" s="1090" t="s">
        <v>32</v>
      </c>
      <c r="B166" s="73" t="s">
        <v>50</v>
      </c>
      <c r="C166" s="1066">
        <f t="shared" si="13"/>
        <v>0</v>
      </c>
      <c r="D166" s="1067">
        <f t="shared" si="13"/>
        <v>0</v>
      </c>
      <c r="E166" s="104">
        <f t="shared" si="13"/>
        <v>0</v>
      </c>
      <c r="F166" s="1066">
        <f t="shared" si="13"/>
        <v>0.37025195227815472</v>
      </c>
      <c r="G166" s="1067">
        <f t="shared" si="13"/>
        <v>-0.46222821771061889</v>
      </c>
      <c r="H166" s="1068">
        <f t="shared" si="13"/>
        <v>0.26403640782716253</v>
      </c>
      <c r="I166" s="1066">
        <f t="shared" si="13"/>
        <v>0.48927059752514818</v>
      </c>
      <c r="J166" s="1067">
        <f t="shared" si="13"/>
        <v>-0.38189416595312975</v>
      </c>
      <c r="K166" s="1068">
        <f t="shared" si="13"/>
        <v>0.37414035756341019</v>
      </c>
      <c r="L166" s="1060">
        <f t="shared" si="13"/>
        <v>0.11901864524699346</v>
      </c>
      <c r="M166" s="1060">
        <f t="shared" si="13"/>
        <v>0.32145312000294263</v>
      </c>
      <c r="N166" s="1069" t="e">
        <f t="shared" si="13"/>
        <v>#REF!</v>
      </c>
      <c r="O166" s="1070" t="str">
        <f>VLOOKUP($B166,$B$14:$R$35,O$36,FALSE)</f>
        <v>= =</v>
      </c>
      <c r="P166" s="1064">
        <f t="shared" si="14"/>
        <v>2.2664974928712622</v>
      </c>
      <c r="Q166" s="1071">
        <f t="shared" si="14"/>
        <v>-0.12537902502142731</v>
      </c>
      <c r="R166" s="129">
        <f t="shared" si="14"/>
        <v>2.136201464388483</v>
      </c>
      <c r="S166" s="1159"/>
      <c r="T166" s="2865"/>
      <c r="U166" s="2865"/>
      <c r="V166" s="2865"/>
      <c r="W166" s="2865"/>
      <c r="X166" s="2865"/>
      <c r="Y166" s="2865"/>
      <c r="Z166" s="2865"/>
      <c r="AA166" s="2865"/>
      <c r="AB166" s="2865"/>
      <c r="AC166" s="2865"/>
      <c r="AD166" s="2865"/>
      <c r="AE166" s="2865"/>
      <c r="AF166" s="2868"/>
      <c r="AH166" s="2865"/>
      <c r="AI166" s="2865"/>
      <c r="AJ166" s="2865"/>
      <c r="AK166" s="2865"/>
      <c r="AL166" s="2865"/>
      <c r="AM166" s="2865"/>
      <c r="AN166" s="2865"/>
    </row>
    <row r="167" spans="1:40" hidden="1">
      <c r="A167" s="1090" t="s">
        <v>27</v>
      </c>
      <c r="B167" s="73" t="s">
        <v>353</v>
      </c>
      <c r="C167" s="1066">
        <f t="shared" si="13"/>
        <v>0.90539538726018864</v>
      </c>
      <c r="D167" s="1067">
        <f t="shared" si="13"/>
        <v>-4.1189056985539901E-2</v>
      </c>
      <c r="E167" s="104">
        <f t="shared" si="13"/>
        <v>0.90138346931536006</v>
      </c>
      <c r="F167" s="1066">
        <f t="shared" si="13"/>
        <v>0.38160323267486906</v>
      </c>
      <c r="G167" s="1067">
        <f t="shared" si="13"/>
        <v>0.13281779457810056</v>
      </c>
      <c r="H167" s="1068">
        <f t="shared" si="13"/>
        <v>0.39444904186551905</v>
      </c>
      <c r="I167" s="1066">
        <f t="shared" si="13"/>
        <v>0.47841518539184064</v>
      </c>
      <c r="J167" s="1067">
        <f t="shared" si="13"/>
        <v>1.1717685634717274E-2</v>
      </c>
      <c r="K167" s="1068">
        <f t="shared" si="13"/>
        <v>0.46507375880431212</v>
      </c>
      <c r="L167" s="1060">
        <f t="shared" si="13"/>
        <v>9.6811952716971572E-2</v>
      </c>
      <c r="M167" s="1060">
        <f t="shared" si="13"/>
        <v>0.25369793656715856</v>
      </c>
      <c r="N167" s="1069" t="str">
        <f t="shared" si="13"/>
        <v>No rating</v>
      </c>
      <c r="O167" s="1070"/>
      <c r="P167" s="1064">
        <f t="shared" si="14"/>
        <v>1.832329792526622</v>
      </c>
      <c r="Q167" s="1071">
        <f t="shared" si="14"/>
        <v>-9.9442962217240083E-2</v>
      </c>
      <c r="R167" s="129">
        <f t="shared" si="14"/>
        <v>1.8160302149559577</v>
      </c>
      <c r="S167" s="1160"/>
      <c r="T167" s="2865"/>
      <c r="U167" s="2865"/>
      <c r="V167" s="2865"/>
      <c r="W167" s="2865"/>
      <c r="X167" s="2865"/>
      <c r="Y167" s="2865"/>
      <c r="Z167" s="2865"/>
      <c r="AA167" s="2865"/>
      <c r="AB167" s="2865"/>
      <c r="AC167" s="2865"/>
      <c r="AD167" s="2865"/>
      <c r="AE167" s="2865"/>
      <c r="AF167" s="2868"/>
      <c r="AH167" s="2865"/>
      <c r="AI167" s="2865"/>
      <c r="AJ167" s="2865"/>
      <c r="AK167" s="2865"/>
      <c r="AL167" s="2865"/>
      <c r="AM167" s="2865"/>
      <c r="AN167" s="2865"/>
    </row>
    <row r="168" spans="1:40" hidden="1">
      <c r="A168" s="1091" t="s">
        <v>319</v>
      </c>
      <c r="B168" s="691" t="s">
        <v>751</v>
      </c>
      <c r="C168" s="1078">
        <f t="shared" si="13"/>
        <v>0.95644485424869818</v>
      </c>
      <c r="D168" s="1079">
        <f t="shared" si="13"/>
        <v>5.7346309608293736E-3</v>
      </c>
      <c r="E168" s="1014">
        <f t="shared" si="13"/>
        <v>0.97265268915223335</v>
      </c>
      <c r="F168" s="1078">
        <f t="shared" si="13"/>
        <v>0.16489915086810925</v>
      </c>
      <c r="G168" s="1079">
        <f t="shared" si="13"/>
        <v>2.0043608623878186</v>
      </c>
      <c r="H168" s="1080">
        <f t="shared" si="13"/>
        <v>0.32988338723452482</v>
      </c>
      <c r="I168" s="1078">
        <f t="shared" si="13"/>
        <v>0.27218937885351913</v>
      </c>
      <c r="J168" s="1079">
        <f t="shared" si="13"/>
        <v>1.2181747217666232</v>
      </c>
      <c r="K168" s="1080">
        <f t="shared" si="13"/>
        <v>0.4561905930983241</v>
      </c>
      <c r="L168" s="1072">
        <f t="shared" si="13"/>
        <v>0.10729022798540988</v>
      </c>
      <c r="M168" s="1072">
        <f t="shared" si="13"/>
        <v>0.65064148250965514</v>
      </c>
      <c r="N168" s="1081" t="str">
        <f t="shared" si="13"/>
        <v>No rating</v>
      </c>
      <c r="O168" s="1082"/>
      <c r="P168" s="1076">
        <f t="shared" si="14"/>
        <v>1.2440956586918632</v>
      </c>
      <c r="Q168" s="1083">
        <f t="shared" si="14"/>
        <v>0.5581122698382367</v>
      </c>
      <c r="R168" s="1012">
        <f t="shared" si="14"/>
        <v>1.6771658832683087</v>
      </c>
      <c r="S168" s="1160"/>
      <c r="T168" s="2865"/>
      <c r="U168" s="2865"/>
      <c r="V168" s="2865"/>
      <c r="W168" s="2865"/>
      <c r="X168" s="2865"/>
      <c r="Y168" s="2865"/>
      <c r="Z168" s="2865"/>
      <c r="AA168" s="2865"/>
      <c r="AB168" s="2865"/>
      <c r="AC168" s="2865"/>
      <c r="AD168" s="2865"/>
      <c r="AE168" s="2865"/>
      <c r="AF168" s="2868"/>
      <c r="AH168" s="2865"/>
      <c r="AI168" s="2865"/>
      <c r="AJ168" s="2865"/>
      <c r="AK168" s="2865"/>
      <c r="AL168" s="2865"/>
      <c r="AM168" s="2865"/>
      <c r="AN168" s="2865"/>
    </row>
    <row r="169" spans="1:40" hidden="1">
      <c r="A169" s="1090" t="s">
        <v>374</v>
      </c>
      <c r="B169" s="73" t="s">
        <v>42</v>
      </c>
      <c r="C169" s="1066">
        <f t="shared" ref="C169:N174" si="15">VLOOKUP($B169,$B$14:$R$35,C$36,FALSE)</f>
        <v>0.56323171407839789</v>
      </c>
      <c r="D169" s="1067">
        <f t="shared" si="15"/>
        <v>-0.12023286586287618</v>
      </c>
      <c r="E169" s="104">
        <f t="shared" si="15"/>
        <v>0.53987730061349704</v>
      </c>
      <c r="F169" s="1066">
        <f t="shared" si="15"/>
        <v>0.60887331285954671</v>
      </c>
      <c r="G169" s="1067">
        <f t="shared" si="15"/>
        <v>-0.37303497156800469</v>
      </c>
      <c r="H169" s="1068">
        <f t="shared" si="15"/>
        <v>0.37659759063604481</v>
      </c>
      <c r="I169" s="1066">
        <f t="shared" si="15"/>
        <v>0.63388271448107447</v>
      </c>
      <c r="J169" s="1067">
        <f t="shared" si="15"/>
        <v>-0.25869992498286548</v>
      </c>
      <c r="K169" s="1068">
        <f t="shared" si="15"/>
        <v>0.44527495080222473</v>
      </c>
      <c r="L169" s="1060">
        <f t="shared" si="15"/>
        <v>2.500940162152776E-2</v>
      </c>
      <c r="M169" s="1060">
        <f t="shared" si="15"/>
        <v>4.1074885519406669E-2</v>
      </c>
      <c r="N169" s="1069" t="e">
        <f t="shared" si="15"/>
        <v>#REF!</v>
      </c>
      <c r="O169" s="1070" t="str">
        <f>VLOOKUP($B169,$B$14:$R$35,O$36,FALSE)</f>
        <v>= =</v>
      </c>
      <c r="P169" s="1064">
        <f t="shared" si="14"/>
        <v>2.172629043332774</v>
      </c>
      <c r="Q169" s="1071">
        <f t="shared" si="14"/>
        <v>-0.22035736928264804</v>
      </c>
      <c r="R169" s="129">
        <f t="shared" si="14"/>
        <v>1.5517268924243866</v>
      </c>
      <c r="S169" s="1157"/>
      <c r="T169" s="2865"/>
      <c r="U169" s="2865"/>
      <c r="V169" s="2865"/>
      <c r="W169" s="2865"/>
      <c r="X169" s="2865"/>
      <c r="Y169" s="2865"/>
      <c r="Z169" s="2865"/>
      <c r="AA169" s="2865"/>
      <c r="AB169" s="2865"/>
      <c r="AC169" s="2865"/>
      <c r="AD169" s="2865"/>
      <c r="AE169" s="2865"/>
      <c r="AF169" s="2868"/>
      <c r="AH169" s="2865"/>
      <c r="AI169" s="2865"/>
      <c r="AJ169" s="2865"/>
      <c r="AK169" s="2865"/>
      <c r="AL169" s="2865"/>
      <c r="AM169" s="2865"/>
      <c r="AN169" s="2865"/>
    </row>
    <row r="170" spans="1:40" hidden="1">
      <c r="A170" s="1090" t="s">
        <v>503</v>
      </c>
      <c r="B170" s="73" t="s">
        <v>280</v>
      </c>
      <c r="C170" s="1066">
        <f t="shared" si="15"/>
        <v>0.67083419702973635</v>
      </c>
      <c r="D170" s="1067">
        <f t="shared" si="15"/>
        <v>-0.11335389957676706</v>
      </c>
      <c r="E170" s="104">
        <f t="shared" si="15"/>
        <v>0.63639387890884902</v>
      </c>
      <c r="F170" s="1066">
        <f t="shared" si="15"/>
        <v>0.1536920907726812</v>
      </c>
      <c r="G170" s="1067">
        <f t="shared" si="15"/>
        <v>1.6283818604559013</v>
      </c>
      <c r="H170" s="1068">
        <f t="shared" si="15"/>
        <v>0.2022242346359609</v>
      </c>
      <c r="I170" s="1066">
        <f t="shared" si="15"/>
        <v>0.20961441125119315</v>
      </c>
      <c r="J170" s="1067">
        <f t="shared" si="15"/>
        <v>0.84200521424561081</v>
      </c>
      <c r="K170" s="1068">
        <f t="shared" si="15"/>
        <v>0.28147528322389997</v>
      </c>
      <c r="L170" s="1060">
        <f t="shared" si="15"/>
        <v>5.592232047851195E-2</v>
      </c>
      <c r="M170" s="1060">
        <f t="shared" si="15"/>
        <v>0.36385945559959909</v>
      </c>
      <c r="N170" s="1069" t="str">
        <f t="shared" si="15"/>
        <v>No rating</v>
      </c>
      <c r="O170" s="1070"/>
      <c r="P170" s="1064">
        <f t="shared" si="14"/>
        <v>1.4399592566697517</v>
      </c>
      <c r="Q170" s="1071">
        <f t="shared" si="14"/>
        <v>0.8442860967329926</v>
      </c>
      <c r="R170" s="129">
        <f t="shared" si="14"/>
        <v>1.5521418473212367</v>
      </c>
      <c r="S170" s="1158"/>
      <c r="T170" s="2865"/>
      <c r="U170" s="2865"/>
      <c r="V170" s="2865"/>
      <c r="W170" s="2865"/>
      <c r="X170" s="2865"/>
      <c r="Y170" s="2865"/>
      <c r="Z170" s="2865"/>
      <c r="AA170" s="2865"/>
      <c r="AB170" s="2865"/>
      <c r="AC170" s="2865"/>
      <c r="AD170" s="2865"/>
      <c r="AE170" s="2865"/>
      <c r="AF170" s="2868"/>
      <c r="AH170" s="2865"/>
      <c r="AI170" s="2865"/>
      <c r="AJ170" s="2865"/>
      <c r="AK170" s="2865"/>
      <c r="AL170" s="2865"/>
      <c r="AM170" s="2865"/>
      <c r="AN170" s="2865"/>
    </row>
    <row r="171" spans="1:40" hidden="1">
      <c r="A171" s="1090" t="s">
        <v>19</v>
      </c>
      <c r="B171" s="73" t="s">
        <v>285</v>
      </c>
      <c r="C171" s="1066">
        <f t="shared" si="15"/>
        <v>9.1630231095150338E-2</v>
      </c>
      <c r="D171" s="1084" t="str">
        <f t="shared" si="15"/>
        <v>¥</v>
      </c>
      <c r="E171" s="104">
        <f t="shared" si="15"/>
        <v>0.34976819018989347</v>
      </c>
      <c r="F171" s="1066">
        <f t="shared" si="15"/>
        <v>0.13477545507373562</v>
      </c>
      <c r="G171" s="1067">
        <f t="shared" si="15"/>
        <v>-0.4264373226073967</v>
      </c>
      <c r="H171" s="1068">
        <f t="shared" si="15"/>
        <v>9.7905485588969735E-2</v>
      </c>
      <c r="I171" s="1066">
        <f t="shared" si="15"/>
        <v>0.16024846762312819</v>
      </c>
      <c r="J171" s="1067">
        <f t="shared" si="15"/>
        <v>-0.25253039609468159</v>
      </c>
      <c r="K171" s="1068">
        <f t="shared" si="15"/>
        <v>0.12849893093161849</v>
      </c>
      <c r="L171" s="1060">
        <f t="shared" si="15"/>
        <v>2.5473012549392576E-2</v>
      </c>
      <c r="M171" s="1060">
        <f t="shared" si="15"/>
        <v>0.18900335031669008</v>
      </c>
      <c r="N171" s="1069" t="str">
        <f t="shared" si="15"/>
        <v>No rating</v>
      </c>
      <c r="O171" s="1070"/>
      <c r="P171" s="1064">
        <f t="shared" si="14"/>
        <v>1.265551414722516</v>
      </c>
      <c r="Q171" s="1071">
        <f t="shared" si="14"/>
        <v>0.38040351489576829</v>
      </c>
      <c r="R171" s="129">
        <f t="shared" si="14"/>
        <v>1.242834927692577</v>
      </c>
      <c r="S171" s="1161"/>
      <c r="T171" s="2865"/>
      <c r="U171" s="2865"/>
      <c r="V171" s="2865"/>
      <c r="W171" s="2865"/>
      <c r="X171" s="2865"/>
      <c r="Y171" s="2865"/>
      <c r="Z171" s="2865"/>
      <c r="AA171" s="2865"/>
      <c r="AB171" s="2865"/>
      <c r="AC171" s="2865"/>
      <c r="AD171" s="2865"/>
      <c r="AE171" s="2865"/>
      <c r="AF171" s="2868"/>
      <c r="AH171" s="2865"/>
      <c r="AI171" s="2865"/>
      <c r="AJ171" s="2865"/>
      <c r="AK171" s="2865"/>
      <c r="AL171" s="2865"/>
      <c r="AM171" s="2865"/>
      <c r="AN171" s="2865"/>
    </row>
    <row r="172" spans="1:40" hidden="1">
      <c r="A172" s="1091" t="s">
        <v>319</v>
      </c>
      <c r="B172" s="691" t="s">
        <v>750</v>
      </c>
      <c r="C172" s="1078">
        <f t="shared" si="15"/>
        <v>0.37158673775730477</v>
      </c>
      <c r="D172" s="1079">
        <f t="shared" si="15"/>
        <v>-0.1153634304384116</v>
      </c>
      <c r="E172" s="1014">
        <f t="shared" si="15"/>
        <v>0.36037883142173305</v>
      </c>
      <c r="F172" s="1078">
        <f t="shared" si="15"/>
        <v>0.17383796150947908</v>
      </c>
      <c r="G172" s="1079">
        <f t="shared" si="15"/>
        <v>0.54445307336528614</v>
      </c>
      <c r="H172" s="1080">
        <f t="shared" si="15"/>
        <v>0.26356163003804695</v>
      </c>
      <c r="I172" s="1078">
        <f t="shared" si="15"/>
        <v>0.19702478682132593</v>
      </c>
      <c r="J172" s="1079">
        <f t="shared" si="15"/>
        <v>0.50034734616182497</v>
      </c>
      <c r="K172" s="1080">
        <f t="shared" si="15"/>
        <v>0.28756363720088318</v>
      </c>
      <c r="L172" s="1072">
        <f t="shared" si="15"/>
        <v>2.3186825311846848E-2</v>
      </c>
      <c r="M172" s="1072">
        <f t="shared" si="15"/>
        <v>0.13338182932260462</v>
      </c>
      <c r="N172" s="1081" t="e">
        <f t="shared" si="15"/>
        <v>#REF!</v>
      </c>
      <c r="O172" s="1082" t="str">
        <f>VLOOKUP($B172,$B$14:$R$35,O$36,FALSE)</f>
        <v>= =</v>
      </c>
      <c r="P172" s="1076">
        <f t="shared" si="14"/>
        <v>0.93248540191552354</v>
      </c>
      <c r="Q172" s="1083">
        <f t="shared" si="14"/>
        <v>0.78949919521054279</v>
      </c>
      <c r="R172" s="1012">
        <f t="shared" si="14"/>
        <v>1.3109622071604587</v>
      </c>
      <c r="S172" s="1219"/>
      <c r="T172" s="2865"/>
      <c r="U172" s="2865"/>
      <c r="V172" s="2865"/>
      <c r="W172" s="2865"/>
      <c r="X172" s="2865"/>
      <c r="Y172" s="2865"/>
      <c r="Z172" s="2865"/>
      <c r="AA172" s="2865"/>
      <c r="AB172" s="2865"/>
      <c r="AC172" s="2865"/>
      <c r="AD172" s="2865"/>
      <c r="AE172" s="2865"/>
      <c r="AF172" s="2868"/>
      <c r="AH172" s="2865"/>
      <c r="AI172" s="2865"/>
      <c r="AJ172" s="2865"/>
      <c r="AK172" s="2865"/>
      <c r="AL172" s="2865"/>
      <c r="AM172" s="2865"/>
      <c r="AN172" s="2865"/>
    </row>
    <row r="173" spans="1:40" hidden="1">
      <c r="A173" s="1090" t="s">
        <v>500</v>
      </c>
      <c r="B173" s="73" t="s">
        <v>279</v>
      </c>
      <c r="C173" s="1066">
        <f t="shared" si="15"/>
        <v>0.7344324868237998</v>
      </c>
      <c r="D173" s="1067">
        <f t="shared" si="15"/>
        <v>0.10784712869930438</v>
      </c>
      <c r="E173" s="104">
        <f t="shared" si="15"/>
        <v>0.74956908795771016</v>
      </c>
      <c r="F173" s="1066">
        <f t="shared" si="15"/>
        <v>0.14726898954609682</v>
      </c>
      <c r="G173" s="1067">
        <f t="shared" si="15"/>
        <v>4.9939774449528171E-2</v>
      </c>
      <c r="H173" s="1068">
        <f t="shared" si="15"/>
        <v>0.17272839211728983</v>
      </c>
      <c r="I173" s="1066">
        <f t="shared" si="15"/>
        <v>0.18443136241749356</v>
      </c>
      <c r="J173" s="1067">
        <f t="shared" si="15"/>
        <v>-5.7258906752796622E-2</v>
      </c>
      <c r="K173" s="1068">
        <f t="shared" si="15"/>
        <v>0.198117589718218</v>
      </c>
      <c r="L173" s="1060">
        <f t="shared" si="15"/>
        <v>3.7162372871396732E-2</v>
      </c>
      <c r="M173" s="1060">
        <f t="shared" si="15"/>
        <v>0.25234350412762557</v>
      </c>
      <c r="N173" s="1069" t="e">
        <f t="shared" si="15"/>
        <v>#REF!</v>
      </c>
      <c r="O173" s="1070" t="str">
        <f>VLOOKUP($B173,$B$14:$R$35,O$36,FALSE)</f>
        <v>= =</v>
      </c>
      <c r="P173" s="1064">
        <f t="shared" si="14"/>
        <v>1.0395975936863313</v>
      </c>
      <c r="Q173" s="1071">
        <f t="shared" si="14"/>
        <v>2.9438923535487854E-2</v>
      </c>
      <c r="R173" s="129">
        <f t="shared" si="14"/>
        <v>1.2087727199953455</v>
      </c>
      <c r="S173" s="1158"/>
      <c r="T173" s="2865"/>
      <c r="U173" s="2865"/>
      <c r="V173" s="2865"/>
      <c r="W173" s="2865"/>
      <c r="X173" s="2865"/>
      <c r="Y173" s="2865"/>
      <c r="Z173" s="2865"/>
      <c r="AA173" s="2865"/>
      <c r="AB173" s="2865"/>
      <c r="AC173" s="2865"/>
      <c r="AD173" s="2865"/>
      <c r="AE173" s="2865"/>
      <c r="AF173" s="2868"/>
      <c r="AH173" s="2865"/>
      <c r="AI173" s="2865"/>
      <c r="AJ173" s="2865"/>
      <c r="AK173" s="2865"/>
      <c r="AL173" s="2865"/>
      <c r="AM173" s="2865"/>
      <c r="AN173" s="2865"/>
    </row>
    <row r="174" spans="1:40" hidden="1">
      <c r="A174" s="1090" t="s">
        <v>502</v>
      </c>
      <c r="B174" s="73" t="s">
        <v>287</v>
      </c>
      <c r="C174" s="1060">
        <f t="shared" si="15"/>
        <v>0.42290073595624156</v>
      </c>
      <c r="D174" s="1067">
        <f t="shared" si="15"/>
        <v>-9.0086339251873371E-2</v>
      </c>
      <c r="E174" s="104">
        <f t="shared" si="15"/>
        <v>0.44946685046944856</v>
      </c>
      <c r="F174" s="1066">
        <f t="shared" si="15"/>
        <v>0.16307046534988884</v>
      </c>
      <c r="G174" s="1067">
        <f t="shared" si="15"/>
        <v>1.3005419282788433</v>
      </c>
      <c r="H174" s="1068">
        <f t="shared" si="15"/>
        <v>0.30950096360373897</v>
      </c>
      <c r="I174" s="1066">
        <f t="shared" si="15"/>
        <v>0.18570292678335293</v>
      </c>
      <c r="J174" s="1067">
        <f t="shared" si="15"/>
        <v>1.251733079461073</v>
      </c>
      <c r="K174" s="1068">
        <f t="shared" si="15"/>
        <v>0.34197601038246805</v>
      </c>
      <c r="L174" s="1060">
        <f t="shared" si="15"/>
        <v>2.2632461433464091E-2</v>
      </c>
      <c r="M174" s="1060">
        <f t="shared" si="15"/>
        <v>0.13878945758144007</v>
      </c>
      <c r="N174" s="1069" t="e">
        <f t="shared" si="15"/>
        <v>#REF!</v>
      </c>
      <c r="O174" s="1070" t="str">
        <f>VLOOKUP($B174,$B$14:$R$35,O$36,FALSE)</f>
        <v>¯ ¯</v>
      </c>
      <c r="P174" s="1064">
        <f t="shared" si="14"/>
        <v>0.77886477042851432</v>
      </c>
      <c r="Q174" s="1071">
        <f t="shared" si="14"/>
        <v>1.0703005310133176</v>
      </c>
      <c r="R174" s="129">
        <f t="shared" si="14"/>
        <v>1.1762690733772538</v>
      </c>
      <c r="S174" s="1157"/>
      <c r="T174" s="2865"/>
      <c r="U174" s="2865"/>
      <c r="V174" s="2865"/>
      <c r="W174" s="2865"/>
      <c r="X174" s="2865"/>
      <c r="Y174" s="2865"/>
      <c r="Z174" s="2865"/>
      <c r="AA174" s="2865"/>
      <c r="AB174" s="2865"/>
      <c r="AC174" s="2865"/>
      <c r="AD174" s="2865"/>
      <c r="AE174" s="2865"/>
      <c r="AF174" s="2868"/>
      <c r="AH174" s="2865"/>
      <c r="AI174" s="2865"/>
      <c r="AJ174" s="2865"/>
      <c r="AK174" s="2865"/>
      <c r="AL174" s="2865"/>
      <c r="AM174" s="2865"/>
      <c r="AN174" s="2865"/>
    </row>
    <row r="175" spans="1:40" hidden="1">
      <c r="A175" s="1090"/>
      <c r="B175" s="2865"/>
      <c r="C175" s="2865"/>
      <c r="D175" s="2865"/>
      <c r="E175" s="2865"/>
      <c r="F175" s="2865"/>
      <c r="G175" s="2865"/>
      <c r="H175" s="2865"/>
      <c r="I175" s="2865"/>
      <c r="J175" s="2865"/>
      <c r="K175" s="2865"/>
      <c r="L175" s="2865"/>
      <c r="M175" s="2865"/>
      <c r="N175" s="2865"/>
      <c r="O175" s="2865"/>
      <c r="P175" s="2865"/>
      <c r="Q175" s="2865"/>
      <c r="R175" s="2865"/>
      <c r="T175" s="2865"/>
      <c r="U175" s="2865"/>
      <c r="V175" s="2865"/>
      <c r="W175" s="2865"/>
      <c r="X175" s="2865"/>
      <c r="Y175" s="2865"/>
      <c r="Z175" s="2865"/>
      <c r="AA175" s="2865"/>
      <c r="AB175" s="2865"/>
      <c r="AC175" s="2865"/>
      <c r="AD175" s="2865"/>
      <c r="AE175" s="2865"/>
      <c r="AF175" s="2868"/>
      <c r="AH175" s="2865"/>
      <c r="AI175" s="2865"/>
      <c r="AJ175" s="2865"/>
      <c r="AK175" s="2865"/>
      <c r="AL175" s="2865"/>
      <c r="AM175" s="2865"/>
      <c r="AN175" s="2865"/>
    </row>
    <row r="176" spans="1:40" hidden="1">
      <c r="A176" s="2114" t="s">
        <v>319</v>
      </c>
      <c r="B176" s="2114"/>
      <c r="C176" s="2866"/>
      <c r="D176" s="2866"/>
      <c r="E176" s="2866"/>
      <c r="F176" s="2866"/>
      <c r="G176" s="2866"/>
      <c r="H176" s="2866"/>
      <c r="I176" s="2866"/>
      <c r="J176" s="2866"/>
      <c r="K176" s="2866"/>
      <c r="L176" s="2866"/>
      <c r="M176" s="2866"/>
      <c r="N176" s="2866"/>
      <c r="O176" s="2866"/>
      <c r="P176" s="2866"/>
      <c r="Q176" s="2866"/>
      <c r="R176" s="2866"/>
      <c r="S176" s="2783"/>
      <c r="T176" s="4242" t="s">
        <v>1676</v>
      </c>
      <c r="U176" s="4242"/>
      <c r="V176" s="4242"/>
      <c r="W176" s="4242"/>
      <c r="X176" s="4242"/>
      <c r="Y176" s="4242"/>
      <c r="Z176" s="4242"/>
      <c r="AA176" s="4242"/>
      <c r="AB176" s="4242"/>
      <c r="AC176" s="4242"/>
      <c r="AD176" s="4242"/>
      <c r="AE176" s="4242"/>
      <c r="AF176" s="4243"/>
      <c r="AH176" s="2865"/>
      <c r="AI176" s="2865"/>
      <c r="AJ176" s="2865"/>
      <c r="AK176" s="2865"/>
      <c r="AL176" s="2865"/>
      <c r="AM176" s="2865"/>
      <c r="AN176" s="2865"/>
    </row>
    <row r="177" spans="1:47" hidden="1">
      <c r="A177" s="2119" t="s">
        <v>32</v>
      </c>
      <c r="B177" s="2119"/>
      <c r="C177" s="2866"/>
      <c r="D177" s="2866"/>
      <c r="E177" s="2866"/>
      <c r="F177" s="2866"/>
      <c r="G177" s="2866"/>
      <c r="H177" s="2866"/>
      <c r="I177" s="2866"/>
      <c r="J177" s="2866"/>
      <c r="K177" s="2866"/>
      <c r="L177" s="2866"/>
      <c r="M177" s="2866"/>
      <c r="N177" s="2866"/>
      <c r="O177" s="2866"/>
      <c r="P177" s="2866"/>
      <c r="Q177" s="2866"/>
      <c r="R177" s="2866"/>
      <c r="S177" s="2783"/>
      <c r="T177" s="4242" t="s">
        <v>1179</v>
      </c>
      <c r="U177" s="4242"/>
      <c r="V177" s="4242"/>
      <c r="W177" s="4242"/>
      <c r="X177" s="4242"/>
      <c r="Y177" s="4242"/>
      <c r="Z177" s="4242"/>
      <c r="AA177" s="4242"/>
      <c r="AB177" s="4242"/>
      <c r="AC177" s="4242"/>
      <c r="AD177" s="4242"/>
      <c r="AE177" s="4242"/>
      <c r="AF177" s="4243"/>
      <c r="AH177" s="2865"/>
      <c r="AI177" s="2865"/>
      <c r="AJ177" s="2865"/>
      <c r="AK177" s="2865"/>
      <c r="AL177" s="2865"/>
      <c r="AM177" s="2865"/>
      <c r="AN177" s="2865"/>
    </row>
    <row r="178" spans="1:47" hidden="1">
      <c r="A178" s="1090"/>
      <c r="B178" s="2865"/>
      <c r="C178" s="2865"/>
      <c r="D178" s="2865"/>
      <c r="E178" s="2865"/>
      <c r="F178" s="2865"/>
      <c r="G178" s="2865"/>
      <c r="H178" s="2865"/>
      <c r="I178" s="2865"/>
      <c r="J178" s="2865"/>
      <c r="K178" s="2865"/>
      <c r="L178" s="2865"/>
      <c r="M178" s="2865"/>
      <c r="N178" s="2865"/>
      <c r="O178" s="2865"/>
      <c r="P178" s="2865"/>
      <c r="Q178" s="2865"/>
      <c r="R178" s="2865"/>
      <c r="T178" s="4244"/>
      <c r="U178" s="4244"/>
      <c r="V178" s="4244"/>
      <c r="W178" s="4244"/>
      <c r="X178" s="4244"/>
      <c r="Y178" s="4244"/>
      <c r="Z178" s="4244"/>
      <c r="AA178" s="4244"/>
      <c r="AB178" s="4244"/>
      <c r="AC178" s="4244"/>
      <c r="AD178" s="4244"/>
      <c r="AE178" s="4244"/>
      <c r="AF178" s="4245"/>
      <c r="AH178" s="2865"/>
      <c r="AI178" s="2865"/>
      <c r="AJ178" s="2865"/>
      <c r="AK178" s="2865"/>
      <c r="AL178" s="2865"/>
      <c r="AM178" s="2865"/>
      <c r="AN178" s="2865"/>
    </row>
    <row r="179" spans="1:47" ht="5.25" hidden="1" customHeight="1">
      <c r="T179" s="2399"/>
      <c r="U179" s="2399"/>
      <c r="V179" s="2399"/>
      <c r="W179" s="2399"/>
      <c r="X179" s="2399"/>
      <c r="Y179" s="2399"/>
      <c r="Z179" s="2399"/>
      <c r="AA179" s="2399"/>
      <c r="AB179" s="2399"/>
      <c r="AC179" s="2399"/>
      <c r="AD179" s="2399"/>
      <c r="AE179" s="2399"/>
      <c r="AH179" s="92"/>
      <c r="AI179" s="92"/>
      <c r="AJ179" s="92"/>
      <c r="AK179" s="92"/>
      <c r="AL179" s="92"/>
      <c r="AM179" s="92"/>
      <c r="AN179" s="92"/>
    </row>
    <row r="180" spans="1:47" s="2748" customFormat="1" hidden="1">
      <c r="A180" s="3291"/>
      <c r="B180" s="118"/>
      <c r="C180" s="1198"/>
      <c r="D180" s="1199"/>
      <c r="E180" s="1198"/>
      <c r="F180" s="1199"/>
      <c r="G180" s="1198"/>
      <c r="H180" s="1199"/>
      <c r="I180" s="1198"/>
      <c r="J180" s="1199"/>
      <c r="K180" s="1198"/>
      <c r="L180" s="1199"/>
      <c r="M180" s="1198"/>
      <c r="N180" s="1199"/>
      <c r="O180" s="1198"/>
      <c r="P180" s="1199"/>
      <c r="Q180" s="1198"/>
      <c r="R180" s="1199"/>
      <c r="T180" s="1926"/>
      <c r="U180" s="1926"/>
      <c r="V180" s="1926"/>
      <c r="W180" s="1926"/>
      <c r="X180" s="1926"/>
      <c r="Y180" s="1926"/>
      <c r="Z180" s="1926"/>
      <c r="AA180" s="1926"/>
      <c r="AB180" s="1926"/>
      <c r="AC180" s="1926"/>
      <c r="AD180" s="1926"/>
      <c r="AE180" s="1926"/>
      <c r="AF180" s="1926"/>
      <c r="AG180" s="2745"/>
      <c r="AH180" s="1926"/>
      <c r="AI180" s="1926"/>
      <c r="AJ180" s="1926"/>
      <c r="AK180" s="1926"/>
      <c r="AL180" s="1926"/>
      <c r="AM180" s="1926"/>
      <c r="AN180" s="1926"/>
      <c r="AO180" s="2745"/>
      <c r="AP180" s="2745"/>
      <c r="AT180" s="2745"/>
      <c r="AU180" s="2745"/>
    </row>
    <row r="181" spans="1:47" hidden="1">
      <c r="A181" s="1175" t="s">
        <v>1073</v>
      </c>
      <c r="B181" s="1059" t="s">
        <v>777</v>
      </c>
      <c r="C181" s="2865"/>
      <c r="D181" s="2865"/>
      <c r="E181" s="2865"/>
      <c r="F181" s="2865"/>
      <c r="G181" s="2865"/>
      <c r="H181" s="2865"/>
      <c r="I181" s="2865"/>
      <c r="J181" s="2865"/>
      <c r="K181" s="2865"/>
      <c r="L181" s="2865"/>
      <c r="M181" s="2865"/>
      <c r="N181" s="2865"/>
      <c r="O181" s="2865"/>
      <c r="P181" s="2865"/>
      <c r="Q181" s="2865"/>
      <c r="R181" s="1156"/>
      <c r="T181" s="3389"/>
      <c r="U181" s="3390" t="s">
        <v>2390</v>
      </c>
      <c r="V181" s="92"/>
      <c r="W181" s="92"/>
      <c r="X181" s="3393" t="s">
        <v>2389</v>
      </c>
      <c r="Y181" s="2865"/>
      <c r="Z181" s="2865"/>
      <c r="AA181" s="2865"/>
      <c r="AB181" s="2865"/>
      <c r="AC181" s="92"/>
      <c r="AD181" s="2865"/>
      <c r="AE181" s="92"/>
      <c r="AF181" s="108"/>
      <c r="AH181" s="2865"/>
      <c r="AI181" s="2865"/>
      <c r="AJ181" s="2865"/>
      <c r="AK181" s="2865"/>
      <c r="AL181" s="2865"/>
      <c r="AM181" s="2865"/>
      <c r="AN181" s="2865"/>
    </row>
    <row r="182" spans="1:47" hidden="1">
      <c r="A182" s="1090" t="s">
        <v>503</v>
      </c>
      <c r="B182" s="73" t="s">
        <v>280</v>
      </c>
      <c r="C182" s="103">
        <f t="shared" ref="C182:O197" si="16">VLOOKUP($B182,$B$14:$R$35,C$36,FALSE)</f>
        <v>0.67083419702973635</v>
      </c>
      <c r="D182" s="1067">
        <f t="shared" si="16"/>
        <v>-0.11335389957676706</v>
      </c>
      <c r="E182" s="1165">
        <f t="shared" si="16"/>
        <v>0.63639387890884902</v>
      </c>
      <c r="F182" s="1066">
        <f t="shared" si="16"/>
        <v>0.1536920907726812</v>
      </c>
      <c r="G182" s="1067">
        <f t="shared" si="16"/>
        <v>1.6283818604559013</v>
      </c>
      <c r="H182" s="1068">
        <f t="shared" si="16"/>
        <v>0.2022242346359609</v>
      </c>
      <c r="I182" s="1066">
        <f t="shared" si="16"/>
        <v>0.20961441125119315</v>
      </c>
      <c r="J182" s="1067">
        <f t="shared" si="16"/>
        <v>0.84200521424561081</v>
      </c>
      <c r="K182" s="1068">
        <f t="shared" si="16"/>
        <v>0.28147528322389997</v>
      </c>
      <c r="L182" s="1060">
        <f t="shared" si="16"/>
        <v>5.592232047851195E-2</v>
      </c>
      <c r="M182" s="1060">
        <f t="shared" si="16"/>
        <v>0.36385945559959909</v>
      </c>
      <c r="N182" s="1069" t="str">
        <f t="shared" si="16"/>
        <v>No rating</v>
      </c>
      <c r="O182" s="1070"/>
      <c r="P182" s="1064">
        <f t="shared" ref="P182:R203" si="17">VLOOKUP($B182,$B$14:$R$35,P$36,FALSE)</f>
        <v>1.4399592566697517</v>
      </c>
      <c r="Q182" s="149">
        <f t="shared" si="17"/>
        <v>0.8442860967329926</v>
      </c>
      <c r="R182" s="1167">
        <f t="shared" si="17"/>
        <v>1.5521418473212367</v>
      </c>
      <c r="S182" s="1158"/>
      <c r="T182" s="3391" t="s">
        <v>52</v>
      </c>
      <c r="U182" s="3392">
        <f>CALCULATIONS!BS5</f>
        <v>-0.12619112032976107</v>
      </c>
      <c r="V182" s="92"/>
      <c r="W182" s="92"/>
      <c r="X182" s="92"/>
      <c r="Y182" s="2865"/>
      <c r="Z182" s="2865"/>
      <c r="AA182" s="2865"/>
      <c r="AB182" s="2865"/>
      <c r="AC182" s="2865"/>
      <c r="AD182" s="2865"/>
      <c r="AE182" s="92"/>
      <c r="AF182" s="108"/>
      <c r="AH182" s="2865"/>
      <c r="AI182" s="2865"/>
      <c r="AJ182" s="2865"/>
      <c r="AK182" s="2865"/>
      <c r="AL182" s="2865"/>
      <c r="AM182" s="2865"/>
      <c r="AN182" s="2865"/>
    </row>
    <row r="183" spans="1:47" hidden="1">
      <c r="A183" s="1090" t="s">
        <v>502</v>
      </c>
      <c r="B183" s="73" t="s">
        <v>287</v>
      </c>
      <c r="C183" s="103">
        <f t="shared" si="16"/>
        <v>0.42290073595624156</v>
      </c>
      <c r="D183" s="1067">
        <f t="shared" si="16"/>
        <v>-9.0086339251873371E-2</v>
      </c>
      <c r="E183" s="1165">
        <f t="shared" si="16"/>
        <v>0.44946685046944856</v>
      </c>
      <c r="F183" s="1066">
        <f t="shared" si="16"/>
        <v>0.16307046534988884</v>
      </c>
      <c r="G183" s="1067">
        <f t="shared" si="16"/>
        <v>1.3005419282788433</v>
      </c>
      <c r="H183" s="1068">
        <f t="shared" si="16"/>
        <v>0.30950096360373897</v>
      </c>
      <c r="I183" s="1066">
        <f t="shared" si="16"/>
        <v>0.18570292678335293</v>
      </c>
      <c r="J183" s="1067">
        <f t="shared" si="16"/>
        <v>1.251733079461073</v>
      </c>
      <c r="K183" s="1068">
        <f t="shared" si="16"/>
        <v>0.34197601038246805</v>
      </c>
      <c r="L183" s="1060">
        <f t="shared" si="16"/>
        <v>2.2632461433464091E-2</v>
      </c>
      <c r="M183" s="1060">
        <f t="shared" si="16"/>
        <v>0.13878945758144007</v>
      </c>
      <c r="N183" s="1069" t="e">
        <f t="shared" si="16"/>
        <v>#REF!</v>
      </c>
      <c r="O183" s="1070" t="str">
        <f>VLOOKUP($B183,$B$14:$R$35,O$36,FALSE)</f>
        <v>¯ ¯</v>
      </c>
      <c r="P183" s="1064">
        <f t="shared" si="17"/>
        <v>0.77886477042851432</v>
      </c>
      <c r="Q183" s="149">
        <f t="shared" si="17"/>
        <v>1.0703005310133176</v>
      </c>
      <c r="R183" s="1167">
        <f t="shared" si="17"/>
        <v>1.1762690733772538</v>
      </c>
      <c r="S183" s="1157"/>
      <c r="T183" s="3391" t="s">
        <v>276</v>
      </c>
      <c r="U183" s="3392">
        <f>CALCULATIONS!BS6</f>
        <v>0.11227149584622503</v>
      </c>
      <c r="V183" s="92"/>
      <c r="W183" s="92"/>
      <c r="X183" s="92"/>
      <c r="Y183" s="2865"/>
      <c r="Z183" s="2865"/>
      <c r="AA183" s="2865"/>
      <c r="AB183" s="2865"/>
      <c r="AC183" s="2865"/>
      <c r="AD183" s="2865"/>
      <c r="AE183" s="92"/>
      <c r="AF183" s="108"/>
      <c r="AH183" s="2865"/>
      <c r="AI183" s="2865"/>
      <c r="AJ183" s="2865"/>
      <c r="AK183" s="2865"/>
      <c r="AL183" s="2865"/>
      <c r="AM183" s="2865"/>
      <c r="AN183" s="2865"/>
    </row>
    <row r="184" spans="1:47" hidden="1">
      <c r="A184" s="1091" t="s">
        <v>319</v>
      </c>
      <c r="B184" s="691" t="s">
        <v>750</v>
      </c>
      <c r="C184" s="1013">
        <f t="shared" si="16"/>
        <v>0.37158673775730477</v>
      </c>
      <c r="D184" s="1079">
        <f t="shared" si="16"/>
        <v>-0.1153634304384116</v>
      </c>
      <c r="E184" s="1164">
        <f t="shared" si="16"/>
        <v>0.36037883142173305</v>
      </c>
      <c r="F184" s="1078">
        <f t="shared" si="16"/>
        <v>0.17383796150947908</v>
      </c>
      <c r="G184" s="1079">
        <f t="shared" si="16"/>
        <v>0.54445307336528614</v>
      </c>
      <c r="H184" s="1080">
        <f t="shared" si="16"/>
        <v>0.26356163003804695</v>
      </c>
      <c r="I184" s="1078">
        <f t="shared" si="16"/>
        <v>0.19702478682132593</v>
      </c>
      <c r="J184" s="1079">
        <f t="shared" si="16"/>
        <v>0.50034734616182497</v>
      </c>
      <c r="K184" s="1080">
        <f t="shared" si="16"/>
        <v>0.28756363720088318</v>
      </c>
      <c r="L184" s="1072">
        <f t="shared" si="16"/>
        <v>2.3186825311846848E-2</v>
      </c>
      <c r="M184" s="1072">
        <f t="shared" si="16"/>
        <v>0.13338182932260462</v>
      </c>
      <c r="N184" s="1081" t="e">
        <f t="shared" si="16"/>
        <v>#REF!</v>
      </c>
      <c r="O184" s="1082" t="str">
        <f>VLOOKUP($B184,$B$14:$R$35,O$36,FALSE)</f>
        <v>= =</v>
      </c>
      <c r="P184" s="1076">
        <f t="shared" si="17"/>
        <v>0.93248540191552354</v>
      </c>
      <c r="Q184" s="1015">
        <f t="shared" si="17"/>
        <v>0.78949919521054279</v>
      </c>
      <c r="R184" s="1166">
        <f t="shared" si="17"/>
        <v>1.3109622071604587</v>
      </c>
      <c r="S184" s="1219"/>
      <c r="T184" s="3391" t="s">
        <v>750</v>
      </c>
      <c r="U184" s="3392">
        <f>CALCULATIONS!BS7</f>
        <v>0.13432174167801333</v>
      </c>
      <c r="V184" s="92"/>
      <c r="W184" s="92"/>
      <c r="X184" s="92"/>
      <c r="Y184" s="2865"/>
      <c r="Z184" s="2865"/>
      <c r="AA184" s="2865"/>
      <c r="AB184" s="2865"/>
      <c r="AC184" s="2865"/>
      <c r="AD184" s="2865"/>
      <c r="AE184" s="92"/>
      <c r="AF184" s="108"/>
      <c r="AH184" s="2865"/>
      <c r="AI184" s="2865"/>
      <c r="AJ184" s="2865"/>
      <c r="AK184" s="2865"/>
      <c r="AL184" s="2865"/>
      <c r="AM184" s="2865"/>
      <c r="AN184" s="2865"/>
    </row>
    <row r="185" spans="1:47" hidden="1">
      <c r="A185" s="1091" t="s">
        <v>319</v>
      </c>
      <c r="B185" s="691" t="s">
        <v>751</v>
      </c>
      <c r="C185" s="1013">
        <f t="shared" si="16"/>
        <v>0.95644485424869818</v>
      </c>
      <c r="D185" s="1079">
        <f t="shared" si="16"/>
        <v>5.7346309608293736E-3</v>
      </c>
      <c r="E185" s="1164">
        <f t="shared" si="16"/>
        <v>0.97265268915223335</v>
      </c>
      <c r="F185" s="1078">
        <f t="shared" si="16"/>
        <v>0.16489915086810925</v>
      </c>
      <c r="G185" s="1079">
        <f t="shared" si="16"/>
        <v>2.0043608623878186</v>
      </c>
      <c r="H185" s="1080">
        <f t="shared" si="16"/>
        <v>0.32988338723452482</v>
      </c>
      <c r="I185" s="1078">
        <f t="shared" si="16"/>
        <v>0.27218937885351913</v>
      </c>
      <c r="J185" s="1079">
        <f t="shared" si="16"/>
        <v>1.2181747217666232</v>
      </c>
      <c r="K185" s="1080">
        <f t="shared" si="16"/>
        <v>0.4561905930983241</v>
      </c>
      <c r="L185" s="1072">
        <f t="shared" si="16"/>
        <v>0.10729022798540988</v>
      </c>
      <c r="M185" s="1072">
        <f t="shared" si="16"/>
        <v>0.65064148250965514</v>
      </c>
      <c r="N185" s="1081" t="str">
        <f t="shared" si="16"/>
        <v>No rating</v>
      </c>
      <c r="O185" s="1082"/>
      <c r="P185" s="1076">
        <f t="shared" si="17"/>
        <v>1.2440956586918632</v>
      </c>
      <c r="Q185" s="1015">
        <f t="shared" si="17"/>
        <v>0.5581122698382367</v>
      </c>
      <c r="R185" s="1166">
        <f t="shared" si="17"/>
        <v>1.6771658832683087</v>
      </c>
      <c r="S185" s="1160"/>
      <c r="T185" s="3391" t="s">
        <v>751</v>
      </c>
      <c r="U185" s="3392">
        <f>CALCULATIONS!BS8</f>
        <v>0.18809124701722557</v>
      </c>
      <c r="V185" s="92"/>
      <c r="W185" s="92"/>
      <c r="X185" s="92"/>
      <c r="Y185" s="2865"/>
      <c r="Z185" s="2865"/>
      <c r="AA185" s="2865"/>
      <c r="AB185" s="2865"/>
      <c r="AC185" s="2865"/>
      <c r="AD185" s="2865"/>
      <c r="AE185" s="92"/>
      <c r="AF185" s="108"/>
      <c r="AH185" s="2865"/>
      <c r="AI185" s="2865"/>
      <c r="AJ185" s="2865"/>
      <c r="AK185" s="2865"/>
      <c r="AL185" s="2865"/>
      <c r="AM185" s="2865"/>
      <c r="AN185" s="2865"/>
    </row>
    <row r="186" spans="1:47" hidden="1">
      <c r="A186" s="1090" t="s">
        <v>19</v>
      </c>
      <c r="B186" s="73" t="s">
        <v>285</v>
      </c>
      <c r="C186" s="103">
        <f t="shared" si="16"/>
        <v>9.1630231095150338E-2</v>
      </c>
      <c r="D186" s="1084" t="str">
        <f t="shared" si="16"/>
        <v>¥</v>
      </c>
      <c r="E186" s="1165">
        <f t="shared" si="16"/>
        <v>0.34976819018989347</v>
      </c>
      <c r="F186" s="1066">
        <f t="shared" si="16"/>
        <v>0.13477545507373562</v>
      </c>
      <c r="G186" s="1067">
        <f t="shared" si="16"/>
        <v>-0.4264373226073967</v>
      </c>
      <c r="H186" s="1068">
        <f t="shared" si="16"/>
        <v>9.7905485588969735E-2</v>
      </c>
      <c r="I186" s="1066">
        <f t="shared" si="16"/>
        <v>0.16024846762312819</v>
      </c>
      <c r="J186" s="1067">
        <f t="shared" si="16"/>
        <v>-0.25253039609468159</v>
      </c>
      <c r="K186" s="1068">
        <f t="shared" si="16"/>
        <v>0.12849893093161849</v>
      </c>
      <c r="L186" s="1060">
        <f t="shared" si="16"/>
        <v>2.5473012549392576E-2</v>
      </c>
      <c r="M186" s="1060">
        <f t="shared" si="16"/>
        <v>0.18900335031669008</v>
      </c>
      <c r="N186" s="1069" t="str">
        <f t="shared" si="16"/>
        <v>No rating</v>
      </c>
      <c r="O186" s="1070"/>
      <c r="P186" s="1064">
        <f t="shared" si="17"/>
        <v>1.265551414722516</v>
      </c>
      <c r="Q186" s="149">
        <f t="shared" si="17"/>
        <v>0.38040351489576829</v>
      </c>
      <c r="R186" s="1167">
        <f t="shared" si="17"/>
        <v>1.242834927692577</v>
      </c>
      <c r="S186" s="1161"/>
      <c r="T186" s="3391" t="s">
        <v>752</v>
      </c>
      <c r="U186" s="3392">
        <f>CALCULATIONS!BS9</f>
        <v>0.80722571782903718</v>
      </c>
      <c r="V186" s="92"/>
      <c r="W186" s="92"/>
      <c r="X186" s="92"/>
      <c r="Y186" s="2865"/>
      <c r="Z186" s="2865"/>
      <c r="AA186" s="2865"/>
      <c r="AB186" s="2865"/>
      <c r="AC186" s="2865"/>
      <c r="AD186" s="2865"/>
      <c r="AE186" s="92"/>
      <c r="AF186" s="108"/>
      <c r="AH186" s="2865"/>
      <c r="AI186" s="2865"/>
      <c r="AJ186" s="2865"/>
      <c r="AK186" s="2865"/>
      <c r="AL186" s="2865"/>
      <c r="AM186" s="2865"/>
      <c r="AN186" s="2865"/>
    </row>
    <row r="187" spans="1:47" hidden="1">
      <c r="A187" s="1090" t="s">
        <v>503</v>
      </c>
      <c r="B187" s="73" t="s">
        <v>282</v>
      </c>
      <c r="C187" s="103">
        <f t="shared" si="16"/>
        <v>0.67984865616162071</v>
      </c>
      <c r="D187" s="1067">
        <f t="shared" si="16"/>
        <v>0.13956056160252914</v>
      </c>
      <c r="E187" s="1165">
        <f t="shared" si="16"/>
        <v>0.7167630057803468</v>
      </c>
      <c r="F187" s="1066">
        <f t="shared" si="16"/>
        <v>0.23215418017261674</v>
      </c>
      <c r="G187" s="1067">
        <f t="shared" si="16"/>
        <v>0.36187217108516367</v>
      </c>
      <c r="H187" s="1068">
        <f t="shared" si="16"/>
        <v>0.26525179681706468</v>
      </c>
      <c r="I187" s="1066">
        <f t="shared" si="16"/>
        <v>0.2501311526811702</v>
      </c>
      <c r="J187" s="1067">
        <f t="shared" si="16"/>
        <v>0.31916438327965047</v>
      </c>
      <c r="K187" s="1068">
        <f t="shared" si="16"/>
        <v>0.28287599661626001</v>
      </c>
      <c r="L187" s="1060">
        <f t="shared" si="16"/>
        <v>1.7976972508553457E-2</v>
      </c>
      <c r="M187" s="1060">
        <f t="shared" si="16"/>
        <v>7.7435489187344358E-2</v>
      </c>
      <c r="N187" s="1069" t="e">
        <f t="shared" si="16"/>
        <v>#REF!</v>
      </c>
      <c r="O187" s="1070"/>
      <c r="P187" s="1064">
        <f t="shared" si="17"/>
        <v>1.845874038975184</v>
      </c>
      <c r="Q187" s="149">
        <f t="shared" si="17"/>
        <v>0.36079457239176377</v>
      </c>
      <c r="R187" s="1167">
        <f t="shared" si="17"/>
        <v>2.1424428051274771</v>
      </c>
      <c r="S187" s="1158"/>
      <c r="T187" s="3391" t="s">
        <v>39</v>
      </c>
      <c r="U187" s="3392">
        <f>CALCULATIONS!BS10</f>
        <v>-0.26236115347773137</v>
      </c>
      <c r="V187" s="92"/>
      <c r="W187" s="92"/>
      <c r="X187" s="92"/>
      <c r="Y187" s="2865"/>
      <c r="Z187" s="2865"/>
      <c r="AA187" s="2865"/>
      <c r="AB187" s="2865"/>
      <c r="AC187" s="2865"/>
      <c r="AD187" s="2865"/>
      <c r="AE187" s="92"/>
      <c r="AF187" s="108"/>
      <c r="AH187" s="2865"/>
      <c r="AI187" s="2865"/>
      <c r="AJ187" s="2865"/>
      <c r="AK187" s="2865"/>
      <c r="AL187" s="2865"/>
      <c r="AM187" s="2865"/>
      <c r="AN187" s="2865"/>
    </row>
    <row r="188" spans="1:47" hidden="1">
      <c r="A188" s="1090" t="s">
        <v>73</v>
      </c>
      <c r="B188" s="73" t="s">
        <v>283</v>
      </c>
      <c r="C188" s="103">
        <f t="shared" si="16"/>
        <v>0.62657499999999999</v>
      </c>
      <c r="D188" s="1067">
        <f t="shared" si="16"/>
        <v>5.5614710459497153E-2</v>
      </c>
      <c r="E188" s="1165">
        <f t="shared" si="16"/>
        <v>0.64439999999999997</v>
      </c>
      <c r="F188" s="1066">
        <f t="shared" si="16"/>
        <v>0.24190098439360719</v>
      </c>
      <c r="G188" s="1067">
        <f t="shared" si="16"/>
        <v>0.20667512064869559</v>
      </c>
      <c r="H188" s="1068">
        <f t="shared" si="16"/>
        <v>0.30597960586046052</v>
      </c>
      <c r="I188" s="1066">
        <f t="shared" si="16"/>
        <v>0.2616424852780464</v>
      </c>
      <c r="J188" s="1067">
        <f t="shared" si="16"/>
        <v>0.20296552626351777</v>
      </c>
      <c r="K188" s="1068">
        <f t="shared" si="16"/>
        <v>0.32061814749302248</v>
      </c>
      <c r="L188" s="1060">
        <f t="shared" si="16"/>
        <v>1.9741500884439211E-2</v>
      </c>
      <c r="M188" s="1060">
        <f t="shared" si="16"/>
        <v>8.1609841042717679E-2</v>
      </c>
      <c r="N188" s="1069" t="e">
        <f t="shared" si="16"/>
        <v>#REF!</v>
      </c>
      <c r="O188" s="1070" t="str">
        <f>VLOOKUP($B188,$B$14:$R$35,O$36,FALSE)</f>
        <v>= =</v>
      </c>
      <c r="P188" s="1064">
        <f t="shared" si="17"/>
        <v>1.7511002028712532</v>
      </c>
      <c r="Q188" s="149">
        <f t="shared" si="17"/>
        <v>0.37093258903528414</v>
      </c>
      <c r="R188" s="1167">
        <f t="shared" si="17"/>
        <v>2.2311132077757287</v>
      </c>
      <c r="S188" s="1158"/>
      <c r="T188" s="3391" t="s">
        <v>53</v>
      </c>
      <c r="U188" s="3392">
        <f>CALCULATIONS!BS11</f>
        <v>3.4526411513249991E-2</v>
      </c>
      <c r="V188" s="92"/>
      <c r="W188" s="92"/>
      <c r="X188" s="92"/>
      <c r="Y188" s="2865"/>
      <c r="Z188" s="2865"/>
      <c r="AA188" s="2865"/>
      <c r="AB188" s="2865"/>
      <c r="AC188" s="2865"/>
      <c r="AD188" s="2865"/>
      <c r="AE188" s="92"/>
      <c r="AF188" s="108"/>
      <c r="AH188" s="2865"/>
      <c r="AI188" s="2865"/>
      <c r="AJ188" s="2865"/>
      <c r="AK188" s="2865"/>
      <c r="AL188" s="2865"/>
      <c r="AM188" s="2865"/>
      <c r="AN188" s="2865"/>
    </row>
    <row r="189" spans="1:47" hidden="1">
      <c r="A189" s="1090" t="s">
        <v>385</v>
      </c>
      <c r="B189" s="73" t="s">
        <v>276</v>
      </c>
      <c r="C189" s="103">
        <f t="shared" si="16"/>
        <v>0.60910298289809772</v>
      </c>
      <c r="D189" s="1067">
        <f t="shared" si="16"/>
        <v>-5.2071170724915891E-2</v>
      </c>
      <c r="E189" s="1165">
        <f t="shared" si="16"/>
        <v>0.6207941242005639</v>
      </c>
      <c r="F189" s="1066">
        <f t="shared" si="16"/>
        <v>0.49050145598877937</v>
      </c>
      <c r="G189" s="1067">
        <f t="shared" si="16"/>
        <v>0.42102559519407173</v>
      </c>
      <c r="H189" s="1068">
        <f t="shared" si="16"/>
        <v>0.61744816018521742</v>
      </c>
      <c r="I189" s="1066">
        <f t="shared" si="16"/>
        <v>0.49698573886957192</v>
      </c>
      <c r="J189" s="1067">
        <f t="shared" si="16"/>
        <v>0.41032171167013903</v>
      </c>
      <c r="K189" s="1068">
        <f t="shared" si="16"/>
        <v>0.62319136029119382</v>
      </c>
      <c r="L189" s="1060">
        <f t="shared" si="16"/>
        <v>6.4842828807925579E-3</v>
      </c>
      <c r="M189" s="1060">
        <f t="shared" si="16"/>
        <v>1.3219701596443154E-2</v>
      </c>
      <c r="N189" s="1069" t="e">
        <f t="shared" si="16"/>
        <v>#REF!</v>
      </c>
      <c r="O189" s="1070"/>
      <c r="P189" s="1064">
        <f t="shared" si="17"/>
        <v>2.1902281092407181</v>
      </c>
      <c r="Q189" s="149">
        <f t="shared" si="17"/>
        <v>0.36844726500440206</v>
      </c>
      <c r="R189" s="1167">
        <f t="shared" si="17"/>
        <v>2.5252968522290931</v>
      </c>
      <c r="S189" s="1157"/>
      <c r="T189" s="3391" t="s">
        <v>283</v>
      </c>
      <c r="U189" s="3392">
        <f>CALCULATIONS!BS12</f>
        <v>0.38626988521043421</v>
      </c>
      <c r="V189" s="92"/>
      <c r="W189" s="92"/>
      <c r="X189" s="92"/>
      <c r="Y189" s="2865"/>
      <c r="Z189" s="2865"/>
      <c r="AA189" s="2865"/>
      <c r="AB189" s="2865"/>
      <c r="AC189" s="2865"/>
      <c r="AD189" s="2865"/>
      <c r="AE189" s="92"/>
      <c r="AF189" s="108"/>
      <c r="AH189" s="2865"/>
      <c r="AI189" s="2865"/>
      <c r="AJ189" s="2865"/>
      <c r="AK189" s="2865"/>
      <c r="AL189" s="2865"/>
      <c r="AM189" s="2865"/>
      <c r="AN189" s="2865"/>
    </row>
    <row r="190" spans="1:47" hidden="1">
      <c r="A190" s="1091" t="s">
        <v>319</v>
      </c>
      <c r="B190" s="691" t="s">
        <v>752</v>
      </c>
      <c r="C190" s="1013">
        <f t="shared" si="16"/>
        <v>6.4385445236561381E-2</v>
      </c>
      <c r="D190" s="1079">
        <f t="shared" si="16"/>
        <v>14.697799124913645</v>
      </c>
      <c r="E190" s="1164">
        <f t="shared" si="16"/>
        <v>0.15462918080465343</v>
      </c>
      <c r="F190" s="1078">
        <f t="shared" si="16"/>
        <v>0.42399287000325037</v>
      </c>
      <c r="G190" s="1079">
        <f t="shared" si="16"/>
        <v>4.5742782667206161E-2</v>
      </c>
      <c r="H190" s="1080">
        <f t="shared" si="16"/>
        <v>0.48144640266975475</v>
      </c>
      <c r="I190" s="1078">
        <f t="shared" si="16"/>
        <v>0.42695023434228802</v>
      </c>
      <c r="J190" s="1079">
        <f t="shared" si="16"/>
        <v>4.1366838913311048E-2</v>
      </c>
      <c r="K190" s="1080">
        <f t="shared" si="16"/>
        <v>0.4832654138496531</v>
      </c>
      <c r="L190" s="1072">
        <f t="shared" si="16"/>
        <v>2.9573643390376492E-3</v>
      </c>
      <c r="M190" s="1072">
        <f t="shared" si="16"/>
        <v>6.9750331863245195E-3</v>
      </c>
      <c r="N190" s="1081" t="e">
        <f t="shared" si="16"/>
        <v>#REF!</v>
      </c>
      <c r="O190" s="1082"/>
      <c r="P190" s="1076">
        <f t="shared" si="17"/>
        <v>3.7014756930154613</v>
      </c>
      <c r="Q190" s="1015">
        <f t="shared" si="17"/>
        <v>0.31334582285320112</v>
      </c>
      <c r="R190" s="1166">
        <f t="shared" si="17"/>
        <v>4.3704719780651446</v>
      </c>
      <c r="S190" s="1161"/>
      <c r="T190" s="3391" t="s">
        <v>285</v>
      </c>
      <c r="U190" s="3392">
        <f>CALCULATIONS!BS13</f>
        <v>0.9509206880920984</v>
      </c>
      <c r="V190" s="92"/>
      <c r="W190" s="92"/>
      <c r="X190" s="92"/>
      <c r="Y190" s="2865"/>
      <c r="Z190" s="2865"/>
      <c r="AA190" s="2865"/>
      <c r="AB190" s="2865"/>
      <c r="AC190" s="2865"/>
      <c r="AD190" s="2865"/>
      <c r="AE190" s="92"/>
      <c r="AF190" s="108"/>
      <c r="AH190" s="2865"/>
      <c r="AI190" s="2865"/>
      <c r="AJ190" s="2865"/>
      <c r="AK190" s="2865"/>
      <c r="AL190" s="2865"/>
      <c r="AM190" s="2865"/>
      <c r="AN190" s="2865"/>
    </row>
    <row r="191" spans="1:47" hidden="1">
      <c r="A191" s="1090" t="s">
        <v>27</v>
      </c>
      <c r="B191" s="73" t="s">
        <v>54</v>
      </c>
      <c r="C191" s="103">
        <f t="shared" si="16"/>
        <v>0.48460704112825509</v>
      </c>
      <c r="D191" s="1067">
        <f t="shared" si="16"/>
        <v>-0.18079580514885477</v>
      </c>
      <c r="E191" s="1165">
        <f t="shared" si="16"/>
        <v>0.49497857034449522</v>
      </c>
      <c r="F191" s="1066">
        <f t="shared" si="16"/>
        <v>0.56717095077467305</v>
      </c>
      <c r="G191" s="1067">
        <f t="shared" si="16"/>
        <v>0.64731222518720821</v>
      </c>
      <c r="H191" s="1068">
        <f t="shared" si="16"/>
        <v>0.74754623070756221</v>
      </c>
      <c r="I191" s="1066">
        <f t="shared" si="16"/>
        <v>0.5748403529709204</v>
      </c>
      <c r="J191" s="1067">
        <f t="shared" si="16"/>
        <v>0.5906099669472562</v>
      </c>
      <c r="K191" s="1068">
        <f t="shared" si="16"/>
        <v>0.7506672643344422</v>
      </c>
      <c r="L191" s="1060">
        <f t="shared" si="16"/>
        <v>7.6694021962473435E-3</v>
      </c>
      <c r="M191" s="1060">
        <f t="shared" si="16"/>
        <v>1.3522205581530675E-2</v>
      </c>
      <c r="N191" s="1069" t="e">
        <f t="shared" si="16"/>
        <v>#REF!</v>
      </c>
      <c r="O191" s="1070"/>
      <c r="P191" s="1064">
        <f t="shared" si="17"/>
        <v>3.4278891827637503</v>
      </c>
      <c r="Q191" s="149">
        <f t="shared" si="17"/>
        <v>0.24423537898737996</v>
      </c>
      <c r="R191" s="1167">
        <f t="shared" si="17"/>
        <v>3.8230610288109381</v>
      </c>
      <c r="S191" s="1163"/>
      <c r="T191" s="3391" t="s">
        <v>286</v>
      </c>
      <c r="U191" s="3392">
        <f>CALCULATIONS!BS14</f>
        <v>-0.10152942747389408</v>
      </c>
      <c r="V191" s="92"/>
      <c r="W191" s="92"/>
      <c r="X191" s="92"/>
      <c r="Y191" s="2865"/>
      <c r="Z191" s="2865"/>
      <c r="AA191" s="2865"/>
      <c r="AB191" s="2865"/>
      <c r="AC191" s="2865"/>
      <c r="AD191" s="2865"/>
      <c r="AE191" s="92"/>
      <c r="AF191" s="108"/>
      <c r="AH191" s="2865"/>
      <c r="AI191" s="2865"/>
      <c r="AJ191" s="2865"/>
      <c r="AK191" s="2865"/>
      <c r="AL191" s="2865"/>
      <c r="AM191" s="2865"/>
      <c r="AN191" s="2865"/>
    </row>
    <row r="192" spans="1:47" hidden="1">
      <c r="A192" s="1090" t="s">
        <v>217</v>
      </c>
      <c r="B192" s="73" t="s">
        <v>53</v>
      </c>
      <c r="C192" s="103">
        <f t="shared" si="16"/>
        <v>0.6158872479982318</v>
      </c>
      <c r="D192" s="1067">
        <f t="shared" si="16"/>
        <v>0.11044311863454735</v>
      </c>
      <c r="E192" s="1165">
        <f t="shared" si="16"/>
        <v>0.66127040038880336</v>
      </c>
      <c r="F192" s="1066">
        <f t="shared" si="16"/>
        <v>0.48384306036910518</v>
      </c>
      <c r="G192" s="1067">
        <f t="shared" si="16"/>
        <v>0.2595878527386451</v>
      </c>
      <c r="H192" s="1068">
        <f t="shared" si="16"/>
        <v>0.54381370963962039</v>
      </c>
      <c r="I192" s="1066">
        <f t="shared" si="16"/>
        <v>0.51513010935716153</v>
      </c>
      <c r="J192" s="1067">
        <f t="shared" si="16"/>
        <v>0.26130995158024306</v>
      </c>
      <c r="K192" s="1068">
        <f t="shared" si="16"/>
        <v>0.57929804018594233</v>
      </c>
      <c r="L192" s="1060">
        <f t="shared" si="16"/>
        <v>3.1287048988056343E-2</v>
      </c>
      <c r="M192" s="1060">
        <f t="shared" si="16"/>
        <v>6.4663630732222685E-2</v>
      </c>
      <c r="N192" s="1069" t="e">
        <f t="shared" si="16"/>
        <v>#REF!</v>
      </c>
      <c r="O192" s="1070" t="str">
        <f t="shared" si="16"/>
        <v>¯ ¯ ¯</v>
      </c>
      <c r="P192" s="1064">
        <f t="shared" si="17"/>
        <v>2.7929780820851775</v>
      </c>
      <c r="Q192" s="149">
        <f t="shared" si="17"/>
        <v>0.12404595260605845</v>
      </c>
      <c r="R192" s="1167">
        <f t="shared" si="17"/>
        <v>2.8353348809740444</v>
      </c>
      <c r="S192" s="1163"/>
      <c r="T192" s="3391" t="s">
        <v>42</v>
      </c>
      <c r="U192" s="3392">
        <f>CALCULATIONS!BS15</f>
        <v>-0.48357132082951515</v>
      </c>
      <c r="V192" s="92"/>
      <c r="W192" s="92"/>
      <c r="X192" s="92"/>
      <c r="Y192" s="2865"/>
      <c r="Z192" s="2865"/>
      <c r="AA192" s="2865"/>
      <c r="AB192" s="2865"/>
      <c r="AC192" s="2865"/>
      <c r="AD192" s="2865"/>
      <c r="AE192" s="92"/>
      <c r="AF192" s="108"/>
      <c r="AH192" s="2865"/>
      <c r="AI192" s="2865"/>
      <c r="AJ192" s="2865"/>
      <c r="AK192" s="2865"/>
      <c r="AL192" s="2865"/>
      <c r="AM192" s="2865"/>
      <c r="AN192" s="2865"/>
    </row>
    <row r="193" spans="1:47" hidden="1">
      <c r="A193" s="1090" t="s">
        <v>498</v>
      </c>
      <c r="B193" s="73" t="s">
        <v>52</v>
      </c>
      <c r="C193" s="103">
        <f t="shared" si="16"/>
        <v>0.61</v>
      </c>
      <c r="D193" s="1067">
        <f t="shared" si="16"/>
        <v>0</v>
      </c>
      <c r="E193" s="1165">
        <f t="shared" si="16"/>
        <v>0.62983042679437373</v>
      </c>
      <c r="F193" s="1066">
        <f t="shared" si="16"/>
        <v>0.51528895508035288</v>
      </c>
      <c r="G193" s="1067">
        <f t="shared" si="16"/>
        <v>-2.4931247740904369E-2</v>
      </c>
      <c r="H193" s="1068">
        <f t="shared" si="16"/>
        <v>0.51939744871548044</v>
      </c>
      <c r="I193" s="1066">
        <f t="shared" si="16"/>
        <v>0.58808850315066874</v>
      </c>
      <c r="J193" s="1067">
        <f t="shared" si="16"/>
        <v>-2.8226553900756759E-2</v>
      </c>
      <c r="K193" s="1068">
        <f t="shared" si="16"/>
        <v>0.59074959904524027</v>
      </c>
      <c r="L193" s="1060">
        <f t="shared" si="16"/>
        <v>7.2799548070315856E-2</v>
      </c>
      <c r="M193" s="1060">
        <f t="shared" si="16"/>
        <v>0.14127907721011346</v>
      </c>
      <c r="N193" s="1069" t="e">
        <f t="shared" si="16"/>
        <v>#REF!</v>
      </c>
      <c r="O193" s="1070" t="str">
        <f t="shared" si="16"/>
        <v>= = =</v>
      </c>
      <c r="P193" s="1064">
        <f t="shared" si="17"/>
        <v>2.7906818261625395</v>
      </c>
      <c r="Q193" s="149">
        <f t="shared" si="17"/>
        <v>8.5841806528642844E-2</v>
      </c>
      <c r="R193" s="1167">
        <f t="shared" si="17"/>
        <v>2.9178287645268703</v>
      </c>
      <c r="S193" s="1157"/>
      <c r="T193" s="3391" t="s">
        <v>284</v>
      </c>
      <c r="U193" s="3392">
        <f>CALCULATIONS!BS16</f>
        <v>-0.15780847404797491</v>
      </c>
      <c r="V193" s="92"/>
      <c r="W193" s="92"/>
      <c r="X193" s="92"/>
      <c r="Y193" s="2865"/>
      <c r="Z193" s="2865"/>
      <c r="AA193" s="2865"/>
      <c r="AB193" s="2865"/>
      <c r="AC193" s="2865"/>
      <c r="AD193" s="2865"/>
      <c r="AE193" s="92"/>
      <c r="AF193" s="108"/>
      <c r="AH193" s="2865"/>
      <c r="AI193" s="2865"/>
      <c r="AJ193" s="2865"/>
      <c r="AK193" s="2865"/>
      <c r="AL193" s="2865"/>
      <c r="AM193" s="2865"/>
      <c r="AN193" s="2865"/>
    </row>
    <row r="194" spans="1:47" hidden="1">
      <c r="A194" s="1090" t="s">
        <v>500</v>
      </c>
      <c r="B194" s="73" t="s">
        <v>279</v>
      </c>
      <c r="C194" s="103">
        <f t="shared" si="16"/>
        <v>0.7344324868237998</v>
      </c>
      <c r="D194" s="1067">
        <f t="shared" si="16"/>
        <v>0.10784712869930438</v>
      </c>
      <c r="E194" s="1165">
        <f t="shared" si="16"/>
        <v>0.74956908795771016</v>
      </c>
      <c r="F194" s="1066">
        <f t="shared" si="16"/>
        <v>0.14726898954609682</v>
      </c>
      <c r="G194" s="1067">
        <f t="shared" si="16"/>
        <v>4.9939774449528171E-2</v>
      </c>
      <c r="H194" s="1068">
        <f t="shared" si="16"/>
        <v>0.17272839211728983</v>
      </c>
      <c r="I194" s="1066">
        <f t="shared" si="16"/>
        <v>0.18443136241749356</v>
      </c>
      <c r="J194" s="1067">
        <f t="shared" si="16"/>
        <v>-5.7258906752796622E-2</v>
      </c>
      <c r="K194" s="1068">
        <f t="shared" si="16"/>
        <v>0.198117589718218</v>
      </c>
      <c r="L194" s="1060">
        <f t="shared" si="16"/>
        <v>3.7162372871396732E-2</v>
      </c>
      <c r="M194" s="1060">
        <f t="shared" si="16"/>
        <v>0.25234350412762557</v>
      </c>
      <c r="N194" s="1069" t="e">
        <f t="shared" si="16"/>
        <v>#REF!</v>
      </c>
      <c r="O194" s="1070" t="str">
        <f t="shared" si="16"/>
        <v>= =</v>
      </c>
      <c r="P194" s="1064">
        <f t="shared" si="17"/>
        <v>1.0395975936863313</v>
      </c>
      <c r="Q194" s="149">
        <f t="shared" si="17"/>
        <v>2.9438923535487854E-2</v>
      </c>
      <c r="R194" s="1167">
        <f t="shared" si="17"/>
        <v>1.2087727199953455</v>
      </c>
      <c r="S194" s="1158"/>
      <c r="T194" s="3391" t="s">
        <v>279</v>
      </c>
      <c r="U194" s="3392">
        <f>CALCULATIONS!BS17</f>
        <v>0.27281150380868918</v>
      </c>
      <c r="V194" s="92"/>
      <c r="W194" s="92"/>
      <c r="X194" s="92"/>
      <c r="Y194" s="2865"/>
      <c r="Z194" s="2865"/>
      <c r="AA194" s="2865"/>
      <c r="AB194" s="2865"/>
      <c r="AC194" s="2865"/>
      <c r="AD194" s="2865"/>
      <c r="AE194" s="92"/>
      <c r="AF194" s="108"/>
      <c r="AH194" s="2865"/>
      <c r="AI194" s="2865"/>
      <c r="AJ194" s="2865"/>
      <c r="AK194" s="2865"/>
      <c r="AL194" s="2865"/>
      <c r="AM194" s="2865"/>
      <c r="AN194" s="2865"/>
    </row>
    <row r="195" spans="1:47" hidden="1">
      <c r="A195" s="1090" t="s">
        <v>504</v>
      </c>
      <c r="B195" s="73" t="s">
        <v>288</v>
      </c>
      <c r="C195" s="103">
        <f t="shared" si="16"/>
        <v>0.32615050588405037</v>
      </c>
      <c r="D195" s="1067">
        <f t="shared" si="16"/>
        <v>-8.7660674172335792E-2</v>
      </c>
      <c r="E195" s="1165">
        <f t="shared" si="16"/>
        <v>0.30985103942866765</v>
      </c>
      <c r="F195" s="1066">
        <f t="shared" si="16"/>
        <v>0.30558583418722468</v>
      </c>
      <c r="G195" s="1067">
        <f t="shared" si="16"/>
        <v>-0.13620468181810452</v>
      </c>
      <c r="H195" s="1068">
        <f t="shared" si="16"/>
        <v>0.29018390059321952</v>
      </c>
      <c r="I195" s="1066">
        <f t="shared" si="16"/>
        <v>0.31922230141848357</v>
      </c>
      <c r="J195" s="1067">
        <f t="shared" si="16"/>
        <v>-0.13496032758973828</v>
      </c>
      <c r="K195" s="1068">
        <f t="shared" si="16"/>
        <v>0.30362227391248225</v>
      </c>
      <c r="L195" s="1060">
        <f t="shared" si="16"/>
        <v>1.3636467231258886E-2</v>
      </c>
      <c r="M195" s="1060">
        <f t="shared" si="16"/>
        <v>4.4624016252350789E-2</v>
      </c>
      <c r="N195" s="1069" t="e">
        <f t="shared" si="16"/>
        <v>#REF!</v>
      </c>
      <c r="O195" s="1070" t="str">
        <f t="shared" si="16"/>
        <v>= =</v>
      </c>
      <c r="P195" s="1064">
        <f t="shared" si="17"/>
        <v>2.1579177629636748</v>
      </c>
      <c r="Q195" s="149">
        <f t="shared" si="17"/>
        <v>6.0078851309961184E-2</v>
      </c>
      <c r="R195" s="1167">
        <f t="shared" si="17"/>
        <v>2.3009327536910358</v>
      </c>
      <c r="S195" s="1162"/>
      <c r="T195" s="3391" t="s">
        <v>44</v>
      </c>
      <c r="U195" s="3392">
        <f>CALCULATIONS!BS18</f>
        <v>-0.15186912506705538</v>
      </c>
      <c r="V195" s="92"/>
      <c r="W195" s="92"/>
      <c r="X195" s="92"/>
      <c r="Y195" s="2865"/>
      <c r="Z195" s="2865"/>
      <c r="AA195" s="2865"/>
      <c r="AB195" s="2865"/>
      <c r="AC195" s="2865"/>
      <c r="AD195" s="2865"/>
      <c r="AE195" s="92"/>
      <c r="AF195" s="108"/>
      <c r="AH195" s="2865"/>
      <c r="AI195" s="2865"/>
      <c r="AJ195" s="2865"/>
      <c r="AK195" s="2865"/>
      <c r="AL195" s="2865"/>
      <c r="AM195" s="2865"/>
      <c r="AN195" s="2865"/>
    </row>
    <row r="196" spans="1:47" hidden="1">
      <c r="A196" s="1090" t="s">
        <v>501</v>
      </c>
      <c r="B196" s="73" t="s">
        <v>44</v>
      </c>
      <c r="C196" s="103">
        <f t="shared" si="16"/>
        <v>0.5805147103617575</v>
      </c>
      <c r="D196" s="1067">
        <f t="shared" si="16"/>
        <v>8.4948466413752491E-2</v>
      </c>
      <c r="E196" s="1165">
        <f t="shared" si="16"/>
        <v>0.6264024463118032</v>
      </c>
      <c r="F196" s="1066">
        <f t="shared" si="16"/>
        <v>0.51826084585195908</v>
      </c>
      <c r="G196" s="1067">
        <f t="shared" si="16"/>
        <v>0.40005999871326348</v>
      </c>
      <c r="H196" s="1068">
        <f t="shared" si="16"/>
        <v>0.58973938770950263</v>
      </c>
      <c r="I196" s="1066">
        <f t="shared" si="16"/>
        <v>0.5495689942142129</v>
      </c>
      <c r="J196" s="1067">
        <f t="shared" si="16"/>
        <v>0.40637993517884302</v>
      </c>
      <c r="K196" s="1068">
        <f t="shared" si="16"/>
        <v>0.63323863537070213</v>
      </c>
      <c r="L196" s="1060">
        <f t="shared" si="16"/>
        <v>3.1308148362253818E-2</v>
      </c>
      <c r="M196" s="1060">
        <f t="shared" si="16"/>
        <v>6.0410020577161203E-2</v>
      </c>
      <c r="N196" s="1069" t="e">
        <f t="shared" si="16"/>
        <v>#REF!</v>
      </c>
      <c r="O196" s="1070" t="str">
        <f t="shared" si="16"/>
        <v>= = ¯</v>
      </c>
      <c r="P196" s="1064">
        <f t="shared" si="17"/>
        <v>2.643581803383519</v>
      </c>
      <c r="Q196" s="149">
        <f t="shared" si="17"/>
        <v>2.8580691559688957E-2</v>
      </c>
      <c r="R196" s="1167">
        <f t="shared" si="17"/>
        <v>2.5466878830879209</v>
      </c>
      <c r="S196" s="1157"/>
      <c r="T196" s="3391" t="s">
        <v>287</v>
      </c>
      <c r="U196" s="3392">
        <f>CALCULATIONS!BS19</f>
        <v>0.52553296536870131</v>
      </c>
      <c r="V196" s="92"/>
      <c r="W196" s="92"/>
      <c r="X196" s="92"/>
      <c r="Y196" s="2865"/>
      <c r="Z196" s="2865"/>
      <c r="AA196" s="2865"/>
      <c r="AB196" s="2865"/>
      <c r="AC196" s="2865"/>
      <c r="AD196" s="2865"/>
      <c r="AE196" s="92"/>
      <c r="AF196" s="108"/>
      <c r="AH196" s="2865"/>
      <c r="AI196" s="2865"/>
      <c r="AJ196" s="2865"/>
      <c r="AK196" s="2865"/>
      <c r="AL196" s="2865"/>
      <c r="AM196" s="2865"/>
      <c r="AN196" s="2865"/>
    </row>
    <row r="197" spans="1:47" hidden="1">
      <c r="A197" s="1090" t="s">
        <v>19</v>
      </c>
      <c r="B197" s="150" t="s">
        <v>286</v>
      </c>
      <c r="C197" s="103">
        <f t="shared" si="16"/>
        <v>0.60741568747204655</v>
      </c>
      <c r="D197" s="1067">
        <f t="shared" si="16"/>
        <v>4.0950219141690898E-2</v>
      </c>
      <c r="E197" s="1165">
        <f t="shared" si="16"/>
        <v>0.62738172243152124</v>
      </c>
      <c r="F197" s="1066">
        <f t="shared" si="16"/>
        <v>0.50834561454306215</v>
      </c>
      <c r="G197" s="1067">
        <f t="shared" si="16"/>
        <v>0.27477182203191691</v>
      </c>
      <c r="H197" s="1068">
        <f t="shared" si="16"/>
        <v>0.61196382356206247</v>
      </c>
      <c r="I197" s="1066">
        <f t="shared" si="16"/>
        <v>0.54898628094174651</v>
      </c>
      <c r="J197" s="1067">
        <f t="shared" si="16"/>
        <v>0.26756473067663017</v>
      </c>
      <c r="K197" s="1068">
        <f t="shared" si="16"/>
        <v>0.65530118542007598</v>
      </c>
      <c r="L197" s="1060">
        <f t="shared" si="16"/>
        <v>4.0640666398684355E-2</v>
      </c>
      <c r="M197" s="1060">
        <f t="shared" si="16"/>
        <v>7.9946920433679999E-2</v>
      </c>
      <c r="N197" s="1069" t="e">
        <f t="shared" si="16"/>
        <v>#REF!</v>
      </c>
      <c r="O197" s="1070" t="str">
        <f t="shared" si="16"/>
        <v>= = ¯</v>
      </c>
      <c r="P197" s="1064">
        <f t="shared" si="17"/>
        <v>2.5321561588471506</v>
      </c>
      <c r="Q197" s="149">
        <f t="shared" si="17"/>
        <v>1.3257606300410854E-2</v>
      </c>
      <c r="R197" s="1167">
        <f t="shared" si="17"/>
        <v>2.8138910595815916</v>
      </c>
      <c r="S197" s="1157"/>
      <c r="T197" s="3391" t="s">
        <v>54</v>
      </c>
      <c r="U197" s="3392">
        <f>CALCULATIONS!BS20</f>
        <v>0.23137252445044021</v>
      </c>
      <c r="V197" s="92"/>
      <c r="W197" s="92"/>
      <c r="X197" s="92"/>
      <c r="Y197" s="2865"/>
      <c r="Z197" s="2865"/>
      <c r="AA197" s="2865"/>
      <c r="AB197" s="2865"/>
      <c r="AC197" s="2865"/>
      <c r="AD197" s="2865"/>
      <c r="AE197" s="92"/>
      <c r="AF197" s="108"/>
      <c r="AH197" s="2865"/>
      <c r="AI197" s="2865"/>
      <c r="AJ197" s="2865"/>
      <c r="AK197" s="2865"/>
      <c r="AL197" s="2865"/>
      <c r="AM197" s="2865"/>
      <c r="AN197" s="2865"/>
    </row>
    <row r="198" spans="1:47" hidden="1">
      <c r="A198" s="1090" t="s">
        <v>32</v>
      </c>
      <c r="B198" s="73" t="s">
        <v>277</v>
      </c>
      <c r="C198" s="103">
        <f t="shared" ref="C198:O203" si="18">VLOOKUP($B198,$B$14:$R$35,C$36,FALSE)</f>
        <v>0.91487499999999988</v>
      </c>
      <c r="D198" s="1067">
        <f t="shared" si="18"/>
        <v>-4.3736501079913587E-2</v>
      </c>
      <c r="E198" s="1165">
        <f t="shared" si="18"/>
        <v>0.89481420237931208</v>
      </c>
      <c r="F198" s="1066">
        <f t="shared" si="18"/>
        <v>0.24509229252810941</v>
      </c>
      <c r="G198" s="1067">
        <f t="shared" si="18"/>
        <v>-0.16501821733667812</v>
      </c>
      <c r="H198" s="1068">
        <f t="shared" si="18"/>
        <v>0.23828807339295358</v>
      </c>
      <c r="I198" s="1066">
        <f t="shared" si="18"/>
        <v>0.27870192226407053</v>
      </c>
      <c r="J198" s="1067">
        <f t="shared" si="18"/>
        <v>-0.14309331637647091</v>
      </c>
      <c r="K198" s="1068">
        <f t="shared" si="18"/>
        <v>0.2718321660431175</v>
      </c>
      <c r="L198" s="1060">
        <f t="shared" si="18"/>
        <v>3.3609629735961127E-2</v>
      </c>
      <c r="M198" s="1060">
        <f t="shared" si="18"/>
        <v>0.13713050455108242</v>
      </c>
      <c r="N198" s="1069" t="e">
        <f t="shared" si="18"/>
        <v>#REF!</v>
      </c>
      <c r="O198" s="1070" t="str">
        <f t="shared" si="18"/>
        <v>= = =</v>
      </c>
      <c r="P198" s="1064">
        <f t="shared" si="17"/>
        <v>2.0880314655341889</v>
      </c>
      <c r="Q198" s="149">
        <f t="shared" si="17"/>
        <v>-3.7762767487534328E-2</v>
      </c>
      <c r="R198" s="1167">
        <f t="shared" si="17"/>
        <v>2.3348198024327131</v>
      </c>
      <c r="S198" s="1159"/>
      <c r="T198" s="3391" t="s">
        <v>50</v>
      </c>
      <c r="U198" s="3392">
        <f>CALCULATIONS!BS21</f>
        <v>-0.10421428605028427</v>
      </c>
      <c r="V198" s="92"/>
      <c r="W198" s="92"/>
      <c r="X198" s="92"/>
      <c r="Y198" s="2865"/>
      <c r="Z198" s="2865"/>
      <c r="AA198" s="2865"/>
      <c r="AB198" s="2865"/>
      <c r="AC198" s="2865"/>
      <c r="AD198" s="2865"/>
      <c r="AE198" s="92"/>
      <c r="AF198" s="108"/>
      <c r="AH198" s="2865"/>
      <c r="AI198" s="2865"/>
      <c r="AJ198" s="2865"/>
      <c r="AK198" s="2865"/>
      <c r="AL198" s="2865"/>
      <c r="AM198" s="2865"/>
      <c r="AN198" s="2865"/>
    </row>
    <row r="199" spans="1:47" hidden="1">
      <c r="A199" s="1090" t="s">
        <v>27</v>
      </c>
      <c r="B199" s="73" t="s">
        <v>353</v>
      </c>
      <c r="C199" s="103">
        <f t="shared" si="18"/>
        <v>0.90539538726018864</v>
      </c>
      <c r="D199" s="1067">
        <f t="shared" si="18"/>
        <v>-4.1189056985539901E-2</v>
      </c>
      <c r="E199" s="1165">
        <f t="shared" si="18"/>
        <v>0.90138346931536006</v>
      </c>
      <c r="F199" s="1066">
        <f t="shared" si="18"/>
        <v>0.38160323267486906</v>
      </c>
      <c r="G199" s="1067">
        <f t="shared" si="18"/>
        <v>0.13281779457810056</v>
      </c>
      <c r="H199" s="1068">
        <f t="shared" si="18"/>
        <v>0.39444904186551905</v>
      </c>
      <c r="I199" s="1066">
        <f t="shared" si="18"/>
        <v>0.47841518539184064</v>
      </c>
      <c r="J199" s="1067">
        <f t="shared" si="18"/>
        <v>1.1717685634717274E-2</v>
      </c>
      <c r="K199" s="1068">
        <f t="shared" si="18"/>
        <v>0.46507375880431212</v>
      </c>
      <c r="L199" s="1060">
        <f t="shared" si="18"/>
        <v>9.6811952716971572E-2</v>
      </c>
      <c r="M199" s="1060">
        <f t="shared" si="18"/>
        <v>0.25369793656715856</v>
      </c>
      <c r="N199" s="1069" t="str">
        <f t="shared" si="18"/>
        <v>No rating</v>
      </c>
      <c r="O199" s="1070"/>
      <c r="P199" s="1064">
        <f t="shared" si="17"/>
        <v>1.832329792526622</v>
      </c>
      <c r="Q199" s="149">
        <f t="shared" si="17"/>
        <v>-9.9442962217240083E-2</v>
      </c>
      <c r="R199" s="1167">
        <f t="shared" si="17"/>
        <v>1.8160302149559577</v>
      </c>
      <c r="S199" s="1160"/>
      <c r="T199" s="3391" t="s">
        <v>277</v>
      </c>
      <c r="U199" s="3392">
        <f>CALCULATIONS!BS22</f>
        <v>-9.730338567386275E-2</v>
      </c>
      <c r="V199" s="92"/>
      <c r="W199" s="92"/>
      <c r="X199" s="92"/>
      <c r="Y199" s="2865"/>
      <c r="Z199" s="2865"/>
      <c r="AA199" s="2865"/>
      <c r="AB199" s="2865"/>
      <c r="AC199" s="2865"/>
      <c r="AD199" s="2865"/>
      <c r="AE199" s="92"/>
      <c r="AF199" s="108"/>
      <c r="AH199" s="2865"/>
      <c r="AI199" s="2865"/>
      <c r="AJ199" s="2865"/>
      <c r="AK199" s="2865"/>
      <c r="AL199" s="2865"/>
      <c r="AM199" s="2865"/>
      <c r="AN199" s="2865"/>
    </row>
    <row r="200" spans="1:47" hidden="1">
      <c r="A200" s="1090" t="s">
        <v>499</v>
      </c>
      <c r="B200" s="73" t="s">
        <v>284</v>
      </c>
      <c r="C200" s="103">
        <f t="shared" si="18"/>
        <v>0.34534166666666666</v>
      </c>
      <c r="D200" s="1067">
        <f t="shared" si="18"/>
        <v>-5.4500069338510607E-2</v>
      </c>
      <c r="E200" s="1165">
        <f t="shared" si="18"/>
        <v>0.3626280111015483</v>
      </c>
      <c r="F200" s="1066">
        <f t="shared" si="18"/>
        <v>0.67997702229572432</v>
      </c>
      <c r="G200" s="1067">
        <f t="shared" si="18"/>
        <v>0.10658020511075152</v>
      </c>
      <c r="H200" s="1068">
        <f t="shared" si="18"/>
        <v>0.75270955685414354</v>
      </c>
      <c r="I200" s="1066">
        <f t="shared" si="18"/>
        <v>0.68457317243488636</v>
      </c>
      <c r="J200" s="1067">
        <f t="shared" si="18"/>
        <v>0.10522314957078965</v>
      </c>
      <c r="K200" s="1068">
        <f t="shared" si="18"/>
        <v>0.75672107111582532</v>
      </c>
      <c r="L200" s="1060">
        <f t="shared" si="18"/>
        <v>4.5961501391620363E-3</v>
      </c>
      <c r="M200" s="1060">
        <f t="shared" si="18"/>
        <v>6.7592727231349809E-3</v>
      </c>
      <c r="N200" s="1069" t="e">
        <f t="shared" si="18"/>
        <v>#REF!</v>
      </c>
      <c r="O200" s="1070" t="str">
        <f t="shared" si="18"/>
        <v>= ¯ ¯</v>
      </c>
      <c r="P200" s="1064">
        <f t="shared" si="17"/>
        <v>2.9152503149286035</v>
      </c>
      <c r="Q200" s="149">
        <f t="shared" si="17"/>
        <v>-0.14664752669478531</v>
      </c>
      <c r="R200" s="1167">
        <f t="shared" si="17"/>
        <v>2.8370691340232916</v>
      </c>
      <c r="S200" s="1157"/>
      <c r="T200" s="3391" t="s">
        <v>282</v>
      </c>
      <c r="U200" s="3392">
        <f>CALCULATIONS!BS23</f>
        <v>0.21024209330027152</v>
      </c>
      <c r="V200" s="92"/>
      <c r="W200" s="92"/>
      <c r="X200" s="92"/>
      <c r="Y200" s="2865"/>
      <c r="Z200" s="2865"/>
      <c r="AA200" s="2865"/>
      <c r="AB200" s="2865"/>
      <c r="AC200" s="2865"/>
      <c r="AD200" s="2865"/>
      <c r="AE200" s="92"/>
      <c r="AF200" s="108"/>
      <c r="AH200" s="2865"/>
      <c r="AI200" s="2865"/>
      <c r="AJ200" s="2865"/>
      <c r="AK200" s="2865"/>
      <c r="AL200" s="2865"/>
      <c r="AM200" s="2865"/>
      <c r="AN200" s="2865"/>
    </row>
    <row r="201" spans="1:47" hidden="1">
      <c r="A201" s="1090" t="s">
        <v>32</v>
      </c>
      <c r="B201" s="73" t="s">
        <v>50</v>
      </c>
      <c r="C201" s="103">
        <f t="shared" si="18"/>
        <v>0</v>
      </c>
      <c r="D201" s="1067">
        <f t="shared" si="18"/>
        <v>0</v>
      </c>
      <c r="E201" s="1165">
        <f t="shared" si="18"/>
        <v>0</v>
      </c>
      <c r="F201" s="1066">
        <f t="shared" si="18"/>
        <v>0.37025195227815472</v>
      </c>
      <c r="G201" s="1067">
        <f t="shared" si="18"/>
        <v>-0.46222821771061889</v>
      </c>
      <c r="H201" s="1068">
        <f t="shared" si="18"/>
        <v>0.26403640782716253</v>
      </c>
      <c r="I201" s="1066">
        <f t="shared" si="18"/>
        <v>0.48927059752514818</v>
      </c>
      <c r="J201" s="1067">
        <f t="shared" si="18"/>
        <v>-0.38189416595312975</v>
      </c>
      <c r="K201" s="1068">
        <f t="shared" si="18"/>
        <v>0.37414035756341019</v>
      </c>
      <c r="L201" s="1060">
        <f t="shared" si="18"/>
        <v>0.11901864524699346</v>
      </c>
      <c r="M201" s="1060">
        <f t="shared" si="18"/>
        <v>0.32145312000294263</v>
      </c>
      <c r="N201" s="1069" t="e">
        <f t="shared" si="18"/>
        <v>#REF!</v>
      </c>
      <c r="O201" s="1070" t="str">
        <f t="shared" si="18"/>
        <v>= =</v>
      </c>
      <c r="P201" s="1064">
        <f t="shared" si="17"/>
        <v>2.2664974928712622</v>
      </c>
      <c r="Q201" s="149">
        <f t="shared" si="17"/>
        <v>-0.12537902502142731</v>
      </c>
      <c r="R201" s="1167">
        <f t="shared" si="17"/>
        <v>2.136201464388483</v>
      </c>
      <c r="S201" s="1159"/>
      <c r="T201" s="3391" t="s">
        <v>280</v>
      </c>
      <c r="U201" s="3392">
        <f>CALCULATIONS!BS24</f>
        <v>0.49399589457066467</v>
      </c>
      <c r="V201" s="92"/>
      <c r="W201" s="92"/>
      <c r="X201" s="92"/>
      <c r="Y201" s="2865"/>
      <c r="Z201" s="2865"/>
      <c r="AA201" s="2865"/>
      <c r="AB201" s="2865"/>
      <c r="AC201" s="2865"/>
      <c r="AD201" s="2865"/>
      <c r="AE201" s="92"/>
      <c r="AF201" s="108"/>
      <c r="AH201" s="2865"/>
      <c r="AI201" s="2865"/>
      <c r="AJ201" s="2865"/>
      <c r="AK201" s="2865"/>
      <c r="AL201" s="2865"/>
      <c r="AM201" s="2865"/>
      <c r="AN201" s="2865"/>
    </row>
    <row r="202" spans="1:47" hidden="1">
      <c r="A202" s="1090" t="s">
        <v>374</v>
      </c>
      <c r="B202" s="73" t="s">
        <v>42</v>
      </c>
      <c r="C202" s="103">
        <f t="shared" si="18"/>
        <v>0.56323171407839789</v>
      </c>
      <c r="D202" s="1067">
        <f t="shared" si="18"/>
        <v>-0.12023286586287618</v>
      </c>
      <c r="E202" s="1165">
        <f t="shared" si="18"/>
        <v>0.53987730061349704</v>
      </c>
      <c r="F202" s="1066">
        <f t="shared" si="18"/>
        <v>0.60887331285954671</v>
      </c>
      <c r="G202" s="1067">
        <f t="shared" si="18"/>
        <v>-0.37303497156800469</v>
      </c>
      <c r="H202" s="1068">
        <f t="shared" si="18"/>
        <v>0.37659759063604481</v>
      </c>
      <c r="I202" s="1066">
        <f t="shared" si="18"/>
        <v>0.63388271448107447</v>
      </c>
      <c r="J202" s="1067">
        <f t="shared" si="18"/>
        <v>-0.25869992498286548</v>
      </c>
      <c r="K202" s="1068">
        <f t="shared" si="18"/>
        <v>0.44527495080222473</v>
      </c>
      <c r="L202" s="1060">
        <f t="shared" si="18"/>
        <v>2.500940162152776E-2</v>
      </c>
      <c r="M202" s="1060">
        <f t="shared" si="18"/>
        <v>4.1074885519406669E-2</v>
      </c>
      <c r="N202" s="1069" t="e">
        <f t="shared" si="18"/>
        <v>#REF!</v>
      </c>
      <c r="O202" s="1070" t="str">
        <f t="shared" si="18"/>
        <v>= =</v>
      </c>
      <c r="P202" s="1064">
        <f t="shared" si="17"/>
        <v>2.172629043332774</v>
      </c>
      <c r="Q202" s="149">
        <f t="shared" si="17"/>
        <v>-0.22035736928264804</v>
      </c>
      <c r="R202" s="1167">
        <f t="shared" si="17"/>
        <v>1.5517268924243866</v>
      </c>
      <c r="S202" s="1157"/>
      <c r="T202" s="3391" t="s">
        <v>288</v>
      </c>
      <c r="U202" s="3392">
        <f>CALCULATIONS!BS25</f>
        <v>-9.1187500104724956E-2</v>
      </c>
      <c r="V202" s="92"/>
      <c r="W202" s="92"/>
      <c r="X202" s="92"/>
      <c r="Y202" s="2865"/>
      <c r="Z202" s="2865"/>
      <c r="AA202" s="2865"/>
      <c r="AB202" s="2865"/>
      <c r="AC202" s="2865"/>
      <c r="AD202" s="2865"/>
      <c r="AE202" s="92"/>
      <c r="AF202" s="108"/>
      <c r="AH202" s="2865"/>
      <c r="AI202" s="2865"/>
      <c r="AJ202" s="2865"/>
      <c r="AK202" s="2865"/>
      <c r="AL202" s="2865"/>
      <c r="AM202" s="2865"/>
      <c r="AN202" s="2865"/>
    </row>
    <row r="203" spans="1:47" hidden="1">
      <c r="A203" s="1090" t="s">
        <v>539</v>
      </c>
      <c r="B203" s="73" t="s">
        <v>39</v>
      </c>
      <c r="C203" s="116">
        <f t="shared" si="18"/>
        <v>0.31054928118178421</v>
      </c>
      <c r="D203" s="1067">
        <f t="shared" si="18"/>
        <v>-0.11491916916279199</v>
      </c>
      <c r="E203" s="1165">
        <f t="shared" si="18"/>
        <v>0.28165979767703259</v>
      </c>
      <c r="F203" s="1066">
        <f t="shared" si="18"/>
        <v>0.3899242463002407</v>
      </c>
      <c r="G203" s="1067">
        <f t="shared" si="18"/>
        <v>-0.1197676600756727</v>
      </c>
      <c r="H203" s="1068">
        <f t="shared" si="18"/>
        <v>0.37944762378701169</v>
      </c>
      <c r="I203" s="1066">
        <f t="shared" si="18"/>
        <v>0.45093517146474416</v>
      </c>
      <c r="J203" s="1067">
        <f t="shared" si="18"/>
        <v>-8.3572610535330494E-2</v>
      </c>
      <c r="K203" s="1068">
        <f t="shared" si="18"/>
        <v>0.43916945384982109</v>
      </c>
      <c r="L203" s="1060">
        <f t="shared" si="18"/>
        <v>6.101092516450346E-2</v>
      </c>
      <c r="M203" s="1060">
        <f t="shared" si="18"/>
        <v>0.15646866216553562</v>
      </c>
      <c r="N203" s="1069" t="e">
        <f t="shared" si="18"/>
        <v>#REF!</v>
      </c>
      <c r="O203" s="1070" t="str">
        <f t="shared" si="18"/>
        <v>­ = =</v>
      </c>
      <c r="P203" s="1064">
        <f t="shared" si="17"/>
        <v>2.6587814840492587</v>
      </c>
      <c r="Q203" s="149">
        <f t="shared" si="17"/>
        <v>-0.25803195656746131</v>
      </c>
      <c r="R203" s="1167">
        <f t="shared" si="17"/>
        <v>2.5933932385229874</v>
      </c>
      <c r="S203" s="1162"/>
      <c r="T203" s="3391" t="s">
        <v>353</v>
      </c>
      <c r="U203" s="3392">
        <f>CALCULATIONS!BS26</f>
        <v>0.13678057798888102</v>
      </c>
      <c r="V203" s="92"/>
      <c r="W203" s="92"/>
      <c r="X203" s="92"/>
      <c r="Y203" s="2865"/>
      <c r="Z203" s="2865"/>
      <c r="AA203" s="2865"/>
      <c r="AB203" s="2865"/>
      <c r="AC203" s="2865"/>
      <c r="AD203" s="2865"/>
      <c r="AE203" s="92"/>
      <c r="AF203" s="108"/>
      <c r="AH203" s="2865"/>
      <c r="AI203" s="2865"/>
      <c r="AJ203" s="2865"/>
      <c r="AK203" s="2865"/>
      <c r="AL203" s="2865"/>
      <c r="AM203" s="2865"/>
      <c r="AN203" s="2865"/>
    </row>
    <row r="204" spans="1:47" hidden="1">
      <c r="A204" s="1090"/>
      <c r="B204" s="2865"/>
      <c r="C204" s="2865"/>
      <c r="D204" s="2865"/>
      <c r="E204" s="2865"/>
      <c r="F204" s="2865"/>
      <c r="G204" s="2865"/>
      <c r="H204" s="2865"/>
      <c r="I204" s="2865"/>
      <c r="J204" s="2865"/>
      <c r="K204" s="2865"/>
      <c r="L204" s="2865"/>
      <c r="M204" s="2865"/>
      <c r="N204" s="2865"/>
      <c r="O204" s="2865"/>
      <c r="P204" s="2865"/>
      <c r="Q204" s="2865"/>
      <c r="R204" s="2865"/>
      <c r="T204" s="2865"/>
      <c r="U204" s="2865"/>
      <c r="V204" s="2865"/>
      <c r="W204" s="2865"/>
      <c r="X204" s="2865"/>
      <c r="Y204" s="2865"/>
      <c r="Z204" s="2865"/>
      <c r="AA204" s="2865"/>
      <c r="AB204" s="2865"/>
      <c r="AC204" s="2865"/>
      <c r="AD204" s="2865"/>
      <c r="AE204" s="2865"/>
      <c r="AF204" s="2868"/>
      <c r="AH204" s="2865"/>
      <c r="AI204" s="2865"/>
      <c r="AJ204" s="2865"/>
      <c r="AK204" s="2865"/>
      <c r="AL204" s="2865"/>
      <c r="AM204" s="2865"/>
      <c r="AN204" s="2865"/>
    </row>
    <row r="205" spans="1:47" hidden="1">
      <c r="A205" s="2120" t="s">
        <v>302</v>
      </c>
      <c r="B205" s="2120"/>
      <c r="C205" s="2866"/>
      <c r="D205" s="2866"/>
      <c r="E205" s="2866"/>
      <c r="F205" s="2866"/>
      <c r="G205" s="2866"/>
      <c r="H205" s="2866"/>
      <c r="I205" s="2866"/>
      <c r="J205" s="2866"/>
      <c r="K205" s="2866"/>
      <c r="L205" s="2866"/>
      <c r="M205" s="2866"/>
      <c r="N205" s="2866"/>
      <c r="O205" s="2866"/>
      <c r="P205" s="2866"/>
      <c r="Q205" s="2866"/>
      <c r="R205" s="2866"/>
      <c r="S205" s="2783"/>
      <c r="T205" s="4246" t="s">
        <v>2349</v>
      </c>
      <c r="U205" s="4246"/>
      <c r="V205" s="4246"/>
      <c r="W205" s="4246"/>
      <c r="X205" s="4246"/>
      <c r="Y205" s="4246"/>
      <c r="Z205" s="4246"/>
      <c r="AA205" s="4246"/>
      <c r="AB205" s="4246"/>
      <c r="AC205" s="4246"/>
      <c r="AD205" s="4246"/>
      <c r="AE205" s="4246"/>
      <c r="AF205" s="4247"/>
      <c r="AH205" s="2865"/>
      <c r="AI205" s="2865"/>
      <c r="AJ205" s="2865"/>
      <c r="AK205" s="2865"/>
      <c r="AL205" s="2865"/>
      <c r="AM205" s="2865"/>
      <c r="AN205" s="2865"/>
    </row>
    <row r="206" spans="1:47" hidden="1">
      <c r="A206" s="2121"/>
      <c r="B206" s="2121"/>
      <c r="C206" s="2866"/>
      <c r="D206" s="2866"/>
      <c r="E206" s="2866"/>
      <c r="F206" s="2866"/>
      <c r="G206" s="2866"/>
      <c r="H206" s="2866"/>
      <c r="I206" s="2866"/>
      <c r="J206" s="2866"/>
      <c r="K206" s="2866"/>
      <c r="L206" s="2866"/>
      <c r="M206" s="2866"/>
      <c r="N206" s="2866"/>
      <c r="O206" s="2866"/>
      <c r="P206" s="2866"/>
      <c r="Q206" s="2866"/>
      <c r="R206" s="2866"/>
      <c r="S206" s="2783"/>
      <c r="T206" s="4248"/>
      <c r="U206" s="4248"/>
      <c r="V206" s="4248"/>
      <c r="W206" s="4248"/>
      <c r="X206" s="4248"/>
      <c r="Y206" s="4248"/>
      <c r="Z206" s="4248"/>
      <c r="AA206" s="4248"/>
      <c r="AB206" s="4248"/>
      <c r="AC206" s="4248"/>
      <c r="AD206" s="4248"/>
      <c r="AE206" s="4248"/>
      <c r="AF206" s="4249"/>
      <c r="AH206" s="2865"/>
      <c r="AI206" s="2865"/>
      <c r="AJ206" s="2865"/>
      <c r="AK206" s="2865"/>
      <c r="AL206" s="2865"/>
      <c r="AM206" s="2865"/>
      <c r="AN206" s="2865"/>
    </row>
    <row r="207" spans="1:47" hidden="1">
      <c r="A207" s="2122"/>
      <c r="B207" s="2122"/>
      <c r="C207" s="2866"/>
      <c r="D207" s="2866"/>
      <c r="E207" s="2866"/>
      <c r="F207" s="2866"/>
      <c r="G207" s="2866"/>
      <c r="H207" s="2866"/>
      <c r="I207" s="2866"/>
      <c r="J207" s="2866"/>
      <c r="K207" s="2866"/>
      <c r="L207" s="2866"/>
      <c r="M207" s="2866"/>
      <c r="N207" s="2866"/>
      <c r="O207" s="2866"/>
      <c r="P207" s="2866"/>
      <c r="Q207" s="2866"/>
      <c r="R207" s="2866"/>
      <c r="S207" s="2783"/>
      <c r="T207" s="4250"/>
      <c r="U207" s="4250"/>
      <c r="V207" s="4250"/>
      <c r="W207" s="4250"/>
      <c r="X207" s="4250"/>
      <c r="Y207" s="4250"/>
      <c r="Z207" s="4250"/>
      <c r="AA207" s="4250"/>
      <c r="AB207" s="4250"/>
      <c r="AC207" s="4250"/>
      <c r="AD207" s="4250"/>
      <c r="AE207" s="4250"/>
      <c r="AF207" s="4251"/>
      <c r="AH207" s="2865"/>
      <c r="AI207" s="2865"/>
      <c r="AJ207" s="2865"/>
      <c r="AK207" s="2865"/>
      <c r="AL207" s="2865"/>
      <c r="AM207" s="2865"/>
      <c r="AN207" s="2865"/>
    </row>
    <row r="208" spans="1:47" s="2777" customFormat="1" hidden="1">
      <c r="A208" s="3317" t="s">
        <v>32</v>
      </c>
      <c r="B208" s="3317"/>
      <c r="C208" s="1089"/>
      <c r="D208" s="1089"/>
      <c r="E208" s="1089"/>
      <c r="F208" s="1089"/>
      <c r="G208" s="1089"/>
      <c r="H208" s="1089"/>
      <c r="I208" s="1089"/>
      <c r="J208" s="1089"/>
      <c r="K208" s="1089"/>
      <c r="L208" s="1089"/>
      <c r="M208" s="1089"/>
      <c r="N208" s="1089"/>
      <c r="O208" s="1089"/>
      <c r="P208" s="1089"/>
      <c r="Q208" s="1089"/>
      <c r="R208" s="1089"/>
      <c r="T208" s="4252" t="s">
        <v>1180</v>
      </c>
      <c r="U208" s="4252"/>
      <c r="V208" s="4252"/>
      <c r="W208" s="4252"/>
      <c r="X208" s="4252"/>
      <c r="Y208" s="4252"/>
      <c r="Z208" s="4252"/>
      <c r="AA208" s="4252"/>
      <c r="AB208" s="4252"/>
      <c r="AC208" s="4252"/>
      <c r="AD208" s="4252"/>
      <c r="AE208" s="4252"/>
      <c r="AF208" s="4253"/>
      <c r="AG208" s="2776"/>
      <c r="AH208" s="1089"/>
      <c r="AI208" s="1089"/>
      <c r="AJ208" s="1089"/>
      <c r="AK208" s="1089"/>
      <c r="AL208" s="1089"/>
      <c r="AM208" s="1089"/>
      <c r="AN208" s="1089"/>
      <c r="AT208" s="2776"/>
      <c r="AU208" s="2776"/>
    </row>
    <row r="209" spans="1:47" hidden="1">
      <c r="A209" s="1090"/>
      <c r="B209" s="2865"/>
      <c r="C209" s="2865"/>
      <c r="D209" s="2865"/>
      <c r="E209" s="2865"/>
      <c r="F209" s="2865"/>
      <c r="G209" s="2865"/>
      <c r="H209" s="2865"/>
      <c r="I209" s="2865"/>
      <c r="J209" s="2865"/>
      <c r="K209" s="2865"/>
      <c r="L209" s="2865"/>
      <c r="M209" s="2865"/>
      <c r="N209" s="2865"/>
      <c r="O209" s="2865"/>
      <c r="P209" s="2865"/>
      <c r="Q209" s="2865"/>
      <c r="R209" s="2865"/>
      <c r="T209" s="4240"/>
      <c r="U209" s="4240"/>
      <c r="V209" s="4240"/>
      <c r="W209" s="4240"/>
      <c r="X209" s="4240"/>
      <c r="Y209" s="4240"/>
      <c r="Z209" s="4240"/>
      <c r="AA209" s="4240"/>
      <c r="AB209" s="4240"/>
      <c r="AC209" s="4240"/>
      <c r="AD209" s="4240"/>
      <c r="AE209" s="4240"/>
      <c r="AF209" s="4241"/>
      <c r="AH209" s="2865"/>
      <c r="AI209" s="2865"/>
      <c r="AJ209" s="2865"/>
      <c r="AK209" s="2865"/>
      <c r="AL209" s="2865"/>
      <c r="AM209" s="2865"/>
      <c r="AN209" s="2865"/>
    </row>
    <row r="210" spans="1:47" ht="5.25" customHeight="1">
      <c r="T210" s="2399"/>
      <c r="U210" s="2399"/>
      <c r="V210" s="2399"/>
      <c r="W210" s="2399"/>
      <c r="X210" s="2399"/>
      <c r="Y210" s="2399"/>
      <c r="Z210" s="2399"/>
      <c r="AA210" s="2399"/>
      <c r="AB210" s="2399"/>
      <c r="AC210" s="2399"/>
      <c r="AD210" s="2399"/>
      <c r="AE210" s="2399"/>
    </row>
    <row r="211" spans="1:47" s="2748" customFormat="1">
      <c r="A211" s="3291"/>
      <c r="B211" s="118"/>
      <c r="C211" s="1198"/>
      <c r="D211" s="1199"/>
      <c r="E211" s="1198"/>
      <c r="F211" s="1199"/>
      <c r="G211" s="1198"/>
      <c r="H211" s="1199"/>
      <c r="I211" s="1198"/>
      <c r="J211" s="1199"/>
      <c r="K211" s="1198"/>
      <c r="L211" s="1199"/>
      <c r="M211" s="1198"/>
      <c r="N211" s="1199"/>
      <c r="O211" s="1198"/>
      <c r="P211" s="1199"/>
      <c r="Q211" s="1198"/>
      <c r="R211" s="1199"/>
      <c r="T211" s="1926"/>
      <c r="U211" s="1926"/>
      <c r="V211" s="1926"/>
      <c r="W211" s="1926"/>
      <c r="X211" s="1926"/>
      <c r="Y211" s="1926"/>
      <c r="Z211" s="1926"/>
      <c r="AA211" s="1926"/>
      <c r="AB211" s="1926"/>
      <c r="AC211" s="1926"/>
      <c r="AD211" s="1926"/>
      <c r="AE211" s="1926"/>
      <c r="AF211" s="1926"/>
      <c r="AG211" s="2745"/>
      <c r="AH211" s="1926"/>
      <c r="AI211" s="1926"/>
      <c r="AJ211" s="1926"/>
      <c r="AK211" s="1926"/>
      <c r="AL211" s="1926"/>
      <c r="AM211" s="1926"/>
      <c r="AN211" s="1926"/>
      <c r="AO211" s="1926"/>
      <c r="AP211" s="2745"/>
      <c r="AT211" s="2745"/>
      <c r="AU211" s="2745"/>
    </row>
    <row r="212" spans="1:47">
      <c r="A212" s="3439" t="s">
        <v>1002</v>
      </c>
      <c r="B212" s="1707" t="s">
        <v>1111</v>
      </c>
      <c r="C212" s="3485" t="s">
        <v>1292</v>
      </c>
      <c r="D212" s="3486"/>
      <c r="E212" s="3415" t="s">
        <v>1181</v>
      </c>
      <c r="F212" s="3415"/>
      <c r="G212" s="92"/>
      <c r="H212" s="2865"/>
      <c r="I212" s="2865"/>
      <c r="J212" s="2865"/>
      <c r="K212" s="2865"/>
      <c r="L212" s="2865"/>
      <c r="M212" s="2865"/>
      <c r="N212" s="2865"/>
      <c r="O212" s="2865"/>
      <c r="P212" s="2865"/>
      <c r="Q212" s="2865"/>
      <c r="R212" s="2865"/>
      <c r="T212" s="1545"/>
      <c r="U212" s="2865"/>
      <c r="V212" s="1217"/>
      <c r="W212" s="2865"/>
      <c r="X212" s="3379" t="s">
        <v>2475</v>
      </c>
      <c r="Y212" s="2667"/>
      <c r="Z212" s="92"/>
      <c r="AA212" s="2865"/>
      <c r="AB212" s="2865"/>
      <c r="AC212" s="2865"/>
      <c r="AD212" s="1217"/>
      <c r="AE212" s="2865"/>
      <c r="AF212" s="2868"/>
      <c r="AH212" s="2865"/>
      <c r="AI212" s="2865"/>
      <c r="AJ212" s="2865"/>
      <c r="AK212" s="2865"/>
      <c r="AL212" s="2713"/>
      <c r="AM212" s="2865"/>
      <c r="AN212" s="2865"/>
      <c r="AO212" s="2865"/>
    </row>
    <row r="213" spans="1:47">
      <c r="A213" s="1090"/>
      <c r="B213" s="2865"/>
      <c r="C213" s="3486"/>
      <c r="D213" s="3486"/>
      <c r="E213" s="3415"/>
      <c r="F213" s="3415"/>
      <c r="G213" s="2865"/>
      <c r="H213" s="2865"/>
      <c r="I213" s="2865"/>
      <c r="J213" s="2865"/>
      <c r="K213" s="2865"/>
      <c r="L213" s="2865"/>
      <c r="M213" s="2865"/>
      <c r="N213" s="2865"/>
      <c r="O213" s="2865"/>
      <c r="P213" s="2865"/>
      <c r="Q213" s="2865"/>
      <c r="R213" s="2865"/>
      <c r="T213" s="1545"/>
      <c r="U213" s="2865"/>
      <c r="V213" s="2865"/>
      <c r="W213" s="2865"/>
      <c r="X213" s="3379" t="s">
        <v>2350</v>
      </c>
      <c r="Y213" s="2667"/>
      <c r="Z213" s="2667"/>
      <c r="AA213" s="2865"/>
      <c r="AB213" s="2865"/>
      <c r="AC213" s="2865"/>
      <c r="AD213" s="2865"/>
      <c r="AE213" s="2865"/>
      <c r="AF213" s="2868"/>
      <c r="AH213" s="2865"/>
      <c r="AI213" s="2865"/>
      <c r="AJ213" s="2865"/>
      <c r="AK213" s="2865"/>
      <c r="AL213" s="2865"/>
      <c r="AM213" s="2865"/>
      <c r="AN213" s="2865"/>
      <c r="AO213" s="2865"/>
    </row>
    <row r="214" spans="1:47">
      <c r="A214" s="92"/>
      <c r="B214" s="92"/>
      <c r="C214" s="3487" t="s">
        <v>2355</v>
      </c>
      <c r="D214" s="3486"/>
      <c r="E214" s="3415" t="s">
        <v>508</v>
      </c>
      <c r="F214" s="3415"/>
      <c r="G214" s="2865"/>
      <c r="H214" s="2865"/>
      <c r="I214" s="2865"/>
      <c r="J214" s="2865"/>
      <c r="K214" s="2865"/>
      <c r="L214" s="2865"/>
      <c r="M214" s="2865"/>
      <c r="N214" s="2865"/>
      <c r="O214" s="2865"/>
      <c r="P214" s="2865"/>
      <c r="Q214" s="2865"/>
      <c r="R214" s="2865"/>
      <c r="T214" s="1545"/>
      <c r="U214" s="2865"/>
      <c r="V214" s="2865"/>
      <c r="W214" s="2865"/>
      <c r="X214" s="2865"/>
      <c r="Y214" s="2865"/>
      <c r="Z214" s="2865"/>
      <c r="AA214" s="2865"/>
      <c r="AB214" s="2865"/>
      <c r="AC214" s="2865"/>
      <c r="AD214" s="2865"/>
      <c r="AE214" s="2865"/>
      <c r="AF214" s="2868"/>
      <c r="AH214" s="2865"/>
      <c r="AI214" s="2865"/>
      <c r="AJ214" s="2865"/>
      <c r="AK214" s="2865"/>
      <c r="AL214" s="2865"/>
      <c r="AM214" s="2865"/>
      <c r="AN214" s="2865"/>
      <c r="AO214" s="2865"/>
    </row>
    <row r="215" spans="1:47">
      <c r="A215" s="92"/>
      <c r="B215" s="92"/>
      <c r="C215" s="4238" t="s">
        <v>2411</v>
      </c>
      <c r="D215" s="4238"/>
      <c r="E215" s="4238"/>
      <c r="F215" s="4238"/>
      <c r="G215" s="2865"/>
      <c r="H215" s="2865"/>
      <c r="I215" s="2865"/>
      <c r="J215" s="2865"/>
      <c r="K215" s="2865"/>
      <c r="L215" s="2865"/>
      <c r="M215" s="2865"/>
      <c r="N215" s="2865"/>
      <c r="O215" s="2865"/>
      <c r="P215" s="2865"/>
      <c r="Q215" s="2865"/>
      <c r="R215" s="2865"/>
      <c r="T215" s="3376" t="s">
        <v>2358</v>
      </c>
      <c r="U215" s="2865"/>
      <c r="V215" s="2865"/>
      <c r="W215" s="2865"/>
      <c r="X215" s="2865"/>
      <c r="Y215" s="2865"/>
      <c r="Z215" s="2865"/>
      <c r="AA215" s="2865"/>
      <c r="AB215" s="2865"/>
      <c r="AC215" s="2865"/>
      <c r="AD215" s="2865"/>
      <c r="AE215" s="2865"/>
      <c r="AF215" s="2868"/>
      <c r="AH215" s="2865"/>
      <c r="AI215" s="2865"/>
      <c r="AJ215" s="2865"/>
      <c r="AK215" s="2865"/>
      <c r="AL215" s="2865"/>
      <c r="AM215" s="2865"/>
      <c r="AN215" s="2865"/>
      <c r="AO215" s="2865"/>
    </row>
    <row r="216" spans="1:47">
      <c r="A216" s="92"/>
      <c r="B216" s="92"/>
      <c r="C216" s="4238"/>
      <c r="D216" s="4238"/>
      <c r="E216" s="4238"/>
      <c r="F216" s="4238"/>
      <c r="G216" s="2865"/>
      <c r="H216" s="2865"/>
      <c r="I216" s="2865"/>
      <c r="J216" s="2865"/>
      <c r="K216" s="2865"/>
      <c r="L216" s="2865"/>
      <c r="M216" s="2865"/>
      <c r="N216" s="2865"/>
      <c r="O216" s="2865"/>
      <c r="P216" s="2865"/>
      <c r="Q216" s="2865"/>
      <c r="R216" s="2865"/>
      <c r="T216" s="1545"/>
      <c r="U216" s="2865"/>
      <c r="V216" s="2865"/>
      <c r="W216" s="2865"/>
      <c r="X216" s="2865"/>
      <c r="Y216" s="2865"/>
      <c r="Z216" s="2865"/>
      <c r="AA216" s="2865"/>
      <c r="AB216" s="2865"/>
      <c r="AC216" s="2865"/>
      <c r="AD216" s="2865"/>
      <c r="AE216" s="2865"/>
      <c r="AF216" s="2868"/>
      <c r="AH216" s="2865"/>
      <c r="AI216" s="2865"/>
      <c r="AJ216" s="2865"/>
      <c r="AK216" s="2865"/>
      <c r="AL216" s="2865"/>
      <c r="AM216" s="2865"/>
      <c r="AN216" s="2865"/>
      <c r="AO216" s="2865"/>
    </row>
    <row r="217" spans="1:47">
      <c r="A217" s="92"/>
      <c r="B217" s="92"/>
      <c r="C217" s="4238"/>
      <c r="D217" s="4238"/>
      <c r="E217" s="4238"/>
      <c r="F217" s="4238"/>
      <c r="G217" s="2865"/>
      <c r="H217" s="2865"/>
      <c r="I217" s="2865"/>
      <c r="J217" s="2865"/>
      <c r="K217" s="2865"/>
      <c r="L217" s="2865"/>
      <c r="M217" s="2865"/>
      <c r="N217" s="2865"/>
      <c r="O217" s="2865"/>
      <c r="P217" s="2865"/>
      <c r="Q217" s="2865"/>
      <c r="R217" s="2865"/>
      <c r="T217" s="1547" t="s">
        <v>2363</v>
      </c>
      <c r="U217" s="2865"/>
      <c r="V217" s="2865"/>
      <c r="W217" s="2865"/>
      <c r="X217" s="2865"/>
      <c r="Y217" s="2865"/>
      <c r="Z217" s="2865"/>
      <c r="AA217" s="2865"/>
      <c r="AB217" s="2865"/>
      <c r="AC217" s="2865"/>
      <c r="AD217" s="2865"/>
      <c r="AE217" s="2865"/>
      <c r="AF217" s="2868"/>
      <c r="AH217" s="2865"/>
      <c r="AI217" s="2865"/>
      <c r="AJ217" s="2865"/>
      <c r="AK217" s="2865"/>
      <c r="AL217" s="2865"/>
      <c r="AM217" s="2865"/>
      <c r="AN217" s="2865"/>
      <c r="AO217" s="2865"/>
    </row>
    <row r="218" spans="1:47">
      <c r="A218" s="92"/>
      <c r="B218" s="92"/>
      <c r="C218" s="4238"/>
      <c r="D218" s="4238"/>
      <c r="E218" s="4238"/>
      <c r="F218" s="4238"/>
      <c r="G218" s="2865"/>
      <c r="H218" s="2865"/>
      <c r="I218" s="2865"/>
      <c r="J218" s="2865"/>
      <c r="K218" s="2865"/>
      <c r="L218" s="2865"/>
      <c r="M218" s="2865"/>
      <c r="N218" s="2865"/>
      <c r="O218" s="2865"/>
      <c r="P218" s="2865"/>
      <c r="Q218" s="2865"/>
      <c r="R218" s="2865"/>
      <c r="T218" s="1545"/>
      <c r="U218" s="2865"/>
      <c r="V218" s="2865"/>
      <c r="W218" s="2865"/>
      <c r="X218" s="2865"/>
      <c r="Y218" s="2865"/>
      <c r="Z218" s="2865"/>
      <c r="AA218" s="2865"/>
      <c r="AB218" s="2865"/>
      <c r="AC218" s="2865"/>
      <c r="AD218" s="2865"/>
      <c r="AE218" s="2865"/>
      <c r="AF218" s="2868"/>
      <c r="AH218" s="2865"/>
      <c r="AI218" s="2865"/>
      <c r="AJ218" s="2865"/>
      <c r="AK218" s="2865"/>
      <c r="AL218" s="2865"/>
      <c r="AM218" s="2865"/>
      <c r="AN218" s="2865"/>
      <c r="AO218" s="2865"/>
    </row>
    <row r="219" spans="1:47">
      <c r="A219" s="1097"/>
      <c r="B219" s="2865"/>
      <c r="C219" s="4238"/>
      <c r="D219" s="4238"/>
      <c r="E219" s="4238"/>
      <c r="F219" s="4238"/>
      <c r="G219" s="2865"/>
      <c r="H219" s="2865"/>
      <c r="I219" s="2865"/>
      <c r="J219" s="2865"/>
      <c r="K219" s="2865"/>
      <c r="L219" s="2865"/>
      <c r="M219" s="2865"/>
      <c r="N219" s="2865"/>
      <c r="O219" s="2865"/>
      <c r="P219" s="2865"/>
      <c r="Q219" s="2865"/>
      <c r="R219" s="2865"/>
      <c r="T219" s="1545"/>
      <c r="U219" s="2865"/>
      <c r="V219" s="2865"/>
      <c r="W219" s="2865"/>
      <c r="X219" s="2865"/>
      <c r="Y219" s="2865"/>
      <c r="Z219" s="2865"/>
      <c r="AA219" s="2865"/>
      <c r="AB219" s="2865"/>
      <c r="AC219" s="2865"/>
      <c r="AD219" s="2865"/>
      <c r="AE219" s="2865"/>
      <c r="AF219" s="2868"/>
      <c r="AH219" s="2865"/>
      <c r="AI219" s="2865"/>
      <c r="AJ219" s="2865"/>
      <c r="AK219" s="2865"/>
      <c r="AL219" s="2865"/>
      <c r="AM219" s="2865"/>
      <c r="AN219" s="2865"/>
      <c r="AO219" s="2865"/>
    </row>
    <row r="220" spans="1:47">
      <c r="A220" s="1089"/>
      <c r="B220" s="1089"/>
      <c r="C220" s="3415"/>
      <c r="D220" s="3415"/>
      <c r="E220" s="3415"/>
      <c r="F220" s="3415"/>
      <c r="G220" s="2865"/>
      <c r="H220" s="2865"/>
      <c r="I220" s="2865"/>
      <c r="J220" s="2865"/>
      <c r="K220" s="2865"/>
      <c r="L220" s="2865"/>
      <c r="M220" s="2865"/>
      <c r="N220" s="2865"/>
      <c r="O220" s="2865"/>
      <c r="P220" s="2865"/>
      <c r="Q220" s="2865"/>
      <c r="R220" s="2865"/>
      <c r="T220" s="1545"/>
      <c r="U220" s="2865"/>
      <c r="V220" s="2865"/>
      <c r="W220" s="2865"/>
      <c r="X220" s="2865"/>
      <c r="Y220" s="2865"/>
      <c r="Z220" s="2865"/>
      <c r="AA220" s="2865"/>
      <c r="AB220" s="2865"/>
      <c r="AC220" s="2865"/>
      <c r="AD220" s="2865"/>
      <c r="AE220" s="2865"/>
      <c r="AF220" s="2868"/>
      <c r="AH220" s="2865"/>
      <c r="AI220" s="2865"/>
      <c r="AJ220" s="2865"/>
      <c r="AK220" s="2865"/>
      <c r="AL220" s="2865"/>
      <c r="AM220" s="2865"/>
      <c r="AN220" s="2865"/>
      <c r="AO220" s="2865"/>
    </row>
    <row r="221" spans="1:47">
      <c r="A221" s="1089"/>
      <c r="B221" s="1089"/>
      <c r="C221" s="3487" t="s">
        <v>2356</v>
      </c>
      <c r="D221" s="3486"/>
      <c r="E221" s="3415" t="s">
        <v>508</v>
      </c>
      <c r="F221" s="3415"/>
      <c r="G221" s="2865"/>
      <c r="H221" s="2865"/>
      <c r="I221" s="2865"/>
      <c r="J221" s="2865"/>
      <c r="K221" s="2865"/>
      <c r="L221" s="2865"/>
      <c r="M221" s="2865"/>
      <c r="N221" s="2865"/>
      <c r="O221" s="2865"/>
      <c r="P221" s="2865"/>
      <c r="Q221" s="2865"/>
      <c r="R221" s="2865"/>
      <c r="T221" s="1545"/>
      <c r="U221" s="2865"/>
      <c r="V221" s="2865"/>
      <c r="W221" s="2865"/>
      <c r="X221" s="2865"/>
      <c r="Y221" s="2865"/>
      <c r="Z221" s="2865"/>
      <c r="AA221" s="2865"/>
      <c r="AB221" s="2865"/>
      <c r="AC221" s="2865"/>
      <c r="AD221" s="2865"/>
      <c r="AE221" s="2865"/>
      <c r="AF221" s="2868"/>
      <c r="AH221" s="2865"/>
      <c r="AI221" s="2865"/>
      <c r="AJ221" s="2865"/>
      <c r="AK221" s="2865"/>
      <c r="AL221" s="2865"/>
      <c r="AM221" s="2865"/>
      <c r="AN221" s="2865"/>
      <c r="AO221" s="2865"/>
    </row>
    <row r="222" spans="1:47">
      <c r="A222" s="1218"/>
      <c r="B222" s="2865"/>
      <c r="C222" s="3415"/>
      <c r="D222" s="3415"/>
      <c r="E222" s="3415"/>
      <c r="F222" s="3415"/>
      <c r="G222" s="2865"/>
      <c r="H222" s="2865"/>
      <c r="I222" s="2865"/>
      <c r="J222" s="2865"/>
      <c r="K222" s="2865"/>
      <c r="L222" s="2865"/>
      <c r="M222" s="2865"/>
      <c r="N222" s="2865"/>
      <c r="O222" s="2865"/>
      <c r="P222" s="2865"/>
      <c r="Q222" s="2865"/>
      <c r="R222" s="2865"/>
      <c r="T222" s="1545"/>
      <c r="U222" s="2865"/>
      <c r="V222" s="2865"/>
      <c r="W222" s="2865"/>
      <c r="X222" s="2865"/>
      <c r="Y222" s="2865"/>
      <c r="Z222" s="2865"/>
      <c r="AA222" s="2865"/>
      <c r="AB222" s="2865"/>
      <c r="AC222" s="2865"/>
      <c r="AD222" s="2865"/>
      <c r="AE222" s="2865"/>
      <c r="AF222" s="2868"/>
      <c r="AH222" s="2865"/>
      <c r="AI222" s="2865"/>
      <c r="AJ222" s="2865"/>
      <c r="AK222" s="2865"/>
      <c r="AL222" s="2865"/>
      <c r="AM222" s="2865"/>
      <c r="AN222" s="2865"/>
      <c r="AO222" s="2865"/>
    </row>
    <row r="223" spans="1:47">
      <c r="A223" s="1097"/>
      <c r="B223" s="2865"/>
      <c r="C223" s="3487" t="s">
        <v>2357</v>
      </c>
      <c r="D223" s="3486"/>
      <c r="E223" s="3462" t="s">
        <v>2412</v>
      </c>
      <c r="F223" s="3415"/>
      <c r="G223" s="2865"/>
      <c r="H223" s="2865"/>
      <c r="I223" s="2865"/>
      <c r="J223" s="2865"/>
      <c r="K223" s="2865"/>
      <c r="L223" s="2865"/>
      <c r="M223" s="2865"/>
      <c r="N223" s="2865"/>
      <c r="O223" s="2865"/>
      <c r="P223" s="2865"/>
      <c r="Q223" s="2865"/>
      <c r="R223" s="2865"/>
      <c r="T223" s="1545"/>
      <c r="U223" s="2865"/>
      <c r="V223" s="2865"/>
      <c r="W223" s="2865"/>
      <c r="X223" s="2865"/>
      <c r="Y223" s="2865"/>
      <c r="Z223" s="2865"/>
      <c r="AA223" s="2865"/>
      <c r="AB223" s="2865"/>
      <c r="AC223" s="2865"/>
      <c r="AD223" s="2865"/>
      <c r="AE223" s="2865"/>
      <c r="AF223" s="2868"/>
      <c r="AH223" s="2865"/>
      <c r="AI223" s="2865"/>
      <c r="AJ223" s="2865"/>
      <c r="AK223" s="2865"/>
      <c r="AL223" s="2865"/>
      <c r="AM223" s="2865"/>
      <c r="AN223" s="2865"/>
      <c r="AO223" s="2865"/>
    </row>
    <row r="224" spans="1:47">
      <c r="A224" s="1097"/>
      <c r="B224" s="2865"/>
      <c r="C224" s="3486" t="s">
        <v>2354</v>
      </c>
      <c r="D224" s="3415"/>
      <c r="E224" s="3400"/>
      <c r="F224" s="3400"/>
      <c r="G224" s="2865"/>
      <c r="H224" s="2865"/>
      <c r="I224" s="2865"/>
      <c r="J224" s="2865"/>
      <c r="K224" s="2865"/>
      <c r="L224" s="2865"/>
      <c r="M224" s="2865"/>
      <c r="N224" s="2865"/>
      <c r="O224" s="2865"/>
      <c r="P224" s="2865"/>
      <c r="Q224" s="2865"/>
      <c r="R224" s="2865"/>
      <c r="T224" s="1545"/>
      <c r="U224" s="2865"/>
      <c r="V224" s="2865"/>
      <c r="W224" s="2865"/>
      <c r="X224" s="2865"/>
      <c r="Y224" s="2865"/>
      <c r="Z224" s="2865"/>
      <c r="AA224" s="2865"/>
      <c r="AB224" s="2865"/>
      <c r="AC224" s="2865"/>
      <c r="AD224" s="2865"/>
      <c r="AE224" s="2865"/>
      <c r="AF224" s="2868"/>
      <c r="AH224" s="2865"/>
      <c r="AI224" s="2865"/>
      <c r="AJ224" s="2865"/>
      <c r="AK224" s="2865"/>
      <c r="AL224" s="2865"/>
      <c r="AM224" s="2865"/>
      <c r="AN224" s="2865"/>
      <c r="AO224" s="2865"/>
    </row>
    <row r="225" spans="1:41">
      <c r="A225" s="1097"/>
      <c r="B225" s="2865"/>
      <c r="C225" s="92"/>
      <c r="D225" s="92"/>
      <c r="E225" s="2865"/>
      <c r="F225" s="2865"/>
      <c r="G225" s="2865"/>
      <c r="H225" s="2865"/>
      <c r="I225" s="2865"/>
      <c r="J225" s="2865"/>
      <c r="K225" s="2865"/>
      <c r="L225" s="2865"/>
      <c r="M225" s="2865"/>
      <c r="N225" s="2865"/>
      <c r="O225" s="2865"/>
      <c r="P225" s="2865"/>
      <c r="Q225" s="2865"/>
      <c r="R225" s="2865"/>
      <c r="T225" s="1545"/>
      <c r="U225" s="2865"/>
      <c r="V225" s="2865"/>
      <c r="W225" s="2865"/>
      <c r="X225" s="2865"/>
      <c r="Y225" s="2865"/>
      <c r="Z225" s="2865"/>
      <c r="AA225" s="2865"/>
      <c r="AB225" s="2865"/>
      <c r="AC225" s="2865"/>
      <c r="AD225" s="2865"/>
      <c r="AE225" s="2865"/>
      <c r="AF225" s="2868"/>
      <c r="AH225" s="2865"/>
      <c r="AI225" s="2865"/>
      <c r="AJ225" s="2865"/>
      <c r="AK225" s="2865"/>
      <c r="AL225" s="2865"/>
      <c r="AM225" s="2865"/>
      <c r="AN225" s="2865"/>
      <c r="AO225" s="2865"/>
    </row>
    <row r="226" spans="1:41">
      <c r="A226" s="2865"/>
      <c r="B226" s="2865"/>
      <c r="C226" s="92"/>
      <c r="D226" s="92"/>
      <c r="E226" s="2865"/>
      <c r="F226" s="2865"/>
      <c r="G226" s="2865"/>
      <c r="H226" s="2865"/>
      <c r="I226" s="2865"/>
      <c r="J226" s="2865"/>
      <c r="K226" s="2865"/>
      <c r="L226" s="2865"/>
      <c r="M226" s="2865"/>
      <c r="N226" s="2865"/>
      <c r="O226" s="2865"/>
      <c r="P226" s="2865"/>
      <c r="Q226" s="2865"/>
      <c r="R226" s="2865"/>
      <c r="T226" s="1545"/>
      <c r="U226" s="2865"/>
      <c r="V226" s="2865"/>
      <c r="W226" s="2865"/>
      <c r="X226" s="2865"/>
      <c r="Y226" s="2865"/>
      <c r="Z226" s="2865"/>
      <c r="AA226" s="2865"/>
      <c r="AB226" s="2865"/>
      <c r="AC226" s="2865"/>
      <c r="AD226" s="2865"/>
      <c r="AE226" s="2865"/>
      <c r="AF226" s="2868"/>
      <c r="AH226" s="2865"/>
      <c r="AI226" s="2865"/>
      <c r="AJ226" s="2865"/>
      <c r="AK226" s="2865"/>
      <c r="AL226" s="2865"/>
      <c r="AM226" s="2865"/>
      <c r="AN226" s="2865"/>
      <c r="AO226" s="2865"/>
    </row>
    <row r="227" spans="1:41">
      <c r="A227" s="2652"/>
      <c r="B227" s="2865"/>
      <c r="C227" s="92"/>
      <c r="D227" s="3320"/>
      <c r="E227" s="2712"/>
      <c r="F227" s="2712"/>
      <c r="G227" s="2865"/>
      <c r="H227" s="2865"/>
      <c r="I227" s="2865"/>
      <c r="J227" s="2865"/>
      <c r="K227" s="2865"/>
      <c r="L227" s="2865"/>
      <c r="M227" s="2865"/>
      <c r="N227" s="2865"/>
      <c r="O227" s="2865"/>
      <c r="P227" s="2865"/>
      <c r="Q227" s="2865"/>
      <c r="R227" s="2865"/>
      <c r="T227" s="1545"/>
      <c r="U227" s="2865"/>
      <c r="V227" s="2865"/>
      <c r="W227" s="2865"/>
      <c r="X227" s="2865"/>
      <c r="Y227" s="2865"/>
      <c r="Z227" s="2865"/>
      <c r="AA227" s="2865"/>
      <c r="AB227" s="2865"/>
      <c r="AC227" s="2865"/>
      <c r="AD227" s="2865"/>
      <c r="AE227" s="2865"/>
      <c r="AF227" s="2868"/>
      <c r="AH227" s="2865"/>
      <c r="AI227" s="2865"/>
      <c r="AJ227" s="2865"/>
      <c r="AK227" s="2865"/>
      <c r="AL227" s="2865"/>
      <c r="AM227" s="2865"/>
      <c r="AN227" s="2865"/>
      <c r="AO227" s="2865"/>
    </row>
    <row r="228" spans="1:41">
      <c r="A228" s="1090"/>
      <c r="B228" s="2865"/>
      <c r="C228" s="2712"/>
      <c r="D228" s="2712"/>
      <c r="E228" s="2712"/>
      <c r="F228" s="2712"/>
      <c r="G228" s="2865"/>
      <c r="H228" s="2865"/>
      <c r="I228" s="2865"/>
      <c r="J228" s="2865"/>
      <c r="K228" s="2865"/>
      <c r="L228" s="2865"/>
      <c r="M228" s="2865"/>
      <c r="N228" s="2865"/>
      <c r="O228" s="2865"/>
      <c r="P228" s="2865"/>
      <c r="Q228" s="2865"/>
      <c r="R228" s="2865"/>
      <c r="T228" s="1545"/>
      <c r="U228" s="2865"/>
      <c r="V228" s="2865"/>
      <c r="W228" s="2865"/>
      <c r="X228" s="3379" t="s">
        <v>2476</v>
      </c>
      <c r="Y228" s="2865"/>
      <c r="Z228" s="2865"/>
      <c r="AA228" s="2865"/>
      <c r="AB228" s="2865"/>
      <c r="AC228" s="2865"/>
      <c r="AD228" s="2865"/>
      <c r="AE228" s="2865"/>
      <c r="AF228" s="2868"/>
      <c r="AH228" s="2865"/>
      <c r="AI228" s="2865"/>
      <c r="AJ228" s="2865"/>
      <c r="AK228" s="2865"/>
      <c r="AL228" s="2865"/>
      <c r="AM228" s="2865"/>
      <c r="AN228" s="2865"/>
      <c r="AO228" s="2865"/>
    </row>
    <row r="229" spans="1:41" ht="12.75" customHeight="1">
      <c r="A229" s="2865"/>
      <c r="B229" s="2865"/>
      <c r="C229" s="92"/>
      <c r="D229" s="92"/>
      <c r="E229" s="92"/>
      <c r="F229" s="92"/>
      <c r="G229" s="2865"/>
      <c r="H229" s="2865"/>
      <c r="I229" s="2865"/>
      <c r="J229" s="2865"/>
      <c r="K229" s="2865"/>
      <c r="L229" s="2865"/>
      <c r="M229" s="2865"/>
      <c r="N229" s="2865"/>
      <c r="O229" s="2865"/>
      <c r="P229" s="2865"/>
      <c r="Q229" s="2865"/>
      <c r="R229" s="2865"/>
      <c r="T229" s="1545"/>
      <c r="U229" s="2865"/>
      <c r="V229" s="2865"/>
      <c r="W229" s="2865"/>
      <c r="X229" s="3379" t="s">
        <v>2351</v>
      </c>
      <c r="Y229" s="2865"/>
      <c r="Z229" s="2865"/>
      <c r="AA229" s="2865"/>
      <c r="AB229" s="2865"/>
      <c r="AC229" s="2865"/>
      <c r="AD229" s="2865"/>
      <c r="AE229" s="2865"/>
      <c r="AF229" s="2868"/>
      <c r="AH229" s="2865"/>
      <c r="AI229" s="2865"/>
      <c r="AJ229" s="2865"/>
      <c r="AK229" s="2865"/>
      <c r="AL229" s="2865"/>
      <c r="AM229" s="2865"/>
      <c r="AN229" s="2865"/>
      <c r="AO229" s="2865"/>
    </row>
    <row r="230" spans="1:41">
      <c r="A230" s="1090"/>
      <c r="B230" s="2865"/>
      <c r="C230" s="4237" t="s">
        <v>2353</v>
      </c>
      <c r="D230" s="4237"/>
      <c r="E230" s="4237"/>
      <c r="F230" s="4237"/>
      <c r="G230" s="2865"/>
      <c r="H230" s="2865"/>
      <c r="I230" s="2865"/>
      <c r="J230" s="2865"/>
      <c r="K230" s="2865"/>
      <c r="L230" s="2865"/>
      <c r="M230" s="2865"/>
      <c r="N230" s="2865"/>
      <c r="O230" s="2865"/>
      <c r="P230" s="2865"/>
      <c r="Q230" s="2865"/>
      <c r="R230" s="2865"/>
      <c r="T230" s="1545"/>
      <c r="U230" s="2865"/>
      <c r="V230" s="2865"/>
      <c r="W230" s="2865"/>
      <c r="X230" s="2865"/>
      <c r="Y230" s="2865"/>
      <c r="Z230" s="2865"/>
      <c r="AA230" s="2865"/>
      <c r="AB230" s="2865"/>
      <c r="AC230" s="2865"/>
      <c r="AD230" s="2865"/>
      <c r="AE230" s="2865"/>
      <c r="AF230" s="2868"/>
      <c r="AH230" s="4237" t="s">
        <v>1955</v>
      </c>
      <c r="AI230" s="4237"/>
      <c r="AJ230" s="4237"/>
      <c r="AK230" s="4237"/>
      <c r="AL230" s="4237"/>
      <c r="AM230" s="4237"/>
      <c r="AN230" s="4237"/>
      <c r="AO230" s="4237"/>
    </row>
    <row r="231" spans="1:41">
      <c r="A231" s="1090"/>
      <c r="B231" s="2865"/>
      <c r="C231" s="4237"/>
      <c r="D231" s="4237"/>
      <c r="E231" s="4237"/>
      <c r="F231" s="4237"/>
      <c r="G231" s="2865"/>
      <c r="H231" s="2865"/>
      <c r="I231" s="2865"/>
      <c r="J231" s="2865"/>
      <c r="K231" s="2865"/>
      <c r="L231" s="2865"/>
      <c r="M231" s="2865"/>
      <c r="N231" s="2865"/>
      <c r="O231" s="2865"/>
      <c r="P231" s="2865"/>
      <c r="Q231" s="2865"/>
      <c r="R231" s="2865"/>
      <c r="T231" s="3376" t="s">
        <v>2383</v>
      </c>
      <c r="U231" s="2865"/>
      <c r="V231" s="2865"/>
      <c r="W231" s="2865"/>
      <c r="X231" s="2865"/>
      <c r="Y231" s="2865"/>
      <c r="Z231" s="2865"/>
      <c r="AA231" s="2865"/>
      <c r="AB231" s="2865"/>
      <c r="AC231" s="2865"/>
      <c r="AD231" s="2865"/>
      <c r="AE231" s="2865"/>
      <c r="AF231" s="2868"/>
      <c r="AH231" s="4237"/>
      <c r="AI231" s="4237"/>
      <c r="AJ231" s="4237"/>
      <c r="AK231" s="4237"/>
      <c r="AL231" s="4237"/>
      <c r="AM231" s="4237"/>
      <c r="AN231" s="4237"/>
      <c r="AO231" s="4237"/>
    </row>
    <row r="232" spans="1:41">
      <c r="A232" s="1090"/>
      <c r="B232" s="2865"/>
      <c r="C232" s="4237"/>
      <c r="D232" s="4237"/>
      <c r="E232" s="4237"/>
      <c r="F232" s="4237"/>
      <c r="G232" s="2865"/>
      <c r="H232" s="2865"/>
      <c r="I232" s="2865"/>
      <c r="J232" s="2865"/>
      <c r="K232" s="2865"/>
      <c r="L232" s="2865"/>
      <c r="M232" s="2865"/>
      <c r="N232" s="2865"/>
      <c r="O232" s="2865"/>
      <c r="P232" s="2865"/>
      <c r="Q232" s="2865"/>
      <c r="R232" s="2865"/>
      <c r="T232" s="1545"/>
      <c r="U232" s="2865"/>
      <c r="V232" s="2865"/>
      <c r="W232" s="2865"/>
      <c r="X232" s="2865"/>
      <c r="Y232" s="2865"/>
      <c r="Z232" s="2865"/>
      <c r="AA232" s="2865"/>
      <c r="AB232" s="2865"/>
      <c r="AC232" s="2865"/>
      <c r="AD232" s="2865"/>
      <c r="AE232" s="2865"/>
      <c r="AF232" s="2868"/>
      <c r="AH232" s="2865"/>
      <c r="AI232" s="2865"/>
      <c r="AJ232" s="2865"/>
      <c r="AK232" s="2865"/>
      <c r="AL232" s="2865"/>
      <c r="AM232" s="2865"/>
      <c r="AN232" s="2865"/>
      <c r="AO232" s="2865"/>
    </row>
    <row r="233" spans="1:41">
      <c r="A233" s="1090"/>
      <c r="B233" s="2865"/>
      <c r="C233" s="4237"/>
      <c r="D233" s="4237"/>
      <c r="E233" s="4237"/>
      <c r="F233" s="4237"/>
      <c r="G233" s="2865"/>
      <c r="H233" s="2865"/>
      <c r="I233" s="2865"/>
      <c r="J233" s="2865"/>
      <c r="K233" s="2865"/>
      <c r="L233" s="2865"/>
      <c r="M233" s="2865"/>
      <c r="N233" s="2865"/>
      <c r="O233" s="2865"/>
      <c r="P233" s="2865"/>
      <c r="Q233" s="2865"/>
      <c r="R233" s="2865"/>
      <c r="T233" s="1547" t="s">
        <v>2364</v>
      </c>
      <c r="U233" s="2865"/>
      <c r="V233" s="2865"/>
      <c r="W233" s="2865"/>
      <c r="X233" s="2865"/>
      <c r="Y233" s="2865"/>
      <c r="Z233" s="2865"/>
      <c r="AA233" s="2865"/>
      <c r="AB233" s="2865"/>
      <c r="AC233" s="2865"/>
      <c r="AD233" s="2865"/>
      <c r="AE233" s="2865"/>
      <c r="AF233" s="2868"/>
      <c r="AH233" s="3321"/>
    </row>
    <row r="234" spans="1:41">
      <c r="A234" s="1090"/>
      <c r="B234" s="3160"/>
      <c r="C234" s="3160"/>
      <c r="D234" s="3160"/>
      <c r="E234" s="3160"/>
      <c r="F234" s="3160"/>
      <c r="G234" s="3160"/>
      <c r="H234" s="3160"/>
      <c r="I234" s="3160"/>
      <c r="J234" s="3160"/>
      <c r="K234" s="3160"/>
      <c r="L234" s="3160"/>
      <c r="M234" s="3160"/>
      <c r="N234" s="3160"/>
      <c r="O234" s="3160"/>
      <c r="P234" s="3160"/>
      <c r="Q234" s="3160"/>
      <c r="R234" s="3160"/>
      <c r="T234" s="1545"/>
      <c r="U234" s="3160"/>
      <c r="V234" s="3160"/>
      <c r="W234" s="3160"/>
      <c r="X234" s="3160"/>
      <c r="Y234" s="3160"/>
      <c r="Z234" s="3160"/>
      <c r="AA234" s="3160"/>
      <c r="AB234" s="3160"/>
      <c r="AC234" s="3160"/>
      <c r="AD234" s="3160"/>
      <c r="AE234" s="3160"/>
      <c r="AF234" s="3161"/>
    </row>
    <row r="235" spans="1:41">
      <c r="A235" s="1090"/>
      <c r="B235" s="3160"/>
      <c r="C235" s="3160"/>
      <c r="D235" s="3160"/>
      <c r="E235" s="3160"/>
      <c r="F235" s="3160"/>
      <c r="G235" s="3160"/>
      <c r="H235" s="3160"/>
      <c r="I235" s="3160"/>
      <c r="J235" s="3160"/>
      <c r="K235" s="3160"/>
      <c r="L235" s="3160"/>
      <c r="M235" s="3160"/>
      <c r="N235" s="3160"/>
      <c r="O235" s="3160"/>
      <c r="P235" s="3160"/>
      <c r="Q235" s="3160"/>
      <c r="R235" s="3160"/>
      <c r="T235" s="1545"/>
      <c r="U235" s="3160"/>
      <c r="V235" s="3160"/>
      <c r="W235" s="3160"/>
      <c r="X235" s="3160"/>
      <c r="Y235" s="3160"/>
      <c r="Z235" s="3160"/>
      <c r="AA235" s="3160"/>
      <c r="AB235" s="3160"/>
      <c r="AC235" s="3160"/>
      <c r="AD235" s="3160"/>
      <c r="AE235" s="3160"/>
      <c r="AF235" s="3161"/>
    </row>
    <row r="236" spans="1:41">
      <c r="A236" s="1090"/>
      <c r="B236" s="3160"/>
      <c r="C236" s="3160"/>
      <c r="D236" s="3160"/>
      <c r="E236" s="3160"/>
      <c r="F236" s="3160"/>
      <c r="G236" s="3160"/>
      <c r="H236" s="3160"/>
      <c r="I236" s="3160"/>
      <c r="J236" s="3160"/>
      <c r="K236" s="3160"/>
      <c r="L236" s="3160"/>
      <c r="M236" s="3160"/>
      <c r="N236" s="3160"/>
      <c r="O236" s="3160"/>
      <c r="P236" s="3160"/>
      <c r="Q236" s="3160"/>
      <c r="R236" s="3160"/>
      <c r="T236" s="1545"/>
      <c r="U236" s="3160"/>
      <c r="V236" s="3160"/>
      <c r="W236" s="3160"/>
      <c r="X236" s="3160"/>
      <c r="Y236" s="3160"/>
      <c r="Z236" s="3160"/>
      <c r="AA236" s="3160"/>
      <c r="AB236" s="3160"/>
      <c r="AC236" s="3160"/>
      <c r="AD236" s="3160"/>
      <c r="AE236" s="3160"/>
      <c r="AF236" s="3161"/>
    </row>
    <row r="237" spans="1:41">
      <c r="A237" s="1090"/>
      <c r="B237" s="3160"/>
      <c r="C237" s="3160"/>
      <c r="D237" s="3160"/>
      <c r="E237" s="3160"/>
      <c r="F237" s="3160"/>
      <c r="G237" s="3160"/>
      <c r="H237" s="3160"/>
      <c r="I237" s="3160"/>
      <c r="J237" s="3160"/>
      <c r="K237" s="3160"/>
      <c r="L237" s="3160"/>
      <c r="M237" s="3160"/>
      <c r="N237" s="3160"/>
      <c r="O237" s="3160"/>
      <c r="P237" s="3160"/>
      <c r="Q237" s="3160"/>
      <c r="R237" s="3160"/>
      <c r="T237" s="1545"/>
      <c r="U237" s="3160"/>
      <c r="V237" s="3160"/>
      <c r="W237" s="3160"/>
      <c r="X237" s="3160"/>
      <c r="Y237" s="3160"/>
      <c r="Z237" s="3160"/>
      <c r="AA237" s="3160"/>
      <c r="AB237" s="3160"/>
      <c r="AC237" s="3160"/>
      <c r="AD237" s="3160"/>
      <c r="AE237" s="3160"/>
      <c r="AF237" s="3161"/>
    </row>
    <row r="238" spans="1:41">
      <c r="A238" s="1090"/>
      <c r="B238" s="3160"/>
      <c r="C238" s="3160"/>
      <c r="D238" s="3160"/>
      <c r="E238" s="3160"/>
      <c r="F238" s="3160"/>
      <c r="G238" s="3160"/>
      <c r="H238" s="3160"/>
      <c r="I238" s="3160"/>
      <c r="J238" s="3160"/>
      <c r="K238" s="3160"/>
      <c r="L238" s="3160"/>
      <c r="M238" s="3160"/>
      <c r="N238" s="3160"/>
      <c r="O238" s="3160"/>
      <c r="P238" s="3160"/>
      <c r="Q238" s="3160"/>
      <c r="R238" s="3160"/>
      <c r="T238" s="1545"/>
      <c r="U238" s="3160"/>
      <c r="V238" s="3160"/>
      <c r="W238" s="3160"/>
      <c r="X238" s="3160"/>
      <c r="Y238" s="3160"/>
      <c r="Z238" s="3160"/>
      <c r="AA238" s="3160"/>
      <c r="AB238" s="3160"/>
      <c r="AC238" s="3160"/>
      <c r="AD238" s="3160"/>
      <c r="AE238" s="3160"/>
      <c r="AF238" s="3161"/>
    </row>
    <row r="239" spans="1:41">
      <c r="A239" s="1090"/>
      <c r="B239" s="3160"/>
      <c r="C239" s="3160"/>
      <c r="D239" s="3160"/>
      <c r="E239" s="3160"/>
      <c r="F239" s="3160"/>
      <c r="G239" s="3160"/>
      <c r="H239" s="3160"/>
      <c r="I239" s="3160"/>
      <c r="J239" s="3160"/>
      <c r="K239" s="3160"/>
      <c r="L239" s="3160"/>
      <c r="M239" s="3160"/>
      <c r="N239" s="3160"/>
      <c r="O239" s="3160"/>
      <c r="P239" s="3160"/>
      <c r="Q239" s="3160"/>
      <c r="R239" s="3160"/>
      <c r="T239" s="1545"/>
      <c r="U239" s="3160"/>
      <c r="V239" s="3160"/>
      <c r="W239" s="3160"/>
      <c r="X239" s="3160"/>
      <c r="Y239" s="3160"/>
      <c r="Z239" s="3160"/>
      <c r="AA239" s="3160"/>
      <c r="AB239" s="3160"/>
      <c r="AC239" s="3160"/>
      <c r="AD239" s="3160"/>
      <c r="AE239" s="3160"/>
      <c r="AF239" s="3161"/>
    </row>
    <row r="240" spans="1:41">
      <c r="A240" s="1090"/>
      <c r="B240" s="3160"/>
      <c r="C240" s="3160"/>
      <c r="D240" s="3160"/>
      <c r="E240" s="3160"/>
      <c r="F240" s="3160"/>
      <c r="G240" s="3160"/>
      <c r="H240" s="3160"/>
      <c r="I240" s="3160"/>
      <c r="J240" s="3160"/>
      <c r="K240" s="3160"/>
      <c r="L240" s="3160"/>
      <c r="M240" s="3160"/>
      <c r="N240" s="3160"/>
      <c r="O240" s="3160"/>
      <c r="P240" s="3160"/>
      <c r="Q240" s="3160"/>
      <c r="R240" s="3160"/>
      <c r="T240" s="1545"/>
      <c r="U240" s="3160"/>
      <c r="V240" s="3160"/>
      <c r="W240" s="3160"/>
      <c r="X240" s="3160"/>
      <c r="Y240" s="3160"/>
      <c r="Z240" s="3160"/>
      <c r="AA240" s="3160"/>
      <c r="AB240" s="3160"/>
      <c r="AC240" s="3160"/>
      <c r="AD240" s="3160"/>
      <c r="AE240" s="3160"/>
      <c r="AF240" s="3161"/>
    </row>
    <row r="241" spans="1:32">
      <c r="A241" s="1090"/>
      <c r="B241" s="3160"/>
      <c r="C241" s="3160"/>
      <c r="D241" s="3160"/>
      <c r="E241" s="3160"/>
      <c r="F241" s="3160"/>
      <c r="G241" s="3160"/>
      <c r="H241" s="3160"/>
      <c r="I241" s="3160"/>
      <c r="J241" s="3160"/>
      <c r="K241" s="3160"/>
      <c r="L241" s="3160"/>
      <c r="M241" s="3160"/>
      <c r="N241" s="3160"/>
      <c r="O241" s="3160"/>
      <c r="P241" s="3160"/>
      <c r="Q241" s="3160"/>
      <c r="R241" s="3160"/>
      <c r="T241" s="1545"/>
      <c r="U241" s="3160"/>
      <c r="V241" s="3160"/>
      <c r="W241" s="3160"/>
      <c r="X241" s="3160"/>
      <c r="Y241" s="3160"/>
      <c r="Z241" s="3160"/>
      <c r="AA241" s="3160"/>
      <c r="AB241" s="3160"/>
      <c r="AC241" s="3160"/>
      <c r="AD241" s="3160"/>
      <c r="AE241" s="3160"/>
      <c r="AF241" s="3161"/>
    </row>
    <row r="242" spans="1:32">
      <c r="A242" s="1090"/>
      <c r="B242" s="3160"/>
      <c r="C242" s="3160"/>
      <c r="D242" s="3160"/>
      <c r="E242" s="3160"/>
      <c r="F242" s="3160"/>
      <c r="G242" s="3160"/>
      <c r="H242" s="3160"/>
      <c r="I242" s="3160"/>
      <c r="J242" s="3160"/>
      <c r="K242" s="3160"/>
      <c r="L242" s="3160"/>
      <c r="M242" s="3160"/>
      <c r="N242" s="3160"/>
      <c r="O242" s="3160"/>
      <c r="P242" s="3160"/>
      <c r="Q242" s="3160"/>
      <c r="R242" s="3160"/>
      <c r="T242" s="1545"/>
      <c r="U242" s="3160"/>
      <c r="V242" s="3160"/>
      <c r="W242" s="3160"/>
      <c r="X242" s="3160"/>
      <c r="Y242" s="3160"/>
      <c r="Z242" s="3160"/>
      <c r="AA242" s="3160"/>
      <c r="AB242" s="3160"/>
      <c r="AC242" s="3160"/>
      <c r="AD242" s="3160"/>
      <c r="AE242" s="3160"/>
      <c r="AF242" s="3161"/>
    </row>
    <row r="243" spans="1:32">
      <c r="A243" s="1090"/>
      <c r="B243" s="3160"/>
      <c r="C243" s="92"/>
      <c r="D243" s="92"/>
      <c r="E243" s="92"/>
      <c r="F243" s="92"/>
      <c r="G243" s="92"/>
      <c r="H243" s="92"/>
      <c r="I243" s="92"/>
      <c r="J243" s="92"/>
      <c r="K243" s="92"/>
      <c r="L243" s="92"/>
      <c r="M243" s="92"/>
      <c r="N243" s="92"/>
      <c r="O243" s="92"/>
      <c r="P243" s="92"/>
      <c r="Q243" s="92"/>
      <c r="R243" s="92"/>
      <c r="T243" s="1545"/>
      <c r="U243" s="3160"/>
      <c r="V243" s="3160"/>
      <c r="W243" s="3160"/>
      <c r="X243" s="3311" t="s">
        <v>2477</v>
      </c>
      <c r="Y243" s="3160"/>
      <c r="Z243" s="3160"/>
      <c r="AA243" s="3160"/>
      <c r="AB243" s="3160"/>
      <c r="AC243" s="3160"/>
      <c r="AD243" s="3160"/>
      <c r="AE243" s="3160"/>
      <c r="AF243" s="3161"/>
    </row>
    <row r="244" spans="1:32">
      <c r="A244" s="1090"/>
      <c r="B244" s="3160"/>
      <c r="C244" s="92"/>
      <c r="D244" s="92"/>
      <c r="E244" s="92"/>
      <c r="F244" s="92"/>
      <c r="G244" s="92"/>
      <c r="H244" s="92"/>
      <c r="I244" s="92"/>
      <c r="J244" s="92"/>
      <c r="K244" s="92"/>
      <c r="L244" s="92"/>
      <c r="M244" s="92"/>
      <c r="N244" s="92"/>
      <c r="O244" s="92"/>
      <c r="P244" s="92"/>
      <c r="Q244" s="92"/>
      <c r="R244" s="92"/>
      <c r="T244" s="1545"/>
      <c r="U244" s="3160"/>
      <c r="V244" s="3160"/>
      <c r="W244" s="3160"/>
      <c r="X244" s="3311" t="s">
        <v>2352</v>
      </c>
      <c r="Y244" s="3160"/>
      <c r="Z244" s="3160"/>
      <c r="AA244" s="3160"/>
      <c r="AB244" s="3160"/>
      <c r="AC244" s="3160"/>
      <c r="AD244" s="3160"/>
      <c r="AE244" s="3160"/>
      <c r="AF244" s="3161"/>
    </row>
    <row r="245" spans="1:32">
      <c r="A245" s="1090"/>
      <c r="B245" s="3160"/>
      <c r="C245" s="92"/>
      <c r="D245" s="92"/>
      <c r="E245" s="92"/>
      <c r="F245" s="92"/>
      <c r="G245" s="92"/>
      <c r="H245" s="92"/>
      <c r="I245" s="92"/>
      <c r="J245" s="92"/>
      <c r="K245" s="92"/>
      <c r="L245" s="92"/>
      <c r="M245" s="92"/>
      <c r="N245" s="92"/>
      <c r="O245" s="92"/>
      <c r="P245" s="92"/>
      <c r="Q245" s="92"/>
      <c r="R245" s="92"/>
      <c r="T245" s="1545"/>
      <c r="U245" s="3160"/>
      <c r="V245" s="3160"/>
      <c r="W245" s="3160"/>
      <c r="X245" s="3160"/>
      <c r="Y245" s="3160"/>
      <c r="Z245" s="3160"/>
      <c r="AA245" s="3160"/>
      <c r="AB245" s="3160"/>
      <c r="AC245" s="3160"/>
      <c r="AD245" s="3160"/>
      <c r="AE245" s="3160"/>
      <c r="AF245" s="3161"/>
    </row>
    <row r="246" spans="1:32">
      <c r="A246" s="1090"/>
      <c r="B246" s="3160"/>
      <c r="C246" s="92"/>
      <c r="D246" s="92"/>
      <c r="E246" s="92"/>
      <c r="F246" s="92"/>
      <c r="G246" s="92"/>
      <c r="H246" s="92"/>
      <c r="I246" s="92"/>
      <c r="J246" s="92"/>
      <c r="K246" s="92"/>
      <c r="L246" s="92"/>
      <c r="M246" s="92"/>
      <c r="N246" s="92"/>
      <c r="O246" s="92"/>
      <c r="P246" s="92"/>
      <c r="Q246" s="92"/>
      <c r="R246" s="92"/>
      <c r="T246" s="3376" t="s">
        <v>2383</v>
      </c>
      <c r="U246" s="3160"/>
      <c r="V246" s="3160"/>
      <c r="W246" s="3160"/>
      <c r="X246" s="3160"/>
      <c r="Y246" s="3160"/>
      <c r="Z246" s="3160"/>
      <c r="AA246" s="3160"/>
      <c r="AB246" s="3160"/>
      <c r="AC246" s="3160"/>
      <c r="AD246" s="3160"/>
      <c r="AE246" s="3160"/>
      <c r="AF246" s="3161"/>
    </row>
    <row r="247" spans="1:32">
      <c r="A247" s="1090"/>
      <c r="B247" s="3160"/>
      <c r="C247" s="92"/>
      <c r="D247" s="92"/>
      <c r="E247" s="92"/>
      <c r="F247" s="92"/>
      <c r="G247" s="92"/>
      <c r="H247" s="92"/>
      <c r="I247" s="92"/>
      <c r="J247" s="92"/>
      <c r="K247" s="92"/>
      <c r="L247" s="92"/>
      <c r="M247" s="92"/>
      <c r="N247" s="92"/>
      <c r="O247" s="92"/>
      <c r="P247" s="92"/>
      <c r="Q247" s="92"/>
      <c r="R247" s="92"/>
      <c r="T247" s="1545"/>
      <c r="U247" s="3160"/>
      <c r="V247" s="3160"/>
      <c r="W247" s="3160"/>
      <c r="X247" s="3160"/>
      <c r="Y247" s="3160"/>
      <c r="Z247" s="3160"/>
      <c r="AA247" s="3160"/>
      <c r="AB247" s="3160"/>
      <c r="AC247" s="3160"/>
      <c r="AD247" s="3160"/>
      <c r="AE247" s="3160"/>
      <c r="AF247" s="3161"/>
    </row>
    <row r="248" spans="1:32">
      <c r="A248" s="1090"/>
      <c r="B248" s="3160"/>
      <c r="C248" s="92"/>
      <c r="D248" s="92"/>
      <c r="E248" s="92"/>
      <c r="F248" s="92"/>
      <c r="G248" s="92"/>
      <c r="H248" s="92"/>
      <c r="I248" s="92"/>
      <c r="J248" s="92"/>
      <c r="K248" s="92"/>
      <c r="L248" s="92"/>
      <c r="M248" s="92"/>
      <c r="N248" s="92"/>
      <c r="O248" s="92"/>
      <c r="P248" s="92"/>
      <c r="Q248" s="92"/>
      <c r="R248" s="92"/>
      <c r="T248" s="1545"/>
      <c r="U248" s="3160"/>
      <c r="V248" s="3160"/>
      <c r="W248" s="3160"/>
      <c r="X248" s="3160"/>
      <c r="Y248" s="3160"/>
      <c r="Z248" s="3160"/>
      <c r="AA248" s="3160"/>
      <c r="AB248" s="3160"/>
      <c r="AC248" s="3160"/>
      <c r="AD248" s="3160"/>
      <c r="AE248" s="3160"/>
      <c r="AF248" s="3161"/>
    </row>
    <row r="249" spans="1:32">
      <c r="A249" s="1090"/>
      <c r="B249" s="3160"/>
      <c r="C249" s="92"/>
      <c r="D249" s="92"/>
      <c r="E249" s="92"/>
      <c r="F249" s="92"/>
      <c r="G249" s="92"/>
      <c r="H249" s="92"/>
      <c r="I249" s="92"/>
      <c r="J249" s="92"/>
      <c r="K249" s="92"/>
      <c r="L249" s="92"/>
      <c r="M249" s="92"/>
      <c r="N249" s="92"/>
      <c r="O249" s="92"/>
      <c r="P249" s="92"/>
      <c r="Q249" s="92"/>
      <c r="R249" s="92"/>
      <c r="T249" s="1545"/>
      <c r="U249" s="3160"/>
      <c r="V249" s="3160"/>
      <c r="W249" s="3160"/>
      <c r="X249" s="3160"/>
      <c r="Y249" s="3160"/>
      <c r="Z249" s="3160"/>
      <c r="AA249" s="3160"/>
      <c r="AB249" s="3160"/>
      <c r="AC249" s="3160"/>
      <c r="AD249" s="3160"/>
      <c r="AE249" s="3160"/>
      <c r="AF249" s="3161"/>
    </row>
    <row r="250" spans="1:32">
      <c r="A250" s="1090"/>
      <c r="B250" s="3160"/>
      <c r="C250" s="92"/>
      <c r="D250" s="92"/>
      <c r="E250" s="92"/>
      <c r="F250" s="92"/>
      <c r="G250" s="92"/>
      <c r="H250" s="92"/>
      <c r="I250" s="92"/>
      <c r="J250" s="92"/>
      <c r="K250" s="92"/>
      <c r="L250" s="92"/>
      <c r="M250" s="92"/>
      <c r="N250" s="92"/>
      <c r="O250" s="92"/>
      <c r="P250" s="92"/>
      <c r="Q250" s="92"/>
      <c r="R250" s="92"/>
      <c r="T250" s="1545"/>
      <c r="U250" s="3160"/>
      <c r="V250" s="3160"/>
      <c r="W250" s="3160"/>
      <c r="X250" s="3160"/>
      <c r="Y250" s="3160"/>
      <c r="Z250" s="3160"/>
      <c r="AA250" s="3160"/>
      <c r="AB250" s="3160"/>
      <c r="AC250" s="3160"/>
      <c r="AD250" s="3160"/>
      <c r="AE250" s="3160"/>
      <c r="AF250" s="3161"/>
    </row>
    <row r="251" spans="1:32">
      <c r="A251" s="1090"/>
      <c r="B251" s="3160"/>
      <c r="C251" s="92"/>
      <c r="D251" s="92"/>
      <c r="E251" s="92"/>
      <c r="F251" s="92"/>
      <c r="G251" s="92"/>
      <c r="H251" s="92"/>
      <c r="I251" s="92"/>
      <c r="J251" s="92"/>
      <c r="K251" s="92"/>
      <c r="L251" s="92"/>
      <c r="M251" s="92"/>
      <c r="N251" s="92"/>
      <c r="O251" s="92"/>
      <c r="P251" s="92"/>
      <c r="Q251" s="92"/>
      <c r="R251" s="92"/>
      <c r="T251" s="1545"/>
      <c r="U251" s="3160"/>
      <c r="V251" s="3160"/>
      <c r="W251" s="3160"/>
      <c r="X251" s="3160"/>
      <c r="Y251" s="3160"/>
      <c r="Z251" s="3160"/>
      <c r="AA251" s="3160"/>
      <c r="AB251" s="3160"/>
      <c r="AC251" s="3160"/>
      <c r="AD251" s="3160"/>
      <c r="AE251" s="3160"/>
      <c r="AF251" s="3161"/>
    </row>
    <row r="252" spans="1:32">
      <c r="A252" s="1090"/>
      <c r="B252" s="3160"/>
      <c r="C252" s="92"/>
      <c r="D252" s="92"/>
      <c r="E252" s="92"/>
      <c r="F252" s="92"/>
      <c r="G252" s="92"/>
      <c r="H252" s="92"/>
      <c r="I252" s="92"/>
      <c r="J252" s="92"/>
      <c r="K252" s="92"/>
      <c r="L252" s="92"/>
      <c r="M252" s="92"/>
      <c r="N252" s="92"/>
      <c r="O252" s="92"/>
      <c r="P252" s="92"/>
      <c r="Q252" s="92"/>
      <c r="R252" s="92"/>
      <c r="T252" s="1545"/>
      <c r="U252" s="3160"/>
      <c r="V252" s="3160"/>
      <c r="W252" s="3160"/>
      <c r="X252" s="3160"/>
      <c r="Y252" s="3160"/>
      <c r="Z252" s="3160"/>
      <c r="AA252" s="3160"/>
      <c r="AB252" s="3160"/>
      <c r="AC252" s="3160"/>
      <c r="AD252" s="3160"/>
      <c r="AE252" s="3160"/>
      <c r="AF252" s="3161"/>
    </row>
    <row r="253" spans="1:32">
      <c r="A253" s="1090"/>
      <c r="B253" s="3160"/>
      <c r="C253" s="92"/>
      <c r="D253" s="92"/>
      <c r="E253" s="92"/>
      <c r="F253" s="92"/>
      <c r="G253" s="92"/>
      <c r="H253" s="92"/>
      <c r="I253" s="92"/>
      <c r="J253" s="92"/>
      <c r="K253" s="92"/>
      <c r="L253" s="92"/>
      <c r="M253" s="92"/>
      <c r="N253" s="92"/>
      <c r="O253" s="92"/>
      <c r="P253" s="92"/>
      <c r="Q253" s="92"/>
      <c r="R253" s="92"/>
      <c r="T253" s="1545"/>
      <c r="U253" s="3160"/>
      <c r="V253" s="3160"/>
      <c r="W253" s="3160"/>
      <c r="X253" s="3160"/>
      <c r="Y253" s="3160"/>
      <c r="Z253" s="3160"/>
      <c r="AA253" s="3160"/>
      <c r="AB253" s="3160"/>
      <c r="AC253" s="3160"/>
      <c r="AD253" s="3160"/>
      <c r="AE253" s="3160"/>
      <c r="AF253" s="3161"/>
    </row>
    <row r="254" spans="1:32">
      <c r="A254" s="1090"/>
      <c r="B254" s="3160"/>
      <c r="C254" s="92"/>
      <c r="D254" s="92"/>
      <c r="E254" s="92"/>
      <c r="F254" s="92"/>
      <c r="G254" s="92"/>
      <c r="H254" s="92"/>
      <c r="I254" s="92"/>
      <c r="J254" s="92"/>
      <c r="K254" s="92"/>
      <c r="L254" s="92"/>
      <c r="M254" s="92"/>
      <c r="N254" s="92"/>
      <c r="O254" s="92"/>
      <c r="P254" s="92"/>
      <c r="Q254" s="92"/>
      <c r="R254" s="92"/>
      <c r="T254" s="1545"/>
      <c r="U254" s="3160"/>
      <c r="V254" s="3160"/>
      <c r="W254" s="3160"/>
      <c r="X254" s="3160"/>
      <c r="Y254" s="3160"/>
      <c r="Z254" s="3160"/>
      <c r="AA254" s="3160"/>
      <c r="AB254" s="3160"/>
      <c r="AC254" s="3160"/>
      <c r="AD254" s="3160"/>
      <c r="AE254" s="3160"/>
      <c r="AF254" s="3161"/>
    </row>
    <row r="255" spans="1:32">
      <c r="A255" s="1090"/>
      <c r="B255" s="3160"/>
      <c r="C255" s="92"/>
      <c r="D255" s="92"/>
      <c r="E255" s="92"/>
      <c r="F255" s="92"/>
      <c r="G255" s="92"/>
      <c r="H255" s="92"/>
      <c r="I255" s="92"/>
      <c r="J255" s="92"/>
      <c r="K255" s="92"/>
      <c r="L255" s="92"/>
      <c r="M255" s="92"/>
      <c r="N255" s="92"/>
      <c r="O255" s="92"/>
      <c r="P255" s="92"/>
      <c r="Q255" s="92"/>
      <c r="R255" s="92"/>
      <c r="T255" s="1545"/>
      <c r="U255" s="3160"/>
      <c r="V255" s="3160"/>
      <c r="W255" s="3160"/>
      <c r="X255" s="3160"/>
      <c r="Y255" s="3160"/>
      <c r="Z255" s="3160"/>
      <c r="AA255" s="3160"/>
      <c r="AB255" s="3160"/>
      <c r="AC255" s="3160"/>
      <c r="AD255" s="3160"/>
      <c r="AE255" s="3160"/>
      <c r="AF255" s="3161"/>
    </row>
    <row r="256" spans="1:32">
      <c r="A256" s="1090"/>
      <c r="B256" s="3160"/>
      <c r="C256" s="92"/>
      <c r="D256" s="92"/>
      <c r="E256" s="92"/>
      <c r="F256" s="92"/>
      <c r="G256" s="92"/>
      <c r="H256" s="92"/>
      <c r="I256" s="92"/>
      <c r="J256" s="92"/>
      <c r="K256" s="92"/>
      <c r="L256" s="92"/>
      <c r="M256" s="92"/>
      <c r="N256" s="92"/>
      <c r="O256" s="92"/>
      <c r="P256" s="92"/>
      <c r="Q256" s="92"/>
      <c r="R256" s="92"/>
      <c r="T256" s="1545"/>
      <c r="U256" s="3160"/>
      <c r="V256" s="3160"/>
      <c r="W256" s="3160"/>
      <c r="X256" s="3160"/>
      <c r="Y256" s="3160"/>
      <c r="Z256" s="3160"/>
      <c r="AA256" s="3160"/>
      <c r="AB256" s="3160"/>
      <c r="AC256" s="3160"/>
      <c r="AD256" s="3160"/>
      <c r="AE256" s="3160"/>
      <c r="AF256" s="3161"/>
    </row>
    <row r="257" spans="1:47">
      <c r="A257" s="1090"/>
      <c r="B257" s="3160"/>
      <c r="C257" s="92"/>
      <c r="D257" s="92"/>
      <c r="E257" s="92"/>
      <c r="F257" s="92"/>
      <c r="G257" s="92"/>
      <c r="H257" s="92"/>
      <c r="I257" s="92"/>
      <c r="J257" s="92"/>
      <c r="K257" s="92"/>
      <c r="L257" s="92"/>
      <c r="M257" s="92"/>
      <c r="N257" s="92"/>
      <c r="O257" s="92"/>
      <c r="P257" s="92"/>
      <c r="Q257" s="92"/>
      <c r="R257" s="92"/>
      <c r="T257" s="1545"/>
      <c r="U257" s="3160"/>
      <c r="V257" s="3160"/>
      <c r="W257" s="3160"/>
      <c r="X257" s="3160"/>
      <c r="Y257" s="3160"/>
      <c r="Z257" s="3160"/>
      <c r="AA257" s="3160"/>
      <c r="AB257" s="3160"/>
      <c r="AC257" s="3160"/>
      <c r="AD257" s="3160"/>
      <c r="AE257" s="3160"/>
      <c r="AF257" s="3161"/>
    </row>
    <row r="259" spans="1:47" s="2748" customFormat="1">
      <c r="A259" s="1175" t="s">
        <v>2312</v>
      </c>
      <c r="B259" s="3440"/>
      <c r="C259" s="1198"/>
      <c r="D259" s="1199"/>
      <c r="E259" s="1198"/>
      <c r="F259" s="1199"/>
      <c r="G259" s="1198"/>
      <c r="H259" s="1199"/>
      <c r="I259" s="1198"/>
      <c r="J259" s="1199"/>
      <c r="K259" s="1198"/>
      <c r="L259" s="1199"/>
      <c r="M259" s="1198"/>
      <c r="N259" s="1199"/>
      <c r="O259" s="1198"/>
      <c r="P259" s="1199"/>
      <c r="Q259" s="1198"/>
      <c r="R259" s="118"/>
      <c r="T259" s="118"/>
      <c r="U259" s="118"/>
      <c r="V259" s="118"/>
      <c r="W259" s="118"/>
      <c r="X259" s="118"/>
      <c r="Y259" s="118"/>
      <c r="Z259" s="118"/>
      <c r="AA259" s="118"/>
      <c r="AB259" s="118"/>
      <c r="AC259" s="118"/>
      <c r="AD259" s="118"/>
      <c r="AE259" s="118"/>
      <c r="AF259" s="1926"/>
      <c r="AG259" s="2745"/>
      <c r="AH259" s="2745"/>
      <c r="AI259" s="2745"/>
      <c r="AJ259" s="2745"/>
      <c r="AK259" s="2745"/>
      <c r="AL259" s="2745"/>
      <c r="AM259" s="2745"/>
      <c r="AN259" s="2745"/>
      <c r="AO259" s="2745"/>
      <c r="AP259" s="2745"/>
      <c r="AT259" s="2745"/>
      <c r="AU259" s="2745"/>
    </row>
    <row r="260" spans="1:47" ht="3.75" customHeight="1">
      <c r="T260" s="2399"/>
      <c r="U260" s="2399"/>
      <c r="V260" s="2399"/>
      <c r="W260" s="2399"/>
      <c r="X260" s="2399"/>
      <c r="Y260" s="2399"/>
      <c r="Z260" s="2399"/>
      <c r="AA260" s="2399"/>
      <c r="AB260" s="2399"/>
      <c r="AC260" s="2399"/>
      <c r="AD260" s="2399"/>
      <c r="AE260" s="2399"/>
      <c r="AH260" s="2399"/>
      <c r="AI260" s="2399"/>
      <c r="AJ260" s="2399"/>
      <c r="AK260" s="2399"/>
      <c r="AL260" s="2399"/>
      <c r="AM260" s="2399"/>
      <c r="AN260" s="2399"/>
      <c r="AO260" s="2399"/>
      <c r="AP260" s="2399"/>
    </row>
    <row r="261" spans="1:47" s="2748" customFormat="1">
      <c r="A261" s="3291"/>
      <c r="B261" s="118"/>
      <c r="C261" s="2780"/>
      <c r="D261" s="2781"/>
      <c r="E261" s="2780"/>
      <c r="F261" s="2781"/>
      <c r="G261" s="2780"/>
      <c r="H261" s="2781"/>
      <c r="I261" s="2780"/>
      <c r="J261" s="2781"/>
      <c r="K261" s="2780"/>
      <c r="L261" s="2781"/>
      <c r="M261" s="2780"/>
      <c r="N261" s="2781"/>
      <c r="O261" s="2780"/>
      <c r="P261" s="2781"/>
      <c r="Q261" s="2780"/>
      <c r="R261" s="2781"/>
      <c r="T261" s="3322"/>
      <c r="U261" s="1926"/>
      <c r="V261" s="1926"/>
      <c r="W261" s="1926"/>
      <c r="X261" s="1926"/>
      <c r="Y261" s="1926"/>
      <c r="Z261" s="1926"/>
      <c r="AA261" s="1926"/>
      <c r="AB261" s="1926"/>
      <c r="AC261" s="1926"/>
      <c r="AD261" s="1926"/>
      <c r="AE261" s="1926"/>
      <c r="AF261" s="1926"/>
      <c r="AG261" s="2745"/>
      <c r="AH261" s="2745"/>
      <c r="AI261" s="2745"/>
      <c r="AJ261" s="2745"/>
      <c r="AK261" s="2745"/>
      <c r="AL261" s="2745"/>
      <c r="AM261" s="2745"/>
      <c r="AN261" s="2745"/>
      <c r="AO261" s="2745"/>
      <c r="AP261" s="2745"/>
      <c r="AT261" s="2745"/>
      <c r="AU261" s="2745"/>
    </row>
    <row r="262" spans="1:47" ht="12.75" customHeight="1">
      <c r="A262" s="3443" t="s">
        <v>2379</v>
      </c>
      <c r="B262" s="3374" t="s">
        <v>750</v>
      </c>
      <c r="T262" s="4239" t="s">
        <v>2367</v>
      </c>
      <c r="U262" s="4239"/>
      <c r="V262" s="3347">
        <f>ROUND('Equity Analysts Forecasts '!BX12,1)</f>
        <v>1.3</v>
      </c>
      <c r="W262" s="4231" t="s">
        <v>2368</v>
      </c>
      <c r="X262" s="4231"/>
      <c r="Y262" s="3351">
        <f>ROUND(CALCULATIONS!LP46,1)</f>
        <v>0.1</v>
      </c>
      <c r="Z262" s="1616" t="s">
        <v>2369</v>
      </c>
      <c r="AA262" s="3344">
        <f>V262+Y262</f>
        <v>1.4000000000000001</v>
      </c>
      <c r="AB262" s="92"/>
      <c r="AC262" s="92"/>
      <c r="AD262" s="92"/>
      <c r="AE262" s="116"/>
      <c r="AF262" s="116"/>
      <c r="AH262" s="2399"/>
    </row>
    <row r="263" spans="1:47" ht="12.75" customHeight="1">
      <c r="A263" s="1683"/>
      <c r="B263" s="3374" t="s">
        <v>751</v>
      </c>
      <c r="T263" s="4239"/>
      <c r="U263" s="4239"/>
      <c r="V263" s="3347">
        <f>ROUND('Equity Analysts Forecasts '!BX21,1)</f>
        <v>1.8</v>
      </c>
      <c r="W263" s="4231"/>
      <c r="X263" s="4231"/>
      <c r="Y263" s="3351">
        <f>ROUND(CALCULATIONS!LP47,1)</f>
        <v>0.5</v>
      </c>
      <c r="Z263" s="116"/>
      <c r="AA263" s="3344">
        <f>V263+Y263</f>
        <v>2.2999999999999998</v>
      </c>
      <c r="AB263" s="3312" t="s">
        <v>2428</v>
      </c>
      <c r="AC263" s="92"/>
      <c r="AD263" s="92"/>
      <c r="AE263" s="116"/>
      <c r="AF263" s="116"/>
      <c r="AH263" s="2399"/>
    </row>
    <row r="264" spans="1:47">
      <c r="A264" s="1683"/>
      <c r="B264" s="3374" t="s">
        <v>752</v>
      </c>
      <c r="T264" s="4239"/>
      <c r="U264" s="4239"/>
      <c r="V264" s="3347">
        <f>ROUND('Equity Analysts Forecasts '!BX29,1)</f>
        <v>3.8</v>
      </c>
      <c r="W264" s="4231"/>
      <c r="X264" s="4231"/>
      <c r="Y264" s="3351">
        <f>ROUND(CALCULATIONS!LP48,1)</f>
        <v>0</v>
      </c>
      <c r="Z264" s="116"/>
      <c r="AA264" s="3344">
        <f>V264+Y264</f>
        <v>3.8</v>
      </c>
      <c r="AB264" s="92"/>
      <c r="AC264" s="572"/>
      <c r="AD264" s="92"/>
      <c r="AE264" s="116"/>
      <c r="AF264" s="116"/>
      <c r="AH264" s="2776"/>
      <c r="AI264" s="3369"/>
      <c r="AJ264" s="3369"/>
      <c r="AK264" s="2776"/>
      <c r="AL264" s="3369"/>
      <c r="AM264" s="3369"/>
      <c r="AN264" s="2776"/>
      <c r="AO264" s="3369"/>
      <c r="AP264" s="3369"/>
    </row>
    <row r="265" spans="1:47">
      <c r="A265" s="3160"/>
      <c r="B265" s="3160"/>
      <c r="T265" s="2753"/>
      <c r="U265" s="108"/>
      <c r="V265" s="108"/>
      <c r="W265" s="108"/>
      <c r="X265" s="3345"/>
      <c r="Y265" s="3345"/>
      <c r="Z265" s="3345"/>
      <c r="AA265" s="116"/>
      <c r="AB265" s="116"/>
      <c r="AC265" s="116"/>
      <c r="AD265" s="3345"/>
      <c r="AE265" s="116"/>
      <c r="AF265" s="116"/>
      <c r="AH265" s="2776"/>
      <c r="AI265" s="2836"/>
      <c r="AJ265" s="2836"/>
      <c r="AK265" s="2776"/>
      <c r="AL265" s="2836"/>
      <c r="AM265" s="2836"/>
      <c r="AN265" s="2776"/>
      <c r="AO265" s="2836"/>
      <c r="AP265" s="2836"/>
    </row>
    <row r="266" spans="1:47" ht="3.75" customHeight="1">
      <c r="T266" s="2399"/>
      <c r="U266" s="2399"/>
      <c r="V266" s="2399"/>
      <c r="W266" s="2399"/>
      <c r="X266" s="2399"/>
      <c r="Y266" s="2399"/>
      <c r="Z266" s="2399"/>
      <c r="AA266" s="2399"/>
      <c r="AB266" s="2399"/>
      <c r="AC266" s="2399"/>
      <c r="AD266" s="2399"/>
      <c r="AE266" s="2399"/>
      <c r="AH266" s="2399"/>
      <c r="AI266" s="2399"/>
      <c r="AJ266" s="2399"/>
      <c r="AK266" s="2399"/>
      <c r="AL266" s="2399"/>
      <c r="AM266" s="2399"/>
      <c r="AN266" s="2399"/>
      <c r="AO266" s="2399"/>
      <c r="AP266" s="2399"/>
    </row>
    <row r="267" spans="1:47">
      <c r="A267" s="3160"/>
      <c r="B267" s="3160"/>
      <c r="T267" s="1614"/>
      <c r="U267" s="3161"/>
      <c r="V267" s="3161"/>
      <c r="W267" s="3161"/>
      <c r="X267" s="116"/>
      <c r="Y267" s="116"/>
      <c r="Z267" s="116"/>
      <c r="AA267" s="92"/>
      <c r="AB267" s="92"/>
      <c r="AC267" s="92"/>
      <c r="AD267" s="92"/>
      <c r="AE267" s="2837"/>
      <c r="AF267" s="2837"/>
      <c r="AG267" s="2398"/>
      <c r="AH267" s="92"/>
      <c r="AI267" s="92"/>
      <c r="AJ267" s="92"/>
      <c r="AK267" s="92"/>
      <c r="AL267" s="92"/>
      <c r="AM267" s="92"/>
      <c r="AN267" s="108"/>
      <c r="AO267" s="108"/>
      <c r="AP267" s="2399"/>
    </row>
    <row r="268" spans="1:47" ht="12.75" customHeight="1">
      <c r="A268" s="92"/>
      <c r="B268" s="92"/>
      <c r="T268" s="4231" t="s">
        <v>2403</v>
      </c>
      <c r="U268" s="4231"/>
      <c r="V268" s="4231"/>
      <c r="W268" s="4231"/>
      <c r="X268" s="4231"/>
      <c r="Y268" s="4231"/>
      <c r="Z268" s="4231"/>
      <c r="AA268" s="3349"/>
      <c r="AB268" s="3352" t="s">
        <v>767</v>
      </c>
      <c r="AC268" s="3352" t="s">
        <v>768</v>
      </c>
      <c r="AD268" s="3366" t="s">
        <v>2371</v>
      </c>
      <c r="AE268" s="1439" t="s">
        <v>2381</v>
      </c>
      <c r="AF268" s="2837" t="s">
        <v>2452</v>
      </c>
      <c r="AH268" s="92"/>
      <c r="AI268" s="3352" t="s">
        <v>2374</v>
      </c>
      <c r="AJ268" s="3357" t="s">
        <v>767</v>
      </c>
      <c r="AK268" s="3357" t="s">
        <v>768</v>
      </c>
      <c r="AL268" s="108"/>
      <c r="AM268" s="108"/>
      <c r="AN268" s="108"/>
      <c r="AO268" s="92"/>
    </row>
    <row r="269" spans="1:47" ht="12.75" customHeight="1">
      <c r="A269" s="1384" t="s">
        <v>2366</v>
      </c>
      <c r="B269" s="3374" t="s">
        <v>750</v>
      </c>
      <c r="T269" s="4231"/>
      <c r="U269" s="4231"/>
      <c r="V269" s="4231"/>
      <c r="W269" s="4231"/>
      <c r="X269" s="4231"/>
      <c r="Y269" s="4231"/>
      <c r="Z269" s="4231"/>
      <c r="AA269" s="3499">
        <f>ROUND(CALCULATIONS!MK29,1)</f>
        <v>2.2999999999999998</v>
      </c>
      <c r="AB269" s="3555">
        <v>2</v>
      </c>
      <c r="AC269" s="3556">
        <v>2.5</v>
      </c>
      <c r="AD269" s="92"/>
      <c r="AE269" s="3351">
        <v>2</v>
      </c>
      <c r="AF269" s="92"/>
      <c r="AH269" s="92"/>
      <c r="AI269" s="3362">
        <f>AA269-CALCULATIONS!$LN$46</f>
        <v>2.1746893197225683</v>
      </c>
      <c r="AJ269" s="3358">
        <f>AB269-CALCULATIONS!$LN$46</f>
        <v>1.8746893197225685</v>
      </c>
      <c r="AK269" s="3359">
        <f>AC269-CALCULATIONS!$LN$46</f>
        <v>2.3746893197225685</v>
      </c>
      <c r="AL269" s="92"/>
      <c r="AM269" s="92"/>
      <c r="AN269" s="92"/>
      <c r="AO269" s="92"/>
    </row>
    <row r="270" spans="1:47">
      <c r="A270" s="1683"/>
      <c r="B270" s="3374" t="s">
        <v>751</v>
      </c>
      <c r="T270" s="4231"/>
      <c r="U270" s="4231"/>
      <c r="V270" s="4231"/>
      <c r="W270" s="4231"/>
      <c r="X270" s="4231"/>
      <c r="Y270" s="4231"/>
      <c r="Z270" s="4231"/>
      <c r="AA270" s="3344">
        <f>AA263</f>
        <v>2.2999999999999998</v>
      </c>
      <c r="AB270" s="3553">
        <f>AB269</f>
        <v>2</v>
      </c>
      <c r="AC270" s="3554">
        <f>AC269</f>
        <v>2.5</v>
      </c>
      <c r="AD270" s="92"/>
      <c r="AE270" s="3351">
        <v>1.5</v>
      </c>
      <c r="AF270" s="92"/>
      <c r="AH270" s="92"/>
      <c r="AI270" s="3362">
        <f>AA270-CALCULATIONS!$LN$47</f>
        <v>1.7587517616883985</v>
      </c>
      <c r="AJ270" s="3358">
        <f>AB270-CALCULATIONS!$LN$47</f>
        <v>1.4587517616883987</v>
      </c>
      <c r="AK270" s="3359">
        <f>AC270-CALCULATIONS!$LN$47</f>
        <v>1.9587517616883987</v>
      </c>
      <c r="AL270" s="92"/>
      <c r="AM270" s="92"/>
      <c r="AN270" s="92"/>
      <c r="AO270" s="92"/>
    </row>
    <row r="271" spans="1:47">
      <c r="A271" s="1683"/>
      <c r="B271" s="3374" t="s">
        <v>752</v>
      </c>
      <c r="T271" s="4231" t="s">
        <v>2384</v>
      </c>
      <c r="U271" s="4231"/>
      <c r="V271" s="4231"/>
      <c r="W271" s="4231"/>
      <c r="X271" s="4231"/>
      <c r="Y271" s="4231"/>
      <c r="Z271" s="4231"/>
      <c r="AA271" s="3344">
        <f>AA264</f>
        <v>3.8</v>
      </c>
      <c r="AB271" s="3553">
        <v>3.5</v>
      </c>
      <c r="AC271" s="3554">
        <v>4</v>
      </c>
      <c r="AD271" s="92"/>
      <c r="AE271" s="3351">
        <v>4</v>
      </c>
      <c r="AF271" s="92"/>
      <c r="AH271" s="92"/>
      <c r="AI271" s="3362">
        <f>AA271-CALCULATIONS!$LN$48</f>
        <v>3.7915845938698114</v>
      </c>
      <c r="AJ271" s="3358">
        <f>AB271-CALCULATIONS!$LN$48</f>
        <v>3.4915845938698116</v>
      </c>
      <c r="AK271" s="3359">
        <f>AC271-CALCULATIONS!$LN$48</f>
        <v>3.9915845938698116</v>
      </c>
      <c r="AL271" s="92"/>
      <c r="AM271" s="92"/>
      <c r="AN271" s="92"/>
      <c r="AO271" s="92"/>
    </row>
    <row r="272" spans="1:47" ht="12.75" customHeight="1">
      <c r="A272" s="3160"/>
      <c r="B272" s="3160"/>
      <c r="T272" s="4231"/>
      <c r="U272" s="4231"/>
      <c r="V272" s="4231"/>
      <c r="W272" s="4231"/>
      <c r="X272" s="4231"/>
      <c r="Y272" s="4231"/>
      <c r="Z272" s="4231"/>
      <c r="AA272" s="1372"/>
      <c r="AB272" s="3363"/>
      <c r="AC272" s="3363"/>
      <c r="AD272" s="92"/>
      <c r="AE272" s="92"/>
      <c r="AF272" s="92"/>
      <c r="AH272" s="92"/>
      <c r="AI272" s="92"/>
      <c r="AJ272" s="92"/>
      <c r="AK272" s="92"/>
      <c r="AL272" s="92"/>
      <c r="AM272" s="92"/>
      <c r="AN272" s="92"/>
      <c r="AO272" s="92"/>
    </row>
    <row r="273" spans="1:42">
      <c r="A273" s="3375"/>
      <c r="B273" s="3375"/>
      <c r="T273" s="2753"/>
      <c r="U273" s="108"/>
      <c r="V273" s="108"/>
      <c r="W273" s="108"/>
      <c r="X273" s="3345"/>
      <c r="Y273" s="3345"/>
      <c r="Z273" s="92"/>
      <c r="AA273" s="1372"/>
      <c r="AB273" s="3363"/>
      <c r="AC273" s="3363"/>
      <c r="AD273" s="92"/>
      <c r="AE273" s="92"/>
      <c r="AF273" s="92"/>
      <c r="AH273" s="92"/>
      <c r="AI273" s="92"/>
      <c r="AJ273" s="92"/>
      <c r="AK273" s="92"/>
      <c r="AL273" s="92"/>
      <c r="AM273" s="92"/>
      <c r="AN273" s="92"/>
      <c r="AO273" s="92"/>
    </row>
    <row r="274" spans="1:42">
      <c r="A274" s="92"/>
      <c r="B274" s="92"/>
      <c r="T274" s="2753"/>
      <c r="U274" s="108"/>
      <c r="V274" s="108"/>
      <c r="W274" s="108"/>
      <c r="X274" s="3345"/>
      <c r="Y274" s="3345"/>
      <c r="Z274" s="92"/>
      <c r="AA274" s="92"/>
      <c r="AB274" s="3352" t="s">
        <v>767</v>
      </c>
      <c r="AC274" s="3352" t="s">
        <v>768</v>
      </c>
      <c r="AD274" s="3366" t="s">
        <v>2371</v>
      </c>
      <c r="AE274" s="1439" t="s">
        <v>2381</v>
      </c>
      <c r="AF274" s="1439">
        <v>2010</v>
      </c>
      <c r="AH274" s="92"/>
      <c r="AI274" s="3352" t="s">
        <v>2374</v>
      </c>
      <c r="AJ274" s="3357" t="s">
        <v>767</v>
      </c>
      <c r="AK274" s="3357" t="s">
        <v>768</v>
      </c>
      <c r="AL274" s="92"/>
      <c r="AM274" s="92"/>
      <c r="AN274" s="92"/>
      <c r="AO274" s="92"/>
    </row>
    <row r="275" spans="1:42">
      <c r="A275" s="1384" t="s">
        <v>1958</v>
      </c>
      <c r="B275" s="3374" t="s">
        <v>750</v>
      </c>
      <c r="T275" s="1614" t="s">
        <v>2370</v>
      </c>
      <c r="U275" s="3161"/>
      <c r="V275" s="3161"/>
      <c r="W275" s="3161"/>
      <c r="X275" s="116"/>
      <c r="Y275" s="116"/>
      <c r="Z275" s="116"/>
      <c r="AA275" s="3444">
        <f t="shared" ref="AA275:AC277" si="19">ROUND(AA269/$AK288,2)</f>
        <v>0.42</v>
      </c>
      <c r="AB275" s="3355">
        <f t="shared" si="19"/>
        <v>0.36</v>
      </c>
      <c r="AC275" s="3356">
        <f t="shared" si="19"/>
        <v>0.45</v>
      </c>
      <c r="AD275" s="92"/>
      <c r="AE275" s="3364">
        <v>0.4</v>
      </c>
      <c r="AF275" s="3364">
        <v>0.32</v>
      </c>
      <c r="AH275" s="92"/>
      <c r="AI275" s="3384">
        <f t="shared" ref="AI275:AK277" si="20">ROUND(AI269/$AK288,2)</f>
        <v>0.4</v>
      </c>
      <c r="AJ275" s="3384">
        <f t="shared" si="20"/>
        <v>0.34</v>
      </c>
      <c r="AK275" s="3384">
        <f t="shared" si="20"/>
        <v>0.43</v>
      </c>
      <c r="AL275" s="3368" t="s">
        <v>2375</v>
      </c>
      <c r="AM275" s="92"/>
      <c r="AN275" s="3385">
        <f>(AI276-AI277)/(PROFILES!$G$258-PROFILES!$G$259)</f>
        <v>-0.122245875551916</v>
      </c>
      <c r="AO275" s="92"/>
    </row>
    <row r="276" spans="1:42">
      <c r="A276" s="1683"/>
      <c r="B276" s="3374" t="s">
        <v>751</v>
      </c>
      <c r="T276" s="1614"/>
      <c r="U276" s="3161"/>
      <c r="V276" s="3161"/>
      <c r="W276" s="3161"/>
      <c r="X276" s="116"/>
      <c r="Y276" s="116"/>
      <c r="Z276" s="116"/>
      <c r="AA276" s="3444">
        <f t="shared" si="19"/>
        <v>0.42</v>
      </c>
      <c r="AB276" s="3355">
        <f t="shared" si="19"/>
        <v>0.36</v>
      </c>
      <c r="AC276" s="3356">
        <f t="shared" si="19"/>
        <v>0.45</v>
      </c>
      <c r="AD276" s="92"/>
      <c r="AE276" s="3364">
        <v>0.28000000000000003</v>
      </c>
      <c r="AF276" s="3364">
        <v>0.25</v>
      </c>
      <c r="AH276" s="92"/>
      <c r="AI276" s="3384">
        <f t="shared" si="20"/>
        <v>0.32</v>
      </c>
      <c r="AJ276" s="3384">
        <f t="shared" si="20"/>
        <v>0.27</v>
      </c>
      <c r="AK276" s="3384">
        <f t="shared" si="20"/>
        <v>0.36</v>
      </c>
      <c r="AL276" s="3312"/>
      <c r="AM276" s="92"/>
      <c r="AN276" s="3365"/>
      <c r="AO276" s="92"/>
    </row>
    <row r="277" spans="1:42">
      <c r="A277" s="1683"/>
      <c r="B277" s="3374" t="s">
        <v>752</v>
      </c>
      <c r="T277" s="1614"/>
      <c r="U277" s="3161"/>
      <c r="V277" s="3161"/>
      <c r="W277" s="3161"/>
      <c r="X277" s="116"/>
      <c r="Y277" s="116"/>
      <c r="Z277" s="116"/>
      <c r="AA277" s="3444">
        <f t="shared" si="19"/>
        <v>0.42</v>
      </c>
      <c r="AB277" s="3355">
        <f t="shared" si="19"/>
        <v>0.39</v>
      </c>
      <c r="AC277" s="3356">
        <f t="shared" si="19"/>
        <v>0.44</v>
      </c>
      <c r="AD277" s="92"/>
      <c r="AE277" s="3364">
        <v>0.44</v>
      </c>
      <c r="AF277" s="3529"/>
      <c r="AH277" s="92"/>
      <c r="AI277" s="3384">
        <f t="shared" si="20"/>
        <v>0.42</v>
      </c>
      <c r="AJ277" s="3384">
        <f t="shared" si="20"/>
        <v>0.39</v>
      </c>
      <c r="AK277" s="3384">
        <f t="shared" si="20"/>
        <v>0.44</v>
      </c>
      <c r="AL277" s="3367" t="s">
        <v>2376</v>
      </c>
      <c r="AM277" s="92"/>
      <c r="AN277" s="3386">
        <f>(AI276-AI277)/(PROFILES!G258-PROFILES!G257)</f>
        <v>-0.16332560787531808</v>
      </c>
      <c r="AO277" s="92"/>
    </row>
    <row r="278" spans="1:42">
      <c r="A278" s="3160"/>
      <c r="B278" s="3160"/>
      <c r="T278" s="1614"/>
      <c r="U278" s="3161"/>
      <c r="V278" s="3161"/>
      <c r="W278" s="3161"/>
      <c r="X278" s="116"/>
      <c r="Y278" s="116"/>
      <c r="Z278" s="116"/>
      <c r="AA278" s="116"/>
      <c r="AB278" s="116"/>
      <c r="AC278" s="116"/>
      <c r="AD278" s="116"/>
      <c r="AE278" s="116"/>
      <c r="AF278" s="116"/>
      <c r="AH278" s="108"/>
      <c r="AI278" s="92"/>
      <c r="AJ278" s="92"/>
      <c r="AK278" s="92"/>
      <c r="AL278" s="92"/>
      <c r="AM278" s="92"/>
      <c r="AN278" s="92"/>
      <c r="AO278" s="92"/>
    </row>
    <row r="279" spans="1:42" ht="3.75" customHeight="1">
      <c r="T279" s="2399"/>
      <c r="U279" s="2399"/>
      <c r="V279" s="2399"/>
      <c r="W279" s="2399"/>
      <c r="X279" s="2399"/>
      <c r="Y279" s="2399"/>
      <c r="Z279" s="2399"/>
      <c r="AA279" s="2399"/>
      <c r="AB279" s="2399"/>
      <c r="AC279" s="2399"/>
      <c r="AD279" s="2399"/>
      <c r="AE279" s="2399"/>
      <c r="AH279" s="2399"/>
      <c r="AI279" s="2399"/>
      <c r="AJ279" s="2399"/>
      <c r="AK279" s="2399"/>
      <c r="AL279" s="2399"/>
      <c r="AM279" s="2399"/>
      <c r="AN279" s="2399"/>
      <c r="AO279" s="2399"/>
      <c r="AP279" s="2399"/>
    </row>
    <row r="280" spans="1:42">
      <c r="A280" s="3407"/>
      <c r="B280" s="3407"/>
      <c r="T280" s="1614"/>
      <c r="U280" s="3398"/>
      <c r="V280" s="3398"/>
      <c r="W280" s="3398"/>
      <c r="X280" s="116"/>
      <c r="Y280" s="116"/>
      <c r="Z280" s="116"/>
      <c r="AA280" s="116"/>
      <c r="AB280" s="116"/>
      <c r="AC280" s="92"/>
      <c r="AD280" s="92"/>
      <c r="AE280" s="92"/>
      <c r="AF280" s="116"/>
      <c r="AH280" s="108"/>
      <c r="AI280" s="92"/>
      <c r="AJ280" s="92"/>
      <c r="AK280" s="92"/>
      <c r="AL280" s="92"/>
      <c r="AM280" s="92"/>
      <c r="AN280" s="92"/>
      <c r="AO280" s="92"/>
    </row>
    <row r="281" spans="1:42" ht="12.75" customHeight="1">
      <c r="A281" s="92"/>
      <c r="B281" s="92"/>
      <c r="T281" s="92"/>
      <c r="U281" s="1616"/>
      <c r="V281" s="1616"/>
      <c r="W281" s="1616"/>
      <c r="X281" s="1616"/>
      <c r="Y281" s="1616"/>
      <c r="Z281" s="1616"/>
      <c r="AA281" s="92"/>
      <c r="AB281" s="3352" t="s">
        <v>767</v>
      </c>
      <c r="AC281" s="3352" t="s">
        <v>768</v>
      </c>
      <c r="AD281" s="3366" t="s">
        <v>2371</v>
      </c>
      <c r="AE281" s="1439" t="s">
        <v>2381</v>
      </c>
      <c r="AF281" s="1439">
        <v>2010</v>
      </c>
      <c r="AH281" s="92"/>
      <c r="AI281" s="3352" t="s">
        <v>2374</v>
      </c>
      <c r="AJ281" s="3357" t="s">
        <v>767</v>
      </c>
      <c r="AK281" s="3357" t="s">
        <v>768</v>
      </c>
      <c r="AL281" s="92"/>
      <c r="AM281" s="92"/>
      <c r="AN281" s="92"/>
      <c r="AO281" s="92"/>
    </row>
    <row r="282" spans="1:42" ht="12.75" customHeight="1">
      <c r="A282" s="1384" t="s">
        <v>1958</v>
      </c>
      <c r="B282" s="3380" t="s">
        <v>769</v>
      </c>
      <c r="T282" s="1616" t="s">
        <v>2372</v>
      </c>
      <c r="U282" s="1616"/>
      <c r="V282" s="1616"/>
      <c r="W282" s="1616"/>
      <c r="X282" s="1616"/>
      <c r="Y282" s="1616"/>
      <c r="Z282" s="1616"/>
      <c r="AA282" s="3350">
        <f>AA275</f>
        <v>0.42</v>
      </c>
      <c r="AB282" s="3355">
        <f>AA282-5%</f>
        <v>0.37</v>
      </c>
      <c r="AC282" s="3356">
        <f>AA282+5%</f>
        <v>0.47</v>
      </c>
      <c r="AD282" s="92"/>
      <c r="AE282" s="3364">
        <v>0.47</v>
      </c>
      <c r="AF282" s="3364">
        <v>0.4</v>
      </c>
      <c r="AH282" s="92"/>
      <c r="AI282" s="3387">
        <f>ROUND(AI283-AN275,2)</f>
        <v>0.44</v>
      </c>
      <c r="AJ282" s="3360">
        <f>AI282-5%</f>
        <v>0.39</v>
      </c>
      <c r="AK282" s="3361">
        <f>AI282+5%</f>
        <v>0.49</v>
      </c>
      <c r="AL282" s="4260" t="s">
        <v>2382</v>
      </c>
      <c r="AM282" s="4261"/>
      <c r="AN282" s="4261"/>
      <c r="AO282" s="92"/>
    </row>
    <row r="283" spans="1:42">
      <c r="A283" s="92"/>
      <c r="B283" s="3380" t="s">
        <v>770</v>
      </c>
      <c r="T283" s="1616" t="s">
        <v>2373</v>
      </c>
      <c r="U283" s="3161"/>
      <c r="V283" s="3161"/>
      <c r="W283" s="3161"/>
      <c r="X283" s="116"/>
      <c r="Y283" s="116"/>
      <c r="Z283" s="116"/>
      <c r="AA283" s="3350">
        <f>AA276</f>
        <v>0.42</v>
      </c>
      <c r="AB283" s="3355">
        <f>AB276</f>
        <v>0.36</v>
      </c>
      <c r="AC283" s="3356">
        <f>AC276</f>
        <v>0.45</v>
      </c>
      <c r="AD283" s="92"/>
      <c r="AE283" s="3364">
        <v>0.28000000000000003</v>
      </c>
      <c r="AF283" s="3364">
        <v>0.25</v>
      </c>
      <c r="AH283" s="92"/>
      <c r="AI283" s="3387">
        <f>AI276</f>
        <v>0.32</v>
      </c>
      <c r="AJ283" s="3360">
        <f>AJ276</f>
        <v>0.27</v>
      </c>
      <c r="AK283" s="3361">
        <f>AK276</f>
        <v>0.36</v>
      </c>
      <c r="AL283" s="4260"/>
      <c r="AM283" s="4261"/>
      <c r="AN283" s="4261"/>
      <c r="AO283" s="92"/>
    </row>
    <row r="284" spans="1:42">
      <c r="A284" s="92"/>
      <c r="B284" s="3374" t="s">
        <v>1959</v>
      </c>
      <c r="T284" s="2137"/>
      <c r="U284" s="3161"/>
      <c r="V284" s="3161"/>
      <c r="W284" s="3161"/>
      <c r="X284" s="116"/>
      <c r="Y284" s="116"/>
      <c r="Z284" s="116"/>
      <c r="AA284" s="3444">
        <f>AA275</f>
        <v>0.42</v>
      </c>
      <c r="AB284" s="3355">
        <f>AA284-5%</f>
        <v>0.37</v>
      </c>
      <c r="AC284" s="3356">
        <f>AA284+5%</f>
        <v>0.47</v>
      </c>
      <c r="AD284" s="92"/>
      <c r="AE284" s="3371"/>
      <c r="AF284" s="3372"/>
      <c r="AH284" s="92"/>
      <c r="AI284" s="3384">
        <f>ROUND(AI283-AN275/2,2)</f>
        <v>0.38</v>
      </c>
      <c r="AJ284" s="3360">
        <f>AI284-5%</f>
        <v>0.33</v>
      </c>
      <c r="AK284" s="3361">
        <f>AI284+5%</f>
        <v>0.43</v>
      </c>
      <c r="AL284" s="4260"/>
      <c r="AM284" s="4261"/>
      <c r="AN284" s="4261"/>
      <c r="AO284" s="92"/>
    </row>
    <row r="285" spans="1:42">
      <c r="A285" s="3160"/>
      <c r="B285" s="3160"/>
      <c r="T285" s="92"/>
      <c r="U285" s="3161"/>
      <c r="V285" s="3161"/>
      <c r="W285" s="3161"/>
      <c r="X285" s="116"/>
      <c r="Y285" s="116"/>
      <c r="Z285" s="116"/>
      <c r="AA285" s="116"/>
      <c r="AB285" s="116"/>
      <c r="AC285" s="116"/>
      <c r="AD285" s="116"/>
      <c r="AE285" s="116"/>
      <c r="AF285" s="116"/>
      <c r="AH285" s="108"/>
      <c r="AI285" s="92"/>
      <c r="AJ285" s="92"/>
      <c r="AK285" s="92"/>
      <c r="AL285" s="92"/>
      <c r="AM285" s="92"/>
      <c r="AN285" s="92"/>
      <c r="AO285" s="92"/>
    </row>
    <row r="286" spans="1:42">
      <c r="A286" s="3160"/>
      <c r="B286" s="3160"/>
      <c r="T286" s="1614"/>
      <c r="U286" s="3161"/>
      <c r="V286" s="3161"/>
      <c r="W286" s="3161"/>
      <c r="X286" s="116"/>
      <c r="Y286" s="116"/>
      <c r="Z286" s="116"/>
      <c r="AA286" s="116"/>
      <c r="AB286" s="116"/>
      <c r="AC286" s="116"/>
      <c r="AD286" s="116"/>
      <c r="AE286" s="116"/>
      <c r="AF286" s="116"/>
      <c r="AH286" s="92"/>
      <c r="AI286" s="92"/>
      <c r="AJ286" s="92"/>
      <c r="AK286" s="92"/>
      <c r="AL286" s="92"/>
      <c r="AM286" s="92"/>
      <c r="AN286" s="92"/>
      <c r="AO286" s="92"/>
    </row>
    <row r="287" spans="1:42">
      <c r="A287" s="92"/>
      <c r="B287" s="92"/>
      <c r="T287" s="2753" t="s">
        <v>2385</v>
      </c>
      <c r="U287" s="92"/>
      <c r="V287" s="92"/>
      <c r="W287" s="1614"/>
      <c r="X287" s="1614"/>
      <c r="Y287" s="1614"/>
      <c r="Z287" s="1614"/>
      <c r="AA287" s="116"/>
      <c r="AB287" s="116"/>
      <c r="AC287" s="116"/>
      <c r="AD287" s="3366" t="s">
        <v>2371</v>
      </c>
      <c r="AE287" s="1439" t="s">
        <v>2381</v>
      </c>
      <c r="AF287" s="116"/>
      <c r="AH287" s="92"/>
      <c r="AI287" s="1555" t="s">
        <v>2386</v>
      </c>
      <c r="AJ287" s="1555"/>
      <c r="AK287" s="1555" t="s">
        <v>2386</v>
      </c>
      <c r="AL287" s="92"/>
      <c r="AM287" s="92"/>
      <c r="AN287" s="92"/>
      <c r="AO287" s="92"/>
    </row>
    <row r="288" spans="1:42" ht="12.75" customHeight="1">
      <c r="A288" s="1384" t="s">
        <v>2366</v>
      </c>
      <c r="B288" s="3380" t="s">
        <v>769</v>
      </c>
      <c r="T288" s="4256" t="s">
        <v>2438</v>
      </c>
      <c r="U288" s="4256"/>
      <c r="V288" s="4256"/>
      <c r="W288" s="4256"/>
      <c r="X288" s="4256"/>
      <c r="Y288" s="4256"/>
      <c r="Z288" s="4257"/>
      <c r="AA288" s="2715">
        <v>2.2999999999999998</v>
      </c>
      <c r="AB288" s="3383">
        <f>AB282*$AI288</f>
        <v>2.0350000000000001</v>
      </c>
      <c r="AC288" s="3354">
        <f>AC282*$AI288</f>
        <v>2.585</v>
      </c>
      <c r="AD288" s="116"/>
      <c r="AE288" s="3351">
        <v>2.2999999999999998</v>
      </c>
      <c r="AF288" s="116"/>
      <c r="AH288" s="92"/>
      <c r="AI288" s="3381">
        <f>PROFILES!D435</f>
        <v>5.5</v>
      </c>
      <c r="AJ288" s="4262" t="s">
        <v>2387</v>
      </c>
      <c r="AK288" s="3381">
        <f>PROFILES!F435</f>
        <v>5.5</v>
      </c>
      <c r="AL288" s="3382" t="s">
        <v>37</v>
      </c>
      <c r="AM288" s="92"/>
      <c r="AN288" s="92"/>
      <c r="AO288" s="92"/>
    </row>
    <row r="289" spans="1:47" ht="12.75" customHeight="1">
      <c r="A289" s="1669"/>
      <c r="B289" s="3380" t="s">
        <v>770</v>
      </c>
      <c r="T289" s="4256"/>
      <c r="U289" s="4256"/>
      <c r="V289" s="4256"/>
      <c r="W289" s="4256"/>
      <c r="X289" s="4256"/>
      <c r="Y289" s="4256"/>
      <c r="Z289" s="4257"/>
      <c r="AA289" s="2715">
        <f>AA270</f>
        <v>2.2999999999999998</v>
      </c>
      <c r="AB289" s="3353">
        <f>AB270</f>
        <v>2</v>
      </c>
      <c r="AC289" s="3354">
        <f>AC270</f>
        <v>2.5</v>
      </c>
      <c r="AD289" s="116"/>
      <c r="AE289" s="3351">
        <v>1.5</v>
      </c>
      <c r="AF289" s="116"/>
      <c r="AH289" s="92"/>
      <c r="AI289" s="3381">
        <f>PROFILES!H435</f>
        <v>5.5</v>
      </c>
      <c r="AJ289" s="4262"/>
      <c r="AK289" s="3381">
        <f>PROFILES!G435</f>
        <v>5.5</v>
      </c>
      <c r="AL289" s="3382" t="s">
        <v>36</v>
      </c>
      <c r="AM289" s="92"/>
      <c r="AN289" s="92"/>
      <c r="AO289" s="92"/>
    </row>
    <row r="290" spans="1:47">
      <c r="A290" s="1669"/>
      <c r="B290" s="3374" t="s">
        <v>1959</v>
      </c>
      <c r="T290" s="3314" t="s">
        <v>2377</v>
      </c>
      <c r="U290" s="1507"/>
      <c r="V290" s="1507"/>
      <c r="W290" s="1507"/>
      <c r="X290" s="1507"/>
      <c r="Y290" s="1507"/>
      <c r="Z290" s="3513"/>
      <c r="AA290" s="3445">
        <f>AA269</f>
        <v>2.2999999999999998</v>
      </c>
      <c r="AB290" s="3353">
        <f>AB269</f>
        <v>2</v>
      </c>
      <c r="AC290" s="3354">
        <f>AC269</f>
        <v>2.5</v>
      </c>
      <c r="AD290" s="116"/>
      <c r="AE290" s="3381">
        <v>1.9</v>
      </c>
      <c r="AF290" s="116"/>
      <c r="AH290" s="92"/>
      <c r="AI290" s="3381">
        <f>AVERAGE(AI288:AI289)</f>
        <v>5.5</v>
      </c>
      <c r="AJ290" s="92"/>
      <c r="AK290" s="3381">
        <f>PROFILES!E435</f>
        <v>9</v>
      </c>
      <c r="AL290" s="3382" t="s">
        <v>38</v>
      </c>
      <c r="AM290" s="92"/>
      <c r="AN290" s="92"/>
      <c r="AO290" s="92"/>
    </row>
    <row r="291" spans="1:47">
      <c r="A291" s="3160"/>
      <c r="B291" s="3160"/>
      <c r="T291" s="1614" t="s">
        <v>2378</v>
      </c>
      <c r="U291" s="2753"/>
      <c r="V291" s="2753"/>
      <c r="W291" s="3161"/>
      <c r="X291" s="116"/>
      <c r="Y291" s="116"/>
      <c r="Z291" s="116"/>
      <c r="AA291" s="116"/>
      <c r="AB291" s="116"/>
      <c r="AC291" s="116"/>
      <c r="AD291" s="116"/>
      <c r="AE291" s="116"/>
      <c r="AF291" s="116"/>
      <c r="AH291" s="108"/>
      <c r="AI291" s="92"/>
      <c r="AJ291" s="92"/>
      <c r="AK291" s="92"/>
      <c r="AL291" s="92"/>
      <c r="AM291" s="92"/>
      <c r="AN291" s="92"/>
      <c r="AO291" s="92"/>
    </row>
    <row r="292" spans="1:47" ht="12.75" customHeight="1">
      <c r="A292" s="3407"/>
      <c r="B292" s="3407"/>
      <c r="T292" s="1614" t="s">
        <v>2392</v>
      </c>
      <c r="U292" s="1482"/>
      <c r="V292" s="1482"/>
      <c r="W292" s="1482"/>
      <c r="X292" s="1482"/>
      <c r="Y292" s="1482"/>
      <c r="Z292" s="1482"/>
      <c r="AA292" s="116"/>
      <c r="AB292" s="116"/>
      <c r="AC292" s="116"/>
      <c r="AD292" s="116"/>
      <c r="AE292" s="116"/>
      <c r="AF292" s="116"/>
      <c r="AH292" s="108"/>
      <c r="AI292" s="92"/>
      <c r="AJ292" s="92"/>
      <c r="AK292" s="92"/>
      <c r="AL292" s="92"/>
      <c r="AM292" s="92"/>
      <c r="AN292" s="92"/>
      <c r="AO292" s="92"/>
    </row>
    <row r="293" spans="1:47">
      <c r="A293" s="3160"/>
      <c r="B293" s="3160"/>
      <c r="T293" s="92"/>
      <c r="U293" s="108"/>
      <c r="V293" s="108"/>
      <c r="W293" s="3161"/>
      <c r="X293" s="116"/>
      <c r="Y293" s="116"/>
      <c r="Z293" s="116"/>
      <c r="AA293" s="116"/>
      <c r="AB293" s="116"/>
      <c r="AC293" s="116"/>
      <c r="AD293" s="116"/>
      <c r="AE293" s="116"/>
      <c r="AF293" s="116"/>
      <c r="AH293" s="2399"/>
    </row>
    <row r="294" spans="1:47">
      <c r="A294" s="3407"/>
      <c r="B294" s="3407"/>
      <c r="T294" s="92"/>
      <c r="U294" s="108"/>
      <c r="V294" s="108"/>
      <c r="W294" s="3398"/>
      <c r="X294" s="116"/>
      <c r="Y294" s="116"/>
      <c r="Z294" s="116"/>
      <c r="AA294" s="116"/>
      <c r="AB294" s="116"/>
      <c r="AC294" s="116"/>
      <c r="AD294" s="116"/>
      <c r="AE294" s="116"/>
      <c r="AF294" s="116"/>
      <c r="AH294" s="2399"/>
    </row>
    <row r="295" spans="1:47">
      <c r="A295" s="2731" t="s">
        <v>1308</v>
      </c>
      <c r="B295" s="2732"/>
      <c r="T295" s="1492"/>
      <c r="U295" s="1492"/>
      <c r="V295" s="1492"/>
      <c r="W295" s="1492"/>
      <c r="X295" s="1492"/>
      <c r="Y295" s="1492"/>
      <c r="Z295" s="1492"/>
      <c r="AA295" s="1492"/>
      <c r="AB295" s="1492"/>
      <c r="AC295" s="1492"/>
      <c r="AD295" s="1492"/>
      <c r="AE295" s="1492"/>
      <c r="AF295" s="1492"/>
      <c r="AG295" s="2746"/>
      <c r="AH295" s="2746"/>
    </row>
    <row r="296" spans="1:47">
      <c r="A296" s="3160"/>
      <c r="B296" s="3160"/>
      <c r="T296" s="1492"/>
      <c r="U296" s="1492"/>
      <c r="V296" s="1492"/>
      <c r="W296" s="1492"/>
      <c r="X296" s="1492"/>
      <c r="Y296" s="1492"/>
      <c r="Z296" s="1492"/>
      <c r="AA296" s="1492"/>
      <c r="AB296" s="1492"/>
      <c r="AC296" s="1492"/>
      <c r="AD296" s="1492"/>
      <c r="AE296" s="1492"/>
      <c r="AF296" s="1492"/>
      <c r="AG296" s="2746"/>
      <c r="AH296" s="2746"/>
    </row>
    <row r="297" spans="1:47">
      <c r="A297" s="3160"/>
      <c r="B297" s="3160"/>
      <c r="T297" s="1492"/>
      <c r="U297" s="1492"/>
      <c r="V297" s="1492"/>
      <c r="W297" s="1492"/>
      <c r="X297" s="1492"/>
      <c r="Y297" s="1492"/>
      <c r="Z297" s="1492"/>
      <c r="AA297" s="1492"/>
      <c r="AB297" s="1492"/>
      <c r="AC297" s="1492"/>
      <c r="AD297" s="1492"/>
      <c r="AE297" s="1492"/>
      <c r="AF297" s="1492"/>
      <c r="AG297" s="2746"/>
      <c r="AH297" s="2746"/>
    </row>
    <row r="298" spans="1:47">
      <c r="A298" s="3160"/>
      <c r="B298" s="3160"/>
      <c r="T298" s="1492"/>
      <c r="U298" s="1492"/>
      <c r="V298" s="1492"/>
      <c r="W298" s="1492"/>
      <c r="X298" s="1492"/>
      <c r="Y298" s="1492"/>
      <c r="Z298" s="1492"/>
      <c r="AA298" s="1492"/>
      <c r="AB298" s="1492"/>
      <c r="AC298" s="1492"/>
      <c r="AD298" s="1492"/>
      <c r="AE298" s="1492"/>
      <c r="AF298" s="1492"/>
      <c r="AG298" s="2746"/>
      <c r="AH298" s="2746"/>
    </row>
    <row r="299" spans="1:47">
      <c r="A299" s="3160"/>
      <c r="B299" s="3160"/>
      <c r="T299" s="1492"/>
      <c r="U299" s="1492"/>
      <c r="V299" s="1492"/>
      <c r="W299" s="1492"/>
      <c r="X299" s="1492"/>
      <c r="Y299" s="1492"/>
      <c r="Z299" s="1492"/>
      <c r="AA299" s="1492"/>
      <c r="AB299" s="1492"/>
      <c r="AC299" s="1492"/>
      <c r="AD299" s="1492"/>
      <c r="AE299" s="1492"/>
      <c r="AF299" s="1492"/>
      <c r="AG299" s="2746"/>
      <c r="AH299" s="2746"/>
    </row>
    <row r="300" spans="1:47">
      <c r="A300" s="3160"/>
      <c r="B300" s="3160"/>
      <c r="T300" s="1492"/>
      <c r="U300" s="1492"/>
      <c r="V300" s="1492"/>
      <c r="W300" s="1492"/>
      <c r="X300" s="1492"/>
      <c r="Y300" s="1492"/>
      <c r="Z300" s="1492"/>
      <c r="AA300" s="1492"/>
      <c r="AB300" s="1492"/>
      <c r="AC300" s="1492"/>
      <c r="AD300" s="1492"/>
      <c r="AE300" s="1492"/>
      <c r="AF300" s="1492"/>
      <c r="AG300" s="2746"/>
      <c r="AH300" s="2746"/>
    </row>
    <row r="301" spans="1:47">
      <c r="A301" s="3160"/>
      <c r="B301" s="3160"/>
      <c r="T301" s="1506"/>
      <c r="U301" s="1506"/>
      <c r="V301" s="1506"/>
      <c r="W301" s="1506"/>
      <c r="X301" s="1506"/>
      <c r="Y301" s="1506"/>
      <c r="Z301" s="1506"/>
      <c r="AA301" s="1506"/>
      <c r="AB301" s="1506"/>
      <c r="AC301" s="1506"/>
      <c r="AD301" s="1506"/>
      <c r="AE301" s="1506"/>
      <c r="AF301" s="1506"/>
      <c r="AG301" s="2746"/>
      <c r="AH301" s="2746"/>
    </row>
    <row r="303" spans="1:47" s="3413" customFormat="1">
      <c r="A303" s="3409" t="s">
        <v>2393</v>
      </c>
      <c r="B303" s="3446" t="s">
        <v>2471</v>
      </c>
      <c r="C303" s="3410"/>
      <c r="D303" s="3411"/>
      <c r="E303" s="3410"/>
      <c r="F303" s="3411"/>
      <c r="G303" s="3410"/>
      <c r="H303" s="3411"/>
      <c r="I303" s="3410"/>
      <c r="J303" s="3411"/>
      <c r="K303" s="3410"/>
      <c r="L303" s="3411"/>
      <c r="M303" s="3410"/>
      <c r="N303" s="3411"/>
      <c r="O303" s="3410"/>
      <c r="P303" s="3411"/>
      <c r="Q303" s="3410"/>
      <c r="R303" s="3412"/>
      <c r="T303" s="3460" t="s">
        <v>2470</v>
      </c>
      <c r="U303" s="3412"/>
      <c r="V303" s="3412"/>
      <c r="W303" s="3412"/>
      <c r="X303" s="3412"/>
      <c r="Y303" s="3412"/>
      <c r="Z303" s="3412"/>
      <c r="AA303" s="3412"/>
      <c r="AB303" s="3412"/>
      <c r="AC303" s="3412"/>
      <c r="AD303" s="3412"/>
      <c r="AE303" s="3412"/>
      <c r="AF303" s="3411"/>
      <c r="AG303" s="3414"/>
      <c r="AH303" s="3411"/>
      <c r="AI303" s="3411"/>
      <c r="AJ303" s="3411"/>
      <c r="AK303" s="3411"/>
      <c r="AL303" s="3411"/>
      <c r="AM303" s="3411"/>
      <c r="AN303" s="3411"/>
      <c r="AO303" s="3411"/>
      <c r="AP303" s="3414"/>
      <c r="AT303" s="3414"/>
      <c r="AU303" s="3414"/>
    </row>
    <row r="304" spans="1:47" s="3413" customFormat="1">
      <c r="A304" s="3448"/>
      <c r="B304" s="3473"/>
      <c r="C304" s="3450"/>
      <c r="D304" s="3451"/>
      <c r="E304" s="3450"/>
      <c r="F304" s="3451"/>
      <c r="G304" s="3450"/>
      <c r="H304" s="3451"/>
      <c r="I304" s="3450"/>
      <c r="J304" s="3451"/>
      <c r="K304" s="3450"/>
      <c r="L304" s="3451"/>
      <c r="M304" s="3450"/>
      <c r="N304" s="3451"/>
      <c r="O304" s="3450"/>
      <c r="P304" s="3451"/>
      <c r="Q304" s="3450"/>
      <c r="R304" s="3474"/>
      <c r="S304" s="3452"/>
      <c r="T304" s="3475"/>
      <c r="U304" s="3449"/>
      <c r="V304" s="3449"/>
      <c r="W304" s="3449"/>
      <c r="X304" s="3449"/>
      <c r="Y304" s="3449"/>
      <c r="Z304" s="3449"/>
      <c r="AA304" s="3449"/>
      <c r="AB304" s="3449"/>
      <c r="AC304" s="3449"/>
      <c r="AD304" s="3449"/>
      <c r="AE304" s="3449"/>
      <c r="AF304" s="3453"/>
      <c r="AG304" s="3414"/>
      <c r="AH304" s="3411"/>
      <c r="AI304" s="3411"/>
      <c r="AJ304" s="3411"/>
      <c r="AK304" s="3411"/>
      <c r="AL304" s="3411"/>
      <c r="AM304" s="3411"/>
      <c r="AN304" s="3411"/>
      <c r="AO304" s="3411"/>
      <c r="AP304" s="3414"/>
      <c r="AT304" s="3414"/>
      <c r="AU304" s="3414"/>
    </row>
    <row r="305" spans="1:47" s="3413" customFormat="1">
      <c r="A305" s="3448"/>
      <c r="B305" s="3473"/>
      <c r="C305" s="3450"/>
      <c r="D305" s="3451"/>
      <c r="E305" s="3450"/>
      <c r="F305" s="3451"/>
      <c r="G305" s="3450"/>
      <c r="H305" s="3451"/>
      <c r="I305" s="3450"/>
      <c r="J305" s="3451"/>
      <c r="K305" s="3450"/>
      <c r="L305" s="3451"/>
      <c r="M305" s="3450"/>
      <c r="N305" s="3451"/>
      <c r="O305" s="3450"/>
      <c r="P305" s="3451"/>
      <c r="Q305" s="3450"/>
      <c r="R305" s="3474"/>
      <c r="S305" s="3452"/>
      <c r="T305" s="3475"/>
      <c r="U305" s="3449"/>
      <c r="V305" s="3449"/>
      <c r="W305" s="3449"/>
      <c r="X305" s="3449"/>
      <c r="Y305" s="3449"/>
      <c r="Z305" s="3449"/>
      <c r="AA305" s="3449"/>
      <c r="AB305" s="3449"/>
      <c r="AC305" s="3449"/>
      <c r="AD305" s="3449"/>
      <c r="AE305" s="3449"/>
      <c r="AF305" s="3472" t="s">
        <v>2407</v>
      </c>
      <c r="AG305" s="3414"/>
      <c r="AH305" s="3411"/>
      <c r="AI305" s="3411"/>
      <c r="AJ305" s="3411"/>
      <c r="AK305" s="3411"/>
      <c r="AL305" s="3411"/>
      <c r="AM305" s="3411"/>
      <c r="AN305" s="3411"/>
      <c r="AO305" s="3411"/>
      <c r="AP305" s="3414"/>
      <c r="AT305" s="3414"/>
      <c r="AU305" s="3414"/>
    </row>
    <row r="306" spans="1:47" s="3413" customFormat="1">
      <c r="A306" s="3448"/>
      <c r="B306" s="3473"/>
      <c r="C306" s="3450"/>
      <c r="D306" s="3451"/>
      <c r="E306" s="3450"/>
      <c r="F306" s="3451"/>
      <c r="G306" s="3450"/>
      <c r="H306" s="3451"/>
      <c r="I306" s="3450"/>
      <c r="J306" s="3451"/>
      <c r="K306" s="3450"/>
      <c r="L306" s="3451"/>
      <c r="M306" s="3450"/>
      <c r="N306" s="3451"/>
      <c r="O306" s="3450"/>
      <c r="P306" s="3451"/>
      <c r="Q306" s="3450"/>
      <c r="R306" s="3474"/>
      <c r="S306" s="3452"/>
      <c r="T306" s="3475"/>
      <c r="U306" s="3449"/>
      <c r="V306" s="3449"/>
      <c r="W306" s="3449"/>
      <c r="X306" s="3449"/>
      <c r="Y306" s="3449"/>
      <c r="Z306" s="3449"/>
      <c r="AA306" s="3449"/>
      <c r="AB306" s="3449"/>
      <c r="AC306" s="3449"/>
      <c r="AD306" s="3449"/>
      <c r="AE306" s="3449"/>
      <c r="AF306" s="3476" t="s">
        <v>2409</v>
      </c>
      <c r="AG306" s="3414"/>
      <c r="AH306" s="3411"/>
      <c r="AI306" s="3411"/>
      <c r="AJ306" s="3411"/>
      <c r="AK306" s="3411"/>
      <c r="AL306" s="3411"/>
      <c r="AM306" s="3411"/>
      <c r="AN306" s="3411"/>
      <c r="AO306" s="3411"/>
      <c r="AP306" s="3414"/>
      <c r="AT306" s="3414"/>
      <c r="AU306" s="3414"/>
    </row>
    <row r="307" spans="1:47" s="3413" customFormat="1">
      <c r="A307" s="3448"/>
      <c r="B307" s="3473"/>
      <c r="C307" s="3450"/>
      <c r="D307" s="3451"/>
      <c r="E307" s="3450"/>
      <c r="F307" s="3451"/>
      <c r="G307" s="3450"/>
      <c r="H307" s="3451"/>
      <c r="I307" s="3450"/>
      <c r="J307" s="3451"/>
      <c r="K307" s="3450"/>
      <c r="L307" s="3451"/>
      <c r="M307" s="3450"/>
      <c r="N307" s="3451"/>
      <c r="O307" s="3450"/>
      <c r="P307" s="3451"/>
      <c r="Q307" s="3450"/>
      <c r="R307" s="3474"/>
      <c r="S307" s="3452"/>
      <c r="T307" s="3475"/>
      <c r="U307" s="3449"/>
      <c r="V307" s="3449"/>
      <c r="W307" s="3449"/>
      <c r="X307" s="3449"/>
      <c r="Y307" s="3449"/>
      <c r="Z307" s="3449"/>
      <c r="AA307" s="3449"/>
      <c r="AB307" s="3449"/>
      <c r="AC307" s="3449"/>
      <c r="AD307" s="3449"/>
      <c r="AE307" s="3449"/>
      <c r="AF307" s="3472" t="s">
        <v>2410</v>
      </c>
      <c r="AG307" s="3414"/>
      <c r="AH307" s="3411"/>
      <c r="AI307" s="3411"/>
      <c r="AJ307" s="3411"/>
      <c r="AK307" s="3411"/>
      <c r="AL307" s="3411"/>
      <c r="AM307" s="3411"/>
      <c r="AN307" s="3411"/>
      <c r="AO307" s="3411"/>
      <c r="AP307" s="3414"/>
      <c r="AT307" s="3414"/>
      <c r="AU307" s="3414"/>
    </row>
    <row r="308" spans="1:47" s="3452" customFormat="1">
      <c r="A308" s="3448"/>
      <c r="B308" s="3449"/>
      <c r="C308" s="3450"/>
      <c r="D308" s="3451"/>
      <c r="E308" s="3450"/>
      <c r="F308" s="3451"/>
      <c r="G308" s="3450"/>
      <c r="H308" s="3451"/>
      <c r="I308" s="3450"/>
      <c r="J308" s="3451"/>
      <c r="K308" s="3450"/>
      <c r="L308" s="3451"/>
      <c r="M308" s="3450"/>
      <c r="N308" s="3451"/>
      <c r="O308" s="3450"/>
      <c r="P308" s="3451"/>
      <c r="Q308" s="3450"/>
      <c r="R308" s="3451"/>
      <c r="T308" s="3453"/>
      <c r="U308" s="3453"/>
      <c r="V308" s="3453"/>
      <c r="W308" s="3453"/>
      <c r="X308" s="3453"/>
      <c r="Y308" s="3453"/>
      <c r="Z308" s="3453"/>
      <c r="AA308" s="3453"/>
      <c r="AB308" s="3453"/>
      <c r="AC308" s="3453"/>
      <c r="AD308" s="3453"/>
      <c r="AE308" s="3453"/>
      <c r="AF308" s="3453"/>
      <c r="AG308" s="3454"/>
      <c r="AH308" s="3453"/>
      <c r="AI308" s="3453"/>
      <c r="AJ308" s="3453"/>
      <c r="AK308" s="3453"/>
      <c r="AL308" s="3453"/>
      <c r="AM308" s="3453"/>
      <c r="AN308" s="3453"/>
      <c r="AO308" s="3453"/>
      <c r="AP308" s="3454"/>
      <c r="AT308" s="3454"/>
      <c r="AU308" s="3454"/>
    </row>
    <row r="309" spans="1:47" s="2783" customFormat="1">
      <c r="A309" s="3400"/>
      <c r="B309" s="3400"/>
      <c r="C309" s="3455"/>
      <c r="D309" s="3455"/>
      <c r="E309" s="3455"/>
      <c r="F309" s="3455"/>
      <c r="G309" s="3455"/>
      <c r="H309" s="3455"/>
      <c r="I309" s="3455"/>
      <c r="J309" s="3455"/>
      <c r="K309" s="3455"/>
      <c r="L309" s="3455"/>
      <c r="M309" s="3455"/>
      <c r="N309" s="3455"/>
      <c r="O309" s="3455"/>
      <c r="P309" s="3455"/>
      <c r="Q309" s="3455"/>
      <c r="R309" s="3455"/>
      <c r="T309" s="3456"/>
      <c r="U309" s="3456"/>
      <c r="V309" s="3456"/>
      <c r="W309" s="3456"/>
      <c r="X309" s="3464" t="s">
        <v>2472</v>
      </c>
      <c r="Y309" s="3456"/>
      <c r="Z309" s="3456"/>
      <c r="AA309" s="3456"/>
      <c r="AB309" s="3456"/>
      <c r="AC309" s="3456"/>
      <c r="AD309" s="3456"/>
      <c r="AE309" s="3456"/>
      <c r="AF309" s="3456"/>
      <c r="AG309" s="3457"/>
      <c r="AH309" s="3456"/>
      <c r="AI309" s="3415"/>
      <c r="AJ309" s="3415"/>
      <c r="AK309" s="3415"/>
      <c r="AL309" s="3415"/>
      <c r="AM309" s="3415"/>
      <c r="AN309" s="3415"/>
      <c r="AO309" s="3415"/>
      <c r="AT309" s="3458"/>
      <c r="AU309" s="3458"/>
    </row>
    <row r="310" spans="1:47" s="2783" customFormat="1" ht="13.15" customHeight="1">
      <c r="A310" s="3461"/>
      <c r="B310" s="3462"/>
      <c r="C310" s="3455"/>
      <c r="D310" s="3455"/>
      <c r="E310" s="3455"/>
      <c r="F310" s="3455"/>
      <c r="G310" s="3455"/>
      <c r="H310" s="3455"/>
      <c r="I310" s="3455"/>
      <c r="J310" s="3455"/>
      <c r="K310" s="3455"/>
      <c r="L310" s="3455"/>
      <c r="M310" s="3455"/>
      <c r="N310" s="3455"/>
      <c r="O310" s="3455"/>
      <c r="P310" s="3455"/>
      <c r="Q310" s="3455"/>
      <c r="R310" s="3455"/>
      <c r="T310" s="3400"/>
      <c r="U310" s="3400"/>
      <c r="V310" s="3459"/>
      <c r="W310" s="3400"/>
      <c r="X310" s="3464" t="s">
        <v>2404</v>
      </c>
      <c r="Y310" s="3408"/>
      <c r="Z310" s="3400"/>
      <c r="AA310" s="3400"/>
      <c r="AB310" s="3400"/>
      <c r="AC310" s="3459"/>
      <c r="AD310" s="3400"/>
      <c r="AE310" s="3400"/>
      <c r="AF310" s="2656"/>
      <c r="AG310" s="3457"/>
      <c r="AH310" s="3400"/>
      <c r="AI310" s="3400"/>
      <c r="AJ310" s="3400"/>
      <c r="AK310" s="3400"/>
      <c r="AL310" s="3400"/>
      <c r="AM310" s="3400"/>
      <c r="AN310" s="3400"/>
      <c r="AO310" s="3400"/>
      <c r="AT310" s="3458"/>
      <c r="AU310" s="3458"/>
    </row>
    <row r="311" spans="1:47">
      <c r="A311" s="2131"/>
      <c r="B311" s="1089"/>
      <c r="C311" s="2367"/>
      <c r="D311" s="2367"/>
      <c r="E311" s="2367"/>
      <c r="F311" s="2367"/>
      <c r="G311" s="2367"/>
      <c r="H311" s="2367"/>
      <c r="I311" s="2367"/>
      <c r="J311" s="2367"/>
      <c r="K311" s="2367"/>
      <c r="L311" s="2367"/>
      <c r="M311" s="2367"/>
      <c r="N311" s="2367"/>
      <c r="O311" s="2367"/>
      <c r="P311" s="2367"/>
      <c r="Q311" s="2367"/>
      <c r="R311" s="2367"/>
      <c r="T311" s="3400"/>
      <c r="U311" s="3400"/>
      <c r="V311" s="3400"/>
      <c r="W311" s="3400"/>
      <c r="X311" s="3400"/>
      <c r="Y311" s="2865"/>
      <c r="Z311" s="2865"/>
      <c r="AA311" s="2865"/>
      <c r="AB311" s="2865"/>
      <c r="AC311" s="2865"/>
      <c r="AD311" s="2865"/>
      <c r="AE311" s="2865"/>
      <c r="AF311" s="2149"/>
      <c r="AG311" s="2778"/>
      <c r="AH311" s="2865"/>
      <c r="AI311" s="2865"/>
      <c r="AJ311" s="2865"/>
      <c r="AK311" s="2865"/>
      <c r="AL311" s="2865"/>
      <c r="AM311" s="2865"/>
      <c r="AN311" s="2865"/>
      <c r="AO311" s="2865"/>
    </row>
    <row r="312" spans="1:47">
      <c r="A312" s="2131"/>
      <c r="B312" s="1089"/>
      <c r="C312" s="2367"/>
      <c r="D312" s="2367"/>
      <c r="E312" s="2367"/>
      <c r="F312" s="2367"/>
      <c r="G312" s="2367"/>
      <c r="H312" s="2367"/>
      <c r="I312" s="2367"/>
      <c r="J312" s="2367"/>
      <c r="K312" s="2367"/>
      <c r="L312" s="2367"/>
      <c r="M312" s="2367"/>
      <c r="N312" s="2367"/>
      <c r="O312" s="2367"/>
      <c r="P312" s="2367"/>
      <c r="Q312" s="2367"/>
      <c r="R312" s="2367"/>
      <c r="T312" s="3400"/>
      <c r="U312" s="3400"/>
      <c r="V312" s="3400"/>
      <c r="W312" s="3400"/>
      <c r="X312" s="3400"/>
      <c r="Y312" s="2865"/>
      <c r="Z312" s="2865"/>
      <c r="AA312" s="2865"/>
      <c r="AB312" s="2865"/>
      <c r="AC312" s="2865"/>
      <c r="AD312" s="2865"/>
      <c r="AE312" s="2865"/>
      <c r="AF312" s="2868"/>
      <c r="AH312" s="2865"/>
      <c r="AI312" s="2865"/>
      <c r="AJ312" s="2865"/>
      <c r="AK312" s="2865"/>
      <c r="AL312" s="2865"/>
      <c r="AM312" s="2865"/>
      <c r="AN312" s="2865"/>
      <c r="AO312" s="2865"/>
    </row>
    <row r="313" spans="1:47">
      <c r="A313" s="2131"/>
      <c r="B313" s="1089"/>
      <c r="C313" s="2367"/>
      <c r="D313" s="2367"/>
      <c r="E313" s="2367"/>
      <c r="F313" s="2367"/>
      <c r="G313" s="2367"/>
      <c r="H313" s="2367"/>
      <c r="I313" s="2367"/>
      <c r="J313" s="2367"/>
      <c r="K313" s="2367"/>
      <c r="L313" s="2367"/>
      <c r="M313" s="2367"/>
      <c r="N313" s="2367"/>
      <c r="O313" s="2367"/>
      <c r="P313" s="2367"/>
      <c r="Q313" s="2367"/>
      <c r="R313" s="2367"/>
      <c r="T313" s="3400"/>
      <c r="U313" s="3400"/>
      <c r="V313" s="3400"/>
      <c r="W313" s="3400"/>
      <c r="X313" s="3400"/>
      <c r="Y313" s="2865"/>
      <c r="Z313" s="2865"/>
      <c r="AA313" s="2865"/>
      <c r="AB313" s="2865"/>
      <c r="AC313" s="2865"/>
      <c r="AD313" s="2865"/>
      <c r="AE313" s="2865"/>
      <c r="AF313" s="2868"/>
      <c r="AH313" s="2865"/>
      <c r="AI313" s="2865"/>
      <c r="AJ313" s="2865"/>
      <c r="AK313" s="2865"/>
      <c r="AL313" s="2865"/>
      <c r="AM313" s="2865"/>
      <c r="AN313" s="2865"/>
      <c r="AO313" s="2865"/>
    </row>
    <row r="314" spans="1:47">
      <c r="A314" s="2131"/>
      <c r="B314" s="1089"/>
      <c r="C314" s="2367"/>
      <c r="D314" s="2367"/>
      <c r="E314" s="2367"/>
      <c r="F314" s="2367"/>
      <c r="G314" s="2367"/>
      <c r="H314" s="2367"/>
      <c r="I314" s="2367"/>
      <c r="J314" s="2367"/>
      <c r="K314" s="2367"/>
      <c r="L314" s="2367"/>
      <c r="M314" s="2367"/>
      <c r="N314" s="2367"/>
      <c r="O314" s="2367"/>
      <c r="P314" s="2367"/>
      <c r="Q314" s="2367"/>
      <c r="R314" s="2367"/>
      <c r="T314" s="3400"/>
      <c r="U314" s="3400"/>
      <c r="V314" s="3400"/>
      <c r="W314" s="3400"/>
      <c r="X314" s="3400"/>
      <c r="Y314" s="2865"/>
      <c r="Z314" s="2865"/>
      <c r="AA314" s="2865"/>
      <c r="AB314" s="2865"/>
      <c r="AC314" s="2865"/>
      <c r="AD314" s="2865"/>
      <c r="AE314" s="2865"/>
      <c r="AF314" s="2868"/>
      <c r="AH314" s="2865"/>
      <c r="AI314" s="2865"/>
      <c r="AJ314" s="2865"/>
      <c r="AK314" s="2865"/>
      <c r="AL314" s="2865"/>
      <c r="AM314" s="2865"/>
      <c r="AN314" s="2865"/>
      <c r="AO314" s="2865"/>
    </row>
    <row r="315" spans="1:47">
      <c r="A315" s="2131"/>
      <c r="B315" s="1089"/>
      <c r="C315" s="2367"/>
      <c r="D315" s="2367"/>
      <c r="E315" s="2367"/>
      <c r="F315" s="2367"/>
      <c r="G315" s="2367"/>
      <c r="H315" s="2367"/>
      <c r="I315" s="2367"/>
      <c r="J315" s="2367"/>
      <c r="K315" s="2367"/>
      <c r="L315" s="2367"/>
      <c r="M315" s="2367"/>
      <c r="N315" s="2367"/>
      <c r="O315" s="2367"/>
      <c r="P315" s="2367"/>
      <c r="Q315" s="2367"/>
      <c r="R315" s="2367"/>
      <c r="T315" s="3400"/>
      <c r="U315" s="3400"/>
      <c r="V315" s="3400"/>
      <c r="W315" s="3400"/>
      <c r="X315" s="3400"/>
      <c r="Y315" s="2865"/>
      <c r="Z315" s="2865"/>
      <c r="AA315" s="2865"/>
      <c r="AB315" s="2865"/>
      <c r="AC315" s="2865"/>
      <c r="AD315" s="2865"/>
      <c r="AE315" s="2865"/>
      <c r="AF315" s="2868"/>
      <c r="AH315" s="2865"/>
      <c r="AI315" s="2865"/>
      <c r="AJ315" s="2865"/>
      <c r="AK315" s="2865"/>
      <c r="AL315" s="2865"/>
      <c r="AM315" s="2865"/>
      <c r="AN315" s="2865"/>
      <c r="AO315" s="2865"/>
    </row>
    <row r="316" spans="1:47">
      <c r="A316" s="2131"/>
      <c r="B316" s="1089"/>
      <c r="C316" s="2367"/>
      <c r="D316" s="2367"/>
      <c r="E316" s="2367"/>
      <c r="F316" s="2367"/>
      <c r="G316" s="2367"/>
      <c r="H316" s="2367"/>
      <c r="I316" s="2367"/>
      <c r="J316" s="2367"/>
      <c r="K316" s="2367"/>
      <c r="L316" s="2367"/>
      <c r="M316" s="2367"/>
      <c r="N316" s="2367"/>
      <c r="O316" s="2367"/>
      <c r="P316" s="2367"/>
      <c r="Q316" s="2367"/>
      <c r="R316" s="2367"/>
      <c r="T316" s="3400"/>
      <c r="U316" s="3400"/>
      <c r="V316" s="3400"/>
      <c r="W316" s="3400"/>
      <c r="X316" s="3400"/>
      <c r="Y316" s="2865"/>
      <c r="Z316" s="2865"/>
      <c r="AA316" s="2865"/>
      <c r="AB316" s="2865"/>
      <c r="AC316" s="2865"/>
      <c r="AD316" s="2865"/>
      <c r="AE316" s="2865"/>
      <c r="AF316" s="2868"/>
      <c r="AH316" s="2865"/>
      <c r="AI316" s="2865"/>
      <c r="AJ316" s="2865"/>
      <c r="AK316" s="2865"/>
      <c r="AL316" s="2865"/>
      <c r="AM316" s="2865"/>
      <c r="AN316" s="2865"/>
      <c r="AO316" s="2865"/>
    </row>
    <row r="317" spans="1:47">
      <c r="A317" s="2131"/>
      <c r="B317" s="1089"/>
      <c r="C317" s="2367"/>
      <c r="D317" s="2367"/>
      <c r="E317" s="2367"/>
      <c r="F317" s="2367"/>
      <c r="G317" s="2367"/>
      <c r="H317" s="2367"/>
      <c r="I317" s="2367"/>
      <c r="J317" s="2367"/>
      <c r="K317" s="2367"/>
      <c r="L317" s="2367"/>
      <c r="M317" s="2367"/>
      <c r="N317" s="2367"/>
      <c r="O317" s="2367"/>
      <c r="P317" s="2367"/>
      <c r="Q317" s="2367"/>
      <c r="R317" s="2367"/>
      <c r="T317" s="3400"/>
      <c r="U317" s="3400"/>
      <c r="V317" s="3400"/>
      <c r="W317" s="3400"/>
      <c r="X317" s="3400"/>
      <c r="Y317" s="2865"/>
      <c r="Z317" s="2865"/>
      <c r="AA317" s="2865"/>
      <c r="AB317" s="2865"/>
      <c r="AC317" s="2865"/>
      <c r="AD317" s="2865"/>
      <c r="AE317" s="2865"/>
      <c r="AF317" s="2868"/>
      <c r="AH317" s="2865"/>
      <c r="AI317" s="2209"/>
      <c r="AJ317" s="2865"/>
      <c r="AK317" s="2865"/>
      <c r="AL317" s="2865"/>
      <c r="AM317" s="2865"/>
      <c r="AN317" s="2865"/>
      <c r="AO317" s="2865"/>
    </row>
    <row r="318" spans="1:47">
      <c r="A318" s="2131"/>
      <c r="B318" s="1089"/>
      <c r="C318" s="2367"/>
      <c r="D318" s="2367"/>
      <c r="E318" s="2367"/>
      <c r="F318" s="2367"/>
      <c r="G318" s="2367"/>
      <c r="H318" s="2367"/>
      <c r="I318" s="2367"/>
      <c r="J318" s="2367"/>
      <c r="K318" s="2367"/>
      <c r="L318" s="2367"/>
      <c r="M318" s="2367"/>
      <c r="N318" s="2367"/>
      <c r="O318" s="2367"/>
      <c r="P318" s="2367"/>
      <c r="Q318" s="2367"/>
      <c r="R318" s="2367"/>
      <c r="T318" s="3400"/>
      <c r="U318" s="3400"/>
      <c r="V318" s="3400"/>
      <c r="W318" s="3400"/>
      <c r="X318" s="3400"/>
      <c r="Y318" s="2865"/>
      <c r="Z318" s="2865"/>
      <c r="AA318" s="2865"/>
      <c r="AB318" s="2865"/>
      <c r="AC318" s="2865"/>
      <c r="AD318" s="2865"/>
      <c r="AE318" s="2865"/>
      <c r="AF318" s="2868"/>
      <c r="AH318" s="2865"/>
      <c r="AI318" s="2865"/>
      <c r="AJ318" s="2865"/>
      <c r="AK318" s="2865"/>
      <c r="AL318" s="2865"/>
      <c r="AM318" s="2865"/>
      <c r="AN318" s="2865"/>
      <c r="AO318" s="2865"/>
    </row>
    <row r="319" spans="1:47">
      <c r="A319" s="2131"/>
      <c r="B319" s="1089"/>
      <c r="C319" s="2367"/>
      <c r="D319" s="2367"/>
      <c r="E319" s="2367"/>
      <c r="F319" s="2367"/>
      <c r="G319" s="2367"/>
      <c r="H319" s="2367"/>
      <c r="I319" s="2367"/>
      <c r="J319" s="2367"/>
      <c r="K319" s="2367"/>
      <c r="L319" s="2367"/>
      <c r="M319" s="2367"/>
      <c r="N319" s="2367"/>
      <c r="O319" s="2367"/>
      <c r="P319" s="2367"/>
      <c r="Q319" s="2367"/>
      <c r="R319" s="2367"/>
      <c r="T319" s="3400"/>
      <c r="U319" s="3400"/>
      <c r="V319" s="3400"/>
      <c r="W319" s="3400"/>
      <c r="X319" s="3400"/>
      <c r="Y319" s="2865"/>
      <c r="Z319" s="2865"/>
      <c r="AA319" s="2865"/>
      <c r="AB319" s="2865"/>
      <c r="AC319" s="2865"/>
      <c r="AD319" s="2865"/>
      <c r="AE319" s="2865"/>
      <c r="AF319" s="2868"/>
      <c r="AH319" s="2865"/>
      <c r="AI319" s="2865"/>
      <c r="AJ319" s="2865"/>
      <c r="AK319" s="2865"/>
      <c r="AL319" s="2865"/>
      <c r="AM319" s="2865"/>
      <c r="AN319" s="2865"/>
      <c r="AO319" s="2865"/>
    </row>
    <row r="320" spans="1:47">
      <c r="A320" s="2131"/>
      <c r="B320" s="1089"/>
      <c r="C320" s="2367"/>
      <c r="D320" s="2367"/>
      <c r="E320" s="2367"/>
      <c r="F320" s="2367"/>
      <c r="G320" s="2367"/>
      <c r="H320" s="2367"/>
      <c r="I320" s="2367"/>
      <c r="J320" s="2367"/>
      <c r="K320" s="2367"/>
      <c r="L320" s="2367"/>
      <c r="M320" s="2367"/>
      <c r="N320" s="2367"/>
      <c r="O320" s="2367"/>
      <c r="P320" s="2367"/>
      <c r="Q320" s="2367"/>
      <c r="R320" s="2367"/>
      <c r="T320" s="3400"/>
      <c r="U320" s="3400"/>
      <c r="V320" s="3400"/>
      <c r="W320" s="3400"/>
      <c r="X320" s="3400"/>
      <c r="Y320" s="2865"/>
      <c r="Z320" s="2865"/>
      <c r="AA320" s="2865"/>
      <c r="AB320" s="2865"/>
      <c r="AC320" s="2865"/>
      <c r="AD320" s="2865"/>
      <c r="AE320" s="2865"/>
      <c r="AF320" s="2868"/>
      <c r="AH320" s="2865"/>
      <c r="AI320" s="2865"/>
      <c r="AJ320" s="2865"/>
      <c r="AK320" s="2865"/>
      <c r="AL320" s="2865"/>
      <c r="AM320" s="2865"/>
      <c r="AN320" s="2865"/>
      <c r="AO320" s="2865"/>
    </row>
    <row r="321" spans="1:41">
      <c r="A321" s="2131"/>
      <c r="B321" s="1089"/>
      <c r="C321" s="2367"/>
      <c r="D321" s="2367"/>
      <c r="E321" s="2367"/>
      <c r="F321" s="2367"/>
      <c r="G321" s="2367"/>
      <c r="H321" s="2367"/>
      <c r="I321" s="2367"/>
      <c r="J321" s="2367"/>
      <c r="K321" s="2367"/>
      <c r="L321" s="2367"/>
      <c r="M321" s="2367"/>
      <c r="N321" s="2367"/>
      <c r="O321" s="2367"/>
      <c r="P321" s="2367"/>
      <c r="Q321" s="2367"/>
      <c r="R321" s="2367"/>
      <c r="T321" s="3400"/>
      <c r="U321" s="3400"/>
      <c r="V321" s="3400"/>
      <c r="W321" s="3400"/>
      <c r="X321" s="3400"/>
      <c r="Y321" s="2865"/>
      <c r="Z321" s="2865"/>
      <c r="AA321" s="2865"/>
      <c r="AB321" s="2865"/>
      <c r="AC321" s="2865"/>
      <c r="AD321" s="2865"/>
      <c r="AE321" s="2865"/>
      <c r="AF321" s="2868"/>
      <c r="AH321" s="2865"/>
      <c r="AI321" s="2865"/>
      <c r="AJ321" s="2865"/>
      <c r="AK321" s="2865"/>
      <c r="AL321" s="2865"/>
      <c r="AM321" s="2865"/>
      <c r="AN321" s="2865"/>
      <c r="AO321" s="2865"/>
    </row>
    <row r="322" spans="1:41">
      <c r="A322" s="2131"/>
      <c r="B322" s="1089"/>
      <c r="C322" s="2367"/>
      <c r="D322" s="2367"/>
      <c r="E322" s="2367"/>
      <c r="F322" s="2367"/>
      <c r="G322" s="2367"/>
      <c r="H322" s="2367"/>
      <c r="I322" s="2367"/>
      <c r="J322" s="2367"/>
      <c r="K322" s="2367"/>
      <c r="L322" s="2367"/>
      <c r="M322" s="2367"/>
      <c r="N322" s="2367"/>
      <c r="O322" s="2367"/>
      <c r="P322" s="2367"/>
      <c r="Q322" s="2367"/>
      <c r="R322" s="2367"/>
      <c r="T322" s="3400"/>
      <c r="U322" s="3400"/>
      <c r="V322" s="3400"/>
      <c r="W322" s="3400"/>
      <c r="X322" s="3400"/>
      <c r="Y322" s="2865"/>
      <c r="Z322" s="2865"/>
      <c r="AA322" s="2865"/>
      <c r="AB322" s="2865"/>
      <c r="AC322" s="2865"/>
      <c r="AD322" s="2865"/>
      <c r="AE322" s="2865"/>
      <c r="AF322" s="2868"/>
      <c r="AH322" s="2865"/>
      <c r="AI322" s="2865"/>
      <c r="AJ322" s="2865"/>
      <c r="AK322" s="2865"/>
      <c r="AL322" s="2865"/>
      <c r="AM322" s="2865"/>
      <c r="AN322" s="2865"/>
      <c r="AO322" s="2865"/>
    </row>
    <row r="323" spans="1:41">
      <c r="A323" s="2131"/>
      <c r="B323" s="1089"/>
      <c r="C323" s="2367"/>
      <c r="D323" s="2367"/>
      <c r="E323" s="2367"/>
      <c r="F323" s="2367"/>
      <c r="G323" s="2367"/>
      <c r="H323" s="2367"/>
      <c r="I323" s="2367"/>
      <c r="J323" s="2367"/>
      <c r="K323" s="2367"/>
      <c r="L323" s="2367"/>
      <c r="M323" s="2367"/>
      <c r="N323" s="2367"/>
      <c r="O323" s="2367"/>
      <c r="P323" s="2367"/>
      <c r="Q323" s="2367"/>
      <c r="R323" s="2367"/>
      <c r="T323" s="3400"/>
      <c r="U323" s="3400"/>
      <c r="V323" s="3400"/>
      <c r="W323" s="3400"/>
      <c r="X323" s="3400"/>
      <c r="Y323" s="2865"/>
      <c r="Z323" s="2865"/>
      <c r="AA323" s="2865"/>
      <c r="AB323" s="2865"/>
      <c r="AC323" s="2865"/>
      <c r="AD323" s="2865"/>
      <c r="AE323" s="2865"/>
      <c r="AF323" s="2868"/>
      <c r="AH323" s="2865"/>
      <c r="AI323" s="2865"/>
      <c r="AJ323" s="2865"/>
      <c r="AK323" s="2865"/>
      <c r="AL323" s="2865"/>
      <c r="AM323" s="2865"/>
      <c r="AN323" s="2865"/>
      <c r="AO323" s="2865"/>
    </row>
    <row r="324" spans="1:41">
      <c r="A324" s="2131"/>
      <c r="B324" s="1089"/>
      <c r="C324" s="2367"/>
      <c r="D324" s="2367"/>
      <c r="E324" s="2367"/>
      <c r="F324" s="2367"/>
      <c r="G324" s="2367"/>
      <c r="H324" s="2367"/>
      <c r="I324" s="2367"/>
      <c r="J324" s="2367"/>
      <c r="K324" s="2367"/>
      <c r="L324" s="2367"/>
      <c r="M324" s="2367"/>
      <c r="N324" s="2367"/>
      <c r="O324" s="2367"/>
      <c r="P324" s="2367"/>
      <c r="Q324" s="2367"/>
      <c r="R324" s="2367"/>
      <c r="T324" s="3400"/>
      <c r="U324" s="3400"/>
      <c r="V324" s="3400"/>
      <c r="W324" s="3400"/>
      <c r="X324" s="92"/>
      <c r="Y324" s="2865"/>
      <c r="Z324" s="2865"/>
      <c r="AA324" s="2865"/>
      <c r="AB324" s="2865"/>
      <c r="AC324" s="2865"/>
      <c r="AD324" s="2865"/>
      <c r="AE324" s="2865"/>
      <c r="AF324" s="2868"/>
      <c r="AH324" s="2865"/>
      <c r="AI324" s="2865"/>
      <c r="AJ324" s="2865"/>
      <c r="AK324" s="92"/>
      <c r="AL324" s="92"/>
      <c r="AM324" s="92"/>
      <c r="AN324" s="92"/>
      <c r="AO324" s="92"/>
    </row>
    <row r="325" spans="1:41">
      <c r="A325" s="2131"/>
      <c r="B325" s="1089"/>
      <c r="C325" s="2367"/>
      <c r="D325" s="2367"/>
      <c r="E325" s="2367"/>
      <c r="F325" s="2367"/>
      <c r="G325" s="2367"/>
      <c r="H325" s="2367"/>
      <c r="I325" s="2367"/>
      <c r="J325" s="2367"/>
      <c r="K325" s="2367"/>
      <c r="L325" s="2367"/>
      <c r="M325" s="2367"/>
      <c r="N325" s="2367"/>
      <c r="O325" s="2367"/>
      <c r="P325" s="2367"/>
      <c r="Q325" s="2367"/>
      <c r="R325" s="2367"/>
      <c r="T325" s="3400"/>
      <c r="U325" s="3400"/>
      <c r="V325" s="3400"/>
      <c r="W325" s="3400"/>
      <c r="X325" s="3464" t="s">
        <v>2473</v>
      </c>
      <c r="Y325" s="2865"/>
      <c r="Z325" s="2865"/>
      <c r="AA325" s="2865"/>
      <c r="AB325" s="2865"/>
      <c r="AC325" s="2865"/>
      <c r="AD325" s="2865"/>
      <c r="AE325" s="2865"/>
      <c r="AF325" s="2868"/>
      <c r="AH325" s="2865"/>
      <c r="AI325" s="3400" t="s">
        <v>1074</v>
      </c>
      <c r="AJ325" s="3484" t="s">
        <v>2408</v>
      </c>
      <c r="AK325" s="3484" t="s">
        <v>363</v>
      </c>
      <c r="AL325" s="3468" t="s">
        <v>1190</v>
      </c>
      <c r="AM325" s="92"/>
      <c r="AN325" s="92"/>
      <c r="AO325" s="92"/>
    </row>
    <row r="326" spans="1:41">
      <c r="A326" s="2131"/>
      <c r="B326" s="1089"/>
      <c r="C326" s="2367"/>
      <c r="D326" s="2367"/>
      <c r="E326" s="2367"/>
      <c r="F326" s="2367"/>
      <c r="G326" s="2367"/>
      <c r="H326" s="2367"/>
      <c r="I326" s="2367"/>
      <c r="J326" s="2367"/>
      <c r="K326" s="2367"/>
      <c r="L326" s="2367"/>
      <c r="M326" s="2367"/>
      <c r="N326" s="2367"/>
      <c r="O326" s="2367"/>
      <c r="P326" s="2367"/>
      <c r="Q326" s="2367"/>
      <c r="R326" s="2367"/>
      <c r="T326" s="3400"/>
      <c r="U326" s="3400"/>
      <c r="V326" s="3400"/>
      <c r="W326" s="3400"/>
      <c r="X326" s="3464" t="s">
        <v>2405</v>
      </c>
      <c r="Y326" s="3407"/>
      <c r="Z326" s="3407"/>
      <c r="AA326" s="3407"/>
      <c r="AB326" s="3407"/>
      <c r="AC326" s="3407"/>
      <c r="AD326" s="3407"/>
      <c r="AE326" s="3407"/>
      <c r="AF326" s="3398"/>
      <c r="AH326" s="3407"/>
      <c r="AI326" s="3477" t="s">
        <v>287</v>
      </c>
      <c r="AJ326" s="3478">
        <f t="shared" ref="AJ326:AJ331" si="21">VLOOKUP(AI326,$B$14:$K$35,8,FALSE)</f>
        <v>0.18570292678335293</v>
      </c>
      <c r="AK326" s="3478">
        <f t="shared" ref="AK326:AK331" si="22">VLOOKUP(AI326,$B$14:$K$35,10,FALSE)</f>
        <v>0.34197601038246805</v>
      </c>
      <c r="AL326" s="3469">
        <f>1/(1+PROFILES!G314)</f>
        <v>0.81065000277549282</v>
      </c>
      <c r="AM326" s="92"/>
      <c r="AN326" s="92"/>
      <c r="AO326" s="92"/>
    </row>
    <row r="327" spans="1:41">
      <c r="A327" s="2131"/>
      <c r="B327" s="1089"/>
      <c r="C327" s="2367"/>
      <c r="D327" s="2367"/>
      <c r="E327" s="2367"/>
      <c r="F327" s="2367"/>
      <c r="G327" s="2367"/>
      <c r="H327" s="2367"/>
      <c r="I327" s="2367"/>
      <c r="J327" s="2367"/>
      <c r="K327" s="2367"/>
      <c r="L327" s="2367"/>
      <c r="M327" s="2367"/>
      <c r="N327" s="2367"/>
      <c r="O327" s="2367"/>
      <c r="P327" s="2367"/>
      <c r="Q327" s="2367"/>
      <c r="R327" s="2367"/>
      <c r="T327" s="3400"/>
      <c r="U327" s="3400"/>
      <c r="V327" s="3400"/>
      <c r="W327" s="3400"/>
      <c r="X327" s="3400"/>
      <c r="Y327" s="3407"/>
      <c r="Z327" s="3407"/>
      <c r="AA327" s="3407"/>
      <c r="AB327" s="3407"/>
      <c r="AC327" s="3407"/>
      <c r="AD327" s="3407"/>
      <c r="AE327" s="3407"/>
      <c r="AF327" s="3398"/>
      <c r="AH327" s="3407"/>
      <c r="AI327" s="3400" t="s">
        <v>39</v>
      </c>
      <c r="AJ327" s="3479">
        <f t="shared" si="21"/>
        <v>0.45093517146474416</v>
      </c>
      <c r="AK327" s="3479">
        <f t="shared" si="22"/>
        <v>0.43916945384982109</v>
      </c>
      <c r="AL327" s="3470">
        <f>1/(1+PROFILES!G315)</f>
        <v>0.77083266024600161</v>
      </c>
      <c r="AM327" s="92"/>
      <c r="AN327" s="92"/>
      <c r="AO327" s="92"/>
    </row>
    <row r="328" spans="1:41">
      <c r="A328" s="2131"/>
      <c r="B328" s="1089"/>
      <c r="C328" s="2367"/>
      <c r="D328" s="2367"/>
      <c r="E328" s="2367"/>
      <c r="F328" s="2367"/>
      <c r="G328" s="2367"/>
      <c r="H328" s="2367"/>
      <c r="I328" s="2367"/>
      <c r="J328" s="2367"/>
      <c r="K328" s="2367"/>
      <c r="L328" s="2367"/>
      <c r="M328" s="2367"/>
      <c r="N328" s="2367"/>
      <c r="O328" s="2367"/>
      <c r="P328" s="2367"/>
      <c r="Q328" s="2367"/>
      <c r="R328" s="2367"/>
      <c r="T328" s="3400"/>
      <c r="U328" s="3400"/>
      <c r="V328" s="3400"/>
      <c r="W328" s="3400"/>
      <c r="X328" s="3400"/>
      <c r="Y328" s="3407"/>
      <c r="Z328" s="3407"/>
      <c r="AA328" s="3407"/>
      <c r="AB328" s="3407"/>
      <c r="AC328" s="3407"/>
      <c r="AD328" s="3407"/>
      <c r="AE328" s="3407"/>
      <c r="AF328" s="3398"/>
      <c r="AH328" s="3407"/>
      <c r="AI328" s="3400" t="s">
        <v>284</v>
      </c>
      <c r="AJ328" s="3479">
        <f t="shared" si="21"/>
        <v>0.68457317243488636</v>
      </c>
      <c r="AK328" s="3479">
        <f t="shared" si="22"/>
        <v>0.75672107111582532</v>
      </c>
      <c r="AL328" s="3470">
        <f>1/(1+PROFILES!G316)</f>
        <v>0.74945541784413394</v>
      </c>
      <c r="AM328" s="92"/>
      <c r="AN328" s="92"/>
      <c r="AO328" s="92"/>
    </row>
    <row r="329" spans="1:41">
      <c r="A329" s="2131"/>
      <c r="B329" s="1089"/>
      <c r="C329" s="2367"/>
      <c r="D329" s="2367"/>
      <c r="E329" s="2367"/>
      <c r="F329" s="2367"/>
      <c r="G329" s="2367"/>
      <c r="H329" s="2367"/>
      <c r="I329" s="2367"/>
      <c r="J329" s="2367"/>
      <c r="K329" s="2367"/>
      <c r="L329" s="2367"/>
      <c r="M329" s="2367"/>
      <c r="N329" s="2367"/>
      <c r="O329" s="2367"/>
      <c r="P329" s="2367"/>
      <c r="Q329" s="2367"/>
      <c r="R329" s="2367"/>
      <c r="T329" s="3400"/>
      <c r="U329" s="3400"/>
      <c r="V329" s="3400"/>
      <c r="W329" s="3400"/>
      <c r="X329" s="3400"/>
      <c r="Y329" s="3407"/>
      <c r="Z329" s="3407"/>
      <c r="AA329" s="3407"/>
      <c r="AB329" s="3407"/>
      <c r="AC329" s="3407"/>
      <c r="AD329" s="3407"/>
      <c r="AE329" s="3407"/>
      <c r="AF329" s="3398"/>
      <c r="AH329" s="3407"/>
      <c r="AI329" s="3400" t="s">
        <v>44</v>
      </c>
      <c r="AJ329" s="3479">
        <f t="shared" si="21"/>
        <v>0.5495689942142129</v>
      </c>
      <c r="AK329" s="3479">
        <f t="shared" si="22"/>
        <v>0.63323863537070213</v>
      </c>
      <c r="AL329" s="3470">
        <f>1/(1+PROFILES!G318)</f>
        <v>0.73218313755995457</v>
      </c>
      <c r="AM329" s="92"/>
      <c r="AN329" s="92"/>
      <c r="AO329" s="92"/>
    </row>
    <row r="330" spans="1:41">
      <c r="A330" s="2131"/>
      <c r="B330" s="1089"/>
      <c r="C330" s="2367"/>
      <c r="D330" s="2367"/>
      <c r="E330" s="2367"/>
      <c r="F330" s="2367"/>
      <c r="G330" s="2367"/>
      <c r="H330" s="2367"/>
      <c r="I330" s="2367"/>
      <c r="J330" s="2367"/>
      <c r="K330" s="2367"/>
      <c r="L330" s="2367"/>
      <c r="M330" s="2367"/>
      <c r="N330" s="2367"/>
      <c r="O330" s="2367"/>
      <c r="P330" s="2367"/>
      <c r="Q330" s="2367"/>
      <c r="R330" s="2367"/>
      <c r="T330" s="3400"/>
      <c r="U330" s="3400"/>
      <c r="V330" s="3400"/>
      <c r="W330" s="3400"/>
      <c r="X330" s="3400"/>
      <c r="Y330" s="3407"/>
      <c r="Z330" s="3407"/>
      <c r="AA330" s="3407"/>
      <c r="AB330" s="3407"/>
      <c r="AC330" s="3407"/>
      <c r="AD330" s="3407"/>
      <c r="AE330" s="3407"/>
      <c r="AF330" s="3398"/>
      <c r="AH330" s="3407"/>
      <c r="AI330" s="3400" t="s">
        <v>288</v>
      </c>
      <c r="AJ330" s="3479">
        <f t="shared" si="21"/>
        <v>0.31922230141848357</v>
      </c>
      <c r="AK330" s="3479">
        <f t="shared" si="22"/>
        <v>0.30362227391248225</v>
      </c>
      <c r="AL330" s="3470">
        <f>1/(1+PROFILES!G319)</f>
        <v>0.67090657137033782</v>
      </c>
      <c r="AM330" s="92"/>
      <c r="AN330" s="92"/>
      <c r="AO330" s="92"/>
    </row>
    <row r="331" spans="1:41">
      <c r="A331" s="2131"/>
      <c r="B331" s="1089"/>
      <c r="C331" s="2367"/>
      <c r="D331" s="2367"/>
      <c r="E331" s="2367"/>
      <c r="F331" s="2367"/>
      <c r="G331" s="2367"/>
      <c r="H331" s="2367"/>
      <c r="I331" s="2367"/>
      <c r="J331" s="2367"/>
      <c r="K331" s="2367"/>
      <c r="L331" s="2367"/>
      <c r="M331" s="2367"/>
      <c r="N331" s="2367"/>
      <c r="O331" s="2367"/>
      <c r="P331" s="2367"/>
      <c r="Q331" s="2367"/>
      <c r="R331" s="2367"/>
      <c r="T331" s="3400"/>
      <c r="U331" s="3400"/>
      <c r="V331" s="3400"/>
      <c r="W331" s="3400"/>
      <c r="X331" s="3400"/>
      <c r="Y331" s="3407"/>
      <c r="Z331" s="3407"/>
      <c r="AA331" s="3407"/>
      <c r="AB331" s="3407"/>
      <c r="AC331" s="3407"/>
      <c r="AD331" s="3407"/>
      <c r="AE331" s="3407"/>
      <c r="AF331" s="3398"/>
      <c r="AH331" s="3407"/>
      <c r="AI331" s="3400" t="s">
        <v>276</v>
      </c>
      <c r="AJ331" s="3479">
        <f t="shared" si="21"/>
        <v>0.49698573886957192</v>
      </c>
      <c r="AK331" s="3479">
        <f t="shared" si="22"/>
        <v>0.62319136029119382</v>
      </c>
      <c r="AL331" s="3470">
        <f>1/(1+PROFILES!G320)</f>
        <v>0.66323394891963694</v>
      </c>
      <c r="AM331" s="92"/>
      <c r="AN331" s="92"/>
      <c r="AO331" s="92"/>
    </row>
    <row r="332" spans="1:41">
      <c r="A332" s="2131"/>
      <c r="B332" s="1089"/>
      <c r="C332" s="2367"/>
      <c r="D332" s="2367"/>
      <c r="E332" s="2367"/>
      <c r="F332" s="2367"/>
      <c r="G332" s="2367"/>
      <c r="H332" s="2367"/>
      <c r="I332" s="2367"/>
      <c r="J332" s="2367"/>
      <c r="K332" s="2367"/>
      <c r="L332" s="2367"/>
      <c r="M332" s="2367"/>
      <c r="N332" s="2367"/>
      <c r="O332" s="2367"/>
      <c r="P332" s="2367"/>
      <c r="Q332" s="2367"/>
      <c r="R332" s="2367"/>
      <c r="T332" s="3400"/>
      <c r="U332" s="3400"/>
      <c r="V332" s="3400"/>
      <c r="W332" s="3400"/>
      <c r="X332" s="3400"/>
      <c r="Y332" s="3407"/>
      <c r="Z332" s="3407"/>
      <c r="AA332" s="3407"/>
      <c r="AB332" s="3407"/>
      <c r="AC332" s="3407"/>
      <c r="AD332" s="3407"/>
      <c r="AE332" s="3407"/>
      <c r="AF332" s="3398"/>
      <c r="AH332" s="3407"/>
      <c r="AI332" s="3482" t="s">
        <v>1006</v>
      </c>
      <c r="AJ332" s="3480">
        <f>AVERAGE(AJ326:AJ331)</f>
        <v>0.44783138419754193</v>
      </c>
      <c r="AK332" s="3480">
        <f>AVERAGE(AK326:AK331)</f>
        <v>0.51631980082041551</v>
      </c>
      <c r="AL332" s="3471"/>
      <c r="AM332" s="92"/>
      <c r="AN332" s="92"/>
      <c r="AO332" s="92"/>
    </row>
    <row r="333" spans="1:41">
      <c r="A333" s="2131"/>
      <c r="B333" s="1089"/>
      <c r="C333" s="2367"/>
      <c r="D333" s="2367"/>
      <c r="E333" s="2367"/>
      <c r="F333" s="2367"/>
      <c r="G333" s="2367"/>
      <c r="H333" s="2367"/>
      <c r="I333" s="2367"/>
      <c r="J333" s="2367"/>
      <c r="K333" s="2367"/>
      <c r="L333" s="2367"/>
      <c r="M333" s="2367"/>
      <c r="N333" s="2367"/>
      <c r="O333" s="2367"/>
      <c r="P333" s="2367"/>
      <c r="Q333" s="2367"/>
      <c r="R333" s="2367"/>
      <c r="T333" s="3400"/>
      <c r="U333" s="3400"/>
      <c r="V333" s="3400"/>
      <c r="W333" s="3400"/>
      <c r="X333" s="3400"/>
      <c r="Y333" s="3407"/>
      <c r="Z333" s="3407"/>
      <c r="AA333" s="3407"/>
      <c r="AB333" s="3407"/>
      <c r="AC333" s="3407"/>
      <c r="AD333" s="3407"/>
      <c r="AE333" s="3407"/>
      <c r="AF333" s="3398"/>
      <c r="AH333" s="3407"/>
      <c r="AI333" s="3483" t="s">
        <v>1908</v>
      </c>
      <c r="AJ333" s="3481">
        <f>SUMPRODUCT(AJ326:AJ331,$AL$326:$AL$331)/$AL$333</f>
        <v>0.44513247780448956</v>
      </c>
      <c r="AK333" s="3481">
        <f>SUMPRODUCT(AK326:AK331,$AL$326:$AL$331)/$AL$333</f>
        <v>0.51476312980450833</v>
      </c>
      <c r="AL333" s="3467">
        <f>SUM(AL326:AL331)</f>
        <v>4.3972617387155575</v>
      </c>
      <c r="AM333" s="92"/>
      <c r="AN333" s="92"/>
      <c r="AO333" s="3407"/>
    </row>
    <row r="334" spans="1:41">
      <c r="A334" s="2131"/>
      <c r="B334" s="1089"/>
      <c r="C334" s="2367"/>
      <c r="D334" s="2367"/>
      <c r="E334" s="2367"/>
      <c r="F334" s="2367"/>
      <c r="G334" s="2367"/>
      <c r="H334" s="2367"/>
      <c r="I334" s="2367"/>
      <c r="J334" s="2367"/>
      <c r="K334" s="2367"/>
      <c r="L334" s="2367"/>
      <c r="M334" s="2367"/>
      <c r="N334" s="2367"/>
      <c r="O334" s="2367"/>
      <c r="P334" s="2367"/>
      <c r="Q334" s="2367"/>
      <c r="R334" s="2367"/>
      <c r="T334" s="3400"/>
      <c r="U334" s="3400"/>
      <c r="V334" s="3400"/>
      <c r="W334" s="3400"/>
      <c r="X334" s="3400"/>
      <c r="Y334" s="3407"/>
      <c r="Z334" s="3407"/>
      <c r="AA334" s="3407"/>
      <c r="AB334" s="3407"/>
      <c r="AC334" s="3407"/>
      <c r="AD334" s="3407"/>
      <c r="AE334" s="3407"/>
      <c r="AF334" s="3398"/>
      <c r="AH334" s="3407"/>
      <c r="AI334" s="3407"/>
      <c r="AJ334" s="3407"/>
      <c r="AK334" s="3407"/>
      <c r="AL334" s="3407"/>
      <c r="AM334" s="3407"/>
      <c r="AN334" s="3407"/>
      <c r="AO334" s="3407"/>
    </row>
    <row r="335" spans="1:41">
      <c r="A335" s="2131"/>
      <c r="B335" s="1089"/>
      <c r="C335" s="2367"/>
      <c r="D335" s="2367"/>
      <c r="E335" s="2367"/>
      <c r="F335" s="2367"/>
      <c r="G335" s="2367"/>
      <c r="H335" s="2367"/>
      <c r="I335" s="2367"/>
      <c r="J335" s="2367"/>
      <c r="K335" s="2367"/>
      <c r="L335" s="2367"/>
      <c r="M335" s="2367"/>
      <c r="N335" s="2367"/>
      <c r="O335" s="2367"/>
      <c r="P335" s="2367"/>
      <c r="Q335" s="2367"/>
      <c r="R335" s="2367"/>
      <c r="T335" s="3400"/>
      <c r="U335" s="3400"/>
      <c r="V335" s="3400"/>
      <c r="W335" s="3400"/>
      <c r="X335" s="3400"/>
      <c r="Y335" s="3407"/>
      <c r="Z335" s="3407"/>
      <c r="AA335" s="3407"/>
      <c r="AB335" s="3407"/>
      <c r="AC335" s="3407"/>
      <c r="AD335" s="3407"/>
      <c r="AE335" s="3407"/>
      <c r="AF335" s="3398"/>
      <c r="AH335" s="2399"/>
      <c r="AI335" s="2399"/>
      <c r="AJ335" s="2399"/>
      <c r="AK335" s="2399"/>
      <c r="AL335" s="2399"/>
      <c r="AM335" s="2399"/>
      <c r="AN335" s="2399"/>
      <c r="AO335" s="2399"/>
    </row>
    <row r="336" spans="1:41">
      <c r="A336" s="2131"/>
      <c r="B336" s="1089"/>
      <c r="C336" s="2367"/>
      <c r="D336" s="2367"/>
      <c r="E336" s="2367"/>
      <c r="F336" s="2367"/>
      <c r="G336" s="2367"/>
      <c r="H336" s="2367"/>
      <c r="I336" s="2367"/>
      <c r="J336" s="2367"/>
      <c r="K336" s="2367"/>
      <c r="L336" s="2367"/>
      <c r="M336" s="2367"/>
      <c r="N336" s="2367"/>
      <c r="O336" s="2367"/>
      <c r="P336" s="2367"/>
      <c r="Q336" s="2367"/>
      <c r="R336" s="2367"/>
      <c r="T336" s="3400"/>
      <c r="U336" s="3400"/>
      <c r="V336" s="3400"/>
      <c r="W336" s="3400"/>
      <c r="X336" s="3400"/>
      <c r="Y336" s="3407"/>
      <c r="Z336" s="3407"/>
      <c r="AA336" s="3407"/>
      <c r="AB336" s="3407"/>
      <c r="AC336" s="3407"/>
      <c r="AD336" s="3407"/>
      <c r="AE336" s="3407"/>
      <c r="AF336" s="3398"/>
      <c r="AH336" s="2399"/>
      <c r="AI336" s="2399"/>
      <c r="AJ336" s="2399"/>
      <c r="AK336" s="2399"/>
      <c r="AL336" s="2399"/>
      <c r="AM336" s="2399"/>
      <c r="AN336" s="2399"/>
      <c r="AO336" s="2399"/>
    </row>
    <row r="337" spans="1:41">
      <c r="A337" s="2131"/>
      <c r="B337" s="1089"/>
      <c r="C337" s="2367"/>
      <c r="D337" s="2367"/>
      <c r="E337" s="2367"/>
      <c r="F337" s="2367"/>
      <c r="G337" s="2367"/>
      <c r="H337" s="2367"/>
      <c r="I337" s="2367"/>
      <c r="J337" s="2367"/>
      <c r="K337" s="2367"/>
      <c r="L337" s="2367"/>
      <c r="M337" s="2367"/>
      <c r="N337" s="2367"/>
      <c r="O337" s="2367"/>
      <c r="P337" s="2367"/>
      <c r="Q337" s="2367"/>
      <c r="R337" s="2367"/>
      <c r="T337" s="3400"/>
      <c r="U337" s="3400"/>
      <c r="V337" s="3400"/>
      <c r="W337" s="3400"/>
      <c r="X337" s="3400"/>
      <c r="Y337" s="3407"/>
      <c r="Z337" s="3407"/>
      <c r="AA337" s="3407"/>
      <c r="AB337" s="3407"/>
      <c r="AC337" s="3407"/>
      <c r="AD337" s="3407"/>
      <c r="AE337" s="3407"/>
      <c r="AF337" s="3398"/>
      <c r="AH337" s="2399"/>
      <c r="AI337" s="2399"/>
      <c r="AJ337" s="2399"/>
      <c r="AK337" s="2399"/>
      <c r="AL337" s="2399"/>
      <c r="AM337" s="2399"/>
      <c r="AN337" s="2399"/>
      <c r="AO337" s="2399"/>
    </row>
    <row r="338" spans="1:41">
      <c r="A338" s="2131"/>
      <c r="B338" s="1089"/>
      <c r="C338" s="2367"/>
      <c r="D338" s="2367"/>
      <c r="E338" s="2367"/>
      <c r="F338" s="2367"/>
      <c r="G338" s="2367"/>
      <c r="H338" s="2367"/>
      <c r="I338" s="2367"/>
      <c r="J338" s="2367"/>
      <c r="K338" s="2367"/>
      <c r="L338" s="2367"/>
      <c r="M338" s="2367"/>
      <c r="N338" s="2367"/>
      <c r="O338" s="2367"/>
      <c r="P338" s="2367"/>
      <c r="Q338" s="2367"/>
      <c r="R338" s="2367"/>
      <c r="T338" s="3400"/>
      <c r="U338" s="3400"/>
      <c r="V338" s="3400"/>
      <c r="W338" s="3400"/>
      <c r="X338" s="3400"/>
      <c r="Y338" s="3407"/>
      <c r="Z338" s="3407"/>
      <c r="AA338" s="3407"/>
      <c r="AB338" s="3407"/>
      <c r="AC338" s="3407"/>
      <c r="AD338" s="3407"/>
      <c r="AE338" s="3407"/>
      <c r="AF338" s="3398"/>
      <c r="AH338" s="2399"/>
      <c r="AI338" s="2399"/>
      <c r="AJ338" s="2399"/>
      <c r="AK338" s="2399"/>
      <c r="AL338" s="2399"/>
      <c r="AM338" s="2399"/>
      <c r="AN338" s="2399"/>
      <c r="AO338" s="2399"/>
    </row>
    <row r="339" spans="1:41">
      <c r="A339" s="2131"/>
      <c r="B339" s="1089"/>
      <c r="C339" s="2367"/>
      <c r="D339" s="2367"/>
      <c r="E339" s="2367"/>
      <c r="F339" s="2367"/>
      <c r="G339" s="2367"/>
      <c r="H339" s="2367"/>
      <c r="I339" s="2367"/>
      <c r="J339" s="2367"/>
      <c r="K339" s="2367"/>
      <c r="L339" s="2367"/>
      <c r="M339" s="2367"/>
      <c r="N339" s="2367"/>
      <c r="O339" s="2367"/>
      <c r="P339" s="2367"/>
      <c r="Q339" s="2367"/>
      <c r="R339" s="2367"/>
      <c r="T339" s="3400"/>
      <c r="U339" s="3400"/>
      <c r="V339" s="3400"/>
      <c r="W339" s="3400"/>
      <c r="X339" s="3400"/>
      <c r="Y339" s="3407"/>
      <c r="Z339" s="3407"/>
      <c r="AA339" s="3407"/>
      <c r="AB339" s="3407"/>
      <c r="AC339" s="3407"/>
      <c r="AD339" s="3407"/>
      <c r="AE339" s="3407"/>
      <c r="AF339" s="3398"/>
      <c r="AH339" s="2399"/>
      <c r="AI339" s="2399"/>
      <c r="AJ339" s="2399"/>
      <c r="AK339" s="2399"/>
      <c r="AL339" s="2399"/>
      <c r="AM339" s="2399"/>
      <c r="AN339" s="2399"/>
      <c r="AO339" s="2399"/>
    </row>
    <row r="340" spans="1:41">
      <c r="A340" s="2131"/>
      <c r="B340" s="1089"/>
      <c r="C340" s="2367"/>
      <c r="D340" s="2367"/>
      <c r="E340" s="2367"/>
      <c r="F340" s="2367"/>
      <c r="G340" s="2367"/>
      <c r="H340" s="2367"/>
      <c r="I340" s="2367"/>
      <c r="J340" s="2367"/>
      <c r="K340" s="2367"/>
      <c r="L340" s="2367"/>
      <c r="M340" s="2367"/>
      <c r="N340" s="2367"/>
      <c r="O340" s="2367"/>
      <c r="P340" s="2367"/>
      <c r="Q340" s="2367"/>
      <c r="R340" s="2367"/>
      <c r="T340" s="3400"/>
      <c r="U340" s="3400"/>
      <c r="V340" s="3400"/>
      <c r="W340" s="3400"/>
      <c r="X340" s="3466" t="s">
        <v>2474</v>
      </c>
      <c r="Y340" s="3407"/>
      <c r="Z340" s="3407"/>
      <c r="AA340" s="3407"/>
      <c r="AB340" s="3407"/>
      <c r="AC340" s="3407"/>
      <c r="AD340" s="3407"/>
      <c r="AE340" s="3407"/>
      <c r="AF340" s="3398"/>
      <c r="AH340" s="2399"/>
      <c r="AI340" s="2399"/>
      <c r="AJ340" s="2399"/>
      <c r="AK340" s="2399"/>
      <c r="AL340" s="2399"/>
      <c r="AM340" s="2399"/>
      <c r="AN340" s="2399"/>
      <c r="AO340" s="2399"/>
    </row>
    <row r="341" spans="1:41">
      <c r="A341" s="2131"/>
      <c r="B341" s="1089"/>
      <c r="C341" s="2367"/>
      <c r="D341" s="2367"/>
      <c r="E341" s="2367"/>
      <c r="F341" s="2367"/>
      <c r="G341" s="2367"/>
      <c r="H341" s="2367"/>
      <c r="I341" s="2367"/>
      <c r="J341" s="2367"/>
      <c r="K341" s="2367"/>
      <c r="L341" s="2367"/>
      <c r="M341" s="2367"/>
      <c r="N341" s="2367"/>
      <c r="O341" s="2367"/>
      <c r="P341" s="2367"/>
      <c r="Q341" s="2367"/>
      <c r="R341" s="2367"/>
      <c r="T341" s="3400"/>
      <c r="U341" s="3400"/>
      <c r="V341" s="3400"/>
      <c r="W341" s="3400"/>
      <c r="X341" s="3466" t="s">
        <v>2406</v>
      </c>
      <c r="Y341" s="3407"/>
      <c r="Z341" s="3407"/>
      <c r="AA341" s="3407"/>
      <c r="AB341" s="3407"/>
      <c r="AC341" s="3407"/>
      <c r="AD341" s="3407"/>
      <c r="AE341" s="3407"/>
      <c r="AF341" s="3398"/>
      <c r="AH341" s="2399"/>
      <c r="AI341" s="2399"/>
      <c r="AJ341" s="2399"/>
      <c r="AK341" s="2399"/>
      <c r="AL341" s="2399"/>
      <c r="AM341" s="2399"/>
      <c r="AN341" s="2399"/>
      <c r="AO341" s="2399"/>
    </row>
    <row r="342" spans="1:41">
      <c r="A342" s="2131"/>
      <c r="B342" s="1089"/>
      <c r="C342" s="2367"/>
      <c r="D342" s="2367"/>
      <c r="E342" s="2367"/>
      <c r="F342" s="2367"/>
      <c r="G342" s="2367"/>
      <c r="H342" s="2367"/>
      <c r="I342" s="2367"/>
      <c r="J342" s="2367"/>
      <c r="K342" s="2367"/>
      <c r="L342" s="2367"/>
      <c r="M342" s="2367"/>
      <c r="N342" s="2367"/>
      <c r="O342" s="2367"/>
      <c r="P342" s="2367"/>
      <c r="Q342" s="2367"/>
      <c r="R342" s="2367"/>
      <c r="T342" s="3400"/>
      <c r="U342" s="3400"/>
      <c r="V342" s="3400"/>
      <c r="W342" s="3400"/>
      <c r="X342" s="92"/>
      <c r="Y342" s="3407"/>
      <c r="Z342" s="3407"/>
      <c r="AA342" s="3407"/>
      <c r="AB342" s="3407"/>
      <c r="AC342" s="3407"/>
      <c r="AD342" s="3407"/>
      <c r="AE342" s="3407"/>
      <c r="AF342" s="3398"/>
      <c r="AH342" s="2399"/>
      <c r="AI342" s="2399"/>
      <c r="AJ342" s="2399"/>
      <c r="AK342" s="2399"/>
      <c r="AL342" s="2399"/>
      <c r="AM342" s="2399"/>
      <c r="AN342" s="2399"/>
      <c r="AO342" s="2399"/>
    </row>
    <row r="343" spans="1:41">
      <c r="A343" s="2131"/>
      <c r="B343" s="1089"/>
      <c r="C343" s="2367"/>
      <c r="D343" s="2367"/>
      <c r="E343" s="2367"/>
      <c r="F343" s="2367"/>
      <c r="G343" s="2367"/>
      <c r="H343" s="2367"/>
      <c r="I343" s="2367"/>
      <c r="J343" s="2367"/>
      <c r="K343" s="2367"/>
      <c r="L343" s="2367"/>
      <c r="M343" s="2367"/>
      <c r="N343" s="2367"/>
      <c r="O343" s="2367"/>
      <c r="P343" s="2367"/>
      <c r="Q343" s="2367"/>
      <c r="R343" s="2367"/>
      <c r="T343" s="3400"/>
      <c r="U343" s="3400"/>
      <c r="V343" s="3400"/>
      <c r="W343" s="3400"/>
      <c r="X343" s="3400"/>
      <c r="Y343" s="3407"/>
      <c r="Z343" s="3407"/>
      <c r="AA343" s="3407"/>
      <c r="AB343" s="3407"/>
      <c r="AC343" s="3407"/>
      <c r="AD343" s="3407"/>
      <c r="AE343" s="3407"/>
      <c r="AF343" s="3398"/>
      <c r="AH343" s="2399"/>
      <c r="AI343" s="2399"/>
      <c r="AJ343" s="2399"/>
      <c r="AK343" s="2399"/>
      <c r="AL343" s="2399"/>
      <c r="AM343" s="2399"/>
      <c r="AN343" s="2399"/>
      <c r="AO343" s="2399"/>
    </row>
    <row r="344" spans="1:41">
      <c r="A344" s="2131"/>
      <c r="B344" s="1089"/>
      <c r="C344" s="2367"/>
      <c r="D344" s="2367"/>
      <c r="E344" s="2367"/>
      <c r="F344" s="2367"/>
      <c r="G344" s="2367"/>
      <c r="H344" s="2367"/>
      <c r="I344" s="2367"/>
      <c r="J344" s="2367"/>
      <c r="K344" s="2367"/>
      <c r="L344" s="2367"/>
      <c r="M344" s="2367"/>
      <c r="N344" s="2367"/>
      <c r="O344" s="2367"/>
      <c r="P344" s="2367"/>
      <c r="Q344" s="2367"/>
      <c r="R344" s="2367"/>
      <c r="T344" s="3400"/>
      <c r="U344" s="3400"/>
      <c r="V344" s="3400"/>
      <c r="W344" s="3400"/>
      <c r="X344" s="3400"/>
      <c r="Y344" s="3407"/>
      <c r="Z344" s="3407"/>
      <c r="AA344" s="3407"/>
      <c r="AB344" s="3407"/>
      <c r="AC344" s="3407"/>
      <c r="AD344" s="3407"/>
      <c r="AE344" s="3407"/>
      <c r="AF344" s="3398"/>
      <c r="AH344" s="2399"/>
      <c r="AI344" s="2399"/>
      <c r="AJ344" s="2399"/>
      <c r="AK344" s="2399"/>
      <c r="AL344" s="2399"/>
      <c r="AM344" s="2399"/>
      <c r="AN344" s="2399"/>
      <c r="AO344" s="2399"/>
    </row>
    <row r="345" spans="1:41">
      <c r="A345" s="2131"/>
      <c r="B345" s="1089"/>
      <c r="C345" s="2367"/>
      <c r="D345" s="2367"/>
      <c r="E345" s="2367"/>
      <c r="F345" s="2367"/>
      <c r="G345" s="2367"/>
      <c r="H345" s="2367"/>
      <c r="I345" s="2367"/>
      <c r="J345" s="2367"/>
      <c r="K345" s="2367"/>
      <c r="L345" s="2367"/>
      <c r="M345" s="2367"/>
      <c r="N345" s="2367"/>
      <c r="O345" s="2367"/>
      <c r="P345" s="2367"/>
      <c r="Q345" s="2367"/>
      <c r="R345" s="2367"/>
      <c r="T345" s="3400"/>
      <c r="U345" s="3400"/>
      <c r="V345" s="3400"/>
      <c r="W345" s="3400"/>
      <c r="X345" s="3400"/>
      <c r="Y345" s="3407"/>
      <c r="Z345" s="3407"/>
      <c r="AA345" s="3407"/>
      <c r="AB345" s="3407"/>
      <c r="AC345" s="3407"/>
      <c r="AD345" s="3407"/>
      <c r="AE345" s="3407"/>
      <c r="AF345" s="3398"/>
      <c r="AH345" s="2399"/>
      <c r="AI345" s="2399"/>
      <c r="AJ345" s="2399"/>
      <c r="AK345" s="2399"/>
      <c r="AL345" s="2399"/>
      <c r="AM345" s="2399"/>
      <c r="AN345" s="2399"/>
      <c r="AO345" s="2399"/>
    </row>
    <row r="346" spans="1:41">
      <c r="A346" s="2131"/>
      <c r="B346" s="1089"/>
      <c r="C346" s="2367"/>
      <c r="D346" s="2367"/>
      <c r="E346" s="2367"/>
      <c r="F346" s="2367"/>
      <c r="G346" s="2367"/>
      <c r="H346" s="2367"/>
      <c r="I346" s="2367"/>
      <c r="J346" s="2367"/>
      <c r="K346" s="2367"/>
      <c r="L346" s="2367"/>
      <c r="M346" s="2367"/>
      <c r="N346" s="2367"/>
      <c r="O346" s="2367"/>
      <c r="P346" s="2367"/>
      <c r="Q346" s="2367"/>
      <c r="R346" s="2367"/>
      <c r="T346" s="3400"/>
      <c r="U346" s="3400"/>
      <c r="V346" s="3400"/>
      <c r="W346" s="3400"/>
      <c r="X346" s="3400"/>
      <c r="Y346" s="3407"/>
      <c r="Z346" s="3407"/>
      <c r="AA346" s="3407"/>
      <c r="AB346" s="3407"/>
      <c r="AC346" s="3407"/>
      <c r="AD346" s="3407"/>
      <c r="AE346" s="3407"/>
      <c r="AF346" s="3398"/>
      <c r="AH346" s="2399"/>
      <c r="AI346" s="2399"/>
      <c r="AJ346" s="2399"/>
      <c r="AK346" s="2399"/>
      <c r="AL346" s="2399"/>
      <c r="AM346" s="2399"/>
      <c r="AN346" s="2399"/>
      <c r="AO346" s="2399"/>
    </row>
    <row r="347" spans="1:41">
      <c r="A347" s="2131"/>
      <c r="B347" s="1089"/>
      <c r="C347" s="2367"/>
      <c r="D347" s="2367"/>
      <c r="E347" s="2367"/>
      <c r="F347" s="2367"/>
      <c r="G347" s="2367"/>
      <c r="H347" s="2367"/>
      <c r="I347" s="2367"/>
      <c r="J347" s="2367"/>
      <c r="K347" s="2367"/>
      <c r="L347" s="2367"/>
      <c r="M347" s="2367"/>
      <c r="N347" s="2367"/>
      <c r="O347" s="2367"/>
      <c r="P347" s="2367"/>
      <c r="Q347" s="2367"/>
      <c r="R347" s="2367"/>
      <c r="T347" s="3400"/>
      <c r="U347" s="3400"/>
      <c r="V347" s="3400"/>
      <c r="W347" s="3400"/>
      <c r="X347" s="3400"/>
      <c r="Y347" s="3407"/>
      <c r="Z347" s="3407"/>
      <c r="AA347" s="3407"/>
      <c r="AB347" s="3407"/>
      <c r="AC347" s="3407"/>
      <c r="AD347" s="3407"/>
      <c r="AE347" s="3407"/>
      <c r="AF347" s="3398"/>
      <c r="AH347" s="2399"/>
      <c r="AI347" s="2399"/>
      <c r="AJ347" s="2399"/>
      <c r="AK347" s="2399"/>
      <c r="AL347" s="2399"/>
      <c r="AM347" s="2399"/>
      <c r="AN347" s="2399"/>
      <c r="AO347" s="2399"/>
    </row>
    <row r="348" spans="1:41">
      <c r="A348" s="2131"/>
      <c r="B348" s="1089"/>
      <c r="C348" s="2367"/>
      <c r="D348" s="2367"/>
      <c r="E348" s="2367"/>
      <c r="F348" s="2367"/>
      <c r="G348" s="2367"/>
      <c r="H348" s="2367"/>
      <c r="I348" s="2367"/>
      <c r="J348" s="2367"/>
      <c r="K348" s="2367"/>
      <c r="L348" s="2367"/>
      <c r="M348" s="2367"/>
      <c r="N348" s="2367"/>
      <c r="O348" s="2367"/>
      <c r="P348" s="2367"/>
      <c r="Q348" s="2367"/>
      <c r="R348" s="2367"/>
      <c r="T348" s="3400"/>
      <c r="U348" s="3400"/>
      <c r="V348" s="3400"/>
      <c r="W348" s="3400"/>
      <c r="X348" s="3400"/>
      <c r="Y348" s="3407"/>
      <c r="Z348" s="3407"/>
      <c r="AA348" s="3407"/>
      <c r="AB348" s="3407"/>
      <c r="AC348" s="3407"/>
      <c r="AD348" s="3407"/>
      <c r="AE348" s="3407"/>
      <c r="AF348" s="3398"/>
      <c r="AH348" s="2399"/>
      <c r="AI348" s="2399"/>
      <c r="AJ348" s="2399"/>
      <c r="AK348" s="2399"/>
      <c r="AL348" s="2399"/>
      <c r="AM348" s="2399"/>
      <c r="AN348" s="2399"/>
      <c r="AO348" s="2399"/>
    </row>
    <row r="349" spans="1:41">
      <c r="A349" s="2131"/>
      <c r="B349" s="1089"/>
      <c r="C349" s="2367"/>
      <c r="D349" s="2367"/>
      <c r="E349" s="2367"/>
      <c r="F349" s="2367"/>
      <c r="G349" s="2367"/>
      <c r="H349" s="2367"/>
      <c r="I349" s="2367"/>
      <c r="J349" s="2367"/>
      <c r="K349" s="2367"/>
      <c r="L349" s="2367"/>
      <c r="M349" s="2367"/>
      <c r="N349" s="2367"/>
      <c r="O349" s="2367"/>
      <c r="P349" s="2367"/>
      <c r="Q349" s="2367"/>
      <c r="R349" s="2367"/>
      <c r="T349" s="3400"/>
      <c r="U349" s="3400"/>
      <c r="V349" s="3400"/>
      <c r="W349" s="3400"/>
      <c r="X349" s="3400"/>
      <c r="Y349" s="3407"/>
      <c r="Z349" s="3407"/>
      <c r="AA349" s="3407"/>
      <c r="AB349" s="3407"/>
      <c r="AC349" s="3407"/>
      <c r="AD349" s="3407"/>
      <c r="AE349" s="3407"/>
      <c r="AF349" s="3398"/>
      <c r="AH349" s="2399"/>
      <c r="AI349" s="2399"/>
      <c r="AJ349" s="2399"/>
      <c r="AK349" s="2399"/>
      <c r="AL349" s="2399"/>
      <c r="AM349" s="2399"/>
      <c r="AN349" s="2399"/>
      <c r="AO349" s="2399"/>
    </row>
    <row r="350" spans="1:41">
      <c r="A350" s="2131"/>
      <c r="B350" s="1089"/>
      <c r="C350" s="2367"/>
      <c r="D350" s="2367"/>
      <c r="E350" s="2367"/>
      <c r="F350" s="2367"/>
      <c r="G350" s="2367"/>
      <c r="H350" s="2367"/>
      <c r="I350" s="2367"/>
      <c r="J350" s="2367"/>
      <c r="K350" s="2367"/>
      <c r="L350" s="2367"/>
      <c r="M350" s="2367"/>
      <c r="N350" s="2367"/>
      <c r="O350" s="2367"/>
      <c r="P350" s="2367"/>
      <c r="Q350" s="2367"/>
      <c r="R350" s="2367"/>
      <c r="T350" s="3400"/>
      <c r="U350" s="3400"/>
      <c r="V350" s="3400"/>
      <c r="W350" s="3400"/>
      <c r="X350" s="3400"/>
      <c r="Y350" s="2865"/>
      <c r="Z350" s="2865"/>
      <c r="AA350" s="2865"/>
      <c r="AB350" s="2865"/>
      <c r="AC350" s="2865"/>
      <c r="AD350" s="2865"/>
      <c r="AE350" s="2865"/>
      <c r="AF350" s="2868"/>
      <c r="AH350" s="2399"/>
      <c r="AI350" s="2399"/>
      <c r="AJ350" s="2399"/>
      <c r="AK350" s="2399"/>
      <c r="AL350" s="2399"/>
      <c r="AM350" s="2399"/>
      <c r="AN350" s="2399"/>
      <c r="AO350" s="2399"/>
    </row>
    <row r="351" spans="1:41">
      <c r="A351" s="2131"/>
      <c r="B351" s="1089"/>
      <c r="C351" s="2367"/>
      <c r="D351" s="2367"/>
      <c r="E351" s="2367"/>
      <c r="F351" s="2367"/>
      <c r="G351" s="2367"/>
      <c r="H351" s="2367"/>
      <c r="I351" s="2367"/>
      <c r="J351" s="2367"/>
      <c r="K351" s="2367"/>
      <c r="L351" s="2367"/>
      <c r="M351" s="2367"/>
      <c r="N351" s="2367"/>
      <c r="O351" s="2367"/>
      <c r="P351" s="2367"/>
      <c r="Q351" s="2367"/>
      <c r="R351" s="2367"/>
      <c r="T351" s="3400"/>
      <c r="U351" s="3400"/>
      <c r="V351" s="3400"/>
      <c r="W351" s="3400"/>
      <c r="X351" s="3400"/>
      <c r="Y351" s="2865"/>
      <c r="Z351" s="2865"/>
      <c r="AA351" s="2865"/>
      <c r="AB351" s="2865"/>
      <c r="AC351" s="2865"/>
      <c r="AD351" s="2865"/>
      <c r="AE351" s="2865"/>
      <c r="AF351" s="2868"/>
      <c r="AH351" s="2399"/>
      <c r="AI351" s="2399"/>
      <c r="AJ351" s="2399"/>
      <c r="AK351" s="2399"/>
      <c r="AL351" s="2399"/>
      <c r="AM351" s="2399"/>
      <c r="AN351" s="2399"/>
      <c r="AO351" s="2399"/>
    </row>
    <row r="352" spans="1:41">
      <c r="A352" s="2131"/>
      <c r="B352" s="1089"/>
      <c r="C352" s="2367"/>
      <c r="D352" s="2367"/>
      <c r="E352" s="2367"/>
      <c r="F352" s="2367"/>
      <c r="G352" s="2367"/>
      <c r="H352" s="2367"/>
      <c r="I352" s="2367"/>
      <c r="J352" s="2367"/>
      <c r="K352" s="2367"/>
      <c r="L352" s="2367"/>
      <c r="M352" s="2367"/>
      <c r="N352" s="2367"/>
      <c r="O352" s="2367"/>
      <c r="P352" s="2367"/>
      <c r="Q352" s="2367"/>
      <c r="R352" s="2367"/>
      <c r="T352" s="3400"/>
      <c r="U352" s="3400"/>
      <c r="V352" s="3400"/>
      <c r="W352" s="3400"/>
      <c r="X352" s="3400"/>
      <c r="Y352" s="2865"/>
      <c r="Z352" s="2865"/>
      <c r="AA352" s="2865"/>
      <c r="AB352" s="2865"/>
      <c r="AC352" s="2865"/>
      <c r="AD352" s="2865"/>
      <c r="AE352" s="2865"/>
      <c r="AF352" s="2868"/>
      <c r="AH352" s="2399"/>
      <c r="AI352" s="2399"/>
      <c r="AJ352" s="2399"/>
      <c r="AK352" s="2399"/>
      <c r="AL352" s="2399"/>
      <c r="AM352" s="2399"/>
      <c r="AN352" s="2399"/>
      <c r="AO352" s="2399"/>
    </row>
    <row r="353" spans="1:47">
      <c r="A353" s="2131"/>
      <c r="B353" s="1089"/>
      <c r="C353" s="2367"/>
      <c r="D353" s="2367"/>
      <c r="E353" s="2367"/>
      <c r="F353" s="2367"/>
      <c r="G353" s="2367"/>
      <c r="H353" s="2367"/>
      <c r="I353" s="2367"/>
      <c r="J353" s="2367"/>
      <c r="K353" s="2367"/>
      <c r="L353" s="2367"/>
      <c r="M353" s="2367"/>
      <c r="N353" s="2367"/>
      <c r="O353" s="2367"/>
      <c r="P353" s="2367"/>
      <c r="Q353" s="2367"/>
      <c r="R353" s="2367"/>
      <c r="T353" s="3400"/>
      <c r="U353" s="3400"/>
      <c r="V353" s="3400"/>
      <c r="W353" s="3400"/>
      <c r="X353" s="3400"/>
      <c r="Y353" s="2865"/>
      <c r="Z353" s="2865"/>
      <c r="AA353" s="2865"/>
      <c r="AB353" s="2865"/>
      <c r="AC353" s="2865"/>
      <c r="AD353" s="2865"/>
      <c r="AE353" s="2865"/>
      <c r="AF353" s="2868"/>
      <c r="AH353" s="2399"/>
      <c r="AI353" s="2399"/>
      <c r="AJ353" s="2399"/>
      <c r="AK353" s="2399"/>
      <c r="AL353" s="2399"/>
      <c r="AM353" s="2399"/>
      <c r="AN353" s="2399"/>
      <c r="AO353" s="2399"/>
    </row>
    <row r="354" spans="1:47">
      <c r="A354" s="2131"/>
      <c r="B354" s="1089"/>
      <c r="C354" s="2367"/>
      <c r="D354" s="2367"/>
      <c r="E354" s="2367"/>
      <c r="F354" s="2367"/>
      <c r="G354" s="2367"/>
      <c r="H354" s="2367"/>
      <c r="I354" s="2367"/>
      <c r="J354" s="2367"/>
      <c r="K354" s="2367"/>
      <c r="L354" s="2367"/>
      <c r="M354" s="2367"/>
      <c r="N354" s="2367"/>
      <c r="O354" s="2367"/>
      <c r="P354" s="2367"/>
      <c r="Q354" s="2367"/>
      <c r="R354" s="2367"/>
      <c r="T354" s="3400"/>
      <c r="U354" s="3400"/>
      <c r="V354" s="3400"/>
      <c r="W354" s="3400"/>
      <c r="X354" s="3400"/>
      <c r="Y354" s="2865"/>
      <c r="Z354" s="2865"/>
      <c r="AA354" s="2865"/>
      <c r="AB354" s="2865"/>
      <c r="AC354" s="2865"/>
      <c r="AD354" s="2865"/>
      <c r="AE354" s="2865"/>
      <c r="AF354" s="2868"/>
      <c r="AH354" s="2399"/>
      <c r="AI354" s="2399"/>
      <c r="AJ354" s="2399"/>
      <c r="AK354" s="2399"/>
      <c r="AL354" s="2399"/>
      <c r="AM354" s="2399"/>
      <c r="AN354" s="2399"/>
      <c r="AO354" s="2399"/>
    </row>
    <row r="355" spans="1:47">
      <c r="A355" s="2131"/>
      <c r="B355" s="1089"/>
      <c r="C355" s="2367"/>
      <c r="D355" s="2367"/>
      <c r="E355" s="2367"/>
      <c r="F355" s="2367"/>
      <c r="G355" s="2367"/>
      <c r="H355" s="2367"/>
      <c r="I355" s="2367"/>
      <c r="J355" s="2367"/>
      <c r="K355" s="2367"/>
      <c r="L355" s="2367"/>
      <c r="M355" s="2367"/>
      <c r="N355" s="2367"/>
      <c r="O355" s="2367"/>
      <c r="P355" s="2367"/>
      <c r="Q355" s="2367"/>
      <c r="R355" s="2367"/>
      <c r="T355" s="3400"/>
      <c r="U355" s="3400"/>
      <c r="V355" s="3400"/>
      <c r="W355" s="3400"/>
      <c r="X355" s="3400"/>
      <c r="Y355" s="3407"/>
      <c r="Z355" s="3407"/>
      <c r="AA355" s="3407"/>
      <c r="AB355" s="3407"/>
      <c r="AC355" s="3407"/>
      <c r="AD355" s="3407"/>
      <c r="AE355" s="3407"/>
      <c r="AF355" s="3398"/>
      <c r="AH355" s="2399"/>
      <c r="AI355" s="2399"/>
      <c r="AJ355" s="2399"/>
      <c r="AK355" s="2399"/>
      <c r="AL355" s="2399"/>
      <c r="AM355" s="2399"/>
      <c r="AN355" s="2399"/>
      <c r="AO355" s="2399"/>
    </row>
    <row r="356" spans="1:47" s="3434" customFormat="1">
      <c r="A356" s="3426"/>
      <c r="B356" s="3427"/>
      <c r="C356" s="3428"/>
      <c r="D356" s="3429"/>
      <c r="E356" s="3428"/>
      <c r="F356" s="3428"/>
      <c r="G356" s="3429"/>
      <c r="H356" s="3428"/>
      <c r="I356" s="3428"/>
      <c r="J356" s="3429"/>
      <c r="K356" s="3428"/>
      <c r="L356" s="3428"/>
      <c r="M356" s="3428"/>
      <c r="N356" s="3430"/>
      <c r="O356" s="3431"/>
      <c r="P356" s="3432"/>
      <c r="Q356" s="3433"/>
      <c r="R356" s="3432"/>
      <c r="AB356" s="3430"/>
      <c r="AD356" s="3430"/>
      <c r="AE356" s="3430"/>
      <c r="AF356" s="3430"/>
      <c r="AG356" s="3430"/>
      <c r="AH356" s="3430"/>
      <c r="AI356" s="3428"/>
      <c r="AJ356" s="3435"/>
      <c r="AK356" s="3436"/>
      <c r="AT356" s="3430"/>
      <c r="AU356" s="3430"/>
    </row>
    <row r="357" spans="1:47" s="3434" customFormat="1">
      <c r="A357" s="3426"/>
      <c r="B357" s="3427"/>
      <c r="C357" s="3428"/>
      <c r="D357" s="3429"/>
      <c r="E357" s="3428"/>
      <c r="F357" s="3428"/>
      <c r="G357" s="3429"/>
      <c r="H357" s="3428"/>
      <c r="I357" s="3428"/>
      <c r="J357" s="3429"/>
      <c r="K357" s="3428"/>
      <c r="L357" s="3428"/>
      <c r="M357" s="3428"/>
      <c r="N357" s="3430"/>
      <c r="O357" s="3431"/>
      <c r="P357" s="3432"/>
      <c r="Q357" s="3433"/>
      <c r="R357" s="3432"/>
      <c r="AB357" s="3430"/>
      <c r="AD357" s="3430"/>
      <c r="AE357" s="3430"/>
      <c r="AF357" s="3430"/>
      <c r="AG357" s="3430"/>
      <c r="AH357" s="3430"/>
      <c r="AI357" s="3428"/>
      <c r="AJ357" s="3435"/>
      <c r="AK357" s="3436"/>
      <c r="AT357" s="3430"/>
      <c r="AU357" s="3430"/>
    </row>
    <row r="358" spans="1:47">
      <c r="A358" s="1120" t="s">
        <v>2415</v>
      </c>
      <c r="B358" s="94"/>
      <c r="C358" s="2411"/>
      <c r="D358" s="2412"/>
      <c r="E358" s="2411"/>
      <c r="F358" s="2412"/>
      <c r="G358" s="2411"/>
      <c r="H358" s="2412"/>
      <c r="I358" s="2411"/>
      <c r="J358" s="2412"/>
      <c r="K358" s="2411"/>
      <c r="L358" s="2412"/>
      <c r="M358" s="2411"/>
      <c r="N358" s="2412"/>
      <c r="O358" s="2411"/>
      <c r="P358" s="2412"/>
      <c r="Q358" s="2411"/>
      <c r="R358" s="2413"/>
      <c r="S358" s="2748"/>
      <c r="T358" s="94"/>
      <c r="U358" s="94"/>
      <c r="V358" s="94"/>
      <c r="W358" s="94"/>
      <c r="X358" s="1656"/>
      <c r="Y358" s="1161"/>
      <c r="Z358" s="1161"/>
      <c r="AA358" s="1161"/>
      <c r="AB358" s="1684"/>
      <c r="AC358" s="1684"/>
      <c r="AD358" s="1684"/>
      <c r="AE358" s="1684"/>
      <c r="AF358" s="1684"/>
      <c r="AH358" s="2836"/>
      <c r="AI358" s="2836"/>
      <c r="AJ358" s="2836"/>
      <c r="AK358" s="2836"/>
    </row>
    <row r="359" spans="1:47">
      <c r="A359" s="2865"/>
      <c r="B359" s="2865"/>
      <c r="C359" s="92"/>
      <c r="D359" s="2865"/>
      <c r="E359" s="2865"/>
      <c r="F359" s="2865"/>
      <c r="G359" s="2865"/>
      <c r="H359" s="2865"/>
      <c r="I359" s="2865"/>
      <c r="J359" s="2865"/>
      <c r="K359" s="2865"/>
      <c r="L359" s="2865"/>
      <c r="M359" s="2865"/>
      <c r="N359" s="2865"/>
      <c r="O359" s="2865"/>
      <c r="P359" s="2865"/>
      <c r="Q359" s="2865"/>
      <c r="R359" s="2865"/>
      <c r="T359" s="2865"/>
      <c r="U359" s="2865"/>
      <c r="V359" s="2865"/>
      <c r="W359" s="2865"/>
      <c r="X359" s="2868"/>
      <c r="Y359" s="2865"/>
      <c r="Z359" s="2865"/>
      <c r="AA359" s="2865"/>
      <c r="AB359" s="2868"/>
      <c r="AC359" s="2868"/>
      <c r="AD359" s="2868"/>
      <c r="AE359" s="2868"/>
      <c r="AF359" s="2868"/>
      <c r="AH359" s="2836"/>
      <c r="AI359" s="3490"/>
      <c r="AJ359" s="3491"/>
      <c r="AK359" s="2836"/>
    </row>
    <row r="360" spans="1:47" ht="3.75" customHeight="1">
      <c r="T360" s="2399"/>
      <c r="U360" s="2399"/>
      <c r="V360" s="2399"/>
      <c r="W360" s="2399"/>
      <c r="X360" s="2399"/>
      <c r="Y360" s="2399"/>
      <c r="Z360" s="2399"/>
      <c r="AA360" s="2399"/>
      <c r="AB360" s="2399"/>
      <c r="AC360" s="2399"/>
      <c r="AD360" s="2399"/>
      <c r="AE360" s="2399"/>
      <c r="AH360" s="2399"/>
      <c r="AI360" s="2399"/>
      <c r="AJ360" s="2399"/>
      <c r="AK360" s="2399"/>
      <c r="AL360" s="2399"/>
      <c r="AM360" s="2399"/>
      <c r="AN360" s="2399"/>
      <c r="AO360" s="2399"/>
      <c r="AP360" s="2399"/>
    </row>
    <row r="361" spans="1:47">
      <c r="A361" s="1175" t="s">
        <v>2414</v>
      </c>
      <c r="B361" s="3440"/>
      <c r="C361" s="92"/>
      <c r="D361" s="3407"/>
      <c r="E361" s="3407"/>
      <c r="F361" s="3407"/>
      <c r="G361" s="3407"/>
      <c r="H361" s="3407"/>
      <c r="I361" s="3407"/>
      <c r="J361" s="3407"/>
      <c r="K361" s="3407"/>
      <c r="L361" s="3407"/>
      <c r="M361" s="3407"/>
      <c r="N361" s="3407"/>
      <c r="O361" s="3407"/>
      <c r="P361" s="3407"/>
      <c r="Q361" s="3407"/>
      <c r="R361" s="3407"/>
      <c r="T361" s="3407"/>
      <c r="U361" s="3407"/>
      <c r="V361" s="3407"/>
      <c r="W361" s="3407"/>
      <c r="X361" s="3398"/>
      <c r="Y361" s="3407"/>
      <c r="Z361" s="3407"/>
      <c r="AA361" s="3407"/>
      <c r="AB361" s="3398"/>
      <c r="AC361" s="3398"/>
      <c r="AD361" s="3398"/>
      <c r="AE361" s="3398"/>
      <c r="AF361" s="3398"/>
      <c r="AH361" s="1133"/>
      <c r="AI361" s="1170"/>
      <c r="AJ361" s="1820"/>
      <c r="AK361" s="1133"/>
    </row>
    <row r="362" spans="1:47">
      <c r="A362" s="92"/>
      <c r="B362" s="92"/>
      <c r="N362" s="2580"/>
      <c r="O362" s="2580"/>
      <c r="P362" s="2580"/>
      <c r="Q362" s="2580"/>
      <c r="R362" s="2580"/>
      <c r="S362" s="2580"/>
      <c r="T362" s="3403" t="s">
        <v>2413</v>
      </c>
      <c r="U362" s="11"/>
      <c r="V362" s="92"/>
      <c r="W362" s="2865"/>
      <c r="X362" s="3398"/>
      <c r="Y362" s="11"/>
      <c r="Z362" s="11"/>
      <c r="AA362" s="2865"/>
      <c r="AB362" s="2868"/>
      <c r="AC362" s="2868"/>
      <c r="AD362" s="2868"/>
      <c r="AE362" s="2868"/>
      <c r="AF362" s="2868"/>
      <c r="AH362" s="2865"/>
      <c r="AI362" s="2865"/>
      <c r="AJ362" s="2865"/>
      <c r="AK362" s="2865"/>
    </row>
    <row r="363" spans="1:47">
      <c r="A363" s="2865"/>
      <c r="B363" s="2865"/>
      <c r="N363" s="2580"/>
      <c r="O363" s="2580"/>
      <c r="P363" s="2580"/>
      <c r="Q363" s="2580"/>
      <c r="R363" s="2580"/>
      <c r="S363" s="2580"/>
      <c r="T363" s="2865"/>
      <c r="U363" s="2865"/>
      <c r="V363" s="2865"/>
      <c r="W363" s="2865"/>
      <c r="X363" s="2865"/>
      <c r="Y363" s="2865"/>
      <c r="Z363" s="2865"/>
      <c r="AA363" s="2865"/>
      <c r="AB363" s="2868"/>
      <c r="AC363" s="2868"/>
      <c r="AD363" s="2868"/>
      <c r="AE363" s="2868"/>
      <c r="AF363" s="2868"/>
      <c r="AH363" s="2865"/>
      <c r="AI363" s="2865"/>
      <c r="AJ363" s="2865"/>
      <c r="AK363" s="2865"/>
    </row>
    <row r="364" spans="1:47">
      <c r="A364" s="2865"/>
      <c r="B364" s="2865"/>
      <c r="N364" s="2580"/>
      <c r="O364" s="2580"/>
      <c r="P364" s="2580"/>
      <c r="Q364" s="2580"/>
      <c r="R364" s="2580"/>
      <c r="S364" s="2580"/>
      <c r="T364" s="1800"/>
      <c r="U364" s="11"/>
      <c r="V364" s="11"/>
      <c r="W364" s="1358"/>
      <c r="X364" s="11"/>
      <c r="Y364" s="11"/>
      <c r="Z364" s="11"/>
      <c r="AA364" s="1803" t="s">
        <v>1407</v>
      </c>
      <c r="AB364" s="4265" t="s">
        <v>2419</v>
      </c>
      <c r="AC364" s="4265"/>
      <c r="AD364" s="4265"/>
      <c r="AE364" s="4265"/>
      <c r="AF364" s="4265"/>
      <c r="AH364" s="3494" t="s">
        <v>2420</v>
      </c>
      <c r="AI364" s="3495" t="s">
        <v>1451</v>
      </c>
      <c r="AJ364" s="110"/>
      <c r="AK364" s="2865"/>
    </row>
    <row r="365" spans="1:47">
      <c r="A365" s="2865"/>
      <c r="B365" s="2865"/>
      <c r="N365" s="2580"/>
      <c r="O365" s="2580"/>
      <c r="P365" s="2580"/>
      <c r="Q365" s="2580"/>
      <c r="R365" s="2580"/>
      <c r="S365" s="2580"/>
      <c r="T365" s="1800"/>
      <c r="U365" s="11"/>
      <c r="V365" s="11"/>
      <c r="W365" s="1358"/>
      <c r="X365" s="11"/>
      <c r="Y365" s="11"/>
      <c r="Z365" s="11"/>
      <c r="AA365" s="2865"/>
      <c r="AB365" s="4265"/>
      <c r="AC365" s="4265"/>
      <c r="AD365" s="4265"/>
      <c r="AE365" s="4265"/>
      <c r="AF365" s="4265"/>
      <c r="AH365" s="3494" t="s">
        <v>2421</v>
      </c>
      <c r="AI365" s="3495" t="s">
        <v>1000</v>
      </c>
      <c r="AJ365" s="110"/>
      <c r="AK365" s="2865"/>
    </row>
    <row r="366" spans="1:47" ht="13.15" customHeight="1">
      <c r="A366" s="2865"/>
      <c r="B366" s="2865"/>
      <c r="N366" s="2580"/>
      <c r="O366" s="2580"/>
      <c r="P366" s="2580"/>
      <c r="Q366" s="2580"/>
      <c r="R366" s="2580"/>
      <c r="S366" s="2580"/>
      <c r="T366" s="1800"/>
      <c r="U366" s="11"/>
      <c r="V366" s="11"/>
      <c r="W366" s="1358"/>
      <c r="X366" s="11"/>
      <c r="Y366" s="11"/>
      <c r="Z366" s="11"/>
      <c r="AA366" s="2865"/>
      <c r="AB366" s="4265"/>
      <c r="AC366" s="4265"/>
      <c r="AD366" s="4265"/>
      <c r="AE366" s="4265"/>
      <c r="AF366" s="4265"/>
      <c r="AH366" s="1747"/>
      <c r="AI366" s="3496" t="s">
        <v>1001</v>
      </c>
      <c r="AJ366" s="110"/>
      <c r="AK366" s="2865"/>
    </row>
    <row r="367" spans="1:47">
      <c r="A367" s="2865"/>
      <c r="B367" s="2865"/>
      <c r="N367" s="2580"/>
      <c r="O367" s="2580"/>
      <c r="P367" s="2580"/>
      <c r="Q367" s="2580"/>
      <c r="R367" s="2580"/>
      <c r="S367" s="2580"/>
      <c r="T367" s="1800"/>
      <c r="U367" s="11"/>
      <c r="V367" s="11"/>
      <c r="W367" s="1358"/>
      <c r="X367" s="11"/>
      <c r="Y367" s="11"/>
      <c r="Z367" s="11"/>
      <c r="AA367" s="2865"/>
      <c r="AB367" s="1546" t="s">
        <v>2416</v>
      </c>
      <c r="AC367" s="2868"/>
      <c r="AD367" s="2868"/>
      <c r="AE367" s="2868"/>
      <c r="AF367" s="2868"/>
      <c r="AH367" s="4263" t="s">
        <v>2500</v>
      </c>
      <c r="AI367" s="4263"/>
      <c r="AJ367" s="4263"/>
      <c r="AK367" s="3543"/>
    </row>
    <row r="368" spans="1:47">
      <c r="A368" s="2865"/>
      <c r="B368" s="2865"/>
      <c r="N368" s="2580"/>
      <c r="O368" s="2580"/>
      <c r="P368" s="2580"/>
      <c r="Q368" s="2580"/>
      <c r="R368" s="2580"/>
      <c r="S368" s="2580"/>
      <c r="T368" s="1800"/>
      <c r="U368" s="11"/>
      <c r="V368" s="11"/>
      <c r="W368" s="1358"/>
      <c r="X368" s="11"/>
      <c r="Y368" s="11"/>
      <c r="Z368" s="11"/>
      <c r="AA368" s="2865"/>
      <c r="AB368" s="1546" t="s">
        <v>1510</v>
      </c>
      <c r="AC368" s="2868"/>
      <c r="AD368" s="2868"/>
      <c r="AE368" s="2868"/>
      <c r="AF368" s="2868"/>
      <c r="AH368" s="2865"/>
      <c r="AI368" s="2865"/>
      <c r="AJ368" s="2865"/>
      <c r="AK368" s="2865"/>
    </row>
    <row r="369" spans="1:37">
      <c r="A369" s="2865"/>
      <c r="B369" s="2865"/>
      <c r="N369" s="2580"/>
      <c r="O369" s="2580"/>
      <c r="P369" s="2580"/>
      <c r="Q369" s="2580"/>
      <c r="R369" s="2580"/>
      <c r="S369" s="2580"/>
      <c r="T369" s="1800"/>
      <c r="U369" s="11"/>
      <c r="V369" s="11"/>
      <c r="W369" s="1358"/>
      <c r="X369" s="11"/>
      <c r="Y369" s="11"/>
      <c r="Z369" s="11"/>
      <c r="AA369" s="2865"/>
      <c r="AB369" s="2865"/>
      <c r="AC369" s="2865"/>
      <c r="AD369" s="2865"/>
      <c r="AE369" s="2865"/>
      <c r="AF369" s="2868"/>
      <c r="AH369" s="2865"/>
      <c r="AI369" s="2865"/>
      <c r="AJ369" s="2865"/>
      <c r="AK369" s="2865"/>
    </row>
    <row r="370" spans="1:37">
      <c r="A370" s="2865"/>
      <c r="B370" s="2865"/>
      <c r="N370" s="2580"/>
      <c r="O370" s="2580"/>
      <c r="P370" s="2580"/>
      <c r="Q370" s="2580"/>
      <c r="R370" s="2580"/>
      <c r="S370" s="2580"/>
      <c r="T370" s="1800"/>
      <c r="U370" s="11"/>
      <c r="V370" s="11"/>
      <c r="W370" s="1358"/>
      <c r="X370" s="11"/>
      <c r="Y370" s="11"/>
      <c r="Z370" s="11"/>
      <c r="AA370" s="1803" t="s">
        <v>1407</v>
      </c>
      <c r="AB370" s="2959" t="s">
        <v>1450</v>
      </c>
      <c r="AC370" s="2868"/>
      <c r="AD370" s="2868"/>
      <c r="AE370" s="2868"/>
      <c r="AF370" s="2868"/>
      <c r="AH370" s="2865"/>
      <c r="AI370" s="2865"/>
      <c r="AJ370" s="2865"/>
      <c r="AK370" s="2865"/>
    </row>
    <row r="371" spans="1:37" ht="13.15" customHeight="1">
      <c r="A371" s="2865"/>
      <c r="B371" s="2865"/>
      <c r="N371" s="2580"/>
      <c r="O371" s="2580"/>
      <c r="P371" s="2580"/>
      <c r="Q371" s="2580"/>
      <c r="R371" s="2580"/>
      <c r="S371" s="2580"/>
      <c r="T371" s="1928"/>
      <c r="U371" s="446"/>
      <c r="V371" s="446"/>
      <c r="W371" s="1854"/>
      <c r="X371" s="446"/>
      <c r="Y371" s="446"/>
      <c r="Z371" s="446"/>
      <c r="AA371" s="2868"/>
      <c r="AB371" s="4266" t="s">
        <v>1457</v>
      </c>
      <c r="AC371" s="4266"/>
      <c r="AD371" s="4266"/>
      <c r="AE371" s="4266"/>
      <c r="AF371" s="4266"/>
      <c r="AH371" s="2865"/>
      <c r="AI371" s="2865"/>
      <c r="AJ371" s="1089"/>
      <c r="AK371" s="2865"/>
    </row>
    <row r="372" spans="1:37">
      <c r="A372" s="2865"/>
      <c r="B372" s="2865"/>
      <c r="N372" s="2580"/>
      <c r="O372" s="2580"/>
      <c r="P372" s="2580"/>
      <c r="Q372" s="2580"/>
      <c r="R372" s="2580"/>
      <c r="S372" s="2580"/>
      <c r="T372" s="1928"/>
      <c r="U372" s="446"/>
      <c r="V372" s="446"/>
      <c r="W372" s="1854"/>
      <c r="X372" s="446"/>
      <c r="Y372" s="446"/>
      <c r="Z372" s="446"/>
      <c r="AA372" s="2868"/>
      <c r="AB372" s="4266"/>
      <c r="AC372" s="4266"/>
      <c r="AD372" s="4266"/>
      <c r="AE372" s="4266"/>
      <c r="AF372" s="4266"/>
      <c r="AH372" s="2865"/>
      <c r="AI372" s="2865"/>
      <c r="AJ372" s="2865"/>
      <c r="AK372" s="2865"/>
    </row>
    <row r="373" spans="1:37" ht="13.15" customHeight="1">
      <c r="A373" s="2865"/>
      <c r="B373" s="2865"/>
      <c r="N373" s="2580"/>
      <c r="O373" s="2580"/>
      <c r="P373" s="2580"/>
      <c r="Q373" s="2580"/>
      <c r="R373" s="2580"/>
      <c r="S373" s="2580"/>
      <c r="T373" s="1928"/>
      <c r="U373" s="446"/>
      <c r="V373" s="446"/>
      <c r="W373" s="1854"/>
      <c r="X373" s="446"/>
      <c r="Y373" s="446"/>
      <c r="Z373" s="446"/>
      <c r="AA373" s="2868"/>
      <c r="AB373" s="4266" t="s">
        <v>2417</v>
      </c>
      <c r="AC373" s="4266"/>
      <c r="AD373" s="4266"/>
      <c r="AE373" s="4266"/>
      <c r="AF373" s="4266"/>
      <c r="AH373" s="2865"/>
      <c r="AI373" s="2865"/>
      <c r="AJ373" s="2865"/>
      <c r="AK373" s="2865"/>
    </row>
    <row r="374" spans="1:37">
      <c r="A374" s="2865"/>
      <c r="B374" s="2865"/>
      <c r="N374" s="2580"/>
      <c r="O374" s="2580"/>
      <c r="P374" s="2580"/>
      <c r="Q374" s="2580"/>
      <c r="R374" s="2580"/>
      <c r="S374" s="2580"/>
      <c r="T374" s="1928"/>
      <c r="U374" s="446"/>
      <c r="V374" s="446"/>
      <c r="W374" s="1854"/>
      <c r="X374" s="446"/>
      <c r="Y374" s="446"/>
      <c r="Z374" s="446"/>
      <c r="AA374" s="2868"/>
      <c r="AB374" s="4266"/>
      <c r="AC374" s="4266"/>
      <c r="AD374" s="4266"/>
      <c r="AE374" s="4266"/>
      <c r="AF374" s="4266"/>
      <c r="AH374" s="2865"/>
      <c r="AI374" s="2865"/>
      <c r="AJ374" s="2865"/>
      <c r="AK374" s="2865"/>
    </row>
    <row r="375" spans="1:37">
      <c r="A375" s="2865"/>
      <c r="B375" s="2865"/>
      <c r="N375" s="2580"/>
      <c r="O375" s="2580"/>
      <c r="P375" s="2580"/>
      <c r="Q375" s="2580"/>
      <c r="R375" s="2580"/>
      <c r="S375" s="2580"/>
      <c r="T375" s="1928"/>
      <c r="U375" s="446"/>
      <c r="V375" s="446"/>
      <c r="W375" s="1854"/>
      <c r="X375" s="446"/>
      <c r="Y375" s="446"/>
      <c r="Z375" s="446"/>
      <c r="AA375" s="2868"/>
      <c r="AB375" s="3493" t="s">
        <v>2418</v>
      </c>
      <c r="AC375" s="1633"/>
      <c r="AD375" s="2868"/>
      <c r="AE375" s="2868"/>
      <c r="AF375" s="2868"/>
      <c r="AH375" s="2865"/>
      <c r="AI375" s="2865"/>
      <c r="AJ375" s="2865"/>
      <c r="AK375" s="2865"/>
    </row>
    <row r="376" spans="1:37">
      <c r="A376" s="2865"/>
      <c r="B376" s="2865"/>
      <c r="N376" s="2580"/>
      <c r="O376" s="2580"/>
      <c r="P376" s="2580"/>
      <c r="Q376" s="2580"/>
      <c r="R376" s="2580"/>
      <c r="S376" s="2580"/>
      <c r="T376" s="1928"/>
      <c r="U376" s="446"/>
      <c r="V376" s="446"/>
      <c r="W376" s="1854"/>
      <c r="X376" s="446"/>
      <c r="Y376" s="446"/>
      <c r="Z376" s="446"/>
      <c r="AA376" s="2868"/>
      <c r="AB376" s="2868"/>
      <c r="AC376" s="2868"/>
      <c r="AD376" s="2868"/>
      <c r="AE376" s="2868"/>
      <c r="AF376" s="2868"/>
      <c r="AH376" s="2865"/>
      <c r="AI376" s="2865"/>
      <c r="AJ376" s="2865"/>
      <c r="AK376" s="2865"/>
    </row>
    <row r="377" spans="1:37">
      <c r="A377" s="2865"/>
      <c r="B377" s="2865"/>
      <c r="N377" s="2580"/>
      <c r="O377" s="2580"/>
      <c r="P377" s="2580"/>
      <c r="Q377" s="2580"/>
      <c r="R377" s="2580"/>
      <c r="S377" s="2580"/>
      <c r="T377" s="1928"/>
      <c r="U377" s="446"/>
      <c r="V377" s="446"/>
      <c r="W377" s="1854"/>
      <c r="X377" s="446"/>
      <c r="Y377" s="446"/>
      <c r="Z377" s="446"/>
      <c r="AA377" s="1803" t="s">
        <v>1407</v>
      </c>
      <c r="AB377" s="2868" t="s">
        <v>1452</v>
      </c>
      <c r="AC377" s="2868"/>
      <c r="AD377" s="2868"/>
      <c r="AE377" s="2868"/>
      <c r="AF377" s="2868"/>
      <c r="AH377" s="2865"/>
      <c r="AI377" s="2865"/>
      <c r="AJ377" s="2865"/>
      <c r="AK377" s="2865"/>
    </row>
    <row r="378" spans="1:37" ht="13.15" customHeight="1">
      <c r="A378" s="2865"/>
      <c r="B378" s="2865"/>
      <c r="N378" s="2580"/>
      <c r="O378" s="2580"/>
      <c r="P378" s="2580"/>
      <c r="Q378" s="2580"/>
      <c r="R378" s="2580"/>
      <c r="S378" s="2580"/>
      <c r="T378" s="1928"/>
      <c r="U378" s="446"/>
      <c r="V378" s="446"/>
      <c r="W378" s="1854"/>
      <c r="X378" s="446"/>
      <c r="Y378" s="446"/>
      <c r="Z378" s="446"/>
      <c r="AA378" s="2868"/>
      <c r="AB378" s="1372" t="s">
        <v>1683</v>
      </c>
      <c r="AC378" s="2868"/>
      <c r="AD378" s="2868"/>
      <c r="AE378" s="2868"/>
      <c r="AF378" s="2868"/>
      <c r="AH378" s="2865"/>
      <c r="AI378" s="2865"/>
      <c r="AJ378" s="2865"/>
      <c r="AK378" s="2865"/>
    </row>
    <row r="379" spans="1:37" ht="13.15" customHeight="1">
      <c r="A379" s="2865"/>
      <c r="B379" s="2865"/>
      <c r="N379" s="2580"/>
      <c r="O379" s="2580"/>
      <c r="P379" s="2580"/>
      <c r="Q379" s="2580"/>
      <c r="R379" s="2580"/>
      <c r="S379" s="2580"/>
      <c r="T379" s="1928"/>
      <c r="U379" s="446"/>
      <c r="V379" s="446"/>
      <c r="W379" s="1854"/>
      <c r="X379" s="446"/>
      <c r="Y379" s="446"/>
      <c r="Z379" s="446"/>
      <c r="AA379" s="2868"/>
      <c r="AB379" s="2132" t="s">
        <v>2422</v>
      </c>
      <c r="AC379" s="2868"/>
      <c r="AD379" s="2868"/>
      <c r="AE379" s="2868"/>
      <c r="AF379" s="2868"/>
      <c r="AH379" s="2865"/>
      <c r="AI379" s="2865"/>
      <c r="AJ379" s="2865"/>
      <c r="AK379" s="2865"/>
    </row>
    <row r="380" spans="1:37" ht="13.15" customHeight="1">
      <c r="A380" s="2865"/>
      <c r="B380" s="2865"/>
      <c r="N380" s="2580"/>
      <c r="O380" s="2580"/>
      <c r="P380" s="2580"/>
      <c r="Q380" s="2580"/>
      <c r="R380" s="2580"/>
      <c r="S380" s="2580"/>
      <c r="T380" s="1928"/>
      <c r="U380" s="446"/>
      <c r="V380" s="446"/>
      <c r="W380" s="1854"/>
      <c r="X380" s="446"/>
      <c r="Y380" s="446"/>
      <c r="Z380" s="446"/>
      <c r="AA380" s="2868"/>
      <c r="AB380" s="4267" t="s">
        <v>1678</v>
      </c>
      <c r="AC380" s="4267"/>
      <c r="AD380" s="4267"/>
      <c r="AE380" s="4267"/>
      <c r="AF380" s="4267"/>
      <c r="AH380" s="2865"/>
      <c r="AI380" s="2865"/>
      <c r="AJ380" s="2865"/>
      <c r="AK380" s="2865"/>
    </row>
    <row r="381" spans="1:37" ht="13.15" customHeight="1">
      <c r="A381" s="2865"/>
      <c r="B381" s="2865"/>
      <c r="N381" s="2580"/>
      <c r="O381" s="2580"/>
      <c r="P381" s="2580"/>
      <c r="Q381" s="2580"/>
      <c r="R381" s="2580"/>
      <c r="S381" s="2580"/>
      <c r="T381" s="1928"/>
      <c r="U381" s="446"/>
      <c r="V381" s="446"/>
      <c r="W381" s="1854"/>
      <c r="X381" s="446"/>
      <c r="Y381" s="446"/>
      <c r="Z381" s="446"/>
      <c r="AA381" s="2868"/>
      <c r="AB381" s="4267"/>
      <c r="AC381" s="4267"/>
      <c r="AD381" s="4267"/>
      <c r="AE381" s="4267"/>
      <c r="AF381" s="4267"/>
      <c r="AH381" s="2865"/>
      <c r="AI381" s="2865"/>
      <c r="AJ381" s="2865"/>
      <c r="AK381" s="2865"/>
    </row>
    <row r="382" spans="1:37">
      <c r="A382" s="2865"/>
      <c r="B382" s="2865"/>
      <c r="N382" s="2580"/>
      <c r="O382" s="2580"/>
      <c r="P382" s="2580"/>
      <c r="Q382" s="2580"/>
      <c r="R382" s="2580"/>
      <c r="S382" s="2580"/>
      <c r="T382" s="1928"/>
      <c r="U382" s="446"/>
      <c r="V382" s="446"/>
      <c r="W382" s="1854"/>
      <c r="X382" s="446"/>
      <c r="Y382" s="446"/>
      <c r="Z382" s="446"/>
      <c r="AA382" s="2868"/>
      <c r="AB382" s="4267"/>
      <c r="AC382" s="4267"/>
      <c r="AD382" s="4267"/>
      <c r="AE382" s="4267"/>
      <c r="AF382" s="4267"/>
      <c r="AH382" s="2865"/>
      <c r="AI382" s="2865"/>
      <c r="AJ382" s="2865"/>
      <c r="AK382" s="2865"/>
    </row>
    <row r="383" spans="1:37">
      <c r="A383" s="2865"/>
      <c r="B383" s="2865"/>
      <c r="N383" s="2580"/>
      <c r="O383" s="2580"/>
      <c r="P383" s="2580"/>
      <c r="Q383" s="2580"/>
      <c r="R383" s="2580"/>
      <c r="S383" s="2580"/>
      <c r="T383" s="1928"/>
      <c r="U383" s="446"/>
      <c r="V383" s="446"/>
      <c r="W383" s="1854"/>
      <c r="X383" s="446"/>
      <c r="Y383" s="446"/>
      <c r="Z383" s="446"/>
      <c r="AA383" s="2868"/>
      <c r="AB383" s="4267"/>
      <c r="AC383" s="4267"/>
      <c r="AD383" s="4267"/>
      <c r="AE383" s="4267"/>
      <c r="AF383" s="4267"/>
      <c r="AH383" s="2865"/>
      <c r="AI383" s="2865"/>
      <c r="AJ383" s="2865"/>
      <c r="AK383" s="2865"/>
    </row>
    <row r="384" spans="1:37">
      <c r="A384" s="2865"/>
      <c r="B384" s="2865"/>
      <c r="N384" s="2580"/>
      <c r="O384" s="2580"/>
      <c r="P384" s="2580"/>
      <c r="Q384" s="2580"/>
      <c r="R384" s="2580"/>
      <c r="S384" s="2580"/>
      <c r="T384" s="1928"/>
      <c r="U384" s="446"/>
      <c r="V384" s="446"/>
      <c r="W384" s="1854"/>
      <c r="X384" s="446"/>
      <c r="Y384" s="446"/>
      <c r="Z384" s="446"/>
      <c r="AA384" s="2868"/>
      <c r="AB384" s="4267"/>
      <c r="AC384" s="4267"/>
      <c r="AD384" s="4267"/>
      <c r="AE384" s="4267"/>
      <c r="AF384" s="4267"/>
      <c r="AH384" s="2865"/>
      <c r="AI384" s="2865"/>
      <c r="AJ384" s="2865"/>
      <c r="AK384" s="2865"/>
    </row>
    <row r="385" spans="1:47">
      <c r="A385" s="2865"/>
      <c r="B385" s="2865"/>
      <c r="N385" s="2580"/>
      <c r="O385" s="2580"/>
      <c r="P385" s="2580"/>
      <c r="Q385" s="2580"/>
      <c r="R385" s="2580"/>
      <c r="S385" s="2580"/>
      <c r="T385" s="1928"/>
      <c r="U385" s="446"/>
      <c r="V385" s="446"/>
      <c r="W385" s="1854"/>
      <c r="X385" s="446"/>
      <c r="Y385" s="446"/>
      <c r="Z385" s="446"/>
      <c r="AA385" s="2868"/>
      <c r="AB385" s="4267"/>
      <c r="AC385" s="4267"/>
      <c r="AD385" s="4267"/>
      <c r="AE385" s="4267"/>
      <c r="AF385" s="4267"/>
      <c r="AH385" s="2865"/>
      <c r="AI385" s="2865"/>
      <c r="AJ385" s="2865"/>
      <c r="AK385" s="2865"/>
    </row>
    <row r="386" spans="1:47">
      <c r="A386" s="2865"/>
      <c r="B386" s="2865"/>
      <c r="N386" s="2580"/>
      <c r="O386" s="2580"/>
      <c r="P386" s="2580"/>
      <c r="Q386" s="2580"/>
      <c r="R386" s="2580"/>
      <c r="S386" s="2580"/>
      <c r="T386" s="1928"/>
      <c r="U386" s="446"/>
      <c r="V386" s="446"/>
      <c r="W386" s="1854"/>
      <c r="X386" s="446"/>
      <c r="Y386" s="446"/>
      <c r="Z386" s="446"/>
      <c r="AA386" s="2868"/>
      <c r="AB386" s="4267"/>
      <c r="AC386" s="4267"/>
      <c r="AD386" s="4267"/>
      <c r="AE386" s="4267"/>
      <c r="AF386" s="4267"/>
      <c r="AH386" s="2865"/>
      <c r="AI386" s="2865"/>
      <c r="AJ386" s="2865"/>
      <c r="AK386" s="2865"/>
    </row>
    <row r="387" spans="1:47" ht="13.15" customHeight="1">
      <c r="A387" s="2865"/>
      <c r="B387" s="2865"/>
      <c r="N387" s="2580"/>
      <c r="O387" s="2580"/>
      <c r="P387" s="2580"/>
      <c r="Q387" s="2580"/>
      <c r="R387" s="2580"/>
      <c r="S387" s="2580"/>
      <c r="T387" s="1928"/>
      <c r="U387" s="446"/>
      <c r="V387" s="446"/>
      <c r="W387" s="1854"/>
      <c r="X387" s="446"/>
      <c r="Y387" s="446"/>
      <c r="Z387" s="446"/>
      <c r="AA387" s="2868"/>
      <c r="AB387" s="4266" t="s">
        <v>2423</v>
      </c>
      <c r="AC387" s="4266"/>
      <c r="AD387" s="4266"/>
      <c r="AE387" s="4266"/>
      <c r="AF387" s="4266"/>
      <c r="AH387" s="2865"/>
      <c r="AI387" s="2865"/>
      <c r="AJ387" s="2865"/>
      <c r="AK387" s="2865"/>
    </row>
    <row r="388" spans="1:47" ht="13.15" customHeight="1">
      <c r="A388" s="2865"/>
      <c r="B388" s="2865"/>
      <c r="N388" s="2580"/>
      <c r="O388" s="2580"/>
      <c r="P388" s="2580"/>
      <c r="Q388" s="2580"/>
      <c r="R388" s="2580"/>
      <c r="S388" s="2580"/>
      <c r="T388" s="1928"/>
      <c r="U388" s="446"/>
      <c r="V388" s="446"/>
      <c r="W388" s="1854"/>
      <c r="X388" s="446"/>
      <c r="Y388" s="446"/>
      <c r="Z388" s="446"/>
      <c r="AA388" s="2868"/>
      <c r="AB388" s="4266"/>
      <c r="AC388" s="4266"/>
      <c r="AD388" s="4266"/>
      <c r="AE388" s="4266"/>
      <c r="AF388" s="4266"/>
      <c r="AH388" s="3494" t="s">
        <v>2420</v>
      </c>
      <c r="AI388" s="1617" t="s">
        <v>1453</v>
      </c>
      <c r="AJ388" s="110"/>
      <c r="AK388" s="2865"/>
    </row>
    <row r="389" spans="1:47" ht="13.15" customHeight="1">
      <c r="A389" s="2865"/>
      <c r="B389" s="2865"/>
      <c r="N389" s="2580"/>
      <c r="O389" s="2580"/>
      <c r="P389" s="2580"/>
      <c r="Q389" s="2580"/>
      <c r="R389" s="2580"/>
      <c r="S389" s="2580"/>
      <c r="T389" s="1928"/>
      <c r="U389" s="446"/>
      <c r="V389" s="446"/>
      <c r="W389" s="1854"/>
      <c r="X389" s="446"/>
      <c r="Y389" s="446"/>
      <c r="Z389" s="446"/>
      <c r="AA389" s="2868"/>
      <c r="AB389" s="4195" t="s">
        <v>2424</v>
      </c>
      <c r="AC389" s="4195"/>
      <c r="AD389" s="4195"/>
      <c r="AE389" s="4195"/>
      <c r="AF389" s="4195"/>
      <c r="AH389" s="2865"/>
      <c r="AI389" s="2865"/>
      <c r="AJ389" s="2865"/>
      <c r="AK389" s="2865"/>
    </row>
    <row r="390" spans="1:47" ht="13.15" customHeight="1">
      <c r="A390" s="2865"/>
      <c r="B390" s="2865"/>
      <c r="N390" s="2580"/>
      <c r="O390" s="2580"/>
      <c r="P390" s="2580"/>
      <c r="Q390" s="2580"/>
      <c r="R390" s="2580"/>
      <c r="S390" s="2580"/>
      <c r="T390" s="1928"/>
      <c r="U390" s="446"/>
      <c r="V390" s="446"/>
      <c r="W390" s="1854"/>
      <c r="X390" s="446"/>
      <c r="Y390" s="446"/>
      <c r="Z390" s="446"/>
      <c r="AA390" s="2868"/>
      <c r="AB390" s="4195"/>
      <c r="AC390" s="4195"/>
      <c r="AD390" s="4195"/>
      <c r="AE390" s="4195"/>
      <c r="AF390" s="4195"/>
      <c r="AH390" s="3968" t="s">
        <v>2751</v>
      </c>
      <c r="AI390" s="2865"/>
      <c r="AJ390" s="2865"/>
      <c r="AK390" s="2865"/>
    </row>
    <row r="391" spans="1:47">
      <c r="A391" s="2865"/>
      <c r="B391" s="2865"/>
      <c r="N391" s="2580"/>
      <c r="O391" s="2580"/>
      <c r="P391" s="2580"/>
      <c r="Q391" s="2580"/>
      <c r="R391" s="2580"/>
      <c r="S391" s="2580"/>
      <c r="T391" s="1928"/>
      <c r="U391" s="446"/>
      <c r="V391" s="446"/>
      <c r="W391" s="1854"/>
      <c r="X391" s="446"/>
      <c r="Y391" s="446"/>
      <c r="Z391" s="446"/>
      <c r="AA391" s="2868"/>
      <c r="AB391" s="4195"/>
      <c r="AC391" s="4195"/>
      <c r="AD391" s="4195"/>
      <c r="AE391" s="4195"/>
      <c r="AF391" s="4195"/>
      <c r="AH391" s="2865"/>
      <c r="AI391" s="2865"/>
      <c r="AJ391" s="2865"/>
      <c r="AK391" s="2865"/>
    </row>
    <row r="392" spans="1:47">
      <c r="A392" s="2865"/>
      <c r="B392" s="2865"/>
      <c r="N392" s="2580"/>
      <c r="O392" s="2580"/>
      <c r="P392" s="2580"/>
      <c r="Q392" s="2580"/>
      <c r="R392" s="2580"/>
      <c r="S392" s="2580"/>
      <c r="T392" s="2868"/>
      <c r="U392" s="446"/>
      <c r="V392" s="446"/>
      <c r="W392" s="1854"/>
      <c r="X392" s="446"/>
      <c r="Y392" s="446"/>
      <c r="Z392" s="446"/>
      <c r="AA392" s="2868"/>
      <c r="AB392" s="2868"/>
      <c r="AC392" s="2868"/>
      <c r="AD392" s="2868"/>
      <c r="AE392" s="2868"/>
      <c r="AF392" s="2868"/>
      <c r="AH392" s="2865"/>
      <c r="AI392" s="2865"/>
      <c r="AJ392" s="2865"/>
      <c r="AK392" s="2865"/>
    </row>
    <row r="393" spans="1:47">
      <c r="A393" s="2398"/>
      <c r="N393" s="2580"/>
      <c r="O393" s="2580"/>
      <c r="P393" s="2580"/>
      <c r="Q393" s="2580"/>
      <c r="R393" s="2580"/>
      <c r="S393" s="2580"/>
      <c r="T393" s="2399"/>
      <c r="U393" s="2563"/>
      <c r="V393" s="2563"/>
      <c r="W393" s="2787"/>
      <c r="X393" s="2563"/>
      <c r="Y393" s="2563"/>
      <c r="Z393" s="2563"/>
      <c r="AB393" s="2399"/>
      <c r="AC393" s="2399"/>
      <c r="AD393" s="2399"/>
      <c r="AE393" s="2399"/>
    </row>
    <row r="394" spans="1:47" s="2748" customFormat="1">
      <c r="A394" s="1175" t="s">
        <v>2312</v>
      </c>
      <c r="B394" s="3440"/>
      <c r="C394" s="1198"/>
      <c r="D394" s="1199"/>
      <c r="E394" s="1198"/>
      <c r="F394" s="1199"/>
      <c r="G394" s="1198"/>
      <c r="H394" s="1199"/>
      <c r="I394" s="1198"/>
      <c r="J394" s="1199"/>
      <c r="K394" s="1198"/>
      <c r="L394" s="1199"/>
      <c r="M394" s="1198"/>
      <c r="N394" s="1199"/>
      <c r="O394" s="1198"/>
      <c r="P394" s="1199"/>
      <c r="Q394" s="1198"/>
      <c r="R394" s="118"/>
      <c r="T394" s="118"/>
      <c r="U394" s="118"/>
      <c r="V394" s="118"/>
      <c r="W394" s="118"/>
      <c r="X394" s="118"/>
      <c r="Y394" s="118"/>
      <c r="Z394" s="118"/>
      <c r="AA394" s="118"/>
      <c r="AB394" s="118"/>
      <c r="AC394" s="118"/>
      <c r="AD394" s="118"/>
      <c r="AE394" s="118"/>
      <c r="AF394" s="1926"/>
      <c r="AG394" s="2745"/>
      <c r="AH394" s="2745"/>
      <c r="AI394" s="2745"/>
      <c r="AJ394" s="2745"/>
      <c r="AK394" s="2745"/>
      <c r="AL394" s="2745"/>
      <c r="AM394" s="2745"/>
      <c r="AN394" s="2745"/>
      <c r="AO394" s="2745"/>
      <c r="AP394" s="2745"/>
      <c r="AT394" s="2745"/>
      <c r="AU394" s="2745"/>
    </row>
    <row r="395" spans="1:47" ht="3.75" customHeight="1">
      <c r="T395" s="2399"/>
      <c r="U395" s="2399"/>
      <c r="V395" s="2399"/>
      <c r="W395" s="2399"/>
      <c r="X395" s="2399"/>
      <c r="Y395" s="2399"/>
      <c r="Z395" s="2399"/>
      <c r="AA395" s="2399"/>
      <c r="AB395" s="2399"/>
      <c r="AC395" s="2399"/>
      <c r="AD395" s="2399"/>
      <c r="AE395" s="2399"/>
      <c r="AH395" s="2399"/>
      <c r="AI395" s="2399"/>
      <c r="AJ395" s="2399"/>
      <c r="AK395" s="2399"/>
      <c r="AL395" s="2399"/>
      <c r="AM395" s="2399"/>
      <c r="AN395" s="2399"/>
      <c r="AO395" s="2399"/>
      <c r="AP395" s="2399"/>
    </row>
    <row r="396" spans="1:47">
      <c r="A396" s="3407"/>
      <c r="B396" s="3407"/>
      <c r="N396" s="2580"/>
      <c r="O396" s="2580"/>
      <c r="P396" s="2580"/>
      <c r="Q396" s="2580"/>
      <c r="R396" s="2580"/>
      <c r="S396" s="2580"/>
      <c r="T396" s="1928"/>
      <c r="U396" s="3153"/>
      <c r="V396" s="3153"/>
      <c r="W396" s="1854"/>
      <c r="X396" s="3153"/>
      <c r="Y396" s="3153"/>
      <c r="Z396" s="3153"/>
      <c r="AA396" s="3398"/>
      <c r="AB396" s="3398"/>
      <c r="AC396" s="3398"/>
      <c r="AD396" s="3398"/>
      <c r="AE396" s="3398"/>
      <c r="AF396" s="3398"/>
    </row>
    <row r="397" spans="1:47">
      <c r="A397" s="3443" t="s">
        <v>2425</v>
      </c>
      <c r="B397" s="3374" t="s">
        <v>750</v>
      </c>
      <c r="N397" s="2580"/>
      <c r="O397" s="2580"/>
      <c r="P397" s="2580"/>
      <c r="Q397" s="2580"/>
      <c r="R397" s="2580"/>
      <c r="S397" s="2580"/>
      <c r="T397" s="4239" t="s">
        <v>2426</v>
      </c>
      <c r="U397" s="4239"/>
      <c r="V397" s="3347">
        <f>'Equity Analysts Forecasts '!AT12</f>
        <v>1.832171899048457</v>
      </c>
      <c r="W397" s="4231" t="s">
        <v>2427</v>
      </c>
      <c r="X397" s="4231"/>
      <c r="Y397" s="2870">
        <f>CALCULATIONS!ED7</f>
        <v>2.2371626971660407E-2</v>
      </c>
      <c r="Z397" s="1616" t="s">
        <v>2369</v>
      </c>
      <c r="AA397" s="3344">
        <f>V397/(1+Y397)</f>
        <v>1.7920801504199448</v>
      </c>
      <c r="AB397" s="3398"/>
      <c r="AC397" s="3398"/>
      <c r="AD397" s="3398"/>
      <c r="AE397" s="3398"/>
      <c r="AF397" s="3398"/>
    </row>
    <row r="398" spans="1:47">
      <c r="A398" s="1683"/>
      <c r="B398" s="3374" t="s">
        <v>751</v>
      </c>
      <c r="N398" s="2580"/>
      <c r="O398" s="2580"/>
      <c r="P398" s="2580"/>
      <c r="Q398" s="2580"/>
      <c r="R398" s="2580"/>
      <c r="S398" s="2580"/>
      <c r="T398" s="4239"/>
      <c r="U398" s="4239"/>
      <c r="V398" s="3347">
        <f>'Equity Analysts Forecasts '!AT21</f>
        <v>1.5023040657874065</v>
      </c>
      <c r="W398" s="4231"/>
      <c r="X398" s="4231"/>
      <c r="Y398" s="2870">
        <f>CALCULATIONS!ED8</f>
        <v>0.11738859798000174</v>
      </c>
      <c r="Z398" s="116"/>
      <c r="AA398" s="3344">
        <f>V398/(1+Y398)</f>
        <v>1.3444777121435185</v>
      </c>
      <c r="AB398" s="3312" t="s">
        <v>2429</v>
      </c>
      <c r="AC398" s="3398"/>
      <c r="AD398" s="3398"/>
      <c r="AE398" s="3398"/>
      <c r="AF398" s="3398"/>
    </row>
    <row r="399" spans="1:47">
      <c r="A399" s="1683"/>
      <c r="B399" s="3374" t="s">
        <v>752</v>
      </c>
      <c r="N399" s="2580"/>
      <c r="O399" s="2580"/>
      <c r="P399" s="2580"/>
      <c r="Q399" s="2580"/>
      <c r="R399" s="2580"/>
      <c r="S399" s="2580"/>
      <c r="T399" s="4239"/>
      <c r="U399" s="4239"/>
      <c r="V399" s="3347">
        <f>'Equity Analysts Forecasts '!AT29</f>
        <v>-1.3502436532599942</v>
      </c>
      <c r="W399" s="4231"/>
      <c r="X399" s="4231"/>
      <c r="Y399" s="2870">
        <f>CALCULATIONS!ED9</f>
        <v>6.6876532321837193E-3</v>
      </c>
      <c r="Z399" s="116"/>
      <c r="AA399" s="3344">
        <f>V399/(1+Y399)</f>
        <v>-1.3412736799987077</v>
      </c>
      <c r="AB399" s="3398"/>
      <c r="AC399" s="3398"/>
      <c r="AD399" s="3398"/>
      <c r="AE399" s="3398"/>
      <c r="AF399" s="3398"/>
    </row>
    <row r="400" spans="1:47">
      <c r="A400" s="3407"/>
      <c r="B400" s="3407"/>
      <c r="N400" s="2580"/>
      <c r="O400" s="2580"/>
      <c r="P400" s="2580"/>
      <c r="Q400" s="2580"/>
      <c r="R400" s="2580"/>
      <c r="S400" s="2580"/>
      <c r="T400" s="1928"/>
      <c r="U400" s="3153"/>
      <c r="V400" s="3153"/>
      <c r="W400" s="1854"/>
      <c r="X400" s="3153"/>
      <c r="Y400" s="3153"/>
      <c r="Z400" s="3153"/>
      <c r="AA400" s="3398"/>
      <c r="AB400" s="3398"/>
      <c r="AC400" s="3398"/>
      <c r="AD400" s="3398"/>
      <c r="AE400" s="3398"/>
      <c r="AF400" s="3398"/>
    </row>
    <row r="401" spans="1:42" ht="3.75" customHeight="1">
      <c r="T401" s="2399"/>
      <c r="U401" s="2399"/>
      <c r="V401" s="2399"/>
      <c r="W401" s="2399"/>
      <c r="X401" s="2399"/>
      <c r="Y401" s="2399"/>
      <c r="Z401" s="2399"/>
      <c r="AA401" s="2399"/>
      <c r="AB401" s="2399"/>
      <c r="AC401" s="2399"/>
      <c r="AD401" s="2399"/>
      <c r="AE401" s="2399"/>
      <c r="AH401" s="2399"/>
      <c r="AI401" s="2399"/>
      <c r="AJ401" s="2399"/>
      <c r="AK401" s="2399"/>
      <c r="AL401" s="2399"/>
      <c r="AM401" s="2399"/>
      <c r="AN401" s="2399"/>
      <c r="AO401" s="2399"/>
      <c r="AP401" s="2399"/>
    </row>
    <row r="402" spans="1:42">
      <c r="A402" s="3407"/>
      <c r="B402" s="3407"/>
      <c r="N402" s="2580"/>
      <c r="O402" s="2580"/>
      <c r="P402" s="2580"/>
      <c r="Q402" s="2580"/>
      <c r="R402" s="2580"/>
      <c r="S402" s="2580"/>
      <c r="T402" s="1929"/>
      <c r="U402" s="3153"/>
      <c r="V402" s="3153"/>
      <c r="W402" s="1854"/>
      <c r="X402" s="3153"/>
      <c r="Y402" s="3153"/>
      <c r="Z402" s="3153"/>
      <c r="AA402" s="3398"/>
      <c r="AB402" s="3398"/>
      <c r="AC402" s="3398"/>
      <c r="AD402" s="3398"/>
      <c r="AE402" s="3398"/>
      <c r="AF402" s="3398"/>
    </row>
    <row r="403" spans="1:42" ht="12.75" customHeight="1">
      <c r="A403" s="3407"/>
      <c r="B403" s="3407"/>
      <c r="N403" s="2580"/>
      <c r="O403" s="2580"/>
      <c r="P403" s="2580"/>
      <c r="Q403" s="2580"/>
      <c r="R403" s="2580"/>
      <c r="S403" s="2580"/>
      <c r="T403" s="4258" t="s">
        <v>2443</v>
      </c>
      <c r="U403" s="4258"/>
      <c r="V403" s="4258"/>
      <c r="W403" s="4258"/>
      <c r="X403" s="4258"/>
      <c r="Y403" s="3153"/>
      <c r="Z403" s="3153"/>
      <c r="AA403" s="3398" t="s">
        <v>2442</v>
      </c>
      <c r="AB403" s="92"/>
      <c r="AC403" s="92"/>
      <c r="AD403" s="92"/>
      <c r="AE403" s="92"/>
      <c r="AF403" s="108"/>
    </row>
    <row r="404" spans="1:42" ht="12.75" customHeight="1">
      <c r="A404" s="1384" t="s">
        <v>2431</v>
      </c>
      <c r="B404" s="3374" t="s">
        <v>750</v>
      </c>
      <c r="N404" s="2580"/>
      <c r="O404" s="2580"/>
      <c r="P404" s="2580"/>
      <c r="Q404" s="2580"/>
      <c r="R404" s="2580"/>
      <c r="S404" s="2580"/>
      <c r="T404" s="4258"/>
      <c r="U404" s="4258"/>
      <c r="V404" s="4258"/>
      <c r="W404" s="4258"/>
      <c r="X404" s="4258"/>
      <c r="Y404" s="3347">
        <f>AA269-AA262</f>
        <v>0.89999999999999969</v>
      </c>
      <c r="Z404" s="3153"/>
      <c r="AA404" s="3445">
        <f>AA397-Y404</f>
        <v>0.89208015041994515</v>
      </c>
      <c r="AB404" s="4264" t="s">
        <v>2760</v>
      </c>
      <c r="AC404" s="4248"/>
      <c r="AD404" s="4248"/>
      <c r="AE404" s="4248"/>
      <c r="AF404" s="4248"/>
    </row>
    <row r="405" spans="1:42">
      <c r="A405" s="1683"/>
      <c r="B405" s="3374" t="s">
        <v>751</v>
      </c>
      <c r="N405" s="2580"/>
      <c r="O405" s="2580"/>
      <c r="P405" s="2580"/>
      <c r="Q405" s="2580"/>
      <c r="R405" s="2580"/>
      <c r="S405" s="2580"/>
      <c r="T405" s="4258"/>
      <c r="U405" s="4258"/>
      <c r="V405" s="4258"/>
      <c r="W405" s="4258"/>
      <c r="X405" s="4258"/>
      <c r="Y405" s="3347">
        <f t="shared" ref="Y405:Y406" si="23">AA270-AA263</f>
        <v>0</v>
      </c>
      <c r="Z405" s="3153"/>
      <c r="AA405" s="3344">
        <f>AA398-Y405</f>
        <v>1.3444777121435185</v>
      </c>
      <c r="AB405" s="4264"/>
      <c r="AC405" s="4248"/>
      <c r="AD405" s="4248"/>
      <c r="AE405" s="4248"/>
      <c r="AF405" s="4248"/>
    </row>
    <row r="406" spans="1:42" ht="12.75" customHeight="1">
      <c r="A406" s="1683"/>
      <c r="B406" s="3374" t="s">
        <v>752</v>
      </c>
      <c r="N406" s="2580"/>
      <c r="O406" s="2580"/>
      <c r="P406" s="2580"/>
      <c r="Q406" s="2580"/>
      <c r="R406" s="2580"/>
      <c r="S406" s="2580"/>
      <c r="T406" s="3502" t="s">
        <v>2444</v>
      </c>
      <c r="U406" s="3514"/>
      <c r="V406" s="3514"/>
      <c r="W406" s="3514"/>
      <c r="X406" s="3514"/>
      <c r="Y406" s="3347">
        <f t="shared" si="23"/>
        <v>0</v>
      </c>
      <c r="Z406" s="3153"/>
      <c r="AA406" s="3499">
        <f>AA404</f>
        <v>0.89208015041994515</v>
      </c>
      <c r="AB406" s="4264"/>
      <c r="AC406" s="4248"/>
      <c r="AD406" s="4248"/>
      <c r="AE406" s="4248"/>
      <c r="AF406" s="4248"/>
    </row>
    <row r="407" spans="1:42" s="2398" customFormat="1" ht="12.75" customHeight="1">
      <c r="A407" s="1683"/>
      <c r="B407" s="3153"/>
      <c r="N407" s="2580"/>
      <c r="O407" s="2580"/>
      <c r="P407" s="2580"/>
      <c r="Q407" s="2580"/>
      <c r="R407" s="2580"/>
      <c r="S407" s="2580"/>
      <c r="T407" s="3502"/>
      <c r="U407" s="3514"/>
      <c r="V407" s="3514"/>
      <c r="W407" s="3514"/>
      <c r="X407" s="3514"/>
      <c r="Y407" s="3515"/>
      <c r="Z407" s="3153"/>
      <c r="AA407" s="3153"/>
      <c r="AB407" s="3402"/>
      <c r="AC407" s="3402"/>
      <c r="AD407" s="3402"/>
      <c r="AE407" s="3402"/>
      <c r="AF407" s="3402"/>
      <c r="AG407" s="2399"/>
    </row>
    <row r="408" spans="1:42" s="2398" customFormat="1" ht="12.75" customHeight="1">
      <c r="A408" s="1683"/>
      <c r="B408" s="3153"/>
      <c r="N408" s="2580"/>
      <c r="O408" s="2580"/>
      <c r="P408" s="2580"/>
      <c r="Q408" s="2580"/>
      <c r="R408" s="2563"/>
      <c r="S408" s="2580"/>
      <c r="T408" s="2753" t="s">
        <v>2445</v>
      </c>
      <c r="U408" s="3275"/>
      <c r="V408" s="3275"/>
      <c r="W408" s="3275"/>
      <c r="X408" s="3275"/>
      <c r="Y408" s="3515"/>
      <c r="Z408" s="105"/>
      <c r="AA408" s="105"/>
      <c r="AB408" s="92"/>
      <c r="AC408" s="3397"/>
      <c r="AD408" s="3397"/>
      <c r="AE408" s="3397"/>
      <c r="AF408" s="3397"/>
      <c r="AG408" s="2399"/>
    </row>
    <row r="409" spans="1:42" s="2398" customFormat="1" ht="12.75" customHeight="1">
      <c r="A409" s="1683"/>
      <c r="B409" s="3153"/>
      <c r="N409" s="2580"/>
      <c r="O409" s="2580"/>
      <c r="P409" s="2580"/>
      <c r="Q409" s="2580"/>
      <c r="R409" s="2580"/>
      <c r="S409" s="2580"/>
      <c r="T409" s="4268" t="s">
        <v>2483</v>
      </c>
      <c r="U409" s="4268"/>
      <c r="V409" s="4268"/>
      <c r="W409" s="4268"/>
      <c r="X409" s="4268"/>
      <c r="Y409" s="4268"/>
      <c r="Z409" s="4268"/>
      <c r="AA409" s="4268"/>
      <c r="AB409" s="4268"/>
      <c r="AC409" s="4268"/>
      <c r="AD409" s="4268"/>
      <c r="AE409" s="4268"/>
      <c r="AF409" s="4268"/>
      <c r="AG409" s="2399"/>
    </row>
    <row r="410" spans="1:42" s="2398" customFormat="1" ht="12.75" customHeight="1">
      <c r="A410" s="1683"/>
      <c r="B410" s="3153"/>
      <c r="N410" s="2580"/>
      <c r="O410" s="2580"/>
      <c r="P410" s="2580"/>
      <c r="Q410" s="2580"/>
      <c r="R410" s="2580"/>
      <c r="S410" s="2580"/>
      <c r="T410" s="4268"/>
      <c r="U410" s="4268"/>
      <c r="V410" s="4268"/>
      <c r="W410" s="4268"/>
      <c r="X410" s="4268"/>
      <c r="Y410" s="4268"/>
      <c r="Z410" s="4268"/>
      <c r="AA410" s="4268"/>
      <c r="AB410" s="4268"/>
      <c r="AC410" s="4268"/>
      <c r="AD410" s="4268"/>
      <c r="AE410" s="4268"/>
      <c r="AF410" s="4268"/>
      <c r="AG410" s="2399"/>
    </row>
    <row r="411" spans="1:42" s="2398" customFormat="1" ht="12.75" customHeight="1">
      <c r="A411" s="1683"/>
      <c r="B411" s="3153"/>
      <c r="N411" s="2580"/>
      <c r="O411" s="2580"/>
      <c r="P411" s="2580"/>
      <c r="Q411" s="2580"/>
      <c r="R411" s="2580"/>
      <c r="S411" s="2580"/>
      <c r="T411" s="3502"/>
      <c r="U411" s="3514"/>
      <c r="V411" s="3514"/>
      <c r="W411" s="3514"/>
      <c r="X411" s="3514"/>
      <c r="Y411" s="3515"/>
      <c r="Z411" s="3153"/>
      <c r="AA411" s="3153"/>
      <c r="AB411" s="3402"/>
      <c r="AC411" s="3402"/>
      <c r="AD411" s="3402"/>
      <c r="AE411" s="3402"/>
      <c r="AF411" s="3402"/>
      <c r="AG411" s="2399"/>
    </row>
    <row r="412" spans="1:42" s="2398" customFormat="1">
      <c r="A412" s="1683"/>
      <c r="B412" s="3380" t="s">
        <v>769</v>
      </c>
      <c r="N412" s="2580"/>
      <c r="O412" s="2580"/>
      <c r="P412" s="2580"/>
      <c r="Q412" s="2580"/>
      <c r="R412" s="2580"/>
      <c r="S412" s="2580"/>
      <c r="T412" s="3502"/>
      <c r="U412" s="3153"/>
      <c r="V412" s="3153"/>
      <c r="W412" s="1854"/>
      <c r="X412" s="3153"/>
      <c r="Y412" s="3153"/>
      <c r="Z412" s="3153"/>
      <c r="AA412" s="2715">
        <f>AA404</f>
        <v>0.89208015041994515</v>
      </c>
      <c r="AB412" s="1616" t="s">
        <v>2446</v>
      </c>
      <c r="AC412" s="1482"/>
      <c r="AD412" s="1482"/>
      <c r="AE412" s="1482"/>
      <c r="AF412" s="1482"/>
      <c r="AG412" s="2399"/>
    </row>
    <row r="413" spans="1:42" s="2398" customFormat="1">
      <c r="A413" s="3407"/>
      <c r="B413" s="3380" t="s">
        <v>770</v>
      </c>
      <c r="N413" s="2580"/>
      <c r="O413" s="2580"/>
      <c r="P413" s="2580"/>
      <c r="Q413" s="2580"/>
      <c r="R413" s="2580"/>
      <c r="S413" s="2580"/>
      <c r="T413" s="1929"/>
      <c r="U413" s="3153"/>
      <c r="V413" s="3153"/>
      <c r="W413" s="1854"/>
      <c r="X413" s="3153"/>
      <c r="Y413" s="3153"/>
      <c r="Z413" s="3153"/>
      <c r="AA413" s="2715">
        <f>AA398</f>
        <v>1.3444777121435185</v>
      </c>
      <c r="AB413" s="92"/>
      <c r="AC413" s="3398"/>
      <c r="AD413" s="3398"/>
      <c r="AE413" s="3398"/>
      <c r="AF413" s="3398"/>
      <c r="AG413" s="2399"/>
    </row>
    <row r="414" spans="1:42" s="2398" customFormat="1">
      <c r="A414" s="3407"/>
      <c r="B414" s="3407"/>
      <c r="N414" s="2580"/>
      <c r="O414" s="2580"/>
      <c r="P414" s="2580"/>
      <c r="Q414" s="2580"/>
      <c r="R414" s="2580"/>
      <c r="S414" s="2580"/>
      <c r="T414" s="1929"/>
      <c r="U414" s="3153"/>
      <c r="V414" s="3153"/>
      <c r="W414" s="1854"/>
      <c r="X414" s="3153"/>
      <c r="Y414" s="3153"/>
      <c r="Z414" s="3153"/>
      <c r="AA414" s="92"/>
      <c r="AB414" s="3398"/>
      <c r="AC414" s="3398"/>
      <c r="AD414" s="3398"/>
      <c r="AE414" s="3398"/>
      <c r="AF414" s="3398"/>
      <c r="AG414" s="2399"/>
    </row>
    <row r="415" spans="1:42" s="2398" customFormat="1">
      <c r="A415" s="3407"/>
      <c r="B415" s="3407"/>
      <c r="N415" s="2580"/>
      <c r="O415" s="2580"/>
      <c r="P415" s="2580"/>
      <c r="Q415" s="2580"/>
      <c r="R415" s="2580"/>
      <c r="S415" s="2580"/>
      <c r="T415" s="1929"/>
      <c r="U415" s="3153"/>
      <c r="V415" s="3153"/>
      <c r="W415" s="1854"/>
      <c r="X415" s="92"/>
      <c r="Y415" s="3153"/>
      <c r="Z415" s="3153"/>
      <c r="AA415" s="1641" t="s">
        <v>1387</v>
      </c>
      <c r="AB415" s="3398"/>
      <c r="AC415" s="3398"/>
      <c r="AD415" s="3398"/>
      <c r="AE415" s="3398"/>
      <c r="AF415" s="2837"/>
      <c r="AG415" s="2399"/>
      <c r="AH415" s="92"/>
      <c r="AI415" s="92"/>
      <c r="AJ415" s="92"/>
      <c r="AK415" s="92"/>
      <c r="AL415" s="92"/>
      <c r="AM415" s="92"/>
      <c r="AN415" s="92"/>
      <c r="AO415" s="92"/>
    </row>
    <row r="416" spans="1:42" s="2398" customFormat="1">
      <c r="A416" s="3407"/>
      <c r="B416" s="3407"/>
      <c r="N416" s="2580"/>
      <c r="O416" s="2580"/>
      <c r="P416" s="2580"/>
      <c r="Q416" s="2580"/>
      <c r="R416" s="2580"/>
      <c r="S416" s="2580"/>
      <c r="T416" s="3312"/>
      <c r="U416" s="92"/>
      <c r="V416" s="1555" t="s">
        <v>2434</v>
      </c>
      <c r="W416" s="1555" t="s">
        <v>2435</v>
      </c>
      <c r="X416" s="3507" t="s">
        <v>1407</v>
      </c>
      <c r="Y416" s="108" t="s">
        <v>2436</v>
      </c>
      <c r="Z416" s="3506" t="s">
        <v>1407</v>
      </c>
      <c r="AA416" s="567" t="s">
        <v>2437</v>
      </c>
      <c r="AB416" s="108"/>
      <c r="AC416" s="1559" t="s">
        <v>2447</v>
      </c>
      <c r="AD416" s="1561" t="s">
        <v>2432</v>
      </c>
      <c r="AE416" s="108" t="s">
        <v>2381</v>
      </c>
      <c r="AF416" s="108">
        <v>2010</v>
      </c>
      <c r="AG416" s="2399"/>
      <c r="AH416" s="3366" t="s">
        <v>997</v>
      </c>
      <c r="AI416" s="3557" t="s">
        <v>2381</v>
      </c>
      <c r="AJ416" s="92"/>
      <c r="AK416" s="1555" t="s">
        <v>2460</v>
      </c>
      <c r="AL416" s="1555" t="s">
        <v>2463</v>
      </c>
      <c r="AM416" s="1555" t="s">
        <v>2461</v>
      </c>
      <c r="AN416" s="1555" t="s">
        <v>2462</v>
      </c>
      <c r="AO416" s="92"/>
    </row>
    <row r="417" spans="1:41" s="2398" customFormat="1" ht="12.75" customHeight="1">
      <c r="A417" s="1384" t="s">
        <v>2430</v>
      </c>
      <c r="B417" s="3374" t="s">
        <v>750</v>
      </c>
      <c r="N417" s="2580"/>
      <c r="O417" s="2580"/>
      <c r="P417" s="2580"/>
      <c r="Q417" s="2580"/>
      <c r="R417" s="2580"/>
      <c r="S417" s="2580"/>
      <c r="T417" s="4231" t="s">
        <v>2449</v>
      </c>
      <c r="U417" s="4259"/>
      <c r="V417" s="3381">
        <f>AK288</f>
        <v>5.5</v>
      </c>
      <c r="W417" s="3381">
        <f>AA269</f>
        <v>2.2999999999999998</v>
      </c>
      <c r="X417" s="1555"/>
      <c r="Y417" s="3351">
        <f>$V417-W417</f>
        <v>3.2</v>
      </c>
      <c r="Z417" s="3500"/>
      <c r="AA417" s="1821">
        <f>AA404/Y417</f>
        <v>0.27877504700623285</v>
      </c>
      <c r="AB417" s="108"/>
      <c r="AC417" s="3518" t="str">
        <f>CONCATENATE(ROUND(1/AA417,1),"x")</f>
        <v>3,6x</v>
      </c>
      <c r="AD417" s="108"/>
      <c r="AE417" s="3533">
        <v>0.55555555555555558</v>
      </c>
      <c r="AF417" s="3520">
        <v>0.24</v>
      </c>
      <c r="AG417" s="2399"/>
      <c r="AH417" s="3365"/>
      <c r="AI417" s="3510" t="str">
        <f>CONCATENATE(ROUND(1/AE417,1),"x")</f>
        <v>1,8x</v>
      </c>
      <c r="AJ417" s="92"/>
      <c r="AK417" s="3559">
        <f t="shared" ref="AK417:AL419" si="24">$V417-AB269</f>
        <v>3.5</v>
      </c>
      <c r="AL417" s="3560">
        <f t="shared" si="24"/>
        <v>3</v>
      </c>
      <c r="AM417" s="3559">
        <f t="shared" ref="AM417:AN419" si="25">$AA404/AK417</f>
        <v>0.25488004297712719</v>
      </c>
      <c r="AN417" s="3560">
        <f t="shared" si="25"/>
        <v>0.29736005013998174</v>
      </c>
      <c r="AO417" s="92"/>
    </row>
    <row r="418" spans="1:41" s="2398" customFormat="1">
      <c r="A418" s="1683"/>
      <c r="B418" s="3374" t="s">
        <v>751</v>
      </c>
      <c r="N418" s="2580"/>
      <c r="O418" s="2580"/>
      <c r="P418" s="2580"/>
      <c r="Q418" s="2580"/>
      <c r="R418" s="2580"/>
      <c r="S418" s="2580"/>
      <c r="T418" s="4231"/>
      <c r="U418" s="4259"/>
      <c r="V418" s="3381">
        <f>AK289</f>
        <v>5.5</v>
      </c>
      <c r="W418" s="3381">
        <f>AA270</f>
        <v>2.2999999999999998</v>
      </c>
      <c r="X418" s="105"/>
      <c r="Y418" s="3351">
        <f t="shared" ref="Y418:Y419" si="26">$V418-W418</f>
        <v>3.2</v>
      </c>
      <c r="Z418" s="105"/>
      <c r="AA418" s="1821">
        <f>AA413/Y418</f>
        <v>0.4201492850448495</v>
      </c>
      <c r="AB418" s="108"/>
      <c r="AC418" s="3518" t="str">
        <f t="shared" ref="AC418:AC426" si="27">CONCATENATE(ROUND(1/AA418,1),"x")</f>
        <v>2,4x</v>
      </c>
      <c r="AD418" s="108"/>
      <c r="AE418" s="2603">
        <v>0.14705882352941177</v>
      </c>
      <c r="AF418" s="3520">
        <v>0.17</v>
      </c>
      <c r="AG418" s="2399"/>
      <c r="AH418" s="3365"/>
      <c r="AI418" s="3510" t="str">
        <f>CONCATENATE(ROUND(1/AE418,1),"x")</f>
        <v>6,8x</v>
      </c>
      <c r="AJ418" s="92"/>
      <c r="AK418" s="3559">
        <f t="shared" si="24"/>
        <v>3.5</v>
      </c>
      <c r="AL418" s="3560">
        <f t="shared" si="24"/>
        <v>3</v>
      </c>
      <c r="AM418" s="3559">
        <f t="shared" si="25"/>
        <v>0.38413648918386245</v>
      </c>
      <c r="AN418" s="3560">
        <f t="shared" si="25"/>
        <v>0.44815923738117286</v>
      </c>
      <c r="AO418" s="92"/>
    </row>
    <row r="419" spans="1:41" s="2398" customFormat="1">
      <c r="A419" s="1683"/>
      <c r="B419" s="3374" t="s">
        <v>752</v>
      </c>
      <c r="N419" s="2580"/>
      <c r="O419" s="2580"/>
      <c r="P419" s="2580"/>
      <c r="Q419" s="2580"/>
      <c r="R419" s="2580"/>
      <c r="S419" s="2580"/>
      <c r="T419" s="4231"/>
      <c r="U419" s="4259"/>
      <c r="V419" s="3381">
        <f>AK290</f>
        <v>9</v>
      </c>
      <c r="W419" s="3381">
        <f>AA271</f>
        <v>3.8</v>
      </c>
      <c r="X419" s="105"/>
      <c r="Y419" s="3351">
        <f t="shared" si="26"/>
        <v>5.2</v>
      </c>
      <c r="Z419" s="105"/>
      <c r="AA419" s="1821">
        <f>AA406/Y419</f>
        <v>0.17155387508075867</v>
      </c>
      <c r="AB419" s="108"/>
      <c r="AC419" s="3518" t="str">
        <f t="shared" si="27"/>
        <v>5,8x</v>
      </c>
      <c r="AD419" s="108"/>
      <c r="AE419" s="2603">
        <v>0.69618557805635917</v>
      </c>
      <c r="AF419" s="2837" t="s">
        <v>2452</v>
      </c>
      <c r="AG419" s="2399"/>
      <c r="AH419" s="3365"/>
      <c r="AI419" s="3510" t="str">
        <f>CONCATENATE(ROUND(1/AE419,1),"x")</f>
        <v>1,4x</v>
      </c>
      <c r="AJ419" s="92"/>
      <c r="AK419" s="3559">
        <f t="shared" si="24"/>
        <v>5.5</v>
      </c>
      <c r="AL419" s="3560">
        <f t="shared" si="24"/>
        <v>5</v>
      </c>
      <c r="AM419" s="3559">
        <f t="shared" si="25"/>
        <v>0.16219639098544458</v>
      </c>
      <c r="AN419" s="3560">
        <f t="shared" si="25"/>
        <v>0.17841603008398904</v>
      </c>
      <c r="AO419" s="92"/>
    </row>
    <row r="420" spans="1:41" s="2398" customFormat="1">
      <c r="A420" s="1683"/>
      <c r="B420" s="1683"/>
      <c r="N420" s="2580"/>
      <c r="O420" s="2580"/>
      <c r="P420" s="2580"/>
      <c r="Q420" s="2580"/>
      <c r="R420" s="2580"/>
      <c r="S420" s="2580"/>
      <c r="T420" s="1506"/>
      <c r="U420" s="1506"/>
      <c r="V420" s="3504"/>
      <c r="W420" s="3504"/>
      <c r="X420" s="105"/>
      <c r="Y420" s="3504"/>
      <c r="Z420" s="105"/>
      <c r="AA420" s="1683"/>
      <c r="AB420" s="108"/>
      <c r="AC420" s="3519"/>
      <c r="AD420" s="108"/>
      <c r="AE420" s="3398"/>
      <c r="AF420" s="3398"/>
      <c r="AG420" s="2399"/>
      <c r="AH420" s="3365"/>
      <c r="AI420" s="108"/>
      <c r="AJ420" s="92"/>
      <c r="AK420" s="108"/>
      <c r="AL420" s="108"/>
      <c r="AM420" s="92"/>
      <c r="AN420" s="92"/>
      <c r="AO420" s="92"/>
    </row>
    <row r="421" spans="1:41" s="2398" customFormat="1">
      <c r="A421" s="1683"/>
      <c r="B421" s="1683"/>
      <c r="N421" s="2580"/>
      <c r="O421" s="2580"/>
      <c r="P421" s="2580"/>
      <c r="Q421" s="2580"/>
      <c r="R421" s="2580"/>
      <c r="S421" s="2580"/>
      <c r="T421" s="4205" t="s">
        <v>2453</v>
      </c>
      <c r="U421" s="4205"/>
      <c r="V421" s="4205"/>
      <c r="W421" s="4205"/>
      <c r="X421" s="4205"/>
      <c r="Y421" s="4205"/>
      <c r="Z421" s="3508"/>
      <c r="AA421" s="2153">
        <f>'Equity Analysts Forecasts '!BD12</f>
        <v>0.42957202933606609</v>
      </c>
      <c r="AB421" s="3489" t="s">
        <v>2239</v>
      </c>
      <c r="AC421" s="3535"/>
      <c r="AD421" s="3309"/>
      <c r="AE421" s="3398"/>
      <c r="AF421" s="3398"/>
      <c r="AG421" s="2399"/>
      <c r="AH421" s="3365"/>
      <c r="AI421" s="108"/>
      <c r="AJ421" s="92"/>
      <c r="AK421" s="108"/>
      <c r="AL421" s="108"/>
      <c r="AM421" s="92"/>
      <c r="AN421" s="92"/>
      <c r="AO421" s="92"/>
    </row>
    <row r="422" spans="1:41" s="2398" customFormat="1">
      <c r="A422" s="1683"/>
      <c r="B422" s="1683"/>
      <c r="N422" s="2580"/>
      <c r="O422" s="2580"/>
      <c r="P422" s="2580"/>
      <c r="Q422" s="2580"/>
      <c r="R422" s="2580"/>
      <c r="S422" s="2580"/>
      <c r="T422" s="4205"/>
      <c r="U422" s="4205"/>
      <c r="V422" s="4205"/>
      <c r="W422" s="4205"/>
      <c r="X422" s="4205"/>
      <c r="Y422" s="4205"/>
      <c r="Z422" s="3508"/>
      <c r="AA422" s="2153">
        <f>'Equity Analysts Forecasts '!BD21</f>
        <v>0.54505140938364305</v>
      </c>
      <c r="AB422" s="3489" t="s">
        <v>2242</v>
      </c>
      <c r="AC422" s="3535"/>
      <c r="AD422" s="1555"/>
      <c r="AE422" s="3398"/>
      <c r="AF422" s="3398"/>
      <c r="AG422" s="2399"/>
      <c r="AH422" s="3365"/>
      <c r="AI422" s="108"/>
      <c r="AJ422" s="92"/>
      <c r="AK422" s="108"/>
      <c r="AL422" s="108"/>
      <c r="AM422" s="92"/>
      <c r="AN422" s="92"/>
      <c r="AO422" s="92"/>
    </row>
    <row r="423" spans="1:41" s="2398" customFormat="1">
      <c r="A423" s="1683"/>
      <c r="B423" s="1683"/>
      <c r="N423" s="2580"/>
      <c r="O423" s="2580"/>
      <c r="P423" s="2580"/>
      <c r="Q423" s="2580"/>
      <c r="R423" s="2580"/>
      <c r="S423" s="2580"/>
      <c r="T423" s="3552"/>
      <c r="U423" s="3552"/>
      <c r="V423" s="3552"/>
      <c r="W423" s="3552"/>
      <c r="X423" s="3552"/>
      <c r="Y423" s="3552"/>
      <c r="Z423" s="3508"/>
      <c r="AA423" s="2153"/>
      <c r="AB423" s="1555"/>
      <c r="AC423" s="3535"/>
      <c r="AD423" s="1555"/>
      <c r="AE423" s="3398"/>
      <c r="AF423" s="3398"/>
      <c r="AG423" s="2399"/>
      <c r="AH423" s="3365"/>
      <c r="AI423" s="108"/>
      <c r="AJ423" s="92"/>
      <c r="AK423" s="108"/>
      <c r="AL423" s="3549"/>
      <c r="AM423" s="92"/>
      <c r="AN423" s="92"/>
      <c r="AO423" s="92"/>
    </row>
    <row r="424" spans="1:41" s="2398" customFormat="1">
      <c r="A424" s="1683"/>
      <c r="B424" s="1683"/>
      <c r="N424" s="2580"/>
      <c r="O424" s="2580"/>
      <c r="P424" s="2580"/>
      <c r="Q424" s="2580"/>
      <c r="R424" s="2580"/>
      <c r="S424" s="2580"/>
      <c r="T424" s="1506"/>
      <c r="U424" s="1506"/>
      <c r="V424" s="1555" t="s">
        <v>2386</v>
      </c>
      <c r="W424" s="1555" t="s">
        <v>1440</v>
      </c>
      <c r="X424" s="105"/>
      <c r="Y424" s="108" t="s">
        <v>2433</v>
      </c>
      <c r="Z424" s="105"/>
      <c r="AA424" s="1683"/>
      <c r="AB424" s="108"/>
      <c r="AC424" s="1559" t="s">
        <v>997</v>
      </c>
      <c r="AD424" s="1561" t="s">
        <v>2432</v>
      </c>
      <c r="AE424" s="108" t="s">
        <v>2381</v>
      </c>
      <c r="AF424" s="108">
        <v>2010</v>
      </c>
      <c r="AG424" s="2399"/>
      <c r="AH424" s="3366" t="s">
        <v>997</v>
      </c>
      <c r="AI424" s="3557" t="s">
        <v>2381</v>
      </c>
      <c r="AJ424" s="3558" t="s">
        <v>2469</v>
      </c>
      <c r="AK424" s="1555" t="s">
        <v>2460</v>
      </c>
      <c r="AL424" s="1555" t="s">
        <v>2463</v>
      </c>
      <c r="AM424" s="1555" t="s">
        <v>2461</v>
      </c>
      <c r="AN424" s="1555" t="s">
        <v>2462</v>
      </c>
      <c r="AO424" s="92"/>
    </row>
    <row r="425" spans="1:41" s="2398" customFormat="1">
      <c r="A425" s="3407"/>
      <c r="B425" s="3380" t="s">
        <v>769</v>
      </c>
      <c r="N425" s="2580"/>
      <c r="O425" s="2580"/>
      <c r="P425" s="2580"/>
      <c r="Q425" s="2580"/>
      <c r="R425" s="2580"/>
      <c r="S425" s="2580"/>
      <c r="T425" s="1506"/>
      <c r="U425" s="1506"/>
      <c r="V425" s="3381">
        <f>AI288</f>
        <v>5.5</v>
      </c>
      <c r="W425" s="3381">
        <f>AA288</f>
        <v>2.2999999999999998</v>
      </c>
      <c r="X425" s="105"/>
      <c r="Y425" s="3351">
        <f>$V$425-W425</f>
        <v>3.2</v>
      </c>
      <c r="Z425" s="105"/>
      <c r="AA425" s="1822">
        <f>AA412/Y425</f>
        <v>0.27877504700623285</v>
      </c>
      <c r="AB425" s="108"/>
      <c r="AC425" s="3518" t="str">
        <f t="shared" si="27"/>
        <v>3,6x</v>
      </c>
      <c r="AD425" s="108"/>
      <c r="AE425" s="3528">
        <v>0.81672559734276229</v>
      </c>
      <c r="AF425" s="3520">
        <f>AF417</f>
        <v>0.24</v>
      </c>
      <c r="AG425" s="2399"/>
      <c r="AH425" s="92"/>
      <c r="AI425" s="3510" t="str">
        <f>CONCATENATE(ROUND(1/AE425,1),"x")</f>
        <v>1,2x</v>
      </c>
      <c r="AJ425" s="3510" t="str">
        <f>CONCATENATE(ROUND(1/AF425,1),"x")</f>
        <v>4,2x</v>
      </c>
      <c r="AK425" s="3559">
        <f>$V425-AB288</f>
        <v>3.4649999999999999</v>
      </c>
      <c r="AL425" s="3560">
        <f>$V425-AC288</f>
        <v>2.915</v>
      </c>
      <c r="AM425" s="3559">
        <f>$AA412/AK425</f>
        <v>0.25745458886578504</v>
      </c>
      <c r="AN425" s="3560">
        <f>$AA412/AL425</f>
        <v>0.30603092638763124</v>
      </c>
      <c r="AO425" s="92"/>
    </row>
    <row r="426" spans="1:41" s="2398" customFormat="1">
      <c r="A426" s="3407"/>
      <c r="B426" s="3380" t="s">
        <v>770</v>
      </c>
      <c r="N426" s="2580"/>
      <c r="O426" s="2580"/>
      <c r="P426" s="2580"/>
      <c r="Q426" s="2580"/>
      <c r="R426" s="2580"/>
      <c r="S426" s="2580"/>
      <c r="T426" s="3503"/>
      <c r="U426" s="105"/>
      <c r="V426" s="3517">
        <f>AI289</f>
        <v>5.5</v>
      </c>
      <c r="W426" s="3381">
        <f>AA289</f>
        <v>2.2999999999999998</v>
      </c>
      <c r="X426" s="105"/>
      <c r="Y426" s="3351">
        <f>$V$425-W426</f>
        <v>3.2</v>
      </c>
      <c r="Z426" s="105"/>
      <c r="AA426" s="1822">
        <f>AA413/Y426</f>
        <v>0.4201492850448495</v>
      </c>
      <c r="AB426" s="108"/>
      <c r="AC426" s="3518" t="str">
        <f t="shared" si="27"/>
        <v>2,4x</v>
      </c>
      <c r="AD426" s="108"/>
      <c r="AE426" s="2603">
        <v>0.14705882352941177</v>
      </c>
      <c r="AF426" s="3528">
        <f>AF418</f>
        <v>0.17</v>
      </c>
      <c r="AG426" s="2399"/>
      <c r="AH426" s="92"/>
      <c r="AI426" s="3510" t="str">
        <f>CONCATENATE(ROUND(1/AE426,1),"x")</f>
        <v>6,8x</v>
      </c>
      <c r="AJ426" s="3510" t="str">
        <f>CONCATENATE(ROUND(1/AF426,1),"x")</f>
        <v>5,9x</v>
      </c>
      <c r="AK426" s="3559">
        <f>$V426-AB289</f>
        <v>3.5</v>
      </c>
      <c r="AL426" s="3560">
        <f>$V426-AC289</f>
        <v>3</v>
      </c>
      <c r="AM426" s="3559">
        <f>$AA413/AK426</f>
        <v>0.38413648918386245</v>
      </c>
      <c r="AN426" s="3560">
        <f>$AA413/AL426</f>
        <v>0.44815923738117286</v>
      </c>
      <c r="AO426" s="92"/>
    </row>
    <row r="427" spans="1:41" s="2398" customFormat="1">
      <c r="A427" s="3407"/>
      <c r="B427" s="3407"/>
      <c r="N427" s="2580"/>
      <c r="O427" s="2580"/>
      <c r="P427" s="2580"/>
      <c r="Q427" s="2580"/>
      <c r="R427" s="2580"/>
      <c r="S427" s="2580"/>
      <c r="T427" s="3503"/>
      <c r="U427" s="105"/>
      <c r="V427" s="105"/>
      <c r="W427" s="3501"/>
      <c r="X427" s="105"/>
      <c r="Y427" s="105"/>
      <c r="Z427" s="105"/>
      <c r="AA427" s="92"/>
      <c r="AB427" s="108"/>
      <c r="AC427" s="108"/>
      <c r="AD427" s="108"/>
      <c r="AE427" s="3398"/>
      <c r="AF427" s="3398"/>
      <c r="AG427" s="2399"/>
      <c r="AH427" s="92"/>
      <c r="AI427" s="92"/>
      <c r="AJ427" s="92"/>
      <c r="AK427" s="92"/>
      <c r="AL427" s="92"/>
      <c r="AM427" s="92"/>
      <c r="AN427" s="92"/>
      <c r="AO427" s="92"/>
    </row>
    <row r="428" spans="1:41" s="2398" customFormat="1">
      <c r="A428" s="3407"/>
      <c r="B428" s="3407"/>
      <c r="N428" s="2580"/>
      <c r="O428" s="2580"/>
      <c r="P428" s="2580"/>
      <c r="Q428" s="2580"/>
      <c r="R428" s="2580"/>
      <c r="S428" s="2580"/>
      <c r="T428" s="3503"/>
      <c r="U428" s="105"/>
      <c r="V428" s="92"/>
      <c r="W428" s="3501"/>
      <c r="X428" s="105"/>
      <c r="Y428" s="105"/>
      <c r="Z428" s="105"/>
      <c r="AA428" s="1641" t="s">
        <v>1387</v>
      </c>
      <c r="AB428" s="108"/>
      <c r="AC428" s="108"/>
      <c r="AD428" s="108"/>
      <c r="AE428" s="3398"/>
      <c r="AF428" s="3398"/>
      <c r="AG428" s="2399"/>
      <c r="AH428" s="92"/>
      <c r="AI428" s="92"/>
      <c r="AJ428" s="92"/>
      <c r="AK428" s="92"/>
      <c r="AL428" s="92"/>
      <c r="AM428" s="92"/>
      <c r="AN428" s="92"/>
      <c r="AO428" s="92"/>
    </row>
    <row r="429" spans="1:41" s="2398" customFormat="1">
      <c r="A429" s="3407"/>
      <c r="B429" s="3407"/>
      <c r="N429" s="2580"/>
      <c r="O429" s="2580"/>
      <c r="P429" s="2580"/>
      <c r="Q429" s="2580"/>
      <c r="R429" s="2580"/>
      <c r="S429" s="2580"/>
      <c r="T429" s="3503"/>
      <c r="U429" s="92"/>
      <c r="V429" s="92" t="s">
        <v>2450</v>
      </c>
      <c r="W429" s="108" t="s">
        <v>2439</v>
      </c>
      <c r="X429" s="3507" t="s">
        <v>1407</v>
      </c>
      <c r="Y429" s="3516" t="s">
        <v>2448</v>
      </c>
      <c r="Z429" s="3506" t="s">
        <v>1407</v>
      </c>
      <c r="AA429" s="567" t="s">
        <v>2440</v>
      </c>
      <c r="AB429" s="108"/>
      <c r="AC429" s="108"/>
      <c r="AD429" s="1561" t="s">
        <v>2451</v>
      </c>
      <c r="AE429" s="108" t="s">
        <v>2381</v>
      </c>
      <c r="AF429" s="108">
        <v>2010</v>
      </c>
      <c r="AG429" s="2399"/>
      <c r="AH429" s="92"/>
      <c r="AI429" s="92"/>
      <c r="AJ429" s="92"/>
      <c r="AK429" s="92"/>
      <c r="AL429" s="92"/>
      <c r="AM429" s="92"/>
      <c r="AN429" s="92"/>
      <c r="AO429" s="92"/>
    </row>
    <row r="430" spans="1:41" s="2398" customFormat="1">
      <c r="A430" s="3443" t="s">
        <v>1463</v>
      </c>
      <c r="B430" s="3374" t="s">
        <v>750</v>
      </c>
      <c r="N430" s="2580"/>
      <c r="O430" s="2580"/>
      <c r="P430" s="2580"/>
      <c r="Q430" s="2580"/>
      <c r="R430" s="2580"/>
      <c r="S430" s="2580"/>
      <c r="T430" s="4204" t="s">
        <v>2454</v>
      </c>
      <c r="U430" s="4204"/>
      <c r="V430" s="3522">
        <f>AK430*AJ431</f>
        <v>1.1688256850756047E-2</v>
      </c>
      <c r="W430" s="3511">
        <f>1-AA275</f>
        <v>0.58000000000000007</v>
      </c>
      <c r="X430" s="105"/>
      <c r="Y430" s="3523">
        <f>$V$430*W430</f>
        <v>6.779188973438508E-3</v>
      </c>
      <c r="Z430" s="105"/>
      <c r="AA430" s="3525">
        <f>AA417*Y430</f>
        <v>1.8898687247344555E-3</v>
      </c>
      <c r="AB430" s="108"/>
      <c r="AC430" s="92"/>
      <c r="AD430" s="108"/>
      <c r="AE430" s="3531">
        <v>4.7885276553724498E-3</v>
      </c>
      <c r="AF430" s="3532">
        <v>2.8E-3</v>
      </c>
      <c r="AG430" s="2399"/>
      <c r="AH430" s="3367" t="s">
        <v>2466</v>
      </c>
      <c r="AI430" s="3512">
        <v>0.33989999999999998</v>
      </c>
      <c r="AJ430" s="2837" t="s">
        <v>2441</v>
      </c>
      <c r="AK430" s="1113">
        <f>AI430/(1-AI430)</f>
        <v>0.51492198151795177</v>
      </c>
      <c r="AL430" s="92"/>
      <c r="AM430" s="92"/>
      <c r="AN430" s="92"/>
      <c r="AO430" s="92"/>
    </row>
    <row r="431" spans="1:41" s="2398" customFormat="1">
      <c r="A431" s="3407"/>
      <c r="B431" s="3374" t="s">
        <v>751</v>
      </c>
      <c r="N431" s="2580"/>
      <c r="O431" s="2580"/>
      <c r="P431" s="2580"/>
      <c r="Q431" s="2580"/>
      <c r="R431" s="2580"/>
      <c r="S431" s="2580"/>
      <c r="T431" s="4204"/>
      <c r="U431" s="4204"/>
      <c r="V431" s="3276"/>
      <c r="W431" s="3511">
        <f t="shared" ref="W431:W432" si="28">1-AA276</f>
        <v>0.58000000000000007</v>
      </c>
      <c r="X431" s="105"/>
      <c r="Y431" s="3523">
        <f t="shared" ref="Y431:Y448" si="29">$V$430*W431</f>
        <v>6.779188973438508E-3</v>
      </c>
      <c r="Z431" s="105"/>
      <c r="AA431" s="3525">
        <f>AA418*Y431</f>
        <v>2.8482714003741161E-3</v>
      </c>
      <c r="AB431" s="108"/>
      <c r="AC431" s="92"/>
      <c r="AD431" s="108"/>
      <c r="AE431" s="3531">
        <v>1.5201893592079799E-3</v>
      </c>
      <c r="AF431" s="3532">
        <v>2.3999999999999998E-3</v>
      </c>
      <c r="AG431" s="2399"/>
      <c r="AH431" s="3489" t="s">
        <v>2467</v>
      </c>
      <c r="AI431" s="3312"/>
      <c r="AJ431" s="3521">
        <f>'OUTPUTS &amp; Inputs'!O103/100</f>
        <v>2.2699083104395609E-2</v>
      </c>
      <c r="AK431" s="92"/>
      <c r="AL431" s="92"/>
      <c r="AM431" s="92"/>
      <c r="AN431" s="92"/>
      <c r="AO431" s="92"/>
    </row>
    <row r="432" spans="1:41" s="2398" customFormat="1" ht="12.75" customHeight="1">
      <c r="A432" s="3407"/>
      <c r="B432" s="3374" t="s">
        <v>752</v>
      </c>
      <c r="N432" s="2580"/>
      <c r="O432" s="2580"/>
      <c r="P432" s="2580"/>
      <c r="Q432" s="2580"/>
      <c r="R432" s="2580"/>
      <c r="S432" s="2580"/>
      <c r="T432" s="4204" t="s">
        <v>2455</v>
      </c>
      <c r="U432" s="4204"/>
      <c r="V432" s="4204"/>
      <c r="W432" s="3511">
        <f t="shared" si="28"/>
        <v>0.58000000000000007</v>
      </c>
      <c r="X432" s="105"/>
      <c r="Y432" s="3523">
        <f t="shared" si="29"/>
        <v>6.779188973438508E-3</v>
      </c>
      <c r="Z432" s="105"/>
      <c r="AA432" s="3525">
        <f>AA419*Y432</f>
        <v>1.1629961382981263E-3</v>
      </c>
      <c r="AB432" s="108"/>
      <c r="AC432" s="108"/>
      <c r="AD432" s="108"/>
      <c r="AE432" s="3531">
        <v>5.5561731563238898E-3</v>
      </c>
      <c r="AF432" s="1415"/>
      <c r="AG432" s="2399"/>
      <c r="AH432" s="3407"/>
      <c r="AI432" s="92"/>
      <c r="AJ432" s="92"/>
      <c r="AK432" s="92"/>
      <c r="AL432" s="92"/>
      <c r="AM432" s="92"/>
      <c r="AN432" s="92"/>
      <c r="AO432" s="92"/>
    </row>
    <row r="433" spans="1:41" s="2398" customFormat="1" ht="12.75" customHeight="1">
      <c r="A433" s="92"/>
      <c r="B433" s="3407"/>
      <c r="N433" s="2580"/>
      <c r="O433" s="2580"/>
      <c r="P433" s="2580"/>
      <c r="Q433" s="2580"/>
      <c r="R433" s="2580"/>
      <c r="S433" s="2580"/>
      <c r="T433" s="4204"/>
      <c r="U433" s="4204"/>
      <c r="V433" s="4204"/>
      <c r="W433" s="3501"/>
      <c r="X433" s="105"/>
      <c r="Y433" s="3524"/>
      <c r="Z433" s="105"/>
      <c r="AA433" s="3526"/>
      <c r="AB433" s="108"/>
      <c r="AC433" s="3398"/>
      <c r="AD433" s="3398"/>
      <c r="AE433" s="3534"/>
      <c r="AF433" s="3398"/>
      <c r="AG433" s="2399"/>
      <c r="AH433" s="3407"/>
      <c r="AI433" s="3407"/>
      <c r="AJ433" s="92"/>
      <c r="AK433" s="92"/>
      <c r="AL433" s="92"/>
      <c r="AM433" s="92"/>
      <c r="AN433" s="92"/>
      <c r="AO433" s="92"/>
    </row>
    <row r="434" spans="1:41" s="2398" customFormat="1" ht="12.75" customHeight="1">
      <c r="A434" s="92"/>
      <c r="B434" s="3407"/>
      <c r="N434" s="2580"/>
      <c r="O434" s="2580"/>
      <c r="P434" s="2580"/>
      <c r="Q434" s="2580"/>
      <c r="R434" s="2580"/>
      <c r="S434" s="2580"/>
      <c r="T434" s="3394"/>
      <c r="U434" s="3394"/>
      <c r="V434" s="3394"/>
      <c r="W434" s="3501"/>
      <c r="X434" s="105"/>
      <c r="Y434" s="3524"/>
      <c r="Z434" s="105"/>
      <c r="AA434" s="3526"/>
      <c r="AB434" s="108"/>
      <c r="AC434" s="3398"/>
      <c r="AD434" s="3398"/>
      <c r="AE434" s="3534"/>
      <c r="AF434" s="3398"/>
      <c r="AG434" s="2399"/>
      <c r="AH434" s="3407"/>
      <c r="AI434" s="3407"/>
      <c r="AJ434" s="92"/>
      <c r="AK434" s="92"/>
      <c r="AL434" s="92"/>
      <c r="AM434" s="92"/>
      <c r="AN434" s="92"/>
      <c r="AO434" s="92"/>
    </row>
    <row r="435" spans="1:41" s="2398" customFormat="1" ht="12.75" customHeight="1">
      <c r="A435" s="92"/>
      <c r="B435" s="3407"/>
      <c r="N435" s="2580"/>
      <c r="O435" s="2580"/>
      <c r="P435" s="2580"/>
      <c r="Q435" s="2580"/>
      <c r="R435" s="2580"/>
      <c r="S435" s="2580"/>
      <c r="T435" s="3382" t="s">
        <v>2126</v>
      </c>
      <c r="U435" s="3538"/>
      <c r="V435" s="3538"/>
      <c r="W435" s="3509"/>
      <c r="X435" s="3508"/>
      <c r="Y435" s="3539"/>
      <c r="Z435" s="3508"/>
      <c r="AA435" s="3540"/>
      <c r="AB435" s="1555"/>
      <c r="AC435" s="1135"/>
      <c r="AD435" s="1135"/>
      <c r="AE435" s="3541"/>
      <c r="AF435" s="1135"/>
      <c r="AG435" s="2399"/>
      <c r="AH435" s="3407"/>
      <c r="AI435" s="3407"/>
      <c r="AJ435" s="92"/>
      <c r="AK435" s="92"/>
      <c r="AL435" s="92"/>
      <c r="AM435" s="92"/>
      <c r="AN435" s="92"/>
      <c r="AO435" s="92"/>
    </row>
    <row r="436" spans="1:41" s="2398" customFormat="1" ht="12.75" customHeight="1">
      <c r="A436" s="92"/>
      <c r="B436" s="3407"/>
      <c r="N436" s="2580"/>
      <c r="O436" s="2580"/>
      <c r="P436" s="2580"/>
      <c r="Q436" s="2580"/>
      <c r="R436" s="2580"/>
      <c r="S436" s="2580"/>
      <c r="T436" s="3536" t="s">
        <v>2464</v>
      </c>
      <c r="U436" s="3537"/>
      <c r="V436" s="3537"/>
      <c r="W436" s="3509"/>
      <c r="X436" s="3508"/>
      <c r="Y436" s="3539"/>
      <c r="Z436" s="3508"/>
      <c r="AA436" s="3521">
        <f>Y430*AA421</f>
        <v>2.9121499645726624E-3</v>
      </c>
      <c r="AB436" s="3489" t="s">
        <v>2239</v>
      </c>
      <c r="AC436" s="1135"/>
      <c r="AD436" s="1135"/>
      <c r="AE436" s="3541"/>
      <c r="AF436" s="1135"/>
      <c r="AG436" s="2399"/>
      <c r="AH436" s="3550" t="s">
        <v>2501</v>
      </c>
      <c r="AI436" s="92"/>
      <c r="AJ436" s="92"/>
      <c r="AK436" s="92"/>
      <c r="AL436" s="92"/>
      <c r="AM436" s="92"/>
      <c r="AN436" s="92"/>
      <c r="AO436" s="92"/>
    </row>
    <row r="437" spans="1:41" s="2398" customFormat="1" ht="12.75" customHeight="1">
      <c r="A437" s="92"/>
      <c r="B437" s="3407"/>
      <c r="N437" s="2580"/>
      <c r="O437" s="2580"/>
      <c r="P437" s="2580"/>
      <c r="Q437" s="2580"/>
      <c r="R437" s="2580"/>
      <c r="S437" s="2580"/>
      <c r="T437" s="3312"/>
      <c r="U437" s="1376"/>
      <c r="V437" s="1376"/>
      <c r="W437" s="3501"/>
      <c r="X437" s="105"/>
      <c r="Y437" s="3524"/>
      <c r="Z437" s="105"/>
      <c r="AA437" s="3521">
        <f>Y431*AA422</f>
        <v>3.695006504450711E-3</v>
      </c>
      <c r="AB437" s="3489" t="s">
        <v>2242</v>
      </c>
      <c r="AC437" s="1135"/>
      <c r="AD437" s="1135"/>
      <c r="AE437" s="3541"/>
      <c r="AF437" s="1135"/>
      <c r="AG437" s="2399"/>
      <c r="AH437" s="3407"/>
      <c r="AI437" s="3407"/>
      <c r="AJ437" s="92"/>
      <c r="AK437" s="92"/>
      <c r="AL437" s="92"/>
      <c r="AM437" s="92"/>
      <c r="AN437" s="92"/>
      <c r="AO437" s="92"/>
    </row>
    <row r="438" spans="1:41" s="2398" customFormat="1" ht="12.75" customHeight="1">
      <c r="A438" s="92"/>
      <c r="B438" s="3407"/>
      <c r="N438" s="2580"/>
      <c r="O438" s="2580"/>
      <c r="P438" s="2580"/>
      <c r="Q438" s="2580"/>
      <c r="R438" s="2580"/>
      <c r="S438" s="2580"/>
      <c r="T438" s="3544" t="s">
        <v>2465</v>
      </c>
      <c r="U438" s="3537"/>
      <c r="V438" s="3537"/>
      <c r="W438" s="3509"/>
      <c r="X438" s="3508"/>
      <c r="Y438" s="3539"/>
      <c r="Z438" s="3508"/>
      <c r="AA438" s="3540"/>
      <c r="AB438" s="1555"/>
      <c r="AC438" s="1135"/>
      <c r="AD438" s="1135"/>
      <c r="AE438" s="3541"/>
      <c r="AF438" s="1135"/>
      <c r="AG438" s="2399"/>
      <c r="AH438" s="2399"/>
      <c r="AI438" s="2399"/>
      <c r="AJ438" s="2399"/>
      <c r="AK438" s="2399"/>
      <c r="AL438" s="2399"/>
      <c r="AM438" s="2399"/>
      <c r="AN438" s="2399"/>
      <c r="AO438" s="2399"/>
    </row>
    <row r="439" spans="1:41" s="2398" customFormat="1" ht="12.75" customHeight="1">
      <c r="A439" s="92"/>
      <c r="B439" s="3407"/>
      <c r="N439" s="2580"/>
      <c r="O439" s="2580"/>
      <c r="P439" s="2580"/>
      <c r="Q439" s="2580"/>
      <c r="R439" s="2580"/>
      <c r="S439" s="2580"/>
      <c r="T439" s="3542" t="s">
        <v>2752</v>
      </c>
      <c r="U439" s="3537"/>
      <c r="V439" s="3537"/>
      <c r="W439" s="3509"/>
      <c r="X439" s="3508"/>
      <c r="Y439" s="3539"/>
      <c r="Z439" s="3508"/>
      <c r="AA439" s="3540"/>
      <c r="AB439" s="1555"/>
      <c r="AC439" s="1135"/>
      <c r="AD439" s="1135"/>
      <c r="AE439" s="3541"/>
      <c r="AF439" s="1135"/>
      <c r="AG439" s="2399"/>
      <c r="AH439" s="2399"/>
      <c r="AI439" s="2399"/>
      <c r="AJ439" s="2399"/>
      <c r="AK439" s="2399"/>
      <c r="AL439" s="2399"/>
      <c r="AM439" s="2399"/>
      <c r="AN439" s="2399"/>
      <c r="AO439" s="2399"/>
    </row>
    <row r="440" spans="1:41" s="2398" customFormat="1" ht="12.75" customHeight="1">
      <c r="A440" s="92"/>
      <c r="B440" s="3407"/>
      <c r="N440" s="2580"/>
      <c r="O440" s="2580"/>
      <c r="P440" s="2580"/>
      <c r="Q440" s="2580"/>
      <c r="R440" s="2580"/>
      <c r="S440" s="2580"/>
      <c r="T440" s="3542" t="s">
        <v>2456</v>
      </c>
      <c r="U440" s="3537"/>
      <c r="V440" s="3537"/>
      <c r="W440" s="3509"/>
      <c r="X440" s="3508"/>
      <c r="Y440" s="3539"/>
      <c r="Z440" s="3508"/>
      <c r="AA440" s="3540"/>
      <c r="AB440" s="1555"/>
      <c r="AC440" s="1135"/>
      <c r="AD440" s="1135"/>
      <c r="AE440" s="3541"/>
      <c r="AF440" s="1135"/>
      <c r="AG440" s="2399"/>
      <c r="AH440" s="2399"/>
      <c r="AI440" s="2399"/>
      <c r="AJ440" s="2399"/>
      <c r="AK440" s="2399"/>
      <c r="AL440" s="2399"/>
      <c r="AM440" s="2399"/>
      <c r="AN440" s="2399"/>
      <c r="AO440" s="2399"/>
    </row>
    <row r="441" spans="1:41" s="2398" customFormat="1" ht="12.75" customHeight="1">
      <c r="A441" s="92"/>
      <c r="B441" s="3407"/>
      <c r="N441" s="2580"/>
      <c r="O441" s="2580"/>
      <c r="P441" s="2580"/>
      <c r="Q441" s="2580"/>
      <c r="R441" s="2580"/>
      <c r="S441" s="2580"/>
      <c r="T441" s="3542" t="s">
        <v>2457</v>
      </c>
      <c r="U441" s="3537"/>
      <c r="V441" s="3537"/>
      <c r="W441" s="3509"/>
      <c r="X441" s="3508"/>
      <c r="Y441" s="3539"/>
      <c r="Z441" s="3508"/>
      <c r="AA441" s="3540"/>
      <c r="AB441" s="1555"/>
      <c r="AC441" s="1135"/>
      <c r="AD441" s="1135"/>
      <c r="AE441" s="3541"/>
      <c r="AF441" s="1135"/>
      <c r="AG441" s="2399"/>
      <c r="AH441" s="2399"/>
      <c r="AI441" s="2399"/>
      <c r="AJ441" s="2399"/>
      <c r="AK441" s="2399"/>
      <c r="AL441" s="2399"/>
      <c r="AM441" s="2399"/>
      <c r="AN441" s="2399"/>
      <c r="AO441" s="2399"/>
    </row>
    <row r="442" spans="1:41" s="2398" customFormat="1" ht="12.75" customHeight="1">
      <c r="A442" s="92"/>
      <c r="B442" s="3407"/>
      <c r="N442" s="2580"/>
      <c r="O442" s="2580"/>
      <c r="P442" s="2580"/>
      <c r="Q442" s="2580"/>
      <c r="R442" s="2580"/>
      <c r="S442" s="2580"/>
      <c r="T442" s="4206" t="s">
        <v>2458</v>
      </c>
      <c r="U442" s="4206"/>
      <c r="V442" s="4206"/>
      <c r="W442" s="4206"/>
      <c r="X442" s="4206"/>
      <c r="Y442" s="4206"/>
      <c r="Z442" s="4206"/>
      <c r="AA442" s="4206"/>
      <c r="AB442" s="4206"/>
      <c r="AC442" s="4206"/>
      <c r="AD442" s="4206"/>
      <c r="AE442" s="4206"/>
      <c r="AF442" s="4207"/>
      <c r="AG442" s="2399"/>
      <c r="AH442" s="2399"/>
      <c r="AI442" s="2399"/>
      <c r="AJ442" s="2399"/>
      <c r="AK442" s="2399"/>
      <c r="AL442" s="2399"/>
      <c r="AM442" s="2399"/>
      <c r="AN442" s="2399"/>
      <c r="AO442" s="2399"/>
    </row>
    <row r="443" spans="1:41" s="2398" customFormat="1" ht="12.75" customHeight="1">
      <c r="A443" s="92"/>
      <c r="B443" s="3407"/>
      <c r="N443" s="2580"/>
      <c r="O443" s="2580"/>
      <c r="P443" s="2580"/>
      <c r="Q443" s="2580"/>
      <c r="R443" s="2580"/>
      <c r="S443" s="2580"/>
      <c r="T443" s="4206"/>
      <c r="U443" s="4206"/>
      <c r="V443" s="4206"/>
      <c r="W443" s="4206"/>
      <c r="X443" s="4206"/>
      <c r="Y443" s="4206"/>
      <c r="Z443" s="4206"/>
      <c r="AA443" s="4206"/>
      <c r="AB443" s="4206"/>
      <c r="AC443" s="4206"/>
      <c r="AD443" s="4206"/>
      <c r="AE443" s="4206"/>
      <c r="AF443" s="4207"/>
      <c r="AG443" s="2399"/>
      <c r="AH443" s="2399"/>
      <c r="AI443" s="2399"/>
      <c r="AJ443" s="2399"/>
      <c r="AK443" s="2399"/>
      <c r="AL443" s="2399"/>
      <c r="AM443" s="2399"/>
      <c r="AN443" s="2399"/>
      <c r="AO443" s="2399"/>
    </row>
    <row r="444" spans="1:41" s="2398" customFormat="1" ht="12.75" customHeight="1">
      <c r="A444" s="92"/>
      <c r="B444" s="3407"/>
      <c r="N444" s="2580"/>
      <c r="O444" s="2580"/>
      <c r="P444" s="2580"/>
      <c r="Q444" s="2580"/>
      <c r="R444" s="2580"/>
      <c r="S444" s="2580"/>
      <c r="T444" s="3536" t="s">
        <v>2459</v>
      </c>
      <c r="U444" s="3382"/>
      <c r="V444" s="3382"/>
      <c r="W444" s="3545"/>
      <c r="X444" s="3545"/>
      <c r="Y444" s="3546"/>
      <c r="Z444" s="3545"/>
      <c r="AA444" s="3547"/>
      <c r="AB444" s="3489"/>
      <c r="AC444" s="3492"/>
      <c r="AD444" s="3492"/>
      <c r="AE444" s="3548"/>
      <c r="AF444" s="3492"/>
      <c r="AG444" s="2399"/>
      <c r="AH444" s="2399"/>
      <c r="AI444" s="2399"/>
      <c r="AJ444" s="2399"/>
      <c r="AK444" s="2399"/>
      <c r="AL444" s="2399"/>
      <c r="AM444" s="2399"/>
      <c r="AN444" s="2399"/>
      <c r="AO444" s="2399"/>
    </row>
    <row r="445" spans="1:41" s="2398" customFormat="1" ht="12.75" customHeight="1">
      <c r="A445" s="92"/>
      <c r="B445" s="3407"/>
      <c r="N445" s="2580"/>
      <c r="O445" s="2580"/>
      <c r="P445" s="2580"/>
      <c r="Q445" s="2580"/>
      <c r="R445" s="2580"/>
      <c r="S445" s="2580"/>
      <c r="T445" s="1376"/>
      <c r="U445" s="1376"/>
      <c r="V445" s="1376"/>
      <c r="W445" s="3501"/>
      <c r="X445" s="105"/>
      <c r="Y445" s="3524"/>
      <c r="Z445" s="105"/>
      <c r="AA445" s="3526"/>
      <c r="AB445" s="108"/>
      <c r="AC445" s="3398"/>
      <c r="AD445" s="3398"/>
      <c r="AE445" s="3534"/>
      <c r="AF445" s="3398"/>
      <c r="AG445" s="2399"/>
      <c r="AH445" s="2399"/>
      <c r="AI445" s="2399"/>
      <c r="AJ445" s="2399"/>
      <c r="AK445" s="2399"/>
      <c r="AL445" s="2399"/>
      <c r="AM445" s="2399"/>
      <c r="AN445" s="2399"/>
      <c r="AO445" s="2399"/>
    </row>
    <row r="446" spans="1:41" s="2398" customFormat="1" ht="12.75" customHeight="1">
      <c r="A446" s="92"/>
      <c r="B446" s="3407"/>
      <c r="N446" s="2580"/>
      <c r="O446" s="2580"/>
      <c r="P446" s="2580"/>
      <c r="Q446" s="2580"/>
      <c r="R446" s="2580"/>
      <c r="S446" s="2580"/>
      <c r="T446" s="1376"/>
      <c r="U446" s="1376"/>
      <c r="V446" s="1376"/>
      <c r="W446" s="108" t="s">
        <v>2439</v>
      </c>
      <c r="X446" s="105"/>
      <c r="Y446" s="3551" t="s">
        <v>2468</v>
      </c>
      <c r="Z446" s="105"/>
      <c r="AA446" s="567" t="s">
        <v>1463</v>
      </c>
      <c r="AB446" s="108"/>
      <c r="AC446" s="3398"/>
      <c r="AD446" s="1561" t="s">
        <v>2451</v>
      </c>
      <c r="AE446" s="108" t="s">
        <v>2381</v>
      </c>
      <c r="AF446" s="108">
        <v>2010</v>
      </c>
      <c r="AG446" s="2399"/>
      <c r="AH446" s="2399"/>
      <c r="AI446" s="2399"/>
      <c r="AJ446" s="2399"/>
      <c r="AK446" s="2399"/>
      <c r="AL446" s="2399"/>
      <c r="AM446" s="2399"/>
      <c r="AN446" s="2399"/>
      <c r="AO446" s="2399"/>
    </row>
    <row r="447" spans="1:41" s="2398" customFormat="1">
      <c r="A447" s="92"/>
      <c r="B447" s="3380" t="s">
        <v>769</v>
      </c>
      <c r="N447" s="2580"/>
      <c r="O447" s="2580"/>
      <c r="P447" s="2580"/>
      <c r="Q447" s="2580"/>
      <c r="R447" s="2580"/>
      <c r="S447" s="2580"/>
      <c r="T447" s="1376"/>
      <c r="U447" s="1376"/>
      <c r="V447" s="1376"/>
      <c r="W447" s="3364">
        <f>1-AA282</f>
        <v>0.58000000000000007</v>
      </c>
      <c r="X447" s="92"/>
      <c r="Y447" s="3523">
        <f t="shared" si="29"/>
        <v>6.779188973438508E-3</v>
      </c>
      <c r="Z447" s="92"/>
      <c r="AA447" s="3527">
        <f>AA425*Y447</f>
        <v>1.8898687247344555E-3</v>
      </c>
      <c r="AB447" s="92"/>
      <c r="AC447" s="92"/>
      <c r="AD447" s="92"/>
      <c r="AE447" s="3531">
        <v>6.1839386151869898E-3</v>
      </c>
      <c r="AF447" s="3531">
        <v>3.2000000000000002E-3</v>
      </c>
      <c r="AG447" s="2399"/>
      <c r="AH447" s="2399"/>
      <c r="AI447" s="2776"/>
      <c r="AJ447" s="2399"/>
      <c r="AK447" s="2399"/>
      <c r="AL447" s="2399"/>
      <c r="AM447" s="2399"/>
      <c r="AN447" s="2399"/>
      <c r="AO447" s="2399"/>
    </row>
    <row r="448" spans="1:41" s="2398" customFormat="1">
      <c r="A448" s="3407"/>
      <c r="B448" s="3380" t="s">
        <v>770</v>
      </c>
      <c r="N448" s="2580"/>
      <c r="O448" s="2580"/>
      <c r="P448" s="2580"/>
      <c r="Q448" s="2580"/>
      <c r="R448" s="2580"/>
      <c r="S448" s="2580"/>
      <c r="T448" s="1376"/>
      <c r="U448" s="1376"/>
      <c r="V448" s="1376"/>
      <c r="W448" s="3364">
        <f>1-AA283</f>
        <v>0.58000000000000007</v>
      </c>
      <c r="X448" s="105"/>
      <c r="Y448" s="3523">
        <f t="shared" si="29"/>
        <v>6.779188973438508E-3</v>
      </c>
      <c r="Z448" s="105"/>
      <c r="AA448" s="3527">
        <f>AA426*Y448</f>
        <v>2.8482714003741161E-3</v>
      </c>
      <c r="AB448" s="108"/>
      <c r="AC448" s="3398"/>
      <c r="AD448" s="3398"/>
      <c r="AE448" s="3531">
        <v>1.5316246544757499E-3</v>
      </c>
      <c r="AF448" s="3532">
        <v>2.3999999999999998E-3</v>
      </c>
      <c r="AG448" s="2399"/>
      <c r="AH448" s="2399"/>
      <c r="AI448" s="2399"/>
      <c r="AJ448" s="2399"/>
      <c r="AK448" s="2399"/>
      <c r="AL448" s="2399"/>
      <c r="AM448" s="2399"/>
      <c r="AN448" s="2399"/>
      <c r="AO448" s="2399"/>
    </row>
    <row r="449" spans="1:47">
      <c r="A449" s="3407"/>
      <c r="B449" s="3407"/>
      <c r="N449" s="2580"/>
      <c r="O449" s="2580"/>
      <c r="P449" s="2580"/>
      <c r="Q449" s="2580"/>
      <c r="R449" s="2580"/>
      <c r="S449" s="2580"/>
      <c r="T449" s="1929"/>
      <c r="U449" s="3153"/>
      <c r="V449" s="3153"/>
      <c r="W449" s="1854"/>
      <c r="X449" s="3153"/>
      <c r="Y449" s="3153"/>
      <c r="Z449" s="3153"/>
      <c r="AA449" s="3398"/>
      <c r="AB449" s="3398"/>
      <c r="AC449" s="3398"/>
      <c r="AD449" s="3398"/>
      <c r="AE449" s="3398"/>
      <c r="AF449" s="3398"/>
      <c r="AH449" s="2399"/>
      <c r="AI449" s="2399"/>
      <c r="AJ449" s="2399"/>
      <c r="AK449" s="2399"/>
      <c r="AL449" s="2399"/>
      <c r="AM449" s="2399"/>
      <c r="AN449" s="2399"/>
      <c r="AO449" s="2399"/>
    </row>
    <row r="450" spans="1:47">
      <c r="A450" s="1826"/>
      <c r="B450" s="2865"/>
      <c r="T450" s="2865"/>
      <c r="U450" s="2779"/>
      <c r="V450" s="2868"/>
      <c r="W450" s="2868"/>
      <c r="X450" s="2779"/>
      <c r="Y450" s="2868"/>
      <c r="Z450" s="2868"/>
      <c r="AA450" s="2868"/>
      <c r="AB450" s="2868"/>
      <c r="AC450" s="2868"/>
      <c r="AD450" s="2868"/>
      <c r="AE450" s="2868"/>
      <c r="AF450" s="2868"/>
    </row>
    <row r="451" spans="1:47">
      <c r="A451" s="2731" t="s">
        <v>1308</v>
      </c>
      <c r="B451" s="2732"/>
      <c r="T451" s="1492"/>
      <c r="U451" s="1492"/>
      <c r="V451" s="1492"/>
      <c r="W451" s="1492"/>
      <c r="X451" s="1492"/>
      <c r="Y451" s="1492"/>
      <c r="Z451" s="1492"/>
      <c r="AA451" s="1492"/>
      <c r="AB451" s="1492"/>
      <c r="AC451" s="1492"/>
      <c r="AD451" s="1492"/>
      <c r="AE451" s="1492"/>
      <c r="AF451" s="1492"/>
    </row>
    <row r="452" spans="1:47">
      <c r="A452" s="1090"/>
      <c r="B452" s="2865"/>
      <c r="T452" s="1756"/>
      <c r="U452" s="1756"/>
      <c r="V452" s="1756"/>
      <c r="W452" s="1756"/>
      <c r="X452" s="1756"/>
      <c r="Y452" s="1756"/>
      <c r="Z452" s="1756"/>
      <c r="AA452" s="1756"/>
      <c r="AB452" s="1756"/>
      <c r="AC452" s="1756"/>
      <c r="AD452" s="1756"/>
      <c r="AE452" s="1756"/>
      <c r="AF452" s="1756"/>
    </row>
    <row r="453" spans="1:47">
      <c r="A453" s="1090"/>
      <c r="B453" s="2865"/>
      <c r="T453" s="1756"/>
      <c r="U453" s="1756"/>
      <c r="V453" s="1756"/>
      <c r="W453" s="1756"/>
      <c r="X453" s="1756"/>
      <c r="Y453" s="1756"/>
      <c r="Z453" s="1756"/>
      <c r="AA453" s="1756"/>
      <c r="AB453" s="1756"/>
      <c r="AC453" s="1756"/>
      <c r="AD453" s="1756"/>
      <c r="AE453" s="1756"/>
      <c r="AF453" s="1756"/>
    </row>
    <row r="454" spans="1:47">
      <c r="A454" s="1090"/>
      <c r="B454" s="2865"/>
      <c r="T454" s="1756"/>
      <c r="U454" s="1756"/>
      <c r="V454" s="1756"/>
      <c r="W454" s="1756"/>
      <c r="X454" s="1756"/>
      <c r="Y454" s="1756"/>
      <c r="Z454" s="1756"/>
      <c r="AA454" s="1756"/>
      <c r="AB454" s="1756"/>
      <c r="AC454" s="1756"/>
      <c r="AD454" s="1756"/>
      <c r="AE454" s="1756"/>
      <c r="AF454" s="1756"/>
    </row>
    <row r="455" spans="1:47">
      <c r="A455" s="1090"/>
      <c r="B455" s="2865"/>
      <c r="T455" s="1756"/>
      <c r="U455" s="1756"/>
      <c r="V455" s="1756"/>
      <c r="W455" s="1756"/>
      <c r="X455" s="1756"/>
      <c r="Y455" s="1756"/>
      <c r="Z455" s="1756"/>
      <c r="AA455" s="1756"/>
      <c r="AB455" s="1756"/>
      <c r="AC455" s="1756"/>
      <c r="AD455" s="1756"/>
      <c r="AE455" s="1756"/>
      <c r="AF455" s="1756"/>
    </row>
    <row r="456" spans="1:47">
      <c r="A456" s="1090"/>
      <c r="B456" s="2865"/>
      <c r="T456" s="2868"/>
      <c r="U456" s="2868"/>
      <c r="V456" s="2868"/>
      <c r="W456" s="2868"/>
      <c r="X456" s="2868"/>
      <c r="Y456" s="2868"/>
      <c r="Z456" s="2868"/>
      <c r="AA456" s="2868"/>
      <c r="AB456" s="2868"/>
      <c r="AC456" s="2868"/>
      <c r="AD456" s="2868"/>
      <c r="AE456" s="2868"/>
      <c r="AF456" s="2868"/>
    </row>
    <row r="458" spans="1:47" s="3413" customFormat="1">
      <c r="A458" s="3409" t="s">
        <v>2393</v>
      </c>
      <c r="B458" s="3446"/>
      <c r="C458" s="3410"/>
      <c r="D458" s="3411"/>
      <c r="E458" s="3410"/>
      <c r="F458" s="3411"/>
      <c r="G458" s="3410"/>
      <c r="H458" s="3411"/>
      <c r="I458" s="3410"/>
      <c r="J458" s="3411"/>
      <c r="K458" s="3410"/>
      <c r="L458" s="3411"/>
      <c r="M458" s="3410"/>
      <c r="N458" s="3411"/>
      <c r="O458" s="3410"/>
      <c r="P458" s="3411"/>
      <c r="Q458" s="3410"/>
      <c r="R458" s="3412"/>
      <c r="T458" s="3561" t="s">
        <v>2470</v>
      </c>
      <c r="U458" s="3412"/>
      <c r="V458" s="3412"/>
      <c r="W458" s="3412"/>
      <c r="X458" s="3412"/>
      <c r="Y458" s="3412"/>
      <c r="Z458" s="3412"/>
      <c r="AA458" s="3412"/>
      <c r="AB458" s="3412"/>
      <c r="AC458" s="3412"/>
      <c r="AD458" s="3412"/>
      <c r="AE458" s="3412"/>
      <c r="AF458" s="3411"/>
      <c r="AG458" s="3414"/>
      <c r="AH458" s="3447"/>
      <c r="AI458" s="3447"/>
      <c r="AJ458" s="3447"/>
      <c r="AK458" s="3447"/>
      <c r="AL458" s="3447"/>
      <c r="AM458" s="3447"/>
      <c r="AN458" s="3447"/>
      <c r="AO458" s="3447"/>
      <c r="AP458" s="3414"/>
      <c r="AT458" s="3414"/>
      <c r="AU458" s="3414"/>
    </row>
    <row r="459" spans="1:47" ht="3.75" customHeight="1">
      <c r="T459" s="2399"/>
      <c r="U459" s="2399"/>
      <c r="V459" s="2399"/>
      <c r="W459" s="2399"/>
      <c r="X459" s="2399"/>
      <c r="Y459" s="2399"/>
      <c r="Z459" s="2399"/>
      <c r="AA459" s="2399"/>
      <c r="AB459" s="2399"/>
      <c r="AC459" s="2399"/>
      <c r="AD459" s="2399"/>
      <c r="AE459" s="2399"/>
      <c r="AH459" s="2399"/>
      <c r="AI459" s="2399"/>
      <c r="AJ459" s="2399"/>
      <c r="AK459" s="2399"/>
      <c r="AL459" s="2399"/>
      <c r="AM459" s="2399"/>
      <c r="AN459" s="2399"/>
      <c r="AO459" s="2399"/>
      <c r="AP459" s="2399"/>
    </row>
    <row r="460" spans="1:47">
      <c r="A460" s="1090"/>
      <c r="B460" s="2865"/>
      <c r="C460" s="92"/>
      <c r="D460" s="92"/>
      <c r="E460" s="92"/>
      <c r="F460" s="92"/>
      <c r="G460" s="92"/>
      <c r="H460" s="92"/>
      <c r="I460" s="92"/>
      <c r="J460" s="92"/>
      <c r="K460" s="92"/>
      <c r="L460" s="92"/>
      <c r="M460" s="92"/>
      <c r="N460" s="92"/>
      <c r="O460" s="92"/>
      <c r="P460" s="92"/>
      <c r="Q460" s="92"/>
      <c r="R460" s="92"/>
      <c r="T460" s="2868"/>
      <c r="U460" s="2868"/>
      <c r="V460" s="2868"/>
      <c r="W460" s="2868"/>
      <c r="X460" s="2868"/>
      <c r="Y460" s="2868"/>
      <c r="Z460" s="2868"/>
      <c r="AA460" s="2868"/>
      <c r="AB460" s="3398"/>
      <c r="AC460" s="3398"/>
      <c r="AD460" s="3398"/>
      <c r="AE460" s="3398"/>
      <c r="AF460" s="3398"/>
    </row>
    <row r="461" spans="1:47">
      <c r="A461" s="3565" t="s">
        <v>2733</v>
      </c>
      <c r="B461" s="3566" t="s">
        <v>1690</v>
      </c>
      <c r="C461" s="4196" t="s">
        <v>1461</v>
      </c>
      <c r="D461" s="4197"/>
      <c r="E461" s="3567"/>
      <c r="F461" s="4196" t="s">
        <v>2479</v>
      </c>
      <c r="G461" s="4198"/>
      <c r="H461" s="4197"/>
      <c r="I461" s="3415"/>
      <c r="J461" s="3568"/>
      <c r="K461" s="3568"/>
      <c r="L461" s="3568"/>
      <c r="M461" s="3568"/>
      <c r="N461" s="3569"/>
      <c r="O461" s="3569"/>
      <c r="P461" s="3570"/>
      <c r="Q461" s="4196" t="s">
        <v>1997</v>
      </c>
      <c r="R461" s="4197"/>
      <c r="T461" s="2868"/>
      <c r="U461" s="2868"/>
      <c r="V461" s="2868"/>
      <c r="W461" s="2868"/>
      <c r="X461" s="3464" t="s">
        <v>2732</v>
      </c>
      <c r="Y461" s="2868"/>
      <c r="Z461" s="2868"/>
      <c r="AA461" s="2868"/>
      <c r="AB461" s="1546"/>
      <c r="AC461" s="1614"/>
      <c r="AD461" s="3398"/>
      <c r="AE461" s="1614"/>
      <c r="AF461" s="3398"/>
    </row>
    <row r="462" spans="1:47">
      <c r="A462" s="3388" t="s">
        <v>1688</v>
      </c>
      <c r="B462" s="3400"/>
      <c r="C462" s="4201" t="s">
        <v>1674</v>
      </c>
      <c r="D462" s="4202"/>
      <c r="E462" s="3571"/>
      <c r="F462" s="3572" t="s">
        <v>1674</v>
      </c>
      <c r="G462" s="3573"/>
      <c r="H462" s="3574" t="s">
        <v>1178</v>
      </c>
      <c r="I462" s="3415"/>
      <c r="J462" s="3415"/>
      <c r="K462" s="3415"/>
      <c r="L462" s="3415"/>
      <c r="M462" s="3575"/>
      <c r="N462" s="3569"/>
      <c r="O462" s="3569"/>
      <c r="P462" s="3456"/>
      <c r="Q462" s="3572" t="s">
        <v>2480</v>
      </c>
      <c r="R462" s="3576"/>
      <c r="T462" s="2868"/>
      <c r="U462" s="2868"/>
      <c r="V462" s="2868"/>
      <c r="W462" s="2868"/>
      <c r="X462" s="2868"/>
      <c r="Y462" s="2868"/>
      <c r="Z462" s="2868"/>
      <c r="AA462" s="2868"/>
      <c r="AB462" s="1546"/>
      <c r="AC462" s="1614"/>
      <c r="AD462" s="1614"/>
      <c r="AE462" s="1614"/>
      <c r="AF462" s="1614"/>
    </row>
    <row r="463" spans="1:47" ht="12.75" customHeight="1">
      <c r="A463" s="3577" t="s">
        <v>501</v>
      </c>
      <c r="B463" s="3578" t="s">
        <v>44</v>
      </c>
      <c r="C463" s="4228">
        <f>VLOOKUP(B463,Ranking!$B$7:$G$28,2,FALSE)</f>
        <v>12234.494271428572</v>
      </c>
      <c r="D463" s="4229"/>
      <c r="E463" s="3579"/>
      <c r="F463" s="4185">
        <f>CALCULATIONS!RH18</f>
        <v>0.6086763770808663</v>
      </c>
      <c r="G463" s="4230"/>
      <c r="H463" s="3580">
        <f>CALCULATIONS!RF18</f>
        <v>1.2114312662991384</v>
      </c>
      <c r="I463" s="3581"/>
      <c r="J463" s="3415"/>
      <c r="K463" s="3415"/>
      <c r="L463" s="3415"/>
      <c r="M463" s="3415"/>
      <c r="N463" s="3415"/>
      <c r="O463" s="3415"/>
      <c r="P463" s="3415"/>
      <c r="Q463" s="4185">
        <f>CALCULATIONS!RI18</f>
        <v>0.60003675498464937</v>
      </c>
      <c r="R463" s="4188"/>
      <c r="S463" s="1157"/>
      <c r="T463" s="4271" t="s">
        <v>2758</v>
      </c>
      <c r="U463" s="4271"/>
      <c r="V463" s="4271"/>
      <c r="W463" s="4271"/>
      <c r="X463" s="4271"/>
      <c r="Y463" s="2868"/>
      <c r="Z463" s="2868"/>
      <c r="AA463" s="2868"/>
      <c r="AB463" s="3401"/>
      <c r="AC463" s="3401"/>
      <c r="AD463" s="3401"/>
      <c r="AE463" s="3401"/>
      <c r="AF463" s="3401"/>
      <c r="AH463" s="2785"/>
    </row>
    <row r="464" spans="1:47" ht="13.15" customHeight="1">
      <c r="A464" s="3582" t="s">
        <v>385</v>
      </c>
      <c r="B464" s="3583" t="s">
        <v>276</v>
      </c>
      <c r="C464" s="4219">
        <f>VLOOKUP(B464,Ranking!$B$7:$G$28,2,FALSE)</f>
        <v>3544.0522571428578</v>
      </c>
      <c r="D464" s="4220"/>
      <c r="E464" s="3579"/>
      <c r="F464" s="4191">
        <f>CALCULATIONS!RH6</f>
        <v>0.66648913230354334</v>
      </c>
      <c r="G464" s="4221"/>
      <c r="H464" s="3584">
        <f>CALCULATIONS!RF6</f>
        <v>0.66498757622687421</v>
      </c>
      <c r="I464" s="3581"/>
      <c r="J464" s="3415"/>
      <c r="K464" s="3415"/>
      <c r="L464" s="3415"/>
      <c r="M464" s="3415"/>
      <c r="N464" s="3415"/>
      <c r="O464" s="3415"/>
      <c r="P464" s="3415"/>
      <c r="Q464" s="4191">
        <f>CALCULATIONS!RI6</f>
        <v>0.57552282243688813</v>
      </c>
      <c r="R464" s="4194"/>
      <c r="S464" s="1157"/>
      <c r="T464" s="4271"/>
      <c r="U464" s="4271"/>
      <c r="V464" s="4271"/>
      <c r="W464" s="4271"/>
      <c r="X464" s="4271"/>
      <c r="Y464" s="2868"/>
      <c r="Z464" s="2868"/>
      <c r="AA464" s="2868"/>
      <c r="AB464" s="3401"/>
      <c r="AC464" s="3401"/>
      <c r="AD464" s="3401"/>
      <c r="AE464" s="3401"/>
      <c r="AF464" s="3401"/>
      <c r="AH464" s="2399"/>
      <c r="AI464" s="2788"/>
    </row>
    <row r="465" spans="1:37" s="2398" customFormat="1" ht="13.15" customHeight="1">
      <c r="A465" s="3585" t="s">
        <v>319</v>
      </c>
      <c r="B465" s="3586" t="s">
        <v>751</v>
      </c>
      <c r="C465" s="4214">
        <f>VLOOKUP(B465,Ranking!$B$7:$G$28,2,FALSE)</f>
        <v>2121.4584571428572</v>
      </c>
      <c r="D465" s="4215"/>
      <c r="E465" s="3579"/>
      <c r="F465" s="4216">
        <f>CALCULATIONS!RH8</f>
        <v>0.58839090141871486</v>
      </c>
      <c r="G465" s="4217"/>
      <c r="H465" s="3587">
        <f>CALCULATIONS!RF8</f>
        <v>0.63941185552964497</v>
      </c>
      <c r="I465" s="3581"/>
      <c r="J465" s="3415"/>
      <c r="K465" s="3415"/>
      <c r="L465" s="3415"/>
      <c r="M465" s="3415"/>
      <c r="N465" s="3415"/>
      <c r="O465" s="3415"/>
      <c r="P465" s="3415"/>
      <c r="Q465" s="4216">
        <f>CALCULATIONS!RI8</f>
        <v>0.58592189088103919</v>
      </c>
      <c r="R465" s="4218"/>
      <c r="S465" s="1160"/>
      <c r="T465" s="4271" t="s">
        <v>2759</v>
      </c>
      <c r="U465" s="4271"/>
      <c r="V465" s="4271"/>
      <c r="W465" s="4271"/>
      <c r="X465" s="4271"/>
      <c r="Y465" s="2868"/>
      <c r="Z465" s="2868"/>
      <c r="AA465" s="2868"/>
      <c r="AB465" s="3401"/>
      <c r="AC465" s="3401"/>
      <c r="AD465" s="3401"/>
      <c r="AE465" s="3401"/>
      <c r="AF465" s="3401"/>
      <c r="AG465" s="2399"/>
      <c r="AH465" s="2778"/>
      <c r="AI465" s="2778"/>
      <c r="AJ465" s="2778"/>
    </row>
    <row r="466" spans="1:37" s="2398" customFormat="1" ht="13.15" customHeight="1">
      <c r="A466" s="3582" t="s">
        <v>504</v>
      </c>
      <c r="B466" s="3583" t="s">
        <v>288</v>
      </c>
      <c r="C466" s="4219">
        <f>VLOOKUP(B466,Ranking!$B$7:$G$28,2,FALSE)</f>
        <v>16250.837973523972</v>
      </c>
      <c r="D466" s="4220"/>
      <c r="E466" s="3579"/>
      <c r="F466" s="4191">
        <f>CALCULATIONS!RH25</f>
        <v>1.1424924350120489</v>
      </c>
      <c r="G466" s="4221"/>
      <c r="H466" s="3584">
        <f>CALCULATIONS!RF25</f>
        <v>1.1539784721504744</v>
      </c>
      <c r="I466" s="3581"/>
      <c r="J466" s="3415"/>
      <c r="K466" s="3415"/>
      <c r="L466" s="3415"/>
      <c r="M466" s="3415"/>
      <c r="N466" s="3415"/>
      <c r="O466" s="3415"/>
      <c r="P466" s="3415"/>
      <c r="Q466" s="4191">
        <f>CALCULATIONS!RI25</f>
        <v>1.0793854182680971</v>
      </c>
      <c r="R466" s="4194"/>
      <c r="S466" s="1804"/>
      <c r="T466" s="4271"/>
      <c r="U466" s="4271"/>
      <c r="V466" s="4271"/>
      <c r="W466" s="4271"/>
      <c r="X466" s="4271"/>
      <c r="Y466" s="2868"/>
      <c r="Z466" s="2868"/>
      <c r="AA466" s="2868"/>
      <c r="AB466" s="3401"/>
      <c r="AC466" s="3401"/>
      <c r="AD466" s="3401"/>
      <c r="AE466" s="3401"/>
      <c r="AF466" s="3401"/>
      <c r="AG466" s="2399"/>
      <c r="AH466" s="2778"/>
      <c r="AI466" s="2778"/>
      <c r="AJ466" s="2778"/>
    </row>
    <row r="467" spans="1:37" s="2398" customFormat="1">
      <c r="A467" s="3582" t="s">
        <v>374</v>
      </c>
      <c r="B467" s="3583" t="s">
        <v>42</v>
      </c>
      <c r="C467" s="4219">
        <f>VLOOKUP(B467,Ranking!$B$7:$G$28,2,FALSE)</f>
        <v>2432.5463571428577</v>
      </c>
      <c r="D467" s="4220"/>
      <c r="E467" s="3579"/>
      <c r="F467" s="4191">
        <f>CALCULATIONS!RH15</f>
        <v>1.0635054604292995</v>
      </c>
      <c r="G467" s="4221"/>
      <c r="H467" s="3584">
        <f>CALCULATIONS!RF15</f>
        <v>1.4730790713133444</v>
      </c>
      <c r="I467" s="3581"/>
      <c r="J467" s="3415"/>
      <c r="K467" s="3415"/>
      <c r="L467" s="3415"/>
      <c r="M467" s="3415"/>
      <c r="N467" s="3415"/>
      <c r="O467" s="3415"/>
      <c r="P467" s="3415"/>
      <c r="Q467" s="4191">
        <f>CALCULATIONS!RI15</f>
        <v>1.150509018222287</v>
      </c>
      <c r="R467" s="4194"/>
      <c r="S467" s="1157"/>
      <c r="T467" s="2868"/>
      <c r="U467" s="2868"/>
      <c r="V467" s="2868"/>
      <c r="W467" s="2868"/>
      <c r="X467" s="2868"/>
      <c r="Y467" s="2868"/>
      <c r="Z467" s="2868"/>
      <c r="AA467" s="2868"/>
      <c r="AB467" s="3296"/>
      <c r="AC467" s="3296"/>
      <c r="AD467" s="3296"/>
      <c r="AE467" s="3296"/>
      <c r="AF467" s="3296"/>
      <c r="AG467" s="2399"/>
      <c r="AH467" s="2778"/>
      <c r="AI467" s="2778"/>
      <c r="AJ467" s="2778"/>
    </row>
    <row r="468" spans="1:37" s="2398" customFormat="1" ht="13.15" customHeight="1">
      <c r="A468" s="3582" t="s">
        <v>217</v>
      </c>
      <c r="B468" s="3583" t="s">
        <v>53</v>
      </c>
      <c r="C468" s="4219">
        <f>VLOOKUP(B468,Ranking!$B$7:$G$28,2,FALSE)</f>
        <v>60036.853628571422</v>
      </c>
      <c r="D468" s="4220"/>
      <c r="E468" s="3579"/>
      <c r="F468" s="4191">
        <f>CALCULATIONS!RH11</f>
        <v>1.186508835394207</v>
      </c>
      <c r="G468" s="4221"/>
      <c r="H468" s="3584">
        <f>CALCULATIONS!RF11</f>
        <v>1.1622672433414325</v>
      </c>
      <c r="I468" s="3581"/>
      <c r="J468" s="3415"/>
      <c r="K468" s="3415"/>
      <c r="L468" s="3415"/>
      <c r="M468" s="3415"/>
      <c r="N468" s="3415"/>
      <c r="O468" s="3415"/>
      <c r="P468" s="3415"/>
      <c r="Q468" s="4191">
        <f>CALCULATIONS!RI11</f>
        <v>1.1998360986682624</v>
      </c>
      <c r="R468" s="4194"/>
      <c r="S468" s="1163"/>
      <c r="T468" s="2868"/>
      <c r="U468" s="2868"/>
      <c r="V468" s="2868"/>
      <c r="W468" s="2868"/>
      <c r="X468" s="2868"/>
      <c r="Y468" s="2868"/>
      <c r="Z468" s="2868"/>
      <c r="AA468" s="2868"/>
      <c r="AB468" s="3296"/>
      <c r="AC468" s="3296"/>
      <c r="AD468" s="3296"/>
      <c r="AE468" s="3296"/>
      <c r="AF468" s="3296"/>
      <c r="AG468" s="2399"/>
    </row>
    <row r="469" spans="1:37" s="2398" customFormat="1" ht="13.15" customHeight="1">
      <c r="A469" s="3582" t="s">
        <v>32</v>
      </c>
      <c r="B469" s="3583" t="s">
        <v>50</v>
      </c>
      <c r="C469" s="4219">
        <f>VLOOKUP(B469,Ranking!$B$7:$G$28,2,FALSE)</f>
        <v>19515.355899391296</v>
      </c>
      <c r="D469" s="4220"/>
      <c r="E469" s="3579"/>
      <c r="F469" s="4191">
        <f>CALCULATIONS!RH21</f>
        <v>8.4506908326870883E-2</v>
      </c>
      <c r="G469" s="4221"/>
      <c r="H469" s="3584">
        <f>CALCULATIONS!RF21</f>
        <v>9.0179271304370728E-2</v>
      </c>
      <c r="I469" s="3581"/>
      <c r="J469" s="3415"/>
      <c r="K469" s="3415"/>
      <c r="L469" s="3415"/>
      <c r="M469" s="3415"/>
      <c r="N469" s="3415"/>
      <c r="O469" s="3415"/>
      <c r="P469" s="3415"/>
      <c r="Q469" s="4191">
        <f>CALCULATIONS!RI21</f>
        <v>0.124051060829884</v>
      </c>
      <c r="R469" s="4194"/>
      <c r="S469" s="1159"/>
      <c r="T469" s="2868"/>
      <c r="U469" s="2868"/>
      <c r="V469" s="2868"/>
      <c r="W469" s="2868"/>
      <c r="X469" s="2868"/>
      <c r="Y469" s="2868"/>
      <c r="Z469" s="2868"/>
      <c r="AA469" s="2868"/>
      <c r="AB469" s="3296"/>
      <c r="AC469" s="3296"/>
      <c r="AD469" s="3296"/>
      <c r="AE469" s="3296"/>
      <c r="AF469" s="3296"/>
      <c r="AG469" s="2399"/>
    </row>
    <row r="470" spans="1:37" s="2398" customFormat="1">
      <c r="A470" s="3582" t="s">
        <v>27</v>
      </c>
      <c r="B470" s="3583" t="s">
        <v>54</v>
      </c>
      <c r="C470" s="4219">
        <f>VLOOKUP(B470,Ranking!$B$7:$G$28,2,FALSE)</f>
        <v>4745.1447857142857</v>
      </c>
      <c r="D470" s="4220"/>
      <c r="E470" s="3579"/>
      <c r="F470" s="4191">
        <f>CALCULATIONS!RH20</f>
        <v>1.913116196667269</v>
      </c>
      <c r="G470" s="4221"/>
      <c r="H470" s="3584">
        <f>CALCULATIONS!RF20</f>
        <v>1.2289542328488545</v>
      </c>
      <c r="I470" s="3581"/>
      <c r="J470" s="3415"/>
      <c r="K470" s="3415"/>
      <c r="L470" s="3415"/>
      <c r="M470" s="3415"/>
      <c r="N470" s="3415"/>
      <c r="O470" s="3415"/>
      <c r="P470" s="3415"/>
      <c r="Q470" s="4191">
        <f>CALCULATIONS!RI20</f>
        <v>1.5800529385468658</v>
      </c>
      <c r="R470" s="4194"/>
      <c r="S470" s="1163"/>
      <c r="T470" s="2868"/>
      <c r="U470" s="2868"/>
      <c r="V470" s="2868"/>
      <c r="W470" s="2868"/>
      <c r="X470" s="2868"/>
      <c r="Y470" s="2868"/>
      <c r="Z470" s="2868"/>
      <c r="AA470" s="2868"/>
      <c r="AB470" s="3296"/>
      <c r="AC470" s="3296"/>
      <c r="AD470" s="3296"/>
      <c r="AE470" s="3296"/>
      <c r="AF470" s="3296"/>
      <c r="AG470" s="2399"/>
    </row>
    <row r="471" spans="1:37" s="2398" customFormat="1" ht="13.15" customHeight="1">
      <c r="A471" s="3582" t="s">
        <v>73</v>
      </c>
      <c r="B471" s="3583" t="s">
        <v>283</v>
      </c>
      <c r="C471" s="4219">
        <f>VLOOKUP(B471,Ranking!$B$7:$G$28,2,FALSE)</f>
        <v>2461.5190857142857</v>
      </c>
      <c r="D471" s="4220"/>
      <c r="E471" s="3579"/>
      <c r="F471" s="4191">
        <f>CALCULATIONS!RH12</f>
        <v>1.5782319725184342</v>
      </c>
      <c r="G471" s="4221"/>
      <c r="H471" s="3584">
        <f>CALCULATIONS!RF12</f>
        <v>1.5252603424842317</v>
      </c>
      <c r="I471" s="3581"/>
      <c r="J471" s="3415"/>
      <c r="K471" s="3415"/>
      <c r="L471" s="3415"/>
      <c r="M471" s="3415"/>
      <c r="N471" s="3415"/>
      <c r="O471" s="3415"/>
      <c r="P471" s="3415"/>
      <c r="Q471" s="4191">
        <f>CALCULATIONS!RI12</f>
        <v>1.5508436950330466</v>
      </c>
      <c r="R471" s="4194"/>
      <c r="S471" s="1804"/>
      <c r="T471" s="2868"/>
      <c r="U471" s="2868"/>
      <c r="V471" s="2868"/>
      <c r="W471" s="2868"/>
      <c r="X471" s="2868"/>
      <c r="Y471" s="2868"/>
      <c r="Z471" s="2868"/>
      <c r="AA471" s="2868"/>
      <c r="AB471" s="1614"/>
      <c r="AC471" s="1546"/>
      <c r="AD471" s="1546"/>
      <c r="AE471" s="1546"/>
      <c r="AF471" s="1546"/>
      <c r="AG471" s="2399"/>
    </row>
    <row r="472" spans="1:37" s="2398" customFormat="1" ht="13.15" customHeight="1">
      <c r="A472" s="3585" t="s">
        <v>319</v>
      </c>
      <c r="B472" s="3586" t="s">
        <v>750</v>
      </c>
      <c r="C472" s="4214">
        <f>VLOOKUP(B472,Ranking!$B$7:$G$28,2,FALSE)</f>
        <v>7616.907214285714</v>
      </c>
      <c r="D472" s="4215"/>
      <c r="E472" s="3579"/>
      <c r="F472" s="4216">
        <f>CALCULATIONS!RH7</f>
        <v>1.595996354911422</v>
      </c>
      <c r="G472" s="4217"/>
      <c r="H472" s="3587">
        <f>CALCULATIONS!RF7</f>
        <v>1.5977844313631977</v>
      </c>
      <c r="I472" s="3581"/>
      <c r="J472" s="3415"/>
      <c r="K472" s="3415"/>
      <c r="L472" s="3415"/>
      <c r="M472" s="3415"/>
      <c r="N472" s="3415"/>
      <c r="O472" s="3415"/>
      <c r="P472" s="3415"/>
      <c r="Q472" s="4216">
        <f>CALCULATIONS!RI7</f>
        <v>1.7102590032868088</v>
      </c>
      <c r="R472" s="4218"/>
      <c r="S472" s="1157"/>
      <c r="T472" s="2868"/>
      <c r="U472" s="2868"/>
      <c r="V472" s="2868"/>
      <c r="W472" s="2868"/>
      <c r="X472" s="2868"/>
      <c r="Y472" s="2868"/>
      <c r="Z472" s="2868"/>
      <c r="AA472" s="2868"/>
      <c r="AB472" s="1546"/>
      <c r="AC472" s="1546"/>
      <c r="AD472" s="1546"/>
      <c r="AE472" s="3407"/>
      <c r="AF472" s="1614"/>
      <c r="AG472" s="2399"/>
    </row>
    <row r="473" spans="1:37" s="2398" customFormat="1">
      <c r="A473" s="3582" t="s">
        <v>19</v>
      </c>
      <c r="B473" s="3583" t="s">
        <v>285</v>
      </c>
      <c r="C473" s="4219">
        <f>VLOOKUP(B473,Ranking!$B$7:$G$28,2,FALSE)</f>
        <v>6002.7646707914537</v>
      </c>
      <c r="D473" s="4220"/>
      <c r="E473" s="3579"/>
      <c r="F473" s="4191">
        <f>CALCULATIONS!RH13</f>
        <v>1.5921442863933879</v>
      </c>
      <c r="G473" s="4221"/>
      <c r="H473" s="3584">
        <f>CALCULATIONS!RF13</f>
        <v>1.650338720335786</v>
      </c>
      <c r="I473" s="3581"/>
      <c r="J473" s="3415"/>
      <c r="K473" s="3415"/>
      <c r="L473" s="3415"/>
      <c r="M473" s="3415"/>
      <c r="N473" s="3415"/>
      <c r="O473" s="3415"/>
      <c r="P473" s="3415"/>
      <c r="Q473" s="4191">
        <f>CALCULATIONS!RI13</f>
        <v>1.7183544287723995</v>
      </c>
      <c r="R473" s="4194"/>
      <c r="S473" s="1161"/>
      <c r="T473" s="2868"/>
      <c r="U473" s="2868"/>
      <c r="V473" s="2868"/>
      <c r="W473" s="2868"/>
      <c r="X473" s="2868"/>
      <c r="Y473" s="2868"/>
      <c r="Z473" s="2868"/>
      <c r="AA473" s="2868"/>
      <c r="AB473" s="1546"/>
      <c r="AC473" s="1546"/>
      <c r="AD473" s="1546"/>
      <c r="AE473" s="1546"/>
      <c r="AF473" s="1546"/>
      <c r="AG473" s="2399"/>
    </row>
    <row r="474" spans="1:37" s="2398" customFormat="1">
      <c r="A474" s="3582" t="s">
        <v>498</v>
      </c>
      <c r="B474" s="3583" t="s">
        <v>52</v>
      </c>
      <c r="C474" s="4219">
        <f>VLOOKUP(B474,Ranking!$B$7:$G$28,2,FALSE)</f>
        <v>40464.923042857146</v>
      </c>
      <c r="D474" s="4220"/>
      <c r="E474" s="3579"/>
      <c r="F474" s="4191">
        <f>CALCULATIONS!RH5</f>
        <v>1.8286941478013459</v>
      </c>
      <c r="G474" s="4221"/>
      <c r="H474" s="3584">
        <f>CALCULATIONS!RF5</f>
        <v>1.5874512164215564</v>
      </c>
      <c r="I474" s="3581"/>
      <c r="J474" s="3415"/>
      <c r="K474" s="3415"/>
      <c r="L474" s="3415"/>
      <c r="M474" s="3415"/>
      <c r="N474" s="3415"/>
      <c r="O474" s="3415"/>
      <c r="P474" s="3415"/>
      <c r="Q474" s="4191">
        <f>CALCULATIONS!RI5</f>
        <v>1.7525054725262048</v>
      </c>
      <c r="R474" s="4194"/>
      <c r="S474" s="1157"/>
      <c r="T474" s="2868"/>
      <c r="U474" s="2868"/>
      <c r="V474" s="2868"/>
      <c r="W474" s="2868"/>
      <c r="X474" s="2868"/>
      <c r="Y474" s="2868"/>
      <c r="Z474" s="2868"/>
      <c r="AA474" s="2868"/>
      <c r="AB474" s="3296"/>
      <c r="AC474" s="3296"/>
      <c r="AD474" s="3296"/>
      <c r="AE474" s="3296"/>
      <c r="AF474" s="3296"/>
      <c r="AG474" s="2399"/>
    </row>
    <row r="475" spans="1:37" s="2398" customFormat="1" ht="13.15" customHeight="1">
      <c r="A475" s="3582" t="s">
        <v>539</v>
      </c>
      <c r="B475" s="3583" t="s">
        <v>39</v>
      </c>
      <c r="C475" s="4219">
        <f>VLOOKUP(B475,Ranking!$B$7:$G$28,2,FALSE)</f>
        <v>5059.5155870714543</v>
      </c>
      <c r="D475" s="4220"/>
      <c r="E475" s="3579"/>
      <c r="F475" s="4191">
        <f>CALCULATIONS!RH10</f>
        <v>1.9282801765276909</v>
      </c>
      <c r="G475" s="4221"/>
      <c r="H475" s="3584">
        <f>CALCULATIONS!RF10</f>
        <v>1.870766828953943</v>
      </c>
      <c r="I475" s="3581"/>
      <c r="J475" s="3415"/>
      <c r="K475" s="3415"/>
      <c r="L475" s="3415"/>
      <c r="M475" s="3415"/>
      <c r="N475" s="3415"/>
      <c r="O475" s="3415"/>
      <c r="P475" s="3415"/>
      <c r="Q475" s="4191">
        <f>CALCULATIONS!RI10</f>
        <v>1.8207524563347595</v>
      </c>
      <c r="R475" s="4194"/>
      <c r="S475" s="1804"/>
      <c r="T475" s="2868"/>
      <c r="U475" s="2868"/>
      <c r="V475" s="2868"/>
      <c r="W475" s="2868"/>
      <c r="X475" s="2868"/>
      <c r="Y475" s="2868"/>
      <c r="Z475" s="2868"/>
      <c r="AA475" s="2868"/>
      <c r="AB475" s="3296"/>
      <c r="AC475" s="3296"/>
      <c r="AD475" s="3296"/>
      <c r="AE475" s="3296"/>
      <c r="AF475" s="3296"/>
      <c r="AG475" s="2399"/>
    </row>
    <row r="476" spans="1:37" s="2398" customFormat="1" ht="13.15" customHeight="1">
      <c r="A476" s="3582" t="s">
        <v>19</v>
      </c>
      <c r="B476" s="3583" t="s">
        <v>286</v>
      </c>
      <c r="C476" s="4219">
        <f>VLOOKUP(B476,Ranking!$B$7:$G$28,2,FALSE)</f>
        <v>31174.883771428573</v>
      </c>
      <c r="D476" s="4220"/>
      <c r="E476" s="3579"/>
      <c r="F476" s="4191">
        <f>CALCULATIONS!RH14</f>
        <v>1.998293046287106</v>
      </c>
      <c r="G476" s="4221"/>
      <c r="H476" s="3584">
        <f>CALCULATIONS!RF14</f>
        <v>2.0279084947736714</v>
      </c>
      <c r="I476" s="3581"/>
      <c r="J476" s="3415"/>
      <c r="K476" s="3415"/>
      <c r="L476" s="3415"/>
      <c r="M476" s="3415"/>
      <c r="N476" s="3415"/>
      <c r="O476" s="3415"/>
      <c r="P476" s="3415"/>
      <c r="Q476" s="4191">
        <f>CALCULATIONS!RI14</f>
        <v>1.9512575649157817</v>
      </c>
      <c r="R476" s="4194"/>
      <c r="S476" s="1157"/>
      <c r="T476" s="2868"/>
      <c r="U476" s="2868"/>
      <c r="V476" s="2868"/>
      <c r="W476" s="2868"/>
      <c r="X476" s="2868"/>
      <c r="Y476" s="2868"/>
      <c r="Z476" s="2868"/>
      <c r="AA476" s="2868"/>
      <c r="AB476" s="3398"/>
      <c r="AC476" s="3398"/>
      <c r="AD476" s="3398"/>
      <c r="AE476" s="3398"/>
      <c r="AF476" s="3398"/>
      <c r="AG476" s="2399"/>
    </row>
    <row r="477" spans="1:37" s="2398" customFormat="1">
      <c r="A477" s="3582" t="s">
        <v>503</v>
      </c>
      <c r="B477" s="3583" t="s">
        <v>280</v>
      </c>
      <c r="C477" s="4219">
        <f>VLOOKUP(B477,Ranking!$B$7:$G$28,2,FALSE)</f>
        <v>5769.8566757446433</v>
      </c>
      <c r="D477" s="4220"/>
      <c r="E477" s="3579"/>
      <c r="F477" s="4191">
        <f>CALCULATIONS!RH24</f>
        <v>2.1829865567603535</v>
      </c>
      <c r="G477" s="4221"/>
      <c r="H477" s="3584">
        <f>CALCULATIONS!RF24</f>
        <v>2.4047712901694145</v>
      </c>
      <c r="I477" s="3581"/>
      <c r="J477" s="3415"/>
      <c r="K477" s="3415"/>
      <c r="L477" s="3415"/>
      <c r="M477" s="3415"/>
      <c r="N477" s="3415"/>
      <c r="O477" s="3415"/>
      <c r="P477" s="3415"/>
      <c r="Q477" s="4191">
        <f>CALCULATIONS!RI24</f>
        <v>2.0377974427446737</v>
      </c>
      <c r="R477" s="4194"/>
      <c r="S477" s="1804"/>
      <c r="T477" s="2868"/>
      <c r="U477" s="2868"/>
      <c r="V477" s="2868"/>
      <c r="W477" s="2868"/>
      <c r="X477" s="2868"/>
      <c r="Y477" s="2868"/>
      <c r="Z477" s="2868"/>
      <c r="AA477" s="2868"/>
      <c r="AB477" s="3398"/>
      <c r="AC477" s="3398"/>
      <c r="AD477" s="3398"/>
      <c r="AE477" s="3398"/>
      <c r="AF477" s="3398"/>
      <c r="AG477" s="2399"/>
    </row>
    <row r="478" spans="1:37" s="2398" customFormat="1">
      <c r="A478" s="3582" t="s">
        <v>499</v>
      </c>
      <c r="B478" s="3583" t="s">
        <v>284</v>
      </c>
      <c r="C478" s="4219">
        <f>VLOOKUP(B478,Ranking!$B$7:$G$28,2,FALSE)</f>
        <v>15596.516285714286</v>
      </c>
      <c r="D478" s="4220"/>
      <c r="E478" s="3579"/>
      <c r="F478" s="4191">
        <f>CALCULATIONS!RH16</f>
        <v>2.3268725482048018</v>
      </c>
      <c r="G478" s="4221"/>
      <c r="H478" s="3584">
        <f>CALCULATIONS!RF16</f>
        <v>1.8140994358273392</v>
      </c>
      <c r="I478" s="3581"/>
      <c r="J478" s="3415"/>
      <c r="K478" s="3415"/>
      <c r="L478" s="3415"/>
      <c r="M478" s="3415"/>
      <c r="N478" s="3415"/>
      <c r="O478" s="3415"/>
      <c r="P478" s="3415"/>
      <c r="Q478" s="4191">
        <f>CALCULATIONS!RI16</f>
        <v>2.1739662984183536</v>
      </c>
      <c r="R478" s="4194"/>
      <c r="S478" s="1157"/>
      <c r="T478" s="2868"/>
      <c r="U478" s="2868"/>
      <c r="V478" s="2868"/>
      <c r="W478" s="2868"/>
      <c r="X478" s="2868"/>
      <c r="Y478" s="2868"/>
      <c r="Z478" s="2868"/>
      <c r="AA478" s="2868"/>
      <c r="AB478" s="3401"/>
      <c r="AC478" s="3401"/>
      <c r="AD478" s="3401"/>
      <c r="AE478" s="3401"/>
      <c r="AF478" s="3401"/>
      <c r="AG478" s="2399"/>
    </row>
    <row r="479" spans="1:37" s="2398" customFormat="1" ht="13.15" customHeight="1">
      <c r="A479" s="3582" t="s">
        <v>500</v>
      </c>
      <c r="B479" s="3583" t="s">
        <v>279</v>
      </c>
      <c r="C479" s="4219">
        <f>VLOOKUP(B479,Ranking!$B$7:$G$28,2,FALSE)</f>
        <v>20617.292984255655</v>
      </c>
      <c r="D479" s="4220"/>
      <c r="E479" s="3579"/>
      <c r="F479" s="4191">
        <f>CALCULATIONS!RH17</f>
        <v>2.5158478670724569</v>
      </c>
      <c r="G479" s="4221"/>
      <c r="H479" s="3584">
        <f>CALCULATIONS!RF17</f>
        <v>1.9498666166125365</v>
      </c>
      <c r="I479" s="3581"/>
      <c r="J479" s="3415"/>
      <c r="K479" s="3415"/>
      <c r="L479" s="3415"/>
      <c r="M479" s="3415"/>
      <c r="N479" s="3415"/>
      <c r="O479" s="3415"/>
      <c r="P479" s="3415"/>
      <c r="Q479" s="4191">
        <f>CALCULATIONS!RI17</f>
        <v>2.239302059340889</v>
      </c>
      <c r="R479" s="4194"/>
      <c r="S479" s="1804"/>
      <c r="T479" s="2868"/>
      <c r="U479" s="2868"/>
      <c r="V479" s="2868"/>
      <c r="W479" s="2868"/>
      <c r="X479" s="2868"/>
      <c r="Y479" s="2868"/>
      <c r="Z479" s="2868"/>
      <c r="AA479" s="2868"/>
      <c r="AB479" s="3401"/>
      <c r="AC479" s="3401"/>
      <c r="AD479" s="3401"/>
      <c r="AE479" s="3401"/>
      <c r="AF479" s="3401"/>
      <c r="AG479" s="2399"/>
      <c r="AH479" s="2789"/>
      <c r="AI479" s="2789"/>
      <c r="AJ479" s="2789"/>
      <c r="AK479" s="2789"/>
    </row>
    <row r="480" spans="1:37" s="2398" customFormat="1" ht="13.15" customHeight="1">
      <c r="A480" s="3582" t="s">
        <v>502</v>
      </c>
      <c r="B480" s="3583" t="s">
        <v>287</v>
      </c>
      <c r="C480" s="4219">
        <f>VLOOKUP(B480,Ranking!$B$7:$G$28,2,FALSE)</f>
        <v>4580.8423286191064</v>
      </c>
      <c r="D480" s="4220"/>
      <c r="E480" s="3579"/>
      <c r="F480" s="4191">
        <f>CALCULATIONS!RH19</f>
        <v>2.5573915739076094</v>
      </c>
      <c r="G480" s="4221"/>
      <c r="H480" s="3584">
        <f>CALCULATIONS!RF19</f>
        <v>2.8092609035856122</v>
      </c>
      <c r="I480" s="3581"/>
      <c r="J480" s="3415"/>
      <c r="K480" s="3415"/>
      <c r="L480" s="3415"/>
      <c r="M480" s="3415"/>
      <c r="N480" s="3415"/>
      <c r="O480" s="3415"/>
      <c r="P480" s="3415"/>
      <c r="Q480" s="4191">
        <f>CALCULATIONS!RI19</f>
        <v>2.5876902637838097</v>
      </c>
      <c r="R480" s="4194"/>
      <c r="S480" s="1157"/>
      <c r="T480" s="2868"/>
      <c r="U480" s="2868"/>
      <c r="V480" s="2868"/>
      <c r="W480" s="2868"/>
      <c r="X480" s="2868"/>
      <c r="Y480" s="2868"/>
      <c r="Z480" s="2868"/>
      <c r="AA480" s="2868"/>
      <c r="AB480" s="3401"/>
      <c r="AC480" s="3401"/>
      <c r="AD480" s="3401"/>
      <c r="AE480" s="3401"/>
      <c r="AF480" s="3401"/>
      <c r="AG480" s="2399"/>
      <c r="AH480" s="2789"/>
      <c r="AI480" s="2789"/>
      <c r="AJ480" s="2789"/>
      <c r="AK480" s="2789"/>
    </row>
    <row r="481" spans="1:42" s="2398" customFormat="1" ht="13.15" customHeight="1">
      <c r="A481" s="3582" t="s">
        <v>503</v>
      </c>
      <c r="B481" s="3583" t="s">
        <v>282</v>
      </c>
      <c r="C481" s="4219">
        <f>VLOOKUP(B481,Ranking!$B$7:$G$28,2,FALSE)</f>
        <v>22949.481858519866</v>
      </c>
      <c r="D481" s="4220"/>
      <c r="E481" s="3579"/>
      <c r="F481" s="4191">
        <f>CALCULATIONS!RH23</f>
        <v>3.1459497798615752</v>
      </c>
      <c r="G481" s="4221"/>
      <c r="H481" s="3584">
        <f>CALCULATIONS!RF23</f>
        <v>3.0536122018039884</v>
      </c>
      <c r="I481" s="3581"/>
      <c r="J481" s="3415"/>
      <c r="K481" s="3415"/>
      <c r="L481" s="3415"/>
      <c r="M481" s="3415"/>
      <c r="N481" s="3415"/>
      <c r="O481" s="3415"/>
      <c r="P481" s="3415"/>
      <c r="Q481" s="4191">
        <f>CALCULATIONS!RI23</f>
        <v>3.0607456534040569</v>
      </c>
      <c r="R481" s="4194"/>
      <c r="S481" s="1804"/>
      <c r="T481" s="2868"/>
      <c r="U481" s="2868"/>
      <c r="V481" s="2868"/>
      <c r="W481" s="2868"/>
      <c r="X481" s="2868"/>
      <c r="Y481" s="2868"/>
      <c r="Z481" s="2868"/>
      <c r="AA481" s="2868"/>
      <c r="AB481" s="3401"/>
      <c r="AC481" s="3401"/>
      <c r="AD481" s="3401"/>
      <c r="AE481" s="3401"/>
      <c r="AF481" s="3401"/>
      <c r="AG481" s="2399"/>
      <c r="AH481" s="2789"/>
      <c r="AI481" s="2789"/>
      <c r="AJ481" s="2789"/>
      <c r="AK481" s="2789"/>
    </row>
    <row r="482" spans="1:42" s="2398" customFormat="1">
      <c r="A482" s="3582" t="s">
        <v>27</v>
      </c>
      <c r="B482" s="3583" t="s">
        <v>353</v>
      </c>
      <c r="C482" s="4219">
        <f>VLOOKUP(B482,Ranking!$B$7:$G$28,2,FALSE)</f>
        <v>504.56125714285719</v>
      </c>
      <c r="D482" s="4220"/>
      <c r="E482" s="3579"/>
      <c r="F482" s="4191">
        <f>CALCULATIONS!RH26</f>
        <v>4.1071874395702164</v>
      </c>
      <c r="G482" s="4221"/>
      <c r="H482" s="3584">
        <f>CALCULATIONS!RF26</f>
        <v>4.0061117596832734</v>
      </c>
      <c r="I482" s="3581"/>
      <c r="J482" s="3415"/>
      <c r="K482" s="3415"/>
      <c r="L482" s="3415"/>
      <c r="M482" s="3415"/>
      <c r="N482" s="3415"/>
      <c r="O482" s="3415"/>
      <c r="P482" s="3415"/>
      <c r="Q482" s="4191">
        <f>CALCULATIONS!RI26</f>
        <v>3.9749785924978513</v>
      </c>
      <c r="R482" s="4194"/>
      <c r="S482" s="1160"/>
      <c r="T482" s="2868"/>
      <c r="U482" s="2868"/>
      <c r="V482" s="2868"/>
      <c r="W482" s="2868"/>
      <c r="X482" s="2868"/>
      <c r="Y482" s="2868"/>
      <c r="Z482" s="2868"/>
      <c r="AA482" s="2868"/>
      <c r="AB482" s="1546"/>
      <c r="AC482" s="1546"/>
      <c r="AD482" s="1546"/>
      <c r="AE482" s="1546"/>
      <c r="AF482" s="1546"/>
      <c r="AG482" s="2399"/>
      <c r="AH482" s="2785"/>
      <c r="AI482" s="2785"/>
      <c r="AJ482" s="2785"/>
    </row>
    <row r="483" spans="1:42" s="2398" customFormat="1">
      <c r="A483" s="3582" t="s">
        <v>32</v>
      </c>
      <c r="B483" s="3583" t="s">
        <v>277</v>
      </c>
      <c r="C483" s="4219">
        <f>VLOOKUP(B483,Ranking!$B$7:$G$28,2,FALSE)</f>
        <v>103061.53572524291</v>
      </c>
      <c r="D483" s="4220"/>
      <c r="E483" s="3579"/>
      <c r="F483" s="4191">
        <f>CALCULATIONS!RH22</f>
        <v>5.0137596144449921</v>
      </c>
      <c r="G483" s="4221"/>
      <c r="H483" s="3584">
        <f>CALCULATIONS!RF22</f>
        <v>4.9666585872642628</v>
      </c>
      <c r="I483" s="3581"/>
      <c r="J483" s="3415"/>
      <c r="K483" s="3415"/>
      <c r="L483" s="3415"/>
      <c r="M483" s="3415"/>
      <c r="N483" s="3415"/>
      <c r="O483" s="3415"/>
      <c r="P483" s="3415"/>
      <c r="Q483" s="4191">
        <f>CALCULATIONS!RI22</f>
        <v>4.6728677728573516</v>
      </c>
      <c r="R483" s="4194"/>
      <c r="S483" s="1159"/>
      <c r="T483" s="2868"/>
      <c r="U483" s="2868"/>
      <c r="V483" s="2868"/>
      <c r="W483" s="2868"/>
      <c r="X483" s="2868"/>
      <c r="Y483" s="2868"/>
      <c r="Z483" s="2868"/>
      <c r="AA483" s="2868"/>
      <c r="AB483" s="3296"/>
      <c r="AC483" s="3296"/>
      <c r="AD483" s="3296"/>
      <c r="AE483" s="3296"/>
      <c r="AF483" s="3296"/>
      <c r="AG483" s="2399"/>
    </row>
    <row r="484" spans="1:42" s="2398" customFormat="1">
      <c r="A484" s="3588" t="s">
        <v>319</v>
      </c>
      <c r="B484" s="3589" t="s">
        <v>752</v>
      </c>
      <c r="C484" s="4232">
        <f>VLOOKUP(B484,Ranking!$B$7:$G$28,2,FALSE)</f>
        <v>3541.6238999999996</v>
      </c>
      <c r="D484" s="4233"/>
      <c r="E484" s="3579"/>
      <c r="F484" s="4234">
        <f>CALCULATIONS!RH9</f>
        <v>-0.43997896168851486</v>
      </c>
      <c r="G484" s="4235"/>
      <c r="H484" s="3590">
        <f>CALCULATIONS!RF9</f>
        <v>-1.7214195502411884</v>
      </c>
      <c r="I484" s="3581"/>
      <c r="J484" s="3415"/>
      <c r="K484" s="3415"/>
      <c r="L484" s="3415"/>
      <c r="M484" s="3415"/>
      <c r="N484" s="3415"/>
      <c r="O484" s="3415"/>
      <c r="P484" s="3415"/>
      <c r="Q484" s="4234">
        <f>CALCULATIONS!RI9</f>
        <v>-0.7700153586221451</v>
      </c>
      <c r="R484" s="4236"/>
      <c r="S484" s="1161"/>
      <c r="T484" s="2868"/>
      <c r="U484" s="2868"/>
      <c r="V484" s="2868"/>
      <c r="W484" s="2868"/>
      <c r="X484" s="2868"/>
      <c r="Y484" s="2868"/>
      <c r="Z484" s="2868"/>
      <c r="AA484" s="2868"/>
      <c r="AB484" s="3296"/>
      <c r="AC484" s="3296"/>
      <c r="AD484" s="3296"/>
      <c r="AE484" s="3296"/>
      <c r="AF484" s="3296"/>
      <c r="AG484" s="2399"/>
    </row>
    <row r="485" spans="1:42" s="2398" customFormat="1">
      <c r="A485" s="1090"/>
      <c r="B485" s="2865"/>
      <c r="C485" s="92"/>
      <c r="D485" s="92"/>
      <c r="E485" s="92"/>
      <c r="F485" s="92"/>
      <c r="G485" s="92"/>
      <c r="H485" s="92"/>
      <c r="I485" s="92"/>
      <c r="J485" s="92"/>
      <c r="K485" s="92"/>
      <c r="L485" s="92"/>
      <c r="M485" s="92"/>
      <c r="N485" s="92"/>
      <c r="O485" s="92"/>
      <c r="P485" s="92"/>
      <c r="Q485" s="92"/>
      <c r="R485" s="92"/>
      <c r="T485" s="2868"/>
      <c r="U485" s="2868"/>
      <c r="V485" s="2868"/>
      <c r="W485" s="2868"/>
      <c r="X485" s="2868"/>
      <c r="Y485" s="2868"/>
      <c r="Z485" s="2868"/>
      <c r="AA485" s="2868"/>
      <c r="AB485" s="3296"/>
      <c r="AC485" s="3296"/>
      <c r="AD485" s="3296"/>
      <c r="AE485" s="3296"/>
      <c r="AF485" s="3296"/>
      <c r="AG485" s="2399"/>
    </row>
    <row r="486" spans="1:42" s="2398" customFormat="1" ht="3.75" customHeight="1">
      <c r="A486" s="2766"/>
      <c r="T486" s="2399"/>
      <c r="U486" s="2399"/>
      <c r="V486" s="2399"/>
      <c r="W486" s="2399"/>
      <c r="X486" s="2399"/>
      <c r="Y486" s="2399"/>
      <c r="Z486" s="2399"/>
      <c r="AA486" s="2399"/>
      <c r="AB486" s="2399"/>
      <c r="AC486" s="2399"/>
      <c r="AD486" s="2399"/>
      <c r="AE486" s="2399"/>
      <c r="AF486" s="2399"/>
      <c r="AG486" s="2399"/>
      <c r="AH486" s="2399"/>
      <c r="AI486" s="2399"/>
      <c r="AJ486" s="2399"/>
      <c r="AK486" s="2399"/>
      <c r="AL486" s="2399"/>
      <c r="AM486" s="2399"/>
      <c r="AN486" s="2399"/>
      <c r="AO486" s="2399"/>
      <c r="AP486" s="2399"/>
    </row>
    <row r="487" spans="1:42" s="2398" customFormat="1">
      <c r="A487" s="3407"/>
      <c r="B487" s="3407"/>
      <c r="C487" s="92"/>
      <c r="D487" s="92"/>
      <c r="E487" s="92"/>
      <c r="F487" s="92"/>
      <c r="G487" s="92"/>
      <c r="H487" s="92"/>
      <c r="I487" s="92"/>
      <c r="J487" s="92"/>
      <c r="K487" s="92"/>
      <c r="L487" s="92"/>
      <c r="M487" s="92"/>
      <c r="N487" s="174"/>
      <c r="O487" s="174"/>
      <c r="P487" s="174"/>
      <c r="Q487" s="174"/>
      <c r="R487" s="174"/>
      <c r="S487" s="2580"/>
      <c r="T487" s="3611"/>
      <c r="U487" s="2134"/>
      <c r="V487" s="2134"/>
      <c r="W487" s="3612"/>
      <c r="X487" s="2134"/>
      <c r="Y487" s="2134"/>
      <c r="Z487" s="2134"/>
      <c r="AA487" s="2656"/>
      <c r="AB487" s="2656"/>
      <c r="AC487" s="2656"/>
      <c r="AD487" s="2656"/>
      <c r="AE487" s="2656"/>
      <c r="AF487" s="2656"/>
      <c r="AG487" s="2399"/>
    </row>
    <row r="488" spans="1:42" s="2398" customFormat="1" ht="13.15" customHeight="1">
      <c r="A488" s="3565" t="s">
        <v>1689</v>
      </c>
      <c r="B488" s="3566" t="s">
        <v>1690</v>
      </c>
      <c r="C488" s="4196" t="s">
        <v>1461</v>
      </c>
      <c r="D488" s="4197"/>
      <c r="E488" s="3567"/>
      <c r="F488" s="4196" t="s">
        <v>2481</v>
      </c>
      <c r="G488" s="4198"/>
      <c r="H488" s="4197"/>
      <c r="I488" s="3415"/>
      <c r="J488" s="4199" t="s">
        <v>2482</v>
      </c>
      <c r="K488" s="4200"/>
      <c r="L488" s="4200"/>
      <c r="M488" s="4200"/>
      <c r="N488" s="3591"/>
      <c r="O488" s="3591"/>
      <c r="P488" s="3592"/>
      <c r="Q488" s="3592"/>
      <c r="R488" s="3593"/>
      <c r="S488" s="2580"/>
      <c r="T488" s="3415"/>
      <c r="U488" s="4208" t="s">
        <v>2478</v>
      </c>
      <c r="V488" s="4208"/>
      <c r="W488" s="4208"/>
      <c r="X488" s="4208"/>
      <c r="Y488" s="1559"/>
      <c r="Z488" s="1559"/>
      <c r="AA488" s="1559"/>
      <c r="AB488" s="3415"/>
      <c r="AC488" s="1559"/>
      <c r="AD488" s="1559"/>
      <c r="AE488" s="1559"/>
      <c r="AF488" s="1559"/>
      <c r="AG488" s="2399"/>
    </row>
    <row r="489" spans="1:42" s="2398" customFormat="1" ht="13.15" customHeight="1">
      <c r="A489" s="3388" t="s">
        <v>1687</v>
      </c>
      <c r="B489" s="3400"/>
      <c r="C489" s="4201" t="s">
        <v>1674</v>
      </c>
      <c r="D489" s="4202"/>
      <c r="E489" s="3571"/>
      <c r="F489" s="3572" t="s">
        <v>1674</v>
      </c>
      <c r="G489" s="3594"/>
      <c r="H489" s="3595" t="s">
        <v>1178</v>
      </c>
      <c r="I489" s="3415"/>
      <c r="J489" s="3596">
        <v>2009</v>
      </c>
      <c r="K489" s="3596">
        <v>2010</v>
      </c>
      <c r="L489" s="3596">
        <v>2011</v>
      </c>
      <c r="M489" s="3597">
        <v>2012</v>
      </c>
      <c r="N489" s="3591"/>
      <c r="O489" s="3591"/>
      <c r="P489" s="4201" t="s">
        <v>1686</v>
      </c>
      <c r="Q489" s="4203"/>
      <c r="R489" s="4202"/>
      <c r="S489" s="2580"/>
      <c r="T489" s="3613"/>
      <c r="U489" s="4208"/>
      <c r="V489" s="4208"/>
      <c r="W489" s="4208"/>
      <c r="X489" s="4208"/>
      <c r="Y489" s="3569"/>
      <c r="Z489" s="3569"/>
      <c r="AA489" s="1559"/>
      <c r="AB489" s="3415"/>
      <c r="AC489" s="3415"/>
      <c r="AD489" s="3415"/>
      <c r="AE489" s="3415"/>
      <c r="AF489" s="3415"/>
      <c r="AG489" s="2399"/>
    </row>
    <row r="490" spans="1:42" s="2398" customFormat="1" ht="13.15" customHeight="1">
      <c r="A490" s="3598" t="s">
        <v>319</v>
      </c>
      <c r="B490" s="3599" t="s">
        <v>751</v>
      </c>
      <c r="C490" s="4183">
        <f>VLOOKUP(B490,Ranking!$B$7:$G$28,2,FALSE)</f>
        <v>2121.4584571428572</v>
      </c>
      <c r="D490" s="4184"/>
      <c r="E490" s="3579"/>
      <c r="F490" s="4185">
        <f>CALCULATIONS!QN8</f>
        <v>6.3820660890696566</v>
      </c>
      <c r="G490" s="4186"/>
      <c r="H490" s="3600">
        <f>CALCULATIONS!QL8</f>
        <v>3.126768479322696</v>
      </c>
      <c r="I490" s="3415"/>
      <c r="J490" s="3601">
        <f>CALCULATIONS!PX8</f>
        <v>6.5204499724381675</v>
      </c>
      <c r="K490" s="3602">
        <f>CALCULATIONS!QB8</f>
        <v>6.7520912864995237</v>
      </c>
      <c r="L490" s="3602">
        <f>CALCULATIONS!QF8</f>
        <v>6.1679093945762649</v>
      </c>
      <c r="M490" s="3603">
        <f>CALCULATIONS!QJ8</f>
        <v>3.2523274240565234</v>
      </c>
      <c r="N490" s="3591"/>
      <c r="O490" s="3591"/>
      <c r="P490" s="4185">
        <f t="shared" ref="P490:P511" si="30">AVERAGE(J490:M490)</f>
        <v>5.6731945193926201</v>
      </c>
      <c r="Q490" s="4187"/>
      <c r="R490" s="4188"/>
      <c r="S490" s="1160"/>
      <c r="T490" s="3415"/>
      <c r="U490" s="3415"/>
      <c r="V490" s="3415"/>
      <c r="W490" s="3415"/>
      <c r="X490" s="3563"/>
      <c r="Y490" s="3569"/>
      <c r="Z490" s="3569"/>
      <c r="AA490" s="1559"/>
      <c r="AB490" s="3415"/>
      <c r="AC490" s="3415"/>
      <c r="AD490" s="3415"/>
      <c r="AE490" s="3415"/>
      <c r="AF490" s="3415"/>
      <c r="AG490" s="2399"/>
      <c r="AH490" s="3615"/>
    </row>
    <row r="491" spans="1:42" s="2398" customFormat="1" ht="13.15" customHeight="1">
      <c r="A491" s="3582" t="s">
        <v>19</v>
      </c>
      <c r="B491" s="3583" t="s">
        <v>285</v>
      </c>
      <c r="C491" s="4189">
        <f>VLOOKUP(B491,Ranking!$B$7:$G$28,2,FALSE)</f>
        <v>6002.7646707914537</v>
      </c>
      <c r="D491" s="4190"/>
      <c r="E491" s="3579"/>
      <c r="F491" s="4191">
        <f>CALCULATIONS!QN13</f>
        <v>4.1497848696984878</v>
      </c>
      <c r="G491" s="4192"/>
      <c r="H491" s="3600">
        <f>CALCULATIONS!QL13</f>
        <v>5.1075046454025781</v>
      </c>
      <c r="I491" s="3415"/>
      <c r="J491" s="3604">
        <f>CALCULATIONS!PX13</f>
        <v>5.9572195549508775</v>
      </c>
      <c r="K491" s="3605">
        <f>CALCULATIONS!QB13</f>
        <v>4.1245759450414017</v>
      </c>
      <c r="L491" s="3605">
        <f>CALCULATIONS!QF13</f>
        <v>3.5657120220683001</v>
      </c>
      <c r="M491" s="3606">
        <f>CALCULATIONS!QJ13</f>
        <v>4.3388638281385283</v>
      </c>
      <c r="N491" s="3415"/>
      <c r="O491" s="3415"/>
      <c r="P491" s="4191">
        <f t="shared" si="30"/>
        <v>4.4965928375497768</v>
      </c>
      <c r="Q491" s="4193"/>
      <c r="R491" s="4194"/>
      <c r="S491" s="1161"/>
      <c r="T491" s="3489" t="s">
        <v>2487</v>
      </c>
      <c r="U491" s="2136"/>
      <c r="V491" s="2136"/>
      <c r="W491" s="2136"/>
      <c r="X491" s="2136"/>
      <c r="Y491" s="3569"/>
      <c r="Z491" s="3569"/>
      <c r="AA491" s="1559"/>
      <c r="AB491" s="3415"/>
      <c r="AC491" s="3415"/>
      <c r="AD491" s="3415"/>
      <c r="AE491" s="3415"/>
      <c r="AF491" s="3415"/>
      <c r="AG491" s="2399"/>
      <c r="AH491" s="2399"/>
      <c r="AI491" s="2399"/>
    </row>
    <row r="492" spans="1:42" s="2398" customFormat="1" ht="13.15" customHeight="1">
      <c r="A492" s="3582" t="s">
        <v>504</v>
      </c>
      <c r="B492" s="3583" t="s">
        <v>288</v>
      </c>
      <c r="C492" s="4189">
        <f>VLOOKUP(B492,Ranking!$B$7:$G$28,2,FALSE)</f>
        <v>16250.837973523972</v>
      </c>
      <c r="D492" s="4190"/>
      <c r="E492" s="3579"/>
      <c r="F492" s="4191">
        <f>CALCULATIONS!QN25</f>
        <v>4.0995220850209826</v>
      </c>
      <c r="G492" s="4192"/>
      <c r="H492" s="3600">
        <f>CALCULATIONS!QL25</f>
        <v>4.5731712273212377</v>
      </c>
      <c r="I492" s="3415"/>
      <c r="J492" s="3604">
        <f>CALCULATIONS!PX25</f>
        <v>3.100050332829047</v>
      </c>
      <c r="K492" s="3605">
        <f>CALCULATIONS!QB25</f>
        <v>3.9802228598130838</v>
      </c>
      <c r="L492" s="3605">
        <f>CALCULATIONS!QF25</f>
        <v>4.2914703677839849</v>
      </c>
      <c r="M492" s="3606">
        <f>CALCULATIONS!QJ25</f>
        <v>4.9084286573628484</v>
      </c>
      <c r="N492" s="3415"/>
      <c r="O492" s="3415"/>
      <c r="P492" s="4191">
        <f t="shared" si="30"/>
        <v>4.0700430544472406</v>
      </c>
      <c r="Q492" s="4193"/>
      <c r="R492" s="4194"/>
      <c r="S492" s="1804"/>
      <c r="T492" s="4209" t="s">
        <v>2754</v>
      </c>
      <c r="U492" s="4209"/>
      <c r="V492" s="4209"/>
      <c r="W492" s="4209"/>
      <c r="X492" s="4209"/>
      <c r="Y492" s="3569"/>
      <c r="Z492" s="3569"/>
      <c r="AA492" s="1559"/>
      <c r="AB492" s="3415"/>
      <c r="AC492" s="3415"/>
      <c r="AD492" s="3415"/>
      <c r="AE492" s="3415"/>
      <c r="AF492" s="3415"/>
      <c r="AG492" s="2399"/>
      <c r="AH492" s="2399"/>
      <c r="AI492" s="2399"/>
      <c r="AJ492" s="2399"/>
    </row>
    <row r="493" spans="1:42" s="2398" customFormat="1" ht="13.15" customHeight="1">
      <c r="A493" s="3582" t="s">
        <v>501</v>
      </c>
      <c r="B493" s="3583" t="s">
        <v>44</v>
      </c>
      <c r="C493" s="4189">
        <f>VLOOKUP(B493,Ranking!$B$7:$G$28,2,FALSE)</f>
        <v>12234.494271428572</v>
      </c>
      <c r="D493" s="4190"/>
      <c r="E493" s="3579"/>
      <c r="F493" s="4191">
        <f>CALCULATIONS!QN18</f>
        <v>3.9295455833111754</v>
      </c>
      <c r="G493" s="4192"/>
      <c r="H493" s="3600">
        <f>CALCULATIONS!QL18</f>
        <v>1.2175677021960365</v>
      </c>
      <c r="I493" s="3415"/>
      <c r="J493" s="3604">
        <f>CALCULATIONS!PX18</f>
        <v>5.0209963551158552</v>
      </c>
      <c r="K493" s="3605">
        <f>CALCULATIONS!QB18</f>
        <v>4.9065428285714283</v>
      </c>
      <c r="L493" s="3605">
        <f>CALCULATIONS!QF18</f>
        <v>4.5168687030716725</v>
      </c>
      <c r="M493" s="3606">
        <f>CALCULATIONS!QJ18</f>
        <v>2.1615349451442505</v>
      </c>
      <c r="N493" s="3415"/>
      <c r="O493" s="3415"/>
      <c r="P493" s="4191">
        <f t="shared" si="30"/>
        <v>4.1514857079758016</v>
      </c>
      <c r="Q493" s="4193"/>
      <c r="R493" s="4194"/>
      <c r="S493" s="1157"/>
      <c r="T493" s="4209"/>
      <c r="U493" s="4209"/>
      <c r="V493" s="4209"/>
      <c r="W493" s="4209"/>
      <c r="X493" s="4209"/>
      <c r="Y493" s="3569"/>
      <c r="Z493" s="3569"/>
      <c r="AA493" s="1559"/>
      <c r="AB493" s="3415"/>
      <c r="AC493" s="3415"/>
      <c r="AD493" s="3415"/>
      <c r="AE493" s="3415"/>
      <c r="AF493" s="3415"/>
      <c r="AG493" s="2399"/>
      <c r="AH493" s="2785"/>
      <c r="AI493" s="2399"/>
      <c r="AJ493" s="2399"/>
    </row>
    <row r="494" spans="1:42" s="2398" customFormat="1" ht="13.15" customHeight="1">
      <c r="A494" s="3582" t="s">
        <v>385</v>
      </c>
      <c r="B494" s="3583" t="s">
        <v>276</v>
      </c>
      <c r="C494" s="4189">
        <f>VLOOKUP(B494,Ranking!$B$7:$G$28,2,FALSE)</f>
        <v>3544.0522571428578</v>
      </c>
      <c r="D494" s="4190"/>
      <c r="E494" s="3579"/>
      <c r="F494" s="4191">
        <f>CALCULATIONS!QN6</f>
        <v>3.4941691326062152</v>
      </c>
      <c r="G494" s="4192"/>
      <c r="H494" s="3600">
        <f>CALCULATIONS!QL6</f>
        <v>2.2961398399999999</v>
      </c>
      <c r="I494" s="3415"/>
      <c r="J494" s="3604">
        <f>CALCULATIONS!PX6</f>
        <v>2.7280750935788953</v>
      </c>
      <c r="K494" s="3605">
        <f>CALCULATIONS!QB6</f>
        <v>3.1523421974710972</v>
      </c>
      <c r="L494" s="3605">
        <f>CALCULATIONS!QF6</f>
        <v>4.6295545288808873</v>
      </c>
      <c r="M494" s="3606">
        <f>CALCULATIONS!QJ6</f>
        <v>3.0381227224399536</v>
      </c>
      <c r="N494" s="3591"/>
      <c r="O494" s="3591"/>
      <c r="P494" s="4191">
        <f t="shared" si="30"/>
        <v>3.3870236355927084</v>
      </c>
      <c r="Q494" s="4193"/>
      <c r="R494" s="4194"/>
      <c r="S494" s="1157"/>
      <c r="T494" s="4209"/>
      <c r="U494" s="4209"/>
      <c r="V494" s="4209"/>
      <c r="W494" s="4209"/>
      <c r="X494" s="4209"/>
      <c r="Y494" s="3569"/>
      <c r="Z494" s="3569"/>
      <c r="AA494" s="1559"/>
      <c r="AB494" s="3415"/>
      <c r="AC494" s="3415"/>
      <c r="AD494" s="3415"/>
      <c r="AE494" s="3415"/>
      <c r="AF494" s="3415"/>
      <c r="AG494" s="2399"/>
      <c r="AH494" s="2399"/>
      <c r="AI494" s="2399"/>
      <c r="AJ494" s="2399"/>
    </row>
    <row r="495" spans="1:42" s="2398" customFormat="1" ht="13.15" customHeight="1">
      <c r="A495" s="3582" t="s">
        <v>73</v>
      </c>
      <c r="B495" s="3583" t="s">
        <v>283</v>
      </c>
      <c r="C495" s="4189">
        <f>VLOOKUP(B495,Ranking!$B$7:$G$28,2,FALSE)</f>
        <v>2461.5190857142857</v>
      </c>
      <c r="D495" s="4190"/>
      <c r="E495" s="3579"/>
      <c r="F495" s="4191">
        <f>CALCULATIONS!QN12</f>
        <v>3.1397518024733277</v>
      </c>
      <c r="G495" s="4192"/>
      <c r="H495" s="3600">
        <f>CALCULATIONS!QL12</f>
        <v>3.0995844257996854</v>
      </c>
      <c r="I495" s="3415"/>
      <c r="J495" s="3604">
        <f>CALCULATIONS!PX12</f>
        <v>2.7596428888888891</v>
      </c>
      <c r="K495" s="3605">
        <f>CALCULATIONS!QB12</f>
        <v>3.2486785928682917</v>
      </c>
      <c r="L495" s="3605">
        <f>CALCULATIONS!QF12</f>
        <v>2.9988687373557066</v>
      </c>
      <c r="M495" s="3606">
        <f>CALCULATIONS!QJ12</f>
        <v>3.0826835799859054</v>
      </c>
      <c r="N495" s="3591"/>
      <c r="O495" s="3591"/>
      <c r="P495" s="4191">
        <f t="shared" si="30"/>
        <v>3.0224684497746983</v>
      </c>
      <c r="Q495" s="4193"/>
      <c r="R495" s="4194"/>
      <c r="S495" s="1804"/>
      <c r="T495" s="4209" t="s">
        <v>2497</v>
      </c>
      <c r="U495" s="4209"/>
      <c r="V495" s="4209"/>
      <c r="W495" s="4209"/>
      <c r="X495" s="4209"/>
      <c r="Y495" s="3569"/>
      <c r="Z495" s="3569"/>
      <c r="AA495" s="1559"/>
      <c r="AB495" s="3415"/>
      <c r="AC495" s="3415"/>
      <c r="AD495" s="3415"/>
      <c r="AE495" s="3415"/>
      <c r="AF495" s="3415"/>
      <c r="AG495" s="2399"/>
      <c r="AH495" s="2399"/>
      <c r="AI495" s="2399"/>
      <c r="AJ495" s="2399"/>
    </row>
    <row r="496" spans="1:42" s="2398" customFormat="1" ht="12.75" customHeight="1">
      <c r="A496" s="3582" t="s">
        <v>503</v>
      </c>
      <c r="B496" s="3583" t="s">
        <v>280</v>
      </c>
      <c r="C496" s="4189">
        <f>VLOOKUP(B496,Ranking!$B$7:$G$28,2,FALSE)</f>
        <v>5769.8566757446433</v>
      </c>
      <c r="D496" s="4190"/>
      <c r="E496" s="3579"/>
      <c r="F496" s="4191">
        <f>CALCULATIONS!QN24</f>
        <v>2.446298838298576</v>
      </c>
      <c r="G496" s="4192"/>
      <c r="H496" s="3600">
        <f>CALCULATIONS!QL24</f>
        <v>1.6476276710656086</v>
      </c>
      <c r="I496" s="3415"/>
      <c r="J496" s="3604">
        <f>CALCULATIONS!PX24</f>
        <v>1.7049016160196733</v>
      </c>
      <c r="K496" s="3605">
        <f>CALCULATIONS!QB24</f>
        <v>2.1251173298701298</v>
      </c>
      <c r="L496" s="3605">
        <f>CALCULATIONS!QF24</f>
        <v>2.7723139800484802</v>
      </c>
      <c r="M496" s="3606">
        <f>CALCULATIONS!QJ24</f>
        <v>2.5488192177786479</v>
      </c>
      <c r="N496" s="3415"/>
      <c r="O496" s="3415"/>
      <c r="P496" s="4191">
        <f t="shared" si="30"/>
        <v>2.2877880359292329</v>
      </c>
      <c r="Q496" s="4193"/>
      <c r="R496" s="4194"/>
      <c r="S496" s="1807"/>
      <c r="T496" s="4209"/>
      <c r="U496" s="4209"/>
      <c r="V496" s="4209"/>
      <c r="W496" s="4209"/>
      <c r="X496" s="4209"/>
      <c r="Y496" s="3569"/>
      <c r="Z496" s="3569"/>
      <c r="AA496" s="1559"/>
      <c r="AB496" s="3415"/>
      <c r="AC496" s="3415"/>
      <c r="AD496" s="3415"/>
      <c r="AE496" s="3415"/>
      <c r="AF496" s="3415"/>
      <c r="AG496" s="2399"/>
      <c r="AH496" s="2399"/>
      <c r="AI496" s="2399"/>
      <c r="AJ496" s="2399"/>
    </row>
    <row r="497" spans="1:41" s="2398" customFormat="1" ht="13.15" customHeight="1">
      <c r="A497" s="3585" t="s">
        <v>319</v>
      </c>
      <c r="B497" s="3586" t="s">
        <v>750</v>
      </c>
      <c r="C497" s="4189">
        <f>VLOOKUP(B497,Ranking!$B$7:$G$28,2,FALSE)</f>
        <v>7616.907214285714</v>
      </c>
      <c r="D497" s="4190"/>
      <c r="E497" s="3579"/>
      <c r="F497" s="4191">
        <f>CALCULATIONS!QN7</f>
        <v>2.4107651340270966</v>
      </c>
      <c r="G497" s="4192"/>
      <c r="H497" s="3600">
        <f>CALCULATIONS!QL7</f>
        <v>2.0327505931612002</v>
      </c>
      <c r="I497" s="3415"/>
      <c r="J497" s="3604">
        <f>CALCULATIONS!PX7</f>
        <v>3.2477845879556257</v>
      </c>
      <c r="K497" s="3605">
        <f>CALCULATIONS!QB7</f>
        <v>2.4168915020945541</v>
      </c>
      <c r="L497" s="3605">
        <f>CALCULATIONS!QF7</f>
        <v>2.3318617201695941</v>
      </c>
      <c r="M497" s="3606">
        <f>CALCULATIONS!QJ7</f>
        <v>2.190372668112798</v>
      </c>
      <c r="N497" s="3591"/>
      <c r="O497" s="3591"/>
      <c r="P497" s="4191">
        <f t="shared" si="30"/>
        <v>2.5467276195831428</v>
      </c>
      <c r="Q497" s="4193"/>
      <c r="R497" s="4194"/>
      <c r="S497" s="1157"/>
      <c r="T497" s="4209" t="s">
        <v>2753</v>
      </c>
      <c r="U497" s="4209"/>
      <c r="V497" s="4209"/>
      <c r="W497" s="4209"/>
      <c r="X497" s="4209"/>
      <c r="Y497" s="3569"/>
      <c r="Z497" s="3569"/>
      <c r="AA497" s="1559"/>
      <c r="AB497" s="3415"/>
      <c r="AC497" s="3415"/>
      <c r="AD497" s="3415"/>
      <c r="AE497" s="3415"/>
      <c r="AF497" s="3415"/>
      <c r="AG497" s="2399"/>
      <c r="AH497" s="2399"/>
      <c r="AI497" s="2399"/>
      <c r="AJ497" s="2399"/>
    </row>
    <row r="498" spans="1:41" s="2398" customFormat="1" ht="12.75" customHeight="1">
      <c r="A498" s="3582" t="s">
        <v>217</v>
      </c>
      <c r="B498" s="3583" t="s">
        <v>53</v>
      </c>
      <c r="C498" s="4189">
        <f>VLOOKUP(B498,Ranking!$B$7:$G$28,2,FALSE)</f>
        <v>60036.853628571422</v>
      </c>
      <c r="D498" s="4190"/>
      <c r="E498" s="3579"/>
      <c r="F498" s="4191">
        <f>CALCULATIONS!QN11</f>
        <v>2.2644833808097031</v>
      </c>
      <c r="G498" s="4192"/>
      <c r="H498" s="3600">
        <f>CALCULATIONS!QL11</f>
        <v>1.7716210773954304</v>
      </c>
      <c r="I498" s="3415"/>
      <c r="J498" s="3604">
        <f>CALCULATIONS!PX11</f>
        <v>3.6650596934992175</v>
      </c>
      <c r="K498" s="3605">
        <f>CALCULATIONS!QB11</f>
        <v>2.4142042829188233</v>
      </c>
      <c r="L498" s="3605">
        <f>CALCULATIONS!QF11</f>
        <v>2.1897509622758644</v>
      </c>
      <c r="M498" s="3606">
        <f>CALCULATIONS!QJ11</f>
        <v>1.6589194642276128</v>
      </c>
      <c r="N498" s="3591"/>
      <c r="O498" s="3591"/>
      <c r="P498" s="4191">
        <f t="shared" si="30"/>
        <v>2.4819836007303797</v>
      </c>
      <c r="Q498" s="4193"/>
      <c r="R498" s="4194"/>
      <c r="S498" s="1163"/>
      <c r="T498" s="4209"/>
      <c r="U498" s="4209"/>
      <c r="V498" s="4209"/>
      <c r="W498" s="4209"/>
      <c r="X498" s="4209"/>
      <c r="Y498" s="1559"/>
      <c r="Z498" s="1559"/>
      <c r="AA498" s="1559"/>
      <c r="AB498" s="3415"/>
      <c r="AC498" s="3415"/>
      <c r="AD498" s="3415"/>
      <c r="AE498" s="3415"/>
      <c r="AF498" s="3415"/>
      <c r="AG498" s="2399"/>
      <c r="AH498" s="2399"/>
      <c r="AI498" s="2399"/>
      <c r="AJ498" s="2399"/>
    </row>
    <row r="499" spans="1:41" s="2398" customFormat="1">
      <c r="A499" s="3582" t="s">
        <v>500</v>
      </c>
      <c r="B499" s="3583" t="s">
        <v>279</v>
      </c>
      <c r="C499" s="4189">
        <f>VLOOKUP(B499,Ranking!$B$7:$G$28,2,FALSE)</f>
        <v>20617.292984255655</v>
      </c>
      <c r="D499" s="4190"/>
      <c r="E499" s="3579"/>
      <c r="F499" s="4191">
        <f>CALCULATIONS!QN17</f>
        <v>1.8990159277875758</v>
      </c>
      <c r="G499" s="4192"/>
      <c r="H499" s="3600">
        <f>CALCULATIONS!QL17</f>
        <v>2.509154465418888</v>
      </c>
      <c r="I499" s="3415"/>
      <c r="J499" s="3604">
        <f>CALCULATIONS!PX17</f>
        <v>1.5778657132780813</v>
      </c>
      <c r="K499" s="3605">
        <f>CALCULATIONS!QB17</f>
        <v>1.6077235454904486</v>
      </c>
      <c r="L499" s="3605">
        <f>CALCULATIONS!QF17</f>
        <v>1.7883803525810682</v>
      </c>
      <c r="M499" s="3606">
        <f>CALCULATIONS!QJ17</f>
        <v>2.2432128345223146</v>
      </c>
      <c r="N499" s="3415"/>
      <c r="O499" s="3415"/>
      <c r="P499" s="4191">
        <f t="shared" si="30"/>
        <v>1.8042956114679782</v>
      </c>
      <c r="Q499" s="4193"/>
      <c r="R499" s="4194"/>
      <c r="S499" s="1804"/>
      <c r="T499" s="3617" t="s">
        <v>2485</v>
      </c>
      <c r="U499" s="3309"/>
      <c r="V499" s="3309"/>
      <c r="W499" s="3309"/>
      <c r="X499" s="3309"/>
      <c r="Y499" s="1559"/>
      <c r="Z499" s="1559"/>
      <c r="AA499" s="1559"/>
      <c r="AB499" s="3415"/>
      <c r="AC499" s="3415"/>
      <c r="AD499" s="3415"/>
      <c r="AE499" s="3415"/>
      <c r="AF499" s="3415"/>
      <c r="AG499" s="2399"/>
      <c r="AH499" s="2399"/>
      <c r="AI499" s="2399"/>
      <c r="AJ499" s="2399"/>
    </row>
    <row r="500" spans="1:41" s="2398" customFormat="1" ht="12.75" customHeight="1">
      <c r="A500" s="3582" t="s">
        <v>503</v>
      </c>
      <c r="B500" s="3583" t="s">
        <v>282</v>
      </c>
      <c r="C500" s="4189">
        <f>VLOOKUP(B500,Ranking!$B$7:$G$28,2,FALSE)</f>
        <v>22949.481858519866</v>
      </c>
      <c r="D500" s="4190"/>
      <c r="E500" s="3579"/>
      <c r="F500" s="4191">
        <f>CALCULATIONS!QN23</f>
        <v>1.7647070716020126</v>
      </c>
      <c r="G500" s="4192"/>
      <c r="H500" s="3600">
        <f>CALCULATIONS!QL23</f>
        <v>1.7786623686113903</v>
      </c>
      <c r="I500" s="3415"/>
      <c r="J500" s="3604">
        <f>CALCULATIONS!PX23</f>
        <v>1.6339076519835227</v>
      </c>
      <c r="K500" s="3605">
        <f>CALCULATIONS!QB23</f>
        <v>1.8041033392379302</v>
      </c>
      <c r="L500" s="3605">
        <f>CALCULATIONS!QF23</f>
        <v>1.6472650941094176</v>
      </c>
      <c r="M500" s="3606">
        <f>CALCULATIONS!QJ23</f>
        <v>1.6824538387597445</v>
      </c>
      <c r="N500" s="3415"/>
      <c r="O500" s="3415"/>
      <c r="P500" s="4191">
        <f t="shared" si="30"/>
        <v>1.6919324810226537</v>
      </c>
      <c r="Q500" s="4193"/>
      <c r="R500" s="4194"/>
      <c r="S500" s="1804"/>
      <c r="T500" s="4209" t="s">
        <v>2484</v>
      </c>
      <c r="U500" s="4209"/>
      <c r="V500" s="4209"/>
      <c r="W500" s="4209"/>
      <c r="X500" s="4209"/>
      <c r="Y500" s="1559"/>
      <c r="Z500" s="1559"/>
      <c r="AA500" s="1559"/>
      <c r="AB500" s="3415"/>
      <c r="AC500" s="3415"/>
      <c r="AD500" s="3415"/>
      <c r="AE500" s="3415"/>
      <c r="AF500" s="3415"/>
      <c r="AG500" s="2399"/>
      <c r="AH500" s="2563"/>
      <c r="AI500" s="2563"/>
      <c r="AJ500" s="2399"/>
      <c r="AN500" s="2399"/>
    </row>
    <row r="501" spans="1:41" s="2398" customFormat="1" ht="12.75" customHeight="1">
      <c r="A501" s="3582" t="s">
        <v>539</v>
      </c>
      <c r="B501" s="3583" t="s">
        <v>39</v>
      </c>
      <c r="C501" s="4189">
        <f>VLOOKUP(B501,Ranking!$B$7:$G$28,2,FALSE)</f>
        <v>5059.5155870714543</v>
      </c>
      <c r="D501" s="4190"/>
      <c r="E501" s="3579"/>
      <c r="F501" s="4191">
        <f>CALCULATIONS!QN10</f>
        <v>1.6858649053444912</v>
      </c>
      <c r="G501" s="4192"/>
      <c r="H501" s="3600">
        <f>CALCULATIONS!QL10</f>
        <v>1.7703056194544857</v>
      </c>
      <c r="I501" s="3415"/>
      <c r="J501" s="3604">
        <f>CALCULATIONS!PX10</f>
        <v>1.7886600376689563</v>
      </c>
      <c r="K501" s="3605">
        <f>CALCULATIONS!QB10</f>
        <v>1.8974798801246704</v>
      </c>
      <c r="L501" s="3605">
        <f>CALCULATIONS!QF10</f>
        <v>1.6909778097464483</v>
      </c>
      <c r="M501" s="3606">
        <f>CALCULATIONS!QJ10</f>
        <v>1.5354901687351834</v>
      </c>
      <c r="N501" s="3591"/>
      <c r="O501" s="3591"/>
      <c r="P501" s="4191">
        <f t="shared" si="30"/>
        <v>1.7281519740688145</v>
      </c>
      <c r="Q501" s="4193"/>
      <c r="R501" s="4194"/>
      <c r="S501" s="1804"/>
      <c r="T501" s="4209"/>
      <c r="U501" s="4209"/>
      <c r="V501" s="4209"/>
      <c r="W501" s="4209"/>
      <c r="X501" s="4209"/>
      <c r="Y501" s="108"/>
      <c r="Z501" s="108"/>
      <c r="AA501" s="108"/>
      <c r="AB501" s="3415"/>
      <c r="AC501" s="3415"/>
      <c r="AD501" s="3415"/>
      <c r="AE501" s="3415"/>
      <c r="AF501" s="3415"/>
      <c r="AG501" s="2399"/>
      <c r="AH501" s="2563"/>
      <c r="AI501" s="2399"/>
      <c r="AJ501" s="2399"/>
      <c r="AN501" s="2399"/>
    </row>
    <row r="502" spans="1:41" s="2398" customFormat="1" ht="13.15" customHeight="1">
      <c r="A502" s="3582" t="s">
        <v>502</v>
      </c>
      <c r="B502" s="3583" t="s">
        <v>287</v>
      </c>
      <c r="C502" s="4189">
        <f>VLOOKUP(B502,Ranking!$B$7:$G$28,2,FALSE)</f>
        <v>4580.8423286191064</v>
      </c>
      <c r="D502" s="4190"/>
      <c r="E502" s="3579"/>
      <c r="F502" s="4191">
        <f>CALCULATIONS!QN19</f>
        <v>1.4234279787340207</v>
      </c>
      <c r="G502" s="4192"/>
      <c r="H502" s="3600">
        <f>CALCULATIONS!QL19</f>
        <v>0.8056764866383116</v>
      </c>
      <c r="I502" s="3415"/>
      <c r="J502" s="3604">
        <f>CALCULATIONS!PX19</f>
        <v>1.2808747659034616</v>
      </c>
      <c r="K502" s="3605">
        <f>CALCULATIONS!QB19</f>
        <v>1.4926609266092661</v>
      </c>
      <c r="L502" s="3605">
        <f>CALCULATIONS!QF19</f>
        <v>1.5919005581135761</v>
      </c>
      <c r="M502" s="3606">
        <f>CALCULATIONS!QJ19</f>
        <v>1.2606102407778979</v>
      </c>
      <c r="N502" s="3415"/>
      <c r="O502" s="3415"/>
      <c r="P502" s="4191">
        <f t="shared" si="30"/>
        <v>1.4065116228510506</v>
      </c>
      <c r="Q502" s="4193"/>
      <c r="R502" s="4194"/>
      <c r="S502" s="1157"/>
      <c r="T502" s="4211" t="s">
        <v>2498</v>
      </c>
      <c r="U502" s="4211"/>
      <c r="V502" s="4211"/>
      <c r="W502" s="4211"/>
      <c r="X502" s="4211"/>
      <c r="Y502" s="1559"/>
      <c r="Z502" s="1559"/>
      <c r="AA502" s="1559"/>
      <c r="AB502" s="3415"/>
      <c r="AC502" s="3415"/>
      <c r="AD502" s="3415"/>
      <c r="AE502" s="3415"/>
      <c r="AF502" s="3415"/>
      <c r="AG502" s="2399"/>
      <c r="AH502" s="2399"/>
      <c r="AI502" s="2399"/>
      <c r="AJ502" s="2399"/>
    </row>
    <row r="503" spans="1:41" s="2398" customFormat="1" ht="12.75" customHeight="1">
      <c r="A503" s="3582" t="s">
        <v>27</v>
      </c>
      <c r="B503" s="3583" t="s">
        <v>54</v>
      </c>
      <c r="C503" s="4189">
        <f>VLOOKUP(B503,Ranking!$B$7:$G$28,2,FALSE)</f>
        <v>4745.1447857142857</v>
      </c>
      <c r="D503" s="4190"/>
      <c r="E503" s="3579"/>
      <c r="F503" s="4191">
        <f>CALCULATIONS!QN20</f>
        <v>1.3569881249181368</v>
      </c>
      <c r="G503" s="4192"/>
      <c r="H503" s="3600">
        <f>CALCULATIONS!QL20</f>
        <v>1.0332545966156574</v>
      </c>
      <c r="I503" s="3415"/>
      <c r="J503" s="3604">
        <f>CALCULATIONS!PX20</f>
        <v>3.1256967224187013</v>
      </c>
      <c r="K503" s="3605">
        <f>CALCULATIONS!QB20</f>
        <v>1.5924453322157293</v>
      </c>
      <c r="L503" s="3605">
        <f>CALCULATIONS!QF20</f>
        <v>0.96477412801461238</v>
      </c>
      <c r="M503" s="3606">
        <f>CALCULATIONS!QJ20</f>
        <v>1.0598724764012948</v>
      </c>
      <c r="N503" s="3415"/>
      <c r="O503" s="3415"/>
      <c r="P503" s="4191">
        <f t="shared" si="30"/>
        <v>1.6856971647625845</v>
      </c>
      <c r="Q503" s="4193"/>
      <c r="R503" s="4194"/>
      <c r="S503" s="1163"/>
      <c r="T503" s="4211"/>
      <c r="U503" s="4211"/>
      <c r="V503" s="4211"/>
      <c r="W503" s="4211"/>
      <c r="X503" s="4211"/>
      <c r="Y503" s="1559"/>
      <c r="Z503" s="1559"/>
      <c r="AA503" s="1559"/>
      <c r="AB503" s="3415"/>
      <c r="AC503" s="3415"/>
      <c r="AD503" s="3415"/>
      <c r="AE503" s="3415"/>
      <c r="AF503" s="3415"/>
      <c r="AG503" s="2399"/>
      <c r="AH503" s="2399"/>
      <c r="AI503" s="2399"/>
      <c r="AJ503" s="2399"/>
    </row>
    <row r="504" spans="1:41" s="2398" customFormat="1">
      <c r="A504" s="3582" t="s">
        <v>374</v>
      </c>
      <c r="B504" s="3583" t="s">
        <v>42</v>
      </c>
      <c r="C504" s="4189">
        <f>VLOOKUP(B504,Ranking!$B$7:$G$28,2,FALSE)</f>
        <v>2432.5463571428577</v>
      </c>
      <c r="D504" s="4190"/>
      <c r="E504" s="3579"/>
      <c r="F504" s="4191">
        <f>CALCULATIONS!QN15</f>
        <v>1.2689619717468461</v>
      </c>
      <c r="G504" s="4192"/>
      <c r="H504" s="3600">
        <f>CALCULATIONS!QL15</f>
        <v>1.312316956715752</v>
      </c>
      <c r="I504" s="3415"/>
      <c r="J504" s="3604">
        <f>CALCULATIONS!PX15</f>
        <v>2.6769531871981318</v>
      </c>
      <c r="K504" s="3605">
        <f>CALCULATIONS!QB15</f>
        <v>1.8181180563959822</v>
      </c>
      <c r="L504" s="3605">
        <f>CALCULATIONS!QF15</f>
        <v>0.80329659136174814</v>
      </c>
      <c r="M504" s="3606">
        <f>CALCULATIONS!QJ15</f>
        <v>1.2413184030191677</v>
      </c>
      <c r="N504" s="3415"/>
      <c r="O504" s="3415"/>
      <c r="P504" s="4191">
        <f t="shared" si="30"/>
        <v>1.6349215594937576</v>
      </c>
      <c r="Q504" s="4193"/>
      <c r="R504" s="4194"/>
      <c r="S504" s="1157"/>
      <c r="T504" s="3969" t="s">
        <v>2499</v>
      </c>
      <c r="U504" s="3382"/>
      <c r="V504" s="3382"/>
      <c r="W504" s="3382"/>
      <c r="X504" s="3382"/>
      <c r="Y504" s="1559"/>
      <c r="Z504" s="1559"/>
      <c r="AA504" s="1559"/>
      <c r="AB504" s="3415"/>
      <c r="AC504" s="3415"/>
      <c r="AD504" s="3415"/>
      <c r="AE504" s="3415"/>
      <c r="AF504" s="3415"/>
      <c r="AG504" s="2399"/>
      <c r="AH504" s="2399"/>
      <c r="AI504" s="2399"/>
      <c r="AJ504" s="2399"/>
    </row>
    <row r="505" spans="1:41" s="2398" customFormat="1" ht="12.75" customHeight="1">
      <c r="A505" s="3582" t="s">
        <v>498</v>
      </c>
      <c r="B505" s="3583" t="s">
        <v>52</v>
      </c>
      <c r="C505" s="4189">
        <f>VLOOKUP(B505,Ranking!$B$7:$G$28,2,FALSE)</f>
        <v>40464.923042857146</v>
      </c>
      <c r="D505" s="4190"/>
      <c r="E505" s="3579"/>
      <c r="F505" s="4191">
        <f>CALCULATIONS!QN5</f>
        <v>1.0840589348936991</v>
      </c>
      <c r="G505" s="4192"/>
      <c r="H505" s="3600">
        <f>CALCULATIONS!QL5</f>
        <v>1.2733420800000002</v>
      </c>
      <c r="I505" s="3415"/>
      <c r="J505" s="3604">
        <f>CALCULATIONS!PX5</f>
        <v>1.070128592889334</v>
      </c>
      <c r="K505" s="3605">
        <f>CALCULATIONS!QB5</f>
        <v>0.96965550106907139</v>
      </c>
      <c r="L505" s="3605">
        <f>CALCULATIONS!QF5</f>
        <v>0.95912708244660871</v>
      </c>
      <c r="M505" s="3606">
        <f>CALCULATIONS!QJ5</f>
        <v>1.2154846806142161</v>
      </c>
      <c r="N505" s="3581"/>
      <c r="O505" s="3581"/>
      <c r="P505" s="4191">
        <f t="shared" si="30"/>
        <v>1.0535989642548076</v>
      </c>
      <c r="Q505" s="4193"/>
      <c r="R505" s="4194"/>
      <c r="S505" s="1806"/>
      <c r="T505" s="3969" t="s">
        <v>2486</v>
      </c>
      <c r="U505" s="3382"/>
      <c r="V505" s="3382"/>
      <c r="W505" s="3382"/>
      <c r="X505" s="3382"/>
      <c r="Y505" s="92"/>
      <c r="Z505" s="92"/>
      <c r="AA505" s="92"/>
      <c r="AB505" s="92"/>
      <c r="AC505" s="92"/>
      <c r="AD505" s="92"/>
      <c r="AE505" s="92"/>
      <c r="AF505" s="92"/>
      <c r="AG505" s="2399"/>
      <c r="AH505" s="2399"/>
      <c r="AI505" s="2399"/>
      <c r="AJ505" s="2399"/>
    </row>
    <row r="506" spans="1:41" s="2398" customFormat="1">
      <c r="A506" s="3582" t="s">
        <v>32</v>
      </c>
      <c r="B506" s="3583" t="s">
        <v>277</v>
      </c>
      <c r="C506" s="4189">
        <f>VLOOKUP(B506,Ranking!$B$7:$G$28,2,FALSE)</f>
        <v>103061.53572524291</v>
      </c>
      <c r="D506" s="4190"/>
      <c r="E506" s="3579"/>
      <c r="F506" s="4191">
        <f>CALCULATIONS!QN22</f>
        <v>1.0837821931217524</v>
      </c>
      <c r="G506" s="4192"/>
      <c r="H506" s="3600">
        <f>CALCULATIONS!QL22</f>
        <v>1.259272460269286</v>
      </c>
      <c r="I506" s="3415"/>
      <c r="J506" s="3604">
        <f>CALCULATIONS!PX22</f>
        <v>0.88148843299196133</v>
      </c>
      <c r="K506" s="3605">
        <f>CALCULATIONS!QB22</f>
        <v>0.9740740965952478</v>
      </c>
      <c r="L506" s="3605">
        <f>CALCULATIONS!QF22</f>
        <v>1.0358794731883967</v>
      </c>
      <c r="M506" s="3606">
        <f>CALCULATIONS!QJ22</f>
        <v>1.2431028735310576</v>
      </c>
      <c r="N506" s="3415"/>
      <c r="O506" s="3415"/>
      <c r="P506" s="4191">
        <f t="shared" si="30"/>
        <v>1.0336362190766659</v>
      </c>
      <c r="Q506" s="4193"/>
      <c r="R506" s="4194"/>
      <c r="S506" s="1805"/>
      <c r="T506" s="3969" t="s">
        <v>1456</v>
      </c>
      <c r="U506" s="3970"/>
      <c r="V506" s="3970"/>
      <c r="W506" s="3970"/>
      <c r="X506" s="3617"/>
      <c r="Y506" s="108"/>
      <c r="Z506" s="108"/>
      <c r="AA506" s="108"/>
      <c r="AB506" s="92"/>
      <c r="AC506" s="92"/>
      <c r="AD506" s="92"/>
      <c r="AE506" s="92"/>
      <c r="AF506" s="92"/>
      <c r="AG506" s="2399"/>
      <c r="AH506" s="2399"/>
      <c r="AI506" s="2399"/>
      <c r="AJ506" s="2399"/>
    </row>
    <row r="507" spans="1:41" s="2398" customFormat="1">
      <c r="A507" s="3582" t="s">
        <v>19</v>
      </c>
      <c r="B507" s="3583" t="s">
        <v>286</v>
      </c>
      <c r="C507" s="4189">
        <f>VLOOKUP(B507,Ranking!$B$7:$G$28,2,FALSE)</f>
        <v>31174.883771428573</v>
      </c>
      <c r="D507" s="4190"/>
      <c r="E507" s="3579"/>
      <c r="F507" s="4191">
        <f>CALCULATIONS!QN14</f>
        <v>1.0546425468926217</v>
      </c>
      <c r="G507" s="4192"/>
      <c r="H507" s="3600">
        <f>CALCULATIONS!QL14</f>
        <v>0.72989058468819168</v>
      </c>
      <c r="I507" s="3415"/>
      <c r="J507" s="3604">
        <f>CALCULATIONS!PX14</f>
        <v>1.5597053352266963</v>
      </c>
      <c r="K507" s="3605">
        <f>CALCULATIONS!QB14</f>
        <v>1.3093561792766808</v>
      </c>
      <c r="L507" s="3605">
        <f>CALCULATIONS!QF14</f>
        <v>1.0799089280886727</v>
      </c>
      <c r="M507" s="3606">
        <f>CALCULATIONS!QJ14</f>
        <v>0.8304246171922377</v>
      </c>
      <c r="N507" s="3415"/>
      <c r="O507" s="3415"/>
      <c r="P507" s="4191">
        <f t="shared" si="30"/>
        <v>1.194848764946072</v>
      </c>
      <c r="Q507" s="4193"/>
      <c r="R507" s="4194"/>
      <c r="S507" s="1157"/>
      <c r="T507" s="92"/>
      <c r="U507" s="3564"/>
      <c r="V507" s="3564"/>
      <c r="W507" s="3564"/>
      <c r="X507" s="3564"/>
      <c r="Y507" s="105"/>
      <c r="Z507" s="105"/>
      <c r="AA507" s="105"/>
      <c r="AB507" s="92"/>
      <c r="AC507" s="92"/>
      <c r="AD507" s="92"/>
      <c r="AE507" s="92"/>
      <c r="AF507" s="92"/>
      <c r="AG507" s="2399"/>
      <c r="AH507" s="2399"/>
      <c r="AI507" s="2399"/>
      <c r="AJ507" s="2399"/>
    </row>
    <row r="508" spans="1:41" s="2398" customFormat="1">
      <c r="A508" s="3582" t="s">
        <v>499</v>
      </c>
      <c r="B508" s="3583" t="s">
        <v>284</v>
      </c>
      <c r="C508" s="4189">
        <f>VLOOKUP(B508,Ranking!$B$7:$G$28,2,FALSE)</f>
        <v>15596.516285714286</v>
      </c>
      <c r="D508" s="4190"/>
      <c r="E508" s="3579"/>
      <c r="F508" s="4191">
        <f>CALCULATIONS!QN16</f>
        <v>0.58081043687158529</v>
      </c>
      <c r="G508" s="4192"/>
      <c r="H508" s="3600">
        <f>CALCULATIONS!QL16</f>
        <v>0.5027794267018264</v>
      </c>
      <c r="I508" s="3415"/>
      <c r="J508" s="3604">
        <f>CALCULATIONS!PX16</f>
        <v>0.77206322271386429</v>
      </c>
      <c r="K508" s="3605">
        <f>CALCULATIONS!QB16</f>
        <v>0.57147794234897276</v>
      </c>
      <c r="L508" s="3605">
        <f>CALCULATIONS!QF16</f>
        <v>0.60022094852775909</v>
      </c>
      <c r="M508" s="3606">
        <f>CALCULATIONS!QJ16</f>
        <v>0.57225568833652007</v>
      </c>
      <c r="N508" s="3415"/>
      <c r="O508" s="3415"/>
      <c r="P508" s="4191">
        <f t="shared" si="30"/>
        <v>0.629004450481779</v>
      </c>
      <c r="Q508" s="4193"/>
      <c r="R508" s="4194"/>
      <c r="S508" s="1157"/>
      <c r="T508" s="3971" t="s">
        <v>2490</v>
      </c>
      <c r="U508" s="3972"/>
      <c r="V508" s="3500"/>
      <c r="W508" s="3500"/>
      <c r="X508" s="3500"/>
      <c r="Y508" s="2975"/>
      <c r="Z508" s="2975"/>
      <c r="AA508" s="2975"/>
      <c r="AB508" s="3368"/>
      <c r="AC508" s="3497"/>
      <c r="AD508" s="3368"/>
      <c r="AE508" s="3368"/>
      <c r="AF508" s="3368"/>
      <c r="AG508" s="2399"/>
      <c r="AH508" s="108"/>
      <c r="AI508" s="108"/>
      <c r="AJ508" s="108"/>
      <c r="AK508" s="92"/>
      <c r="AL508" s="92"/>
      <c r="AM508" s="92"/>
      <c r="AN508" s="92"/>
      <c r="AO508" s="92"/>
    </row>
    <row r="509" spans="1:41" s="2398" customFormat="1">
      <c r="A509" s="3582" t="s">
        <v>27</v>
      </c>
      <c r="B509" s="3583" t="s">
        <v>353</v>
      </c>
      <c r="C509" s="4189">
        <f>VLOOKUP(B509,Ranking!$B$7:$G$28,2,FALSE)</f>
        <v>504.56125714285719</v>
      </c>
      <c r="D509" s="4190"/>
      <c r="E509" s="3579"/>
      <c r="F509" s="4191">
        <f>CALCULATIONS!QN26</f>
        <v>0.48825120153947199</v>
      </c>
      <c r="G509" s="4192"/>
      <c r="H509" s="3600">
        <f>CALCULATIONS!QL26</f>
        <v>0.52140126030951717</v>
      </c>
      <c r="I509" s="3415"/>
      <c r="J509" s="3604">
        <f>CALCULATIONS!PX26</f>
        <v>0.74145702954745663</v>
      </c>
      <c r="K509" s="3605">
        <f>CALCULATIONS!QB26</f>
        <v>0.49416684098058761</v>
      </c>
      <c r="L509" s="3605">
        <f>CALCULATIONS!QF26</f>
        <v>0.41956649307183574</v>
      </c>
      <c r="M509" s="3606">
        <f>CALCULATIONS!QJ26</f>
        <v>0.49482175282923596</v>
      </c>
      <c r="N509" s="3415"/>
      <c r="O509" s="3415"/>
      <c r="P509" s="4191">
        <f t="shared" si="30"/>
        <v>0.53750302910727898</v>
      </c>
      <c r="Q509" s="4193"/>
      <c r="R509" s="4194"/>
      <c r="S509" s="1160"/>
      <c r="T509" s="3973" t="s">
        <v>2488</v>
      </c>
      <c r="U509" s="3974"/>
      <c r="V509" s="3974"/>
      <c r="W509" s="3974"/>
      <c r="X509" s="3974"/>
      <c r="Y509" s="3974"/>
      <c r="Z509" s="3974"/>
      <c r="AA509" s="3974"/>
      <c r="AB509" s="3974"/>
      <c r="AC509" s="3974"/>
      <c r="AD509" s="3974"/>
      <c r="AE509" s="3974"/>
      <c r="AF509" s="3974"/>
      <c r="AG509" s="2399"/>
      <c r="AH509" s="3975" t="s">
        <v>2756</v>
      </c>
      <c r="AI509" s="2837"/>
      <c r="AJ509" s="2753"/>
      <c r="AK509" s="3312"/>
      <c r="AL509" s="3312"/>
      <c r="AM509" s="92"/>
      <c r="AN509" s="92"/>
      <c r="AO509" s="92"/>
    </row>
    <row r="510" spans="1:41" s="2398" customFormat="1">
      <c r="A510" s="3582" t="s">
        <v>32</v>
      </c>
      <c r="B510" s="3583" t="s">
        <v>50</v>
      </c>
      <c r="C510" s="4189">
        <f>VLOOKUP(B510,Ranking!$B$7:$G$28,2,FALSE)</f>
        <v>19515.355899391296</v>
      </c>
      <c r="D510" s="4190"/>
      <c r="E510" s="3579"/>
      <c r="F510" s="4191">
        <f>CALCULATIONS!QN21</f>
        <v>-0.89894076859195104</v>
      </c>
      <c r="G510" s="4192"/>
      <c r="H510" s="3600">
        <f>CALCULATIONS!QL21</f>
        <v>39.625784878048783</v>
      </c>
      <c r="I510" s="3415"/>
      <c r="J510" s="3604">
        <f>CALCULATIONS!PX21</f>
        <v>-2.9120070951585979</v>
      </c>
      <c r="K510" s="3605">
        <f>CALCULATIONS!QB21</f>
        <v>25.372190415913199</v>
      </c>
      <c r="L510" s="3605">
        <f>CALCULATIONS!QF21</f>
        <v>45.950368730650155</v>
      </c>
      <c r="M510" s="3606">
        <f>CALCULATIONS!QJ21</f>
        <v>-79.80150570175438</v>
      </c>
      <c r="N510" s="3415"/>
      <c r="O510" s="3415"/>
      <c r="P510" s="4191">
        <f t="shared" si="30"/>
        <v>-2.8477384125874075</v>
      </c>
      <c r="Q510" s="4193"/>
      <c r="R510" s="4194"/>
      <c r="S510" s="1805"/>
      <c r="T510" s="4269" t="s">
        <v>2489</v>
      </c>
      <c r="U510" s="4270"/>
      <c r="V510" s="4270"/>
      <c r="W510" s="4270"/>
      <c r="X510" s="4270"/>
      <c r="Y510" s="4270"/>
      <c r="Z510" s="4270"/>
      <c r="AA510" s="4270"/>
      <c r="AB510" s="4270"/>
      <c r="AC510" s="4270"/>
      <c r="AD510" s="4270"/>
      <c r="AE510" s="4270"/>
      <c r="AF510" s="4270"/>
      <c r="AG510" s="2399"/>
      <c r="AH510" s="3976" t="s">
        <v>2757</v>
      </c>
      <c r="AI510" s="2837"/>
      <c r="AJ510" s="2753"/>
      <c r="AK510" s="3312"/>
      <c r="AL510" s="3312"/>
      <c r="AM510" s="92"/>
      <c r="AN510" s="92"/>
      <c r="AO510" s="92"/>
    </row>
    <row r="511" spans="1:41" s="2398" customFormat="1" ht="12.75" customHeight="1">
      <c r="A511" s="3588" t="s">
        <v>319</v>
      </c>
      <c r="B511" s="3589" t="s">
        <v>752</v>
      </c>
      <c r="C511" s="4222">
        <f>VLOOKUP(B511,Ranking!$B$7:$G$28,2,FALSE)</f>
        <v>3541.6238999999996</v>
      </c>
      <c r="D511" s="4223"/>
      <c r="E511" s="3579"/>
      <c r="F511" s="4224">
        <f>CALCULATIONS!QN9</f>
        <v>-1.4186196832586249</v>
      </c>
      <c r="G511" s="4225"/>
      <c r="H511" s="3607">
        <f>CALCULATIONS!QL9</f>
        <v>-2.7147098893731143</v>
      </c>
      <c r="I511" s="3415"/>
      <c r="J511" s="3608">
        <f>CALCULATIONS!PX9</f>
        <v>6.1862876885817757</v>
      </c>
      <c r="K511" s="3609">
        <f>CALCULATIONS!QB9</f>
        <v>15.240484292230724</v>
      </c>
      <c r="L511" s="3609">
        <f>CALCULATIONS!QF9</f>
        <v>-13.485765792622253</v>
      </c>
      <c r="M511" s="3610">
        <f>CALCULATIONS!QJ9</f>
        <v>-5.6607725113971119</v>
      </c>
      <c r="N511" s="3591"/>
      <c r="O511" s="3591"/>
      <c r="P511" s="4224">
        <f t="shared" si="30"/>
        <v>0.57005841919828382</v>
      </c>
      <c r="Q511" s="4226"/>
      <c r="R511" s="4227"/>
      <c r="S511" s="1161"/>
      <c r="T511" s="4270"/>
      <c r="U511" s="4270"/>
      <c r="V511" s="4270"/>
      <c r="W511" s="4270"/>
      <c r="X511" s="4270"/>
      <c r="Y511" s="4270"/>
      <c r="Z511" s="4270"/>
      <c r="AA511" s="4270"/>
      <c r="AB511" s="4270"/>
      <c r="AC511" s="4270"/>
      <c r="AD511" s="4270"/>
      <c r="AE511" s="4270"/>
      <c r="AF511" s="4270"/>
      <c r="AG511" s="2399"/>
      <c r="AH511" s="3389" t="s">
        <v>1685</v>
      </c>
      <c r="AI511" s="2753"/>
      <c r="AJ511" s="2753"/>
      <c r="AK511" s="3312"/>
      <c r="AL511" s="3312"/>
      <c r="AM511" s="92"/>
      <c r="AN511" s="92"/>
      <c r="AO511" s="92"/>
    </row>
    <row r="512" spans="1:41" s="2398" customFormat="1">
      <c r="A512" s="2865"/>
      <c r="B512" s="2865"/>
      <c r="C512" s="92"/>
      <c r="D512" s="92"/>
      <c r="E512" s="92"/>
      <c r="F512" s="92"/>
      <c r="G512" s="92"/>
      <c r="H512" s="92"/>
      <c r="I512" s="92"/>
      <c r="J512" s="92"/>
      <c r="K512" s="92"/>
      <c r="L512" s="92"/>
      <c r="M512" s="92"/>
      <c r="N512" s="92"/>
      <c r="O512" s="92"/>
      <c r="P512" s="92"/>
      <c r="Q512" s="92"/>
      <c r="R512" s="92"/>
      <c r="T512" s="92"/>
      <c r="U512" s="92"/>
      <c r="V512" s="92"/>
      <c r="W512" s="92"/>
      <c r="X512" s="92"/>
      <c r="Y512" s="92"/>
      <c r="Z512" s="92"/>
      <c r="AA512" s="92"/>
      <c r="AB512" s="92"/>
      <c r="AC512" s="92"/>
      <c r="AD512" s="92"/>
      <c r="AE512" s="92"/>
      <c r="AF512" s="92"/>
      <c r="AG512" s="2399"/>
      <c r="AH512" s="108"/>
      <c r="AI512" s="108"/>
      <c r="AJ512" s="108"/>
      <c r="AK512" s="92"/>
      <c r="AL512" s="92"/>
      <c r="AM512" s="92"/>
      <c r="AN512" s="92"/>
      <c r="AO512" s="92"/>
    </row>
    <row r="513" spans="1:41" s="2398" customFormat="1">
      <c r="A513" s="2865"/>
      <c r="B513" s="2865"/>
      <c r="C513" s="92"/>
      <c r="D513" s="92"/>
      <c r="E513" s="92"/>
      <c r="F513" s="92"/>
      <c r="G513" s="92"/>
      <c r="H513" s="92"/>
      <c r="I513" s="92"/>
      <c r="J513" s="92"/>
      <c r="K513" s="92"/>
      <c r="L513" s="92"/>
      <c r="M513" s="92"/>
      <c r="N513" s="92"/>
      <c r="O513" s="92"/>
      <c r="P513" s="92"/>
      <c r="Q513" s="92"/>
      <c r="R513" s="92"/>
      <c r="T513" s="1135"/>
      <c r="U513" s="1135"/>
      <c r="V513" s="1931"/>
      <c r="W513" s="1931"/>
      <c r="X513" s="3463" t="s">
        <v>2491</v>
      </c>
      <c r="Y513" s="2868"/>
      <c r="Z513" s="2868"/>
      <c r="AA513" s="2868"/>
      <c r="AB513" s="2868"/>
      <c r="AC513" s="2868"/>
      <c r="AD513" s="2868"/>
      <c r="AE513" s="2868"/>
      <c r="AF513" s="2868"/>
      <c r="AG513" s="2399"/>
      <c r="AH513" s="4213"/>
      <c r="AI513" s="4213"/>
      <c r="AJ513" s="4213"/>
      <c r="AK513" s="2865"/>
      <c r="AL513" s="92"/>
      <c r="AM513" s="92"/>
      <c r="AN513" s="92"/>
      <c r="AO513" s="92"/>
    </row>
    <row r="514" spans="1:41" s="2398" customFormat="1">
      <c r="A514" s="2865"/>
      <c r="B514" s="2865"/>
      <c r="C514" s="92"/>
      <c r="D514" s="92"/>
      <c r="E514" s="92"/>
      <c r="F514" s="92"/>
      <c r="G514" s="92"/>
      <c r="H514" s="92"/>
      <c r="I514" s="92"/>
      <c r="J514" s="92"/>
      <c r="K514" s="92"/>
      <c r="L514" s="92"/>
      <c r="M514" s="92"/>
      <c r="N514" s="92"/>
      <c r="O514" s="92"/>
      <c r="P514" s="92"/>
      <c r="Q514" s="92"/>
      <c r="R514" s="92"/>
      <c r="T514" s="3309"/>
      <c r="U514" s="3309"/>
      <c r="V514" s="3309"/>
      <c r="W514" s="3309"/>
      <c r="X514" s="3309"/>
      <c r="Y514" s="105"/>
      <c r="Z514" s="105"/>
      <c r="AA514" s="105"/>
      <c r="AB514" s="92"/>
      <c r="AC514" s="92"/>
      <c r="AD514" s="92"/>
      <c r="AE514" s="92"/>
      <c r="AF514" s="92"/>
      <c r="AG514" s="2399"/>
      <c r="AH514" s="2868"/>
      <c r="AI514" s="2868"/>
      <c r="AJ514" s="2868"/>
      <c r="AK514" s="2865"/>
      <c r="AL514" s="92"/>
      <c r="AM514" s="92"/>
      <c r="AN514" s="92"/>
      <c r="AO514" s="92"/>
    </row>
    <row r="515" spans="1:41" s="2398" customFormat="1">
      <c r="A515" s="2865"/>
      <c r="B515" s="2865"/>
      <c r="C515" s="92"/>
      <c r="D515" s="92"/>
      <c r="E515" s="92"/>
      <c r="F515" s="92"/>
      <c r="G515" s="92"/>
      <c r="H515" s="92"/>
      <c r="I515" s="92"/>
      <c r="J515" s="92"/>
      <c r="K515" s="92"/>
      <c r="L515" s="92"/>
      <c r="M515" s="92"/>
      <c r="N515" s="92"/>
      <c r="O515" s="92"/>
      <c r="P515" s="92"/>
      <c r="Q515" s="92"/>
      <c r="R515" s="92"/>
      <c r="T515" s="3970" t="s">
        <v>1684</v>
      </c>
      <c r="U515" s="3545"/>
      <c r="V515" s="3489"/>
      <c r="W515" s="3489"/>
      <c r="X515" s="3489"/>
      <c r="Y515" s="105"/>
      <c r="Z515" s="105"/>
      <c r="AA515" s="105"/>
      <c r="AB515" s="92"/>
      <c r="AC515" s="92"/>
      <c r="AD515" s="92"/>
      <c r="AE515" s="92"/>
      <c r="AF515" s="92"/>
      <c r="AG515" s="2399"/>
      <c r="AH515" s="2868"/>
      <c r="AI515" s="2868"/>
      <c r="AJ515" s="2868"/>
      <c r="AK515" s="2865"/>
      <c r="AL515" s="92"/>
      <c r="AM515" s="92"/>
      <c r="AN515" s="92"/>
      <c r="AO515" s="92"/>
    </row>
    <row r="516" spans="1:41" s="2398" customFormat="1" ht="12.75" customHeight="1">
      <c r="A516" s="2865"/>
      <c r="B516" s="2865"/>
      <c r="C516" s="92"/>
      <c r="D516" s="92"/>
      <c r="E516" s="92"/>
      <c r="F516" s="92"/>
      <c r="G516" s="92"/>
      <c r="H516" s="92"/>
      <c r="I516" s="92"/>
      <c r="J516" s="92"/>
      <c r="K516" s="92"/>
      <c r="L516" s="92"/>
      <c r="M516" s="92"/>
      <c r="N516" s="92"/>
      <c r="O516" s="92"/>
      <c r="P516" s="92"/>
      <c r="Q516" s="92"/>
      <c r="R516" s="92"/>
      <c r="T516" s="4209" t="s">
        <v>2492</v>
      </c>
      <c r="U516" s="4209"/>
      <c r="V516" s="4209"/>
      <c r="W516" s="4209"/>
      <c r="X516" s="4209"/>
      <c r="Y516" s="105"/>
      <c r="Z516" s="108"/>
      <c r="AA516" s="108"/>
      <c r="AB516" s="92"/>
      <c r="AC516" s="92"/>
      <c r="AD516" s="92"/>
      <c r="AE516" s="92"/>
      <c r="AF516" s="92"/>
      <c r="AG516" s="2399"/>
      <c r="AH516" s="2865"/>
      <c r="AI516" s="2865"/>
      <c r="AJ516" s="2865"/>
      <c r="AK516" s="2865"/>
      <c r="AL516" s="92"/>
      <c r="AM516" s="92"/>
      <c r="AN516" s="92"/>
      <c r="AO516" s="92"/>
    </row>
    <row r="517" spans="1:41" s="2398" customFormat="1" ht="13.15" customHeight="1">
      <c r="A517" s="2865"/>
      <c r="B517" s="2865"/>
      <c r="C517" s="92"/>
      <c r="D517" s="92"/>
      <c r="E517" s="92"/>
      <c r="F517" s="92"/>
      <c r="G517" s="92"/>
      <c r="H517" s="92"/>
      <c r="I517" s="92"/>
      <c r="J517" s="92"/>
      <c r="K517" s="92"/>
      <c r="L517" s="92"/>
      <c r="M517" s="92"/>
      <c r="N517" s="92"/>
      <c r="O517" s="92"/>
      <c r="P517" s="92"/>
      <c r="Q517" s="92"/>
      <c r="R517" s="92"/>
      <c r="T517" s="4209"/>
      <c r="U517" s="4209"/>
      <c r="V517" s="4209"/>
      <c r="W517" s="4209"/>
      <c r="X517" s="4209"/>
      <c r="Y517" s="108"/>
      <c r="Z517" s="108"/>
      <c r="AA517" s="108"/>
      <c r="AB517" s="92"/>
      <c r="AC517" s="92"/>
      <c r="AD517" s="92"/>
      <c r="AE517" s="92"/>
      <c r="AF517" s="92"/>
      <c r="AG517" s="2399"/>
      <c r="AH517" s="92"/>
      <c r="AI517" s="92"/>
      <c r="AJ517" s="92"/>
      <c r="AK517" s="92"/>
      <c r="AL517" s="92"/>
      <c r="AM517" s="92"/>
      <c r="AN517" s="92"/>
      <c r="AO517" s="92"/>
    </row>
    <row r="518" spans="1:41" s="2398" customFormat="1" ht="12.75" customHeight="1">
      <c r="A518" s="2865"/>
      <c r="B518" s="2865"/>
      <c r="C518" s="92"/>
      <c r="D518" s="92"/>
      <c r="E518" s="92"/>
      <c r="F518" s="92"/>
      <c r="G518" s="92"/>
      <c r="H518" s="92"/>
      <c r="I518" s="92"/>
      <c r="J518" s="92"/>
      <c r="K518" s="92"/>
      <c r="L518" s="92"/>
      <c r="M518" s="92"/>
      <c r="N518" s="92"/>
      <c r="O518" s="92"/>
      <c r="P518" s="92"/>
      <c r="Q518" s="92"/>
      <c r="R518" s="92"/>
      <c r="T518" s="4209" t="s">
        <v>2493</v>
      </c>
      <c r="U518" s="4209"/>
      <c r="V518" s="4209"/>
      <c r="W518" s="4209"/>
      <c r="X518" s="4209"/>
      <c r="Y518" s="105"/>
      <c r="Z518" s="105"/>
      <c r="AA518" s="105"/>
      <c r="AB518" s="92"/>
      <c r="AC518" s="92"/>
      <c r="AD518" s="92"/>
      <c r="AE518" s="92"/>
      <c r="AF518" s="92"/>
      <c r="AG518" s="2399"/>
      <c r="AH518" s="3616" t="s">
        <v>2496</v>
      </c>
      <c r="AI518" s="92"/>
      <c r="AJ518" s="92"/>
      <c r="AK518" s="92"/>
      <c r="AL518" s="92"/>
      <c r="AM518" s="92"/>
      <c r="AN518" s="92"/>
      <c r="AO518" s="92"/>
    </row>
    <row r="519" spans="1:41" s="2398" customFormat="1">
      <c r="A519" s="1090"/>
      <c r="B519" s="2865"/>
      <c r="C519" s="92"/>
      <c r="D519" s="92"/>
      <c r="E519" s="92"/>
      <c r="F519" s="92"/>
      <c r="G519" s="92"/>
      <c r="H519" s="92"/>
      <c r="I519" s="92"/>
      <c r="J519" s="92"/>
      <c r="K519" s="92"/>
      <c r="L519" s="92"/>
      <c r="M519" s="92"/>
      <c r="N519" s="92"/>
      <c r="O519" s="92"/>
      <c r="P519" s="92"/>
      <c r="Q519" s="92"/>
      <c r="R519" s="92"/>
      <c r="T519" s="4209"/>
      <c r="U519" s="4209"/>
      <c r="V519" s="4209"/>
      <c r="W519" s="4209"/>
      <c r="X519" s="4209"/>
      <c r="Y519" s="108"/>
      <c r="Z519" s="108"/>
      <c r="AA519" s="108"/>
      <c r="AB519" s="92"/>
      <c r="AC519" s="92"/>
      <c r="AD519" s="92"/>
      <c r="AE519" s="92"/>
      <c r="AF519" s="92"/>
      <c r="AG519" s="2399"/>
      <c r="AH519" s="92"/>
      <c r="AI519" s="92"/>
      <c r="AJ519" s="92"/>
      <c r="AK519" s="92"/>
      <c r="AL519" s="92"/>
      <c r="AM519" s="92"/>
      <c r="AN519" s="92"/>
      <c r="AO519" s="92"/>
    </row>
    <row r="520" spans="1:41" s="2398" customFormat="1" ht="13.15" customHeight="1">
      <c r="A520" s="1090"/>
      <c r="B520" s="2865"/>
      <c r="C520" s="92"/>
      <c r="D520" s="92"/>
      <c r="E520" s="92"/>
      <c r="F520" s="92"/>
      <c r="G520" s="92"/>
      <c r="H520" s="92"/>
      <c r="I520" s="92"/>
      <c r="J520" s="92"/>
      <c r="K520" s="92"/>
      <c r="L520" s="92"/>
      <c r="M520" s="92"/>
      <c r="N520" s="92"/>
      <c r="O520" s="92"/>
      <c r="P520" s="92"/>
      <c r="Q520" s="92"/>
      <c r="R520" s="92"/>
      <c r="T520" s="1555"/>
      <c r="U520" s="3621"/>
      <c r="V520" s="3621"/>
      <c r="W520" s="3621"/>
      <c r="X520" s="3621"/>
      <c r="Y520" s="108"/>
      <c r="Z520" s="108"/>
      <c r="AA520" s="108"/>
      <c r="AB520" s="92"/>
      <c r="AC520" s="92"/>
      <c r="AD520" s="92"/>
      <c r="AE520" s="92"/>
      <c r="AF520" s="92"/>
      <c r="AG520" s="2399"/>
    </row>
    <row r="521" spans="1:41" s="2398" customFormat="1" ht="12.75" customHeight="1">
      <c r="A521" s="1090"/>
      <c r="B521" s="2865"/>
      <c r="C521" s="92"/>
      <c r="D521" s="92"/>
      <c r="E521" s="92"/>
      <c r="F521" s="92"/>
      <c r="G521" s="92"/>
      <c r="H521" s="92"/>
      <c r="I521" s="92"/>
      <c r="J521" s="92"/>
      <c r="K521" s="92"/>
      <c r="L521" s="92"/>
      <c r="M521" s="92"/>
      <c r="N521" s="92"/>
      <c r="O521" s="92"/>
      <c r="P521" s="92"/>
      <c r="Q521" s="92"/>
      <c r="R521" s="92"/>
      <c r="T521" s="4210" t="s">
        <v>2755</v>
      </c>
      <c r="U521" s="4210"/>
      <c r="V521" s="4210"/>
      <c r="W521" s="4210"/>
      <c r="X521" s="4210"/>
      <c r="Y521" s="108"/>
      <c r="Z521" s="108"/>
      <c r="AA521" s="108"/>
      <c r="AB521" s="92"/>
      <c r="AC521" s="92"/>
      <c r="AD521" s="92"/>
      <c r="AE521" s="92"/>
      <c r="AF521" s="92"/>
      <c r="AG521" s="2399"/>
      <c r="AH521" s="2332"/>
      <c r="AI521" s="2332"/>
      <c r="AJ521" s="2332"/>
      <c r="AK521" s="2332"/>
    </row>
    <row r="522" spans="1:41" s="2398" customFormat="1" ht="13.15" customHeight="1">
      <c r="A522" s="1090"/>
      <c r="B522" s="2865"/>
      <c r="C522" s="92"/>
      <c r="D522" s="92"/>
      <c r="E522" s="92"/>
      <c r="F522" s="92"/>
      <c r="G522" s="92"/>
      <c r="H522" s="92"/>
      <c r="I522" s="92"/>
      <c r="J522" s="92"/>
      <c r="K522" s="92"/>
      <c r="L522" s="92"/>
      <c r="M522" s="92"/>
      <c r="N522" s="92"/>
      <c r="O522" s="92"/>
      <c r="P522" s="92"/>
      <c r="Q522" s="92"/>
      <c r="R522" s="92"/>
      <c r="T522" s="4210"/>
      <c r="U522" s="4210"/>
      <c r="V522" s="4210"/>
      <c r="W522" s="4210"/>
      <c r="X522" s="4210"/>
      <c r="Y522" s="108"/>
      <c r="Z522" s="108"/>
      <c r="AA522" s="108"/>
      <c r="AB522" s="92"/>
      <c r="AC522" s="92"/>
      <c r="AD522" s="92"/>
      <c r="AE522" s="92"/>
      <c r="AF522" s="92"/>
      <c r="AG522" s="2399"/>
      <c r="AH522" s="2332"/>
      <c r="AI522" s="2332"/>
      <c r="AJ522" s="2332"/>
      <c r="AK522" s="2332"/>
    </row>
    <row r="523" spans="1:41" s="2398" customFormat="1" ht="13.15" customHeight="1">
      <c r="A523" s="1090"/>
      <c r="B523" s="2865"/>
      <c r="C523" s="92"/>
      <c r="D523" s="92"/>
      <c r="E523" s="92"/>
      <c r="F523" s="92"/>
      <c r="G523" s="92"/>
      <c r="H523" s="92"/>
      <c r="I523" s="92"/>
      <c r="J523" s="92"/>
      <c r="K523" s="92"/>
      <c r="L523" s="92"/>
      <c r="M523" s="92"/>
      <c r="N523" s="92"/>
      <c r="O523" s="92"/>
      <c r="P523" s="92"/>
      <c r="Q523" s="92"/>
      <c r="R523" s="92"/>
      <c r="T523" s="4211" t="s">
        <v>2494</v>
      </c>
      <c r="U523" s="4212"/>
      <c r="V523" s="4212"/>
      <c r="W523" s="4212"/>
      <c r="X523" s="4212"/>
      <c r="Y523" s="108"/>
      <c r="Z523" s="108"/>
      <c r="AA523" s="108"/>
      <c r="AB523" s="92"/>
      <c r="AC523" s="92"/>
      <c r="AD523" s="92"/>
      <c r="AE523" s="92"/>
      <c r="AF523" s="92"/>
      <c r="AG523" s="2399"/>
      <c r="AH523" s="2332"/>
      <c r="AI523" s="2332"/>
      <c r="AJ523" s="2332"/>
      <c r="AK523" s="2332"/>
    </row>
    <row r="524" spans="1:41" s="2398" customFormat="1">
      <c r="A524" s="1090"/>
      <c r="B524" s="2865"/>
      <c r="C524" s="92"/>
      <c r="D524" s="92"/>
      <c r="E524" s="92"/>
      <c r="F524" s="92"/>
      <c r="G524" s="92"/>
      <c r="H524" s="92"/>
      <c r="I524" s="92"/>
      <c r="J524" s="92"/>
      <c r="K524" s="92"/>
      <c r="L524" s="92"/>
      <c r="M524" s="92"/>
      <c r="N524" s="92"/>
      <c r="O524" s="92"/>
      <c r="P524" s="92"/>
      <c r="Q524" s="92"/>
      <c r="R524" s="92"/>
      <c r="T524" s="4212"/>
      <c r="U524" s="4212"/>
      <c r="V524" s="4212"/>
      <c r="W524" s="4212"/>
      <c r="X524" s="4212"/>
      <c r="Y524" s="108"/>
      <c r="Z524" s="108"/>
      <c r="AA524" s="108"/>
      <c r="AB524" s="92"/>
      <c r="AC524" s="92"/>
      <c r="AD524" s="92"/>
      <c r="AE524" s="92"/>
      <c r="AF524" s="92"/>
      <c r="AG524" s="2399"/>
      <c r="AH524" s="2332"/>
      <c r="AI524" s="2332"/>
      <c r="AJ524" s="2332"/>
      <c r="AK524" s="2332"/>
    </row>
    <row r="525" spans="1:41" s="2398" customFormat="1" ht="13.15" customHeight="1">
      <c r="A525" s="1090"/>
      <c r="B525" s="2865"/>
      <c r="C525" s="92"/>
      <c r="D525" s="92"/>
      <c r="E525" s="92"/>
      <c r="F525" s="92"/>
      <c r="G525" s="92"/>
      <c r="H525" s="92"/>
      <c r="I525" s="92"/>
      <c r="J525" s="92"/>
      <c r="K525" s="92"/>
      <c r="L525" s="92"/>
      <c r="M525" s="92"/>
      <c r="N525" s="92"/>
      <c r="O525" s="92"/>
      <c r="P525" s="92"/>
      <c r="Q525" s="92"/>
      <c r="R525" s="92"/>
      <c r="T525" s="4212"/>
      <c r="U525" s="4212"/>
      <c r="V525" s="4212"/>
      <c r="W525" s="4212"/>
      <c r="X525" s="4212"/>
      <c r="Y525" s="108"/>
      <c r="Z525" s="108"/>
      <c r="AA525" s="108"/>
      <c r="AB525" s="92"/>
      <c r="AC525" s="92"/>
      <c r="AD525" s="92"/>
      <c r="AE525" s="92"/>
      <c r="AF525" s="92"/>
      <c r="AG525" s="2399"/>
      <c r="AH525" s="2332"/>
      <c r="AI525" s="2332"/>
      <c r="AJ525" s="2332"/>
      <c r="AK525" s="2332"/>
    </row>
    <row r="526" spans="1:41" s="2398" customFormat="1" ht="13.15" customHeight="1">
      <c r="A526" s="1090"/>
      <c r="B526" s="2865"/>
      <c r="C526" s="92"/>
      <c r="D526" s="92"/>
      <c r="E526" s="92"/>
      <c r="F526" s="92"/>
      <c r="G526" s="92"/>
      <c r="H526" s="92"/>
      <c r="I526" s="92"/>
      <c r="J526" s="92"/>
      <c r="K526" s="92"/>
      <c r="L526" s="92"/>
      <c r="M526" s="92"/>
      <c r="N526" s="92"/>
      <c r="O526" s="92"/>
      <c r="P526" s="92"/>
      <c r="Q526" s="92"/>
      <c r="R526" s="92"/>
      <c r="T526" s="4211" t="s">
        <v>2495</v>
      </c>
      <c r="U526" s="4212"/>
      <c r="V526" s="4212"/>
      <c r="W526" s="4212"/>
      <c r="X526" s="4212"/>
      <c r="Y526" s="108"/>
      <c r="Z526" s="108"/>
      <c r="AA526" s="108"/>
      <c r="AB526" s="92"/>
      <c r="AC526" s="92"/>
      <c r="AD526" s="92"/>
      <c r="AE526" s="92"/>
      <c r="AF526" s="92"/>
      <c r="AG526" s="2399"/>
      <c r="AH526" s="2332"/>
      <c r="AI526" s="2332"/>
      <c r="AJ526" s="2332"/>
      <c r="AK526" s="2332"/>
    </row>
    <row r="527" spans="1:41" s="2398" customFormat="1">
      <c r="A527" s="1090"/>
      <c r="B527" s="2865"/>
      <c r="C527" s="92"/>
      <c r="D527" s="92"/>
      <c r="E527" s="92"/>
      <c r="F527" s="92"/>
      <c r="G527" s="92"/>
      <c r="H527" s="92"/>
      <c r="I527" s="92"/>
      <c r="J527" s="92"/>
      <c r="K527" s="92"/>
      <c r="L527" s="92"/>
      <c r="M527" s="92"/>
      <c r="N527" s="92"/>
      <c r="O527" s="92"/>
      <c r="P527" s="92"/>
      <c r="Q527" s="92"/>
      <c r="R527" s="92"/>
      <c r="T527" s="4212"/>
      <c r="U527" s="4212"/>
      <c r="V527" s="4212"/>
      <c r="W527" s="4212"/>
      <c r="X527" s="4212"/>
      <c r="Y527" s="108"/>
      <c r="Z527" s="108"/>
      <c r="AA527" s="108"/>
      <c r="AB527" s="92"/>
      <c r="AC527" s="92"/>
      <c r="AD527" s="92"/>
      <c r="AE527" s="92"/>
      <c r="AF527" s="92"/>
      <c r="AG527" s="2399"/>
      <c r="AH527" s="2332"/>
      <c r="AI527" s="2332"/>
      <c r="AJ527" s="2332"/>
      <c r="AK527" s="2332"/>
    </row>
    <row r="528" spans="1:41" s="2398" customFormat="1">
      <c r="A528" s="1090"/>
      <c r="B528" s="2865"/>
      <c r="C528" s="92"/>
      <c r="D528" s="92"/>
      <c r="E528" s="92"/>
      <c r="F528" s="92"/>
      <c r="G528" s="92"/>
      <c r="H528" s="92"/>
      <c r="I528" s="92"/>
      <c r="J528" s="92"/>
      <c r="K528" s="92"/>
      <c r="L528" s="92"/>
      <c r="M528" s="92"/>
      <c r="N528" s="92"/>
      <c r="O528" s="92"/>
      <c r="P528" s="92"/>
      <c r="Q528" s="92"/>
      <c r="R528" s="92"/>
      <c r="T528" s="4212"/>
      <c r="U528" s="4212"/>
      <c r="V528" s="4212"/>
      <c r="W528" s="4212"/>
      <c r="X528" s="4212"/>
      <c r="Y528" s="108"/>
      <c r="Z528" s="108"/>
      <c r="AA528" s="108"/>
      <c r="AB528" s="92"/>
      <c r="AC528" s="92"/>
      <c r="AD528" s="92"/>
      <c r="AE528" s="92"/>
      <c r="AF528" s="92"/>
      <c r="AG528" s="2399"/>
      <c r="AH528" s="2332"/>
      <c r="AI528" s="2332"/>
      <c r="AJ528" s="2332"/>
      <c r="AK528" s="2332"/>
    </row>
    <row r="529" spans="1:47" ht="12.75" customHeight="1">
      <c r="A529" s="1090"/>
      <c r="B529" s="2865"/>
      <c r="C529" s="92"/>
      <c r="D529" s="92"/>
      <c r="E529" s="92"/>
      <c r="F529" s="92"/>
      <c r="G529" s="92"/>
      <c r="H529" s="92"/>
      <c r="I529" s="92"/>
      <c r="J529" s="92"/>
      <c r="K529" s="92"/>
      <c r="L529" s="92"/>
      <c r="M529" s="92"/>
      <c r="N529" s="92"/>
      <c r="O529" s="92"/>
      <c r="P529" s="92"/>
      <c r="Q529" s="92"/>
      <c r="R529" s="92"/>
      <c r="T529" s="3969" t="s">
        <v>1950</v>
      </c>
      <c r="U529" s="3969"/>
      <c r="V529" s="3969"/>
      <c r="W529" s="3969"/>
      <c r="X529" s="3969"/>
      <c r="Y529" s="108"/>
      <c r="Z529" s="108"/>
      <c r="AA529" s="108"/>
      <c r="AB529" s="92"/>
      <c r="AC529" s="92"/>
      <c r="AD529" s="92"/>
      <c r="AE529" s="92"/>
      <c r="AF529" s="92"/>
      <c r="AH529" s="2332"/>
      <c r="AI529" s="2332"/>
      <c r="AJ529" s="2332"/>
      <c r="AK529" s="2332"/>
      <c r="AT529" s="2398"/>
      <c r="AU529" s="2398"/>
    </row>
    <row r="530" spans="1:47" ht="12.75" customHeight="1">
      <c r="A530" s="1090"/>
      <c r="B530" s="3407"/>
      <c r="C530" s="92"/>
      <c r="D530" s="92"/>
      <c r="E530" s="92"/>
      <c r="F530" s="92"/>
      <c r="G530" s="92"/>
      <c r="H530" s="92"/>
      <c r="I530" s="92"/>
      <c r="J530" s="92"/>
      <c r="K530" s="92"/>
      <c r="L530" s="92"/>
      <c r="M530" s="92"/>
      <c r="N530" s="92"/>
      <c r="O530" s="92"/>
      <c r="P530" s="92"/>
      <c r="Q530" s="92"/>
      <c r="R530" s="92"/>
      <c r="T530" s="3617"/>
      <c r="U530" s="3617"/>
      <c r="V530" s="3617"/>
      <c r="W530" s="3617"/>
      <c r="X530" s="3617"/>
      <c r="Y530" s="108"/>
      <c r="Z530" s="108"/>
      <c r="AA530" s="108"/>
      <c r="AB530" s="92"/>
      <c r="AC530" s="92"/>
      <c r="AD530" s="92"/>
      <c r="AE530" s="92"/>
      <c r="AF530" s="92"/>
      <c r="AH530" s="2332"/>
      <c r="AI530" s="2332"/>
      <c r="AJ530" s="2332"/>
      <c r="AK530" s="2332"/>
      <c r="AT530" s="2398"/>
      <c r="AU530" s="2398"/>
    </row>
    <row r="531" spans="1:47" ht="13.15" customHeight="1">
      <c r="A531" s="1090"/>
      <c r="B531" s="2865"/>
      <c r="C531" s="92"/>
      <c r="D531" s="92"/>
      <c r="E531" s="92"/>
      <c r="F531" s="92"/>
      <c r="G531" s="92"/>
      <c r="H531" s="92"/>
      <c r="I531" s="92"/>
      <c r="J531" s="92"/>
      <c r="K531" s="92"/>
      <c r="L531" s="92"/>
      <c r="M531" s="92"/>
      <c r="N531" s="92"/>
      <c r="O531" s="92"/>
      <c r="P531" s="92"/>
      <c r="Q531" s="92"/>
      <c r="R531" s="92"/>
      <c r="T531" s="3614"/>
      <c r="U531" s="3614"/>
      <c r="V531" s="3614"/>
      <c r="W531" s="3614"/>
      <c r="X531" s="3614"/>
      <c r="Y531" s="108"/>
      <c r="Z531" s="108"/>
      <c r="AA531" s="108"/>
      <c r="AB531" s="92"/>
      <c r="AC531" s="92"/>
      <c r="AD531" s="92"/>
      <c r="AE531" s="92"/>
      <c r="AF531" s="92"/>
      <c r="AH531" s="2332"/>
      <c r="AI531" s="2332"/>
      <c r="AJ531" s="2332"/>
      <c r="AK531" s="2332"/>
      <c r="AT531" s="2398"/>
      <c r="AU531" s="2398"/>
    </row>
    <row r="532" spans="1:47">
      <c r="T532" s="2751"/>
      <c r="U532" s="2751"/>
      <c r="V532" s="2751"/>
      <c r="W532" s="2751"/>
      <c r="X532" s="2751"/>
      <c r="Y532" s="2751"/>
      <c r="Z532" s="2751"/>
      <c r="AA532" s="2751"/>
      <c r="AB532" s="2751"/>
      <c r="AC532" s="2751"/>
      <c r="AD532" s="2751"/>
      <c r="AE532" s="2751"/>
      <c r="AF532" s="2751"/>
      <c r="AG532" s="2398"/>
      <c r="AT532" s="2398"/>
      <c r="AU532" s="2398"/>
    </row>
    <row r="533" spans="1:47">
      <c r="T533" s="2751"/>
      <c r="U533" s="2751"/>
      <c r="V533" s="2751"/>
      <c r="W533" s="2751"/>
      <c r="X533" s="2751"/>
      <c r="Y533" s="2751"/>
      <c r="Z533" s="2751"/>
      <c r="AA533" s="2751"/>
      <c r="AB533" s="2751"/>
      <c r="AC533" s="2751"/>
      <c r="AD533" s="2751"/>
      <c r="AE533" s="2751"/>
      <c r="AF533" s="2751"/>
      <c r="AG533" s="2398"/>
      <c r="AT533" s="2398"/>
      <c r="AU533" s="2398"/>
    </row>
    <row r="542" spans="1:47">
      <c r="T542" s="2399"/>
      <c r="U542" s="2399"/>
      <c r="V542" s="2399"/>
      <c r="W542" s="2399"/>
      <c r="X542" s="2399"/>
      <c r="Y542" s="2399"/>
      <c r="Z542" s="2399"/>
      <c r="AA542" s="2399"/>
      <c r="AB542" s="2399"/>
      <c r="AC542" s="2399"/>
      <c r="AD542" s="2399"/>
      <c r="AE542" s="2399"/>
      <c r="AG542" s="2398"/>
      <c r="AT542" s="2398"/>
      <c r="AU542" s="2398"/>
    </row>
    <row r="543" spans="1:47" s="2399" customFormat="1">
      <c r="A543" s="3562"/>
      <c r="B543" s="2497"/>
    </row>
  </sheetData>
  <mergeCells count="214">
    <mergeCell ref="T492:X494"/>
    <mergeCell ref="T495:X496"/>
    <mergeCell ref="T497:X498"/>
    <mergeCell ref="T500:X501"/>
    <mergeCell ref="T502:X503"/>
    <mergeCell ref="T510:AF511"/>
    <mergeCell ref="T463:X464"/>
    <mergeCell ref="T465:X466"/>
    <mergeCell ref="T271:Z272"/>
    <mergeCell ref="T288:Z289"/>
    <mergeCell ref="T403:X405"/>
    <mergeCell ref="T417:U419"/>
    <mergeCell ref="AL282:AN284"/>
    <mergeCell ref="AJ288:AJ289"/>
    <mergeCell ref="T397:U399"/>
    <mergeCell ref="W397:X399"/>
    <mergeCell ref="AH367:AJ367"/>
    <mergeCell ref="AB404:AF406"/>
    <mergeCell ref="AB364:AF366"/>
    <mergeCell ref="AB371:AF372"/>
    <mergeCell ref="AB373:AF374"/>
    <mergeCell ref="AB380:AF386"/>
    <mergeCell ref="AB387:AF388"/>
    <mergeCell ref="T409:AF410"/>
    <mergeCell ref="C230:F233"/>
    <mergeCell ref="C215:F219"/>
    <mergeCell ref="T262:U264"/>
    <mergeCell ref="W262:X264"/>
    <mergeCell ref="T47:X48"/>
    <mergeCell ref="T16:X17"/>
    <mergeCell ref="AH230:AO231"/>
    <mergeCell ref="T209:AF209"/>
    <mergeCell ref="T148:AF148"/>
    <mergeCell ref="T176:AF176"/>
    <mergeCell ref="T177:AF177"/>
    <mergeCell ref="T178:AF178"/>
    <mergeCell ref="T205:AF207"/>
    <mergeCell ref="T208:AF208"/>
    <mergeCell ref="C144:R144"/>
    <mergeCell ref="T144:AF144"/>
    <mergeCell ref="T145:AF145"/>
    <mergeCell ref="C146:R146"/>
    <mergeCell ref="T146:AF147"/>
    <mergeCell ref="T268:Z270"/>
    <mergeCell ref="C483:D483"/>
    <mergeCell ref="F483:G483"/>
    <mergeCell ref="Q483:R483"/>
    <mergeCell ref="C484:D484"/>
    <mergeCell ref="F484:G484"/>
    <mergeCell ref="Q484:R484"/>
    <mergeCell ref="C481:D481"/>
    <mergeCell ref="F481:G481"/>
    <mergeCell ref="Q481:R481"/>
    <mergeCell ref="C482:D482"/>
    <mergeCell ref="F482:G482"/>
    <mergeCell ref="Q482:R482"/>
    <mergeCell ref="C478:D478"/>
    <mergeCell ref="F478:G478"/>
    <mergeCell ref="Q478:R478"/>
    <mergeCell ref="C479:D479"/>
    <mergeCell ref="F479:G479"/>
    <mergeCell ref="Q479:R479"/>
    <mergeCell ref="C480:D480"/>
    <mergeCell ref="F480:G480"/>
    <mergeCell ref="Q480:R480"/>
    <mergeCell ref="C476:D476"/>
    <mergeCell ref="F476:G476"/>
    <mergeCell ref="Q476:R476"/>
    <mergeCell ref="C477:D477"/>
    <mergeCell ref="F477:G477"/>
    <mergeCell ref="Q477:R477"/>
    <mergeCell ref="C474:D474"/>
    <mergeCell ref="F474:G474"/>
    <mergeCell ref="Q474:R474"/>
    <mergeCell ref="C471:D471"/>
    <mergeCell ref="F471:G471"/>
    <mergeCell ref="Q471:R471"/>
    <mergeCell ref="C467:D467"/>
    <mergeCell ref="F467:G467"/>
    <mergeCell ref="Q467:R467"/>
    <mergeCell ref="C475:D475"/>
    <mergeCell ref="F475:G475"/>
    <mergeCell ref="Q475:R475"/>
    <mergeCell ref="C472:D472"/>
    <mergeCell ref="F472:G472"/>
    <mergeCell ref="Q472:R472"/>
    <mergeCell ref="C473:D473"/>
    <mergeCell ref="F473:G473"/>
    <mergeCell ref="Q473:R473"/>
    <mergeCell ref="C468:D468"/>
    <mergeCell ref="F468:G468"/>
    <mergeCell ref="Q468:R468"/>
    <mergeCell ref="C469:D469"/>
    <mergeCell ref="F469:G469"/>
    <mergeCell ref="Q469:R469"/>
    <mergeCell ref="C470:D470"/>
    <mergeCell ref="F470:G470"/>
    <mergeCell ref="Q470:R470"/>
    <mergeCell ref="F461:H461"/>
    <mergeCell ref="Q461:R461"/>
    <mergeCell ref="C462:D462"/>
    <mergeCell ref="C463:D463"/>
    <mergeCell ref="F463:G463"/>
    <mergeCell ref="Q463:R463"/>
    <mergeCell ref="C464:D464"/>
    <mergeCell ref="F464:G464"/>
    <mergeCell ref="Q464:R464"/>
    <mergeCell ref="C507:D507"/>
    <mergeCell ref="F507:G507"/>
    <mergeCell ref="P507:R507"/>
    <mergeCell ref="C508:D508"/>
    <mergeCell ref="F508:G508"/>
    <mergeCell ref="P508:R508"/>
    <mergeCell ref="C505:D505"/>
    <mergeCell ref="F505:G505"/>
    <mergeCell ref="P505:R505"/>
    <mergeCell ref="C506:D506"/>
    <mergeCell ref="F506:G506"/>
    <mergeCell ref="P506:R506"/>
    <mergeCell ref="T516:X517"/>
    <mergeCell ref="T518:X519"/>
    <mergeCell ref="T521:X522"/>
    <mergeCell ref="T523:X525"/>
    <mergeCell ref="T526:X528"/>
    <mergeCell ref="AH513:AJ513"/>
    <mergeCell ref="C509:D509"/>
    <mergeCell ref="F509:G509"/>
    <mergeCell ref="P509:R509"/>
    <mergeCell ref="C510:D510"/>
    <mergeCell ref="F510:G510"/>
    <mergeCell ref="P510:R510"/>
    <mergeCell ref="C511:D511"/>
    <mergeCell ref="F511:G511"/>
    <mergeCell ref="P511:R511"/>
    <mergeCell ref="C504:D504"/>
    <mergeCell ref="F504:G504"/>
    <mergeCell ref="P504:R504"/>
    <mergeCell ref="C499:D499"/>
    <mergeCell ref="F499:G499"/>
    <mergeCell ref="P499:R499"/>
    <mergeCell ref="C500:D500"/>
    <mergeCell ref="F500:G500"/>
    <mergeCell ref="P500:R500"/>
    <mergeCell ref="C502:D502"/>
    <mergeCell ref="F502:G502"/>
    <mergeCell ref="P502:R502"/>
    <mergeCell ref="C503:D503"/>
    <mergeCell ref="F503:G503"/>
    <mergeCell ref="P503:R503"/>
    <mergeCell ref="C496:D496"/>
    <mergeCell ref="F496:G496"/>
    <mergeCell ref="P496:R496"/>
    <mergeCell ref="C497:D497"/>
    <mergeCell ref="F497:G497"/>
    <mergeCell ref="P497:R497"/>
    <mergeCell ref="C501:D501"/>
    <mergeCell ref="F501:G501"/>
    <mergeCell ref="P501:R501"/>
    <mergeCell ref="C498:D498"/>
    <mergeCell ref="F498:G498"/>
    <mergeCell ref="P498:R498"/>
    <mergeCell ref="C494:D494"/>
    <mergeCell ref="F494:G494"/>
    <mergeCell ref="P494:R494"/>
    <mergeCell ref="C495:D495"/>
    <mergeCell ref="F495:G495"/>
    <mergeCell ref="P495:R495"/>
    <mergeCell ref="C492:D492"/>
    <mergeCell ref="F492:G492"/>
    <mergeCell ref="P492:R492"/>
    <mergeCell ref="C493:D493"/>
    <mergeCell ref="F493:G493"/>
    <mergeCell ref="P493:R493"/>
    <mergeCell ref="C490:D490"/>
    <mergeCell ref="F490:G490"/>
    <mergeCell ref="P490:R490"/>
    <mergeCell ref="C491:D491"/>
    <mergeCell ref="F491:G491"/>
    <mergeCell ref="P491:R491"/>
    <mergeCell ref="AB389:AF391"/>
    <mergeCell ref="C488:D488"/>
    <mergeCell ref="F488:H488"/>
    <mergeCell ref="J488:M488"/>
    <mergeCell ref="C489:D489"/>
    <mergeCell ref="P489:R489"/>
    <mergeCell ref="T430:U431"/>
    <mergeCell ref="T421:Y422"/>
    <mergeCell ref="T432:V433"/>
    <mergeCell ref="T442:AF443"/>
    <mergeCell ref="U488:X489"/>
    <mergeCell ref="C465:D465"/>
    <mergeCell ref="F465:G465"/>
    <mergeCell ref="Q465:R465"/>
    <mergeCell ref="C466:D466"/>
    <mergeCell ref="F466:G466"/>
    <mergeCell ref="Q466:R466"/>
    <mergeCell ref="C461:D461"/>
    <mergeCell ref="T3:X3"/>
    <mergeCell ref="T4:X4"/>
    <mergeCell ref="AK5:AL5"/>
    <mergeCell ref="T1:X1"/>
    <mergeCell ref="C2:D2"/>
    <mergeCell ref="F2:G2"/>
    <mergeCell ref="I2:J2"/>
    <mergeCell ref="L2:M2"/>
    <mergeCell ref="N2:O2"/>
    <mergeCell ref="P2:Q2"/>
    <mergeCell ref="T2:X2"/>
    <mergeCell ref="C1:E1"/>
    <mergeCell ref="F1:H1"/>
    <mergeCell ref="I1:K1"/>
    <mergeCell ref="L1:M1"/>
    <mergeCell ref="N1:O1"/>
    <mergeCell ref="P1:R1"/>
  </mergeCells>
  <dataValidations disablePrompts="1" count="1">
    <dataValidation type="list" allowBlank="1" showInputMessage="1" showErrorMessage="1" sqref="AA1">
      <formula1>$AH$1:$AK$1</formula1>
    </dataValidation>
  </dataValidations>
  <hyperlinks>
    <hyperlink ref="T362" r:id="rId1" location="q5" display="Belgian general Tax Code more precisely state the following :"/>
    <hyperlink ref="AI365" r:id="rId2"/>
    <hyperlink ref="AI364" r:id="rId3"/>
    <hyperlink ref="AB379" r:id="rId4" display="Cefip"/>
    <hyperlink ref="AI388" r:id="rId5"/>
    <hyperlink ref="AH509" location="'Bloom Cleaner Data'!FY3" display="here"/>
    <hyperlink ref="AH510" location="CALCULATIONS!PX43" display="See around here."/>
    <hyperlink ref="AH367" location="'GEARINGS, E&amp;Enot'!T430" display="¬ Yet see remark at the end of this section."/>
    <hyperlink ref="AH367:AJ367" location="'GEARINGS, Eb&amp;E'!T438" display="¬ Yet, see remark hereafter."/>
    <hyperlink ref="AH390" location="RATINGS!A593" display="See 'RATINGS'."/>
  </hyperlinks>
  <pageMargins left="0.7" right="0.7" top="0.75" bottom="0.75" header="0.3" footer="0.3"/>
  <pageSetup paperSize="9" orientation="portrait" r:id="rId6"/>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C6D"/>
  </sheetPr>
  <dimension ref="A1:BL825"/>
  <sheetViews>
    <sheetView showGridLines="0" zoomScale="90" zoomScaleNormal="90" workbookViewId="0">
      <pane xSplit="2" ySplit="1" topLeftCell="C2" activePane="bottomRight" state="frozen"/>
      <selection pane="topRight" activeCell="C1" sqref="C1"/>
      <selection pane="bottomLeft" activeCell="A2" sqref="A2"/>
      <selection pane="bottomRight" activeCell="A33" sqref="A33"/>
    </sheetView>
  </sheetViews>
  <sheetFormatPr defaultColWidth="11.5703125" defaultRowHeight="12.75"/>
  <cols>
    <col min="1" max="1" width="12.28515625" style="2328" customWidth="1"/>
    <col min="2" max="2" width="15.7109375" style="2332" customWidth="1"/>
    <col min="3" max="3" width="1.28515625" style="2329" customWidth="1"/>
    <col min="4" max="6" width="8.140625" style="2332" customWidth="1"/>
    <col min="7" max="7" width="10.42578125" style="2332" customWidth="1"/>
    <col min="8" max="8" width="8.140625" style="2332" customWidth="1"/>
    <col min="9" max="9" width="9.140625" style="2332" customWidth="1"/>
    <col min="10" max="15" width="8.140625" style="2332" customWidth="1"/>
    <col min="16" max="16" width="8.7109375" style="2332" customWidth="1"/>
    <col min="17" max="21" width="8.140625" style="2332" customWidth="1"/>
    <col min="22" max="22" width="8.7109375" style="2332" customWidth="1"/>
    <col min="23" max="23" width="10.5703125" style="2332" customWidth="1"/>
    <col min="24" max="24" width="3.7109375" style="2329" customWidth="1"/>
    <col min="25" max="25" width="9.28515625" style="2329" customWidth="1"/>
    <col min="26" max="27" width="9.28515625" style="2332" customWidth="1"/>
    <col min="28" max="28" width="10" style="2332" customWidth="1"/>
    <col min="29" max="29" width="4.140625" style="2332" customWidth="1"/>
    <col min="30" max="31" width="8.140625" style="2332" customWidth="1"/>
    <col min="32" max="33" width="8.140625" style="2329" customWidth="1"/>
    <col min="34" max="63" width="8.140625" style="2332" customWidth="1"/>
    <col min="64" max="64" width="8.140625" style="2329" customWidth="1"/>
    <col min="65" max="70" width="8.140625" style="2332" customWidth="1"/>
    <col min="71" max="16384" width="11.5703125" style="2332"/>
  </cols>
  <sheetData>
    <row r="1" spans="1:64">
      <c r="A1" s="1123" t="s">
        <v>1199</v>
      </c>
      <c r="B1" s="1124"/>
      <c r="C1" s="2345"/>
      <c r="D1" s="93"/>
      <c r="E1" s="93"/>
      <c r="F1" s="93"/>
      <c r="G1" s="93"/>
      <c r="H1" s="93"/>
      <c r="I1" s="93"/>
      <c r="J1" s="93"/>
      <c r="K1" s="93"/>
      <c r="L1" s="93"/>
      <c r="M1" s="93"/>
      <c r="N1" s="93"/>
      <c r="O1" s="93"/>
      <c r="P1" s="93"/>
      <c r="Q1" s="93"/>
      <c r="R1" s="93"/>
      <c r="S1" s="93"/>
      <c r="T1" s="93"/>
      <c r="U1" s="93"/>
      <c r="V1" s="93"/>
      <c r="W1" s="93"/>
      <c r="Y1" s="108"/>
      <c r="Z1" s="92"/>
      <c r="AA1" s="92"/>
      <c r="AB1" s="92"/>
      <c r="AD1" s="1660"/>
      <c r="AE1" s="1660"/>
      <c r="AF1" s="1756"/>
      <c r="AG1" s="1756"/>
      <c r="AH1" s="1660"/>
      <c r="AI1" s="1660"/>
      <c r="AJ1" s="1660"/>
      <c r="AK1" s="1660"/>
      <c r="AL1" s="1660"/>
      <c r="AM1" s="1660"/>
      <c r="AN1" s="1660"/>
      <c r="AO1" s="1660"/>
      <c r="AP1" s="1660"/>
      <c r="AQ1" s="1660"/>
      <c r="AR1" s="1660"/>
      <c r="AS1" s="1660"/>
      <c r="AT1" s="1660"/>
      <c r="AU1" s="1660"/>
      <c r="AV1" s="1660"/>
      <c r="AW1" s="1660"/>
      <c r="AX1" s="1660"/>
      <c r="AY1" s="1660"/>
      <c r="AZ1" s="1660"/>
      <c r="BA1" s="1660"/>
      <c r="BB1" s="1660"/>
      <c r="BC1" s="1660"/>
      <c r="BD1" s="1660"/>
      <c r="BE1" s="1660"/>
      <c r="BF1" s="1660"/>
      <c r="BG1" s="1660"/>
      <c r="BH1" s="1660"/>
      <c r="BI1" s="1660"/>
      <c r="BJ1" s="1660"/>
    </row>
    <row r="3" spans="1:64">
      <c r="A3" s="1120" t="s">
        <v>1412</v>
      </c>
      <c r="B3" s="94"/>
      <c r="C3" s="2362"/>
      <c r="D3" s="94"/>
      <c r="E3" s="94"/>
      <c r="F3" s="94"/>
      <c r="G3" s="94"/>
      <c r="H3" s="94"/>
      <c r="I3" s="94"/>
      <c r="J3" s="94"/>
      <c r="K3" s="94"/>
      <c r="L3" s="94"/>
      <c r="M3" s="94"/>
      <c r="N3" s="94"/>
      <c r="O3" s="94"/>
      <c r="P3" s="94"/>
      <c r="Q3" s="94"/>
      <c r="R3" s="94"/>
      <c r="S3" s="94"/>
      <c r="T3" s="94"/>
      <c r="U3" s="94"/>
      <c r="V3" s="94"/>
      <c r="W3" s="94"/>
      <c r="X3" s="2362"/>
      <c r="Y3" s="2409"/>
      <c r="Z3" s="2410"/>
      <c r="AA3" s="2410"/>
      <c r="AB3" s="2410"/>
    </row>
    <row r="4" spans="1:64">
      <c r="A4" s="1422"/>
      <c r="B4" s="1422"/>
      <c r="D4" s="1422"/>
      <c r="E4" s="1422"/>
      <c r="F4" s="1422"/>
      <c r="G4" s="1422"/>
      <c r="H4" s="1422"/>
      <c r="I4" s="1422"/>
      <c r="J4" s="1422"/>
      <c r="K4" s="1422"/>
      <c r="L4" s="1422"/>
      <c r="M4" s="1422"/>
      <c r="N4" s="1422"/>
      <c r="O4" s="1422"/>
      <c r="P4" s="1422"/>
      <c r="Q4" s="1422"/>
      <c r="R4" s="1422"/>
      <c r="S4" s="1422"/>
      <c r="T4" s="1422"/>
      <c r="U4" s="1422"/>
      <c r="V4" s="1422"/>
      <c r="W4" s="1422"/>
      <c r="Y4" s="2269"/>
      <c r="Z4" s="1422"/>
      <c r="AA4" s="1422"/>
      <c r="AB4" s="1422"/>
    </row>
    <row r="5" spans="1:64" s="2398" customFormat="1" ht="3.75" customHeight="1">
      <c r="A5" s="2766"/>
      <c r="C5" s="2399"/>
      <c r="D5" s="2767"/>
      <c r="E5" s="2399"/>
      <c r="F5" s="2399"/>
      <c r="G5" s="2399"/>
      <c r="H5" s="2399"/>
      <c r="I5" s="2399"/>
      <c r="J5" s="2399"/>
      <c r="K5" s="2399"/>
      <c r="L5" s="2399"/>
      <c r="M5" s="2399"/>
      <c r="N5" s="2399"/>
      <c r="O5" s="2399"/>
      <c r="P5" s="2399"/>
      <c r="Q5" s="2746"/>
      <c r="R5" s="2497"/>
      <c r="S5" s="2399"/>
      <c r="T5" s="2399"/>
      <c r="U5" s="2399"/>
      <c r="V5" s="2399"/>
      <c r="W5" s="2399"/>
      <c r="X5" s="2399"/>
      <c r="Y5" s="2399"/>
      <c r="AF5" s="2399"/>
      <c r="AG5" s="2399"/>
      <c r="BL5" s="2399"/>
    </row>
    <row r="6" spans="1:64">
      <c r="A6" s="1175" t="s">
        <v>1158</v>
      </c>
      <c r="B6" s="102"/>
      <c r="C6" s="2362"/>
      <c r="D6" s="3622" t="s">
        <v>2502</v>
      </c>
      <c r="E6" s="1545"/>
      <c r="F6" s="1545"/>
      <c r="G6" s="1545"/>
      <c r="H6" s="1545"/>
      <c r="I6" s="1545"/>
      <c r="J6" s="1545"/>
      <c r="K6" s="1545"/>
      <c r="L6" s="1545"/>
      <c r="M6" s="1545"/>
      <c r="N6" s="1545"/>
      <c r="O6" s="1545"/>
      <c r="P6" s="1545"/>
      <c r="Q6" s="1545"/>
      <c r="R6" s="1545"/>
      <c r="S6" s="1545"/>
      <c r="T6" s="1545"/>
      <c r="U6" s="1545"/>
      <c r="V6" s="1545"/>
      <c r="W6" s="1545"/>
      <c r="Y6" s="2399"/>
      <c r="Z6" s="2398"/>
      <c r="AA6" s="2398"/>
      <c r="AB6" s="2398"/>
    </row>
    <row r="7" spans="1:64" ht="13.15" customHeight="1">
      <c r="A7" s="1422"/>
      <c r="B7" s="1422"/>
      <c r="D7" s="4274" t="s">
        <v>1717</v>
      </c>
      <c r="E7" s="4274"/>
      <c r="F7" s="4274"/>
      <c r="G7" s="4274"/>
      <c r="H7" s="4274"/>
      <c r="I7" s="4274"/>
      <c r="J7" s="4274"/>
      <c r="K7" s="4274"/>
      <c r="L7" s="4274"/>
      <c r="M7" s="4274"/>
      <c r="N7" s="4274"/>
      <c r="O7" s="4274"/>
      <c r="P7" s="4274"/>
      <c r="Q7" s="4274"/>
      <c r="R7" s="4274"/>
      <c r="S7" s="4274"/>
      <c r="T7" s="4274"/>
      <c r="U7" s="4274"/>
      <c r="V7" s="4274"/>
      <c r="W7" s="4274"/>
      <c r="Y7" s="2399"/>
      <c r="Z7" s="2398"/>
      <c r="AA7" s="2398"/>
      <c r="AB7" s="2398"/>
    </row>
    <row r="8" spans="1:64">
      <c r="A8" s="1422"/>
      <c r="B8" s="1422"/>
      <c r="D8" s="4274"/>
      <c r="E8" s="4274"/>
      <c r="F8" s="4274"/>
      <c r="G8" s="4274"/>
      <c r="H8" s="4274"/>
      <c r="I8" s="4274"/>
      <c r="J8" s="4274"/>
      <c r="K8" s="4274"/>
      <c r="L8" s="4274"/>
      <c r="M8" s="4274"/>
      <c r="N8" s="4274"/>
      <c r="O8" s="4274"/>
      <c r="P8" s="4274"/>
      <c r="Q8" s="4274"/>
      <c r="R8" s="4274"/>
      <c r="S8" s="4274"/>
      <c r="T8" s="4274"/>
      <c r="U8" s="4274"/>
      <c r="V8" s="4274"/>
      <c r="W8" s="4274"/>
      <c r="Y8" s="2399"/>
      <c r="Z8" s="2398"/>
      <c r="AA8" s="2398"/>
      <c r="AB8" s="2398"/>
    </row>
    <row r="9" spans="1:64">
      <c r="A9" s="1538"/>
      <c r="B9" s="1538"/>
      <c r="D9" s="1537"/>
      <c r="E9" s="1537"/>
      <c r="F9" s="1537"/>
      <c r="G9" s="1537"/>
      <c r="H9" s="1537"/>
      <c r="I9" s="1537"/>
      <c r="J9" s="1537"/>
      <c r="K9" s="1537"/>
      <c r="L9" s="1537"/>
      <c r="M9" s="1537"/>
      <c r="N9" s="1537"/>
      <c r="O9" s="1537"/>
      <c r="P9" s="1537"/>
      <c r="Q9" s="1537"/>
      <c r="R9" s="1537"/>
      <c r="S9" s="1537"/>
      <c r="T9" s="1537"/>
      <c r="U9" s="1537"/>
      <c r="V9" s="1537"/>
      <c r="W9" s="1537"/>
      <c r="Y9" s="2399"/>
      <c r="Z9" s="2398"/>
      <c r="AA9" s="2398"/>
      <c r="AB9" s="2398"/>
    </row>
    <row r="10" spans="1:64">
      <c r="A10" s="1538"/>
      <c r="B10" s="1937"/>
      <c r="D10" s="3622" t="s">
        <v>2503</v>
      </c>
      <c r="E10" s="1988"/>
      <c r="F10" s="1988"/>
      <c r="G10" s="1988"/>
      <c r="H10" s="1988"/>
      <c r="I10" s="1988"/>
      <c r="J10" s="1988"/>
      <c r="K10" s="1988"/>
      <c r="L10" s="1988"/>
      <c r="M10" s="1988"/>
      <c r="N10" s="1988"/>
      <c r="O10" s="1988"/>
      <c r="P10" s="1988"/>
      <c r="Q10" s="1988"/>
      <c r="R10" s="1988"/>
      <c r="S10" s="1988"/>
      <c r="T10" s="1988"/>
      <c r="U10" s="1988"/>
      <c r="V10" s="1988"/>
      <c r="W10" s="1988"/>
      <c r="Y10" s="2399"/>
      <c r="Z10" s="2398"/>
      <c r="AA10" s="2398"/>
      <c r="AB10" s="2398"/>
    </row>
    <row r="11" spans="1:64" ht="13.15" customHeight="1">
      <c r="A11" s="1422"/>
      <c r="B11" s="1422"/>
      <c r="D11" s="4274" t="s">
        <v>2511</v>
      </c>
      <c r="E11" s="4274"/>
      <c r="F11" s="4274"/>
      <c r="G11" s="4274"/>
      <c r="H11" s="4274"/>
      <c r="I11" s="4274"/>
      <c r="J11" s="4274"/>
      <c r="K11" s="4274"/>
      <c r="L11" s="4274"/>
      <c r="M11" s="4274"/>
      <c r="N11" s="4274"/>
      <c r="O11" s="4274"/>
      <c r="P11" s="4274"/>
      <c r="Q11" s="4274"/>
      <c r="R11" s="4274"/>
      <c r="S11" s="4274"/>
      <c r="T11" s="4274"/>
      <c r="U11" s="4274"/>
      <c r="V11" s="4274"/>
      <c r="W11" s="4274"/>
      <c r="X11" s="2363"/>
      <c r="Y11" s="2399"/>
      <c r="Z11" s="2398"/>
      <c r="AA11" s="2398"/>
      <c r="AB11" s="2398"/>
    </row>
    <row r="12" spans="1:64" ht="13.15" customHeight="1">
      <c r="A12" s="1542"/>
      <c r="B12" s="1542"/>
      <c r="D12" s="4274"/>
      <c r="E12" s="4274"/>
      <c r="F12" s="4274"/>
      <c r="G12" s="4274"/>
      <c r="H12" s="4274"/>
      <c r="I12" s="4274"/>
      <c r="J12" s="4274"/>
      <c r="K12" s="4274"/>
      <c r="L12" s="4274"/>
      <c r="M12" s="4274"/>
      <c r="N12" s="4274"/>
      <c r="O12" s="4274"/>
      <c r="P12" s="4274"/>
      <c r="Q12" s="4274"/>
      <c r="R12" s="4274"/>
      <c r="S12" s="4274"/>
      <c r="T12" s="4274"/>
      <c r="U12" s="4274"/>
      <c r="V12" s="4274"/>
      <c r="W12" s="4274"/>
      <c r="X12" s="2363"/>
      <c r="Y12" s="2399"/>
      <c r="Z12" s="2398"/>
      <c r="AA12" s="2398"/>
      <c r="AB12" s="2398"/>
    </row>
    <row r="13" spans="1:64" ht="13.15" customHeight="1">
      <c r="A13" s="1592"/>
      <c r="B13" s="1592"/>
      <c r="D13" s="4274"/>
      <c r="E13" s="4274"/>
      <c r="F13" s="4274"/>
      <c r="G13" s="4274"/>
      <c r="H13" s="4274"/>
      <c r="I13" s="4274"/>
      <c r="J13" s="4274"/>
      <c r="K13" s="4274"/>
      <c r="L13" s="4274"/>
      <c r="M13" s="4274"/>
      <c r="N13" s="4274"/>
      <c r="O13" s="4274"/>
      <c r="P13" s="4274"/>
      <c r="Q13" s="4274"/>
      <c r="R13" s="4274"/>
      <c r="S13" s="4274"/>
      <c r="T13" s="4274"/>
      <c r="U13" s="4274"/>
      <c r="V13" s="4274"/>
      <c r="W13" s="4274"/>
      <c r="X13" s="2363"/>
      <c r="Y13" s="2399"/>
      <c r="Z13" s="2398"/>
      <c r="AA13" s="2398"/>
      <c r="AB13" s="2398"/>
    </row>
    <row r="14" spans="1:64">
      <c r="A14" s="1422"/>
      <c r="B14" s="1422"/>
      <c r="D14" s="1545" t="s">
        <v>1240</v>
      </c>
      <c r="E14" s="1545"/>
      <c r="F14" s="1545"/>
      <c r="G14" s="1545"/>
      <c r="H14" s="1545"/>
      <c r="I14" s="1545"/>
      <c r="J14" s="1545"/>
      <c r="K14" s="1545"/>
      <c r="L14" s="1545"/>
      <c r="M14" s="1545"/>
      <c r="N14" s="1545"/>
      <c r="O14" s="1545"/>
      <c r="P14" s="1545"/>
      <c r="Q14" s="1545"/>
      <c r="R14" s="1545"/>
      <c r="S14" s="1545"/>
      <c r="T14" s="1545"/>
      <c r="U14" s="1545"/>
      <c r="V14" s="1545"/>
      <c r="W14" s="1545"/>
      <c r="X14" s="2363"/>
      <c r="Y14" s="2269"/>
      <c r="Z14" s="1422"/>
      <c r="AA14" s="1422"/>
      <c r="AB14" s="1422"/>
    </row>
    <row r="15" spans="1:64">
      <c r="A15" s="1579"/>
      <c r="B15" s="1579"/>
      <c r="D15" s="3623" t="s">
        <v>1853</v>
      </c>
      <c r="E15" s="1545"/>
      <c r="F15" s="1545"/>
      <c r="G15" s="1545"/>
      <c r="H15" s="1545"/>
      <c r="I15" s="1545"/>
      <c r="J15" s="1545"/>
      <c r="K15" s="1545"/>
      <c r="L15" s="1545"/>
      <c r="M15" s="1545"/>
      <c r="N15" s="1545"/>
      <c r="O15" s="1545"/>
      <c r="P15" s="1545"/>
      <c r="Q15" s="1545"/>
      <c r="R15" s="1545"/>
      <c r="S15" s="1545"/>
      <c r="T15" s="1545"/>
      <c r="U15" s="1545"/>
      <c r="V15" s="1545"/>
      <c r="W15" s="1545"/>
      <c r="X15" s="2363"/>
      <c r="Y15" s="3492" t="s">
        <v>1854</v>
      </c>
      <c r="Z15" s="1579"/>
      <c r="AA15" s="1579"/>
      <c r="AB15" s="1579"/>
    </row>
    <row r="16" spans="1:64" ht="13.15" customHeight="1">
      <c r="A16" s="1579"/>
      <c r="B16" s="1579"/>
      <c r="D16" s="4318" t="s">
        <v>1855</v>
      </c>
      <c r="E16" s="4318"/>
      <c r="F16" s="4318"/>
      <c r="G16" s="4318"/>
      <c r="H16" s="4318"/>
      <c r="I16" s="4318"/>
      <c r="J16" s="4318"/>
      <c r="K16" s="4318"/>
      <c r="L16" s="4318"/>
      <c r="M16" s="4318"/>
      <c r="N16" s="4318"/>
      <c r="O16" s="4318"/>
      <c r="P16" s="4318"/>
      <c r="Q16" s="4318"/>
      <c r="R16" s="4318"/>
      <c r="S16" s="4318"/>
      <c r="T16" s="4318"/>
      <c r="U16" s="4318"/>
      <c r="V16" s="4318"/>
      <c r="W16" s="4318"/>
      <c r="X16" s="2363"/>
      <c r="Y16" s="1614"/>
      <c r="Z16" s="1579"/>
      <c r="AA16" s="1579"/>
      <c r="AB16" s="1579"/>
    </row>
    <row r="17" spans="1:64" ht="13.15" customHeight="1">
      <c r="A17" s="2271"/>
      <c r="B17" s="2271"/>
      <c r="D17" s="4318"/>
      <c r="E17" s="4318"/>
      <c r="F17" s="4318"/>
      <c r="G17" s="4318"/>
      <c r="H17" s="4318"/>
      <c r="I17" s="4318"/>
      <c r="J17" s="4318"/>
      <c r="K17" s="4318"/>
      <c r="L17" s="4318"/>
      <c r="M17" s="4318"/>
      <c r="N17" s="4318"/>
      <c r="O17" s="4318"/>
      <c r="P17" s="4318"/>
      <c r="Q17" s="4318"/>
      <c r="R17" s="4318"/>
      <c r="S17" s="4318"/>
      <c r="T17" s="4318"/>
      <c r="U17" s="4318"/>
      <c r="V17" s="4318"/>
      <c r="W17" s="4318"/>
      <c r="X17" s="2363"/>
      <c r="Y17" s="3488"/>
      <c r="Z17" s="2398"/>
      <c r="AA17" s="2398"/>
      <c r="AB17" s="2398"/>
    </row>
    <row r="18" spans="1:64">
      <c r="A18" s="1579"/>
      <c r="B18" s="1579"/>
      <c r="D18" s="1545"/>
      <c r="E18" s="1581"/>
      <c r="F18" s="1579"/>
      <c r="G18" s="1581"/>
      <c r="H18" s="1579"/>
      <c r="I18" s="1579"/>
      <c r="J18" s="1579"/>
      <c r="K18" s="1579"/>
      <c r="L18" s="1581"/>
      <c r="M18" s="1581"/>
      <c r="N18" s="1581"/>
      <c r="O18" s="1581"/>
      <c r="P18" s="1579"/>
      <c r="Q18" s="1581"/>
      <c r="R18" s="1581"/>
      <c r="S18" s="1581"/>
      <c r="T18" s="1579"/>
      <c r="U18" s="92"/>
      <c r="V18" s="2376"/>
      <c r="W18" s="2376"/>
      <c r="X18" s="2363"/>
      <c r="Y18" s="3488"/>
      <c r="Z18" s="2398"/>
      <c r="AA18" s="2398"/>
      <c r="AB18" s="2398"/>
    </row>
    <row r="19" spans="1:64">
      <c r="A19" s="1587"/>
      <c r="B19" s="1937"/>
      <c r="D19" s="3622" t="s">
        <v>2504</v>
      </c>
      <c r="E19" s="1548"/>
      <c r="F19" s="1545"/>
      <c r="G19" s="1548"/>
      <c r="H19" s="1548"/>
      <c r="I19" s="1548"/>
      <c r="J19" s="1548"/>
      <c r="K19" s="1548"/>
      <c r="L19" s="1548"/>
      <c r="M19" s="1548"/>
      <c r="N19" s="1548"/>
      <c r="O19" s="1548"/>
      <c r="P19" s="1548"/>
      <c r="Q19" s="1548"/>
      <c r="R19" s="1548"/>
      <c r="S19" s="1548"/>
      <c r="T19" s="1548"/>
      <c r="U19" s="1548"/>
      <c r="V19" s="1548"/>
      <c r="W19" s="1548"/>
      <c r="X19" s="2363"/>
      <c r="Y19" s="3488"/>
      <c r="Z19" s="2398"/>
      <c r="AA19" s="2398"/>
      <c r="AB19" s="2398"/>
    </row>
    <row r="20" spans="1:64">
      <c r="A20" s="1587"/>
      <c r="B20" s="1587"/>
      <c r="D20" s="4274" t="s">
        <v>2505</v>
      </c>
      <c r="E20" s="4274"/>
      <c r="F20" s="4274"/>
      <c r="G20" s="4274"/>
      <c r="H20" s="4274"/>
      <c r="I20" s="4274"/>
      <c r="J20" s="4274"/>
      <c r="K20" s="4274"/>
      <c r="L20" s="4274"/>
      <c r="M20" s="4274"/>
      <c r="N20" s="4274"/>
      <c r="O20" s="4274"/>
      <c r="P20" s="4274"/>
      <c r="Q20" s="4274"/>
      <c r="R20" s="4274"/>
      <c r="S20" s="4274"/>
      <c r="T20" s="4274"/>
      <c r="U20" s="4274"/>
      <c r="V20" s="4274"/>
      <c r="W20" s="4274"/>
      <c r="X20" s="2363"/>
      <c r="Y20" s="3488"/>
      <c r="Z20" s="2398"/>
      <c r="AA20" s="2398"/>
      <c r="AB20" s="2398"/>
    </row>
    <row r="21" spans="1:64">
      <c r="A21" s="2271"/>
      <c r="B21" s="2271"/>
      <c r="D21" s="4274"/>
      <c r="E21" s="4274"/>
      <c r="F21" s="4274"/>
      <c r="G21" s="4274"/>
      <c r="H21" s="4274"/>
      <c r="I21" s="4274"/>
      <c r="J21" s="4274"/>
      <c r="K21" s="4274"/>
      <c r="L21" s="4274"/>
      <c r="M21" s="4274"/>
      <c r="N21" s="4274"/>
      <c r="O21" s="4274"/>
      <c r="P21" s="4274"/>
      <c r="Q21" s="4274"/>
      <c r="R21" s="4274"/>
      <c r="S21" s="4274"/>
      <c r="T21" s="4274"/>
      <c r="U21" s="4274"/>
      <c r="V21" s="4274"/>
      <c r="W21" s="4274"/>
      <c r="X21" s="2363"/>
      <c r="Y21" s="3488"/>
      <c r="Z21" s="2398"/>
      <c r="AA21" s="2398"/>
      <c r="AB21" s="2398"/>
    </row>
    <row r="22" spans="1:64">
      <c r="A22" s="1983"/>
      <c r="B22" s="1983"/>
      <c r="D22" s="1548"/>
      <c r="E22" s="1581"/>
      <c r="F22" s="1983"/>
      <c r="G22" s="1581"/>
      <c r="H22" s="1581"/>
      <c r="I22" s="1581"/>
      <c r="J22" s="1581"/>
      <c r="K22" s="1581"/>
      <c r="L22" s="1581"/>
      <c r="M22" s="1581"/>
      <c r="N22" s="1581"/>
      <c r="O22" s="1581"/>
      <c r="P22" s="1581"/>
      <c r="Q22" s="1581"/>
      <c r="R22" s="1581"/>
      <c r="S22" s="1581"/>
      <c r="T22" s="1581"/>
      <c r="U22" s="1581"/>
      <c r="V22" s="1581"/>
      <c r="W22" s="1581"/>
      <c r="X22" s="2363"/>
      <c r="Y22" s="3488"/>
      <c r="Z22" s="2398"/>
      <c r="AA22" s="2398"/>
      <c r="AB22" s="2398"/>
    </row>
    <row r="23" spans="1:64">
      <c r="A23" s="1831"/>
      <c r="B23" s="1831"/>
      <c r="D23" s="1545" t="s">
        <v>1529</v>
      </c>
      <c r="E23" s="1581"/>
      <c r="F23" s="1831"/>
      <c r="G23" s="1581"/>
      <c r="H23" s="1581"/>
      <c r="I23" s="1581"/>
      <c r="J23" s="1581"/>
      <c r="K23" s="1581"/>
      <c r="L23" s="1581"/>
      <c r="M23" s="1581"/>
      <c r="N23" s="1581"/>
      <c r="O23" s="1581"/>
      <c r="P23" s="1581"/>
      <c r="Q23" s="1581"/>
      <c r="R23" s="1581"/>
      <c r="S23" s="1581"/>
      <c r="T23" s="1581"/>
      <c r="U23" s="1581"/>
      <c r="V23" s="1581"/>
      <c r="W23" s="1581"/>
      <c r="X23" s="2363"/>
      <c r="Y23" s="1614"/>
      <c r="Z23" s="1831"/>
      <c r="AA23" s="1831"/>
      <c r="AB23" s="1831"/>
    </row>
    <row r="24" spans="1:64">
      <c r="A24" s="1831"/>
      <c r="B24" s="1831"/>
      <c r="D24" s="1548" t="s">
        <v>1718</v>
      </c>
      <c r="E24" s="1581"/>
      <c r="F24" s="1831"/>
      <c r="G24" s="1581"/>
      <c r="H24" s="1581"/>
      <c r="I24" s="1581"/>
      <c r="J24" s="1581"/>
      <c r="K24" s="1581"/>
      <c r="L24" s="1581"/>
      <c r="M24" s="1581"/>
      <c r="N24" s="1581"/>
      <c r="O24" s="1581"/>
      <c r="P24" s="1581"/>
      <c r="Q24" s="1581"/>
      <c r="R24" s="1581"/>
      <c r="S24" s="1581"/>
      <c r="T24" s="1581"/>
      <c r="U24" s="1581"/>
      <c r="V24" s="1581"/>
      <c r="W24" s="1581"/>
      <c r="X24" s="2363"/>
      <c r="Y24" s="3497" t="s">
        <v>1537</v>
      </c>
      <c r="Z24" s="1831"/>
      <c r="AA24" s="1831"/>
      <c r="AB24" s="1831"/>
    </row>
    <row r="25" spans="1:64">
      <c r="A25" s="1933"/>
      <c r="B25" s="1933"/>
      <c r="D25" s="1548" t="s">
        <v>2509</v>
      </c>
      <c r="E25" s="1933"/>
      <c r="F25" s="1933"/>
      <c r="G25" s="1933"/>
      <c r="H25" s="1933"/>
      <c r="I25" s="1933"/>
      <c r="J25" s="1933"/>
      <c r="K25" s="1933"/>
      <c r="L25" s="1933"/>
      <c r="M25" s="1995" t="s">
        <v>1407</v>
      </c>
      <c r="N25" s="1455" t="s">
        <v>1525</v>
      </c>
      <c r="O25" s="1933"/>
      <c r="P25" s="1653"/>
      <c r="Q25" s="1933"/>
      <c r="R25" s="1653" t="s">
        <v>1407</v>
      </c>
      <c r="S25" s="1455" t="s">
        <v>2510</v>
      </c>
      <c r="T25" s="1933"/>
      <c r="U25" s="1933"/>
      <c r="V25" s="1933"/>
      <c r="W25" s="1933"/>
      <c r="X25" s="2363"/>
      <c r="Y25" s="1614"/>
      <c r="Z25" s="1933"/>
      <c r="AA25" s="1933"/>
      <c r="AB25" s="1933"/>
    </row>
    <row r="26" spans="1:64" ht="13.15" customHeight="1">
      <c r="A26" s="1538"/>
      <c r="B26" s="1538"/>
      <c r="D26" s="1933"/>
      <c r="E26" s="1538"/>
      <c r="F26" s="1538"/>
      <c r="G26" s="1538"/>
      <c r="H26" s="1538"/>
      <c r="I26" s="1538"/>
      <c r="J26" s="1538"/>
      <c r="K26" s="1538"/>
      <c r="L26" s="1933" t="s">
        <v>1527</v>
      </c>
      <c r="M26" s="1995" t="s">
        <v>1407</v>
      </c>
      <c r="N26" s="1455" t="s">
        <v>1528</v>
      </c>
      <c r="O26" s="2272" t="s">
        <v>1857</v>
      </c>
      <c r="P26" s="2272" t="s">
        <v>1856</v>
      </c>
      <c r="Q26" s="1983"/>
      <c r="R26" s="1653" t="s">
        <v>1407</v>
      </c>
      <c r="S26" s="1455" t="s">
        <v>1526</v>
      </c>
      <c r="T26" s="1089"/>
      <c r="U26" s="1089"/>
      <c r="V26" s="1089"/>
      <c r="W26" s="1538"/>
      <c r="X26" s="2363"/>
      <c r="Y26" s="3488"/>
      <c r="Z26" s="2398"/>
      <c r="AA26" s="2398"/>
      <c r="AB26" s="2398"/>
    </row>
    <row r="27" spans="1:64" ht="13.15" customHeight="1">
      <c r="A27" s="1933"/>
      <c r="B27" s="1933"/>
      <c r="D27" s="1933"/>
      <c r="E27" s="1933"/>
      <c r="F27" s="1933"/>
      <c r="G27" s="1933"/>
      <c r="H27" s="1933"/>
      <c r="I27" s="1933"/>
      <c r="J27" s="1933"/>
      <c r="K27" s="1933"/>
      <c r="L27" s="1933"/>
      <c r="M27" s="1996" t="s">
        <v>1407</v>
      </c>
      <c r="N27" s="1994" t="s">
        <v>1858</v>
      </c>
      <c r="O27" s="2270" t="s">
        <v>1859</v>
      </c>
      <c r="P27" s="2270" t="s">
        <v>1860</v>
      </c>
      <c r="Q27" s="2270" t="s">
        <v>1861</v>
      </c>
      <c r="R27" s="1993" t="s">
        <v>1407</v>
      </c>
      <c r="S27" s="1994" t="s">
        <v>1719</v>
      </c>
      <c r="T27" s="1089"/>
      <c r="U27" s="1993"/>
      <c r="V27" s="1089"/>
      <c r="W27" s="1933"/>
      <c r="X27" s="2363"/>
      <c r="Y27" s="2399"/>
      <c r="Z27" s="2398"/>
      <c r="AA27" s="2398"/>
      <c r="AB27" s="2398"/>
    </row>
    <row r="28" spans="1:64" ht="13.15" customHeight="1">
      <c r="A28" s="1538"/>
      <c r="B28" s="1538"/>
      <c r="D28" s="1537"/>
      <c r="E28" s="1537"/>
      <c r="F28" s="1537"/>
      <c r="G28" s="1537"/>
      <c r="H28" s="1537"/>
      <c r="I28" s="1537"/>
      <c r="J28" s="1537"/>
      <c r="K28" s="1537"/>
      <c r="L28" s="1537"/>
      <c r="M28" s="1538"/>
      <c r="N28" s="1538"/>
      <c r="O28" s="1538"/>
      <c r="P28" s="1538"/>
      <c r="Q28" s="1538"/>
      <c r="R28" s="1538"/>
      <c r="S28" s="1538"/>
      <c r="T28" s="1538"/>
      <c r="U28" s="1538"/>
      <c r="V28" s="1538"/>
      <c r="W28" s="1538"/>
      <c r="X28" s="2363"/>
      <c r="Y28" s="2399"/>
      <c r="Z28" s="2398"/>
      <c r="AA28" s="2398"/>
      <c r="AB28" s="2398"/>
    </row>
    <row r="29" spans="1:64" s="2398" customFormat="1" ht="3.75" customHeight="1">
      <c r="A29" s="2766"/>
      <c r="C29" s="2399"/>
      <c r="D29" s="2767"/>
      <c r="E29" s="2399"/>
      <c r="F29" s="2399"/>
      <c r="G29" s="2399"/>
      <c r="H29" s="2399"/>
      <c r="I29" s="2399"/>
      <c r="J29" s="2399"/>
      <c r="K29" s="2399"/>
      <c r="L29" s="2399"/>
      <c r="M29" s="2399"/>
      <c r="N29" s="2399"/>
      <c r="O29" s="2399"/>
      <c r="P29" s="2399"/>
      <c r="Q29" s="2746"/>
      <c r="R29" s="2497"/>
      <c r="S29" s="2399"/>
      <c r="T29" s="2399"/>
      <c r="U29" s="2399"/>
      <c r="V29" s="2399"/>
      <c r="W29" s="2399"/>
      <c r="X29" s="2399"/>
      <c r="Y29" s="2399"/>
      <c r="AF29" s="2399"/>
      <c r="AG29" s="2399"/>
      <c r="BL29" s="2399"/>
    </row>
    <row r="30" spans="1:64">
      <c r="A30" s="1513" t="s">
        <v>1591</v>
      </c>
      <c r="B30" s="1618"/>
      <c r="C30" s="2362"/>
      <c r="D30" s="3622" t="s">
        <v>1720</v>
      </c>
      <c r="E30" s="3622"/>
      <c r="F30" s="3622"/>
      <c r="G30" s="3622"/>
      <c r="H30" s="3622"/>
      <c r="I30" s="3622"/>
      <c r="J30" s="3622"/>
      <c r="K30" s="1545"/>
      <c r="L30" s="1545"/>
      <c r="M30" s="1545"/>
      <c r="N30" s="1545"/>
      <c r="O30" s="1545"/>
      <c r="P30" s="1545"/>
      <c r="Q30" s="1545"/>
      <c r="R30" s="1545"/>
      <c r="S30" s="1545"/>
      <c r="T30" s="1545"/>
      <c r="U30" s="1545"/>
      <c r="V30" s="1545"/>
      <c r="W30" s="1545"/>
      <c r="X30" s="2363"/>
      <c r="Y30" s="2399"/>
      <c r="Z30" s="2398"/>
      <c r="AA30" s="2398"/>
      <c r="AB30" s="2398"/>
    </row>
    <row r="31" spans="1:64">
      <c r="A31" s="1538"/>
      <c r="B31" s="1538"/>
      <c r="D31" s="4274" t="s">
        <v>1862</v>
      </c>
      <c r="E31" s="4274"/>
      <c r="F31" s="4274"/>
      <c r="G31" s="4274"/>
      <c r="H31" s="4274"/>
      <c r="I31" s="4274"/>
      <c r="J31" s="4274"/>
      <c r="K31" s="4274"/>
      <c r="L31" s="4274"/>
      <c r="M31" s="4274"/>
      <c r="N31" s="4274"/>
      <c r="O31" s="4274"/>
      <c r="P31" s="4274"/>
      <c r="Q31" s="4274"/>
      <c r="R31" s="4274"/>
      <c r="S31" s="4274"/>
      <c r="T31" s="4274"/>
      <c r="U31" s="4274"/>
      <c r="V31" s="4274"/>
      <c r="W31" s="4274"/>
      <c r="X31" s="2363"/>
      <c r="Y31" s="2399"/>
      <c r="Z31" s="2398"/>
      <c r="AA31" s="2398"/>
      <c r="AB31" s="2398"/>
    </row>
    <row r="32" spans="1:64">
      <c r="A32" s="2271"/>
      <c r="B32" s="2271"/>
      <c r="D32" s="4274"/>
      <c r="E32" s="4274"/>
      <c r="F32" s="4274"/>
      <c r="G32" s="4274"/>
      <c r="H32" s="4274"/>
      <c r="I32" s="4274"/>
      <c r="J32" s="4274"/>
      <c r="K32" s="4274"/>
      <c r="L32" s="4274"/>
      <c r="M32" s="4274"/>
      <c r="N32" s="4274"/>
      <c r="O32" s="4274"/>
      <c r="P32" s="4274"/>
      <c r="Q32" s="4274"/>
      <c r="R32" s="4274"/>
      <c r="S32" s="4274"/>
      <c r="T32" s="4274"/>
      <c r="U32" s="4274"/>
      <c r="V32" s="4274"/>
      <c r="W32" s="4274"/>
      <c r="X32" s="2363"/>
      <c r="Y32" s="2399"/>
      <c r="Z32" s="2398"/>
      <c r="AA32" s="2398"/>
      <c r="AB32" s="2398"/>
    </row>
    <row r="33" spans="1:28">
      <c r="A33" s="1422"/>
      <c r="B33" s="1422"/>
      <c r="D33" s="4371" t="s">
        <v>1863</v>
      </c>
      <c r="E33" s="4371"/>
      <c r="F33" s="4371"/>
      <c r="G33" s="4371"/>
      <c r="H33" s="4371"/>
      <c r="I33" s="4371"/>
      <c r="J33" s="4371"/>
      <c r="K33" s="4371"/>
      <c r="L33" s="4371"/>
      <c r="M33" s="4371"/>
      <c r="N33" s="4371"/>
      <c r="O33" s="4371"/>
      <c r="P33" s="4371"/>
      <c r="Q33" s="4371"/>
      <c r="R33" s="4371"/>
      <c r="S33" s="4371"/>
      <c r="T33" s="4371"/>
      <c r="U33" s="4371"/>
      <c r="V33" s="4371"/>
      <c r="W33" s="4371"/>
      <c r="X33" s="2363"/>
      <c r="Y33" s="2399"/>
      <c r="Z33" s="2398"/>
      <c r="AA33" s="2398"/>
      <c r="AB33" s="2398"/>
    </row>
    <row r="34" spans="1:28">
      <c r="A34" s="1422"/>
      <c r="B34" s="1422"/>
      <c r="D34" s="4371"/>
      <c r="E34" s="4371"/>
      <c r="F34" s="4371"/>
      <c r="G34" s="4371"/>
      <c r="H34" s="4371"/>
      <c r="I34" s="4371"/>
      <c r="J34" s="4371"/>
      <c r="K34" s="4371"/>
      <c r="L34" s="4371"/>
      <c r="M34" s="4371"/>
      <c r="N34" s="4371"/>
      <c r="O34" s="4371"/>
      <c r="P34" s="4371"/>
      <c r="Q34" s="4371"/>
      <c r="R34" s="4371"/>
      <c r="S34" s="4371"/>
      <c r="T34" s="4371"/>
      <c r="U34" s="4371"/>
      <c r="V34" s="4371"/>
      <c r="W34" s="4371"/>
      <c r="X34" s="2363"/>
      <c r="Y34" s="2399"/>
      <c r="Z34" s="2398"/>
      <c r="AA34" s="2398"/>
      <c r="AB34" s="2398"/>
    </row>
    <row r="35" spans="1:28">
      <c r="A35" s="2271"/>
      <c r="B35" s="2271"/>
      <c r="D35" s="3624" t="s">
        <v>1864</v>
      </c>
      <c r="E35" s="3625"/>
      <c r="F35" s="3625"/>
      <c r="G35" s="3625"/>
      <c r="H35" s="3625"/>
      <c r="I35" s="3625"/>
      <c r="J35" s="3625"/>
      <c r="K35" s="3625"/>
      <c r="L35" s="3625"/>
      <c r="M35" s="3625"/>
      <c r="N35" s="3625"/>
      <c r="O35" s="3625"/>
      <c r="P35" s="3625"/>
      <c r="Q35" s="3625"/>
      <c r="R35" s="3625"/>
      <c r="S35" s="3625"/>
      <c r="T35" s="3625"/>
      <c r="U35" s="3625"/>
      <c r="V35" s="3625"/>
      <c r="W35" s="3625"/>
      <c r="X35" s="2363"/>
      <c r="Y35" s="2399"/>
      <c r="Z35" s="2398"/>
      <c r="AA35" s="2398"/>
      <c r="AB35" s="2398"/>
    </row>
    <row r="36" spans="1:28">
      <c r="A36" s="1422"/>
      <c r="B36" s="1422"/>
      <c r="D36" s="4371" t="s">
        <v>1500</v>
      </c>
      <c r="E36" s="4371"/>
      <c r="F36" s="4371"/>
      <c r="G36" s="4371"/>
      <c r="H36" s="4371"/>
      <c r="I36" s="4371"/>
      <c r="J36" s="4371"/>
      <c r="K36" s="4371"/>
      <c r="L36" s="4371"/>
      <c r="M36" s="4371"/>
      <c r="N36" s="4371"/>
      <c r="O36" s="4371"/>
      <c r="P36" s="4371"/>
      <c r="Q36" s="4371"/>
      <c r="R36" s="4371"/>
      <c r="S36" s="4371"/>
      <c r="T36" s="4371"/>
      <c r="U36" s="4371"/>
      <c r="V36" s="4371"/>
      <c r="W36" s="4371"/>
      <c r="X36" s="2363"/>
      <c r="Y36" s="2399"/>
      <c r="Z36" s="2398"/>
      <c r="AA36" s="2398"/>
      <c r="AB36" s="2398"/>
    </row>
    <row r="37" spans="1:28">
      <c r="A37" s="1422"/>
      <c r="B37" s="1422"/>
      <c r="D37" s="4371"/>
      <c r="E37" s="4371"/>
      <c r="F37" s="4371"/>
      <c r="G37" s="4371"/>
      <c r="H37" s="4371"/>
      <c r="I37" s="4371"/>
      <c r="J37" s="4371"/>
      <c r="K37" s="4371"/>
      <c r="L37" s="4371"/>
      <c r="M37" s="4371"/>
      <c r="N37" s="4371"/>
      <c r="O37" s="4371"/>
      <c r="P37" s="4371"/>
      <c r="Q37" s="4371"/>
      <c r="R37" s="4371"/>
      <c r="S37" s="4371"/>
      <c r="T37" s="4371"/>
      <c r="U37" s="4371"/>
      <c r="V37" s="4371"/>
      <c r="W37" s="4371"/>
      <c r="X37" s="2363"/>
      <c r="Y37" s="2399"/>
      <c r="Z37" s="2398"/>
      <c r="AA37" s="2398"/>
      <c r="AB37" s="2398"/>
    </row>
    <row r="38" spans="1:28">
      <c r="A38" s="1538"/>
      <c r="B38" s="1538"/>
      <c r="D38" s="4371"/>
      <c r="E38" s="4371"/>
      <c r="F38" s="4371"/>
      <c r="G38" s="4371"/>
      <c r="H38" s="4371"/>
      <c r="I38" s="4371"/>
      <c r="J38" s="4371"/>
      <c r="K38" s="4371"/>
      <c r="L38" s="4371"/>
      <c r="M38" s="4371"/>
      <c r="N38" s="4371"/>
      <c r="O38" s="4371"/>
      <c r="P38" s="4371"/>
      <c r="Q38" s="4371"/>
      <c r="R38" s="4371"/>
      <c r="S38" s="4371"/>
      <c r="T38" s="4371"/>
      <c r="U38" s="4371"/>
      <c r="V38" s="4371"/>
      <c r="W38" s="4371"/>
      <c r="X38" s="2363"/>
      <c r="Y38" s="2399"/>
      <c r="Z38" s="2398"/>
      <c r="AA38" s="2398"/>
      <c r="AB38" s="2398"/>
    </row>
    <row r="39" spans="1:28">
      <c r="A39" s="1831"/>
      <c r="B39" s="1831"/>
      <c r="D39" s="4371"/>
      <c r="E39" s="4371"/>
      <c r="F39" s="4371"/>
      <c r="G39" s="4371"/>
      <c r="H39" s="4371"/>
      <c r="I39" s="4371"/>
      <c r="J39" s="4371"/>
      <c r="K39" s="4371"/>
      <c r="L39" s="4371"/>
      <c r="M39" s="4371"/>
      <c r="N39" s="4371"/>
      <c r="O39" s="4371"/>
      <c r="P39" s="4371"/>
      <c r="Q39" s="4371"/>
      <c r="R39" s="4371"/>
      <c r="S39" s="4371"/>
      <c r="T39" s="4371"/>
      <c r="U39" s="4371"/>
      <c r="V39" s="4371"/>
      <c r="W39" s="4371"/>
      <c r="X39" s="2363"/>
      <c r="Y39" s="2399"/>
      <c r="Z39" s="2398"/>
      <c r="AA39" s="2398"/>
      <c r="AB39" s="2398"/>
    </row>
    <row r="40" spans="1:28">
      <c r="A40" s="1538"/>
      <c r="B40" s="1538"/>
      <c r="D40" s="3626" t="s">
        <v>2512</v>
      </c>
      <c r="E40" s="3404"/>
      <c r="F40" s="3404"/>
      <c r="G40" s="1540"/>
      <c r="H40" s="1540"/>
      <c r="I40" s="1540"/>
      <c r="J40" s="1540"/>
      <c r="K40" s="1540"/>
      <c r="L40" s="1540"/>
      <c r="M40" s="1540"/>
      <c r="N40" s="1540"/>
      <c r="O40" s="1540"/>
      <c r="P40" s="1540"/>
      <c r="Q40" s="1540"/>
      <c r="R40" s="1540"/>
      <c r="S40" s="1540"/>
      <c r="T40" s="1540"/>
      <c r="U40" s="1540"/>
      <c r="V40" s="1540"/>
      <c r="W40" s="1540"/>
      <c r="X40" s="2363"/>
      <c r="Y40" s="2399"/>
      <c r="Z40" s="2398"/>
      <c r="AA40" s="2398"/>
      <c r="AB40" s="2398"/>
    </row>
    <row r="41" spans="1:28">
      <c r="A41" s="1538"/>
      <c r="B41" s="1538"/>
      <c r="D41" s="2019" t="s">
        <v>2513</v>
      </c>
      <c r="E41" s="3627"/>
      <c r="F41" s="3404"/>
      <c r="G41" s="1540"/>
      <c r="H41" s="1540"/>
      <c r="I41" s="1540"/>
      <c r="J41" s="1540"/>
      <c r="K41" s="1540"/>
      <c r="L41" s="1540"/>
      <c r="M41" s="1540"/>
      <c r="N41" s="1540"/>
      <c r="O41" s="1540"/>
      <c r="P41" s="1540"/>
      <c r="Q41" s="1540"/>
      <c r="R41" s="1540"/>
      <c r="S41" s="1540"/>
      <c r="T41" s="1540"/>
      <c r="U41" s="1540"/>
      <c r="V41" s="1540"/>
      <c r="W41" s="1540"/>
      <c r="X41" s="2363"/>
      <c r="Y41" s="2269"/>
      <c r="Z41" s="1538"/>
      <c r="AA41" s="1538"/>
      <c r="AB41" s="1538"/>
    </row>
    <row r="42" spans="1:28">
      <c r="A42" s="1538"/>
      <c r="B42" s="1538"/>
      <c r="D42" s="2019" t="s">
        <v>2514</v>
      </c>
      <c r="E42" s="3627"/>
      <c r="F42" s="3627"/>
      <c r="G42" s="1544"/>
      <c r="H42" s="1544"/>
      <c r="I42" s="1544"/>
      <c r="J42" s="1544"/>
      <c r="K42" s="1540"/>
      <c r="L42" s="1540"/>
      <c r="M42" s="1540"/>
      <c r="N42" s="1540"/>
      <c r="O42" s="1540"/>
      <c r="P42" s="1540"/>
      <c r="Q42" s="1540"/>
      <c r="R42" s="1540"/>
      <c r="S42" s="1540"/>
      <c r="T42" s="1540"/>
      <c r="U42" s="1540"/>
      <c r="V42" s="1540"/>
      <c r="W42" s="1540"/>
      <c r="X42" s="2363"/>
      <c r="Y42" s="4311" t="s">
        <v>2507</v>
      </c>
      <c r="Z42" s="4311"/>
      <c r="AA42" s="4311"/>
      <c r="AB42" s="4311"/>
    </row>
    <row r="43" spans="1:28">
      <c r="A43" s="1538"/>
      <c r="B43" s="1538"/>
      <c r="D43" s="2019" t="s">
        <v>2506</v>
      </c>
      <c r="E43" s="3404"/>
      <c r="F43" s="3404"/>
      <c r="G43" s="1540"/>
      <c r="H43" s="1540"/>
      <c r="I43" s="1540"/>
      <c r="J43" s="1540"/>
      <c r="K43" s="1540"/>
      <c r="L43" s="1540"/>
      <c r="M43" s="1540"/>
      <c r="N43" s="1540"/>
      <c r="O43" s="1540"/>
      <c r="P43" s="1540"/>
      <c r="Q43" s="1540"/>
      <c r="R43" s="1540"/>
      <c r="S43" s="1540"/>
      <c r="T43" s="1540"/>
      <c r="U43" s="1540"/>
      <c r="V43" s="1540"/>
      <c r="W43" s="1540"/>
      <c r="X43" s="2363"/>
      <c r="Y43" s="4311"/>
      <c r="Z43" s="4311"/>
      <c r="AA43" s="4311"/>
      <c r="AB43" s="4311"/>
    </row>
    <row r="44" spans="1:28">
      <c r="A44" s="1538"/>
      <c r="B44" s="1538"/>
      <c r="D44" s="1444"/>
      <c r="E44" s="1540"/>
      <c r="F44" s="1540"/>
      <c r="G44" s="1540"/>
      <c r="H44" s="1540"/>
      <c r="I44" s="1540"/>
      <c r="J44" s="1540"/>
      <c r="K44" s="1540"/>
      <c r="L44" s="1540"/>
      <c r="M44" s="1540"/>
      <c r="N44" s="1540"/>
      <c r="O44" s="1540"/>
      <c r="P44" s="1540"/>
      <c r="Q44" s="1540"/>
      <c r="R44" s="1540"/>
      <c r="S44" s="1540"/>
      <c r="T44" s="1540"/>
      <c r="U44" s="1540"/>
      <c r="V44" s="1540"/>
      <c r="W44" s="1540"/>
      <c r="X44" s="2363"/>
      <c r="Y44" s="2269"/>
      <c r="Z44" s="1538"/>
      <c r="AA44" s="1538"/>
      <c r="AB44" s="1538"/>
    </row>
    <row r="45" spans="1:28">
      <c r="A45" s="1538"/>
      <c r="B45" s="1538"/>
      <c r="D45" s="3626" t="s">
        <v>1721</v>
      </c>
      <c r="E45" s="3404"/>
      <c r="F45" s="3404"/>
      <c r="G45" s="3404"/>
      <c r="H45" s="3404"/>
      <c r="I45" s="3404"/>
      <c r="J45" s="3404"/>
      <c r="K45" s="3404"/>
      <c r="L45" s="3404"/>
      <c r="M45" s="3404"/>
      <c r="N45" s="3404"/>
      <c r="O45" s="3404"/>
      <c r="P45" s="3404"/>
      <c r="Q45" s="3404"/>
      <c r="R45" s="3404"/>
      <c r="S45" s="3404"/>
      <c r="T45" s="3404"/>
      <c r="U45" s="3404"/>
      <c r="V45" s="3404"/>
      <c r="W45" s="3404"/>
      <c r="X45" s="2363"/>
      <c r="Y45" s="2399"/>
      <c r="Z45" s="2398"/>
      <c r="AA45" s="2398"/>
      <c r="AB45" s="2398"/>
    </row>
    <row r="46" spans="1:28" ht="13.15" customHeight="1">
      <c r="A46" s="1422"/>
      <c r="B46" s="1422"/>
      <c r="D46" s="4371" t="s">
        <v>1590</v>
      </c>
      <c r="E46" s="4371"/>
      <c r="F46" s="4371"/>
      <c r="G46" s="4371"/>
      <c r="H46" s="4371"/>
      <c r="I46" s="4371"/>
      <c r="J46" s="4371"/>
      <c r="K46" s="4371"/>
      <c r="L46" s="4371"/>
      <c r="M46" s="4371"/>
      <c r="N46" s="4371"/>
      <c r="O46" s="4371"/>
      <c r="P46" s="4371"/>
      <c r="Q46" s="4371"/>
      <c r="R46" s="4371"/>
      <c r="S46" s="4371"/>
      <c r="T46" s="4371"/>
      <c r="U46" s="4371"/>
      <c r="V46" s="4371"/>
      <c r="W46" s="4371"/>
      <c r="X46" s="2363"/>
      <c r="Y46" s="2399"/>
      <c r="Z46" s="2398"/>
      <c r="AA46" s="2398"/>
      <c r="AB46" s="2398"/>
    </row>
    <row r="47" spans="1:28">
      <c r="A47" s="1422"/>
      <c r="B47" s="1422"/>
      <c r="D47" s="4371"/>
      <c r="E47" s="4371"/>
      <c r="F47" s="4371"/>
      <c r="G47" s="4371"/>
      <c r="H47" s="4371"/>
      <c r="I47" s="4371"/>
      <c r="J47" s="4371"/>
      <c r="K47" s="4371"/>
      <c r="L47" s="4371"/>
      <c r="M47" s="4371"/>
      <c r="N47" s="4371"/>
      <c r="O47" s="4371"/>
      <c r="P47" s="4371"/>
      <c r="Q47" s="4371"/>
      <c r="R47" s="4371"/>
      <c r="S47" s="4371"/>
      <c r="T47" s="4371"/>
      <c r="U47" s="4371"/>
      <c r="V47" s="4371"/>
      <c r="W47" s="4371"/>
      <c r="X47" s="2363"/>
      <c r="Y47" s="2399"/>
      <c r="Z47" s="2398"/>
      <c r="AA47" s="2398"/>
      <c r="AB47" s="2398"/>
    </row>
    <row r="48" spans="1:28">
      <c r="A48" s="1587"/>
      <c r="B48" s="1587"/>
      <c r="D48" s="3624" t="s">
        <v>1501</v>
      </c>
      <c r="E48" s="3625"/>
      <c r="F48" s="3625"/>
      <c r="G48" s="3625"/>
      <c r="H48" s="3625"/>
      <c r="I48" s="3625"/>
      <c r="J48" s="3625"/>
      <c r="K48" s="3625"/>
      <c r="L48" s="3625"/>
      <c r="M48" s="3625"/>
      <c r="N48" s="3625"/>
      <c r="O48" s="3625"/>
      <c r="P48" s="3625"/>
      <c r="Q48" s="3625"/>
      <c r="R48" s="3625"/>
      <c r="S48" s="3625"/>
      <c r="T48" s="3625"/>
      <c r="U48" s="3625"/>
      <c r="V48" s="3625"/>
      <c r="W48" s="3625"/>
      <c r="X48" s="2363"/>
      <c r="Y48" s="2399"/>
      <c r="Z48" s="2398"/>
      <c r="AA48" s="2398"/>
      <c r="AB48" s="2398"/>
    </row>
    <row r="49" spans="1:64">
      <c r="A49" s="1587"/>
      <c r="B49" s="1587"/>
      <c r="D49" s="4371" t="s">
        <v>2515</v>
      </c>
      <c r="E49" s="4371"/>
      <c r="F49" s="4371"/>
      <c r="G49" s="4371"/>
      <c r="H49" s="4371"/>
      <c r="I49" s="4371"/>
      <c r="J49" s="4371"/>
      <c r="K49" s="4371"/>
      <c r="L49" s="4371"/>
      <c r="M49" s="4371"/>
      <c r="N49" s="4371"/>
      <c r="O49" s="4371"/>
      <c r="P49" s="4371"/>
      <c r="Q49" s="4371"/>
      <c r="R49" s="4371"/>
      <c r="S49" s="4371"/>
      <c r="T49" s="4371"/>
      <c r="U49" s="4371"/>
      <c r="V49" s="4371"/>
      <c r="W49" s="4371"/>
      <c r="X49" s="2363"/>
      <c r="Y49" s="2399"/>
      <c r="Z49" s="2398"/>
      <c r="AA49" s="2398"/>
      <c r="AB49" s="2398"/>
    </row>
    <row r="50" spans="1:64">
      <c r="A50" s="1538"/>
      <c r="B50" s="1538"/>
      <c r="D50" s="4371"/>
      <c r="E50" s="4371"/>
      <c r="F50" s="4371"/>
      <c r="G50" s="4371"/>
      <c r="H50" s="4371"/>
      <c r="I50" s="4371"/>
      <c r="J50" s="4371"/>
      <c r="K50" s="4371"/>
      <c r="L50" s="4371"/>
      <c r="M50" s="4371"/>
      <c r="N50" s="4371"/>
      <c r="O50" s="4371"/>
      <c r="P50" s="4371"/>
      <c r="Q50" s="4371"/>
      <c r="R50" s="4371"/>
      <c r="S50" s="4371"/>
      <c r="T50" s="4371"/>
      <c r="U50" s="4371"/>
      <c r="V50" s="4371"/>
      <c r="W50" s="4371"/>
      <c r="X50" s="2363"/>
      <c r="Y50" s="2399"/>
      <c r="Z50" s="2398"/>
      <c r="AA50" s="2398"/>
      <c r="AB50" s="2398"/>
    </row>
    <row r="51" spans="1:64">
      <c r="A51" s="1587"/>
      <c r="B51" s="1587"/>
      <c r="D51" s="1589"/>
      <c r="E51" s="1589"/>
      <c r="F51" s="1589"/>
      <c r="G51" s="1589"/>
      <c r="H51" s="1589"/>
      <c r="I51" s="1589"/>
      <c r="J51" s="1589"/>
      <c r="K51" s="1589"/>
      <c r="L51" s="1589"/>
      <c r="M51" s="1589"/>
      <c r="N51" s="1589"/>
      <c r="O51" s="1589"/>
      <c r="P51" s="1589"/>
      <c r="Q51" s="1589"/>
      <c r="R51" s="1589"/>
      <c r="S51" s="1589"/>
      <c r="T51" s="1589"/>
      <c r="U51" s="1589"/>
      <c r="V51" s="1589"/>
      <c r="W51" s="1589"/>
      <c r="X51" s="2363"/>
      <c r="Y51" s="2399"/>
      <c r="Z51" s="2398"/>
      <c r="AA51" s="2398"/>
      <c r="AB51" s="2398"/>
    </row>
    <row r="52" spans="1:64">
      <c r="A52" s="1422"/>
      <c r="B52" s="2020" t="s">
        <v>1511</v>
      </c>
      <c r="D52" s="4373" t="s">
        <v>1722</v>
      </c>
      <c r="E52" s="4373"/>
      <c r="F52" s="4373"/>
      <c r="G52" s="4373"/>
      <c r="H52" s="4373"/>
      <c r="I52" s="4373"/>
      <c r="J52" s="4373"/>
      <c r="K52" s="4373"/>
      <c r="L52" s="4373"/>
      <c r="M52" s="4373"/>
      <c r="N52" s="4373"/>
      <c r="O52" s="4373"/>
      <c r="P52" s="4373"/>
      <c r="Q52" s="4373"/>
      <c r="R52" s="4373"/>
      <c r="S52" s="4373"/>
      <c r="T52" s="4373"/>
      <c r="U52" s="4373"/>
      <c r="V52" s="4373"/>
      <c r="W52" s="4373"/>
      <c r="X52" s="2363"/>
      <c r="Y52" s="2399"/>
      <c r="Z52" s="2398"/>
      <c r="AA52" s="2398"/>
      <c r="AB52" s="2398"/>
    </row>
    <row r="53" spans="1:64">
      <c r="A53" s="1587"/>
      <c r="B53" s="2010"/>
      <c r="D53" s="4374"/>
      <c r="E53" s="4374"/>
      <c r="F53" s="4374"/>
      <c r="G53" s="4374"/>
      <c r="H53" s="4374"/>
      <c r="I53" s="4374"/>
      <c r="J53" s="4374"/>
      <c r="K53" s="4374"/>
      <c r="L53" s="4374"/>
      <c r="M53" s="4374"/>
      <c r="N53" s="4374"/>
      <c r="O53" s="4374"/>
      <c r="P53" s="4374"/>
      <c r="Q53" s="4374"/>
      <c r="R53" s="4374"/>
      <c r="S53" s="4374"/>
      <c r="T53" s="4374"/>
      <c r="U53" s="4374"/>
      <c r="V53" s="4374"/>
      <c r="W53" s="4374"/>
      <c r="X53" s="2363"/>
      <c r="Y53" s="2399"/>
      <c r="Z53" s="2398"/>
      <c r="AA53" s="2398"/>
      <c r="AB53" s="2398"/>
    </row>
    <row r="54" spans="1:64">
      <c r="A54" s="1422"/>
      <c r="B54" s="1422"/>
      <c r="D54" s="1422"/>
      <c r="E54" s="1422"/>
      <c r="F54" s="1422"/>
      <c r="G54" s="1422"/>
      <c r="H54" s="1422"/>
      <c r="I54" s="1422"/>
      <c r="J54" s="1422"/>
      <c r="K54" s="1422"/>
      <c r="L54" s="1422"/>
      <c r="M54" s="1422"/>
      <c r="N54" s="1422"/>
      <c r="O54" s="1422"/>
      <c r="P54" s="1422"/>
      <c r="Q54" s="1422"/>
      <c r="R54" s="1422"/>
      <c r="S54" s="1422"/>
      <c r="T54" s="1422"/>
      <c r="U54" s="1422"/>
      <c r="V54" s="1422"/>
      <c r="W54" s="1422"/>
      <c r="Y54" s="2399"/>
      <c r="Z54" s="2398"/>
      <c r="AA54" s="2398"/>
      <c r="AB54" s="2398"/>
    </row>
    <row r="55" spans="1:64" s="2398" customFormat="1" ht="3.75" customHeight="1">
      <c r="A55" s="2766"/>
      <c r="C55" s="2399"/>
      <c r="D55" s="2767"/>
      <c r="E55" s="2399"/>
      <c r="F55" s="2399"/>
      <c r="G55" s="2399"/>
      <c r="H55" s="2399"/>
      <c r="I55" s="2399"/>
      <c r="J55" s="2399"/>
      <c r="K55" s="2399"/>
      <c r="L55" s="2399"/>
      <c r="M55" s="2399"/>
      <c r="N55" s="2399"/>
      <c r="O55" s="2399"/>
      <c r="P55" s="2399"/>
      <c r="Q55" s="2746"/>
      <c r="R55" s="2497"/>
      <c r="S55" s="2399"/>
      <c r="T55" s="2399"/>
      <c r="U55" s="2399"/>
      <c r="V55" s="2399"/>
      <c r="W55" s="2399"/>
      <c r="X55" s="2399"/>
      <c r="Y55" s="2399"/>
      <c r="AF55" s="2399"/>
      <c r="AG55" s="2399"/>
      <c r="BL55" s="2399"/>
    </row>
    <row r="56" spans="1:64">
      <c r="A56" s="1175" t="s">
        <v>1368</v>
      </c>
      <c r="B56" s="102"/>
      <c r="C56" s="2362"/>
      <c r="D56" s="3622" t="s">
        <v>1723</v>
      </c>
      <c r="E56" s="1545"/>
      <c r="F56" s="1545"/>
      <c r="G56" s="1545"/>
      <c r="H56" s="1545"/>
      <c r="I56" s="1545"/>
      <c r="J56" s="1545"/>
      <c r="K56" s="1545"/>
      <c r="L56" s="1545"/>
      <c r="M56" s="1545"/>
      <c r="N56" s="1545"/>
      <c r="O56" s="1545"/>
      <c r="P56" s="1545"/>
      <c r="Q56" s="1545"/>
      <c r="R56" s="1538"/>
      <c r="S56" s="1538"/>
      <c r="T56" s="1538"/>
      <c r="U56" s="1538"/>
      <c r="V56" s="1538"/>
      <c r="W56" s="1538"/>
      <c r="Y56" s="2399"/>
      <c r="Z56" s="2398"/>
      <c r="AA56" s="2398"/>
      <c r="AB56" s="2398"/>
    </row>
    <row r="57" spans="1:64" ht="13.15" customHeight="1">
      <c r="A57" s="1121"/>
      <c r="B57" s="93"/>
      <c r="C57" s="2362"/>
      <c r="D57" s="4274" t="s">
        <v>2516</v>
      </c>
      <c r="E57" s="4274"/>
      <c r="F57" s="4274"/>
      <c r="G57" s="4274"/>
      <c r="H57" s="4274"/>
      <c r="I57" s="4274"/>
      <c r="J57" s="4274"/>
      <c r="K57" s="4274"/>
      <c r="L57" s="4274"/>
      <c r="M57" s="4274"/>
      <c r="N57" s="4274"/>
      <c r="O57" s="4274"/>
      <c r="P57" s="4274"/>
      <c r="Q57" s="4274"/>
      <c r="R57" s="92"/>
      <c r="S57" s="1934" t="s">
        <v>2517</v>
      </c>
      <c r="T57" s="1545" t="s">
        <v>1502</v>
      </c>
      <c r="U57" s="92"/>
      <c r="V57" s="1539"/>
      <c r="W57" s="1539"/>
      <c r="Y57" s="2399"/>
      <c r="Z57" s="2398"/>
      <c r="AA57" s="2398"/>
      <c r="AB57" s="2398"/>
    </row>
    <row r="58" spans="1:64">
      <c r="A58" s="1121"/>
      <c r="B58" s="93"/>
      <c r="C58" s="2362"/>
      <c r="D58" s="4274"/>
      <c r="E58" s="4274"/>
      <c r="F58" s="4274"/>
      <c r="G58" s="4274"/>
      <c r="H58" s="4274"/>
      <c r="I58" s="4274"/>
      <c r="J58" s="4274"/>
      <c r="K58" s="4274"/>
      <c r="L58" s="4274"/>
      <c r="M58" s="4274"/>
      <c r="N58" s="4274"/>
      <c r="O58" s="4274"/>
      <c r="P58" s="4274"/>
      <c r="Q58" s="4274"/>
      <c r="R58" s="1539"/>
      <c r="S58" s="1934" t="s">
        <v>2518</v>
      </c>
      <c r="T58" s="1545" t="s">
        <v>1503</v>
      </c>
      <c r="U58" s="92"/>
      <c r="V58" s="1539"/>
      <c r="W58" s="1539"/>
      <c r="Y58" s="2399"/>
      <c r="Z58" s="2398"/>
      <c r="AA58" s="2398"/>
      <c r="AB58" s="2398"/>
    </row>
    <row r="59" spans="1:64">
      <c r="A59" s="1121"/>
      <c r="B59" s="93"/>
      <c r="C59" s="2362"/>
      <c r="D59" s="1545" t="s">
        <v>1837</v>
      </c>
      <c r="E59" s="1988"/>
      <c r="F59" s="1988"/>
      <c r="G59" s="1988"/>
      <c r="H59" s="1988"/>
      <c r="I59" s="1988"/>
      <c r="J59" s="1988"/>
      <c r="K59" s="1988"/>
      <c r="L59" s="1988"/>
      <c r="M59" s="1988"/>
      <c r="N59" s="1988"/>
      <c r="O59" s="1988"/>
      <c r="P59" s="1988"/>
      <c r="Q59" s="1545"/>
      <c r="R59" s="1455"/>
      <c r="S59" s="1934" t="s">
        <v>2519</v>
      </c>
      <c r="T59" s="1545" t="s">
        <v>1504</v>
      </c>
      <c r="U59" s="92"/>
      <c r="V59" s="1455"/>
      <c r="W59" s="1455"/>
      <c r="Y59" s="2399"/>
      <c r="Z59" s="2398"/>
      <c r="AA59" s="2398"/>
      <c r="AB59" s="2398"/>
    </row>
    <row r="60" spans="1:64">
      <c r="A60" s="1121"/>
      <c r="B60" s="93"/>
      <c r="C60" s="2362"/>
      <c r="D60" s="92"/>
      <c r="E60" s="1539"/>
      <c r="F60" s="1539"/>
      <c r="G60" s="1539"/>
      <c r="H60" s="1539"/>
      <c r="I60" s="1539"/>
      <c r="J60" s="1539"/>
      <c r="K60" s="1539"/>
      <c r="L60" s="1539"/>
      <c r="M60" s="1539"/>
      <c r="N60" s="1539"/>
      <c r="O60" s="1539"/>
      <c r="P60" s="1539"/>
      <c r="Q60" s="1455"/>
      <c r="R60" s="1455"/>
      <c r="S60" s="1455"/>
      <c r="T60" s="92"/>
      <c r="U60" s="92"/>
      <c r="V60" s="1455"/>
      <c r="W60" s="1455"/>
      <c r="Y60" s="2399"/>
      <c r="Z60" s="2398"/>
      <c r="AA60" s="2398"/>
      <c r="AB60" s="2398"/>
    </row>
    <row r="61" spans="1:64">
      <c r="A61" s="1121"/>
      <c r="B61" s="93"/>
      <c r="C61" s="2362"/>
      <c r="D61" s="1545" t="s">
        <v>2520</v>
      </c>
      <c r="E61" s="1988"/>
      <c r="F61" s="1988"/>
      <c r="G61" s="1988"/>
      <c r="H61" s="1988"/>
      <c r="I61" s="1988"/>
      <c r="J61" s="1988"/>
      <c r="K61" s="1988"/>
      <c r="L61" s="1988"/>
      <c r="M61" s="1988"/>
      <c r="N61" s="1988"/>
      <c r="O61" s="1988"/>
      <c r="P61" s="1988"/>
      <c r="Q61" s="1988"/>
      <c r="R61" s="1988"/>
      <c r="S61" s="1988"/>
      <c r="T61" s="1988"/>
      <c r="U61" s="1988"/>
      <c r="V61" s="1988"/>
      <c r="W61" s="1988"/>
      <c r="Y61" s="2399"/>
      <c r="Z61" s="2398"/>
      <c r="AA61" s="2398"/>
      <c r="AB61" s="2398"/>
    </row>
    <row r="62" spans="1:64">
      <c r="A62" s="1121"/>
      <c r="B62" s="93"/>
      <c r="C62" s="2362"/>
      <c r="D62" s="4318" t="s">
        <v>1327</v>
      </c>
      <c r="E62" s="4318"/>
      <c r="F62" s="4318"/>
      <c r="G62" s="4318"/>
      <c r="H62" s="4318"/>
      <c r="I62" s="4318"/>
      <c r="J62" s="4318"/>
      <c r="K62" s="4318"/>
      <c r="L62" s="4318"/>
      <c r="M62" s="4318"/>
      <c r="N62" s="4318"/>
      <c r="O62" s="4318"/>
      <c r="P62" s="4318"/>
      <c r="Q62" s="4318"/>
      <c r="R62" s="4318"/>
      <c r="S62" s="4318"/>
      <c r="T62" s="4318"/>
      <c r="U62" s="4318"/>
      <c r="V62" s="4318"/>
      <c r="W62" s="4318"/>
      <c r="Y62" s="2399"/>
      <c r="Z62" s="2398"/>
      <c r="AA62" s="2398"/>
      <c r="AB62" s="2398"/>
    </row>
    <row r="63" spans="1:64">
      <c r="A63" s="1121"/>
      <c r="B63" s="93"/>
      <c r="C63" s="2362"/>
      <c r="D63" s="4318"/>
      <c r="E63" s="4318"/>
      <c r="F63" s="4318"/>
      <c r="G63" s="4318"/>
      <c r="H63" s="4318"/>
      <c r="I63" s="4318"/>
      <c r="J63" s="4318"/>
      <c r="K63" s="4318"/>
      <c r="L63" s="4318"/>
      <c r="M63" s="4318"/>
      <c r="N63" s="4318"/>
      <c r="O63" s="4318"/>
      <c r="P63" s="4318"/>
      <c r="Q63" s="4318"/>
      <c r="R63" s="4318"/>
      <c r="S63" s="4318"/>
      <c r="T63" s="4318"/>
      <c r="U63" s="4318"/>
      <c r="V63" s="4318"/>
      <c r="W63" s="4318"/>
      <c r="Y63" s="108"/>
      <c r="Z63" s="92"/>
      <c r="AA63" s="92"/>
      <c r="AB63" s="92"/>
    </row>
    <row r="64" spans="1:64">
      <c r="A64" s="1121"/>
      <c r="B64" s="93"/>
      <c r="C64" s="2362"/>
      <c r="D64" s="4318" t="s">
        <v>1376</v>
      </c>
      <c r="E64" s="4318"/>
      <c r="F64" s="4318"/>
      <c r="G64" s="4318"/>
      <c r="H64" s="4318"/>
      <c r="I64" s="4318"/>
      <c r="J64" s="4318"/>
      <c r="K64" s="4318"/>
      <c r="L64" s="4318"/>
      <c r="M64" s="4318"/>
      <c r="N64" s="4318"/>
      <c r="O64" s="4318"/>
      <c r="P64" s="4318"/>
      <c r="Q64" s="4318"/>
      <c r="R64" s="4318"/>
      <c r="S64" s="4318"/>
      <c r="T64" s="4318"/>
      <c r="U64" s="4318"/>
      <c r="V64" s="4318"/>
      <c r="W64" s="4318"/>
      <c r="Y64" s="3628" t="s">
        <v>1295</v>
      </c>
      <c r="Z64" s="92"/>
      <c r="AA64" s="92"/>
      <c r="AB64" s="92"/>
    </row>
    <row r="65" spans="1:28">
      <c r="A65" s="1121"/>
      <c r="B65" s="93"/>
      <c r="C65" s="2362"/>
      <c r="D65" s="4318"/>
      <c r="E65" s="4318"/>
      <c r="F65" s="4318"/>
      <c r="G65" s="4318"/>
      <c r="H65" s="4318"/>
      <c r="I65" s="4318"/>
      <c r="J65" s="4318"/>
      <c r="K65" s="4318"/>
      <c r="L65" s="4318"/>
      <c r="M65" s="4318"/>
      <c r="N65" s="4318"/>
      <c r="O65" s="4318"/>
      <c r="P65" s="4318"/>
      <c r="Q65" s="4318"/>
      <c r="R65" s="4318"/>
      <c r="S65" s="4318"/>
      <c r="T65" s="4318"/>
      <c r="U65" s="4318"/>
      <c r="V65" s="4318"/>
      <c r="W65" s="4318"/>
      <c r="Y65" s="3616" t="s">
        <v>1865</v>
      </c>
      <c r="Z65" s="92"/>
      <c r="AA65" s="92"/>
      <c r="AB65" s="92"/>
    </row>
    <row r="66" spans="1:28">
      <c r="A66" s="1121"/>
      <c r="B66" s="93"/>
      <c r="C66" s="2362"/>
      <c r="D66" s="1545" t="s">
        <v>1328</v>
      </c>
      <c r="E66" s="3312"/>
      <c r="F66" s="3312"/>
      <c r="G66" s="3312"/>
      <c r="H66" s="3312"/>
      <c r="I66" s="3312"/>
      <c r="J66" s="3312"/>
      <c r="K66" s="3312"/>
      <c r="L66" s="3312"/>
      <c r="M66" s="3312"/>
      <c r="N66" s="3312"/>
      <c r="O66" s="3312"/>
      <c r="P66" s="3312"/>
      <c r="Q66" s="3312"/>
      <c r="R66" s="3312"/>
      <c r="S66" s="3312"/>
      <c r="T66" s="3312"/>
      <c r="U66" s="3312"/>
      <c r="V66" s="3312"/>
      <c r="W66" s="3312"/>
      <c r="Y66" s="108"/>
      <c r="Z66" s="92"/>
      <c r="AA66" s="92"/>
      <c r="AB66" s="92"/>
    </row>
    <row r="67" spans="1:28">
      <c r="A67" s="1121"/>
      <c r="B67" s="93"/>
      <c r="C67" s="2362"/>
      <c r="D67" s="1545" t="s">
        <v>1291</v>
      </c>
      <c r="E67" s="3312"/>
      <c r="F67" s="3312"/>
      <c r="G67" s="3312"/>
      <c r="H67" s="3312"/>
      <c r="I67" s="3312"/>
      <c r="J67" s="3312"/>
      <c r="K67" s="3312"/>
      <c r="L67" s="3312"/>
      <c r="M67" s="3312"/>
      <c r="N67" s="3312"/>
      <c r="O67" s="3312"/>
      <c r="P67" s="3312"/>
      <c r="Q67" s="3312"/>
      <c r="R67" s="3312"/>
      <c r="S67" s="3312"/>
      <c r="T67" s="3312"/>
      <c r="U67" s="3312"/>
      <c r="V67" s="3312"/>
      <c r="W67" s="3312"/>
      <c r="Y67" s="2399"/>
      <c r="Z67" s="2398"/>
      <c r="AA67" s="2398"/>
      <c r="AB67" s="2398"/>
    </row>
    <row r="68" spans="1:28">
      <c r="A68" s="1121"/>
      <c r="B68" s="93"/>
      <c r="C68" s="2362"/>
      <c r="D68" s="1455"/>
      <c r="E68" s="92"/>
      <c r="F68" s="92"/>
      <c r="G68" s="92"/>
      <c r="H68" s="92"/>
      <c r="I68" s="92"/>
      <c r="J68" s="92"/>
      <c r="K68" s="92"/>
      <c r="L68" s="92"/>
      <c r="M68" s="92"/>
      <c r="N68" s="92"/>
      <c r="O68" s="92"/>
      <c r="P68" s="92"/>
      <c r="Q68" s="92"/>
      <c r="R68" s="92"/>
      <c r="S68" s="92"/>
      <c r="T68" s="92"/>
      <c r="U68" s="92"/>
      <c r="V68" s="92"/>
      <c r="W68" s="92"/>
      <c r="Y68" s="2399"/>
      <c r="Z68" s="2398"/>
      <c r="AA68" s="2398"/>
      <c r="AB68" s="2398"/>
    </row>
    <row r="69" spans="1:28">
      <c r="A69" s="1121"/>
      <c r="B69" s="93"/>
      <c r="C69" s="2362"/>
      <c r="D69" s="3622" t="s">
        <v>1724</v>
      </c>
      <c r="E69" s="92"/>
      <c r="F69" s="92"/>
      <c r="G69" s="92"/>
      <c r="H69" s="92"/>
      <c r="I69" s="92"/>
      <c r="J69" s="92"/>
      <c r="K69" s="92"/>
      <c r="L69" s="92"/>
      <c r="M69" s="92"/>
      <c r="N69" s="92"/>
      <c r="O69" s="92"/>
      <c r="P69" s="92"/>
      <c r="Q69" s="93" t="s">
        <v>1727</v>
      </c>
      <c r="R69" s="1563"/>
      <c r="S69" s="1202"/>
      <c r="T69" s="1202"/>
      <c r="U69" s="1202"/>
      <c r="V69" s="1202"/>
      <c r="W69" s="1202"/>
      <c r="Y69" s="2399"/>
      <c r="Z69" s="2398"/>
      <c r="AA69" s="2398"/>
      <c r="AB69" s="2398"/>
    </row>
    <row r="70" spans="1:28" ht="13.15" customHeight="1">
      <c r="A70" s="1121"/>
      <c r="B70" s="93"/>
      <c r="C70" s="2362"/>
      <c r="D70" s="1545" t="s">
        <v>2521</v>
      </c>
      <c r="E70" s="92"/>
      <c r="F70" s="92"/>
      <c r="G70" s="92"/>
      <c r="H70" s="92"/>
      <c r="I70" s="92"/>
      <c r="J70" s="92"/>
      <c r="K70" s="92"/>
      <c r="L70" s="92"/>
      <c r="M70" s="92"/>
      <c r="N70" s="92"/>
      <c r="O70" s="92"/>
      <c r="P70" s="92"/>
      <c r="Q70" s="4375" t="s">
        <v>1306</v>
      </c>
      <c r="R70" s="4375"/>
      <c r="S70" s="4375"/>
      <c r="T70" s="4375"/>
      <c r="U70" s="4375"/>
      <c r="V70" s="4375"/>
      <c r="W70" s="4375"/>
      <c r="Y70" s="2399"/>
      <c r="Z70" s="2398"/>
      <c r="AA70" s="2398"/>
      <c r="AB70" s="2398"/>
    </row>
    <row r="71" spans="1:28" ht="13.15" customHeight="1">
      <c r="A71" s="1121"/>
      <c r="B71" s="93"/>
      <c r="C71" s="2362"/>
      <c r="D71" s="1545" t="s">
        <v>1866</v>
      </c>
      <c r="E71" s="92"/>
      <c r="F71" s="92"/>
      <c r="G71" s="92"/>
      <c r="H71" s="92"/>
      <c r="I71" s="92"/>
      <c r="J71" s="92"/>
      <c r="K71" s="92"/>
      <c r="L71" s="92"/>
      <c r="M71" s="92"/>
      <c r="N71" s="92"/>
      <c r="O71" s="92"/>
      <c r="P71" s="92"/>
      <c r="Q71" s="4375"/>
      <c r="R71" s="4375"/>
      <c r="S71" s="4375"/>
      <c r="T71" s="4375"/>
      <c r="U71" s="4375"/>
      <c r="V71" s="4375"/>
      <c r="W71" s="4375"/>
      <c r="Y71" s="2399"/>
      <c r="Z71" s="2398"/>
      <c r="AA71" s="2398"/>
      <c r="AB71" s="2398"/>
    </row>
    <row r="72" spans="1:28">
      <c r="A72" s="1121"/>
      <c r="B72" s="93"/>
      <c r="C72" s="2362"/>
      <c r="D72" s="3623" t="s">
        <v>1725</v>
      </c>
      <c r="E72" s="92"/>
      <c r="F72" s="92"/>
      <c r="G72" s="92"/>
      <c r="H72" s="92"/>
      <c r="I72" s="92"/>
      <c r="J72" s="92"/>
      <c r="K72" s="92"/>
      <c r="L72" s="92"/>
      <c r="M72" s="92"/>
      <c r="N72" s="92"/>
      <c r="O72" s="92"/>
      <c r="P72" s="92"/>
      <c r="Q72" s="4375"/>
      <c r="R72" s="4375"/>
      <c r="S72" s="4375"/>
      <c r="T72" s="4375"/>
      <c r="U72" s="4375"/>
      <c r="V72" s="4375"/>
      <c r="W72" s="4375"/>
      <c r="Y72" s="2399"/>
      <c r="Z72" s="2398"/>
      <c r="AA72" s="2398"/>
      <c r="AB72" s="2398"/>
    </row>
    <row r="73" spans="1:28">
      <c r="A73" s="1121"/>
      <c r="B73" s="93"/>
      <c r="C73" s="2362"/>
      <c r="D73" s="3623" t="s">
        <v>1726</v>
      </c>
      <c r="E73" s="92"/>
      <c r="F73" s="92"/>
      <c r="G73" s="92"/>
      <c r="H73" s="92"/>
      <c r="I73" s="92"/>
      <c r="J73" s="92"/>
      <c r="K73" s="92"/>
      <c r="L73" s="92"/>
      <c r="M73" s="92"/>
      <c r="N73" s="92"/>
      <c r="O73" s="92"/>
      <c r="P73" s="92"/>
      <c r="Q73" s="4375"/>
      <c r="R73" s="4375"/>
      <c r="S73" s="4375"/>
      <c r="T73" s="4375"/>
      <c r="U73" s="4375"/>
      <c r="V73" s="4375"/>
      <c r="W73" s="4375"/>
      <c r="Y73" s="2776"/>
      <c r="Z73" s="2398"/>
      <c r="AA73" s="2398"/>
      <c r="AB73" s="2398"/>
    </row>
    <row r="74" spans="1:28">
      <c r="A74" s="1121"/>
      <c r="B74" s="93"/>
      <c r="C74" s="2362"/>
      <c r="D74" s="1455"/>
      <c r="E74" s="92"/>
      <c r="F74" s="92"/>
      <c r="G74" s="92"/>
      <c r="H74" s="92"/>
      <c r="I74" s="92"/>
      <c r="J74" s="92"/>
      <c r="K74" s="92"/>
      <c r="L74" s="92"/>
      <c r="M74" s="92"/>
      <c r="N74" s="92"/>
      <c r="O74" s="92"/>
      <c r="P74" s="92"/>
      <c r="Q74" s="1455"/>
      <c r="R74" s="1455"/>
      <c r="S74" s="1455"/>
      <c r="T74" s="1455"/>
      <c r="U74" s="1455"/>
      <c r="V74" s="1455"/>
      <c r="W74" s="1482"/>
      <c r="Y74" s="2399"/>
      <c r="Z74" s="2398"/>
      <c r="AA74" s="2398"/>
      <c r="AB74" s="2398"/>
    </row>
    <row r="75" spans="1:28">
      <c r="A75" s="1121"/>
      <c r="B75" s="93"/>
      <c r="C75" s="2362"/>
      <c r="D75" s="3631" t="s">
        <v>1200</v>
      </c>
      <c r="E75" s="1418"/>
      <c r="F75" s="1418"/>
      <c r="G75" s="3631" t="s">
        <v>97</v>
      </c>
      <c r="H75" s="3631" t="s">
        <v>1201</v>
      </c>
      <c r="I75" s="1454"/>
      <c r="J75" s="3631" t="s">
        <v>1200</v>
      </c>
      <c r="K75" s="3631"/>
      <c r="L75" s="3631"/>
      <c r="M75" s="3631" t="s">
        <v>97</v>
      </c>
      <c r="N75" s="3631" t="s">
        <v>1201</v>
      </c>
      <c r="O75" s="92"/>
      <c r="P75" s="92"/>
      <c r="Q75" s="3407" t="s">
        <v>2522</v>
      </c>
      <c r="R75" s="1202"/>
      <c r="S75" s="1202"/>
      <c r="T75" s="1202"/>
      <c r="U75" s="1202"/>
      <c r="V75" s="1202"/>
      <c r="W75" s="1202"/>
      <c r="Y75" s="2399"/>
      <c r="Z75" s="2398"/>
      <c r="AA75" s="2398"/>
      <c r="AB75" s="2398"/>
    </row>
    <row r="76" spans="1:28" ht="13.15" customHeight="1">
      <c r="A76" s="1121"/>
      <c r="B76" s="93"/>
      <c r="C76" s="2362"/>
      <c r="D76" s="1545" t="s">
        <v>1202</v>
      </c>
      <c r="E76" s="1422"/>
      <c r="F76" s="1422"/>
      <c r="G76" s="1545" t="s">
        <v>307</v>
      </c>
      <c r="H76" s="1545" t="s">
        <v>306</v>
      </c>
      <c r="I76" s="1454"/>
      <c r="J76" s="3634" t="s">
        <v>1207</v>
      </c>
      <c r="K76" s="3635"/>
      <c r="L76" s="3635"/>
      <c r="M76" s="3634" t="s">
        <v>448</v>
      </c>
      <c r="N76" s="3635" t="s">
        <v>330</v>
      </c>
      <c r="O76" s="92"/>
      <c r="P76" s="92"/>
      <c r="Q76" s="4296" t="s">
        <v>1869</v>
      </c>
      <c r="R76" s="4296"/>
      <c r="S76" s="4296"/>
      <c r="T76" s="4296"/>
      <c r="U76" s="4296"/>
      <c r="V76" s="4296"/>
      <c r="W76" s="4296"/>
      <c r="Y76" s="2399"/>
      <c r="Z76" s="2398"/>
      <c r="AA76" s="2398"/>
      <c r="AB76" s="2398"/>
    </row>
    <row r="77" spans="1:28" ht="12.75" customHeight="1">
      <c r="A77" s="1121"/>
      <c r="B77" s="93"/>
      <c r="C77" s="2362"/>
      <c r="D77" s="3632" t="s">
        <v>1203</v>
      </c>
      <c r="E77" s="107"/>
      <c r="F77" s="107"/>
      <c r="G77" s="3632" t="s">
        <v>305</v>
      </c>
      <c r="H77" s="3632" t="s">
        <v>304</v>
      </c>
      <c r="I77" s="1454"/>
      <c r="J77" s="3636" t="s">
        <v>1208</v>
      </c>
      <c r="K77" s="1545"/>
      <c r="L77" s="1545"/>
      <c r="M77" s="3636" t="s">
        <v>118</v>
      </c>
      <c r="N77" s="1545" t="s">
        <v>117</v>
      </c>
      <c r="O77" s="92"/>
      <c r="P77" s="92"/>
      <c r="Q77" s="4296"/>
      <c r="R77" s="4296"/>
      <c r="S77" s="4296"/>
      <c r="T77" s="4296"/>
      <c r="U77" s="4296"/>
      <c r="V77" s="4296"/>
      <c r="W77" s="4296"/>
      <c r="Y77" s="2399"/>
      <c r="Z77" s="2398"/>
      <c r="AA77" s="2398"/>
      <c r="AB77" s="2398"/>
    </row>
    <row r="78" spans="1:28">
      <c r="A78" s="1121"/>
      <c r="B78" s="93"/>
      <c r="C78" s="2362"/>
      <c r="D78" s="1545"/>
      <c r="E78" s="1422"/>
      <c r="F78" s="1422"/>
      <c r="G78" s="1545" t="s">
        <v>1204</v>
      </c>
      <c r="H78" s="1545" t="s">
        <v>308</v>
      </c>
      <c r="I78" s="1454"/>
      <c r="J78" s="3636"/>
      <c r="K78" s="1545"/>
      <c r="L78" s="1545"/>
      <c r="M78" s="3636" t="s">
        <v>328</v>
      </c>
      <c r="N78" s="1545" t="s">
        <v>329</v>
      </c>
      <c r="O78" s="92"/>
      <c r="P78" s="92"/>
      <c r="Q78" s="4296"/>
      <c r="R78" s="4296"/>
      <c r="S78" s="4296"/>
      <c r="T78" s="4296"/>
      <c r="U78" s="4296"/>
      <c r="V78" s="4296"/>
      <c r="W78" s="4296"/>
      <c r="Y78" s="2399"/>
      <c r="Z78" s="2398"/>
      <c r="AA78" s="2398"/>
      <c r="AB78" s="2398"/>
    </row>
    <row r="79" spans="1:28" ht="13.15" customHeight="1">
      <c r="A79" s="1121"/>
      <c r="B79" s="93"/>
      <c r="C79" s="2362"/>
      <c r="D79" s="1693"/>
      <c r="E79" s="1383"/>
      <c r="F79" s="1383"/>
      <c r="G79" s="1693" t="s">
        <v>309</v>
      </c>
      <c r="H79" s="1693" t="s">
        <v>310</v>
      </c>
      <c r="I79" s="1454"/>
      <c r="J79" s="3636" t="s">
        <v>1209</v>
      </c>
      <c r="K79" s="1545"/>
      <c r="L79" s="1545"/>
      <c r="M79" s="3636" t="s">
        <v>123</v>
      </c>
      <c r="N79" s="1545" t="s">
        <v>109</v>
      </c>
      <c r="O79" s="92"/>
      <c r="P79" s="92"/>
      <c r="Q79" s="4296"/>
      <c r="R79" s="4296"/>
      <c r="S79" s="4296"/>
      <c r="T79" s="4296"/>
      <c r="U79" s="4296"/>
      <c r="V79" s="4296"/>
      <c r="W79" s="4296"/>
      <c r="Y79" s="108"/>
      <c r="Z79" s="92"/>
      <c r="AA79" s="92"/>
      <c r="AB79" s="92"/>
    </row>
    <row r="80" spans="1:28" ht="13.15" customHeight="1">
      <c r="A80" s="1121"/>
      <c r="B80" s="93"/>
      <c r="C80" s="2362"/>
      <c r="D80" s="1545" t="s">
        <v>1205</v>
      </c>
      <c r="E80" s="1422"/>
      <c r="F80" s="1422"/>
      <c r="G80" s="1545" t="s">
        <v>104</v>
      </c>
      <c r="H80" s="1545" t="s">
        <v>105</v>
      </c>
      <c r="I80" s="1454"/>
      <c r="J80" s="3636"/>
      <c r="K80" s="1545"/>
      <c r="L80" s="1545"/>
      <c r="M80" s="3636" t="s">
        <v>1210</v>
      </c>
      <c r="N80" s="1545" t="s">
        <v>331</v>
      </c>
      <c r="O80" s="92"/>
      <c r="P80" s="92"/>
      <c r="Q80" s="4296" t="s">
        <v>1867</v>
      </c>
      <c r="R80" s="4296"/>
      <c r="S80" s="4296"/>
      <c r="T80" s="4296"/>
      <c r="U80" s="4296"/>
      <c r="V80" s="4296"/>
      <c r="W80" s="4296"/>
      <c r="Y80" s="4261" t="s">
        <v>1870</v>
      </c>
      <c r="Z80" s="4261"/>
      <c r="AA80" s="4261"/>
      <c r="AB80" s="4261"/>
    </row>
    <row r="81" spans="1:64">
      <c r="A81" s="1121"/>
      <c r="B81" s="93"/>
      <c r="C81" s="2362"/>
      <c r="D81" s="1545"/>
      <c r="E81" s="1422"/>
      <c r="F81" s="1422"/>
      <c r="G81" s="1545" t="s">
        <v>119</v>
      </c>
      <c r="H81" s="1545" t="s">
        <v>67</v>
      </c>
      <c r="I81" s="1454"/>
      <c r="J81" s="3636"/>
      <c r="K81" s="1545"/>
      <c r="L81" s="1545"/>
      <c r="M81" s="3636" t="s">
        <v>1211</v>
      </c>
      <c r="N81" s="1545" t="s">
        <v>112</v>
      </c>
      <c r="O81" s="92"/>
      <c r="P81" s="1541"/>
      <c r="Q81" s="4296"/>
      <c r="R81" s="4296"/>
      <c r="S81" s="4296"/>
      <c r="T81" s="4296"/>
      <c r="U81" s="4296"/>
      <c r="V81" s="4296"/>
      <c r="W81" s="4296"/>
      <c r="Y81" s="4261"/>
      <c r="Z81" s="4261"/>
      <c r="AA81" s="4261"/>
      <c r="AB81" s="4261"/>
    </row>
    <row r="82" spans="1:64">
      <c r="A82" s="1121"/>
      <c r="B82" s="93"/>
      <c r="C82" s="2362"/>
      <c r="D82" s="1545"/>
      <c r="E82" s="1422"/>
      <c r="F82" s="1422"/>
      <c r="G82" s="1545" t="s">
        <v>116</v>
      </c>
      <c r="H82" s="1545" t="s">
        <v>68</v>
      </c>
      <c r="I82" s="1454"/>
      <c r="J82" s="3637" t="s">
        <v>1212</v>
      </c>
      <c r="K82" s="3638"/>
      <c r="L82" s="3638"/>
      <c r="M82" s="3637" t="s">
        <v>110</v>
      </c>
      <c r="N82" s="3638" t="s">
        <v>111</v>
      </c>
      <c r="O82" s="92"/>
      <c r="P82" s="1541"/>
      <c r="Q82" s="4274" t="s">
        <v>1868</v>
      </c>
      <c r="R82" s="4274"/>
      <c r="S82" s="4274"/>
      <c r="T82" s="4274"/>
      <c r="U82" s="4274"/>
      <c r="V82" s="4274"/>
      <c r="W82" s="4274"/>
      <c r="Y82" s="4261"/>
      <c r="Z82" s="4261"/>
      <c r="AA82" s="4261"/>
      <c r="AB82" s="4261"/>
    </row>
    <row r="83" spans="1:64">
      <c r="A83" s="1121"/>
      <c r="B83" s="93"/>
      <c r="C83" s="2362"/>
      <c r="D83" s="3632" t="s">
        <v>1206</v>
      </c>
      <c r="E83" s="107"/>
      <c r="F83" s="107"/>
      <c r="G83" s="3632" t="s">
        <v>107</v>
      </c>
      <c r="H83" s="3632" t="s">
        <v>69</v>
      </c>
      <c r="I83" s="1454"/>
      <c r="J83" s="3637" t="s">
        <v>1213</v>
      </c>
      <c r="K83" s="3638"/>
      <c r="L83" s="3638"/>
      <c r="M83" s="3637" t="s">
        <v>333</v>
      </c>
      <c r="N83" s="3638" t="s">
        <v>332</v>
      </c>
      <c r="O83" s="92"/>
      <c r="P83" s="92"/>
      <c r="Q83" s="4274"/>
      <c r="R83" s="4274"/>
      <c r="S83" s="4274"/>
      <c r="T83" s="4274"/>
      <c r="U83" s="4274"/>
      <c r="V83" s="4274"/>
      <c r="W83" s="4274"/>
      <c r="Y83" s="4261"/>
      <c r="Z83" s="4261"/>
      <c r="AA83" s="4261"/>
      <c r="AB83" s="4261"/>
    </row>
    <row r="84" spans="1:64" ht="12.75" customHeight="1">
      <c r="A84" s="1121"/>
      <c r="B84" s="93"/>
      <c r="C84" s="2362"/>
      <c r="D84" s="1545"/>
      <c r="E84" s="1422"/>
      <c r="F84" s="1422"/>
      <c r="G84" s="1545" t="s">
        <v>113</v>
      </c>
      <c r="H84" s="1545" t="s">
        <v>70</v>
      </c>
      <c r="I84" s="1454"/>
      <c r="J84" s="3636"/>
      <c r="K84" s="1545"/>
      <c r="L84" s="1545"/>
      <c r="M84" s="3636" t="s">
        <v>334</v>
      </c>
      <c r="N84" s="1545" t="s">
        <v>327</v>
      </c>
      <c r="O84" s="92"/>
      <c r="P84" s="92"/>
      <c r="Q84" s="4376" t="s">
        <v>1377</v>
      </c>
      <c r="R84" s="4376"/>
      <c r="S84" s="4376"/>
      <c r="T84" s="4376"/>
      <c r="U84" s="4376"/>
      <c r="V84" s="4376"/>
      <c r="W84" s="4376"/>
      <c r="Y84" s="3629"/>
      <c r="Z84" s="3629"/>
      <c r="AA84" s="3629"/>
      <c r="AB84" s="3629"/>
    </row>
    <row r="85" spans="1:64">
      <c r="A85" s="1121"/>
      <c r="B85" s="93"/>
      <c r="C85" s="2362"/>
      <c r="D85" s="3633"/>
      <c r="E85" s="90"/>
      <c r="F85" s="90"/>
      <c r="G85" s="3633" t="s">
        <v>122</v>
      </c>
      <c r="H85" s="3633" t="s">
        <v>71</v>
      </c>
      <c r="I85" s="1454"/>
      <c r="J85" s="3639" t="s">
        <v>1214</v>
      </c>
      <c r="K85" s="3640"/>
      <c r="L85" s="3640"/>
      <c r="M85" s="3639" t="s">
        <v>335</v>
      </c>
      <c r="N85" s="3640" t="s">
        <v>1215</v>
      </c>
      <c r="O85" s="92"/>
      <c r="P85" s="92"/>
      <c r="Q85" s="4376"/>
      <c r="R85" s="4376"/>
      <c r="S85" s="4376"/>
      <c r="T85" s="4376"/>
      <c r="U85" s="4376"/>
      <c r="V85" s="4376"/>
      <c r="W85" s="4376"/>
      <c r="Y85" s="3630" t="s">
        <v>1367</v>
      </c>
      <c r="Z85" s="3312"/>
      <c r="AA85" s="3312"/>
      <c r="AB85" s="3312"/>
    </row>
    <row r="86" spans="1:64" ht="12.75" customHeight="1">
      <c r="A86" s="1121"/>
      <c r="B86" s="93"/>
      <c r="C86" s="2362"/>
      <c r="D86" s="1545" t="s">
        <v>1249</v>
      </c>
      <c r="E86" s="1454"/>
      <c r="F86" s="1454"/>
      <c r="G86" s="1454"/>
      <c r="H86" s="1456" t="s">
        <v>1248</v>
      </c>
      <c r="I86" s="1454"/>
      <c r="J86" s="3639" t="s">
        <v>1216</v>
      </c>
      <c r="K86" s="3640"/>
      <c r="L86" s="3640"/>
      <c r="M86" s="3639" t="s">
        <v>325</v>
      </c>
      <c r="N86" s="3640" t="s">
        <v>1215</v>
      </c>
      <c r="O86" s="92"/>
      <c r="P86" s="92"/>
      <c r="Q86" s="2376"/>
      <c r="R86" s="2376"/>
      <c r="S86" s="2376"/>
      <c r="T86" s="2376"/>
      <c r="U86" s="2376"/>
      <c r="V86" s="2376"/>
      <c r="W86" s="2376"/>
      <c r="Y86" s="92"/>
      <c r="Z86" s="92"/>
      <c r="AA86" s="92"/>
      <c r="AB86" s="92"/>
    </row>
    <row r="87" spans="1:64">
      <c r="A87" s="1121"/>
      <c r="B87" s="93"/>
      <c r="C87" s="2362"/>
      <c r="D87" s="1454"/>
      <c r="E87" s="1454"/>
      <c r="F87" s="1454"/>
      <c r="G87" s="1454"/>
      <c r="H87" s="1454"/>
      <c r="I87" s="1454"/>
      <c r="J87" s="1454"/>
      <c r="K87" s="1454"/>
      <c r="L87" s="1422"/>
      <c r="M87" s="1422"/>
      <c r="N87" s="1422"/>
      <c r="O87" s="92"/>
      <c r="P87" s="92"/>
      <c r="Q87" s="92"/>
      <c r="R87" s="92"/>
      <c r="S87" s="92"/>
      <c r="T87" s="92"/>
      <c r="U87" s="92"/>
      <c r="V87" s="92"/>
      <c r="W87" s="92"/>
      <c r="Y87" s="2399"/>
      <c r="Z87" s="2398"/>
      <c r="AA87" s="2398"/>
      <c r="AB87" s="2398"/>
    </row>
    <row r="88" spans="1:64" s="2398" customFormat="1" ht="3.75" customHeight="1">
      <c r="A88" s="2766"/>
      <c r="C88" s="2399"/>
      <c r="D88" s="2767"/>
      <c r="E88" s="2399"/>
      <c r="F88" s="2399"/>
      <c r="G88" s="2399"/>
      <c r="H88" s="2399"/>
      <c r="I88" s="2399"/>
      <c r="J88" s="2399"/>
      <c r="K88" s="2399"/>
      <c r="L88" s="2399"/>
      <c r="M88" s="2399"/>
      <c r="N88" s="2399"/>
      <c r="O88" s="2399"/>
      <c r="P88" s="2399"/>
      <c r="Q88" s="2746"/>
      <c r="R88" s="2497"/>
      <c r="S88" s="2399"/>
      <c r="T88" s="2399"/>
      <c r="U88" s="2399"/>
      <c r="V88" s="2399"/>
      <c r="W88" s="2399"/>
      <c r="X88" s="2399"/>
      <c r="Y88" s="2399"/>
      <c r="AF88" s="2399"/>
      <c r="AG88" s="2399"/>
      <c r="BL88" s="2399"/>
    </row>
    <row r="89" spans="1:64">
      <c r="A89" s="1175" t="s">
        <v>1219</v>
      </c>
      <c r="B89" s="102"/>
      <c r="C89" s="2362"/>
      <c r="D89" s="1545" t="s">
        <v>1728</v>
      </c>
      <c r="E89" s="1422"/>
      <c r="F89" s="1422"/>
      <c r="G89" s="1422"/>
      <c r="H89" s="1422"/>
      <c r="I89" s="1422"/>
      <c r="J89" s="1422"/>
      <c r="K89" s="1422"/>
      <c r="L89" s="1422"/>
      <c r="M89" s="1422"/>
      <c r="N89" s="1422"/>
      <c r="O89" s="1422"/>
      <c r="P89" s="1422"/>
      <c r="Q89" s="1422"/>
      <c r="R89" s="1422"/>
      <c r="S89" s="1422"/>
      <c r="T89" s="1422"/>
      <c r="U89" s="1422"/>
      <c r="V89" s="1422"/>
      <c r="W89" s="1422"/>
      <c r="Y89" s="2399"/>
      <c r="Z89" s="2398"/>
      <c r="AA89" s="2398"/>
      <c r="AB89" s="2398"/>
    </row>
    <row r="90" spans="1:64">
      <c r="A90" s="1121"/>
      <c r="B90" s="93"/>
      <c r="C90" s="2362"/>
      <c r="D90" s="3312" t="s">
        <v>2523</v>
      </c>
      <c r="E90" s="1457" t="s">
        <v>1729</v>
      </c>
      <c r="F90" s="92"/>
      <c r="G90" s="92"/>
      <c r="H90" s="92"/>
      <c r="I90" s="92"/>
      <c r="J90" s="92"/>
      <c r="K90" s="92"/>
      <c r="L90" s="92"/>
      <c r="M90" s="92"/>
      <c r="N90" s="92"/>
      <c r="O90" s="92"/>
      <c r="P90" s="92"/>
      <c r="Q90" s="92"/>
      <c r="R90" s="92"/>
      <c r="S90" s="92"/>
      <c r="T90" s="92"/>
      <c r="U90" s="92"/>
      <c r="V90" s="92"/>
      <c r="W90" s="92"/>
      <c r="Y90" s="2399"/>
      <c r="Z90" s="2398"/>
      <c r="AA90" s="2398"/>
      <c r="AB90" s="2398"/>
    </row>
    <row r="91" spans="1:64">
      <c r="A91" s="1121"/>
      <c r="B91" s="93"/>
      <c r="C91" s="2362"/>
      <c r="D91" s="92"/>
      <c r="E91" s="4372" t="s">
        <v>1730</v>
      </c>
      <c r="F91" s="4319"/>
      <c r="G91" s="4319"/>
      <c r="H91" s="4319"/>
      <c r="I91" s="4319"/>
      <c r="J91" s="4319"/>
      <c r="K91" s="4319"/>
      <c r="L91" s="4319"/>
      <c r="M91" s="4319"/>
      <c r="N91" s="4319"/>
      <c r="O91" s="4319"/>
      <c r="P91" s="92"/>
      <c r="Q91" s="92"/>
      <c r="R91" s="92"/>
      <c r="S91" s="92"/>
      <c r="T91" s="92"/>
      <c r="U91" s="92"/>
      <c r="V91" s="92"/>
      <c r="W91" s="92"/>
      <c r="Y91" s="2399"/>
      <c r="Z91" s="2398"/>
      <c r="AA91" s="2398"/>
      <c r="AB91" s="2398"/>
    </row>
    <row r="92" spans="1:64">
      <c r="A92" s="1121"/>
      <c r="B92" s="93"/>
      <c r="C92" s="2362"/>
      <c r="D92" s="92"/>
      <c r="E92" s="4319"/>
      <c r="F92" s="4319"/>
      <c r="G92" s="4319"/>
      <c r="H92" s="4319"/>
      <c r="I92" s="4319"/>
      <c r="J92" s="4319"/>
      <c r="K92" s="4319"/>
      <c r="L92" s="4319"/>
      <c r="M92" s="4319"/>
      <c r="N92" s="4319"/>
      <c r="O92" s="4319"/>
      <c r="P92" s="92"/>
      <c r="Q92" s="92"/>
      <c r="R92" s="1422"/>
      <c r="S92" s="1422"/>
      <c r="T92" s="1422"/>
      <c r="U92" s="92"/>
      <c r="V92" s="92"/>
      <c r="W92" s="92"/>
      <c r="Y92" s="108"/>
      <c r="Z92" s="92"/>
      <c r="AA92" s="92"/>
      <c r="AB92" s="92"/>
    </row>
    <row r="93" spans="1:64">
      <c r="A93" s="1121"/>
      <c r="B93" s="93"/>
      <c r="C93" s="2362"/>
      <c r="D93" s="92"/>
      <c r="E93" s="131" t="s">
        <v>1731</v>
      </c>
      <c r="F93" s="92"/>
      <c r="G93" s="92"/>
      <c r="H93" s="92"/>
      <c r="I93" s="92"/>
      <c r="J93" s="92"/>
      <c r="K93" s="92"/>
      <c r="L93" s="92"/>
      <c r="M93" s="92"/>
      <c r="N93" s="92"/>
      <c r="O93" s="92"/>
      <c r="P93" s="92"/>
      <c r="Q93" s="3407" t="s">
        <v>2524</v>
      </c>
      <c r="R93" s="92"/>
      <c r="S93" s="92"/>
      <c r="T93" s="92"/>
      <c r="U93" s="92"/>
      <c r="V93" s="92"/>
      <c r="W93" s="92"/>
      <c r="Y93" s="3641" t="s">
        <v>323</v>
      </c>
      <c r="Z93" s="92"/>
      <c r="AA93" s="92"/>
      <c r="AB93" s="92"/>
    </row>
    <row r="94" spans="1:64">
      <c r="A94" s="1458"/>
      <c r="B94" s="1458"/>
      <c r="C94" s="2346"/>
      <c r="D94" s="1423"/>
      <c r="E94" s="1458"/>
      <c r="F94" s="1423"/>
      <c r="G94" s="1459"/>
      <c r="H94" s="1458"/>
      <c r="I94" s="1423"/>
      <c r="J94" s="1458"/>
      <c r="K94" s="1422"/>
      <c r="L94" s="1422"/>
      <c r="M94" s="1422"/>
      <c r="N94" s="1422"/>
      <c r="O94" s="1422"/>
      <c r="P94" s="1422"/>
      <c r="Q94" s="73"/>
      <c r="R94" s="1422"/>
      <c r="S94" s="1422"/>
      <c r="T94" s="1422"/>
      <c r="U94" s="1422"/>
      <c r="V94" s="1422"/>
      <c r="W94" s="1422"/>
      <c r="Y94" s="2269"/>
      <c r="Z94" s="1422"/>
      <c r="AA94" s="1422"/>
      <c r="AB94" s="1422"/>
    </row>
    <row r="95" spans="1:64">
      <c r="A95" s="1458"/>
      <c r="B95" s="1458"/>
      <c r="C95" s="2346"/>
      <c r="D95" s="3847" t="s">
        <v>96</v>
      </c>
      <c r="E95" s="1460" t="s">
        <v>102</v>
      </c>
      <c r="F95" s="1461" t="s">
        <v>97</v>
      </c>
      <c r="G95" s="1462" t="s">
        <v>1218</v>
      </c>
      <c r="H95" s="1460" t="s">
        <v>102</v>
      </c>
      <c r="I95" s="1461" t="s">
        <v>98</v>
      </c>
      <c r="J95" s="1460" t="s">
        <v>102</v>
      </c>
      <c r="K95" s="1422"/>
      <c r="L95" s="1705" t="s">
        <v>99</v>
      </c>
      <c r="M95" s="1706"/>
      <c r="N95" s="1463" t="s">
        <v>1238</v>
      </c>
      <c r="O95" s="1707" t="s">
        <v>102</v>
      </c>
      <c r="P95" s="1422"/>
      <c r="Q95" s="73"/>
      <c r="R95" s="1422"/>
      <c r="S95" s="141" t="s">
        <v>96</v>
      </c>
      <c r="T95" s="141" t="s">
        <v>1217</v>
      </c>
      <c r="U95" s="1366" t="s">
        <v>1218</v>
      </c>
      <c r="V95" s="1427" t="s">
        <v>98</v>
      </c>
      <c r="W95" s="1386" t="s">
        <v>293</v>
      </c>
      <c r="Y95" s="2399"/>
      <c r="Z95" s="2398"/>
      <c r="AA95" s="2398"/>
      <c r="AB95" s="2398"/>
    </row>
    <row r="96" spans="1:64">
      <c r="A96" s="1122" t="s">
        <v>498</v>
      </c>
      <c r="B96" s="82" t="s">
        <v>52</v>
      </c>
      <c r="C96" s="2347"/>
      <c r="D96" s="3848" t="s">
        <v>69</v>
      </c>
      <c r="E96" s="1465" t="s">
        <v>103</v>
      </c>
      <c r="F96" s="1464" t="s">
        <v>107</v>
      </c>
      <c r="G96" s="1466" t="s">
        <v>69</v>
      </c>
      <c r="H96" s="1465" t="s">
        <v>103</v>
      </c>
      <c r="I96" s="1467" t="s">
        <v>69</v>
      </c>
      <c r="J96" s="1465" t="s">
        <v>103</v>
      </c>
      <c r="K96" s="1423"/>
      <c r="L96" s="1468" t="s">
        <v>69</v>
      </c>
      <c r="M96" s="1469"/>
      <c r="N96" s="1470" t="s">
        <v>1220</v>
      </c>
      <c r="O96" s="1471" t="s">
        <v>1275</v>
      </c>
      <c r="P96" s="1422"/>
      <c r="Q96" s="1122" t="s">
        <v>498</v>
      </c>
      <c r="R96" s="1433"/>
      <c r="S96" s="1468" t="s">
        <v>306</v>
      </c>
      <c r="T96" s="1472" t="s">
        <v>307</v>
      </c>
      <c r="U96" s="1473" t="s">
        <v>306</v>
      </c>
      <c r="V96" s="1474" t="s">
        <v>306</v>
      </c>
      <c r="W96" s="1474" t="s">
        <v>306</v>
      </c>
      <c r="Y96" s="2399"/>
      <c r="Z96" s="2398"/>
      <c r="AA96" s="2398"/>
      <c r="AB96" s="2398"/>
    </row>
    <row r="97" spans="1:28">
      <c r="A97" s="1115" t="s">
        <v>385</v>
      </c>
      <c r="B97" s="83" t="s">
        <v>276</v>
      </c>
      <c r="C97" s="2347"/>
      <c r="D97" s="3848" t="s">
        <v>70</v>
      </c>
      <c r="E97" s="1465" t="s">
        <v>103</v>
      </c>
      <c r="F97" s="1464" t="s">
        <v>107</v>
      </c>
      <c r="G97" s="1475" t="s">
        <v>69</v>
      </c>
      <c r="H97" s="1465" t="s">
        <v>114</v>
      </c>
      <c r="I97" s="1464"/>
      <c r="J97" s="1465"/>
      <c r="K97" s="1423"/>
      <c r="L97" s="1476" t="s">
        <v>70</v>
      </c>
      <c r="M97" s="1477"/>
      <c r="N97" s="1478" t="s">
        <v>1235</v>
      </c>
      <c r="O97" s="1479" t="s">
        <v>1236</v>
      </c>
      <c r="P97" s="1422"/>
      <c r="Q97" s="1115" t="s">
        <v>385</v>
      </c>
      <c r="R97" s="1424"/>
      <c r="S97" s="1476" t="s">
        <v>304</v>
      </c>
      <c r="T97" s="1481" t="s">
        <v>307</v>
      </c>
      <c r="U97" s="1482" t="s">
        <v>306</v>
      </c>
      <c r="V97" s="1483" t="s">
        <v>306</v>
      </c>
      <c r="W97" s="1479" t="s">
        <v>1446</v>
      </c>
      <c r="Y97" s="2399"/>
      <c r="Z97" s="2398"/>
      <c r="AA97" s="2398"/>
      <c r="AB97" s="2398"/>
    </row>
    <row r="98" spans="1:28">
      <c r="A98" s="1117" t="s">
        <v>319</v>
      </c>
      <c r="B98" s="1370" t="s">
        <v>750</v>
      </c>
      <c r="C98" s="2347"/>
      <c r="D98" s="3849" t="s">
        <v>67</v>
      </c>
      <c r="E98" s="1485" t="s">
        <v>103</v>
      </c>
      <c r="F98" s="1484" t="s">
        <v>104</v>
      </c>
      <c r="G98" s="1486" t="s">
        <v>105</v>
      </c>
      <c r="H98" s="1485" t="s">
        <v>103</v>
      </c>
      <c r="I98" s="1484"/>
      <c r="J98" s="1485"/>
      <c r="K98" s="1423"/>
      <c r="L98" s="1487" t="s">
        <v>67</v>
      </c>
      <c r="M98" s="1488"/>
      <c r="N98" s="1489" t="s">
        <v>1224</v>
      </c>
      <c r="O98" s="1490" t="s">
        <v>1228</v>
      </c>
      <c r="P98" s="1422"/>
      <c r="Q98" s="1117" t="s">
        <v>319</v>
      </c>
      <c r="R98" s="1426"/>
      <c r="S98" s="1487" t="s">
        <v>308</v>
      </c>
      <c r="T98" s="1491" t="s">
        <v>309</v>
      </c>
      <c r="U98" s="1492" t="s">
        <v>310</v>
      </c>
      <c r="V98" s="1489" t="s">
        <v>308</v>
      </c>
      <c r="W98" s="1489" t="s">
        <v>308</v>
      </c>
      <c r="Y98" s="2399"/>
      <c r="Z98" s="2398"/>
      <c r="AA98" s="2398"/>
      <c r="AB98" s="2398"/>
    </row>
    <row r="99" spans="1:28">
      <c r="A99" s="1117" t="s">
        <v>319</v>
      </c>
      <c r="B99" s="1370" t="s">
        <v>751</v>
      </c>
      <c r="C99" s="2347"/>
      <c r="D99" s="3850"/>
      <c r="E99" s="1493"/>
      <c r="F99" s="1016"/>
      <c r="G99" s="1494"/>
      <c r="H99" s="1493"/>
      <c r="I99" s="1016"/>
      <c r="J99" s="1493"/>
      <c r="K99" s="1423"/>
      <c r="L99" s="1016" t="s">
        <v>1241</v>
      </c>
      <c r="M99" s="1426"/>
      <c r="N99" s="1432"/>
      <c r="O99" s="1432"/>
      <c r="P99" s="1422"/>
      <c r="Q99" s="1117"/>
      <c r="R99" s="1426"/>
      <c r="S99" s="1016"/>
      <c r="T99" s="1434"/>
      <c r="U99" s="1425"/>
      <c r="V99" s="1432"/>
      <c r="W99" s="1432"/>
      <c r="Y99" s="2399"/>
      <c r="Z99" s="2398"/>
      <c r="AA99" s="2398"/>
      <c r="AB99" s="2398"/>
    </row>
    <row r="100" spans="1:28">
      <c r="A100" s="1117" t="s">
        <v>319</v>
      </c>
      <c r="B100" s="1370" t="s">
        <v>752</v>
      </c>
      <c r="C100" s="2347"/>
      <c r="D100" s="3849" t="s">
        <v>109</v>
      </c>
      <c r="E100" s="1485" t="s">
        <v>103</v>
      </c>
      <c r="F100" s="1484" t="s">
        <v>123</v>
      </c>
      <c r="G100" s="1486" t="s">
        <v>109</v>
      </c>
      <c r="H100" s="1485" t="s">
        <v>103</v>
      </c>
      <c r="I100" s="1487" t="s">
        <v>109</v>
      </c>
      <c r="J100" s="1488" t="s">
        <v>103</v>
      </c>
      <c r="K100" s="1423"/>
      <c r="L100" s="1487" t="s">
        <v>109</v>
      </c>
      <c r="M100" s="1488"/>
      <c r="N100" s="1489" t="s">
        <v>1220</v>
      </c>
      <c r="O100" s="1490" t="s">
        <v>1275</v>
      </c>
      <c r="P100" s="1422"/>
      <c r="Q100" s="1117"/>
      <c r="R100" s="1426"/>
      <c r="S100" s="1016"/>
      <c r="T100" s="1434"/>
      <c r="U100" s="1425"/>
      <c r="V100" s="1432"/>
      <c r="W100" s="1432"/>
      <c r="Y100" s="2399"/>
      <c r="Z100" s="2398"/>
      <c r="AA100" s="2398"/>
      <c r="AB100" s="2398"/>
    </row>
    <row r="101" spans="1:28">
      <c r="A101" s="1115" t="s">
        <v>539</v>
      </c>
      <c r="B101" s="83" t="s">
        <v>39</v>
      </c>
      <c r="C101" s="2347"/>
      <c r="D101" s="3848" t="s">
        <v>70</v>
      </c>
      <c r="E101" s="1465" t="s">
        <v>120</v>
      </c>
      <c r="F101" s="1464" t="s">
        <v>113</v>
      </c>
      <c r="G101" s="1475" t="s">
        <v>70</v>
      </c>
      <c r="H101" s="1465" t="s">
        <v>103</v>
      </c>
      <c r="I101" s="1467" t="s">
        <v>70</v>
      </c>
      <c r="J101" s="1465" t="s">
        <v>103</v>
      </c>
      <c r="K101" s="1423"/>
      <c r="L101" s="1476" t="s">
        <v>70</v>
      </c>
      <c r="M101" s="1477"/>
      <c r="N101" s="1478" t="s">
        <v>1220</v>
      </c>
      <c r="O101" s="1495" t="s">
        <v>1230</v>
      </c>
      <c r="P101" s="1422"/>
      <c r="Q101" s="1115" t="s">
        <v>539</v>
      </c>
      <c r="R101" s="1424"/>
      <c r="S101" s="1476" t="s">
        <v>306</v>
      </c>
      <c r="T101" s="1481" t="s">
        <v>307</v>
      </c>
      <c r="U101" s="1482" t="s">
        <v>306</v>
      </c>
      <c r="V101" s="1483" t="s">
        <v>306</v>
      </c>
      <c r="W101" s="1483" t="s">
        <v>306</v>
      </c>
      <c r="Y101" s="2399"/>
      <c r="Z101" s="2398"/>
      <c r="AA101" s="2398"/>
      <c r="AB101" s="2398"/>
    </row>
    <row r="102" spans="1:28">
      <c r="A102" s="1115" t="s">
        <v>217</v>
      </c>
      <c r="B102" s="83" t="s">
        <v>53</v>
      </c>
      <c r="C102" s="2347"/>
      <c r="D102" s="3848" t="s">
        <v>70</v>
      </c>
      <c r="E102" s="1465" t="s">
        <v>114</v>
      </c>
      <c r="F102" s="1464" t="s">
        <v>113</v>
      </c>
      <c r="G102" s="1475" t="s">
        <v>70</v>
      </c>
      <c r="H102" s="1465" t="s">
        <v>114</v>
      </c>
      <c r="I102" s="1467" t="s">
        <v>69</v>
      </c>
      <c r="J102" s="1465" t="s">
        <v>114</v>
      </c>
      <c r="K102" s="1423"/>
      <c r="L102" s="1476" t="s">
        <v>70</v>
      </c>
      <c r="M102" s="1477"/>
      <c r="N102" s="1478" t="s">
        <v>1223</v>
      </c>
      <c r="O102" s="1483" t="s">
        <v>1232</v>
      </c>
      <c r="P102" s="1422"/>
      <c r="Q102" s="1115" t="s">
        <v>217</v>
      </c>
      <c r="R102" s="1424"/>
      <c r="S102" s="1476" t="s">
        <v>71</v>
      </c>
      <c r="T102" s="1481" t="s">
        <v>122</v>
      </c>
      <c r="U102" s="1482" t="s">
        <v>324</v>
      </c>
      <c r="V102" s="1483" t="s">
        <v>70</v>
      </c>
      <c r="W102" s="1483" t="s">
        <v>71</v>
      </c>
      <c r="Y102" s="2399"/>
      <c r="Z102" s="2398"/>
      <c r="AA102" s="2398"/>
      <c r="AB102" s="2398"/>
    </row>
    <row r="103" spans="1:28">
      <c r="A103" s="1115" t="s">
        <v>73</v>
      </c>
      <c r="B103" s="83" t="s">
        <v>283</v>
      </c>
      <c r="C103" s="2347"/>
      <c r="D103" s="3851" t="s">
        <v>70</v>
      </c>
      <c r="E103" s="1496" t="s">
        <v>103</v>
      </c>
      <c r="F103" s="1480" t="s">
        <v>113</v>
      </c>
      <c r="G103" s="1475" t="s">
        <v>70</v>
      </c>
      <c r="H103" s="1496" t="s">
        <v>103</v>
      </c>
      <c r="I103" s="1497"/>
      <c r="J103" s="1498"/>
      <c r="K103" s="1423"/>
      <c r="L103" s="1476" t="s">
        <v>70</v>
      </c>
      <c r="M103" s="1424"/>
      <c r="N103" s="1478" t="s">
        <v>1227</v>
      </c>
      <c r="O103" s="1479" t="s">
        <v>1228</v>
      </c>
      <c r="P103" s="1422"/>
      <c r="Q103" s="1115" t="s">
        <v>73</v>
      </c>
      <c r="R103" s="1424"/>
      <c r="S103" s="1476" t="s">
        <v>306</v>
      </c>
      <c r="T103" s="1481" t="s">
        <v>307</v>
      </c>
      <c r="U103" s="1482" t="s">
        <v>306</v>
      </c>
      <c r="V103" s="1483" t="s">
        <v>306</v>
      </c>
      <c r="W103" s="1483" t="s">
        <v>306</v>
      </c>
      <c r="Y103" s="2399"/>
      <c r="Z103" s="2398"/>
      <c r="AA103" s="2398"/>
      <c r="AB103" s="2398"/>
    </row>
    <row r="104" spans="1:28">
      <c r="A104" s="1115" t="s">
        <v>19</v>
      </c>
      <c r="B104" s="83" t="s">
        <v>285</v>
      </c>
      <c r="C104" s="2347"/>
      <c r="D104" s="2752"/>
      <c r="E104" s="1499"/>
      <c r="F104" s="80"/>
      <c r="G104" s="1500"/>
      <c r="H104" s="1499"/>
      <c r="I104" s="80"/>
      <c r="J104" s="1499"/>
      <c r="K104" s="1423"/>
      <c r="L104" s="80" t="s">
        <v>1241</v>
      </c>
      <c r="M104" s="1424"/>
      <c r="N104" s="1291"/>
      <c r="O104" s="1291"/>
      <c r="P104" s="1422"/>
      <c r="Q104" s="1115" t="s">
        <v>19</v>
      </c>
      <c r="R104" s="1424"/>
      <c r="S104" s="1476" t="s">
        <v>308</v>
      </c>
      <c r="T104" s="1481" t="s">
        <v>305</v>
      </c>
      <c r="U104" s="1482" t="s">
        <v>304</v>
      </c>
      <c r="V104" s="1483" t="s">
        <v>304</v>
      </c>
      <c r="W104" s="1483" t="s">
        <v>304</v>
      </c>
      <c r="Y104" s="2399"/>
      <c r="Z104" s="2398"/>
      <c r="AA104" s="2398"/>
      <c r="AB104" s="2398"/>
    </row>
    <row r="105" spans="1:28">
      <c r="A105" s="1115" t="s">
        <v>19</v>
      </c>
      <c r="B105" s="1331" t="s">
        <v>286</v>
      </c>
      <c r="C105" s="2348"/>
      <c r="D105" s="3848" t="s">
        <v>69</v>
      </c>
      <c r="E105" s="1465" t="s">
        <v>103</v>
      </c>
      <c r="F105" s="1467" t="s">
        <v>116</v>
      </c>
      <c r="G105" s="1475" t="s">
        <v>68</v>
      </c>
      <c r="H105" s="1465" t="s">
        <v>114</v>
      </c>
      <c r="I105" s="1467" t="s">
        <v>69</v>
      </c>
      <c r="J105" s="1477" t="s">
        <v>114</v>
      </c>
      <c r="K105" s="1423"/>
      <c r="L105" s="1476" t="s">
        <v>69</v>
      </c>
      <c r="M105" s="1477"/>
      <c r="N105" s="1478" t="s">
        <v>1221</v>
      </c>
      <c r="O105" s="1479" t="s">
        <v>1234</v>
      </c>
      <c r="P105" s="1422"/>
      <c r="Q105" s="1115"/>
      <c r="R105" s="1424"/>
      <c r="S105" s="80"/>
      <c r="T105" s="1435"/>
      <c r="U105" s="1422"/>
      <c r="V105" s="1291"/>
      <c r="W105" s="1291"/>
      <c r="Y105" s="2399"/>
      <c r="Z105" s="2398"/>
      <c r="AA105" s="2398"/>
      <c r="AB105" s="2398"/>
    </row>
    <row r="106" spans="1:28">
      <c r="A106" s="1115" t="s">
        <v>374</v>
      </c>
      <c r="B106" s="83" t="s">
        <v>42</v>
      </c>
      <c r="C106" s="2347"/>
      <c r="D106" s="3848" t="s">
        <v>109</v>
      </c>
      <c r="E106" s="1465" t="s">
        <v>103</v>
      </c>
      <c r="F106" s="1464" t="s">
        <v>110</v>
      </c>
      <c r="G106" s="1475" t="s">
        <v>111</v>
      </c>
      <c r="H106" s="1465" t="s">
        <v>103</v>
      </c>
      <c r="I106" s="1464"/>
      <c r="J106" s="1465"/>
      <c r="K106" s="1423"/>
      <c r="L106" s="1476" t="s">
        <v>112</v>
      </c>
      <c r="M106" s="1477"/>
      <c r="N106" s="1501" t="s">
        <v>1226</v>
      </c>
      <c r="O106" s="1479" t="s">
        <v>1228</v>
      </c>
      <c r="P106" s="1422"/>
      <c r="Q106" s="1115" t="s">
        <v>374</v>
      </c>
      <c r="R106" s="1424"/>
      <c r="S106" s="1476" t="s">
        <v>112</v>
      </c>
      <c r="T106" s="1481" t="s">
        <v>325</v>
      </c>
      <c r="U106" s="1482" t="s">
        <v>326</v>
      </c>
      <c r="V106" s="1483" t="s">
        <v>112</v>
      </c>
      <c r="W106" s="1483" t="s">
        <v>327</v>
      </c>
      <c r="Y106" s="2399"/>
      <c r="Z106" s="2398"/>
      <c r="AA106" s="2398"/>
      <c r="AB106" s="2398"/>
    </row>
    <row r="107" spans="1:28">
      <c r="A107" s="1115" t="s">
        <v>499</v>
      </c>
      <c r="B107" s="83" t="s">
        <v>284</v>
      </c>
      <c r="C107" s="2347"/>
      <c r="D107" s="3848" t="s">
        <v>71</v>
      </c>
      <c r="E107" s="1465" t="s">
        <v>103</v>
      </c>
      <c r="F107" s="1464" t="s">
        <v>122</v>
      </c>
      <c r="G107" s="1475" t="s">
        <v>71</v>
      </c>
      <c r="H107" s="1465" t="s">
        <v>114</v>
      </c>
      <c r="I107" s="1467" t="s">
        <v>70</v>
      </c>
      <c r="J107" s="1465" t="s">
        <v>114</v>
      </c>
      <c r="K107" s="1423"/>
      <c r="L107" s="1476" t="s">
        <v>71</v>
      </c>
      <c r="M107" s="1477"/>
      <c r="N107" s="1478" t="s">
        <v>1223</v>
      </c>
      <c r="O107" s="1479" t="s">
        <v>1234</v>
      </c>
      <c r="P107" s="1422"/>
      <c r="Q107" s="1115" t="s">
        <v>499</v>
      </c>
      <c r="R107" s="1424"/>
      <c r="S107" s="1476" t="s">
        <v>70</v>
      </c>
      <c r="T107" s="1481" t="s">
        <v>113</v>
      </c>
      <c r="U107" s="1482" t="s">
        <v>70</v>
      </c>
      <c r="V107" s="1483" t="s">
        <v>69</v>
      </c>
      <c r="W107" s="1483" t="s">
        <v>70</v>
      </c>
      <c r="Y107" s="2399"/>
      <c r="Z107" s="2398"/>
      <c r="AA107" s="2398"/>
      <c r="AB107" s="2398"/>
    </row>
    <row r="108" spans="1:28">
      <c r="A108" s="1115" t="s">
        <v>500</v>
      </c>
      <c r="B108" s="83" t="s">
        <v>279</v>
      </c>
      <c r="C108" s="2347"/>
      <c r="D108" s="3848" t="s">
        <v>68</v>
      </c>
      <c r="E108" s="1465" t="s">
        <v>103</v>
      </c>
      <c r="F108" s="1464" t="s">
        <v>116</v>
      </c>
      <c r="G108" s="1475" t="s">
        <v>68</v>
      </c>
      <c r="H108" s="1465" t="s">
        <v>103</v>
      </c>
      <c r="I108" s="1464"/>
      <c r="J108" s="1465"/>
      <c r="K108" s="1423"/>
      <c r="L108" s="1476" t="s">
        <v>68</v>
      </c>
      <c r="M108" s="1477"/>
      <c r="N108" s="1478" t="s">
        <v>1227</v>
      </c>
      <c r="O108" s="1479" t="s">
        <v>1228</v>
      </c>
      <c r="P108" s="1422"/>
      <c r="Q108" s="1115" t="s">
        <v>500</v>
      </c>
      <c r="R108" s="1424"/>
      <c r="S108" s="1476" t="s">
        <v>306</v>
      </c>
      <c r="T108" s="1481" t="s">
        <v>307</v>
      </c>
      <c r="U108" s="1482" t="s">
        <v>306</v>
      </c>
      <c r="V108" s="1483" t="s">
        <v>306</v>
      </c>
      <c r="W108" s="1483" t="s">
        <v>306</v>
      </c>
      <c r="Y108" s="2399"/>
      <c r="Z108" s="2398"/>
      <c r="AA108" s="2398"/>
      <c r="AB108" s="2398"/>
    </row>
    <row r="109" spans="1:28">
      <c r="A109" s="1115" t="s">
        <v>501</v>
      </c>
      <c r="B109" s="83" t="s">
        <v>44</v>
      </c>
      <c r="C109" s="2347"/>
      <c r="D109" s="3848" t="s">
        <v>71</v>
      </c>
      <c r="E109" s="1465" t="s">
        <v>103</v>
      </c>
      <c r="F109" s="1467" t="s">
        <v>113</v>
      </c>
      <c r="G109" s="1475" t="s">
        <v>70</v>
      </c>
      <c r="H109" s="1465" t="s">
        <v>114</v>
      </c>
      <c r="I109" s="1467" t="s">
        <v>71</v>
      </c>
      <c r="J109" s="1465" t="s">
        <v>103</v>
      </c>
      <c r="K109" s="1423"/>
      <c r="L109" s="1476" t="s">
        <v>71</v>
      </c>
      <c r="M109" s="1477"/>
      <c r="N109" s="1478" t="s">
        <v>1221</v>
      </c>
      <c r="O109" s="1479" t="s">
        <v>1233</v>
      </c>
      <c r="P109" s="1422"/>
      <c r="Q109" s="1115" t="s">
        <v>501</v>
      </c>
      <c r="R109" s="1424"/>
      <c r="S109" s="1476" t="s">
        <v>306</v>
      </c>
      <c r="T109" s="1481" t="s">
        <v>307</v>
      </c>
      <c r="U109" s="1482" t="s">
        <v>306</v>
      </c>
      <c r="V109" s="1483" t="s">
        <v>306</v>
      </c>
      <c r="W109" s="1483" t="s">
        <v>306</v>
      </c>
      <c r="Y109" s="2399"/>
      <c r="Z109" s="2398"/>
      <c r="AA109" s="2398"/>
      <c r="AB109" s="2398"/>
    </row>
    <row r="110" spans="1:28">
      <c r="A110" s="1115" t="s">
        <v>502</v>
      </c>
      <c r="B110" s="83" t="s">
        <v>287</v>
      </c>
      <c r="C110" s="2347"/>
      <c r="D110" s="3851" t="s">
        <v>70</v>
      </c>
      <c r="E110" s="1496" t="s">
        <v>103</v>
      </c>
      <c r="F110" s="1480" t="s">
        <v>107</v>
      </c>
      <c r="G110" s="1475" t="s">
        <v>69</v>
      </c>
      <c r="H110" s="1496" t="s">
        <v>114</v>
      </c>
      <c r="I110" s="1497"/>
      <c r="J110" s="1498"/>
      <c r="K110" s="1423"/>
      <c r="L110" s="1476" t="s">
        <v>70</v>
      </c>
      <c r="M110" s="1424"/>
      <c r="N110" s="1478" t="s">
        <v>1227</v>
      </c>
      <c r="O110" s="1495" t="s">
        <v>1290</v>
      </c>
      <c r="P110" s="1422"/>
      <c r="Q110" s="1115" t="s">
        <v>502</v>
      </c>
      <c r="R110" s="1424"/>
      <c r="S110" s="1476" t="s">
        <v>68</v>
      </c>
      <c r="T110" s="1481" t="s">
        <v>119</v>
      </c>
      <c r="U110" s="1482" t="s">
        <v>67</v>
      </c>
      <c r="V110" s="1483" t="s">
        <v>68</v>
      </c>
      <c r="W110" s="1483" t="s">
        <v>68</v>
      </c>
      <c r="Y110" s="2399"/>
      <c r="Z110" s="2398"/>
      <c r="AA110" s="2398"/>
      <c r="AB110" s="2398"/>
    </row>
    <row r="111" spans="1:28">
      <c r="A111" s="1115" t="s">
        <v>27</v>
      </c>
      <c r="B111" s="83" t="s">
        <v>54</v>
      </c>
      <c r="C111" s="2347"/>
      <c r="D111" s="3848" t="s">
        <v>117</v>
      </c>
      <c r="E111" s="1465" t="s">
        <v>114</v>
      </c>
      <c r="F111" s="1467" t="s">
        <v>118</v>
      </c>
      <c r="G111" s="1475" t="s">
        <v>70</v>
      </c>
      <c r="H111" s="1465" t="s">
        <v>114</v>
      </c>
      <c r="I111" s="1467" t="s">
        <v>70</v>
      </c>
      <c r="J111" s="1465" t="s">
        <v>114</v>
      </c>
      <c r="K111" s="1423"/>
      <c r="L111" s="1476" t="s">
        <v>71</v>
      </c>
      <c r="M111" s="1424"/>
      <c r="N111" s="1431" t="s">
        <v>1222</v>
      </c>
      <c r="O111" s="1502" t="s">
        <v>1231</v>
      </c>
      <c r="P111" s="1422"/>
      <c r="Q111" s="1115" t="s">
        <v>27</v>
      </c>
      <c r="R111" s="1424"/>
      <c r="S111" s="1476" t="s">
        <v>117</v>
      </c>
      <c r="T111" s="1481" t="s">
        <v>328</v>
      </c>
      <c r="U111" s="1482" t="s">
        <v>329</v>
      </c>
      <c r="V111" s="1483" t="s">
        <v>330</v>
      </c>
      <c r="W111" s="1483" t="s">
        <v>117</v>
      </c>
      <c r="Y111" s="2399"/>
      <c r="Z111" s="2398"/>
      <c r="AA111" s="2398"/>
      <c r="AB111" s="2398"/>
    </row>
    <row r="112" spans="1:28">
      <c r="A112" s="1115" t="s">
        <v>32</v>
      </c>
      <c r="B112" s="83" t="s">
        <v>50</v>
      </c>
      <c r="C112" s="2347"/>
      <c r="D112" s="3848" t="s">
        <v>70</v>
      </c>
      <c r="E112" s="1465" t="s">
        <v>103</v>
      </c>
      <c r="F112" s="1464"/>
      <c r="G112" s="1475"/>
      <c r="H112" s="1465"/>
      <c r="I112" s="1464" t="s">
        <v>70</v>
      </c>
      <c r="J112" s="1465" t="s">
        <v>103</v>
      </c>
      <c r="K112" s="1423"/>
      <c r="L112" s="1476" t="s">
        <v>70</v>
      </c>
      <c r="M112" s="1477"/>
      <c r="N112" s="1478" t="s">
        <v>1225</v>
      </c>
      <c r="O112" s="1479" t="s">
        <v>1229</v>
      </c>
      <c r="P112" s="1422"/>
      <c r="Q112" s="1115" t="s">
        <v>32</v>
      </c>
      <c r="R112" s="1424"/>
      <c r="S112" s="1476" t="s">
        <v>306</v>
      </c>
      <c r="T112" s="1481" t="s">
        <v>305</v>
      </c>
      <c r="U112" s="1482" t="s">
        <v>304</v>
      </c>
      <c r="V112" s="1483" t="s">
        <v>304</v>
      </c>
      <c r="W112" s="1483" t="s">
        <v>304</v>
      </c>
      <c r="Y112" s="2399"/>
      <c r="Z112" s="2398"/>
      <c r="AA112" s="2398"/>
      <c r="AB112" s="2398"/>
    </row>
    <row r="113" spans="1:64">
      <c r="A113" s="1115" t="s">
        <v>32</v>
      </c>
      <c r="B113" s="83" t="s">
        <v>277</v>
      </c>
      <c r="C113" s="2347"/>
      <c r="D113" s="3848" t="s">
        <v>68</v>
      </c>
      <c r="E113" s="1496" t="s">
        <v>103</v>
      </c>
      <c r="F113" s="1467" t="s">
        <v>116</v>
      </c>
      <c r="G113" s="1475" t="s">
        <v>68</v>
      </c>
      <c r="H113" s="1496" t="s">
        <v>103</v>
      </c>
      <c r="I113" s="1464" t="s">
        <v>68</v>
      </c>
      <c r="J113" s="1496" t="s">
        <v>103</v>
      </c>
      <c r="K113" s="1423"/>
      <c r="L113" s="1476" t="s">
        <v>68</v>
      </c>
      <c r="M113" s="1424"/>
      <c r="N113" s="1478" t="s">
        <v>1220</v>
      </c>
      <c r="O113" s="1479" t="s">
        <v>1275</v>
      </c>
      <c r="P113" s="1422"/>
      <c r="Q113" s="1115"/>
      <c r="R113" s="1424"/>
      <c r="S113" s="80"/>
      <c r="T113" s="1435"/>
      <c r="U113" s="1422"/>
      <c r="V113" s="1291"/>
      <c r="W113" s="1291"/>
      <c r="Y113" s="2399"/>
      <c r="Z113" s="2398"/>
      <c r="AA113" s="2398"/>
      <c r="AB113" s="2398"/>
    </row>
    <row r="114" spans="1:64">
      <c r="A114" s="1115" t="s">
        <v>503</v>
      </c>
      <c r="B114" s="83" t="s">
        <v>282</v>
      </c>
      <c r="C114" s="2347"/>
      <c r="D114" s="3848" t="s">
        <v>68</v>
      </c>
      <c r="E114" s="1465" t="s">
        <v>103</v>
      </c>
      <c r="F114" s="1464" t="s">
        <v>116</v>
      </c>
      <c r="G114" s="1475" t="s">
        <v>68</v>
      </c>
      <c r="H114" s="1465" t="s">
        <v>103</v>
      </c>
      <c r="I114" s="1467" t="s">
        <v>68</v>
      </c>
      <c r="J114" s="1465" t="s">
        <v>103</v>
      </c>
      <c r="K114" s="1423"/>
      <c r="L114" s="1476" t="s">
        <v>68</v>
      </c>
      <c r="M114" s="1477"/>
      <c r="N114" s="1478" t="s">
        <v>1220</v>
      </c>
      <c r="O114" s="1479" t="s">
        <v>1275</v>
      </c>
      <c r="P114" s="1422"/>
      <c r="Q114" s="1115" t="s">
        <v>503</v>
      </c>
      <c r="R114" s="1424"/>
      <c r="S114" s="1476" t="s">
        <v>306</v>
      </c>
      <c r="T114" s="1481" t="s">
        <v>307</v>
      </c>
      <c r="U114" s="1482" t="s">
        <v>306</v>
      </c>
      <c r="V114" s="1483" t="s">
        <v>306</v>
      </c>
      <c r="W114" s="1483" t="s">
        <v>306</v>
      </c>
      <c r="Y114" s="2399"/>
      <c r="Z114" s="2398"/>
      <c r="AA114" s="2398"/>
      <c r="AB114" s="2398"/>
    </row>
    <row r="115" spans="1:64">
      <c r="A115" s="1115" t="s">
        <v>503</v>
      </c>
      <c r="B115" s="83" t="s">
        <v>280</v>
      </c>
      <c r="C115" s="2347"/>
      <c r="D115" s="2752"/>
      <c r="E115" s="1499"/>
      <c r="F115" s="80"/>
      <c r="G115" s="1500"/>
      <c r="H115" s="1499"/>
      <c r="I115" s="80"/>
      <c r="J115" s="1499"/>
      <c r="K115" s="1423"/>
      <c r="L115" s="80" t="s">
        <v>1241</v>
      </c>
      <c r="M115" s="1424"/>
      <c r="N115" s="1291"/>
      <c r="O115" s="1291"/>
      <c r="P115" s="1422"/>
      <c r="Q115" s="1115"/>
      <c r="R115" s="1424"/>
      <c r="S115" s="80"/>
      <c r="T115" s="1435"/>
      <c r="U115" s="1422"/>
      <c r="V115" s="1291"/>
      <c r="W115" s="1291"/>
      <c r="Y115" s="2399"/>
      <c r="Z115" s="2398"/>
      <c r="AA115" s="2398"/>
      <c r="AB115" s="2398"/>
    </row>
    <row r="116" spans="1:64">
      <c r="A116" s="1115" t="s">
        <v>504</v>
      </c>
      <c r="B116" s="83" t="s">
        <v>288</v>
      </c>
      <c r="C116" s="2347"/>
      <c r="D116" s="3848" t="s">
        <v>67</v>
      </c>
      <c r="E116" s="1465" t="s">
        <v>103</v>
      </c>
      <c r="F116" s="1464" t="s">
        <v>119</v>
      </c>
      <c r="G116" s="1475" t="s">
        <v>67</v>
      </c>
      <c r="H116" s="1465" t="s">
        <v>103</v>
      </c>
      <c r="I116" s="1464"/>
      <c r="J116" s="1465"/>
      <c r="K116" s="1423"/>
      <c r="L116" s="1476" t="s">
        <v>67</v>
      </c>
      <c r="M116" s="1424"/>
      <c r="N116" s="1291" t="s">
        <v>1227</v>
      </c>
      <c r="O116" s="1479" t="s">
        <v>1228</v>
      </c>
      <c r="P116" s="1422"/>
      <c r="Q116" s="1115" t="s">
        <v>504</v>
      </c>
      <c r="R116" s="1424"/>
      <c r="S116" s="1476" t="s">
        <v>306</v>
      </c>
      <c r="T116" s="1481" t="s">
        <v>307</v>
      </c>
      <c r="U116" s="1482" t="s">
        <v>306</v>
      </c>
      <c r="V116" s="1483" t="s">
        <v>306</v>
      </c>
      <c r="W116" s="1483" t="s">
        <v>306</v>
      </c>
      <c r="Y116" s="2399"/>
      <c r="Z116" s="2398"/>
      <c r="AA116" s="2398"/>
      <c r="AB116" s="2398"/>
    </row>
    <row r="117" spans="1:64">
      <c r="A117" s="1115" t="s">
        <v>27</v>
      </c>
      <c r="B117" s="83" t="s">
        <v>353</v>
      </c>
      <c r="C117" s="2347"/>
      <c r="D117" s="2752"/>
      <c r="E117" s="1499"/>
      <c r="F117" s="80"/>
      <c r="G117" s="1500"/>
      <c r="H117" s="1499"/>
      <c r="I117" s="80"/>
      <c r="J117" s="1499"/>
      <c r="K117" s="1423"/>
      <c r="L117" s="80" t="s">
        <v>1241</v>
      </c>
      <c r="M117" s="1424"/>
      <c r="N117" s="1291"/>
      <c r="O117" s="1291"/>
      <c r="P117" s="1422"/>
      <c r="Q117" s="1115"/>
      <c r="R117" s="1424"/>
      <c r="S117" s="80"/>
      <c r="T117" s="1435"/>
      <c r="U117" s="1422"/>
      <c r="V117" s="1291"/>
      <c r="W117" s="1291"/>
      <c r="Y117" s="2399"/>
      <c r="Z117" s="2398"/>
      <c r="AA117" s="2398"/>
      <c r="AB117" s="2398"/>
    </row>
    <row r="118" spans="1:64">
      <c r="A118" s="1115" t="s">
        <v>712</v>
      </c>
      <c r="B118" s="1436" t="s">
        <v>354</v>
      </c>
      <c r="C118" s="2347"/>
      <c r="D118" s="2752"/>
      <c r="E118" s="1477"/>
      <c r="F118" s="1476" t="s">
        <v>448</v>
      </c>
      <c r="G118" s="1475" t="s">
        <v>330</v>
      </c>
      <c r="H118" s="1477" t="s">
        <v>114</v>
      </c>
      <c r="I118" s="1476"/>
      <c r="J118" s="1477"/>
      <c r="K118" s="1423"/>
      <c r="L118" s="1476" t="s">
        <v>330</v>
      </c>
      <c r="M118" s="1424"/>
      <c r="N118" s="1291" t="s">
        <v>1237</v>
      </c>
      <c r="O118" s="1479" t="s">
        <v>1233</v>
      </c>
      <c r="P118" s="1422"/>
      <c r="Q118" s="1476" t="s">
        <v>712</v>
      </c>
      <c r="R118" s="1424"/>
      <c r="S118" s="1476" t="s">
        <v>68</v>
      </c>
      <c r="T118" s="1481" t="s">
        <v>448</v>
      </c>
      <c r="U118" s="1482" t="s">
        <v>330</v>
      </c>
      <c r="V118" s="1483" t="s">
        <v>69</v>
      </c>
      <c r="W118" s="1483" t="s">
        <v>70</v>
      </c>
      <c r="Y118" s="2399"/>
      <c r="Z118" s="2398"/>
      <c r="AA118" s="2398"/>
      <c r="AB118" s="2398"/>
    </row>
    <row r="119" spans="1:64">
      <c r="A119" s="1438" t="s">
        <v>803</v>
      </c>
      <c r="B119" s="1429" t="s">
        <v>1296</v>
      </c>
      <c r="C119" s="2347"/>
      <c r="D119" s="3852" t="s">
        <v>329</v>
      </c>
      <c r="E119" s="1439" t="s">
        <v>103</v>
      </c>
      <c r="F119" s="89" t="s">
        <v>328</v>
      </c>
      <c r="G119" s="1442" t="s">
        <v>329</v>
      </c>
      <c r="H119" s="90" t="s">
        <v>1239</v>
      </c>
      <c r="I119" s="89"/>
      <c r="J119" s="1503"/>
      <c r="K119" s="1422"/>
      <c r="L119" s="89" t="s">
        <v>329</v>
      </c>
      <c r="M119" s="91"/>
      <c r="N119" s="1428" t="s">
        <v>1227</v>
      </c>
      <c r="O119" s="1441" t="s">
        <v>1244</v>
      </c>
      <c r="P119" s="1422"/>
      <c r="Q119" s="313" t="s">
        <v>1242</v>
      </c>
      <c r="R119" s="90"/>
      <c r="S119" s="1428" t="s">
        <v>304</v>
      </c>
      <c r="T119" s="1440" t="s">
        <v>307</v>
      </c>
      <c r="U119" s="1504" t="s">
        <v>306</v>
      </c>
      <c r="V119" s="1428" t="s">
        <v>306</v>
      </c>
      <c r="W119" s="1428" t="s">
        <v>1446</v>
      </c>
      <c r="Y119" s="2399"/>
      <c r="Z119" s="2398"/>
      <c r="AA119" s="2398"/>
      <c r="AB119" s="2398"/>
    </row>
    <row r="120" spans="1:64">
      <c r="A120" s="1458"/>
      <c r="B120" s="1458"/>
      <c r="C120" s="2346"/>
      <c r="D120" s="1423"/>
      <c r="E120" s="1458"/>
      <c r="F120" s="1423"/>
      <c r="G120" s="1459"/>
      <c r="H120" s="1458"/>
      <c r="I120" s="1423"/>
      <c r="J120" s="1458"/>
      <c r="K120" s="1422"/>
      <c r="L120" s="1422"/>
      <c r="M120" s="1422"/>
      <c r="N120" s="1422"/>
      <c r="O120" s="1422"/>
      <c r="P120" s="1422"/>
      <c r="Q120" s="1333" t="s">
        <v>1245</v>
      </c>
      <c r="R120" s="1097"/>
      <c r="S120" s="1505" t="s">
        <v>67</v>
      </c>
      <c r="T120" s="1505" t="s">
        <v>119</v>
      </c>
      <c r="U120" s="1505" t="s">
        <v>67</v>
      </c>
      <c r="V120" s="1505" t="s">
        <v>105</v>
      </c>
      <c r="W120" s="1097" t="s">
        <v>67</v>
      </c>
      <c r="Y120" s="2399"/>
      <c r="Z120" s="2398"/>
      <c r="AA120" s="2398"/>
      <c r="AB120" s="2398"/>
    </row>
    <row r="121" spans="1:64">
      <c r="A121" s="1458"/>
      <c r="B121" s="1458"/>
      <c r="C121" s="2346"/>
      <c r="D121" s="1593"/>
      <c r="E121" s="1458"/>
      <c r="F121" s="1593"/>
      <c r="G121" s="1459"/>
      <c r="H121" s="1458"/>
      <c r="I121" s="1593"/>
      <c r="J121" s="1458"/>
      <c r="K121" s="1592"/>
      <c r="L121" s="1592"/>
      <c r="M121" s="1592"/>
      <c r="N121" s="1592"/>
      <c r="O121" s="1592"/>
      <c r="P121" s="1592"/>
      <c r="Q121" s="1333"/>
      <c r="R121" s="1097"/>
      <c r="S121" s="1505"/>
      <c r="T121" s="1505"/>
      <c r="U121" s="1505"/>
      <c r="V121" s="1505"/>
      <c r="W121" s="1097"/>
      <c r="Y121" s="2399"/>
      <c r="Z121" s="2398"/>
      <c r="AA121" s="2398"/>
      <c r="AB121" s="2398"/>
    </row>
    <row r="122" spans="1:64">
      <c r="A122" s="2346"/>
      <c r="B122" s="2346"/>
      <c r="C122" s="2346"/>
      <c r="D122" s="2329"/>
      <c r="E122" s="2346"/>
      <c r="F122" s="2329"/>
      <c r="G122" s="2350"/>
      <c r="H122" s="2346"/>
      <c r="I122" s="2329"/>
      <c r="J122" s="2346"/>
      <c r="Q122" s="2418"/>
      <c r="R122" s="2419"/>
      <c r="S122" s="2420"/>
      <c r="T122" s="2420"/>
      <c r="U122" s="2420"/>
      <c r="V122" s="2420"/>
      <c r="W122" s="2419"/>
    </row>
    <row r="123" spans="1:64">
      <c r="A123" s="1120" t="s">
        <v>1530</v>
      </c>
      <c r="B123" s="94"/>
      <c r="C123" s="2362"/>
      <c r="D123" s="94"/>
      <c r="E123" s="94"/>
      <c r="F123" s="94"/>
      <c r="G123" s="94"/>
      <c r="H123" s="94"/>
      <c r="I123" s="94"/>
      <c r="J123" s="94"/>
      <c r="K123" s="94"/>
      <c r="L123" s="94"/>
      <c r="M123" s="94"/>
      <c r="N123" s="94"/>
      <c r="O123" s="94"/>
      <c r="P123" s="94"/>
      <c r="Q123" s="94"/>
      <c r="R123" s="94"/>
      <c r="S123" s="94"/>
      <c r="T123" s="94"/>
      <c r="U123" s="94"/>
      <c r="V123" s="94"/>
      <c r="W123" s="94"/>
      <c r="X123" s="2362"/>
      <c r="Y123" s="2409"/>
      <c r="Z123" s="2410"/>
      <c r="AA123" s="2410"/>
      <c r="AB123" s="2410"/>
    </row>
    <row r="124" spans="1:64">
      <c r="A124" s="1458"/>
      <c r="B124" s="1458"/>
      <c r="C124" s="2346"/>
      <c r="D124" s="1593"/>
      <c r="E124" s="1458"/>
      <c r="F124" s="1593"/>
      <c r="G124" s="1459"/>
      <c r="H124" s="1458"/>
      <c r="I124" s="1593"/>
      <c r="J124" s="1458"/>
      <c r="K124" s="1592"/>
      <c r="L124" s="1592"/>
      <c r="M124" s="1592"/>
      <c r="N124" s="1592"/>
      <c r="O124" s="1592"/>
      <c r="P124" s="1592"/>
      <c r="Q124" s="1333"/>
      <c r="R124" s="1097"/>
      <c r="S124" s="1505"/>
      <c r="T124" s="1505"/>
      <c r="U124" s="1505"/>
      <c r="V124" s="1505"/>
      <c r="W124" s="1097"/>
      <c r="Y124" s="2269"/>
      <c r="Z124" s="1592"/>
      <c r="AA124" s="1592"/>
      <c r="AB124" s="1592"/>
    </row>
    <row r="125" spans="1:64" s="2398" customFormat="1" ht="3.75" customHeight="1">
      <c r="A125" s="2766"/>
      <c r="C125" s="2399"/>
      <c r="D125" s="2767"/>
      <c r="E125" s="2399"/>
      <c r="F125" s="2399"/>
      <c r="G125" s="2399"/>
      <c r="H125" s="2399"/>
      <c r="I125" s="2399"/>
      <c r="J125" s="2399"/>
      <c r="K125" s="2399"/>
      <c r="L125" s="2399"/>
      <c r="M125" s="2399"/>
      <c r="N125" s="2399"/>
      <c r="O125" s="2399"/>
      <c r="P125" s="2399"/>
      <c r="Q125" s="2746"/>
      <c r="R125" s="2497"/>
      <c r="S125" s="2399"/>
      <c r="T125" s="2399"/>
      <c r="U125" s="2399"/>
      <c r="V125" s="2399"/>
      <c r="W125" s="2399"/>
      <c r="X125" s="2399"/>
      <c r="Y125" s="2399"/>
      <c r="AF125" s="2399"/>
      <c r="AG125" s="2399"/>
      <c r="BL125" s="2399"/>
    </row>
    <row r="126" spans="1:64">
      <c r="A126" s="1121"/>
      <c r="B126" s="93"/>
      <c r="C126" s="2362"/>
      <c r="D126" s="1545" t="s">
        <v>2525</v>
      </c>
      <c r="E126" s="1942"/>
      <c r="F126" s="1614"/>
      <c r="G126" s="3642"/>
      <c r="H126" s="1942"/>
      <c r="I126" s="1614"/>
      <c r="J126" s="1942"/>
      <c r="K126" s="1545"/>
      <c r="L126" s="1545"/>
      <c r="M126" s="1545"/>
      <c r="N126" s="1545"/>
      <c r="O126" s="1545"/>
      <c r="P126" s="1545"/>
      <c r="Q126" s="3643"/>
      <c r="R126" s="1218"/>
      <c r="S126" s="3644"/>
      <c r="T126" s="3644"/>
      <c r="U126" s="3644"/>
      <c r="V126" s="3644"/>
      <c r="W126" s="1218"/>
      <c r="Y126" s="3753"/>
      <c r="Z126" s="3753"/>
      <c r="AA126" s="3753"/>
      <c r="AB126" s="3753"/>
    </row>
    <row r="127" spans="1:64">
      <c r="A127" s="1121"/>
      <c r="B127" s="93"/>
      <c r="C127" s="2362"/>
      <c r="D127" s="4318" t="s">
        <v>1871</v>
      </c>
      <c r="E127" s="4318"/>
      <c r="F127" s="4318"/>
      <c r="G127" s="4318"/>
      <c r="H127" s="4318"/>
      <c r="I127" s="4318"/>
      <c r="J127" s="4318"/>
      <c r="K127" s="4318"/>
      <c r="L127" s="4318"/>
      <c r="M127" s="4318"/>
      <c r="N127" s="4318"/>
      <c r="O127" s="4318"/>
      <c r="P127" s="4318"/>
      <c r="Q127" s="4318"/>
      <c r="R127" s="4318"/>
      <c r="S127" s="4318"/>
      <c r="T127" s="4318"/>
      <c r="U127" s="4318"/>
      <c r="V127" s="4318"/>
      <c r="W127" s="4318"/>
      <c r="Y127" s="3753"/>
      <c r="Z127" s="3753"/>
      <c r="AA127" s="3753"/>
      <c r="AB127" s="3753"/>
    </row>
    <row r="128" spans="1:64">
      <c r="A128" s="1121"/>
      <c r="B128" s="93"/>
      <c r="C128" s="2362"/>
      <c r="D128" s="4318"/>
      <c r="E128" s="4318"/>
      <c r="F128" s="4318"/>
      <c r="G128" s="4318"/>
      <c r="H128" s="4318"/>
      <c r="I128" s="4318"/>
      <c r="J128" s="4318"/>
      <c r="K128" s="4318"/>
      <c r="L128" s="4318"/>
      <c r="M128" s="4318"/>
      <c r="N128" s="4318"/>
      <c r="O128" s="4318"/>
      <c r="P128" s="4318"/>
      <c r="Q128" s="4318"/>
      <c r="R128" s="4318"/>
      <c r="S128" s="4318"/>
      <c r="T128" s="4318"/>
      <c r="U128" s="4318"/>
      <c r="V128" s="4318"/>
      <c r="W128" s="4318"/>
      <c r="Y128" s="3753"/>
      <c r="Z128" s="3753"/>
      <c r="AA128" s="3753"/>
      <c r="AB128" s="3753"/>
    </row>
    <row r="129" spans="1:28">
      <c r="A129" s="1121"/>
      <c r="B129" s="93"/>
      <c r="C129" s="2362"/>
      <c r="D129" s="3623" t="s">
        <v>1535</v>
      </c>
      <c r="E129" s="1942"/>
      <c r="F129" s="1614"/>
      <c r="G129" s="3642"/>
      <c r="H129" s="1942"/>
      <c r="I129" s="1614"/>
      <c r="J129" s="1942"/>
      <c r="K129" s="1545"/>
      <c r="L129" s="1545"/>
      <c r="M129" s="1545"/>
      <c r="N129" s="1545"/>
      <c r="O129" s="1545"/>
      <c r="P129" s="1545"/>
      <c r="Q129" s="3643"/>
      <c r="R129" s="1218"/>
      <c r="S129" s="3644"/>
      <c r="T129" s="3644"/>
      <c r="U129" s="3644"/>
      <c r="V129" s="3644"/>
      <c r="W129" s="1218"/>
      <c r="Y129" s="3753"/>
      <c r="Z129" s="3753"/>
      <c r="AA129" s="3753"/>
      <c r="AB129" s="3753"/>
    </row>
    <row r="130" spans="1:28">
      <c r="A130" s="1121"/>
      <c r="B130" s="93"/>
      <c r="C130" s="2362"/>
      <c r="D130" s="4274" t="s">
        <v>1732</v>
      </c>
      <c r="E130" s="4274"/>
      <c r="F130" s="4274"/>
      <c r="G130" s="4274"/>
      <c r="H130" s="4274"/>
      <c r="I130" s="4274"/>
      <c r="J130" s="4274"/>
      <c r="K130" s="4274"/>
      <c r="L130" s="4274"/>
      <c r="M130" s="4274"/>
      <c r="N130" s="4274"/>
      <c r="O130" s="4274"/>
      <c r="P130" s="4274"/>
      <c r="Q130" s="4274"/>
      <c r="R130" s="4274"/>
      <c r="S130" s="4274"/>
      <c r="T130" s="4274"/>
      <c r="U130" s="4274"/>
      <c r="V130" s="4274"/>
      <c r="W130" s="4274"/>
      <c r="Y130" s="3753"/>
      <c r="Z130" s="3753"/>
      <c r="AA130" s="3753"/>
      <c r="AB130" s="3753"/>
    </row>
    <row r="131" spans="1:28">
      <c r="A131" s="1121"/>
      <c r="B131" s="93"/>
      <c r="C131" s="2362"/>
      <c r="D131" s="4274"/>
      <c r="E131" s="4274"/>
      <c r="F131" s="4274"/>
      <c r="G131" s="4274"/>
      <c r="H131" s="4274"/>
      <c r="I131" s="4274"/>
      <c r="J131" s="4274"/>
      <c r="K131" s="4274"/>
      <c r="L131" s="4274"/>
      <c r="M131" s="4274"/>
      <c r="N131" s="4274"/>
      <c r="O131" s="4274"/>
      <c r="P131" s="4274"/>
      <c r="Q131" s="4274"/>
      <c r="R131" s="4274"/>
      <c r="S131" s="4274"/>
      <c r="T131" s="4274"/>
      <c r="U131" s="4274"/>
      <c r="V131" s="4274"/>
      <c r="W131" s="4274"/>
      <c r="Y131" s="3753"/>
      <c r="Z131" s="3753"/>
      <c r="AA131" s="3753"/>
      <c r="AB131" s="3753"/>
    </row>
    <row r="132" spans="1:28">
      <c r="A132" s="1121"/>
      <c r="B132" s="93"/>
      <c r="C132" s="2362"/>
      <c r="D132" s="1984"/>
      <c r="E132" s="1984"/>
      <c r="F132" s="1984"/>
      <c r="G132" s="1984"/>
      <c r="H132" s="1984"/>
      <c r="I132" s="1984"/>
      <c r="J132" s="1984"/>
      <c r="K132" s="1984"/>
      <c r="L132" s="1984"/>
      <c r="M132" s="1984"/>
      <c r="N132" s="1984"/>
      <c r="O132" s="1984"/>
      <c r="P132" s="1984"/>
      <c r="Q132" s="1984"/>
      <c r="R132" s="1984"/>
      <c r="S132" s="1984"/>
      <c r="T132" s="1984"/>
      <c r="U132" s="1984"/>
      <c r="V132" s="1984"/>
      <c r="W132" s="1984"/>
      <c r="Y132" s="3755"/>
      <c r="Z132" s="3755"/>
      <c r="AA132" s="3755"/>
      <c r="AB132" s="3755"/>
    </row>
    <row r="133" spans="1:28">
      <c r="A133" s="1417" t="s">
        <v>1534</v>
      </c>
      <c r="B133" s="1059"/>
      <c r="C133" s="2362"/>
      <c r="D133" s="4274" t="s">
        <v>1733</v>
      </c>
      <c r="E133" s="4274"/>
      <c r="F133" s="4274"/>
      <c r="G133" s="4274"/>
      <c r="H133" s="4274"/>
      <c r="I133" s="4274"/>
      <c r="J133" s="4274"/>
      <c r="K133" s="4274"/>
      <c r="L133" s="4274"/>
      <c r="M133" s="4274"/>
      <c r="N133" s="4274"/>
      <c r="O133" s="4274"/>
      <c r="P133" s="4274"/>
      <c r="Q133" s="4274"/>
      <c r="R133" s="4274"/>
      <c r="S133" s="4274"/>
      <c r="T133" s="4274"/>
      <c r="U133" s="4274"/>
      <c r="V133" s="4274"/>
      <c r="W133" s="4274"/>
      <c r="Y133" s="1614" t="s">
        <v>2508</v>
      </c>
      <c r="Z133" s="1629"/>
      <c r="AA133" s="1629"/>
      <c r="AB133" s="1592"/>
    </row>
    <row r="134" spans="1:28">
      <c r="A134" s="1121"/>
      <c r="B134" s="93"/>
      <c r="C134" s="2362"/>
      <c r="D134" s="1545" t="s">
        <v>1734</v>
      </c>
      <c r="E134" s="1983"/>
      <c r="F134" s="1983"/>
      <c r="G134" s="1983"/>
      <c r="H134" s="1988"/>
      <c r="I134" s="1988"/>
      <c r="J134" s="1988"/>
      <c r="K134" s="1988"/>
      <c r="L134" s="1983"/>
      <c r="M134" s="1662"/>
      <c r="N134" s="1662"/>
      <c r="O134" s="1662"/>
      <c r="P134" s="1662"/>
      <c r="Q134" s="1662"/>
      <c r="R134" s="1662"/>
      <c r="S134" s="1988"/>
      <c r="T134" s="1988"/>
      <c r="U134" s="1988"/>
      <c r="V134" s="1988"/>
      <c r="W134" s="1988"/>
      <c r="Y134" s="3645" t="s">
        <v>1533</v>
      </c>
      <c r="Z134" s="1621"/>
      <c r="AA134" s="1621"/>
      <c r="AB134" s="1621"/>
    </row>
    <row r="135" spans="1:28">
      <c r="A135" s="1121"/>
      <c r="B135" s="93"/>
      <c r="C135" s="2362"/>
      <c r="D135" s="1547"/>
      <c r="E135" s="1545"/>
      <c r="F135" s="1545"/>
      <c r="G135" s="1545"/>
      <c r="H135" s="3646"/>
      <c r="I135" s="3646"/>
      <c r="J135" s="3646"/>
      <c r="K135" s="3646"/>
      <c r="L135" s="1545"/>
      <c r="M135" s="3647"/>
      <c r="N135" s="3647"/>
      <c r="O135" s="3647"/>
      <c r="P135" s="3647"/>
      <c r="Q135" s="3647"/>
      <c r="R135" s="3647"/>
      <c r="S135" s="3646"/>
      <c r="T135" s="3646"/>
      <c r="U135" s="3646"/>
      <c r="V135" s="3646"/>
      <c r="W135" s="3646"/>
      <c r="Y135" s="2386"/>
      <c r="Z135" s="1983"/>
      <c r="AA135" s="1983"/>
      <c r="AB135" s="1983"/>
    </row>
    <row r="136" spans="1:28">
      <c r="A136" s="1458"/>
      <c r="B136" s="1458"/>
      <c r="C136" s="2346"/>
      <c r="D136" s="4367" t="s">
        <v>2526</v>
      </c>
      <c r="E136" s="4367"/>
      <c r="F136" s="4367"/>
      <c r="G136" s="4367"/>
      <c r="H136" s="4367"/>
      <c r="I136" s="4367"/>
      <c r="J136" s="4367"/>
      <c r="K136" s="4367"/>
      <c r="L136" s="4367"/>
      <c r="M136" s="4367"/>
      <c r="N136" s="4367"/>
      <c r="O136" s="4367"/>
      <c r="P136" s="4367"/>
      <c r="Q136" s="4367"/>
      <c r="R136" s="4367"/>
      <c r="S136" s="4367"/>
      <c r="T136" s="4367"/>
      <c r="U136" s="4367"/>
      <c r="V136" s="4367"/>
      <c r="W136" s="4367"/>
      <c r="Y136" s="2399"/>
      <c r="Z136" s="2398"/>
      <c r="AA136" s="2398"/>
      <c r="AB136" s="2398"/>
    </row>
    <row r="137" spans="1:28">
      <c r="A137" s="1621"/>
      <c r="B137" s="1621"/>
      <c r="C137" s="2346"/>
      <c r="D137" s="4367"/>
      <c r="E137" s="4367"/>
      <c r="F137" s="4367"/>
      <c r="G137" s="4367"/>
      <c r="H137" s="4367"/>
      <c r="I137" s="4367"/>
      <c r="J137" s="4367"/>
      <c r="K137" s="4367"/>
      <c r="L137" s="4367"/>
      <c r="M137" s="4367"/>
      <c r="N137" s="4367"/>
      <c r="O137" s="4367"/>
      <c r="P137" s="4367"/>
      <c r="Q137" s="4367"/>
      <c r="R137" s="4367"/>
      <c r="S137" s="4367"/>
      <c r="T137" s="4367"/>
      <c r="U137" s="4367"/>
      <c r="V137" s="4367"/>
      <c r="W137" s="4367"/>
      <c r="Y137" s="2399"/>
      <c r="Z137" s="2398"/>
      <c r="AA137" s="2398"/>
      <c r="AB137" s="2398"/>
    </row>
    <row r="138" spans="1:28">
      <c r="A138" s="1983"/>
      <c r="B138" s="1983"/>
      <c r="C138" s="2346"/>
      <c r="D138" s="4367"/>
      <c r="E138" s="4367"/>
      <c r="F138" s="4367"/>
      <c r="G138" s="4367"/>
      <c r="H138" s="4367"/>
      <c r="I138" s="4367"/>
      <c r="J138" s="4367"/>
      <c r="K138" s="4367"/>
      <c r="L138" s="4367"/>
      <c r="M138" s="4367"/>
      <c r="N138" s="4367"/>
      <c r="O138" s="4367"/>
      <c r="P138" s="4367"/>
      <c r="Q138" s="4367"/>
      <c r="R138" s="4367"/>
      <c r="S138" s="4367"/>
      <c r="T138" s="4367"/>
      <c r="U138" s="4367"/>
      <c r="V138" s="4367"/>
      <c r="W138" s="4367"/>
      <c r="Y138" s="2399"/>
      <c r="Z138" s="2398"/>
      <c r="AA138" s="2398"/>
      <c r="AB138" s="2398"/>
    </row>
    <row r="139" spans="1:28">
      <c r="A139" s="1983"/>
      <c r="B139" s="1983"/>
      <c r="C139" s="2346"/>
      <c r="D139" s="3402"/>
      <c r="E139" s="3402"/>
      <c r="F139" s="3402"/>
      <c r="G139" s="3402"/>
      <c r="H139" s="3402"/>
      <c r="I139" s="3402"/>
      <c r="J139" s="3402"/>
      <c r="K139" s="3402"/>
      <c r="L139" s="3402"/>
      <c r="M139" s="3402"/>
      <c r="N139" s="3402"/>
      <c r="O139" s="3402"/>
      <c r="P139" s="3402"/>
      <c r="Q139" s="3402"/>
      <c r="R139" s="3402"/>
      <c r="S139" s="3402"/>
      <c r="T139" s="3402"/>
      <c r="U139" s="3402"/>
      <c r="V139" s="3402"/>
      <c r="W139" s="3402"/>
      <c r="Y139" s="2399"/>
      <c r="Z139" s="2398"/>
      <c r="AA139" s="2398"/>
      <c r="AB139" s="2398"/>
    </row>
    <row r="140" spans="1:28">
      <c r="A140" s="1983"/>
      <c r="B140" s="1983"/>
      <c r="C140" s="2346"/>
      <c r="D140" s="1943" t="s">
        <v>1872</v>
      </c>
      <c r="E140" s="1943"/>
      <c r="F140" s="1943"/>
      <c r="G140" s="1943"/>
      <c r="H140" s="1943"/>
      <c r="I140" s="1943"/>
      <c r="J140" s="1943"/>
      <c r="K140" s="1943"/>
      <c r="L140" s="1943"/>
      <c r="M140" s="1943"/>
      <c r="N140" s="1943"/>
      <c r="O140" s="1943"/>
      <c r="P140" s="1943"/>
      <c r="Q140" s="1943"/>
      <c r="R140" s="1943"/>
      <c r="S140" s="1943"/>
      <c r="T140" s="1943"/>
      <c r="U140" s="1943"/>
      <c r="V140" s="1943"/>
      <c r="W140" s="1943"/>
      <c r="Y140" s="2399"/>
      <c r="Z140" s="2398"/>
      <c r="AA140" s="2398"/>
      <c r="AB140" s="2398"/>
    </row>
    <row r="141" spans="1:28">
      <c r="A141" s="1983"/>
      <c r="B141" s="1983"/>
      <c r="C141" s="2346"/>
      <c r="D141" s="4354" t="s">
        <v>1873</v>
      </c>
      <c r="E141" s="4354"/>
      <c r="F141" s="4354"/>
      <c r="G141" s="4354"/>
      <c r="H141" s="4354"/>
      <c r="I141" s="4354"/>
      <c r="J141" s="4354"/>
      <c r="K141" s="4354"/>
      <c r="L141" s="4354"/>
      <c r="M141" s="4354"/>
      <c r="N141" s="4354"/>
      <c r="O141" s="4354"/>
      <c r="P141" s="4354"/>
      <c r="Q141" s="4354"/>
      <c r="R141" s="4354"/>
      <c r="S141" s="4354"/>
      <c r="T141" s="4354"/>
      <c r="U141" s="4354"/>
      <c r="V141" s="4354"/>
      <c r="W141" s="4354"/>
      <c r="Y141" s="2399"/>
      <c r="Z141" s="2398"/>
      <c r="AA141" s="2398"/>
      <c r="AB141" s="2398"/>
    </row>
    <row r="142" spans="1:28">
      <c r="A142" s="2271"/>
      <c r="B142" s="2271"/>
      <c r="C142" s="2346"/>
      <c r="D142" s="4354"/>
      <c r="E142" s="4354"/>
      <c r="F142" s="4354"/>
      <c r="G142" s="4354"/>
      <c r="H142" s="4354"/>
      <c r="I142" s="4354"/>
      <c r="J142" s="4354"/>
      <c r="K142" s="4354"/>
      <c r="L142" s="4354"/>
      <c r="M142" s="4354"/>
      <c r="N142" s="4354"/>
      <c r="O142" s="4354"/>
      <c r="P142" s="4354"/>
      <c r="Q142" s="4354"/>
      <c r="R142" s="4354"/>
      <c r="S142" s="4354"/>
      <c r="T142" s="4354"/>
      <c r="U142" s="4354"/>
      <c r="V142" s="4354"/>
      <c r="W142" s="4354"/>
      <c r="Y142" s="2399"/>
      <c r="Z142" s="2398"/>
      <c r="AA142" s="2398"/>
      <c r="AB142" s="2398"/>
    </row>
    <row r="143" spans="1:28">
      <c r="A143" s="1983"/>
      <c r="B143" s="1983"/>
      <c r="C143" s="2346"/>
      <c r="D143" s="4356" t="s">
        <v>1735</v>
      </c>
      <c r="E143" s="4377"/>
      <c r="F143" s="4377"/>
      <c r="G143" s="4377"/>
      <c r="H143" s="4377"/>
      <c r="I143" s="4377"/>
      <c r="J143" s="4377"/>
      <c r="K143" s="4377"/>
      <c r="L143" s="4377"/>
      <c r="M143" s="4377"/>
      <c r="N143" s="4377"/>
      <c r="O143" s="4377"/>
      <c r="P143" s="4377"/>
      <c r="Q143" s="4377"/>
      <c r="R143" s="4377"/>
      <c r="S143" s="4377"/>
      <c r="T143" s="4377"/>
      <c r="U143" s="4377"/>
      <c r="V143" s="4377"/>
      <c r="W143" s="4377"/>
      <c r="Y143" s="2269"/>
      <c r="Z143" s="1983"/>
      <c r="AA143" s="1983"/>
      <c r="AB143" s="1983"/>
    </row>
    <row r="144" spans="1:28">
      <c r="A144" s="1458"/>
      <c r="B144" s="1458"/>
      <c r="C144" s="2346"/>
      <c r="D144" s="4377"/>
      <c r="E144" s="4377"/>
      <c r="F144" s="4377"/>
      <c r="G144" s="4377"/>
      <c r="H144" s="4377"/>
      <c r="I144" s="4377"/>
      <c r="J144" s="4377"/>
      <c r="K144" s="4377"/>
      <c r="L144" s="4377"/>
      <c r="M144" s="4377"/>
      <c r="N144" s="4377"/>
      <c r="O144" s="4377"/>
      <c r="P144" s="4377"/>
      <c r="Q144" s="4377"/>
      <c r="R144" s="4377"/>
      <c r="S144" s="4377"/>
      <c r="T144" s="4377"/>
      <c r="U144" s="4377"/>
      <c r="V144" s="4377"/>
      <c r="W144" s="4377"/>
      <c r="Y144" s="3650" t="s">
        <v>1555</v>
      </c>
      <c r="Z144" s="1621"/>
      <c r="AA144" s="1621"/>
      <c r="AB144" s="1621"/>
    </row>
    <row r="145" spans="1:64">
      <c r="A145" s="1458"/>
      <c r="B145" s="1458"/>
      <c r="C145" s="2346"/>
      <c r="D145" s="3648" t="s">
        <v>1736</v>
      </c>
      <c r="E145" s="3406"/>
      <c r="F145" s="3406"/>
      <c r="G145" s="3406"/>
      <c r="H145" s="3406"/>
      <c r="I145" s="3406"/>
      <c r="J145" s="3406"/>
      <c r="K145" s="3406"/>
      <c r="L145" s="3406"/>
      <c r="M145" s="3406"/>
      <c r="N145" s="3406"/>
      <c r="O145" s="3406"/>
      <c r="P145" s="3406"/>
      <c r="Q145" s="3406"/>
      <c r="R145" s="3406"/>
      <c r="S145" s="3406"/>
      <c r="T145" s="3406"/>
      <c r="U145" s="3406"/>
      <c r="V145" s="3406"/>
      <c r="W145" s="3406"/>
      <c r="Y145" s="2387"/>
      <c r="Z145" s="2129"/>
      <c r="AA145" s="2129"/>
      <c r="AB145" s="2129"/>
    </row>
    <row r="146" spans="1:64">
      <c r="A146" s="1458"/>
      <c r="B146" s="1458"/>
      <c r="C146" s="2346"/>
      <c r="D146" s="1943"/>
      <c r="E146" s="3649"/>
      <c r="F146" s="3649"/>
      <c r="G146" s="3649"/>
      <c r="H146" s="3649"/>
      <c r="I146" s="3649"/>
      <c r="J146" s="3649"/>
      <c r="K146" s="3649"/>
      <c r="L146" s="3649"/>
      <c r="M146" s="3649"/>
      <c r="N146" s="3649"/>
      <c r="O146" s="3649"/>
      <c r="P146" s="3649"/>
      <c r="Q146" s="3649"/>
      <c r="R146" s="3649"/>
      <c r="S146" s="3649"/>
      <c r="T146" s="3649"/>
      <c r="U146" s="3649"/>
      <c r="V146" s="1988"/>
      <c r="W146" s="1988"/>
      <c r="Y146" s="2399"/>
      <c r="Z146" s="2398"/>
      <c r="AA146" s="2398"/>
      <c r="AB146" s="2398"/>
    </row>
    <row r="147" spans="1:64" s="2398" customFormat="1" ht="3.75" customHeight="1">
      <c r="A147" s="2766"/>
      <c r="C147" s="2399"/>
      <c r="D147" s="2767"/>
      <c r="E147" s="2399"/>
      <c r="F147" s="2399"/>
      <c r="G147" s="2399"/>
      <c r="H147" s="2399"/>
      <c r="I147" s="2399"/>
      <c r="J147" s="2399"/>
      <c r="K147" s="2399"/>
      <c r="L147" s="2399"/>
      <c r="M147" s="2399"/>
      <c r="N147" s="2399"/>
      <c r="O147" s="2399"/>
      <c r="P147" s="2399"/>
      <c r="Q147" s="2746"/>
      <c r="R147" s="2497"/>
      <c r="S147" s="2399"/>
      <c r="T147" s="2399"/>
      <c r="U147" s="2399"/>
      <c r="V147" s="2399"/>
      <c r="W147" s="2399"/>
      <c r="X147" s="2399"/>
      <c r="Y147" s="2399"/>
      <c r="AF147" s="2399"/>
      <c r="AG147" s="2399"/>
      <c r="BL147" s="2399"/>
    </row>
    <row r="148" spans="1:64" ht="13.15" customHeight="1">
      <c r="A148" s="1175" t="s">
        <v>1200</v>
      </c>
      <c r="B148" s="102"/>
      <c r="C148" s="2346"/>
      <c r="D148" s="1545" t="s">
        <v>1814</v>
      </c>
      <c r="E148" s="1421"/>
      <c r="F148" s="1421"/>
      <c r="G148" s="1421"/>
      <c r="H148" s="1421"/>
      <c r="I148" s="1421"/>
      <c r="J148" s="1421"/>
      <c r="K148" s="1421"/>
      <c r="L148" s="1421"/>
      <c r="M148" s="1421"/>
      <c r="N148" s="1421"/>
      <c r="O148" s="1421"/>
      <c r="P148" s="1421"/>
      <c r="Q148" s="1421"/>
      <c r="R148" s="1592"/>
      <c r="S148" s="1421"/>
      <c r="T148" s="1421"/>
      <c r="U148" s="1421"/>
      <c r="V148" s="1421"/>
      <c r="W148" s="1422"/>
      <c r="Y148" s="3494" t="s">
        <v>1532</v>
      </c>
      <c r="Z148" s="3649"/>
      <c r="AA148" s="3649"/>
      <c r="AB148" s="3649"/>
    </row>
    <row r="149" spans="1:64">
      <c r="A149" s="1458"/>
      <c r="B149" s="1458"/>
      <c r="C149" s="2346"/>
      <c r="D149" s="1548" t="s">
        <v>1738</v>
      </c>
      <c r="E149" s="1630"/>
      <c r="F149" s="1630"/>
      <c r="G149" s="1630"/>
      <c r="H149" s="1630"/>
      <c r="I149" s="1630"/>
      <c r="J149" s="1630"/>
      <c r="K149" s="1630"/>
      <c r="L149" s="1630"/>
      <c r="M149" s="1630"/>
      <c r="N149" s="1630"/>
      <c r="O149" s="1630"/>
      <c r="P149" s="1630"/>
      <c r="Q149" s="1630"/>
      <c r="R149" s="1630"/>
      <c r="S149" s="1630"/>
      <c r="T149" s="1630"/>
      <c r="U149" s="1630"/>
      <c r="V149" s="1630"/>
      <c r="W149" s="1630"/>
      <c r="Y149" s="4311" t="s">
        <v>1737</v>
      </c>
      <c r="Z149" s="4311"/>
      <c r="AA149" s="4311"/>
      <c r="AB149" s="4311"/>
    </row>
    <row r="150" spans="1:64" ht="13.15" customHeight="1">
      <c r="A150" s="1458"/>
      <c r="B150" s="1458"/>
      <c r="C150" s="2346"/>
      <c r="D150" s="4326" t="s">
        <v>1747</v>
      </c>
      <c r="E150" s="4326"/>
      <c r="F150" s="4326"/>
      <c r="G150" s="4326"/>
      <c r="H150" s="4326"/>
      <c r="I150" s="4326"/>
      <c r="J150" s="4326"/>
      <c r="K150" s="4326"/>
      <c r="L150" s="4326"/>
      <c r="M150" s="4326"/>
      <c r="N150" s="4326"/>
      <c r="O150" s="4326"/>
      <c r="P150" s="4326"/>
      <c r="Q150" s="4326"/>
      <c r="R150" s="4326"/>
      <c r="S150" s="4326"/>
      <c r="T150" s="4326"/>
      <c r="U150" s="4326"/>
      <c r="V150" s="4326"/>
      <c r="W150" s="4326"/>
      <c r="Y150" s="4311"/>
      <c r="Z150" s="4311"/>
      <c r="AA150" s="4311"/>
      <c r="AB150" s="4311"/>
    </row>
    <row r="151" spans="1:64">
      <c r="A151" s="1458"/>
      <c r="B151" s="1458"/>
      <c r="C151" s="2346"/>
      <c r="D151" s="4485" t="s">
        <v>1874</v>
      </c>
      <c r="E151" s="4485"/>
      <c r="F151" s="4485"/>
      <c r="G151" s="4485"/>
      <c r="H151" s="4485"/>
      <c r="I151" s="4485"/>
      <c r="J151" s="4485"/>
      <c r="K151" s="4485"/>
      <c r="L151" s="4485"/>
      <c r="M151" s="4485"/>
      <c r="N151" s="4485"/>
      <c r="O151" s="4485"/>
      <c r="P151" s="4485"/>
      <c r="Q151" s="4485"/>
      <c r="R151" s="4485"/>
      <c r="S151" s="4485"/>
      <c r="T151" s="4485"/>
      <c r="U151" s="4485"/>
      <c r="V151" s="4485"/>
      <c r="W151" s="4485"/>
      <c r="Y151" s="2388"/>
      <c r="Z151" s="1687"/>
      <c r="AA151" s="1687"/>
      <c r="AB151" s="1687"/>
    </row>
    <row r="152" spans="1:64">
      <c r="A152" s="1458"/>
      <c r="B152" s="1458"/>
      <c r="C152" s="2346"/>
      <c r="D152" s="4485"/>
      <c r="E152" s="4485"/>
      <c r="F152" s="4485"/>
      <c r="G152" s="4485"/>
      <c r="H152" s="4485"/>
      <c r="I152" s="4485"/>
      <c r="J152" s="4485"/>
      <c r="K152" s="4485"/>
      <c r="L152" s="4485"/>
      <c r="M152" s="4485"/>
      <c r="N152" s="4485"/>
      <c r="O152" s="4485"/>
      <c r="P152" s="4485"/>
      <c r="Q152" s="4485"/>
      <c r="R152" s="4485"/>
      <c r="S152" s="4485"/>
      <c r="T152" s="4485"/>
      <c r="U152" s="4485"/>
      <c r="V152" s="4485"/>
      <c r="W152" s="4485"/>
      <c r="Y152" s="3492" t="s">
        <v>1739</v>
      </c>
      <c r="Z152" s="1621"/>
      <c r="AA152" s="1621"/>
      <c r="AB152" s="1621"/>
    </row>
    <row r="153" spans="1:64">
      <c r="A153" s="1458"/>
      <c r="B153" s="1458"/>
      <c r="C153" s="2346"/>
      <c r="D153" s="3651"/>
      <c r="E153" s="3651"/>
      <c r="F153" s="3651"/>
      <c r="G153" s="3651"/>
      <c r="H153" s="3651"/>
      <c r="I153" s="2275"/>
      <c r="J153" s="2275"/>
      <c r="K153" s="2275"/>
      <c r="L153" s="2275"/>
      <c r="M153" s="2275"/>
      <c r="N153" s="2275"/>
      <c r="O153" s="2275"/>
      <c r="P153" s="2275"/>
      <c r="Q153" s="2275"/>
      <c r="R153" s="2275"/>
      <c r="S153" s="2275"/>
      <c r="T153" s="2275"/>
      <c r="U153" s="2275"/>
      <c r="V153" s="2275"/>
      <c r="W153" s="2276"/>
      <c r="Y153" s="1135"/>
      <c r="Z153" s="2271"/>
      <c r="AA153" s="2271"/>
      <c r="AB153" s="2271"/>
    </row>
    <row r="154" spans="1:64">
      <c r="A154" s="1458"/>
      <c r="B154" s="1458"/>
      <c r="C154" s="2346"/>
      <c r="D154" s="3652"/>
      <c r="E154" s="3651"/>
      <c r="F154" s="3651"/>
      <c r="G154" s="3651"/>
      <c r="H154" s="3651"/>
      <c r="I154" s="1632"/>
      <c r="J154" s="1632"/>
      <c r="K154" s="1632"/>
      <c r="L154" s="1632"/>
      <c r="M154" s="1632"/>
      <c r="N154" s="1632"/>
      <c r="O154" s="1632"/>
      <c r="P154" s="1632"/>
      <c r="Q154" s="1632"/>
      <c r="R154" s="1632"/>
      <c r="S154" s="1632"/>
      <c r="T154" s="1632"/>
      <c r="U154" s="1632"/>
      <c r="V154" s="1632"/>
      <c r="W154" s="1631"/>
      <c r="Y154" s="2269"/>
      <c r="Z154" s="1621"/>
      <c r="AA154" s="1621"/>
      <c r="AB154" s="1621"/>
    </row>
    <row r="155" spans="1:64" ht="13.15" customHeight="1">
      <c r="A155" s="1458"/>
      <c r="B155" s="1458"/>
      <c r="C155" s="2346"/>
      <c r="D155" s="1943" t="s">
        <v>2527</v>
      </c>
      <c r="E155" s="3406"/>
      <c r="F155" s="3406"/>
      <c r="G155" s="3406"/>
      <c r="H155" s="3406"/>
      <c r="I155" s="1935"/>
      <c r="J155" s="1935"/>
      <c r="K155" s="1935"/>
      <c r="L155" s="1935"/>
      <c r="M155" s="1935"/>
      <c r="N155" s="1935"/>
      <c r="O155" s="1935"/>
      <c r="P155" s="1935"/>
      <c r="Q155" s="1935"/>
      <c r="R155" s="1935"/>
      <c r="S155" s="1935"/>
      <c r="T155" s="1935"/>
      <c r="U155" s="1935"/>
      <c r="V155" s="1935"/>
      <c r="W155" s="1631"/>
      <c r="Y155" s="3492" t="s">
        <v>1421</v>
      </c>
      <c r="Z155" s="1621"/>
      <c r="AA155" s="1621"/>
      <c r="AB155" s="1621"/>
    </row>
    <row r="156" spans="1:64">
      <c r="A156" s="1458"/>
      <c r="B156" s="1458"/>
      <c r="C156" s="2346"/>
      <c r="D156" s="3653" t="s">
        <v>1531</v>
      </c>
      <c r="E156" s="3406"/>
      <c r="F156" s="3406"/>
      <c r="G156" s="3406"/>
      <c r="H156" s="3406"/>
      <c r="I156" s="1935"/>
      <c r="J156" s="1935"/>
      <c r="K156" s="1935"/>
      <c r="L156" s="1935"/>
      <c r="M156" s="1935"/>
      <c r="N156" s="1935"/>
      <c r="O156" s="1935"/>
      <c r="P156" s="1935"/>
      <c r="Q156" s="1935"/>
      <c r="R156" s="1935"/>
      <c r="S156" s="1619"/>
      <c r="T156" s="1621"/>
      <c r="U156" s="1935"/>
      <c r="V156" s="1935"/>
      <c r="W156" s="1631"/>
      <c r="Y156" s="2135" t="s">
        <v>1422</v>
      </c>
      <c r="Z156" s="1621"/>
      <c r="AA156" s="1621"/>
      <c r="AB156" s="1621"/>
    </row>
    <row r="157" spans="1:64">
      <c r="A157" s="1458"/>
      <c r="B157" s="1458"/>
      <c r="C157" s="2346"/>
      <c r="D157" s="3654"/>
      <c r="E157" s="3655"/>
      <c r="F157" s="3655"/>
      <c r="G157" s="3655"/>
      <c r="H157" s="3655"/>
      <c r="I157" s="1619"/>
      <c r="J157" s="1619"/>
      <c r="K157" s="1619"/>
      <c r="L157" s="1619"/>
      <c r="M157" s="1619"/>
      <c r="N157" s="1619"/>
      <c r="O157" s="1619"/>
      <c r="P157" s="1619"/>
      <c r="Q157" s="1619"/>
      <c r="R157" s="1619"/>
      <c r="S157" s="1619"/>
      <c r="T157" s="1619"/>
      <c r="U157" s="1619"/>
      <c r="V157" s="1592"/>
      <c r="W157" s="1619"/>
      <c r="Y157" s="1614"/>
      <c r="Z157" s="1545"/>
      <c r="AA157" s="1545"/>
      <c r="AB157" s="1545"/>
    </row>
    <row r="158" spans="1:64">
      <c r="A158" s="1458"/>
      <c r="B158" s="1458"/>
      <c r="C158" s="2346"/>
      <c r="D158" s="1614" t="s">
        <v>1740</v>
      </c>
      <c r="E158" s="1942"/>
      <c r="F158" s="1614"/>
      <c r="G158" s="3642"/>
      <c r="H158" s="1942"/>
      <c r="I158" s="1614"/>
      <c r="J158" s="1942"/>
      <c r="K158" s="1545"/>
      <c r="L158" s="1545"/>
      <c r="M158" s="1545"/>
      <c r="N158" s="1545"/>
      <c r="O158" s="1592"/>
      <c r="P158" s="4319" t="s">
        <v>2528</v>
      </c>
      <c r="Q158" s="4319"/>
      <c r="R158" s="4319"/>
      <c r="S158" s="4319"/>
      <c r="T158" s="4319"/>
      <c r="U158" s="4319"/>
      <c r="V158" s="1505"/>
      <c r="W158" s="1097"/>
      <c r="Y158" s="3488"/>
      <c r="Z158" s="3756"/>
      <c r="AA158" s="3756"/>
      <c r="AB158" s="3756"/>
    </row>
    <row r="159" spans="1:64">
      <c r="A159" s="1458"/>
      <c r="B159" s="1458"/>
      <c r="C159" s="2346"/>
      <c r="D159" s="4318" t="s">
        <v>2529</v>
      </c>
      <c r="E159" s="4318"/>
      <c r="F159" s="4318"/>
      <c r="G159" s="4318"/>
      <c r="H159" s="4318"/>
      <c r="I159" s="4318"/>
      <c r="J159" s="4318"/>
      <c r="K159" s="4318"/>
      <c r="L159" s="4318"/>
      <c r="M159" s="4318"/>
      <c r="N159" s="4318"/>
      <c r="O159" s="1592"/>
      <c r="P159" s="4319"/>
      <c r="Q159" s="4319"/>
      <c r="R159" s="4319"/>
      <c r="S159" s="4319"/>
      <c r="T159" s="4319"/>
      <c r="U159" s="4319"/>
      <c r="V159" s="1505"/>
      <c r="W159" s="1097"/>
      <c r="Y159" s="1614"/>
      <c r="Z159" s="1545"/>
      <c r="AA159" s="1545"/>
      <c r="AB159" s="1545"/>
    </row>
    <row r="160" spans="1:64">
      <c r="A160" s="1458"/>
      <c r="B160" s="1458"/>
      <c r="C160" s="2346"/>
      <c r="D160" s="4318"/>
      <c r="E160" s="4318"/>
      <c r="F160" s="4318"/>
      <c r="G160" s="4318"/>
      <c r="H160" s="4318"/>
      <c r="I160" s="4318"/>
      <c r="J160" s="4318"/>
      <c r="K160" s="4318"/>
      <c r="L160" s="4318"/>
      <c r="M160" s="4318"/>
      <c r="N160" s="4318"/>
      <c r="O160" s="1621"/>
      <c r="P160" s="2000" t="s">
        <v>1373</v>
      </c>
      <c r="Q160" s="1333"/>
      <c r="R160" s="1097"/>
      <c r="S160" s="1505"/>
      <c r="T160" s="1505"/>
      <c r="U160" s="1505"/>
      <c r="V160" s="1505"/>
      <c r="W160" s="1097"/>
      <c r="Y160" s="3494" t="s">
        <v>1514</v>
      </c>
      <c r="Z160" s="1545"/>
      <c r="AA160" s="1545"/>
      <c r="AB160" s="1545"/>
    </row>
    <row r="161" spans="1:64">
      <c r="A161" s="1458"/>
      <c r="B161" s="1458"/>
      <c r="C161" s="2346"/>
      <c r="D161" s="3656" t="s">
        <v>1378</v>
      </c>
      <c r="E161" s="1942"/>
      <c r="F161" s="1614"/>
      <c r="G161" s="3642"/>
      <c r="H161" s="1942"/>
      <c r="I161" s="1614"/>
      <c r="J161" s="1942"/>
      <c r="K161" s="1545"/>
      <c r="L161" s="1545"/>
      <c r="M161" s="1545"/>
      <c r="N161" s="1545"/>
      <c r="O161" s="1592"/>
      <c r="P161" s="2000" t="s">
        <v>1374</v>
      </c>
      <c r="Q161" s="1333"/>
      <c r="R161" s="1097"/>
      <c r="S161" s="1505"/>
      <c r="T161" s="1505"/>
      <c r="U161" s="1505"/>
      <c r="V161" s="1505"/>
      <c r="W161" s="1097"/>
      <c r="Y161" s="1614"/>
      <c r="Z161" s="1545"/>
      <c r="AA161" s="1545"/>
      <c r="AB161" s="1545"/>
    </row>
    <row r="162" spans="1:64">
      <c r="A162" s="1458"/>
      <c r="B162" s="1458"/>
      <c r="C162" s="2346"/>
      <c r="D162" s="3656" t="s">
        <v>1372</v>
      </c>
      <c r="E162" s="1942"/>
      <c r="F162" s="1614"/>
      <c r="G162" s="3642"/>
      <c r="H162" s="1942"/>
      <c r="I162" s="1614"/>
      <c r="J162" s="1942"/>
      <c r="K162" s="1545"/>
      <c r="L162" s="1545"/>
      <c r="M162" s="1545"/>
      <c r="N162" s="1545"/>
      <c r="O162" s="1621"/>
      <c r="P162" s="2000" t="s">
        <v>1375</v>
      </c>
      <c r="Q162" s="1333"/>
      <c r="R162" s="1097"/>
      <c r="S162" s="1505"/>
      <c r="T162" s="1505"/>
      <c r="U162" s="1621"/>
      <c r="V162" s="1505"/>
      <c r="W162" s="1097"/>
      <c r="Y162" s="1614"/>
      <c r="Z162" s="1545"/>
      <c r="AA162" s="1545"/>
      <c r="AB162" s="1545"/>
    </row>
    <row r="163" spans="1:64">
      <c r="A163" s="1458"/>
      <c r="B163" s="1458"/>
      <c r="C163" s="2346"/>
      <c r="D163" s="1615" t="s">
        <v>1380</v>
      </c>
      <c r="E163" s="1614"/>
      <c r="F163" s="1614"/>
      <c r="G163" s="3642"/>
      <c r="H163" s="1942"/>
      <c r="I163" s="1614"/>
      <c r="J163" s="1942"/>
      <c r="K163" s="1545"/>
      <c r="L163" s="1545"/>
      <c r="M163" s="1545"/>
      <c r="N163" s="1545"/>
      <c r="O163" s="1621"/>
      <c r="P163" s="1545" t="s">
        <v>1381</v>
      </c>
      <c r="Q163" s="1333"/>
      <c r="R163" s="1097"/>
      <c r="S163" s="1505"/>
      <c r="T163" s="1505"/>
      <c r="U163" s="1505"/>
      <c r="V163" s="1505"/>
      <c r="W163" s="1097"/>
      <c r="Y163" s="3657" t="s">
        <v>1371</v>
      </c>
      <c r="Z163" s="1545"/>
      <c r="AA163" s="1545"/>
      <c r="AB163" s="1545"/>
    </row>
    <row r="164" spans="1:64">
      <c r="A164" s="1458"/>
      <c r="B164" s="1458"/>
      <c r="C164" s="2346"/>
      <c r="D164" s="3656" t="s">
        <v>1536</v>
      </c>
      <c r="E164" s="1614"/>
      <c r="F164" s="1614"/>
      <c r="G164" s="3642"/>
      <c r="H164" s="1942"/>
      <c r="I164" s="1614"/>
      <c r="J164" s="1942"/>
      <c r="K164" s="1545"/>
      <c r="L164" s="1545"/>
      <c r="M164" s="1545"/>
      <c r="N164" s="1545"/>
      <c r="O164" s="1621"/>
      <c r="P164" s="2000" t="s">
        <v>1379</v>
      </c>
      <c r="Q164" s="1333"/>
      <c r="R164" s="1097"/>
      <c r="S164" s="1505"/>
      <c r="T164" s="1505"/>
      <c r="U164" s="1505"/>
      <c r="V164" s="1505"/>
      <c r="W164" s="1097"/>
      <c r="Y164" s="3650"/>
      <c r="Z164" s="1545"/>
      <c r="AA164" s="1545"/>
      <c r="AB164" s="1545"/>
    </row>
    <row r="165" spans="1:64">
      <c r="A165" s="1458"/>
      <c r="B165" s="1458"/>
      <c r="C165" s="2346"/>
      <c r="D165" s="1621"/>
      <c r="E165" s="1621"/>
      <c r="F165" s="1621"/>
      <c r="G165" s="1621"/>
      <c r="H165" s="1621"/>
      <c r="I165" s="1621"/>
      <c r="J165" s="1621"/>
      <c r="K165" s="1621"/>
      <c r="L165" s="1621"/>
      <c r="M165" s="1621"/>
      <c r="N165" s="1621"/>
      <c r="O165" s="1621"/>
      <c r="P165" s="1621"/>
      <c r="Q165" s="1621"/>
      <c r="R165" s="1621"/>
      <c r="S165" s="1505"/>
      <c r="T165" s="1505"/>
      <c r="U165" s="1505"/>
      <c r="V165" s="1505"/>
      <c r="W165" s="1097"/>
      <c r="Y165" s="3757"/>
      <c r="Z165" s="3756"/>
      <c r="AA165" s="3756"/>
      <c r="AB165" s="3756"/>
    </row>
    <row r="166" spans="1:64">
      <c r="A166" s="1458"/>
      <c r="B166" s="1458"/>
      <c r="C166" s="2346"/>
      <c r="D166" s="1614" t="s">
        <v>2530</v>
      </c>
      <c r="E166" s="1482"/>
      <c r="F166" s="1624"/>
      <c r="G166" s="1459"/>
      <c r="H166" s="1458"/>
      <c r="I166" s="1624"/>
      <c r="J166" s="1458"/>
      <c r="K166" s="1621"/>
      <c r="L166" s="1621"/>
      <c r="M166" s="1621"/>
      <c r="N166" s="1621"/>
      <c r="O166" s="1621"/>
      <c r="P166" s="1089"/>
      <c r="Q166" s="1333"/>
      <c r="R166" s="1097"/>
      <c r="S166" s="1505"/>
      <c r="T166" s="1505"/>
      <c r="U166" s="1505"/>
      <c r="V166" s="1505"/>
      <c r="W166" s="1621"/>
      <c r="Y166" s="4341"/>
      <c r="Z166" s="4341"/>
      <c r="AA166" s="4341"/>
      <c r="AB166" s="4341"/>
    </row>
    <row r="167" spans="1:64">
      <c r="A167" s="1458"/>
      <c r="B167" s="1458"/>
      <c r="C167" s="2346"/>
      <c r="D167" s="3656" t="s">
        <v>1741</v>
      </c>
      <c r="E167" s="1482"/>
      <c r="F167" s="1985"/>
      <c r="G167" s="1459"/>
      <c r="H167" s="1458"/>
      <c r="I167" s="1985"/>
      <c r="J167" s="1458"/>
      <c r="K167" s="1983"/>
      <c r="L167" s="1983"/>
      <c r="M167" s="1983"/>
      <c r="N167" s="1983"/>
      <c r="O167" s="1983"/>
      <c r="P167" s="1089"/>
      <c r="Q167" s="1333"/>
      <c r="R167" s="1097"/>
      <c r="S167" s="1505"/>
      <c r="T167" s="1505"/>
      <c r="U167" s="1505"/>
      <c r="V167" s="1505"/>
      <c r="W167" s="1983"/>
      <c r="Y167" s="3658" t="s">
        <v>1513</v>
      </c>
      <c r="Z167" s="3659"/>
      <c r="AA167" s="3659"/>
      <c r="AB167" s="3659"/>
    </row>
    <row r="168" spans="1:64">
      <c r="A168" s="1458"/>
      <c r="B168" s="1458"/>
      <c r="C168" s="2346"/>
      <c r="D168" s="3656" t="s">
        <v>1876</v>
      </c>
      <c r="E168" s="1482"/>
      <c r="F168" s="1624"/>
      <c r="G168" s="1459"/>
      <c r="H168" s="1458"/>
      <c r="I168" s="1624"/>
      <c r="J168" s="1458"/>
      <c r="K168" s="1621"/>
      <c r="L168" s="1621"/>
      <c r="M168" s="1621"/>
      <c r="N168" s="1621"/>
      <c r="O168" s="1621"/>
      <c r="P168" s="1089"/>
      <c r="Q168" s="1333"/>
      <c r="R168" s="1097"/>
      <c r="S168" s="1505"/>
      <c r="T168" s="1505"/>
      <c r="U168" s="1505"/>
      <c r="V168" s="1505"/>
      <c r="W168" s="1097"/>
      <c r="Y168" s="4407" t="s">
        <v>1512</v>
      </c>
      <c r="Z168" s="4407"/>
      <c r="AA168" s="4407"/>
      <c r="AB168" s="4407"/>
    </row>
    <row r="169" spans="1:64">
      <c r="A169" s="1458"/>
      <c r="B169" s="1458"/>
      <c r="C169" s="2346"/>
      <c r="D169" s="1615" t="s">
        <v>1877</v>
      </c>
      <c r="E169" s="1482"/>
      <c r="F169" s="2269"/>
      <c r="G169" s="1459"/>
      <c r="H169" s="1458"/>
      <c r="I169" s="2269"/>
      <c r="J169" s="1458"/>
      <c r="K169" s="2271"/>
      <c r="L169" s="2271"/>
      <c r="M169" s="2271"/>
      <c r="N169" s="2271"/>
      <c r="O169" s="2271"/>
      <c r="P169" s="1089"/>
      <c r="Q169" s="1333"/>
      <c r="R169" s="1097"/>
      <c r="S169" s="1505"/>
      <c r="T169" s="1505"/>
      <c r="U169" s="1505"/>
      <c r="V169" s="1505"/>
      <c r="W169" s="1097"/>
      <c r="Y169" s="4407"/>
      <c r="Z169" s="4407"/>
      <c r="AA169" s="4407"/>
      <c r="AB169" s="4407"/>
    </row>
    <row r="170" spans="1:64" ht="13.15" customHeight="1">
      <c r="A170" s="1458"/>
      <c r="B170" s="1458"/>
      <c r="C170" s="2346"/>
      <c r="D170" s="3623" t="s">
        <v>1383</v>
      </c>
      <c r="E170" s="1482"/>
      <c r="F170" s="1834"/>
      <c r="G170" s="1459"/>
      <c r="H170" s="1458"/>
      <c r="I170" s="1834"/>
      <c r="J170" s="1458"/>
      <c r="K170" s="1831"/>
      <c r="L170" s="1831"/>
      <c r="M170" s="1831"/>
      <c r="N170" s="1831"/>
      <c r="O170" s="1831"/>
      <c r="P170" s="1089"/>
      <c r="Q170" s="1333"/>
      <c r="R170" s="1097"/>
      <c r="S170" s="1505"/>
      <c r="T170" s="1505"/>
      <c r="U170" s="1505"/>
      <c r="V170" s="1505"/>
      <c r="W170" s="1097"/>
      <c r="Y170" s="3660"/>
      <c r="Z170" s="3660"/>
      <c r="AA170" s="3660"/>
      <c r="AB170" s="3660"/>
    </row>
    <row r="171" spans="1:64" ht="13.15" customHeight="1">
      <c r="A171" s="1458"/>
      <c r="B171" s="1458"/>
      <c r="C171" s="2346"/>
      <c r="D171" s="1621"/>
      <c r="E171" s="1621"/>
      <c r="F171" s="1624"/>
      <c r="G171" s="1459"/>
      <c r="H171" s="1458"/>
      <c r="I171" s="1624"/>
      <c r="J171" s="1458"/>
      <c r="K171" s="1621"/>
      <c r="L171" s="1621"/>
      <c r="M171" s="1621"/>
      <c r="N171" s="1621"/>
      <c r="O171" s="1455"/>
      <c r="P171" s="1455"/>
      <c r="Q171" s="1455"/>
      <c r="R171" s="1455"/>
      <c r="S171" s="1455"/>
      <c r="T171" s="1455"/>
      <c r="U171" s="1455"/>
      <c r="V171" s="1455"/>
      <c r="W171" s="1097"/>
      <c r="Y171" s="3488"/>
      <c r="Z171" s="3758"/>
      <c r="AA171" s="3758"/>
      <c r="AB171" s="3758"/>
    </row>
    <row r="172" spans="1:64" s="2398" customFormat="1" ht="3.75" customHeight="1">
      <c r="A172" s="2766"/>
      <c r="C172" s="2399"/>
      <c r="D172" s="2767"/>
      <c r="E172" s="2399"/>
      <c r="F172" s="2399"/>
      <c r="G172" s="2399"/>
      <c r="H172" s="2399"/>
      <c r="I172" s="2399"/>
      <c r="J172" s="2399"/>
      <c r="K172" s="2399"/>
      <c r="L172" s="2399"/>
      <c r="M172" s="2399"/>
      <c r="N172" s="2399"/>
      <c r="O172" s="2399"/>
      <c r="P172" s="2399"/>
      <c r="Q172" s="2746"/>
      <c r="R172" s="2497"/>
      <c r="S172" s="2399"/>
      <c r="T172" s="2399"/>
      <c r="U172" s="2399"/>
      <c r="V172" s="2399"/>
      <c r="W172" s="2399"/>
      <c r="X172" s="2399"/>
      <c r="Y172" s="2399"/>
      <c r="AF172" s="2399"/>
      <c r="AG172" s="2399"/>
      <c r="BL172" s="2399"/>
    </row>
    <row r="173" spans="1:64" ht="13.15" customHeight="1">
      <c r="A173" s="1175" t="s">
        <v>1592</v>
      </c>
      <c r="B173" s="102"/>
      <c r="C173" s="2346"/>
      <c r="D173" s="1614" t="s">
        <v>2531</v>
      </c>
      <c r="E173" s="1482"/>
      <c r="F173" s="1624"/>
      <c r="G173" s="1459"/>
      <c r="H173" s="1458"/>
      <c r="I173" s="1624"/>
      <c r="J173" s="1458"/>
      <c r="K173" s="1621"/>
      <c r="L173" s="1621"/>
      <c r="M173" s="1621"/>
      <c r="N173" s="1621"/>
      <c r="O173" s="1621"/>
      <c r="P173" s="1089"/>
      <c r="Q173" s="1333"/>
      <c r="R173" s="1097"/>
      <c r="S173" s="1455"/>
      <c r="T173" s="1455"/>
      <c r="U173" s="1455"/>
      <c r="V173" s="1455"/>
      <c r="W173" s="1097"/>
      <c r="Y173" s="2399"/>
      <c r="Z173" s="3759"/>
      <c r="AA173" s="3759"/>
      <c r="AB173" s="3759"/>
    </row>
    <row r="174" spans="1:64" ht="13.15" customHeight="1">
      <c r="A174" s="1831"/>
      <c r="B174" s="1831"/>
      <c r="C174" s="2346"/>
      <c r="D174" s="3623" t="s">
        <v>1742</v>
      </c>
      <c r="E174" s="1482"/>
      <c r="F174" s="1834"/>
      <c r="G174" s="1459"/>
      <c r="H174" s="1458"/>
      <c r="I174" s="1834"/>
      <c r="J174" s="1458"/>
      <c r="K174" s="1831"/>
      <c r="L174" s="1831"/>
      <c r="M174" s="1831"/>
      <c r="N174" s="1831"/>
      <c r="O174" s="1455"/>
      <c r="P174" s="1455"/>
      <c r="Q174" s="1455"/>
      <c r="R174" s="1455"/>
      <c r="S174" s="1455"/>
      <c r="T174" s="1455"/>
      <c r="U174" s="1455"/>
      <c r="V174" s="1455"/>
      <c r="W174" s="1097"/>
      <c r="Y174" s="2399"/>
      <c r="Z174" s="3759"/>
      <c r="AA174" s="3759"/>
      <c r="AB174" s="3759"/>
    </row>
    <row r="175" spans="1:64" ht="13.15" customHeight="1">
      <c r="A175" s="1983"/>
      <c r="B175" s="1983"/>
      <c r="C175" s="2346"/>
      <c r="D175" s="3623" t="s">
        <v>1743</v>
      </c>
      <c r="E175" s="1482"/>
      <c r="F175" s="1985"/>
      <c r="G175" s="1459"/>
      <c r="H175" s="1458"/>
      <c r="I175" s="1985"/>
      <c r="J175" s="1458"/>
      <c r="K175" s="1983"/>
      <c r="L175" s="1983"/>
      <c r="M175" s="1983"/>
      <c r="N175" s="1983"/>
      <c r="O175" s="1455"/>
      <c r="P175" s="1455"/>
      <c r="Q175" s="1455"/>
      <c r="R175" s="1455"/>
      <c r="S175" s="1455"/>
      <c r="T175" s="1455"/>
      <c r="U175" s="1455"/>
      <c r="V175" s="1455"/>
      <c r="W175" s="1097"/>
      <c r="Y175" s="2399"/>
      <c r="Z175" s="3759"/>
      <c r="AA175" s="3759"/>
      <c r="AB175" s="3759"/>
    </row>
    <row r="176" spans="1:64" ht="13.15" customHeight="1">
      <c r="A176" s="1983"/>
      <c r="B176" s="1983"/>
      <c r="D176" s="3661" t="s">
        <v>2532</v>
      </c>
      <c r="E176" s="1482"/>
      <c r="F176" s="1985"/>
      <c r="G176" s="1459"/>
      <c r="H176" s="1458"/>
      <c r="I176" s="1985"/>
      <c r="J176" s="1458"/>
      <c r="K176" s="1983"/>
      <c r="L176" s="1983"/>
      <c r="M176" s="1983"/>
      <c r="N176" s="1983"/>
      <c r="O176" s="1455"/>
      <c r="P176" s="1455"/>
      <c r="Q176" s="1455"/>
      <c r="R176" s="1455"/>
      <c r="S176" s="1455"/>
      <c r="T176" s="1455"/>
      <c r="U176" s="1455"/>
      <c r="V176" s="1455"/>
      <c r="W176" s="1097"/>
      <c r="Y176" s="2399"/>
      <c r="Z176" s="3759"/>
      <c r="AA176" s="3759"/>
      <c r="AB176" s="3759"/>
    </row>
    <row r="177" spans="1:28" ht="13.15" customHeight="1">
      <c r="A177" s="1983"/>
      <c r="B177" s="1983"/>
      <c r="D177" s="3623" t="s">
        <v>1744</v>
      </c>
      <c r="E177" s="1482"/>
      <c r="F177" s="1985"/>
      <c r="G177" s="1459"/>
      <c r="H177" s="1458"/>
      <c r="I177" s="1985"/>
      <c r="J177" s="1458"/>
      <c r="K177" s="1983"/>
      <c r="L177" s="1983"/>
      <c r="M177" s="1983"/>
      <c r="N177" s="1983"/>
      <c r="O177" s="1455"/>
      <c r="P177" s="1455"/>
      <c r="Q177" s="1455"/>
      <c r="R177" s="1455"/>
      <c r="S177" s="1455"/>
      <c r="T177" s="1455"/>
      <c r="U177" s="1455"/>
      <c r="V177" s="1455"/>
      <c r="W177" s="1097"/>
      <c r="Y177" s="2399"/>
      <c r="Z177" s="3759"/>
      <c r="AA177" s="3759"/>
      <c r="AB177" s="3759"/>
    </row>
    <row r="178" spans="1:28" ht="13.15" customHeight="1">
      <c r="A178" s="1983"/>
      <c r="B178" s="1983"/>
      <c r="D178" s="1547" t="s">
        <v>1745</v>
      </c>
      <c r="E178" s="1482"/>
      <c r="F178" s="1985"/>
      <c r="G178" s="1459"/>
      <c r="H178" s="1458"/>
      <c r="I178" s="1985"/>
      <c r="J178" s="1458"/>
      <c r="K178" s="1983"/>
      <c r="L178" s="1983"/>
      <c r="M178" s="1983"/>
      <c r="N178" s="1983"/>
      <c r="O178" s="1455"/>
      <c r="P178" s="1455"/>
      <c r="Q178" s="1455"/>
      <c r="R178" s="1455"/>
      <c r="S178" s="1455"/>
      <c r="T178" s="1455"/>
      <c r="U178" s="1455"/>
      <c r="V178" s="1455"/>
      <c r="W178" s="1097"/>
      <c r="Y178" s="2399"/>
      <c r="Z178" s="3759"/>
      <c r="AA178" s="3759"/>
      <c r="AB178" s="3759"/>
    </row>
    <row r="179" spans="1:28" ht="13.15" customHeight="1">
      <c r="A179" s="1983"/>
      <c r="B179" s="1983"/>
      <c r="D179" s="3661"/>
      <c r="E179" s="1614"/>
      <c r="F179" s="1614"/>
      <c r="G179" s="3642"/>
      <c r="H179" s="1942"/>
      <c r="I179" s="1614"/>
      <c r="J179" s="1942"/>
      <c r="K179" s="1545"/>
      <c r="L179" s="1545"/>
      <c r="M179" s="1545"/>
      <c r="N179" s="1545"/>
      <c r="O179" s="1545"/>
      <c r="P179" s="1545"/>
      <c r="Q179" s="1545"/>
      <c r="R179" s="1545"/>
      <c r="S179" s="1545"/>
      <c r="T179" s="1545"/>
      <c r="U179" s="1545"/>
      <c r="V179" s="1545"/>
      <c r="W179" s="1218"/>
      <c r="Y179" s="2399"/>
      <c r="Z179" s="3759"/>
      <c r="AA179" s="3759"/>
      <c r="AB179" s="3759"/>
    </row>
    <row r="180" spans="1:28">
      <c r="A180" s="1458"/>
      <c r="B180" s="1458"/>
      <c r="D180" s="1545" t="s">
        <v>1746</v>
      </c>
      <c r="E180" s="1545"/>
      <c r="F180" s="1545"/>
      <c r="G180" s="1545"/>
      <c r="H180" s="1545"/>
      <c r="I180" s="1545"/>
      <c r="J180" s="1545"/>
      <c r="K180" s="1545"/>
      <c r="L180" s="1545"/>
      <c r="M180" s="1545"/>
      <c r="N180" s="1545"/>
      <c r="O180" s="1545"/>
      <c r="P180" s="1545"/>
      <c r="Q180" s="1545"/>
      <c r="R180" s="1545"/>
      <c r="S180" s="1545"/>
      <c r="T180" s="1545"/>
      <c r="U180" s="1545"/>
      <c r="V180" s="1545"/>
      <c r="W180" s="1218"/>
      <c r="Y180" s="3760"/>
      <c r="Z180" s="3759"/>
      <c r="AA180" s="3759"/>
      <c r="AB180" s="3759"/>
    </row>
    <row r="181" spans="1:28" ht="13.15" customHeight="1">
      <c r="A181" s="1458"/>
      <c r="B181" s="1458"/>
      <c r="D181" s="3623" t="s">
        <v>2533</v>
      </c>
      <c r="E181" s="3661"/>
      <c r="F181" s="3661"/>
      <c r="G181" s="3661"/>
      <c r="H181" s="3661"/>
      <c r="I181" s="3661"/>
      <c r="J181" s="3661"/>
      <c r="K181" s="3661"/>
      <c r="L181" s="3661"/>
      <c r="M181" s="3661"/>
      <c r="N181" s="3661"/>
      <c r="O181" s="3661"/>
      <c r="P181" s="3661"/>
      <c r="Q181" s="3661"/>
      <c r="R181" s="3661"/>
      <c r="S181" s="3661"/>
      <c r="T181" s="3661"/>
      <c r="U181" s="3661"/>
      <c r="V181" s="3661"/>
      <c r="W181" s="3661"/>
      <c r="Y181" s="2399"/>
      <c r="Z181" s="2398"/>
      <c r="AA181" s="2398"/>
      <c r="AB181" s="2398"/>
    </row>
    <row r="182" spans="1:28">
      <c r="A182" s="1458"/>
      <c r="B182" s="1458"/>
      <c r="C182" s="2346"/>
      <c r="D182" s="4360" t="s">
        <v>1748</v>
      </c>
      <c r="E182" s="4360"/>
      <c r="F182" s="4360"/>
      <c r="G182" s="4360"/>
      <c r="H182" s="4360"/>
      <c r="I182" s="4360"/>
      <c r="J182" s="4360"/>
      <c r="K182" s="4360"/>
      <c r="L182" s="4360"/>
      <c r="M182" s="4360"/>
      <c r="N182" s="4360"/>
      <c r="O182" s="4360"/>
      <c r="P182" s="4360"/>
      <c r="Q182" s="4360"/>
      <c r="R182" s="4360"/>
      <c r="S182" s="4360"/>
      <c r="T182" s="4360"/>
      <c r="U182" s="4360"/>
      <c r="V182" s="4360"/>
      <c r="W182" s="4360"/>
      <c r="Y182" s="2399"/>
      <c r="Z182" s="2398"/>
      <c r="AA182" s="2398"/>
      <c r="AB182" s="2398"/>
    </row>
    <row r="183" spans="1:28">
      <c r="A183" s="1458"/>
      <c r="B183" s="1458"/>
      <c r="C183" s="2346"/>
      <c r="D183" s="4360"/>
      <c r="E183" s="4360"/>
      <c r="F183" s="4360"/>
      <c r="G183" s="4360"/>
      <c r="H183" s="4360"/>
      <c r="I183" s="4360"/>
      <c r="J183" s="4360"/>
      <c r="K183" s="4360"/>
      <c r="L183" s="4360"/>
      <c r="M183" s="4360"/>
      <c r="N183" s="4360"/>
      <c r="O183" s="4360"/>
      <c r="P183" s="4360"/>
      <c r="Q183" s="4360"/>
      <c r="R183" s="4360"/>
      <c r="S183" s="4360"/>
      <c r="T183" s="4360"/>
      <c r="U183" s="4360"/>
      <c r="V183" s="4360"/>
      <c r="W183" s="4360"/>
      <c r="Y183" s="2399"/>
      <c r="Z183" s="2398"/>
      <c r="AA183" s="2398"/>
      <c r="AB183" s="2398"/>
    </row>
    <row r="184" spans="1:28">
      <c r="A184" s="1458"/>
      <c r="B184" s="1458"/>
      <c r="C184" s="2346"/>
      <c r="D184" s="4360"/>
      <c r="E184" s="4360"/>
      <c r="F184" s="4360"/>
      <c r="G184" s="4360"/>
      <c r="H184" s="4360"/>
      <c r="I184" s="4360"/>
      <c r="J184" s="4360"/>
      <c r="K184" s="4360"/>
      <c r="L184" s="4360"/>
      <c r="M184" s="4360"/>
      <c r="N184" s="4360"/>
      <c r="O184" s="4360"/>
      <c r="P184" s="4360"/>
      <c r="Q184" s="4360"/>
      <c r="R184" s="4360"/>
      <c r="S184" s="4360"/>
      <c r="T184" s="4360"/>
      <c r="U184" s="4360"/>
      <c r="V184" s="4360"/>
      <c r="W184" s="4360"/>
      <c r="Y184" s="2399"/>
      <c r="Z184" s="2398"/>
      <c r="AA184" s="2398"/>
      <c r="AB184" s="2398"/>
    </row>
    <row r="185" spans="1:28">
      <c r="A185" s="1458"/>
      <c r="B185" s="1458"/>
      <c r="C185" s="2346"/>
      <c r="D185" s="2019" t="s">
        <v>2534</v>
      </c>
      <c r="E185" s="3662"/>
      <c r="F185" s="3662"/>
      <c r="G185" s="3662"/>
      <c r="H185" s="3662"/>
      <c r="I185" s="3662"/>
      <c r="J185" s="3662"/>
      <c r="K185" s="3662"/>
      <c r="L185" s="3662"/>
      <c r="M185" s="3662"/>
      <c r="N185" s="3662"/>
      <c r="O185" s="3662"/>
      <c r="P185" s="3662"/>
      <c r="Q185" s="3662"/>
      <c r="R185" s="3662"/>
      <c r="S185" s="3662"/>
      <c r="T185" s="3662"/>
      <c r="U185" s="3662"/>
      <c r="V185" s="3662"/>
      <c r="W185" s="3662"/>
      <c r="Y185" s="2269"/>
      <c r="Z185" s="1983"/>
      <c r="AA185" s="1983"/>
      <c r="AB185" s="1983"/>
    </row>
    <row r="186" spans="1:28">
      <c r="A186" s="1458"/>
      <c r="B186" s="1458"/>
      <c r="C186" s="2346"/>
      <c r="D186" s="4360" t="s">
        <v>2535</v>
      </c>
      <c r="E186" s="4360"/>
      <c r="F186" s="4360"/>
      <c r="G186" s="4360"/>
      <c r="H186" s="4360"/>
      <c r="I186" s="4360"/>
      <c r="J186" s="4360"/>
      <c r="K186" s="4360"/>
      <c r="L186" s="4360"/>
      <c r="M186" s="4360"/>
      <c r="N186" s="4360"/>
      <c r="O186" s="4360"/>
      <c r="P186" s="4360"/>
      <c r="Q186" s="4360"/>
      <c r="R186" s="4360"/>
      <c r="S186" s="4360"/>
      <c r="T186" s="4360"/>
      <c r="U186" s="4360"/>
      <c r="V186" s="4360"/>
      <c r="W186" s="4360"/>
      <c r="Y186" s="3494" t="s">
        <v>1571</v>
      </c>
      <c r="Z186" s="1983"/>
      <c r="AA186" s="1983"/>
      <c r="AB186" s="1983"/>
    </row>
    <row r="187" spans="1:28" ht="13.15" customHeight="1">
      <c r="A187" s="1458"/>
      <c r="B187" s="1458"/>
      <c r="C187" s="2346"/>
      <c r="D187" s="4360"/>
      <c r="E187" s="4360"/>
      <c r="F187" s="4360"/>
      <c r="G187" s="4360"/>
      <c r="H187" s="4360"/>
      <c r="I187" s="4360"/>
      <c r="J187" s="4360"/>
      <c r="K187" s="4360"/>
      <c r="L187" s="4360"/>
      <c r="M187" s="4360"/>
      <c r="N187" s="4360"/>
      <c r="O187" s="4360"/>
      <c r="P187" s="4360"/>
      <c r="Q187" s="4360"/>
      <c r="R187" s="4360"/>
      <c r="S187" s="4360"/>
      <c r="T187" s="4360"/>
      <c r="U187" s="4360"/>
      <c r="V187" s="4360"/>
      <c r="W187" s="4360"/>
      <c r="X187" s="2332"/>
      <c r="Y187" s="2269"/>
      <c r="Z187" s="1983"/>
      <c r="AA187" s="1983"/>
      <c r="AB187" s="1983"/>
    </row>
    <row r="188" spans="1:28">
      <c r="A188" s="1458"/>
      <c r="B188" s="1458"/>
      <c r="C188" s="2346"/>
      <c r="D188" s="3663" t="s">
        <v>1879</v>
      </c>
      <c r="E188" s="3662"/>
      <c r="F188" s="3662"/>
      <c r="G188" s="3662"/>
      <c r="H188" s="3662"/>
      <c r="I188" s="3662"/>
      <c r="J188" s="3662"/>
      <c r="K188" s="3662"/>
      <c r="L188" s="3662"/>
      <c r="M188" s="3662"/>
      <c r="N188" s="3662"/>
      <c r="O188" s="3662"/>
      <c r="P188" s="2753"/>
      <c r="Q188" s="3662"/>
      <c r="R188" s="3662"/>
      <c r="S188" s="3662"/>
      <c r="T188" s="3662"/>
      <c r="U188" s="3662"/>
      <c r="V188" s="3662"/>
      <c r="W188" s="3662"/>
      <c r="Y188" s="2399"/>
      <c r="Z188" s="2398"/>
      <c r="AA188" s="2398"/>
      <c r="AB188" s="2398"/>
    </row>
    <row r="189" spans="1:28">
      <c r="A189" s="1458"/>
      <c r="B189" s="1458"/>
      <c r="C189" s="2346"/>
      <c r="D189" s="3664" t="s">
        <v>1878</v>
      </c>
      <c r="E189" s="3662"/>
      <c r="F189" s="3662"/>
      <c r="G189" s="3662"/>
      <c r="H189" s="3662"/>
      <c r="I189" s="3662"/>
      <c r="J189" s="3662"/>
      <c r="K189" s="3662"/>
      <c r="L189" s="3662"/>
      <c r="M189" s="3662"/>
      <c r="N189" s="3662"/>
      <c r="O189" s="3662"/>
      <c r="P189" s="3662"/>
      <c r="Q189" s="3662"/>
      <c r="R189" s="3662"/>
      <c r="S189" s="3662"/>
      <c r="T189" s="3662"/>
      <c r="U189" s="3662"/>
      <c r="V189" s="3662"/>
      <c r="W189" s="3662"/>
      <c r="Y189" s="2399"/>
      <c r="Z189" s="2398"/>
      <c r="AA189" s="2398"/>
      <c r="AB189" s="2398"/>
    </row>
    <row r="190" spans="1:28">
      <c r="A190" s="1458"/>
      <c r="B190" s="1458"/>
      <c r="C190" s="2346"/>
      <c r="D190" s="3662"/>
      <c r="E190" s="3662"/>
      <c r="F190" s="3662"/>
      <c r="G190" s="3662"/>
      <c r="H190" s="3662"/>
      <c r="I190" s="3662"/>
      <c r="J190" s="3662"/>
      <c r="K190" s="3662"/>
      <c r="L190" s="3662"/>
      <c r="M190" s="3662"/>
      <c r="N190" s="3662"/>
      <c r="O190" s="3662"/>
      <c r="P190" s="3662"/>
      <c r="Q190" s="3662"/>
      <c r="R190" s="3662"/>
      <c r="S190" s="3662"/>
      <c r="T190" s="3662"/>
      <c r="U190" s="3662"/>
      <c r="V190" s="3662"/>
      <c r="W190" s="3662"/>
      <c r="Y190" s="2399"/>
      <c r="Z190" s="2398"/>
      <c r="AA190" s="2398"/>
      <c r="AB190" s="2398"/>
    </row>
    <row r="191" spans="1:28">
      <c r="A191" s="1458"/>
      <c r="B191" s="1458"/>
      <c r="C191" s="2346"/>
      <c r="D191" s="4504" t="s">
        <v>1749</v>
      </c>
      <c r="E191" s="4504"/>
      <c r="F191" s="4504"/>
      <c r="G191" s="4504"/>
      <c r="H191" s="4504"/>
      <c r="I191" s="4504"/>
      <c r="J191" s="4504"/>
      <c r="K191" s="4504"/>
      <c r="L191" s="4504"/>
      <c r="M191" s="4504"/>
      <c r="N191" s="4504"/>
      <c r="O191" s="4504"/>
      <c r="P191" s="4504"/>
      <c r="Q191" s="4504"/>
      <c r="R191" s="4504"/>
      <c r="S191" s="4504"/>
      <c r="T191" s="4504"/>
      <c r="U191" s="4504"/>
      <c r="V191" s="4504"/>
      <c r="W191" s="4504"/>
      <c r="Y191" s="2399"/>
      <c r="Z191" s="2398"/>
      <c r="AA191" s="2398"/>
      <c r="AB191" s="2398"/>
    </row>
    <row r="192" spans="1:28">
      <c r="A192" s="1458"/>
      <c r="B192" s="1458"/>
      <c r="C192" s="2346"/>
      <c r="D192" s="4504"/>
      <c r="E192" s="4504"/>
      <c r="F192" s="4504"/>
      <c r="G192" s="4504"/>
      <c r="H192" s="4504"/>
      <c r="I192" s="4504"/>
      <c r="J192" s="4504"/>
      <c r="K192" s="4504"/>
      <c r="L192" s="4504"/>
      <c r="M192" s="4504"/>
      <c r="N192" s="4504"/>
      <c r="O192" s="4504"/>
      <c r="P192" s="4504"/>
      <c r="Q192" s="4504"/>
      <c r="R192" s="4504"/>
      <c r="S192" s="4504"/>
      <c r="T192" s="4504"/>
      <c r="U192" s="4504"/>
      <c r="V192" s="4504"/>
      <c r="W192" s="4504"/>
      <c r="Y192" s="2399"/>
      <c r="Z192" s="2398"/>
      <c r="AA192" s="2398"/>
      <c r="AB192" s="2398"/>
    </row>
    <row r="193" spans="1:28">
      <c r="A193" s="1458"/>
      <c r="B193" s="1458"/>
      <c r="C193" s="2346"/>
      <c r="D193" s="2002" t="s">
        <v>2536</v>
      </c>
      <c r="E193" s="2002"/>
      <c r="F193" s="2002"/>
      <c r="G193" s="2002"/>
      <c r="H193" s="2002"/>
      <c r="I193" s="2002"/>
      <c r="J193" s="2002"/>
      <c r="K193" s="2002"/>
      <c r="L193" s="2002"/>
      <c r="M193" s="2002"/>
      <c r="N193" s="2002"/>
      <c r="O193" s="2002"/>
      <c r="P193" s="2002"/>
      <c r="Q193" s="2002"/>
      <c r="R193" s="2002"/>
      <c r="S193" s="2002"/>
      <c r="T193" s="2002"/>
      <c r="U193" s="2002"/>
      <c r="V193" s="2002"/>
      <c r="W193" s="2002"/>
      <c r="Y193" s="2399"/>
      <c r="Z193" s="2398"/>
      <c r="AA193" s="2398"/>
      <c r="AB193" s="2398"/>
    </row>
    <row r="194" spans="1:28">
      <c r="A194" s="1458"/>
      <c r="B194" s="1458"/>
      <c r="C194" s="2346"/>
      <c r="D194" s="2019" t="s">
        <v>1568</v>
      </c>
      <c r="E194" s="3404"/>
      <c r="F194" s="3404"/>
      <c r="G194" s="3404"/>
      <c r="H194" s="3404"/>
      <c r="I194" s="3404"/>
      <c r="J194" s="3404"/>
      <c r="K194" s="3404"/>
      <c r="L194" s="3404"/>
      <c r="M194" s="3404"/>
      <c r="N194" s="3404"/>
      <c r="O194" s="3404"/>
      <c r="P194" s="3404"/>
      <c r="Q194" s="3404"/>
      <c r="R194" s="3404"/>
      <c r="S194" s="3404"/>
      <c r="T194" s="3404"/>
      <c r="U194" s="3404"/>
      <c r="V194" s="3404"/>
      <c r="W194" s="3404"/>
      <c r="Y194" s="2399"/>
      <c r="Z194" s="2398"/>
      <c r="AA194" s="2398"/>
      <c r="AB194" s="2398"/>
    </row>
    <row r="195" spans="1:28">
      <c r="A195" s="1458"/>
      <c r="B195" s="1458"/>
      <c r="C195" s="2346"/>
      <c r="D195" s="4435" t="s">
        <v>1584</v>
      </c>
      <c r="E195" s="4435"/>
      <c r="F195" s="4435"/>
      <c r="G195" s="4435"/>
      <c r="H195" s="4435"/>
      <c r="I195" s="4435"/>
      <c r="J195" s="4435"/>
      <c r="K195" s="4435"/>
      <c r="L195" s="4435"/>
      <c r="M195" s="4435"/>
      <c r="N195" s="4435"/>
      <c r="O195" s="4435"/>
      <c r="P195" s="4435"/>
      <c r="Q195" s="4435"/>
      <c r="R195" s="4435"/>
      <c r="S195" s="4435"/>
      <c r="T195" s="4435"/>
      <c r="U195" s="4435"/>
      <c r="V195" s="4435"/>
      <c r="W195" s="4435"/>
      <c r="Y195" s="2399"/>
      <c r="Z195" s="2398"/>
      <c r="AA195" s="2398"/>
      <c r="AB195" s="2398"/>
    </row>
    <row r="196" spans="1:28">
      <c r="A196" s="1458"/>
      <c r="B196" s="1458"/>
      <c r="C196" s="2346"/>
      <c r="D196" s="4435"/>
      <c r="E196" s="4435"/>
      <c r="F196" s="4435"/>
      <c r="G196" s="4435"/>
      <c r="H196" s="4435"/>
      <c r="I196" s="4435"/>
      <c r="J196" s="4435"/>
      <c r="K196" s="4435"/>
      <c r="L196" s="4435"/>
      <c r="M196" s="4435"/>
      <c r="N196" s="4435"/>
      <c r="O196" s="4435"/>
      <c r="P196" s="4435"/>
      <c r="Q196" s="4435"/>
      <c r="R196" s="4435"/>
      <c r="S196" s="4435"/>
      <c r="T196" s="4435"/>
      <c r="U196" s="4435"/>
      <c r="V196" s="4435"/>
      <c r="W196" s="4435"/>
      <c r="Y196" s="2399"/>
      <c r="Z196" s="2398"/>
      <c r="AA196" s="2398"/>
      <c r="AB196" s="2398"/>
    </row>
    <row r="197" spans="1:28">
      <c r="A197" s="1458"/>
      <c r="B197" s="1458"/>
      <c r="C197" s="2346"/>
      <c r="D197" s="1835"/>
      <c r="E197" s="1835"/>
      <c r="F197" s="1835"/>
      <c r="G197" s="1835"/>
      <c r="H197" s="1835"/>
      <c r="I197" s="1835"/>
      <c r="J197" s="1835"/>
      <c r="K197" s="1835"/>
      <c r="L197" s="1835"/>
      <c r="M197" s="1835"/>
      <c r="N197" s="1835"/>
      <c r="O197" s="1835"/>
      <c r="P197" s="1835"/>
      <c r="Q197" s="1835"/>
      <c r="R197" s="1835"/>
      <c r="S197" s="1835"/>
      <c r="T197" s="1835"/>
      <c r="U197" s="1835"/>
      <c r="V197" s="1835"/>
      <c r="W197" s="1835"/>
      <c r="Y197" s="1614"/>
      <c r="Z197" s="1545"/>
      <c r="AA197" s="1545"/>
      <c r="AB197" s="1545"/>
    </row>
    <row r="198" spans="1:28" ht="13.15" customHeight="1">
      <c r="A198" s="1458"/>
      <c r="B198" s="2022" t="s">
        <v>1574</v>
      </c>
      <c r="C198" s="2346"/>
      <c r="D198" s="4361" t="s">
        <v>1578</v>
      </c>
      <c r="E198" s="4361"/>
      <c r="F198" s="4361"/>
      <c r="G198" s="4361"/>
      <c r="H198" s="4361"/>
      <c r="I198" s="4361"/>
      <c r="J198" s="4361"/>
      <c r="K198" s="4361"/>
      <c r="L198" s="4361"/>
      <c r="M198" s="4361"/>
      <c r="N198" s="4361"/>
      <c r="O198" s="4361"/>
      <c r="P198" s="4361"/>
      <c r="Q198" s="4361"/>
      <c r="R198" s="4361"/>
      <c r="S198" s="4361"/>
      <c r="T198" s="4361"/>
      <c r="U198" s="4361"/>
      <c r="V198" s="4361"/>
      <c r="W198" s="4362"/>
      <c r="Y198" s="4378" t="s">
        <v>1776</v>
      </c>
      <c r="Z198" s="4378"/>
      <c r="AA198" s="4378"/>
      <c r="AB198" s="4378"/>
    </row>
    <row r="199" spans="1:28">
      <c r="A199" s="1458"/>
      <c r="B199" s="2025"/>
      <c r="C199" s="2346"/>
      <c r="D199" s="4354"/>
      <c r="E199" s="4354"/>
      <c r="F199" s="4354"/>
      <c r="G199" s="4354"/>
      <c r="H199" s="4354"/>
      <c r="I199" s="4354"/>
      <c r="J199" s="4354"/>
      <c r="K199" s="4354"/>
      <c r="L199" s="4354"/>
      <c r="M199" s="4354"/>
      <c r="N199" s="4354"/>
      <c r="O199" s="4354"/>
      <c r="P199" s="4354"/>
      <c r="Q199" s="4354"/>
      <c r="R199" s="4354"/>
      <c r="S199" s="4354"/>
      <c r="T199" s="4354"/>
      <c r="U199" s="4354"/>
      <c r="V199" s="4354"/>
      <c r="W199" s="4355"/>
      <c r="Y199" s="4378"/>
      <c r="Z199" s="4378"/>
      <c r="AA199" s="4378"/>
      <c r="AB199" s="4378"/>
    </row>
    <row r="200" spans="1:28">
      <c r="A200" s="1458"/>
      <c r="B200" s="2025"/>
      <c r="C200" s="2346"/>
      <c r="D200" s="2274"/>
      <c r="E200" s="2274"/>
      <c r="F200" s="2274"/>
      <c r="G200" s="2274"/>
      <c r="H200" s="2274"/>
      <c r="I200" s="2274"/>
      <c r="J200" s="2274"/>
      <c r="K200" s="2274"/>
      <c r="L200" s="2274"/>
      <c r="M200" s="2274"/>
      <c r="N200" s="2274"/>
      <c r="O200" s="2274"/>
      <c r="P200" s="2274"/>
      <c r="Q200" s="2274"/>
      <c r="R200" s="2274"/>
      <c r="S200" s="2274"/>
      <c r="T200" s="2274"/>
      <c r="U200" s="2274"/>
      <c r="V200" s="2274"/>
      <c r="W200" s="2391"/>
      <c r="Y200" s="4436" t="s">
        <v>1750</v>
      </c>
      <c r="Z200" s="4436"/>
      <c r="AA200" s="4436"/>
      <c r="AB200" s="4436"/>
    </row>
    <row r="201" spans="1:28">
      <c r="A201" s="1458"/>
      <c r="B201" s="2025"/>
      <c r="D201" s="3665" t="s">
        <v>1751</v>
      </c>
      <c r="E201" s="3666"/>
      <c r="F201" s="3666"/>
      <c r="G201" s="3666"/>
      <c r="H201" s="3666"/>
      <c r="I201" s="3666"/>
      <c r="J201" s="3666"/>
      <c r="K201" s="3666"/>
      <c r="L201" s="3666"/>
      <c r="M201" s="3666"/>
      <c r="N201" s="3666"/>
      <c r="O201" s="3666"/>
      <c r="P201" s="3666"/>
      <c r="Q201" s="3666"/>
      <c r="R201" s="3666"/>
      <c r="S201" s="3406"/>
      <c r="T201" s="3406"/>
      <c r="U201" s="3406"/>
      <c r="V201" s="3406"/>
      <c r="W201" s="3667"/>
      <c r="Y201" s="4436"/>
      <c r="Z201" s="4436"/>
      <c r="AA201" s="4436"/>
      <c r="AB201" s="4436"/>
    </row>
    <row r="202" spans="1:28">
      <c r="A202" s="1458"/>
      <c r="B202" s="2025"/>
      <c r="C202" s="2346"/>
      <c r="D202" s="4354" t="s">
        <v>1593</v>
      </c>
      <c r="E202" s="4354"/>
      <c r="F202" s="4354"/>
      <c r="G202" s="4354"/>
      <c r="H202" s="4354"/>
      <c r="I202" s="4354"/>
      <c r="J202" s="4354"/>
      <c r="K202" s="4354"/>
      <c r="L202" s="4354"/>
      <c r="M202" s="4354"/>
      <c r="N202" s="4354"/>
      <c r="O202" s="4354"/>
      <c r="P202" s="4354"/>
      <c r="Q202" s="4354"/>
      <c r="R202" s="4354"/>
      <c r="S202" s="4354"/>
      <c r="T202" s="4354"/>
      <c r="U202" s="4354"/>
      <c r="V202" s="4354"/>
      <c r="W202" s="4355"/>
      <c r="Y202" s="1482"/>
      <c r="Z202" s="1482"/>
      <c r="AA202" s="1482"/>
      <c r="AB202" s="1482"/>
    </row>
    <row r="203" spans="1:28">
      <c r="A203" s="1458"/>
      <c r="B203" s="2025"/>
      <c r="C203" s="2346"/>
      <c r="D203" s="4354"/>
      <c r="E203" s="4354"/>
      <c r="F203" s="4354"/>
      <c r="G203" s="4354"/>
      <c r="H203" s="4354"/>
      <c r="I203" s="4354"/>
      <c r="J203" s="4354"/>
      <c r="K203" s="4354"/>
      <c r="L203" s="4354"/>
      <c r="M203" s="4354"/>
      <c r="N203" s="4354"/>
      <c r="O203" s="4354"/>
      <c r="P203" s="4354"/>
      <c r="Q203" s="4354"/>
      <c r="R203" s="4354"/>
      <c r="S203" s="4354"/>
      <c r="T203" s="4354"/>
      <c r="U203" s="4354"/>
      <c r="V203" s="4354"/>
      <c r="W203" s="4355"/>
      <c r="Y203" s="2746"/>
      <c r="Z203" s="2746"/>
      <c r="AA203" s="2746"/>
      <c r="AB203" s="2746"/>
    </row>
    <row r="204" spans="1:28">
      <c r="A204" s="1458"/>
      <c r="B204" s="2025"/>
      <c r="C204" s="2346"/>
      <c r="D204" s="4356" t="s">
        <v>1752</v>
      </c>
      <c r="E204" s="4356"/>
      <c r="F204" s="4356"/>
      <c r="G204" s="4356"/>
      <c r="H204" s="4356"/>
      <c r="I204" s="4356"/>
      <c r="J204" s="4356"/>
      <c r="K204" s="4356"/>
      <c r="L204" s="4356"/>
      <c r="M204" s="4356"/>
      <c r="N204" s="4356"/>
      <c r="O204" s="4356"/>
      <c r="P204" s="4356"/>
      <c r="Q204" s="4356"/>
      <c r="R204" s="4356"/>
      <c r="S204" s="4356"/>
      <c r="T204" s="4356"/>
      <c r="U204" s="4356"/>
      <c r="V204" s="4356"/>
      <c r="W204" s="4357"/>
      <c r="Y204" s="2746"/>
      <c r="Z204" s="2746"/>
      <c r="AA204" s="2746"/>
      <c r="AB204" s="2746"/>
    </row>
    <row r="205" spans="1:28">
      <c r="A205" s="1458"/>
      <c r="B205" s="2025"/>
      <c r="C205" s="2346"/>
      <c r="D205" s="4356"/>
      <c r="E205" s="4356"/>
      <c r="F205" s="4356"/>
      <c r="G205" s="4356"/>
      <c r="H205" s="4356"/>
      <c r="I205" s="4356"/>
      <c r="J205" s="4356"/>
      <c r="K205" s="4356"/>
      <c r="L205" s="4356"/>
      <c r="M205" s="4356"/>
      <c r="N205" s="4356"/>
      <c r="O205" s="4356"/>
      <c r="P205" s="4356"/>
      <c r="Q205" s="4356"/>
      <c r="R205" s="4356"/>
      <c r="S205" s="4356"/>
      <c r="T205" s="4356"/>
      <c r="U205" s="4356"/>
      <c r="V205" s="4356"/>
      <c r="W205" s="4357"/>
      <c r="Y205" s="2746"/>
      <c r="Z205" s="2746"/>
      <c r="AA205" s="2746"/>
      <c r="AB205" s="2746"/>
    </row>
    <row r="206" spans="1:28">
      <c r="A206" s="1458"/>
      <c r="B206" s="2025"/>
      <c r="C206" s="2346"/>
      <c r="D206" s="4356" t="s">
        <v>1753</v>
      </c>
      <c r="E206" s="4356"/>
      <c r="F206" s="4356"/>
      <c r="G206" s="4356"/>
      <c r="H206" s="4356"/>
      <c r="I206" s="4356"/>
      <c r="J206" s="4356"/>
      <c r="K206" s="4356"/>
      <c r="L206" s="4356"/>
      <c r="M206" s="4356"/>
      <c r="N206" s="4356"/>
      <c r="O206" s="4356"/>
      <c r="P206" s="4356"/>
      <c r="Q206" s="4356"/>
      <c r="R206" s="4356"/>
      <c r="S206" s="4356"/>
      <c r="T206" s="4356"/>
      <c r="U206" s="4356"/>
      <c r="V206" s="4356"/>
      <c r="W206" s="4357"/>
      <c r="Y206" s="2399"/>
      <c r="Z206" s="2747"/>
      <c r="AA206" s="2747"/>
      <c r="AB206" s="2747"/>
    </row>
    <row r="207" spans="1:28">
      <c r="A207" s="1458"/>
      <c r="B207" s="2025"/>
      <c r="C207" s="2346"/>
      <c r="D207" s="4356"/>
      <c r="E207" s="4356"/>
      <c r="F207" s="4356"/>
      <c r="G207" s="4356"/>
      <c r="H207" s="4356"/>
      <c r="I207" s="4356"/>
      <c r="J207" s="4356"/>
      <c r="K207" s="4356"/>
      <c r="L207" s="4356"/>
      <c r="M207" s="4356"/>
      <c r="N207" s="4356"/>
      <c r="O207" s="4356"/>
      <c r="P207" s="4356"/>
      <c r="Q207" s="4356"/>
      <c r="R207" s="4356"/>
      <c r="S207" s="4356"/>
      <c r="T207" s="4356"/>
      <c r="U207" s="4356"/>
      <c r="V207" s="4356"/>
      <c r="W207" s="4357"/>
      <c r="Y207" s="2747"/>
      <c r="Z207" s="2747"/>
      <c r="AA207" s="2747"/>
      <c r="AB207" s="2747"/>
    </row>
    <row r="208" spans="1:28" ht="13.15" customHeight="1">
      <c r="A208" s="1458"/>
      <c r="B208" s="2023"/>
      <c r="C208" s="2346"/>
      <c r="D208" s="3656" t="s">
        <v>1539</v>
      </c>
      <c r="E208" s="1614"/>
      <c r="F208" s="1614"/>
      <c r="G208" s="1614"/>
      <c r="H208" s="1614"/>
      <c r="I208" s="1614"/>
      <c r="J208" s="1614"/>
      <c r="K208" s="1614"/>
      <c r="L208" s="1614"/>
      <c r="M208" s="1614"/>
      <c r="N208" s="1614"/>
      <c r="O208" s="1614"/>
      <c r="P208" s="3406"/>
      <c r="Q208" s="3406"/>
      <c r="R208" s="3406"/>
      <c r="S208" s="3406"/>
      <c r="T208" s="3406"/>
      <c r="U208" s="3406"/>
      <c r="V208" s="3406"/>
      <c r="W208" s="3667"/>
      <c r="Y208" s="3457"/>
      <c r="Z208" s="3457"/>
      <c r="AA208" s="3457"/>
      <c r="AB208" s="3457"/>
    </row>
    <row r="209" spans="1:64">
      <c r="A209" s="1458"/>
      <c r="B209" s="2023"/>
      <c r="C209" s="2346"/>
      <c r="D209" s="3656"/>
      <c r="E209" s="1614"/>
      <c r="F209" s="1614"/>
      <c r="G209" s="1614"/>
      <c r="H209" s="1614"/>
      <c r="I209" s="1614"/>
      <c r="J209" s="1614"/>
      <c r="K209" s="1614"/>
      <c r="L209" s="1614"/>
      <c r="M209" s="1614"/>
      <c r="N209" s="1614"/>
      <c r="O209" s="1614"/>
      <c r="P209" s="3406"/>
      <c r="Q209" s="3406"/>
      <c r="R209" s="3406"/>
      <c r="S209" s="3406"/>
      <c r="T209" s="3406"/>
      <c r="U209" s="3406"/>
      <c r="V209" s="3406"/>
      <c r="W209" s="3667"/>
      <c r="Y209" s="3457"/>
      <c r="Z209" s="3457"/>
      <c r="AA209" s="3457"/>
      <c r="AB209" s="3457"/>
    </row>
    <row r="210" spans="1:64">
      <c r="A210" s="1458"/>
      <c r="B210" s="2023"/>
      <c r="C210" s="2346"/>
      <c r="D210" s="1614" t="s">
        <v>1754</v>
      </c>
      <c r="E210" s="1614"/>
      <c r="F210" s="1614"/>
      <c r="G210" s="1614"/>
      <c r="H210" s="1614"/>
      <c r="I210" s="1614"/>
      <c r="J210" s="1614"/>
      <c r="K210" s="1614"/>
      <c r="L210" s="1614"/>
      <c r="M210" s="1614"/>
      <c r="N210" s="1614"/>
      <c r="O210" s="1614"/>
      <c r="P210" s="3406"/>
      <c r="Q210" s="3406"/>
      <c r="R210" s="3406"/>
      <c r="S210" s="3406"/>
      <c r="T210" s="3406"/>
      <c r="U210" s="3406"/>
      <c r="V210" s="3406"/>
      <c r="W210" s="3667"/>
      <c r="Y210" s="2399"/>
      <c r="Z210" s="2399"/>
      <c r="AA210" s="2399"/>
      <c r="AB210" s="2399"/>
    </row>
    <row r="211" spans="1:64">
      <c r="A211" s="1458"/>
      <c r="B211" s="2024"/>
      <c r="C211" s="2346"/>
      <c r="D211" s="3633"/>
      <c r="E211" s="3633"/>
      <c r="F211" s="3633"/>
      <c r="G211" s="3633"/>
      <c r="H211" s="3633"/>
      <c r="I211" s="3633"/>
      <c r="J211" s="3633"/>
      <c r="K211" s="3633"/>
      <c r="L211" s="3633"/>
      <c r="M211" s="3633"/>
      <c r="N211" s="3633"/>
      <c r="O211" s="3633"/>
      <c r="P211" s="3668"/>
      <c r="Q211" s="3668"/>
      <c r="R211" s="3668"/>
      <c r="S211" s="3668"/>
      <c r="T211" s="3668"/>
      <c r="U211" s="3668"/>
      <c r="V211" s="3668"/>
      <c r="W211" s="3669"/>
      <c r="Y211" s="2399"/>
      <c r="Z211" s="2399"/>
      <c r="AA211" s="2399"/>
      <c r="AB211" s="2399"/>
    </row>
    <row r="212" spans="1:64">
      <c r="A212" s="1458"/>
      <c r="B212" s="1458"/>
      <c r="C212" s="2346"/>
      <c r="D212" s="1985"/>
      <c r="E212" s="1482"/>
      <c r="F212" s="1482"/>
      <c r="G212" s="1482"/>
      <c r="H212" s="1482"/>
      <c r="I212" s="1482"/>
      <c r="J212" s="1482"/>
      <c r="K212" s="1482"/>
      <c r="L212" s="1482"/>
      <c r="M212" s="1482"/>
      <c r="N212" s="1482"/>
      <c r="O212" s="1985"/>
      <c r="P212" s="1987"/>
      <c r="Q212" s="1987"/>
      <c r="R212" s="1987"/>
      <c r="S212" s="1987"/>
      <c r="T212" s="1987"/>
      <c r="U212" s="1987"/>
      <c r="V212" s="1987"/>
      <c r="W212" s="1987"/>
      <c r="Y212" s="2399"/>
      <c r="Z212" s="2399"/>
      <c r="AA212" s="2399"/>
      <c r="AB212" s="2399"/>
    </row>
    <row r="213" spans="1:64" s="2398" customFormat="1" ht="3.75" customHeight="1">
      <c r="A213" s="2766"/>
      <c r="C213" s="2399"/>
      <c r="D213" s="2767"/>
      <c r="E213" s="2399"/>
      <c r="F213" s="2399"/>
      <c r="G213" s="2399"/>
      <c r="H213" s="2399"/>
      <c r="I213" s="2399"/>
      <c r="J213" s="2399"/>
      <c r="K213" s="2399"/>
      <c r="L213" s="2399"/>
      <c r="M213" s="2399"/>
      <c r="N213" s="2399"/>
      <c r="O213" s="2399"/>
      <c r="P213" s="2399"/>
      <c r="Q213" s="2746"/>
      <c r="R213" s="2497"/>
      <c r="S213" s="2399"/>
      <c r="T213" s="2399"/>
      <c r="U213" s="2399"/>
      <c r="V213" s="2399"/>
      <c r="W213" s="2399"/>
      <c r="X213" s="2399"/>
      <c r="Y213" s="2399"/>
      <c r="AF213" s="2399"/>
      <c r="AG213" s="2399"/>
      <c r="BL213" s="2399"/>
    </row>
    <row r="214" spans="1:64">
      <c r="A214" s="1417" t="s">
        <v>977</v>
      </c>
      <c r="B214" s="1059"/>
      <c r="C214" s="2346"/>
      <c r="D214" s="1545" t="s">
        <v>1570</v>
      </c>
      <c r="E214" s="1455"/>
      <c r="F214" s="1455"/>
      <c r="G214" s="1455"/>
      <c r="H214" s="1455"/>
      <c r="I214" s="1455"/>
      <c r="J214" s="1455"/>
      <c r="K214" s="1455"/>
      <c r="L214" s="1455"/>
      <c r="M214" s="1455"/>
      <c r="N214" s="1455"/>
      <c r="O214" s="1983"/>
      <c r="P214" s="1987"/>
      <c r="Q214" s="1987"/>
      <c r="R214" s="1987"/>
      <c r="S214" s="1987"/>
      <c r="T214" s="1987"/>
      <c r="U214" s="1987"/>
      <c r="V214" s="1987"/>
      <c r="W214" s="1987"/>
      <c r="Y214" s="2399"/>
      <c r="Z214" s="2398"/>
      <c r="AA214" s="2398"/>
      <c r="AB214" s="2398"/>
    </row>
    <row r="215" spans="1:64">
      <c r="A215" s="1458"/>
      <c r="B215" s="1458"/>
      <c r="C215" s="2346"/>
      <c r="D215" s="1983"/>
      <c r="E215" s="1455"/>
      <c r="F215" s="1455"/>
      <c r="G215" s="1455"/>
      <c r="H215" s="1455"/>
      <c r="I215" s="1455"/>
      <c r="J215" s="1455"/>
      <c r="K215" s="1455"/>
      <c r="L215" s="1455"/>
      <c r="M215" s="1455"/>
      <c r="N215" s="1455"/>
      <c r="O215" s="1983"/>
      <c r="P215" s="1987"/>
      <c r="Q215" s="1987"/>
      <c r="R215" s="1987"/>
      <c r="S215" s="1987"/>
      <c r="T215" s="1987"/>
      <c r="U215" s="1987"/>
      <c r="V215" s="1987"/>
      <c r="W215" s="1987"/>
      <c r="Y215" s="2399"/>
      <c r="Z215" s="2398"/>
      <c r="AA215" s="2398"/>
      <c r="AB215" s="2398"/>
    </row>
    <row r="216" spans="1:64">
      <c r="A216" s="1121"/>
      <c r="B216" s="93"/>
      <c r="D216" s="4103" t="s">
        <v>1522</v>
      </c>
      <c r="E216" s="4445"/>
      <c r="F216" s="4445"/>
      <c r="G216" s="4445"/>
      <c r="H216" s="4104"/>
      <c r="I216" s="4103" t="s">
        <v>1418</v>
      </c>
      <c r="J216" s="4445"/>
      <c r="K216" s="4445"/>
      <c r="L216" s="4445"/>
      <c r="M216" s="4104"/>
      <c r="N216" s="1974" t="s">
        <v>1197</v>
      </c>
      <c r="O216" s="4394" t="s">
        <v>1270</v>
      </c>
      <c r="P216" s="4395"/>
      <c r="Q216" s="4395"/>
      <c r="R216" s="4395"/>
      <c r="S216" s="4396"/>
      <c r="T216" s="1974" t="s">
        <v>1440</v>
      </c>
      <c r="U216" s="1997" t="s">
        <v>1439</v>
      </c>
      <c r="V216" s="1998"/>
      <c r="W216" s="1999"/>
      <c r="Y216" s="3754"/>
      <c r="Z216" s="2400"/>
      <c r="AA216" s="2400"/>
      <c r="AB216" s="2400"/>
      <c r="AC216" s="2360"/>
      <c r="AD216" s="2360"/>
      <c r="AE216" s="2360"/>
      <c r="AF216" s="2360"/>
      <c r="AG216" s="2360"/>
      <c r="AH216" s="2360"/>
      <c r="AI216" s="2360"/>
      <c r="AJ216" s="2360"/>
      <c r="AK216" s="2360"/>
      <c r="AL216" s="2360"/>
      <c r="AM216" s="2360"/>
      <c r="AN216" s="2360"/>
      <c r="AO216" s="2360"/>
    </row>
    <row r="217" spans="1:64">
      <c r="A217" s="1983"/>
      <c r="B217" s="1983"/>
      <c r="D217" s="4397" t="s">
        <v>1437</v>
      </c>
      <c r="E217" s="4398"/>
      <c r="F217" s="4358" t="s">
        <v>1438</v>
      </c>
      <c r="G217" s="4359"/>
      <c r="H217" s="1972" t="s">
        <v>1178</v>
      </c>
      <c r="I217" s="4397" t="s">
        <v>1437</v>
      </c>
      <c r="J217" s="4398"/>
      <c r="K217" s="4358" t="s">
        <v>1438</v>
      </c>
      <c r="L217" s="4359"/>
      <c r="M217" s="2003" t="s">
        <v>1178</v>
      </c>
      <c r="N217" s="2008" t="s">
        <v>1178</v>
      </c>
      <c r="O217" s="4397" t="s">
        <v>1437</v>
      </c>
      <c r="P217" s="4398"/>
      <c r="Q217" s="4358" t="s">
        <v>1438</v>
      </c>
      <c r="R217" s="4359"/>
      <c r="S217" s="2003" t="s">
        <v>1178</v>
      </c>
      <c r="T217" s="1973" t="s">
        <v>1178</v>
      </c>
      <c r="U217" s="4358" t="s">
        <v>99</v>
      </c>
      <c r="V217" s="4359"/>
      <c r="W217" s="2003" t="s">
        <v>102</v>
      </c>
      <c r="Y217" s="2401"/>
      <c r="Z217" s="2400"/>
      <c r="AA217" s="2400"/>
      <c r="AB217" s="2400"/>
      <c r="AC217" s="2360"/>
      <c r="AD217" s="2360"/>
      <c r="AE217" s="2360"/>
      <c r="AF217" s="2360"/>
      <c r="AG217" s="2360"/>
      <c r="AH217" s="2360"/>
      <c r="AI217" s="2360"/>
      <c r="AJ217" s="2360"/>
      <c r="AK217" s="2360"/>
      <c r="AL217" s="2360"/>
      <c r="AM217" s="2360"/>
      <c r="AN217" s="2360"/>
      <c r="AO217" s="2360"/>
    </row>
    <row r="218" spans="1:64">
      <c r="A218" s="1696" t="s">
        <v>319</v>
      </c>
      <c r="B218" s="1697" t="s">
        <v>750</v>
      </c>
      <c r="C218" s="2377"/>
      <c r="D218" s="4399">
        <f>VLOOKUP(B218,Ranking!$B$7:$C$28,2,FALSE)/Ranking!$C$9</f>
        <v>1</v>
      </c>
      <c r="E218" s="4400"/>
      <c r="F218" s="4414">
        <f>VLOOKUP(B218,CALCULATIONS!$C$5:$Q$27,14,FALSE)/CALCULATIONS!$Q$7</f>
        <v>1.115510051221781</v>
      </c>
      <c r="G218" s="4415"/>
      <c r="H218" s="1698">
        <f>VLOOKUP(B218,Ranking!$B$7:$G$28,6,FALSE)/Ranking!$G$9</f>
        <v>1</v>
      </c>
      <c r="I218" s="4502">
        <f>VLOOKUP($B218,CALCULATIONS!$PB$5:$PV$27,19,FALSE)</f>
        <v>0.38177126123375654</v>
      </c>
      <c r="J218" s="4503"/>
      <c r="K218" s="4446">
        <f>VLOOKUP($B218,CALCULATIONS!$PB$5:$PV$27,18,FALSE)</f>
        <v>0.38863376963635382</v>
      </c>
      <c r="L218" s="4447"/>
      <c r="M218" s="1710">
        <f>VLOOKUP($B218,CALCULATIONS!$PB$5:$PV$27,16,FALSE)</f>
        <v>0.4376750700280112</v>
      </c>
      <c r="N218" s="1975">
        <f>VLOOKUP(B218,Ranking!$B$7:$V$28,21,FALSE)</f>
        <v>0.28756363720088318</v>
      </c>
      <c r="O218" s="4399">
        <f>VLOOKUP($B218,CALCULATIONS!$NM$5:$OJ$27,21,FALSE)</f>
        <v>1.2613112569345961</v>
      </c>
      <c r="P218" s="4400"/>
      <c r="Q218" s="4414">
        <f>VLOOKUP($B218,CALCULATIONS!$NM$5:$OJ$27,20,FALSE)</f>
        <v>0.14492583738846943</v>
      </c>
      <c r="R218" s="4415"/>
      <c r="S218" s="1698">
        <f>VLOOKUP($B218,CALCULATIONS!$NM$5:$OJ$27,16,FALSE)</f>
        <v>1.4330538995779536</v>
      </c>
      <c r="T218" s="1949">
        <f>VLOOKUP($B218,'GEARINGS, Eb&amp;E'!$B$14:$R$35,17,FALSE)</f>
        <v>1.3109622071604587</v>
      </c>
      <c r="U218" s="1956" t="str">
        <f t="shared" ref="U218:U239" si="0">VLOOKUP($B218,$B$96:$O$119,11,FALSE)</f>
        <v>A</v>
      </c>
      <c r="V218" s="1957"/>
      <c r="W218" s="1701" t="str">
        <f t="shared" ref="W218:W235" si="1">VLOOKUP($B218,$B$96:$O$119,14,FALSE)</f>
        <v>=  =  -</v>
      </c>
      <c r="X218" s="2364">
        <v>1</v>
      </c>
      <c r="Y218" s="2401"/>
      <c r="Z218" s="2400"/>
      <c r="AA218" s="2400"/>
      <c r="AB218" s="2400"/>
      <c r="AC218" s="2360"/>
      <c r="AD218" s="2360"/>
      <c r="AE218" s="2360"/>
      <c r="AF218" s="2360"/>
      <c r="AG218" s="2360"/>
      <c r="AH218" s="2360"/>
      <c r="AI218" s="2360"/>
      <c r="AJ218" s="2360"/>
      <c r="AK218" s="2360"/>
      <c r="AL218" s="2360"/>
      <c r="AM218" s="2360"/>
      <c r="AN218" s="2360"/>
      <c r="AO218" s="2360"/>
    </row>
    <row r="219" spans="1:64">
      <c r="A219" s="1115" t="s">
        <v>504</v>
      </c>
      <c r="B219" s="73" t="s">
        <v>288</v>
      </c>
      <c r="C219" s="2377"/>
      <c r="D219" s="4401">
        <f>VLOOKUP(B219,Ranking!$B$7:$C$28,2,FALSE)/Ranking!$C$9</f>
        <v>2.1335218503180777</v>
      </c>
      <c r="E219" s="4402"/>
      <c r="F219" s="4342">
        <f>VLOOKUP(B219,CALCULATIONS!$C$5:$Q$27,14,FALSE)/CALCULATIONS!$Q$7</f>
        <v>2.3799650685311082</v>
      </c>
      <c r="G219" s="4343"/>
      <c r="H219" s="1699">
        <f>VLOOKUP(B219,Ranking!$B$7:$G$28,6,FALSE)/Ranking!$G$9</f>
        <v>2.9915379307461767</v>
      </c>
      <c r="I219" s="4348">
        <f>VLOOKUP($B219,CALCULATIONS!$PB$5:$PV$27,19,FALSE)</f>
        <v>0.66497585026970141</v>
      </c>
      <c r="J219" s="4349"/>
      <c r="K219" s="4448">
        <f>VLOOKUP($B219,CALCULATIONS!$PB$5:$PV$27,18,FALSE)</f>
        <v>0.65916928667187924</v>
      </c>
      <c r="L219" s="4449"/>
      <c r="M219" s="1711">
        <f>VLOOKUP($B219,CALCULATIONS!$PB$5:$PV$27,16,FALSE)</f>
        <v>0.66154734834592532</v>
      </c>
      <c r="N219" s="1976">
        <f>VLOOKUP(B219,Ranking!$B$7:$V$28,21,FALSE)</f>
        <v>0.30362227391248225</v>
      </c>
      <c r="O219" s="4401">
        <f>VLOOKUP($B219,CALCULATIONS!$NM$5:$OJ$27,21,FALSE)</f>
        <v>2.2729979457754066</v>
      </c>
      <c r="P219" s="4402"/>
      <c r="Q219" s="4342">
        <f>VLOOKUP($B219,CALCULATIONS!$NM$5:$OJ$27,20,FALSE)</f>
        <v>0.1125775391769408</v>
      </c>
      <c r="R219" s="4343"/>
      <c r="S219" s="1699">
        <f>VLOOKUP($B219,CALCULATIONS!$NM$5:$OJ$27,16,FALSE)</f>
        <v>2.3435449790233798</v>
      </c>
      <c r="T219" s="1950">
        <f>VLOOKUP($B219,'GEARINGS, Eb&amp;E'!$B$14:$R$35,17,FALSE)</f>
        <v>2.3009327536910358</v>
      </c>
      <c r="U219" s="1958" t="str">
        <f t="shared" si="0"/>
        <v>A</v>
      </c>
      <c r="V219" s="1959"/>
      <c r="W219" s="1702" t="str">
        <f t="shared" si="1"/>
        <v>=  =  -</v>
      </c>
      <c r="X219" s="2364">
        <v>1</v>
      </c>
      <c r="Y219" s="2401"/>
      <c r="Z219" s="2400"/>
      <c r="AA219" s="2400"/>
      <c r="AB219" s="2400"/>
      <c r="AC219" s="2360"/>
      <c r="AD219" s="2360"/>
      <c r="AE219" s="2360"/>
      <c r="AF219" s="2360"/>
      <c r="AG219" s="2360"/>
      <c r="AH219" s="2360"/>
      <c r="AI219" s="2360"/>
      <c r="AJ219" s="2360"/>
      <c r="AK219" s="2360"/>
      <c r="AL219" s="2360"/>
      <c r="AM219" s="2360"/>
      <c r="AN219" s="2360"/>
      <c r="AO219" s="2360"/>
    </row>
    <row r="220" spans="1:64">
      <c r="A220" s="1713" t="s">
        <v>500</v>
      </c>
      <c r="B220" s="1714" t="s">
        <v>279</v>
      </c>
      <c r="C220" s="2377"/>
      <c r="D220" s="4420">
        <f>VLOOKUP(B220,Ranking!$B$7:$C$28,2,FALSE)/Ranking!$C$9</f>
        <v>2.7067801148460058</v>
      </c>
      <c r="E220" s="4421"/>
      <c r="F220" s="4339">
        <f>VLOOKUP(B220,CALCULATIONS!$C$5:$Q$27,14,FALSE)/CALCULATIONS!$Q$7</f>
        <v>3.0194404245579665</v>
      </c>
      <c r="G220" s="4340"/>
      <c r="H220" s="1715">
        <f>VLOOKUP(B220,Ranking!$B$7:$G$28,6,FALSE)/Ranking!$G$9</f>
        <v>4.0795025527416593</v>
      </c>
      <c r="I220" s="4350">
        <f>VLOOKUP($B220,CALCULATIONS!$PB$5:$PV$27,19,FALSE)</f>
        <v>0.38421326413854551</v>
      </c>
      <c r="J220" s="4351"/>
      <c r="K220" s="4388">
        <f>VLOOKUP($B220,CALCULATIONS!$PB$5:$PV$27,18,FALSE)</f>
        <v>0.39455754988606467</v>
      </c>
      <c r="L220" s="4389"/>
      <c r="M220" s="1717">
        <f>VLOOKUP($B220,CALCULATIONS!$PB$5:$PV$27,16,FALSE)</f>
        <v>0.42535613700034924</v>
      </c>
      <c r="N220" s="1977">
        <f>VLOOKUP(B220,Ranking!$B$7:$V$28,21,FALSE)</f>
        <v>0.198117589718218</v>
      </c>
      <c r="O220" s="4420">
        <f>VLOOKUP($B220,CALCULATIONS!$NM$5:$OJ$27,21,FALSE)</f>
        <v>1.4355534634192222</v>
      </c>
      <c r="P220" s="4421"/>
      <c r="Q220" s="4339">
        <f>VLOOKUP($B220,CALCULATIONS!$NM$5:$OJ$27,20,FALSE)</f>
        <v>0.30647226314906528</v>
      </c>
      <c r="R220" s="4340"/>
      <c r="S220" s="1715">
        <f>VLOOKUP($B220,CALCULATIONS!$NM$5:$OJ$27,16,FALSE)</f>
        <v>1.6501516887993055</v>
      </c>
      <c r="T220" s="1951">
        <f>VLOOKUP($B220,'GEARINGS, Eb&amp;E'!$B$14:$R$35,17,FALSE)</f>
        <v>1.2087727199953455</v>
      </c>
      <c r="U220" s="1960" t="str">
        <f t="shared" si="0"/>
        <v>A-</v>
      </c>
      <c r="V220" s="1961"/>
      <c r="W220" s="1716" t="str">
        <f t="shared" si="1"/>
        <v>=  =  -</v>
      </c>
      <c r="X220" s="2364">
        <v>2</v>
      </c>
      <c r="Y220" s="2401"/>
      <c r="Z220" s="2400"/>
      <c r="AA220" s="2400"/>
      <c r="AB220" s="2400"/>
      <c r="AC220" s="2360"/>
      <c r="AD220" s="2360"/>
      <c r="AE220" s="2360"/>
      <c r="AF220" s="2360"/>
      <c r="AG220" s="2360"/>
      <c r="AH220" s="2360"/>
      <c r="AI220" s="2360"/>
      <c r="AJ220" s="2360"/>
      <c r="AK220" s="2360"/>
      <c r="AL220" s="2360"/>
      <c r="AM220" s="2360"/>
      <c r="AN220" s="2360"/>
      <c r="AO220" s="2360"/>
    </row>
    <row r="221" spans="1:64">
      <c r="A221" s="1115" t="s">
        <v>503</v>
      </c>
      <c r="B221" s="73" t="s">
        <v>282</v>
      </c>
      <c r="C221" s="2377"/>
      <c r="D221" s="4331">
        <f>VLOOKUP(B221,Ranking!$B$7:$C$28,2,FALSE)/Ranking!$C$9</f>
        <v>3.012965920797551</v>
      </c>
      <c r="E221" s="4332"/>
      <c r="F221" s="4327">
        <f>VLOOKUP(B221,CALCULATIONS!$C$5:$Q$27,14,FALSE)/CALCULATIONS!$Q$7</f>
        <v>3.3609937686383571</v>
      </c>
      <c r="G221" s="4328"/>
      <c r="H221" s="1699">
        <f>VLOOKUP(B221,Ranking!$B$7:$G$28,6,FALSE)/Ranking!$G$9</f>
        <v>3.7301904359299858</v>
      </c>
      <c r="I221" s="4352">
        <f>VLOOKUP($B221,CALCULATIONS!$PB$5:$PV$27,19,FALSE)</f>
        <v>0.41788808645473879</v>
      </c>
      <c r="J221" s="4353"/>
      <c r="K221" s="4390">
        <f>VLOOKUP($B221,CALCULATIONS!$PB$5:$PV$27,18,FALSE)</f>
        <v>0.41058428750130765</v>
      </c>
      <c r="L221" s="4391"/>
      <c r="M221" s="1711">
        <f>VLOOKUP($B221,CALCULATIONS!$PB$5:$PV$27,16,FALSE)</f>
        <v>0.44388785948168641</v>
      </c>
      <c r="N221" s="1976">
        <f>VLOOKUP(B221,Ranking!$B$7:$V$28,21,FALSE)</f>
        <v>0.28287599661626001</v>
      </c>
      <c r="O221" s="4331">
        <f>VLOOKUP($B221,CALCULATIONS!$NM$5:$OJ$27,21,FALSE)</f>
        <v>2.4050116941532229</v>
      </c>
      <c r="P221" s="4332"/>
      <c r="Q221" s="4327">
        <f>VLOOKUP($B221,CALCULATIONS!$NM$5:$OJ$27,20,FALSE)</f>
        <v>0.4531362931134375</v>
      </c>
      <c r="R221" s="4328"/>
      <c r="S221" s="1699">
        <f>VLOOKUP($B221,CALCULATIONS!$NM$5:$OJ$27,16,FALSE)</f>
        <v>2.6624165226553771</v>
      </c>
      <c r="T221" s="1950">
        <f>VLOOKUP($B221,'GEARINGS, Eb&amp;E'!$B$14:$R$35,17,FALSE)</f>
        <v>2.1424428051274771</v>
      </c>
      <c r="U221" s="1958" t="str">
        <f t="shared" si="0"/>
        <v>A-</v>
      </c>
      <c r="V221" s="1959"/>
      <c r="W221" s="1702" t="str">
        <f t="shared" si="1"/>
        <v>=  =  =</v>
      </c>
      <c r="X221" s="2364">
        <v>2</v>
      </c>
      <c r="Y221" s="2401"/>
      <c r="Z221" s="2400"/>
      <c r="AA221" s="2400"/>
      <c r="AB221" s="2400"/>
      <c r="AF221" s="2332"/>
      <c r="AG221" s="2332"/>
      <c r="AO221" s="2360"/>
    </row>
    <row r="222" spans="1:64">
      <c r="A222" s="1115" t="s">
        <v>32</v>
      </c>
      <c r="B222" s="73" t="s">
        <v>277</v>
      </c>
      <c r="C222" s="2377"/>
      <c r="D222" s="4333">
        <f>VLOOKUP(B222,Ranking!$B$7:$C$28,2,FALSE)/Ranking!$C$9</f>
        <v>13.530627697807351</v>
      </c>
      <c r="E222" s="4334"/>
      <c r="F222" s="4416">
        <f>VLOOKUP(B222,CALCULATIONS!$C$5:$Q$27,14,FALSE)/CALCULATIONS!$Q$7</f>
        <v>15.093551196243927</v>
      </c>
      <c r="G222" s="4417"/>
      <c r="H222" s="1699">
        <f>VLOOKUP(B222,Ranking!$B$7:$G$28,6,FALSE)/Ranking!$G$9</f>
        <v>18.318462704779492</v>
      </c>
      <c r="I222" s="4344">
        <f>VLOOKUP($B222,CALCULATIONS!$PB$5:$PV$27,19,FALSE)</f>
        <v>0.31262610830997539</v>
      </c>
      <c r="J222" s="4345"/>
      <c r="K222" s="4452">
        <f>VLOOKUP($B222,CALCULATIONS!$PB$5:$PV$27,18,FALSE)</f>
        <v>0.32689238844942292</v>
      </c>
      <c r="L222" s="4453"/>
      <c r="M222" s="1711">
        <f>VLOOKUP($B222,CALCULATIONS!$PB$5:$PV$27,16,FALSE)</f>
        <v>0.33743321358886924</v>
      </c>
      <c r="N222" s="1976">
        <f>VLOOKUP(B222,Ranking!$B$7:$V$28,21,FALSE)</f>
        <v>0.2718321660431175</v>
      </c>
      <c r="O222" s="4333">
        <f>VLOOKUP($B222,CALCULATIONS!$NM$5:$OJ$27,21,FALSE)</f>
        <v>2.5687264385726105</v>
      </c>
      <c r="P222" s="4334"/>
      <c r="Q222" s="4416">
        <f>VLOOKUP($B222,CALCULATIONS!$NM$5:$OJ$27,20,FALSE)</f>
        <v>0.48365753786158194</v>
      </c>
      <c r="R222" s="4417"/>
      <c r="S222" s="1699">
        <f>VLOOKUP($B222,CALCULATIONS!$NM$5:$OJ$27,16,FALSE)</f>
        <v>2.8571247137382461</v>
      </c>
      <c r="T222" s="1950">
        <f>VLOOKUP($B222,'GEARINGS, Eb&amp;E'!$B$14:$R$35,17,FALSE)</f>
        <v>2.3348198024327131</v>
      </c>
      <c r="U222" s="1958" t="str">
        <f t="shared" si="0"/>
        <v>A-</v>
      </c>
      <c r="V222" s="1959"/>
      <c r="W222" s="1702" t="str">
        <f t="shared" si="1"/>
        <v>=  =  =</v>
      </c>
      <c r="X222" s="2364">
        <v>2</v>
      </c>
      <c r="Y222" s="3754"/>
      <c r="Z222" s="2400"/>
      <c r="AA222" s="2400"/>
      <c r="AB222" s="2400"/>
      <c r="AF222" s="2332"/>
      <c r="AG222" s="2332"/>
      <c r="AO222" s="2360"/>
    </row>
    <row r="223" spans="1:64">
      <c r="A223" s="1122" t="s">
        <v>498</v>
      </c>
      <c r="B223" s="76" t="s">
        <v>52</v>
      </c>
      <c r="C223" s="2377"/>
      <c r="D223" s="4424">
        <f>VLOOKUP(B223,Ranking!$B$7:$C$28,2,FALSE)/Ranking!$C$9</f>
        <v>5.31251358385515</v>
      </c>
      <c r="E223" s="4425"/>
      <c r="F223" s="4418">
        <f>VLOOKUP(B223,CALCULATIONS!$C$5:$Q$27,14,FALSE)/CALCULATIONS!$Q$7</f>
        <v>5.926162300042666</v>
      </c>
      <c r="G223" s="4419"/>
      <c r="H223" s="1718">
        <f>VLOOKUP(B223,Ranking!$B$7:$G$28,6,FALSE)/Ranking!$G$9</f>
        <v>6.8302221720551222</v>
      </c>
      <c r="I223" s="4346">
        <f>VLOOKUP($B223,CALCULATIONS!$PB$5:$PV$27,19,FALSE)</f>
        <v>0.57903185308242289</v>
      </c>
      <c r="J223" s="4347"/>
      <c r="K223" s="4454">
        <f>VLOOKUP($B223,CALCULATIONS!$PB$5:$PV$27,18,FALSE)</f>
        <v>0.57797762447652712</v>
      </c>
      <c r="L223" s="4455"/>
      <c r="M223" s="1720">
        <f>VLOOKUP($B223,CALCULATIONS!$PB$5:$PV$27,16,FALSE)</f>
        <v>0.58285854616895871</v>
      </c>
      <c r="N223" s="1978">
        <f>VLOOKUP(B223,Ranking!$B$7:$V$28,21,FALSE)</f>
        <v>0.59074959904524027</v>
      </c>
      <c r="O223" s="4424">
        <f>VLOOKUP($B223,CALCULATIONS!$NM$5:$OJ$27,21,FALSE)</f>
        <v>2.8885013855817951</v>
      </c>
      <c r="P223" s="4425"/>
      <c r="Q223" s="4418">
        <f>VLOOKUP($B223,CALCULATIONS!$NM$5:$OJ$27,20,FALSE)</f>
        <v>0.23142182372847131</v>
      </c>
      <c r="R223" s="4419"/>
      <c r="S223" s="1718">
        <f>VLOOKUP($B223,CALCULATIONS!$NM$5:$OJ$27,16,FALSE)</f>
        <v>3.1841649798132132</v>
      </c>
      <c r="T223" s="1952">
        <f>VLOOKUP($B223,'GEARINGS, Eb&amp;E'!$B$14:$R$35,17,FALSE)</f>
        <v>2.9178287645268703</v>
      </c>
      <c r="U223" s="1962" t="str">
        <f t="shared" si="0"/>
        <v>BBB+</v>
      </c>
      <c r="V223" s="1963"/>
      <c r="W223" s="1719" t="str">
        <f t="shared" si="1"/>
        <v>=  =  =</v>
      </c>
      <c r="X223" s="2364">
        <v>3</v>
      </c>
      <c r="Y223" s="2401"/>
      <c r="Z223" s="2401"/>
      <c r="AA223" s="2401"/>
      <c r="AB223" s="2401"/>
      <c r="AC223" s="2329"/>
      <c r="AD223" s="2329"/>
      <c r="AE223" s="2329"/>
      <c r="AH223" s="2329"/>
      <c r="AI223" s="2329"/>
      <c r="AJ223" s="2329"/>
      <c r="AK223" s="2329"/>
      <c r="AL223" s="2329"/>
      <c r="AO223" s="2360"/>
    </row>
    <row r="224" spans="1:64">
      <c r="A224" s="1115" t="s">
        <v>19</v>
      </c>
      <c r="B224" s="150" t="s">
        <v>286</v>
      </c>
      <c r="C224" s="2377"/>
      <c r="D224" s="4401">
        <f>VLOOKUP(B224,Ranking!$B$7:$C$28,2,FALSE)/Ranking!$C$9</f>
        <v>4.092853292601391</v>
      </c>
      <c r="E224" s="4402"/>
      <c r="F224" s="4342">
        <f>VLOOKUP(B224,CALCULATIONS!$C$5:$Q$27,14,FALSE)/CALCULATIONS!$Q$7</f>
        <v>4.5656189860730132</v>
      </c>
      <c r="G224" s="4343"/>
      <c r="H224" s="1699">
        <f>VLOOKUP(B224,Ranking!$B$7:$G$28,6,FALSE)/Ranking!$G$9</f>
        <v>3.2827054881755546</v>
      </c>
      <c r="I224" s="4348">
        <f>VLOOKUP($B224,CALCULATIONS!$PB$5:$PV$27,19,FALSE)</f>
        <v>0.58367484373861944</v>
      </c>
      <c r="J224" s="4349"/>
      <c r="K224" s="4448">
        <f>VLOOKUP($B224,CALCULATIONS!$PB$5:$PV$27,18,FALSE)</f>
        <v>0.58432110398362269</v>
      </c>
      <c r="L224" s="4449"/>
      <c r="M224" s="1711">
        <f>VLOOKUP($B224,CALCULATIONS!$PB$5:$PV$27,16,FALSE)</f>
        <v>0.57614408434205389</v>
      </c>
      <c r="N224" s="1976">
        <f>VLOOKUP(B224,Ranking!$B$7:$V$28,21,FALSE)</f>
        <v>0.65530118542007598</v>
      </c>
      <c r="O224" s="4401">
        <f>VLOOKUP($B224,CALCULATIONS!$NM$5:$OJ$27,21,FALSE)</f>
        <v>3.2915727037840417</v>
      </c>
      <c r="P224" s="4402"/>
      <c r="Q224" s="4342">
        <f>VLOOKUP($B224,CALCULATIONS!$NM$5:$OJ$27,20,FALSE)</f>
        <v>0.53732577949199412</v>
      </c>
      <c r="R224" s="4343"/>
      <c r="S224" s="1699">
        <f>VLOOKUP($B224,CALCULATIONS!$NM$5:$OJ$27,16,FALSE)</f>
        <v>3.2623961251190861</v>
      </c>
      <c r="T224" s="1950">
        <f>VLOOKUP($B224,'GEARINGS, Eb&amp;E'!$B$14:$R$35,17,FALSE)</f>
        <v>2.8138910595815916</v>
      </c>
      <c r="U224" s="1958" t="str">
        <f t="shared" si="0"/>
        <v>BBB+</v>
      </c>
      <c r="V224" s="1959"/>
      <c r="W224" s="1702" t="str">
        <f t="shared" si="1"/>
        <v>=  ¯ ¯</v>
      </c>
      <c r="X224" s="2364">
        <v>3</v>
      </c>
      <c r="Y224" s="3754"/>
      <c r="Z224" s="2401"/>
      <c r="AA224" s="2401"/>
      <c r="AB224" s="2401"/>
      <c r="AC224" s="2329"/>
      <c r="AD224" s="2329"/>
      <c r="AE224" s="2329"/>
      <c r="AH224" s="2329"/>
      <c r="AI224" s="2329"/>
      <c r="AJ224" s="2329"/>
      <c r="AK224" s="2329"/>
      <c r="AL224" s="2329"/>
      <c r="AO224" s="2360"/>
    </row>
    <row r="225" spans="1:41">
      <c r="A225" s="1713" t="s">
        <v>502</v>
      </c>
      <c r="B225" s="1732" t="s">
        <v>287</v>
      </c>
      <c r="C225" s="2378"/>
      <c r="D225" s="4420">
        <f>VLOOKUP(B225,Ranking!$B$7:$C$28,2,FALSE)/Ranking!$C$9</f>
        <v>0.60140450707179594</v>
      </c>
      <c r="E225" s="4421"/>
      <c r="F225" s="4339">
        <f>VLOOKUP(B225,CALCULATIONS!$C$5:$Q$27,14,FALSE)/CALCULATIONS!$Q$7</f>
        <v>0.67087277248866906</v>
      </c>
      <c r="G225" s="4340"/>
      <c r="H225" s="1731">
        <f>VLOOKUP(B225,Ranking!$B$7:$G$28,6,FALSE)/Ranking!$G$9</f>
        <v>0.39863629324690431</v>
      </c>
      <c r="I225" s="4350">
        <f>VLOOKUP($B225,CALCULATIONS!$PB$5:$PV$27,19,FALSE)</f>
        <v>0.29258903968572825</v>
      </c>
      <c r="J225" s="4351"/>
      <c r="K225" s="4388">
        <f>VLOOKUP($B225,CALCULATIONS!$PB$5:$PV$27,18,FALSE)</f>
        <v>0.28538228278094252</v>
      </c>
      <c r="L225" s="4389"/>
      <c r="M225" s="1717">
        <f>VLOOKUP($B225,CALCULATIONS!$PB$5:$PV$27,16,FALSE)</f>
        <v>0.28468241560998203</v>
      </c>
      <c r="N225" s="1977">
        <f>VLOOKUP(B225,Ranking!$B$7:$V$28,21,FALSE)</f>
        <v>0.34197601038246805</v>
      </c>
      <c r="O225" s="4420">
        <f>VLOOKUP($B225,CALCULATIONS!$NM$5:$OJ$27,21,FALSE)</f>
        <v>1.1976201658037882</v>
      </c>
      <c r="P225" s="4421"/>
      <c r="Q225" s="4339">
        <f>VLOOKUP($B225,CALCULATIONS!$NM$5:$OJ$27,20,FALSE)</f>
        <v>6.7940672040062378E-2</v>
      </c>
      <c r="R225" s="4340"/>
      <c r="S225" s="1731">
        <f>VLOOKUP($B225,CALCULATIONS!$NM$5:$OJ$27,16,FALSE)</f>
        <v>1.2457059049561294</v>
      </c>
      <c r="T225" s="1951">
        <f>VLOOKUP($B225,'GEARINGS, Eb&amp;E'!$B$14:$R$35,17,FALSE)</f>
        <v>1.1762690733772538</v>
      </c>
      <c r="U225" s="1960" t="str">
        <f t="shared" si="0"/>
        <v>BBB</v>
      </c>
      <c r="V225" s="1961"/>
      <c r="W225" s="1716" t="str">
        <f t="shared" si="1"/>
        <v>=  ¯ -</v>
      </c>
      <c r="X225" s="2364">
        <v>4</v>
      </c>
      <c r="Y225" s="3754"/>
      <c r="Z225" s="2401"/>
      <c r="AA225" s="2401"/>
      <c r="AB225" s="2401"/>
      <c r="AC225" s="2329"/>
      <c r="AD225" s="2329"/>
      <c r="AE225" s="2329"/>
      <c r="AH225" s="2329"/>
      <c r="AI225" s="2329"/>
      <c r="AJ225" s="2329"/>
      <c r="AK225" s="2329"/>
      <c r="AL225" s="2329"/>
      <c r="AO225" s="2360"/>
    </row>
    <row r="226" spans="1:41">
      <c r="A226" s="1115" t="s">
        <v>73</v>
      </c>
      <c r="B226" s="73" t="s">
        <v>283</v>
      </c>
      <c r="C226" s="2377"/>
      <c r="D226" s="4331">
        <f>VLOOKUP(B226,Ranking!$B$7:$C$28,2,FALSE)/Ranking!$C$9</f>
        <v>0.32316516618420144</v>
      </c>
      <c r="E226" s="4332"/>
      <c r="F226" s="4327">
        <f>VLOOKUP(B226,CALCULATIONS!$C$5:$Q$27,14,FALSE)/CALCULATIONS!$Q$7</f>
        <v>0.36049399108323393</v>
      </c>
      <c r="G226" s="4328"/>
      <c r="H226" s="1699">
        <f>VLOOKUP(B226,Ranking!$B$7:$G$28,6,FALSE)/Ranking!$G$9</f>
        <v>0.40583908664384705</v>
      </c>
      <c r="I226" s="4352">
        <f>VLOOKUP($B226,CALCULATIONS!$PB$5:$PV$27,19,FALSE)</f>
        <v>0.55184388988303035</v>
      </c>
      <c r="J226" s="4353"/>
      <c r="K226" s="4390">
        <f>VLOOKUP($B226,CALCULATIONS!$PB$5:$PV$27,18,FALSE)</f>
        <v>0.55735027907047707</v>
      </c>
      <c r="L226" s="4391"/>
      <c r="M226" s="1711">
        <f>VLOOKUP($B226,CALCULATIONS!$PB$5:$PV$27,16,FALSE)</f>
        <v>0.58597697175982555</v>
      </c>
      <c r="N226" s="1976">
        <f>VLOOKUP(B226,Ranking!$B$7:$V$28,21,FALSE)</f>
        <v>0.32061814749302248</v>
      </c>
      <c r="O226" s="4331">
        <f>VLOOKUP($B226,CALCULATIONS!$NM$5:$OJ$27,21,FALSE)</f>
        <v>2.0003164984492168</v>
      </c>
      <c r="P226" s="4332"/>
      <c r="Q226" s="4327">
        <f>VLOOKUP($B226,CALCULATIONS!$NM$5:$OJ$27,20,FALSE)</f>
        <v>0.11347660787992031</v>
      </c>
      <c r="R226" s="4328"/>
      <c r="S226" s="1699">
        <f>VLOOKUP($B226,CALCULATIONS!$NM$5:$OJ$27,16,FALSE)</f>
        <v>2.3272917899381458</v>
      </c>
      <c r="T226" s="1950">
        <f>VLOOKUP($B226,'GEARINGS, Eb&amp;E'!$B$14:$R$35,17,FALSE)</f>
        <v>2.2311132077757287</v>
      </c>
      <c r="U226" s="1958" t="str">
        <f t="shared" si="0"/>
        <v>BBB</v>
      </c>
      <c r="V226" s="1959"/>
      <c r="W226" s="1702" t="str">
        <f t="shared" si="1"/>
        <v>=  =  -</v>
      </c>
      <c r="X226" s="2364">
        <v>4</v>
      </c>
      <c r="Y226" s="3754"/>
      <c r="Z226" s="2401"/>
      <c r="AA226" s="2401"/>
      <c r="AB226" s="2401"/>
      <c r="AC226" s="2329"/>
      <c r="AD226" s="2329"/>
      <c r="AE226" s="2329"/>
      <c r="AH226" s="2329"/>
      <c r="AI226" s="2329"/>
      <c r="AJ226" s="2329"/>
      <c r="AK226" s="2329"/>
      <c r="AL226" s="2329"/>
      <c r="AO226" s="2360"/>
    </row>
    <row r="227" spans="1:41">
      <c r="A227" s="1115" t="s">
        <v>32</v>
      </c>
      <c r="B227" s="73" t="s">
        <v>50</v>
      </c>
      <c r="C227" s="2377"/>
      <c r="D227" s="4331">
        <f>VLOOKUP(B227,Ranking!$B$7:$C$28,2,FALSE)/Ranking!$C$9</f>
        <v>2.5621102306182384</v>
      </c>
      <c r="E227" s="4332"/>
      <c r="F227" s="4327">
        <f>VLOOKUP(B227,CALCULATIONS!$C$5:$Q$27,14,FALSE)/CALCULATIONS!$Q$7</f>
        <v>2.8580597145928004</v>
      </c>
      <c r="G227" s="4328"/>
      <c r="H227" s="1699">
        <f>VLOOKUP(B227,Ranking!$B$7:$G$28,6,FALSE)/Ranking!$G$9</f>
        <v>4.8905330125708488</v>
      </c>
      <c r="I227" s="4352">
        <f>VLOOKUP($B227,CALCULATIONS!$PB$5:$PV$27,19,FALSE)</f>
        <v>1.0781347444679739</v>
      </c>
      <c r="J227" s="4353"/>
      <c r="K227" s="4390">
        <f>VLOOKUP($B227,CALCULATIONS!$PB$5:$PV$27,18,FALSE)</f>
        <v>1.0937205704383743</v>
      </c>
      <c r="L227" s="4391"/>
      <c r="M227" s="1711">
        <f>VLOOKUP($B227,CALCULATIONS!$PB$5:$PV$27,16,FALSE)</f>
        <v>1.0291164658634537</v>
      </c>
      <c r="N227" s="1976">
        <f>VLOOKUP(B227,Ranking!$B$7:$V$28,21,FALSE)</f>
        <v>0.37414035756341019</v>
      </c>
      <c r="O227" s="4331">
        <f>VLOOKUP($B227,CALCULATIONS!$NM$5:$OJ$27,21,FALSE)</f>
        <v>2.2938268732747087</v>
      </c>
      <c r="P227" s="4332"/>
      <c r="Q227" s="4327">
        <f>VLOOKUP($B227,CALCULATIONS!$NM$5:$OJ$27,20,FALSE)</f>
        <v>9.0649363496904112E-2</v>
      </c>
      <c r="R227" s="4328"/>
      <c r="S227" s="1699">
        <f>VLOOKUP($B227,CALCULATIONS!$NM$5:$OJ$27,16,FALSE)</f>
        <v>2.1879628997875771</v>
      </c>
      <c r="T227" s="1950">
        <f>VLOOKUP($B227,'GEARINGS, Eb&amp;E'!$B$14:$R$35,17,FALSE)</f>
        <v>2.136201464388483</v>
      </c>
      <c r="U227" s="1958" t="str">
        <f t="shared" si="0"/>
        <v>BBB</v>
      </c>
      <c r="V227" s="1959"/>
      <c r="W227" s="1702" t="str">
        <f t="shared" si="1"/>
        <v xml:space="preserve">=  -  = </v>
      </c>
      <c r="X227" s="2364">
        <v>4</v>
      </c>
      <c r="Y227" s="3754"/>
      <c r="Z227" s="2401"/>
      <c r="AA227" s="2401"/>
      <c r="AB227" s="2401"/>
      <c r="AC227" s="2329"/>
      <c r="AD227" s="2329"/>
      <c r="AE227" s="2329"/>
      <c r="AH227" s="2329"/>
      <c r="AI227" s="2329"/>
      <c r="AJ227" s="2329"/>
      <c r="AK227" s="2329"/>
      <c r="AL227" s="2329"/>
      <c r="AO227" s="2360"/>
    </row>
    <row r="228" spans="1:41">
      <c r="A228" s="1115" t="s">
        <v>539</v>
      </c>
      <c r="B228" s="73" t="s">
        <v>39</v>
      </c>
      <c r="C228" s="2377"/>
      <c r="D228" s="4331">
        <f>VLOOKUP(B228,Ranking!$B$7:$C$28,2,FALSE)/Ranking!$C$9</f>
        <v>0.66424802675581984</v>
      </c>
      <c r="E228" s="4332"/>
      <c r="F228" s="4327">
        <f>VLOOKUP(B228,CALCULATIONS!$C$5:$Q$27,14,FALSE)/CALCULATIONS!$Q$7</f>
        <v>0.74097535035035167</v>
      </c>
      <c r="G228" s="4328"/>
      <c r="H228" s="1699">
        <f>VLOOKUP(B228,Ranking!$B$7:$G$28,6,FALSE)/Ranking!$G$9</f>
        <v>0.8681653104372461</v>
      </c>
      <c r="I228" s="4352">
        <f>VLOOKUP($B228,CALCULATIONS!$PB$5:$PV$27,19,FALSE)</f>
        <v>0.55186943572014047</v>
      </c>
      <c r="J228" s="4353"/>
      <c r="K228" s="4390">
        <f>VLOOKUP($B228,CALCULATIONS!$PB$5:$PV$27,18,FALSE)</f>
        <v>0.55188262327703475</v>
      </c>
      <c r="L228" s="4391"/>
      <c r="M228" s="1711">
        <f>VLOOKUP($B228,CALCULATIONS!$PB$5:$PV$27,16,FALSE)</f>
        <v>0.54669010939941953</v>
      </c>
      <c r="N228" s="1976">
        <f>VLOOKUP(B228,Ranking!$B$7:$V$28,21,FALSE)</f>
        <v>0.43916945384982109</v>
      </c>
      <c r="O228" s="4331">
        <f>VLOOKUP($B228,CALCULATIONS!$NM$5:$OJ$27,21,FALSE)</f>
        <v>2.6315156310879719</v>
      </c>
      <c r="P228" s="4332"/>
      <c r="Q228" s="4327">
        <f>VLOOKUP($B228,CALCULATIONS!$NM$5:$OJ$27,20,FALSE)</f>
        <v>4.7173620831136631E-2</v>
      </c>
      <c r="R228" s="4328"/>
      <c r="S228" s="1699">
        <f>VLOOKUP($B228,CALCULATIONS!$NM$5:$OJ$27,16,FALSE)</f>
        <v>2.6312459451226378</v>
      </c>
      <c r="T228" s="1950">
        <f>VLOOKUP($B228,'GEARINGS, Eb&amp;E'!$B$14:$R$35,17,FALSE)</f>
        <v>2.5933932385229874</v>
      </c>
      <c r="U228" s="1958" t="str">
        <f t="shared" si="0"/>
        <v>BBB</v>
      </c>
      <c r="V228" s="1959"/>
      <c r="W228" s="1702" t="str">
        <f t="shared" si="1"/>
        <v>­  = =</v>
      </c>
      <c r="X228" s="2364">
        <v>4</v>
      </c>
      <c r="Y228" s="3754"/>
      <c r="Z228" s="2401"/>
      <c r="AA228" s="2401"/>
      <c r="AB228" s="2401"/>
      <c r="AC228" s="2329"/>
      <c r="AD228" s="2329"/>
      <c r="AE228" s="2329"/>
      <c r="AH228" s="2329"/>
      <c r="AI228" s="2329"/>
      <c r="AJ228" s="2329"/>
      <c r="AK228" s="2329"/>
      <c r="AL228" s="2329"/>
      <c r="AO228" s="2360"/>
    </row>
    <row r="229" spans="1:41">
      <c r="A229" s="1115" t="s">
        <v>385</v>
      </c>
      <c r="B229" s="73" t="s">
        <v>276</v>
      </c>
      <c r="C229" s="2377"/>
      <c r="D229" s="4331">
        <f>VLOOKUP(B229,Ranking!$B$7:$C$28,2,FALSE)/Ranking!$C$9</f>
        <v>0.46528757111493924</v>
      </c>
      <c r="E229" s="4332"/>
      <c r="F229" s="4327">
        <f>VLOOKUP(B229,CALCULATIONS!$C$5:$Q$27,14,FALSE)/CALCULATIONS!$Q$7</f>
        <v>0.51903296228728391</v>
      </c>
      <c r="G229" s="4328"/>
      <c r="H229" s="1699">
        <f>VLOOKUP(B229,Ranking!$B$7:$G$28,6,FALSE)/Ranking!$G$9</f>
        <v>0.36949564830152554</v>
      </c>
      <c r="I229" s="4352">
        <f>VLOOKUP($B229,CALCULATIONS!$PB$5:$PV$27,19,FALSE)</f>
        <v>0.81344245061522213</v>
      </c>
      <c r="J229" s="4353"/>
      <c r="K229" s="4390">
        <f>VLOOKUP($B229,CALCULATIONS!$PB$5:$PV$27,18,FALSE)</f>
        <v>0.81619677632706378</v>
      </c>
      <c r="L229" s="4391"/>
      <c r="M229" s="1711">
        <f>VLOOKUP($B229,CALCULATIONS!$PB$5:$PV$27,16,FALSE)</f>
        <v>0.81280312607455663</v>
      </c>
      <c r="N229" s="1976">
        <f>VLOOKUP(B229,Ranking!$B$7:$V$28,21,FALSE)</f>
        <v>0.62319136029119382</v>
      </c>
      <c r="O229" s="4331">
        <f>VLOOKUP($B229,CALCULATIONS!$NM$5:$OJ$27,21,FALSE)</f>
        <v>2.7207826156746648</v>
      </c>
      <c r="P229" s="4332"/>
      <c r="Q229" s="4327">
        <f>VLOOKUP($B229,CALCULATIONS!$NM$5:$OJ$27,20,FALSE)</f>
        <v>0.3589062810889927</v>
      </c>
      <c r="R229" s="4328"/>
      <c r="S229" s="1699">
        <f>VLOOKUP($B229,CALCULATIONS!$NM$5:$OJ$27,16,FALSE)</f>
        <v>2.9018039513877327</v>
      </c>
      <c r="T229" s="1950">
        <f>VLOOKUP($B229,'GEARINGS, Eb&amp;E'!$B$14:$R$35,17,FALSE)</f>
        <v>2.5252968522290931</v>
      </c>
      <c r="U229" s="1958" t="str">
        <f t="shared" si="0"/>
        <v>BBB</v>
      </c>
      <c r="V229" s="1959"/>
      <c r="W229" s="1702" t="str">
        <f t="shared" si="1"/>
        <v>=  ¯ -</v>
      </c>
      <c r="X229" s="2364">
        <v>4</v>
      </c>
      <c r="Y229" s="3754"/>
      <c r="Z229" s="2401"/>
      <c r="AA229" s="2401"/>
      <c r="AB229" s="2401"/>
      <c r="AC229" s="2329"/>
      <c r="AD229" s="2329"/>
      <c r="AE229" s="2329"/>
      <c r="AH229" s="2329"/>
      <c r="AI229" s="2329"/>
      <c r="AJ229" s="2329"/>
      <c r="AK229" s="2329"/>
      <c r="AL229" s="2329"/>
      <c r="AO229" s="2360"/>
    </row>
    <row r="230" spans="1:41">
      <c r="A230" s="1115" t="s">
        <v>217</v>
      </c>
      <c r="B230" s="73" t="s">
        <v>53</v>
      </c>
      <c r="C230" s="2377"/>
      <c r="D230" s="4401">
        <f>VLOOKUP(B230,Ranking!$B$7:$C$28,2,FALSE)/Ranking!$C$9</f>
        <v>7.8820513286509115</v>
      </c>
      <c r="E230" s="4402"/>
      <c r="F230" s="4342">
        <f>VLOOKUP(B230,CALCULATIONS!$C$5:$Q$27,14,FALSE)/CALCULATIONS!$Q$7</f>
        <v>8.7925074813560844</v>
      </c>
      <c r="G230" s="4343"/>
      <c r="H230" s="1699">
        <f>VLOOKUP(B230,Ranking!$B$7:$G$28,6,FALSE)/Ranking!$G$9</f>
        <v>7.6264209224823549</v>
      </c>
      <c r="I230" s="4348">
        <f>VLOOKUP($B230,CALCULATIONS!$PB$5:$PV$27,19,FALSE)</f>
        <v>0.6677972809782533</v>
      </c>
      <c r="J230" s="4349"/>
      <c r="K230" s="4448">
        <f>VLOOKUP($B230,CALCULATIONS!$PB$5:$PV$27,18,FALSE)</f>
        <v>0.65988895625769761</v>
      </c>
      <c r="L230" s="4449"/>
      <c r="M230" s="1711">
        <f>VLOOKUP($B230,CALCULATIONS!$PB$5:$PV$27,16,FALSE)</f>
        <v>0.67183061945751388</v>
      </c>
      <c r="N230" s="1976">
        <f>VLOOKUP(B230,Ranking!$B$7:$V$28,21,FALSE)</f>
        <v>0.57929804018594233</v>
      </c>
      <c r="O230" s="4401">
        <f>VLOOKUP($B230,CALCULATIONS!$NM$5:$OJ$27,21,FALSE)</f>
        <v>3.2461693401813436</v>
      </c>
      <c r="P230" s="4402"/>
      <c r="Q230" s="4342">
        <f>VLOOKUP($B230,CALCULATIONS!$NM$5:$OJ$27,20,FALSE)</f>
        <v>0.35885662448090283</v>
      </c>
      <c r="R230" s="4343"/>
      <c r="S230" s="1699">
        <f>VLOOKUP($B230,CALCULATIONS!$NM$5:$OJ$27,16,FALSE)</f>
        <v>3.1940393135057517</v>
      </c>
      <c r="T230" s="1950">
        <f>VLOOKUP($B230,'GEARINGS, Eb&amp;E'!$B$14:$R$35,17,FALSE)</f>
        <v>2.8353348809740444</v>
      </c>
      <c r="U230" s="1958" t="str">
        <f t="shared" si="0"/>
        <v>BBB</v>
      </c>
      <c r="V230" s="1959"/>
      <c r="W230" s="1702" t="str">
        <f t="shared" si="1"/>
        <v>¯  ¯ ¯</v>
      </c>
      <c r="X230" s="2364">
        <v>4</v>
      </c>
      <c r="Y230" s="3754"/>
      <c r="Z230" s="2401"/>
      <c r="AA230" s="2401"/>
      <c r="AB230" s="2401"/>
      <c r="AC230" s="2329"/>
      <c r="AD230" s="2329"/>
      <c r="AE230" s="2329"/>
      <c r="AH230" s="2329"/>
      <c r="AI230" s="2329"/>
      <c r="AJ230" s="2329"/>
      <c r="AK230" s="2329"/>
      <c r="AL230" s="2329"/>
      <c r="AO230" s="2360"/>
    </row>
    <row r="231" spans="1:41">
      <c r="A231" s="1713" t="s">
        <v>499</v>
      </c>
      <c r="B231" s="1714" t="s">
        <v>284</v>
      </c>
      <c r="C231" s="2377"/>
      <c r="D231" s="4420">
        <f>VLOOKUP(B231,Ranking!$B$7:$C$28,2,FALSE)/Ranking!$C$9</f>
        <v>2.0476179959843281</v>
      </c>
      <c r="E231" s="4421"/>
      <c r="F231" s="4339">
        <f>VLOOKUP(B231,CALCULATIONS!$C$5:$Q$27,14,FALSE)/CALCULATIONS!$Q$7</f>
        <v>2.2841384555831188</v>
      </c>
      <c r="G231" s="4340"/>
      <c r="H231" s="1715">
        <f>VLOOKUP(B231,Ranking!$B$7:$G$28,6,FALSE)/Ranking!$G$9</f>
        <v>1.7672775255004274</v>
      </c>
      <c r="I231" s="4350">
        <f>VLOOKUP($B231,CALCULATIONS!$PB$5:$PV$27,19,FALSE)</f>
        <v>0.58632963497275115</v>
      </c>
      <c r="J231" s="4351"/>
      <c r="K231" s="4388">
        <f>VLOOKUP($B231,CALCULATIONS!$PB$5:$PV$27,18,FALSE)</f>
        <v>0.59391361058012793</v>
      </c>
      <c r="L231" s="4389"/>
      <c r="M231" s="1717">
        <f>VLOOKUP($B231,CALCULATIONS!$PB$5:$PV$27,16,FALSE)</f>
        <v>0.6027363370255796</v>
      </c>
      <c r="N231" s="1977">
        <f>VLOOKUP(B231,Ranking!$B$7:$V$28,21,FALSE)</f>
        <v>0.75672107111582532</v>
      </c>
      <c r="O231" s="4420">
        <f>VLOOKUP($B231,CALCULATIONS!$NM$5:$OJ$27,21,FALSE)</f>
        <v>3.3306037778524682</v>
      </c>
      <c r="P231" s="4421"/>
      <c r="Q231" s="4339">
        <f>VLOOKUP($B231,CALCULATIONS!$NM$5:$OJ$27,20,FALSE)</f>
        <v>0.53539982577948519</v>
      </c>
      <c r="R231" s="4340"/>
      <c r="S231" s="1715">
        <f>VLOOKUP($B231,CALCULATIONS!$NM$5:$OJ$27,16,FALSE)</f>
        <v>3.2616701007153726</v>
      </c>
      <c r="T231" s="1951">
        <f>VLOOKUP($B231,'GEARINGS, Eb&amp;E'!$B$14:$R$35,17,FALSE)</f>
        <v>2.8370691340232916</v>
      </c>
      <c r="U231" s="1960" t="str">
        <f t="shared" si="0"/>
        <v>BBB-</v>
      </c>
      <c r="V231" s="1961"/>
      <c r="W231" s="1716" t="str">
        <f t="shared" si="1"/>
        <v>=  ¯ ¯</v>
      </c>
      <c r="X231" s="2364">
        <v>5</v>
      </c>
      <c r="Y231" s="3754"/>
      <c r="Z231" s="2401"/>
      <c r="AA231" s="2401"/>
      <c r="AB231" s="2401"/>
      <c r="AC231" s="2329"/>
      <c r="AD231" s="2329"/>
      <c r="AE231" s="2329"/>
      <c r="AH231" s="2329"/>
      <c r="AI231" s="2329"/>
      <c r="AJ231" s="2329"/>
      <c r="AK231" s="2329"/>
      <c r="AL231" s="2329"/>
      <c r="AO231" s="2360"/>
    </row>
    <row r="232" spans="1:41">
      <c r="A232" s="1115" t="s">
        <v>501</v>
      </c>
      <c r="B232" s="73" t="s">
        <v>44</v>
      </c>
      <c r="C232" s="2377"/>
      <c r="D232" s="4331">
        <f>VLOOKUP(B232,Ranking!$B$7:$C$28,2,FALSE)/Ranking!$C$9</f>
        <v>1.6062286079161434</v>
      </c>
      <c r="E232" s="4332"/>
      <c r="F232" s="4327">
        <f>VLOOKUP(B232,CALCULATIONS!$C$5:$Q$27,14,FALSE)/CALCULATIONS!$Q$7</f>
        <v>1.7917641566904272</v>
      </c>
      <c r="G232" s="4328"/>
      <c r="H232" s="1699">
        <f>VLOOKUP(B232,Ranking!$B$7:$G$28,6,FALSE)/Ranking!$G$9</f>
        <v>1.1705727487730917</v>
      </c>
      <c r="I232" s="4352">
        <f>VLOOKUP($B232,CALCULATIONS!$PB$5:$PV$27,19,FALSE)</f>
        <v>0.83163935851267257</v>
      </c>
      <c r="J232" s="4353"/>
      <c r="K232" s="4390">
        <f>VLOOKUP($B232,CALCULATIONS!$PB$5:$PV$27,18,FALSE)</f>
        <v>0.8212209271732237</v>
      </c>
      <c r="L232" s="4391"/>
      <c r="M232" s="1711">
        <f>VLOOKUP($B232,CALCULATIONS!$PB$5:$PV$27,16,FALSE)</f>
        <v>0.73026415475529072</v>
      </c>
      <c r="N232" s="1976">
        <f>VLOOKUP(B232,Ranking!$B$7:$V$28,21,FALSE)</f>
        <v>0.63323863537070213</v>
      </c>
      <c r="O232" s="4331">
        <f>VLOOKUP($B232,CALCULATIONS!$NM$5:$OJ$27,21,FALSE)</f>
        <v>3.3361431745874608</v>
      </c>
      <c r="P232" s="4332"/>
      <c r="Q232" s="4327">
        <f>VLOOKUP($B232,CALCULATIONS!$NM$5:$OJ$27,20,FALSE)</f>
        <v>0.48586405054400172</v>
      </c>
      <c r="R232" s="4328"/>
      <c r="S232" s="1699">
        <f>VLOOKUP($B232,CALCULATIONS!$NM$5:$OJ$27,16,FALSE)</f>
        <v>3.4864609329129088</v>
      </c>
      <c r="T232" s="1950">
        <f>VLOOKUP($B232,'GEARINGS, Eb&amp;E'!$B$14:$R$35,17,FALSE)</f>
        <v>2.5466878830879209</v>
      </c>
      <c r="U232" s="1958" t="str">
        <f t="shared" si="0"/>
        <v>BBB-</v>
      </c>
      <c r="V232" s="1959"/>
      <c r="W232" s="1702" t="str">
        <f t="shared" si="1"/>
        <v>=  ¯ =</v>
      </c>
      <c r="X232" s="2364">
        <v>5</v>
      </c>
      <c r="Y232" s="3754"/>
      <c r="Z232" s="2401"/>
      <c r="AA232" s="2401"/>
      <c r="AB232" s="2401"/>
      <c r="AC232" s="2329"/>
      <c r="AD232" s="2329"/>
      <c r="AE232" s="2329"/>
      <c r="AH232" s="2329"/>
      <c r="AI232" s="2329"/>
      <c r="AJ232" s="2329"/>
      <c r="AK232" s="2329"/>
      <c r="AL232" s="2329"/>
      <c r="AO232" s="2360"/>
    </row>
    <row r="233" spans="1:41" ht="13.5" thickBot="1">
      <c r="A233" s="1115" t="s">
        <v>27</v>
      </c>
      <c r="B233" s="73" t="s">
        <v>54</v>
      </c>
      <c r="C233" s="2377"/>
      <c r="D233" s="4426">
        <f>VLOOKUP(B233,Ranking!$B$7:$C$28,2,FALSE)/Ranking!$C$9</f>
        <v>0.6229752643979487</v>
      </c>
      <c r="E233" s="4427"/>
      <c r="F233" s="4392">
        <f>VLOOKUP(B233,CALCULATIONS!$C$5:$Q$27,14,FALSE)/CALCULATIONS!$Q$7</f>
        <v>0.69493516909845843</v>
      </c>
      <c r="G233" s="4393"/>
      <c r="H233" s="1699">
        <f>VLOOKUP(B233,Ranking!$B$7:$G$28,6,FALSE)/Ranking!$G$9</f>
        <v>0.46011591895944282</v>
      </c>
      <c r="I233" s="4486">
        <f>VLOOKUP($B233,CALCULATIONS!$PB$5:$PV$27,19,FALSE)</f>
        <v>0.76120820307083403</v>
      </c>
      <c r="J233" s="4487"/>
      <c r="K233" s="4432">
        <f>VLOOKUP($B233,CALCULATIONS!$PB$5:$PV$27,18,FALSE)</f>
        <v>0.76143067581745727</v>
      </c>
      <c r="L233" s="4433"/>
      <c r="M233" s="1711">
        <f>VLOOKUP($B233,CALCULATIONS!$PB$5:$PV$27,16,FALSE)</f>
        <v>0.77980800188212485</v>
      </c>
      <c r="N233" s="1976">
        <f>VLOOKUP(B233,Ranking!$B$7:$V$28,21,FALSE)</f>
        <v>0.7506672643344422</v>
      </c>
      <c r="O233" s="4426">
        <f>VLOOKUP($B233,CALCULATIONS!$NM$5:$OJ$27,21,FALSE)</f>
        <v>5.0282270908831617</v>
      </c>
      <c r="P233" s="4427"/>
      <c r="Q233" s="4392">
        <f>VLOOKUP($B233,CALCULATIONS!$NM$5:$OJ$27,20,FALSE)</f>
        <v>1.2930396343059933</v>
      </c>
      <c r="R233" s="4393"/>
      <c r="S233" s="1699">
        <f>VLOOKUP($B233,CALCULATIONS!$NM$5:$OJ$27,16,FALSE)</f>
        <v>5.2345843405403958</v>
      </c>
      <c r="T233" s="1950">
        <f>VLOOKUP($B233,'GEARINGS, Eb&amp;E'!$B$14:$R$35,17,FALSE)</f>
        <v>3.8230610288109381</v>
      </c>
      <c r="U233" s="1958" t="str">
        <f t="shared" si="0"/>
        <v>BBB-</v>
      </c>
      <c r="V233" s="1959"/>
      <c r="W233" s="1702" t="str">
        <f t="shared" si="1"/>
        <v>¯  ¯ ¯</v>
      </c>
      <c r="X233" s="2364">
        <v>5</v>
      </c>
      <c r="Y233" s="3754"/>
      <c r="Z233" s="2401"/>
      <c r="AA233" s="2401"/>
      <c r="AB233" s="2401"/>
      <c r="AC233" s="2359"/>
      <c r="AD233" s="2359"/>
      <c r="AE233" s="2359"/>
      <c r="AF233" s="2359"/>
      <c r="AG233" s="2359"/>
      <c r="AH233" s="2359"/>
      <c r="AI233" s="2359"/>
      <c r="AJ233" s="2359"/>
      <c r="AK233" s="2359"/>
      <c r="AL233" s="2359"/>
      <c r="AM233" s="2360"/>
      <c r="AN233" s="2360"/>
      <c r="AO233" s="2360"/>
    </row>
    <row r="234" spans="1:41" ht="13.5" thickTop="1">
      <c r="A234" s="1721" t="s">
        <v>319</v>
      </c>
      <c r="B234" s="1722" t="s">
        <v>752</v>
      </c>
      <c r="C234" s="2377"/>
      <c r="D234" s="4422">
        <f>VLOOKUP(B234,Ranking!$B$7:$C$28,2,FALSE)/Ranking!$C$9</f>
        <v>0.46496875967683954</v>
      </c>
      <c r="E234" s="4423"/>
      <c r="F234" s="4450">
        <f>VLOOKUP(B234,CALCULATIONS!$C$5:$Q$27,14,FALSE)/CALCULATIONS!$Q$7</f>
        <v>0.51867732492363927</v>
      </c>
      <c r="G234" s="4451"/>
      <c r="H234" s="1723">
        <f>VLOOKUP(B234,Ranking!$B$7:$G$28,6,FALSE)/Ranking!$G$9</f>
        <v>0.69500255344135098</v>
      </c>
      <c r="I234" s="4488">
        <f>VLOOKUP($B234,CALCULATIONS!$PB$5:$PV$27,19,FALSE)</f>
        <v>1.3233952515247318</v>
      </c>
      <c r="J234" s="4489"/>
      <c r="K234" s="4496">
        <f>VLOOKUP($B234,CALCULATIONS!$PB$5:$PV$27,18,FALSE)</f>
        <v>1.3540258673430845</v>
      </c>
      <c r="L234" s="4497"/>
      <c r="M234" s="1725">
        <f>VLOOKUP($B234,CALCULATIONS!$PB$5:$PV$27,16,FALSE)</f>
        <v>1.6242544181079608</v>
      </c>
      <c r="N234" s="1979">
        <f>VLOOKUP(B234,Ranking!$B$7:$V$28,21,FALSE)</f>
        <v>0.4832654138496531</v>
      </c>
      <c r="O234" s="4422">
        <f>VLOOKUP($B234,CALCULATIONS!$NM$5:$OJ$27,21,FALSE)</f>
        <v>4.8798132676885455</v>
      </c>
      <c r="P234" s="4423"/>
      <c r="Q234" s="4450">
        <f>VLOOKUP($B234,CALCULATIONS!$NM$5:$OJ$27,20,FALSE)</f>
        <v>0.81794651831602128</v>
      </c>
      <c r="R234" s="4451"/>
      <c r="S234" s="1723">
        <f>VLOOKUP($B234,CALCULATIONS!$NM$5:$OJ$27,16,FALSE)</f>
        <v>4.5021054628416168</v>
      </c>
      <c r="T234" s="1953">
        <f>VLOOKUP($B234,'GEARINGS, Eb&amp;E'!$B$14:$R$35,17,FALSE)</f>
        <v>4.3704719780651446</v>
      </c>
      <c r="U234" s="1964" t="str">
        <f t="shared" si="0"/>
        <v>B+</v>
      </c>
      <c r="V234" s="1965"/>
      <c r="W234" s="1724" t="str">
        <f t="shared" si="1"/>
        <v>=  =  =</v>
      </c>
      <c r="X234" s="2364">
        <v>9</v>
      </c>
      <c r="Y234" s="2401"/>
      <c r="Z234" s="2401"/>
      <c r="AA234" s="2401"/>
      <c r="AB234" s="3754"/>
      <c r="AC234" s="2359"/>
      <c r="AD234" s="2359"/>
      <c r="AE234" s="2359"/>
      <c r="AF234" s="2359"/>
      <c r="AG234" s="2359"/>
      <c r="AH234" s="2359"/>
      <c r="AI234" s="2359"/>
      <c r="AJ234" s="2359"/>
      <c r="AK234" s="2359"/>
      <c r="AL234" s="2329"/>
      <c r="AM234" s="2360"/>
      <c r="AO234" s="2360"/>
    </row>
    <row r="235" spans="1:41" ht="13.5" thickBot="1">
      <c r="A235" s="1115" t="s">
        <v>374</v>
      </c>
      <c r="B235" s="73" t="s">
        <v>42</v>
      </c>
      <c r="C235" s="2377"/>
      <c r="D235" s="4426">
        <f>VLOOKUP(B235,Ranking!$B$7:$C$28,2,FALSE)/Ranking!$C$9</f>
        <v>0.31936142698187941</v>
      </c>
      <c r="E235" s="4427"/>
      <c r="F235" s="4392">
        <f>VLOOKUP(B235,CALCULATIONS!$C$5:$Q$27,14,FALSE)/CALCULATIONS!$Q$7</f>
        <v>0.35625088177081743</v>
      </c>
      <c r="G235" s="4393"/>
      <c r="H235" s="1699">
        <f>VLOOKUP(B235,Ranking!$B$7:$G$28,6,FALSE)/Ranking!$G$9</f>
        <v>0.50480112543665634</v>
      </c>
      <c r="I235" s="4486">
        <f>VLOOKUP($B235,CALCULATIONS!$PB$5:$PV$27,19,FALSE)</f>
        <v>0.620597747839015</v>
      </c>
      <c r="J235" s="4487"/>
      <c r="K235" s="4432">
        <f>VLOOKUP($B235,CALCULATIONS!$PB$5:$PV$27,18,FALSE)</f>
        <v>0.61151188186430672</v>
      </c>
      <c r="L235" s="4433"/>
      <c r="M235" s="1711">
        <f>VLOOKUP($B235,CALCULATIONS!$PB$5:$PV$27,16,FALSE)</f>
        <v>0.55444994421520533</v>
      </c>
      <c r="N235" s="1976">
        <f>VLOOKUP(B235,Ranking!$B$7:$V$28,21,FALSE)</f>
        <v>0.44527495080222473</v>
      </c>
      <c r="O235" s="4426">
        <f>VLOOKUP($B235,CALCULATIONS!$NM$5:$OJ$27,21,FALSE)</f>
        <v>2.7200754995769119</v>
      </c>
      <c r="P235" s="4427"/>
      <c r="Q235" s="4392">
        <f>VLOOKUP($B235,CALCULATIONS!$NM$5:$OJ$27,20,FALSE)</f>
        <v>0.83286804606148612</v>
      </c>
      <c r="R235" s="4393"/>
      <c r="S235" s="1699">
        <f>VLOOKUP($B235,CALCULATIONS!$NM$5:$OJ$27,16,FALSE)</f>
        <v>2.363530842925047</v>
      </c>
      <c r="T235" s="1950">
        <f>VLOOKUP($B235,'GEARINGS, Eb&amp;E'!$B$14:$R$35,17,FALSE)</f>
        <v>1.5517268924243866</v>
      </c>
      <c r="U235" s="1958" t="str">
        <f t="shared" si="0"/>
        <v>B-</v>
      </c>
      <c r="V235" s="1959"/>
      <c r="W235" s="1702" t="str">
        <f t="shared" si="1"/>
        <v>=  =  -</v>
      </c>
      <c r="X235" s="2364">
        <v>11</v>
      </c>
      <c r="Y235" s="2401"/>
      <c r="Z235" s="2401"/>
      <c r="AA235" s="2401"/>
      <c r="AB235" s="2401"/>
      <c r="AC235" s="2359"/>
      <c r="AD235" s="2359"/>
      <c r="AE235" s="2359"/>
      <c r="AF235" s="2359"/>
      <c r="AG235" s="2359"/>
      <c r="AH235" s="2359"/>
      <c r="AI235" s="2359"/>
      <c r="AJ235" s="2359"/>
      <c r="AK235" s="2359"/>
      <c r="AL235" s="2329"/>
      <c r="AM235" s="2360"/>
      <c r="AN235" s="2360"/>
    </row>
    <row r="236" spans="1:41" ht="13.5" thickTop="1">
      <c r="A236" s="1726" t="s">
        <v>19</v>
      </c>
      <c r="B236" s="1727" t="s">
        <v>285</v>
      </c>
      <c r="C236" s="2377"/>
      <c r="D236" s="4428">
        <f>VLOOKUP(B236,Ranking!$B$7:$C$28,2,FALSE)/Ranking!$C$9</f>
        <v>0.78808425807434113</v>
      </c>
      <c r="E236" s="4429"/>
      <c r="F236" s="4430">
        <f>VLOOKUP(B236,CALCULATIONS!$C$5:$Q$27,14,FALSE)/CALCULATIONS!$Q$7</f>
        <v>0.8791159110915876</v>
      </c>
      <c r="G236" s="4431"/>
      <c r="H236" s="1728">
        <f>VLOOKUP(B236,Ranking!$B$7:$G$28,6,FALSE)/Ranking!$G$9</f>
        <v>1.6429367918457434</v>
      </c>
      <c r="I236" s="4490">
        <f>VLOOKUP($B236,CALCULATIONS!$PB$5:$PV$27,19,FALSE)</f>
        <v>0.43724449435232932</v>
      </c>
      <c r="J236" s="4491"/>
      <c r="K236" s="4498">
        <f>VLOOKUP($B236,CALCULATIONS!$PB$5:$PV$27,18,FALSE)</f>
        <v>0.4308715572356499</v>
      </c>
      <c r="L236" s="4499"/>
      <c r="M236" s="1730">
        <f>VLOOKUP($B236,CALCULATIONS!$PB$5:$PV$27,16,FALSE)</f>
        <v>0.38694050259756113</v>
      </c>
      <c r="N236" s="1980">
        <f>VLOOKUP(B236,Ranking!$B$7:$V$28,21,FALSE)</f>
        <v>0.12849893093161849</v>
      </c>
      <c r="O236" s="4428">
        <f>VLOOKUP($B236,CALCULATIONS!$NM$5:$OJ$27,21,FALSE)</f>
        <v>1.623157404562986</v>
      </c>
      <c r="P236" s="4429"/>
      <c r="Q236" s="4430">
        <f>VLOOKUP($B236,CALCULATIONS!$NM$5:$OJ$27,20,FALSE)</f>
        <v>0.21550793389315204</v>
      </c>
      <c r="R236" s="4431"/>
      <c r="S236" s="1728">
        <f>VLOOKUP($B236,CALCULATIONS!$NM$5:$OJ$27,16,FALSE)</f>
        <v>1.2892026320099024</v>
      </c>
      <c r="T236" s="1954">
        <f>VLOOKUP($B236,'GEARINGS, Eb&amp;E'!$B$14:$R$35,17,FALSE)</f>
        <v>1.242834927692577</v>
      </c>
      <c r="U236" s="1966" t="str">
        <f t="shared" si="0"/>
        <v>Not rated</v>
      </c>
      <c r="V236" s="1967"/>
      <c r="W236" s="1729"/>
      <c r="X236" s="2365"/>
      <c r="Y236" s="2401"/>
      <c r="Z236" s="2400"/>
      <c r="AA236" s="2400"/>
      <c r="AB236" s="2400"/>
      <c r="AC236" s="2360"/>
      <c r="AD236" s="2360"/>
      <c r="AE236" s="2360"/>
      <c r="AF236" s="2360"/>
      <c r="AG236" s="2360"/>
      <c r="AH236" s="2360"/>
      <c r="AI236" s="2360"/>
      <c r="AJ236" s="2360"/>
      <c r="AK236" s="2360"/>
      <c r="AL236" s="2360"/>
      <c r="AM236" s="2360"/>
      <c r="AN236" s="2360"/>
      <c r="AO236" s="2360"/>
    </row>
    <row r="237" spans="1:41">
      <c r="A237" s="1117" t="s">
        <v>319</v>
      </c>
      <c r="B237" s="691" t="s">
        <v>751</v>
      </c>
      <c r="C237" s="2377"/>
      <c r="D237" s="4329">
        <f>VLOOKUP(B237,Ranking!$B$7:$C$28,2,FALSE)/Ranking!$C$9</f>
        <v>0.27851966650768767</v>
      </c>
      <c r="E237" s="4330"/>
      <c r="F237" s="4379">
        <f>VLOOKUP(B237,CALCULATIONS!$C$5:$Q$27,14,FALSE)/CALCULATIONS!$Q$7</f>
        <v>0.31069148745226405</v>
      </c>
      <c r="G237" s="4380"/>
      <c r="H237" s="1946">
        <f>VLOOKUP(B237,Ranking!$B$7:$G$28,6,FALSE)/Ranking!$G$9</f>
        <v>0.16482203014996988</v>
      </c>
      <c r="I237" s="4492">
        <f>VLOOKUP($B237,CALCULATIONS!$PB$5:$PV$27,19,FALSE)</f>
        <v>0.64361680360590956</v>
      </c>
      <c r="J237" s="4493"/>
      <c r="K237" s="4500">
        <f>VLOOKUP($B237,CALCULATIONS!$PB$5:$PV$27,18,FALSE)</f>
        <v>0.64298692173917937</v>
      </c>
      <c r="L237" s="4501"/>
      <c r="M237" s="1948">
        <f>VLOOKUP($B237,CALCULATIONS!$PB$5:$PV$27,16,FALSE)</f>
        <v>0.68165966519267218</v>
      </c>
      <c r="N237" s="1981">
        <f>VLOOKUP(B237,Ranking!$B$7:$V$28,21,FALSE)</f>
        <v>0.4561905930983241</v>
      </c>
      <c r="O237" s="4329">
        <f>VLOOKUP($B237,CALCULATIONS!$NM$5:$OJ$27,21,FALSE)</f>
        <v>1.4763864199681669</v>
      </c>
      <c r="P237" s="4330"/>
      <c r="Q237" s="4379">
        <f>VLOOKUP($B237,CALCULATIONS!$NM$5:$OJ$27,20,FALSE)</f>
        <v>2.3342501710039265E-2</v>
      </c>
      <c r="R237" s="4380"/>
      <c r="S237" s="1946">
        <f>VLOOKUP($B237,CALCULATIONS!$NM$5:$OJ$27,16,FALSE)</f>
        <v>1.7015264130947394</v>
      </c>
      <c r="T237" s="1949">
        <f>VLOOKUP($B237,'GEARINGS, Eb&amp;E'!$B$14:$R$35,17,FALSE)</f>
        <v>1.6771658832683087</v>
      </c>
      <c r="U237" s="1968" t="str">
        <f t="shared" si="0"/>
        <v>Not rated</v>
      </c>
      <c r="V237" s="1969"/>
      <c r="W237" s="1947"/>
      <c r="X237" s="2365"/>
      <c r="Y237" s="2401"/>
      <c r="Z237" s="2400"/>
      <c r="AA237" s="2401"/>
      <c r="AB237" s="2400"/>
      <c r="AC237" s="2360"/>
      <c r="AD237" s="2360"/>
      <c r="AE237" s="2360"/>
      <c r="AF237" s="2360"/>
      <c r="AG237" s="2360"/>
      <c r="AH237" s="2360"/>
      <c r="AI237" s="2360"/>
      <c r="AJ237" s="2360"/>
      <c r="AK237" s="2360"/>
      <c r="AL237" s="2360"/>
      <c r="AM237" s="2360"/>
      <c r="AN237" s="2360"/>
      <c r="AO237" s="2360"/>
    </row>
    <row r="238" spans="1:41">
      <c r="A238" s="1115" t="s">
        <v>27</v>
      </c>
      <c r="B238" s="73" t="s">
        <v>353</v>
      </c>
      <c r="C238" s="2377"/>
      <c r="D238" s="4331">
        <f>VLOOKUP(B238,Ranking!$B$7:$C$28,2,FALSE)/Ranking!$C$9</f>
        <v>6.6242274317919875E-2</v>
      </c>
      <c r="E238" s="4332"/>
      <c r="F238" s="4327">
        <f>VLOOKUP(B238,CALCULATIONS!$C$5:$Q$27,14,FALSE)/CALCULATIONS!$Q$7</f>
        <v>7.3893922817430069E-2</v>
      </c>
      <c r="G238" s="4328"/>
      <c r="H238" s="1699">
        <f>VLOOKUP(B238,Ranking!$B$7:$G$28,6,FALSE)/Ranking!$G$9</f>
        <v>9.6576950176241697E-2</v>
      </c>
      <c r="I238" s="4352">
        <f>VLOOKUP($B238,CALCULATIONS!$PB$5:$PV$27,19,FALSE)</f>
        <v>0.28116623241788108</v>
      </c>
      <c r="J238" s="4353"/>
      <c r="K238" s="4390">
        <f>VLOOKUP($B238,CALCULATIONS!$PB$5:$PV$27,18,FALSE)</f>
        <v>0.27969893003100738</v>
      </c>
      <c r="L238" s="4391"/>
      <c r="M238" s="1711">
        <f>VLOOKUP($B238,CALCULATIONS!$PB$5:$PV$27,16,FALSE)</f>
        <v>0.27756271762135593</v>
      </c>
      <c r="N238" s="1976">
        <f>VLOOKUP(B238,Ranking!$B$7:$V$28,21,FALSE)</f>
        <v>0.46507375880431212</v>
      </c>
      <c r="O238" s="4331">
        <f>VLOOKUP($B238,CALCULATIONS!$NM$5:$OJ$27,21,FALSE)</f>
        <v>1.9024463421569013</v>
      </c>
      <c r="P238" s="4332"/>
      <c r="Q238" s="4327">
        <f>VLOOKUP($B238,CALCULATIONS!$NM$5:$OJ$27,20,FALSE)</f>
        <v>0.14108169931453363</v>
      </c>
      <c r="R238" s="4328"/>
      <c r="S238" s="1699">
        <f>VLOOKUP($B238,CALCULATIONS!$NM$5:$OJ$27,16,FALSE)</f>
        <v>1.8854531506487362</v>
      </c>
      <c r="T238" s="1950">
        <f>VLOOKUP($B238,'GEARINGS, Eb&amp;E'!$B$14:$R$35,17,FALSE)</f>
        <v>1.8160302149559577</v>
      </c>
      <c r="U238" s="1958" t="str">
        <f t="shared" si="0"/>
        <v>Not rated</v>
      </c>
      <c r="V238" s="1959"/>
      <c r="W238" s="1703"/>
      <c r="X238" s="2365"/>
      <c r="Y238" s="2401"/>
      <c r="Z238" s="2400"/>
      <c r="AA238" s="2400"/>
      <c r="AB238" s="2400"/>
      <c r="AC238" s="2360"/>
      <c r="AD238" s="2360"/>
      <c r="AE238" s="2360"/>
      <c r="AF238" s="2360"/>
      <c r="AG238" s="2360"/>
      <c r="AH238" s="2360"/>
      <c r="AI238" s="2360"/>
      <c r="AJ238" s="2360"/>
      <c r="AK238" s="2360"/>
      <c r="AL238" s="2360"/>
      <c r="AM238" s="2360"/>
      <c r="AN238" s="2360"/>
      <c r="AO238" s="2360"/>
    </row>
    <row r="239" spans="1:41">
      <c r="A239" s="1116" t="s">
        <v>503</v>
      </c>
      <c r="B239" s="106" t="s">
        <v>280</v>
      </c>
      <c r="C239" s="2377"/>
      <c r="D239" s="4333">
        <f>VLOOKUP(B239,Ranking!$B$7:$C$28,2,FALSE)/Ranking!$C$9</f>
        <v>0.75750649357039856</v>
      </c>
      <c r="E239" s="4334"/>
      <c r="F239" s="4416">
        <f>VLOOKUP(B239,CALCULATIONS!$C$5:$Q$27,14,FALSE)/CALCULATIONS!$Q$7</f>
        <v>0.84500610744354698</v>
      </c>
      <c r="G239" s="4417"/>
      <c r="H239" s="1700">
        <f>VLOOKUP(B239,Ranking!$B$7:$G$28,6,FALSE)/Ranking!$G$9</f>
        <v>0.69111614142702515</v>
      </c>
      <c r="I239" s="4344">
        <f>VLOOKUP($B239,CALCULATIONS!$PB$5:$PV$27,19,FALSE)</f>
        <v>0.42505929235437956</v>
      </c>
      <c r="J239" s="4345"/>
      <c r="K239" s="4452">
        <f>VLOOKUP($B239,CALCULATIONS!$PB$5:$PV$27,18,FALSE)</f>
        <v>0.39457020955105609</v>
      </c>
      <c r="L239" s="4453"/>
      <c r="M239" s="1712">
        <f>VLOOKUP($B239,CALCULATIONS!$PB$5:$PV$27,16,FALSE)</f>
        <v>0.33563437661665807</v>
      </c>
      <c r="N239" s="1982">
        <f>VLOOKUP(B239,Ranking!$B$7:$V$28,21,FALSE)</f>
        <v>0.28147528322389997</v>
      </c>
      <c r="O239" s="4333">
        <f>VLOOKUP($B239,CALCULATIONS!$NM$5:$OJ$27,21,FALSE)</f>
        <v>2.0712936564864872</v>
      </c>
      <c r="P239" s="4334"/>
      <c r="Q239" s="4416">
        <f>VLOOKUP($B239,CALCULATIONS!$NM$5:$OJ$27,20,FALSE)</f>
        <v>0.10542455201488821</v>
      </c>
      <c r="R239" s="4417"/>
      <c r="S239" s="1700">
        <f>VLOOKUP($B239,CALCULATIONS!$NM$5:$OJ$27,16,FALSE)</f>
        <v>1.635715357616891</v>
      </c>
      <c r="T239" s="1955">
        <f>VLOOKUP($B239,'GEARINGS, Eb&amp;E'!$B$14:$R$35,17,FALSE)</f>
        <v>1.5521418473212367</v>
      </c>
      <c r="U239" s="1970" t="str">
        <f t="shared" si="0"/>
        <v>Not rated</v>
      </c>
      <c r="V239" s="1971"/>
      <c r="W239" s="1704"/>
      <c r="X239" s="2365"/>
      <c r="Y239" s="2401"/>
      <c r="Z239" s="2400"/>
      <c r="AA239" s="2400"/>
      <c r="AB239" s="2400"/>
      <c r="AC239" s="2360"/>
      <c r="AD239" s="2360"/>
      <c r="AE239" s="2360"/>
      <c r="AF239" s="2360"/>
      <c r="AG239" s="2360"/>
      <c r="AH239" s="2360"/>
      <c r="AI239" s="2360"/>
      <c r="AJ239" s="2360"/>
      <c r="AK239" s="2360"/>
      <c r="AM239" s="2360"/>
      <c r="AN239" s="2360"/>
      <c r="AO239" s="2360"/>
    </row>
    <row r="240" spans="1:41">
      <c r="A240" s="1667"/>
      <c r="B240" s="1667"/>
      <c r="D240" s="1667"/>
      <c r="E240" s="1667"/>
      <c r="F240" s="1667"/>
      <c r="G240" s="1667"/>
      <c r="H240" s="1667"/>
      <c r="I240" s="1667"/>
      <c r="J240" s="1667"/>
      <c r="K240" s="1667"/>
      <c r="L240" s="1667"/>
      <c r="M240" s="1667"/>
      <c r="N240" s="1667"/>
      <c r="O240" s="1667"/>
      <c r="P240" s="1667"/>
      <c r="Q240" s="1667"/>
      <c r="R240" s="1667"/>
      <c r="S240" s="1667"/>
      <c r="T240" s="1667"/>
      <c r="U240" s="1667"/>
      <c r="V240" s="1667"/>
      <c r="W240" s="1667"/>
      <c r="Y240" s="2401"/>
      <c r="Z240" s="2400"/>
      <c r="AA240" s="2400"/>
      <c r="AB240" s="2400"/>
      <c r="AC240" s="2360"/>
      <c r="AD240" s="2360"/>
      <c r="AE240" s="2360"/>
      <c r="AF240" s="2360"/>
      <c r="AG240" s="2360"/>
      <c r="AH240" s="2360"/>
      <c r="AI240" s="2360"/>
      <c r="AJ240" s="2360"/>
      <c r="AK240" s="2360"/>
      <c r="AL240" s="2360"/>
      <c r="AM240" s="2360"/>
      <c r="AN240" s="2360"/>
      <c r="AO240" s="2360"/>
    </row>
    <row r="241" spans="1:64">
      <c r="A241" s="1667"/>
      <c r="B241" s="1667"/>
      <c r="D241" s="2127" t="s">
        <v>1594</v>
      </c>
      <c r="E241" s="1667"/>
      <c r="F241" s="1667"/>
      <c r="G241" s="1667"/>
      <c r="H241" s="1667"/>
      <c r="I241" s="1667"/>
      <c r="J241" s="1667"/>
      <c r="K241" s="1667"/>
      <c r="L241" s="1667"/>
      <c r="M241" s="1667"/>
      <c r="N241" s="1667"/>
      <c r="O241" s="1667"/>
      <c r="P241" s="1667"/>
      <c r="Q241" s="1667"/>
      <c r="R241" s="1667"/>
      <c r="S241" s="1667"/>
      <c r="T241" s="1667"/>
      <c r="U241" s="1667"/>
      <c r="V241" s="1667"/>
      <c r="W241" s="1667"/>
      <c r="Y241" s="2401"/>
      <c r="Z241" s="2398"/>
      <c r="AA241" s="2398"/>
      <c r="AB241" s="2398"/>
      <c r="AF241" s="2332"/>
      <c r="AG241" s="2332"/>
      <c r="AL241" s="2360"/>
      <c r="AM241" s="2360"/>
      <c r="AN241" s="2360"/>
      <c r="AO241" s="2360"/>
    </row>
    <row r="242" spans="1:64" ht="13.15" hidden="1" customHeight="1">
      <c r="A242" s="1983"/>
      <c r="B242" s="1983"/>
      <c r="D242" s="1643" t="s">
        <v>1540</v>
      </c>
      <c r="E242" s="1983"/>
      <c r="F242" s="1983"/>
      <c r="G242" s="1983"/>
      <c r="H242" s="1983"/>
      <c r="I242" s="1983"/>
      <c r="J242" s="1983"/>
      <c r="K242" s="1983"/>
      <c r="L242" s="1983"/>
      <c r="M242" s="1983"/>
      <c r="N242" s="1983"/>
      <c r="O242" s="1983"/>
      <c r="P242" s="1983"/>
      <c r="Q242" s="1983"/>
      <c r="R242" s="1983"/>
      <c r="S242" s="1983"/>
      <c r="T242" s="1983"/>
      <c r="U242" s="1983"/>
      <c r="V242" s="1983"/>
      <c r="W242" s="1983"/>
      <c r="Y242" s="1741"/>
      <c r="Z242" s="1983"/>
      <c r="AA242" s="1983"/>
      <c r="AB242" s="1983"/>
      <c r="AF242" s="2332"/>
      <c r="AG242" s="2332"/>
      <c r="AL242" s="2360"/>
      <c r="AM242" s="2360"/>
      <c r="AN242" s="2360"/>
      <c r="AO242" s="2360"/>
    </row>
    <row r="243" spans="1:64" ht="13.15" hidden="1" customHeight="1">
      <c r="A243" s="1458"/>
      <c r="B243" s="1458"/>
      <c r="C243" s="2346"/>
      <c r="D243" s="4443" t="s">
        <v>1595</v>
      </c>
      <c r="E243" s="4444"/>
      <c r="F243" s="4444"/>
      <c r="G243" s="4444"/>
      <c r="H243" s="4444"/>
      <c r="I243" s="4444"/>
      <c r="J243" s="4444"/>
      <c r="K243" s="4444"/>
      <c r="L243" s="4444"/>
      <c r="M243" s="4444"/>
      <c r="N243" s="4444"/>
      <c r="O243" s="4444"/>
      <c r="P243" s="4444"/>
      <c r="Q243" s="4444"/>
      <c r="R243" s="4444"/>
      <c r="S243" s="4444"/>
      <c r="T243" s="4444"/>
      <c r="U243" s="4444"/>
      <c r="V243" s="4444"/>
      <c r="W243" s="4444"/>
      <c r="Y243" s="2269"/>
      <c r="Z243" s="1983"/>
      <c r="AA243" s="1983"/>
      <c r="AB243" s="1983"/>
    </row>
    <row r="244" spans="1:64" ht="13.15" hidden="1" customHeight="1">
      <c r="A244" s="1458"/>
      <c r="B244" s="1458"/>
      <c r="C244" s="2346"/>
      <c r="D244" s="4444"/>
      <c r="E244" s="4444"/>
      <c r="F244" s="4444"/>
      <c r="G244" s="4444"/>
      <c r="H244" s="4444"/>
      <c r="I244" s="4444"/>
      <c r="J244" s="4444"/>
      <c r="K244" s="4444"/>
      <c r="L244" s="4444"/>
      <c r="M244" s="4444"/>
      <c r="N244" s="4444"/>
      <c r="O244" s="4444"/>
      <c r="P244" s="4444"/>
      <c r="Q244" s="4444"/>
      <c r="R244" s="4444"/>
      <c r="S244" s="4444"/>
      <c r="T244" s="4444"/>
      <c r="U244" s="4444"/>
      <c r="V244" s="4444"/>
      <c r="W244" s="4444"/>
      <c r="Y244" s="2269"/>
      <c r="Z244" s="1983"/>
      <c r="AA244" s="1983"/>
      <c r="AB244" s="1983"/>
    </row>
    <row r="245" spans="1:64" ht="13.15" hidden="1" customHeight="1">
      <c r="A245" s="1458"/>
      <c r="B245" s="1458"/>
      <c r="C245" s="2346"/>
      <c r="D245" s="2007" t="s">
        <v>1596</v>
      </c>
      <c r="E245" s="2006"/>
      <c r="F245" s="2006"/>
      <c r="G245" s="2006"/>
      <c r="H245" s="2006"/>
      <c r="I245" s="2006"/>
      <c r="J245" s="2006"/>
      <c r="K245" s="2006"/>
      <c r="L245" s="2006"/>
      <c r="M245" s="2006"/>
      <c r="N245" s="2006"/>
      <c r="O245" s="2006"/>
      <c r="P245" s="2006"/>
      <c r="Q245" s="2006"/>
      <c r="R245" s="2006"/>
      <c r="S245" s="2006"/>
      <c r="T245" s="2006"/>
      <c r="U245" s="2006"/>
      <c r="V245" s="2006"/>
      <c r="W245" s="2006"/>
      <c r="Y245" s="2269"/>
      <c r="Z245" s="1983"/>
      <c r="AA245" s="1983"/>
      <c r="AB245" s="1983"/>
    </row>
    <row r="246" spans="1:64" ht="13.15" hidden="1" customHeight="1">
      <c r="A246" s="1458"/>
      <c r="B246" s="1458"/>
      <c r="C246" s="2346"/>
      <c r="D246" s="2007"/>
      <c r="E246" s="2006"/>
      <c r="F246" s="2006"/>
      <c r="G246" s="2006"/>
      <c r="H246" s="2006"/>
      <c r="I246" s="2006"/>
      <c r="J246" s="2006"/>
      <c r="K246" s="2006"/>
      <c r="L246" s="2006"/>
      <c r="M246" s="2006"/>
      <c r="N246" s="2006"/>
      <c r="O246" s="2006"/>
      <c r="P246" s="2006"/>
      <c r="Q246" s="2006"/>
      <c r="R246" s="2006"/>
      <c r="S246" s="2006"/>
      <c r="T246" s="2006"/>
      <c r="U246" s="2006"/>
      <c r="V246" s="2006"/>
      <c r="W246" s="2006"/>
      <c r="Y246" s="2269"/>
      <c r="Z246" s="1983"/>
      <c r="AA246" s="1983"/>
      <c r="AB246" s="1983"/>
    </row>
    <row r="247" spans="1:64" s="2357" customFormat="1" ht="13.15" hidden="1" customHeight="1">
      <c r="A247" s="2149" t="s">
        <v>1554</v>
      </c>
      <c r="B247" s="1373"/>
      <c r="C247" s="2349"/>
      <c r="D247" s="1373"/>
      <c r="E247" s="1373"/>
      <c r="F247" s="1373"/>
      <c r="G247" s="1373" t="s">
        <v>1755</v>
      </c>
      <c r="H247" s="1373"/>
      <c r="I247" s="1373"/>
      <c r="J247" s="1373"/>
      <c r="K247" s="1373"/>
      <c r="L247" s="1373"/>
      <c r="M247" s="1373"/>
      <c r="N247" s="1373"/>
      <c r="O247" s="1373"/>
      <c r="P247" s="1373"/>
      <c r="Q247" s="1373"/>
      <c r="R247" s="1373" t="s">
        <v>1756</v>
      </c>
      <c r="S247" s="1373"/>
      <c r="T247" s="1373"/>
      <c r="U247" s="1373"/>
      <c r="V247" s="1373"/>
      <c r="W247" s="1373"/>
      <c r="X247" s="2356"/>
      <c r="Y247" s="1927"/>
      <c r="Z247" s="1373"/>
      <c r="AA247" s="1373" t="s">
        <v>1757</v>
      </c>
      <c r="AB247" s="1373"/>
      <c r="AK247" s="2357" t="s">
        <v>1524</v>
      </c>
      <c r="AV247" s="2357" t="s">
        <v>775</v>
      </c>
      <c r="BL247" s="2356"/>
    </row>
    <row r="248" spans="1:64" ht="13.15" hidden="1" customHeight="1">
      <c r="A248" s="1458"/>
      <c r="B248" s="1458"/>
      <c r="C248" s="2346"/>
      <c r="D248" s="1831"/>
      <c r="E248" s="1831"/>
      <c r="F248" s="1831"/>
      <c r="G248" s="1831"/>
      <c r="H248" s="1831"/>
      <c r="I248" s="1831"/>
      <c r="J248" s="1831"/>
      <c r="K248" s="1831"/>
      <c r="L248" s="1831"/>
      <c r="M248" s="1831"/>
      <c r="N248" s="1831"/>
      <c r="O248" s="1831"/>
      <c r="P248" s="1831"/>
      <c r="Q248" s="1831"/>
      <c r="R248" s="1831"/>
      <c r="S248" s="1831"/>
      <c r="T248" s="1831"/>
      <c r="U248" s="1739"/>
      <c r="V248" s="1739"/>
      <c r="W248" s="1739"/>
      <c r="X248" s="2359"/>
      <c r="Y248" s="1741"/>
      <c r="Z248" s="1983"/>
      <c r="AA248" s="1983"/>
      <c r="AB248" s="1983"/>
      <c r="AF248" s="2332"/>
      <c r="AG248" s="2332"/>
      <c r="AK248" s="2360"/>
      <c r="AL248" s="2360"/>
      <c r="AM248" s="2360"/>
      <c r="AN248" s="2360"/>
      <c r="AO248" s="2360"/>
      <c r="AP248" s="2360"/>
      <c r="AQ248" s="2360"/>
      <c r="AR248" s="2360"/>
      <c r="AS248" s="2360"/>
      <c r="AT248" s="2360"/>
      <c r="AU248" s="2360"/>
      <c r="AV248" s="2360"/>
    </row>
    <row r="249" spans="1:64" ht="13.15" hidden="1" customHeight="1">
      <c r="A249" s="1983"/>
      <c r="B249" s="1983"/>
      <c r="C249" s="2346"/>
      <c r="D249" s="1831"/>
      <c r="E249" s="1831"/>
      <c r="F249" s="1831"/>
      <c r="G249" s="1831"/>
      <c r="H249" s="1831"/>
      <c r="I249" s="1831"/>
      <c r="J249" s="1831"/>
      <c r="K249" s="1831"/>
      <c r="L249" s="1831"/>
      <c r="M249" s="1831"/>
      <c r="N249" s="1831"/>
      <c r="O249" s="1831"/>
      <c r="P249" s="1831"/>
      <c r="Q249" s="1831"/>
      <c r="R249" s="1831"/>
      <c r="S249" s="1831"/>
      <c r="T249" s="1831"/>
      <c r="U249" s="1739"/>
      <c r="V249" s="1739"/>
      <c r="W249" s="1739"/>
      <c r="X249" s="2359"/>
      <c r="Y249" s="1741"/>
      <c r="Z249" s="1983"/>
      <c r="AA249" s="1983"/>
      <c r="AB249" s="1983"/>
      <c r="AF249" s="2332"/>
      <c r="AG249" s="2332"/>
      <c r="AK249" s="2360"/>
      <c r="AL249" s="2360"/>
      <c r="AM249" s="2360"/>
      <c r="AN249" s="2360"/>
      <c r="AO249" s="2360"/>
      <c r="AP249" s="2360"/>
      <c r="AQ249" s="2360"/>
      <c r="AR249" s="2360"/>
      <c r="AS249" s="2360"/>
      <c r="AT249" s="2360"/>
      <c r="AU249" s="2360"/>
      <c r="AV249" s="2360"/>
    </row>
    <row r="250" spans="1:64" ht="13.15" hidden="1" customHeight="1">
      <c r="A250" s="1458"/>
      <c r="B250" s="1458"/>
      <c r="C250" s="2346"/>
      <c r="D250" s="1831"/>
      <c r="E250" s="1831"/>
      <c r="F250" s="1831"/>
      <c r="G250" s="1831"/>
      <c r="H250" s="1831"/>
      <c r="I250" s="1831"/>
      <c r="J250" s="1831"/>
      <c r="K250" s="1831"/>
      <c r="L250" s="1831"/>
      <c r="M250" s="1831"/>
      <c r="N250" s="1831"/>
      <c r="O250" s="1831"/>
      <c r="P250" s="1831"/>
      <c r="Q250" s="1831"/>
      <c r="R250" s="1831"/>
      <c r="S250" s="1831"/>
      <c r="T250" s="1831"/>
      <c r="U250" s="1739"/>
      <c r="V250" s="1739"/>
      <c r="W250" s="1739"/>
      <c r="X250" s="2359"/>
      <c r="Y250" s="1741"/>
      <c r="Z250" s="1983"/>
      <c r="AA250" s="1983"/>
      <c r="AB250" s="1983"/>
      <c r="AF250" s="2332"/>
      <c r="AG250" s="2332"/>
      <c r="AK250" s="2360"/>
      <c r="AL250" s="2360"/>
      <c r="AM250" s="2360"/>
      <c r="AN250" s="2360"/>
      <c r="AO250" s="2360"/>
      <c r="AP250" s="2360"/>
      <c r="AQ250" s="2360"/>
      <c r="AR250" s="2360"/>
      <c r="AS250" s="2360"/>
      <c r="AT250" s="2360"/>
      <c r="AU250" s="2360"/>
      <c r="AV250" s="2360"/>
    </row>
    <row r="251" spans="1:64" ht="13.15" hidden="1" customHeight="1">
      <c r="A251" s="1458"/>
      <c r="B251" s="1458"/>
      <c r="C251" s="2346"/>
      <c r="D251" s="1831"/>
      <c r="E251" s="1831"/>
      <c r="F251" s="1831"/>
      <c r="G251" s="1831"/>
      <c r="H251" s="1831"/>
      <c r="I251" s="1831"/>
      <c r="J251" s="1831"/>
      <c r="K251" s="1831"/>
      <c r="L251" s="1831"/>
      <c r="M251" s="1831"/>
      <c r="N251" s="1831"/>
      <c r="O251" s="1831"/>
      <c r="P251" s="1831"/>
      <c r="Q251" s="1831"/>
      <c r="R251" s="1831"/>
      <c r="S251" s="1831"/>
      <c r="T251" s="1831"/>
      <c r="U251" s="1739"/>
      <c r="V251" s="1739"/>
      <c r="W251" s="1739"/>
      <c r="X251" s="2359"/>
      <c r="Y251" s="1741"/>
      <c r="Z251" s="1983"/>
      <c r="AA251" s="1983"/>
      <c r="AB251" s="1983"/>
      <c r="AF251" s="2332"/>
      <c r="AG251" s="2332"/>
      <c r="AK251" s="2360"/>
      <c r="AL251" s="2360"/>
      <c r="AM251" s="2360"/>
      <c r="AN251" s="2360"/>
      <c r="AO251" s="2360"/>
      <c r="AP251" s="2360"/>
      <c r="AQ251" s="2360"/>
      <c r="AR251" s="2360"/>
      <c r="AS251" s="2360"/>
      <c r="AT251" s="2360"/>
      <c r="AU251" s="2360"/>
      <c r="AV251" s="2360"/>
    </row>
    <row r="252" spans="1:64" ht="13.15" hidden="1" customHeight="1">
      <c r="A252" s="1458"/>
      <c r="B252" s="1458"/>
      <c r="C252" s="2346"/>
      <c r="D252" s="1831"/>
      <c r="E252" s="1831"/>
      <c r="F252" s="1831"/>
      <c r="G252" s="1831"/>
      <c r="H252" s="1831"/>
      <c r="I252" s="1831"/>
      <c r="J252" s="1831"/>
      <c r="K252" s="1831"/>
      <c r="L252" s="1831"/>
      <c r="M252" s="1831"/>
      <c r="N252" s="1831"/>
      <c r="O252" s="1831"/>
      <c r="P252" s="1831"/>
      <c r="Q252" s="1831"/>
      <c r="R252" s="1831"/>
      <c r="S252" s="1831"/>
      <c r="T252" s="1831"/>
      <c r="U252" s="1739"/>
      <c r="V252" s="1739"/>
      <c r="W252" s="1739"/>
      <c r="X252" s="2359"/>
      <c r="Y252" s="1741"/>
      <c r="Z252" s="1983"/>
      <c r="AA252" s="1983"/>
      <c r="AB252" s="1983"/>
      <c r="AF252" s="2332"/>
      <c r="AG252" s="2332"/>
      <c r="AK252" s="2360"/>
      <c r="AL252" s="2360"/>
      <c r="AM252" s="2360"/>
      <c r="AN252" s="2360"/>
      <c r="AO252" s="2360"/>
      <c r="AP252" s="2360"/>
      <c r="AQ252" s="2360"/>
      <c r="AR252" s="2360"/>
      <c r="AS252" s="2360"/>
      <c r="AT252" s="2360"/>
      <c r="AU252" s="2360"/>
      <c r="AV252" s="2360"/>
    </row>
    <row r="253" spans="1:64" ht="13.15" hidden="1" customHeight="1">
      <c r="A253" s="1458"/>
      <c r="B253" s="1458"/>
      <c r="C253" s="2346"/>
      <c r="D253" s="1831"/>
      <c r="E253" s="1831"/>
      <c r="F253" s="1831"/>
      <c r="G253" s="1831"/>
      <c r="H253" s="1831"/>
      <c r="I253" s="1831"/>
      <c r="J253" s="1831"/>
      <c r="K253" s="1831"/>
      <c r="L253" s="1831"/>
      <c r="M253" s="1831"/>
      <c r="N253" s="1831"/>
      <c r="O253" s="1831"/>
      <c r="P253" s="1831"/>
      <c r="Q253" s="1831"/>
      <c r="R253" s="1831"/>
      <c r="S253" s="1831"/>
      <c r="T253" s="1831"/>
      <c r="U253" s="1739"/>
      <c r="V253" s="1739"/>
      <c r="W253" s="1739"/>
      <c r="X253" s="2359"/>
      <c r="Y253" s="1741"/>
      <c r="Z253" s="1983"/>
      <c r="AA253" s="1983"/>
      <c r="AB253" s="1983"/>
      <c r="AF253" s="2332"/>
      <c r="AG253" s="2332"/>
      <c r="AK253" s="2360"/>
      <c r="AL253" s="2360"/>
      <c r="AM253" s="2360"/>
      <c r="AN253" s="2360"/>
      <c r="AO253" s="2360"/>
      <c r="AP253" s="2360"/>
      <c r="AQ253" s="2360"/>
      <c r="AR253" s="2360"/>
      <c r="AS253" s="2360"/>
      <c r="AT253" s="2360"/>
      <c r="AU253" s="2360"/>
      <c r="AV253" s="2360"/>
    </row>
    <row r="254" spans="1:64" ht="13.15" hidden="1" customHeight="1">
      <c r="A254" s="1458"/>
      <c r="B254" s="1458"/>
      <c r="C254" s="2346"/>
      <c r="D254" s="1831"/>
      <c r="E254" s="1831"/>
      <c r="F254" s="1831"/>
      <c r="G254" s="1831"/>
      <c r="H254" s="1831"/>
      <c r="I254" s="1831"/>
      <c r="J254" s="1831"/>
      <c r="K254" s="1831"/>
      <c r="L254" s="1831"/>
      <c r="M254" s="1831"/>
      <c r="N254" s="1831"/>
      <c r="O254" s="1831"/>
      <c r="P254" s="1831"/>
      <c r="Q254" s="1831"/>
      <c r="R254" s="1831"/>
      <c r="S254" s="1831"/>
      <c r="T254" s="1831"/>
      <c r="U254" s="1739"/>
      <c r="V254" s="1739"/>
      <c r="W254" s="1739"/>
      <c r="X254" s="2359"/>
      <c r="Y254" s="1741"/>
      <c r="Z254" s="1983"/>
      <c r="AA254" s="1983"/>
      <c r="AB254" s="1983"/>
      <c r="AF254" s="2332"/>
      <c r="AG254" s="2332"/>
      <c r="AK254" s="2360"/>
      <c r="AL254" s="2360"/>
      <c r="AM254" s="2360"/>
      <c r="AN254" s="2360"/>
      <c r="AO254" s="2360"/>
      <c r="AP254" s="2360"/>
      <c r="AQ254" s="2360"/>
      <c r="AR254" s="2360"/>
      <c r="AS254" s="2360"/>
      <c r="AT254" s="2360"/>
      <c r="AU254" s="2360"/>
      <c r="AV254" s="2360"/>
    </row>
    <row r="255" spans="1:64" ht="13.15" hidden="1" customHeight="1">
      <c r="A255" s="1458"/>
      <c r="B255" s="1458"/>
      <c r="C255" s="2346"/>
      <c r="D255" s="1831"/>
      <c r="E255" s="1831"/>
      <c r="F255" s="1831"/>
      <c r="G255" s="1831"/>
      <c r="H255" s="1831"/>
      <c r="I255" s="1831"/>
      <c r="J255" s="1831"/>
      <c r="K255" s="1831"/>
      <c r="L255" s="1831"/>
      <c r="M255" s="1831"/>
      <c r="N255" s="1831"/>
      <c r="O255" s="1831"/>
      <c r="P255" s="1831"/>
      <c r="Q255" s="1831"/>
      <c r="R255" s="1831"/>
      <c r="S255" s="1831"/>
      <c r="T255" s="1831"/>
      <c r="U255" s="1739"/>
      <c r="V255" s="1739"/>
      <c r="W255" s="1739"/>
      <c r="X255" s="2359"/>
      <c r="Y255" s="1741"/>
      <c r="Z255" s="1983"/>
      <c r="AA255" s="1983"/>
      <c r="AB255" s="1983"/>
      <c r="AF255" s="2332"/>
      <c r="AG255" s="2332"/>
      <c r="AK255" s="2360"/>
      <c r="AL255" s="2360"/>
      <c r="AM255" s="2360"/>
      <c r="AN255" s="2360"/>
      <c r="AO255" s="2360"/>
      <c r="AP255" s="2360"/>
      <c r="AQ255" s="2360"/>
      <c r="AR255" s="2360"/>
      <c r="AS255" s="2360"/>
      <c r="AT255" s="2360"/>
      <c r="AU255" s="2360"/>
      <c r="AV255" s="2360"/>
    </row>
    <row r="256" spans="1:64" ht="13.15" hidden="1" customHeight="1">
      <c r="A256" s="1458"/>
      <c r="B256" s="1458"/>
      <c r="C256" s="2346"/>
      <c r="D256" s="1831"/>
      <c r="E256" s="1831"/>
      <c r="F256" s="1831"/>
      <c r="G256" s="1831"/>
      <c r="H256" s="1831"/>
      <c r="I256" s="1831"/>
      <c r="J256" s="1831"/>
      <c r="K256" s="1831"/>
      <c r="L256" s="1831"/>
      <c r="M256" s="1831"/>
      <c r="N256" s="1831"/>
      <c r="O256" s="1831"/>
      <c r="P256" s="1831"/>
      <c r="Q256" s="1831"/>
      <c r="R256" s="1831"/>
      <c r="S256" s="1831"/>
      <c r="T256" s="1831"/>
      <c r="U256" s="1739"/>
      <c r="V256" s="1739"/>
      <c r="W256" s="1739"/>
      <c r="X256" s="2359"/>
      <c r="Y256" s="1741"/>
      <c r="Z256" s="1983"/>
      <c r="AA256" s="1983"/>
      <c r="AB256" s="1983"/>
      <c r="AF256" s="2332"/>
      <c r="AG256" s="2332"/>
      <c r="AK256" s="2360"/>
      <c r="AL256" s="2360"/>
      <c r="AM256" s="2360"/>
      <c r="AN256" s="2360"/>
      <c r="AO256" s="2360"/>
      <c r="AP256" s="2360"/>
      <c r="AQ256" s="2360"/>
      <c r="AR256" s="2360"/>
      <c r="AS256" s="2360"/>
      <c r="AT256" s="2360"/>
      <c r="AU256" s="2360"/>
      <c r="AV256" s="2360"/>
    </row>
    <row r="257" spans="1:64" ht="13.15" hidden="1" customHeight="1">
      <c r="A257" s="1458"/>
      <c r="B257" s="1458"/>
      <c r="C257" s="2346"/>
      <c r="D257" s="1667"/>
      <c r="E257" s="1667"/>
      <c r="F257" s="1667"/>
      <c r="G257" s="1667"/>
      <c r="H257" s="1667"/>
      <c r="I257" s="1667"/>
      <c r="J257" s="1667"/>
      <c r="K257" s="1667"/>
      <c r="L257" s="1667"/>
      <c r="M257" s="1667"/>
      <c r="N257" s="1667"/>
      <c r="O257" s="1667"/>
      <c r="P257" s="1667"/>
      <c r="Q257" s="1667"/>
      <c r="R257" s="1667"/>
      <c r="S257" s="1667"/>
      <c r="T257" s="1668"/>
      <c r="U257" s="1667"/>
      <c r="V257" s="1667"/>
      <c r="W257" s="1667"/>
      <c r="Y257" s="2269"/>
      <c r="Z257" s="1983"/>
      <c r="AA257" s="1983"/>
      <c r="AB257" s="1983"/>
      <c r="AF257" s="2332"/>
      <c r="AG257" s="2332"/>
      <c r="AM257" s="2329"/>
      <c r="AN257" s="2329"/>
    </row>
    <row r="258" spans="1:64" ht="13.15" hidden="1" customHeight="1">
      <c r="A258" s="1458"/>
      <c r="B258" s="1458"/>
      <c r="C258" s="2346"/>
      <c r="D258" s="1667"/>
      <c r="E258" s="1667"/>
      <c r="F258" s="1667"/>
      <c r="G258" s="1667"/>
      <c r="H258" s="1667"/>
      <c r="I258" s="1667"/>
      <c r="J258" s="1667"/>
      <c r="K258" s="1667"/>
      <c r="L258" s="1667"/>
      <c r="M258" s="1667"/>
      <c r="N258" s="1667"/>
      <c r="O258" s="1667"/>
      <c r="P258" s="1667"/>
      <c r="Q258" s="1667"/>
      <c r="R258" s="1667"/>
      <c r="S258" s="1667"/>
      <c r="T258" s="1668"/>
      <c r="U258" s="1667"/>
      <c r="V258" s="1667"/>
      <c r="W258" s="1667"/>
      <c r="Y258" s="2269"/>
      <c r="Z258" s="1983"/>
      <c r="AA258" s="1983"/>
      <c r="AB258" s="1983"/>
      <c r="AF258" s="2332"/>
      <c r="AG258" s="2332"/>
      <c r="AM258" s="2329"/>
      <c r="AN258" s="2329"/>
    </row>
    <row r="259" spans="1:64" ht="13.15" hidden="1" customHeight="1">
      <c r="A259" s="1458"/>
      <c r="B259" s="1458"/>
      <c r="C259" s="2346"/>
      <c r="D259" s="1422"/>
      <c r="E259" s="1422"/>
      <c r="F259" s="1422"/>
      <c r="G259" s="1422"/>
      <c r="H259" s="1422"/>
      <c r="I259" s="1422"/>
      <c r="J259" s="1422"/>
      <c r="K259" s="1422"/>
      <c r="L259" s="1422"/>
      <c r="M259" s="1422"/>
      <c r="N259" s="1422"/>
      <c r="O259" s="1422"/>
      <c r="P259" s="1422"/>
      <c r="Q259" s="1422"/>
      <c r="R259" s="1422"/>
      <c r="S259" s="1422"/>
      <c r="T259" s="1593"/>
      <c r="U259" s="1422"/>
      <c r="V259" s="1422"/>
      <c r="W259" s="1422"/>
      <c r="Y259" s="2269"/>
      <c r="Z259" s="1983"/>
      <c r="AA259" s="1983"/>
      <c r="AB259" s="1983"/>
      <c r="AF259" s="2332"/>
      <c r="AG259" s="2332"/>
      <c r="AM259" s="2329"/>
      <c r="AN259" s="2329"/>
    </row>
    <row r="260" spans="1:64" ht="13.15" hidden="1" customHeight="1">
      <c r="A260" s="1458"/>
      <c r="B260" s="1458"/>
      <c r="C260" s="2346"/>
      <c r="D260" s="1422"/>
      <c r="E260" s="1422"/>
      <c r="F260" s="1422"/>
      <c r="G260" s="1422"/>
      <c r="H260" s="1422"/>
      <c r="I260" s="1422"/>
      <c r="J260" s="1422"/>
      <c r="K260" s="1422"/>
      <c r="L260" s="1422"/>
      <c r="M260" s="1422"/>
      <c r="N260" s="1422"/>
      <c r="O260" s="1422"/>
      <c r="P260" s="1422"/>
      <c r="Q260" s="1422"/>
      <c r="R260" s="1422"/>
      <c r="S260" s="1422"/>
      <c r="T260" s="1593"/>
      <c r="U260" s="1422"/>
      <c r="V260" s="1422"/>
      <c r="W260" s="1422"/>
      <c r="Y260" s="2269"/>
      <c r="Z260" s="1983"/>
      <c r="AA260" s="1983"/>
      <c r="AB260" s="1983"/>
      <c r="AF260" s="2332"/>
      <c r="AG260" s="2332"/>
      <c r="AM260" s="2329"/>
      <c r="AN260" s="2329"/>
    </row>
    <row r="261" spans="1:64" ht="13.15" hidden="1" customHeight="1">
      <c r="A261" s="1458"/>
      <c r="B261" s="1458"/>
      <c r="C261" s="2346"/>
      <c r="D261" s="1422"/>
      <c r="E261" s="1422"/>
      <c r="F261" s="1422"/>
      <c r="G261" s="1422"/>
      <c r="H261" s="1422"/>
      <c r="I261" s="1422"/>
      <c r="J261" s="1422"/>
      <c r="K261" s="1422"/>
      <c r="L261" s="1422"/>
      <c r="M261" s="1422"/>
      <c r="N261" s="1422"/>
      <c r="O261" s="1422"/>
      <c r="P261" s="1422"/>
      <c r="Q261" s="1422"/>
      <c r="R261" s="1422"/>
      <c r="S261" s="1422"/>
      <c r="T261" s="1593"/>
      <c r="U261" s="1422"/>
      <c r="V261" s="1422"/>
      <c r="W261" s="1422"/>
      <c r="Y261" s="2269"/>
      <c r="Z261" s="1983"/>
      <c r="AA261" s="1983"/>
      <c r="AB261" s="1983"/>
      <c r="AF261" s="2332"/>
      <c r="AG261" s="2332"/>
      <c r="AM261" s="2329"/>
      <c r="AN261" s="2329"/>
    </row>
    <row r="262" spans="1:64" ht="13.15" hidden="1" customHeight="1">
      <c r="A262" s="1458"/>
      <c r="B262" s="1458"/>
      <c r="C262" s="2346"/>
      <c r="D262" s="1422"/>
      <c r="E262" s="1422"/>
      <c r="F262" s="1422"/>
      <c r="G262" s="1422"/>
      <c r="H262" s="1422"/>
      <c r="I262" s="1422"/>
      <c r="J262" s="1422"/>
      <c r="K262" s="1422"/>
      <c r="L262" s="1422"/>
      <c r="M262" s="1422"/>
      <c r="N262" s="1422"/>
      <c r="O262" s="1422"/>
      <c r="P262" s="1422"/>
      <c r="Q262" s="1422"/>
      <c r="R262" s="1422"/>
      <c r="S262" s="1422"/>
      <c r="T262" s="1593"/>
      <c r="U262" s="1422"/>
      <c r="V262" s="1422"/>
      <c r="W262" s="1422"/>
      <c r="Y262" s="2269"/>
      <c r="Z262" s="1983"/>
      <c r="AA262" s="1983"/>
      <c r="AB262" s="1983"/>
      <c r="AF262" s="2332"/>
      <c r="AG262" s="2332"/>
      <c r="AM262" s="2329"/>
      <c r="AN262" s="2329"/>
    </row>
    <row r="263" spans="1:64" ht="13.15" hidden="1" customHeight="1">
      <c r="A263" s="1458"/>
      <c r="B263" s="1458"/>
      <c r="C263" s="2346"/>
      <c r="D263" s="1422"/>
      <c r="E263" s="1422"/>
      <c r="F263" s="1422"/>
      <c r="G263" s="1422"/>
      <c r="H263" s="1422"/>
      <c r="I263" s="1422"/>
      <c r="J263" s="1422"/>
      <c r="K263" s="1422"/>
      <c r="L263" s="1422"/>
      <c r="M263" s="1422"/>
      <c r="N263" s="1422"/>
      <c r="O263" s="1422"/>
      <c r="P263" s="1422"/>
      <c r="Q263" s="1422"/>
      <c r="R263" s="1422"/>
      <c r="S263" s="1422"/>
      <c r="T263" s="1593"/>
      <c r="U263" s="1422"/>
      <c r="V263" s="1422"/>
      <c r="W263" s="1422"/>
      <c r="Y263" s="2269"/>
      <c r="Z263" s="1983"/>
      <c r="AA263" s="1983"/>
      <c r="AB263" s="1983"/>
      <c r="AF263" s="2332"/>
      <c r="AG263" s="2332"/>
      <c r="AM263" s="2329"/>
      <c r="AN263" s="2329"/>
    </row>
    <row r="264" spans="1:64" ht="13.15" hidden="1" customHeight="1">
      <c r="A264" s="1458"/>
      <c r="B264" s="1458"/>
      <c r="C264" s="2346"/>
      <c r="D264" s="1422"/>
      <c r="E264" s="1422"/>
      <c r="F264" s="1422"/>
      <c r="G264" s="1422"/>
      <c r="H264" s="1422"/>
      <c r="I264" s="1422"/>
      <c r="J264" s="1422"/>
      <c r="K264" s="1422"/>
      <c r="L264" s="1422"/>
      <c r="M264" s="1422"/>
      <c r="N264" s="1422"/>
      <c r="O264" s="1422"/>
      <c r="P264" s="1422"/>
      <c r="Q264" s="1422"/>
      <c r="R264" s="1422"/>
      <c r="S264" s="1422"/>
      <c r="T264" s="1593"/>
      <c r="U264" s="1422"/>
      <c r="V264" s="1422"/>
      <c r="W264" s="1422"/>
      <c r="Y264" s="2269"/>
      <c r="Z264" s="1983"/>
      <c r="AA264" s="1983"/>
      <c r="AB264" s="1983"/>
      <c r="AF264" s="2332"/>
      <c r="AG264" s="2332"/>
      <c r="AM264" s="2329"/>
      <c r="AN264" s="2329"/>
    </row>
    <row r="265" spans="1:64" ht="13.15" hidden="1" customHeight="1">
      <c r="A265" s="1458"/>
      <c r="B265" s="1458"/>
      <c r="C265" s="2346"/>
      <c r="D265" s="1422"/>
      <c r="E265" s="1422"/>
      <c r="F265" s="1422"/>
      <c r="G265" s="1422"/>
      <c r="H265" s="1422"/>
      <c r="I265" s="1422"/>
      <c r="J265" s="1422"/>
      <c r="K265" s="1422"/>
      <c r="L265" s="1422"/>
      <c r="M265" s="1422"/>
      <c r="N265" s="1422"/>
      <c r="O265" s="1422"/>
      <c r="P265" s="1422"/>
      <c r="Q265" s="1422"/>
      <c r="R265" s="1422"/>
      <c r="S265" s="1422"/>
      <c r="T265" s="1593"/>
      <c r="U265" s="1422"/>
      <c r="V265" s="1422"/>
      <c r="W265" s="1422"/>
      <c r="Y265" s="2269"/>
      <c r="Z265" s="1983"/>
      <c r="AA265" s="1983"/>
      <c r="AB265" s="1983"/>
      <c r="AF265" s="2332"/>
      <c r="AG265" s="2332"/>
      <c r="AM265" s="2329"/>
      <c r="AN265" s="2329"/>
    </row>
    <row r="266" spans="1:64">
      <c r="A266" s="1458"/>
      <c r="B266" s="1458"/>
      <c r="C266" s="2346"/>
      <c r="D266" s="1983"/>
      <c r="E266" s="1983"/>
      <c r="F266" s="1983"/>
      <c r="G266" s="1983"/>
      <c r="H266" s="1983"/>
      <c r="I266" s="1983"/>
      <c r="J266" s="1983"/>
      <c r="K266" s="1983"/>
      <c r="L266" s="1983"/>
      <c r="M266" s="1983"/>
      <c r="N266" s="1983"/>
      <c r="O266" s="1983"/>
      <c r="P266" s="1983"/>
      <c r="Q266" s="1983"/>
      <c r="R266" s="1983"/>
      <c r="S266" s="1983"/>
      <c r="T266" s="1985"/>
      <c r="U266" s="1983"/>
      <c r="V266" s="1983"/>
      <c r="W266" s="1983"/>
      <c r="Y266" s="2399"/>
      <c r="Z266" s="2398"/>
      <c r="AA266" s="2398"/>
      <c r="AB266" s="2398"/>
      <c r="AF266" s="2332"/>
      <c r="AG266" s="2332"/>
      <c r="AM266" s="2329"/>
      <c r="AN266" s="2329"/>
    </row>
    <row r="267" spans="1:64">
      <c r="A267" s="1458"/>
      <c r="B267" s="1458"/>
      <c r="C267" s="2346"/>
      <c r="D267" s="2129"/>
      <c r="E267" s="2129"/>
      <c r="F267" s="2129"/>
      <c r="G267" s="2129"/>
      <c r="H267" s="2129"/>
      <c r="I267" s="2129"/>
      <c r="J267" s="2129"/>
      <c r="K267" s="2129"/>
      <c r="L267" s="2129"/>
      <c r="M267" s="2129"/>
      <c r="N267" s="2129"/>
      <c r="O267" s="2129"/>
      <c r="P267" s="2129"/>
      <c r="Q267" s="2129"/>
      <c r="R267" s="2129"/>
      <c r="S267" s="2129"/>
      <c r="T267" s="2128"/>
      <c r="U267" s="2129"/>
      <c r="V267" s="2129"/>
      <c r="W267" s="2129"/>
      <c r="Y267" s="2399"/>
      <c r="Z267" s="2398"/>
      <c r="AA267" s="2398"/>
      <c r="AB267" s="2398"/>
      <c r="AF267" s="2332"/>
      <c r="AG267" s="2332"/>
      <c r="AM267" s="2329"/>
      <c r="AN267" s="2329"/>
    </row>
    <row r="268" spans="1:64" s="2353" customFormat="1">
      <c r="A268" s="2731" t="s">
        <v>1308</v>
      </c>
      <c r="B268" s="2732"/>
      <c r="C268" s="2465"/>
      <c r="D268" s="2772"/>
      <c r="E268" s="2773"/>
      <c r="F268" s="2773"/>
      <c r="G268" s="2773"/>
      <c r="H268" s="2773"/>
      <c r="I268" s="2773"/>
      <c r="J268" s="2773"/>
      <c r="K268" s="2773"/>
      <c r="L268" s="2773"/>
      <c r="M268" s="2773"/>
      <c r="N268" s="2773"/>
      <c r="O268" s="2773"/>
      <c r="P268" s="2773"/>
      <c r="Q268" s="2773"/>
      <c r="R268" s="2773"/>
      <c r="S268" s="2773"/>
      <c r="T268" s="2773"/>
      <c r="U268" s="2773"/>
      <c r="V268" s="2773"/>
      <c r="W268" s="2773"/>
      <c r="X268" s="2358"/>
      <c r="Y268" s="2403"/>
      <c r="Z268" s="2402"/>
      <c r="AA268" s="2402"/>
      <c r="AB268" s="2402"/>
      <c r="AF268" s="2358"/>
      <c r="AG268" s="2358"/>
      <c r="BL268" s="2358"/>
    </row>
    <row r="269" spans="1:64" s="2353" customFormat="1">
      <c r="A269" s="1669"/>
      <c r="B269" s="670"/>
      <c r="C269" s="2465"/>
      <c r="D269" s="2772"/>
      <c r="E269" s="2774"/>
      <c r="F269" s="2774"/>
      <c r="G269" s="2774"/>
      <c r="H269" s="2774"/>
      <c r="I269" s="2774"/>
      <c r="J269" s="2774"/>
      <c r="K269" s="2774"/>
      <c r="L269" s="2774"/>
      <c r="M269" s="2774"/>
      <c r="N269" s="2774"/>
      <c r="O269" s="2774"/>
      <c r="P269" s="2774"/>
      <c r="Q269" s="2774"/>
      <c r="R269" s="2774"/>
      <c r="S269" s="2774"/>
      <c r="T269" s="2774"/>
      <c r="U269" s="2774"/>
      <c r="V269" s="2774"/>
      <c r="W269" s="2774"/>
      <c r="X269" s="2358"/>
      <c r="Y269" s="2403"/>
      <c r="Z269" s="2402"/>
      <c r="AA269" s="2402"/>
      <c r="AB269" s="2402"/>
      <c r="AF269" s="2358"/>
      <c r="AG269" s="2358"/>
      <c r="BL269" s="2358"/>
    </row>
    <row r="270" spans="1:64" s="2353" customFormat="1">
      <c r="A270" s="1669"/>
      <c r="B270" s="670"/>
      <c r="C270" s="2465"/>
      <c r="D270" s="2772"/>
      <c r="E270" s="2774"/>
      <c r="F270" s="2774"/>
      <c r="G270" s="2774"/>
      <c r="H270" s="2774"/>
      <c r="I270" s="2774"/>
      <c r="J270" s="2774"/>
      <c r="K270" s="2774"/>
      <c r="L270" s="2774"/>
      <c r="M270" s="2774"/>
      <c r="N270" s="2774"/>
      <c r="O270" s="2774"/>
      <c r="P270" s="2774"/>
      <c r="Q270" s="2774"/>
      <c r="R270" s="2774"/>
      <c r="S270" s="2774"/>
      <c r="T270" s="2774"/>
      <c r="U270" s="2774"/>
      <c r="V270" s="2774"/>
      <c r="W270" s="2774"/>
      <c r="X270" s="2358"/>
      <c r="Y270" s="2403"/>
      <c r="Z270" s="2402"/>
      <c r="AA270" s="2402"/>
      <c r="AB270" s="2402"/>
      <c r="AF270" s="2358"/>
      <c r="AG270" s="2358"/>
      <c r="BL270" s="2358"/>
    </row>
    <row r="271" spans="1:64" s="2353" customFormat="1">
      <c r="A271" s="1669"/>
      <c r="B271" s="670"/>
      <c r="C271" s="2465"/>
      <c r="D271" s="2772"/>
      <c r="E271" s="2774"/>
      <c r="F271" s="2774"/>
      <c r="G271" s="2774"/>
      <c r="H271" s="2774"/>
      <c r="I271" s="2774"/>
      <c r="J271" s="2774"/>
      <c r="K271" s="2774"/>
      <c r="L271" s="2774"/>
      <c r="M271" s="2774"/>
      <c r="N271" s="2774"/>
      <c r="O271" s="2774"/>
      <c r="P271" s="2774"/>
      <c r="Q271" s="2774"/>
      <c r="R271" s="2774"/>
      <c r="S271" s="2774"/>
      <c r="T271" s="2774"/>
      <c r="U271" s="2774"/>
      <c r="V271" s="2774"/>
      <c r="W271" s="2774"/>
      <c r="X271" s="2358"/>
      <c r="Y271" s="2403"/>
      <c r="Z271" s="2402"/>
      <c r="AA271" s="2402"/>
      <c r="AB271" s="2402"/>
      <c r="AF271" s="2358"/>
      <c r="AG271" s="2358"/>
      <c r="BL271" s="2358"/>
    </row>
    <row r="272" spans="1:64">
      <c r="A272" s="1458"/>
      <c r="B272" s="1458"/>
      <c r="C272" s="2346"/>
      <c r="D272" s="1422"/>
      <c r="E272" s="1983"/>
      <c r="F272" s="1983"/>
      <c r="G272" s="1422"/>
      <c r="H272" s="1422"/>
      <c r="I272" s="1422"/>
      <c r="J272" s="1422"/>
      <c r="K272" s="1422"/>
      <c r="L272" s="1422"/>
      <c r="M272" s="1422"/>
      <c r="N272" s="1422"/>
      <c r="O272" s="1422"/>
      <c r="P272" s="1422"/>
      <c r="Q272" s="1422"/>
      <c r="R272" s="1422"/>
      <c r="S272" s="1422"/>
      <c r="T272" s="1593"/>
      <c r="U272" s="1422"/>
      <c r="V272" s="1422"/>
      <c r="W272" s="1422"/>
      <c r="Y272" s="2399"/>
      <c r="Z272" s="2398"/>
      <c r="AA272" s="2398"/>
      <c r="AB272" s="2398"/>
      <c r="AF272" s="2332"/>
      <c r="AG272" s="2332"/>
      <c r="AM272" s="2329"/>
      <c r="AN272" s="2329"/>
    </row>
    <row r="273" spans="1:64">
      <c r="A273" s="2346"/>
      <c r="B273" s="2346"/>
      <c r="C273" s="2346"/>
      <c r="E273" s="2421"/>
      <c r="F273" s="2421"/>
      <c r="G273" s="2421"/>
      <c r="H273" s="2421"/>
      <c r="I273" s="2421"/>
      <c r="J273" s="2421"/>
      <c r="K273" s="2421"/>
      <c r="L273" s="2421"/>
      <c r="M273" s="2421"/>
      <c r="N273" s="2421"/>
      <c r="P273" s="2422"/>
      <c r="Q273" s="2422"/>
      <c r="R273" s="2422"/>
      <c r="S273" s="2422"/>
      <c r="T273" s="2422"/>
      <c r="U273" s="2422"/>
      <c r="V273" s="2422"/>
      <c r="W273" s="2422"/>
    </row>
    <row r="274" spans="1:64">
      <c r="A274" s="1120" t="s">
        <v>1538</v>
      </c>
      <c r="B274" s="94"/>
      <c r="C274" s="2346"/>
      <c r="D274" s="1161"/>
      <c r="E274" s="2004"/>
      <c r="F274" s="2004"/>
      <c r="G274" s="2004"/>
      <c r="H274" s="2004"/>
      <c r="I274" s="2004"/>
      <c r="J274" s="2004"/>
      <c r="K274" s="2004"/>
      <c r="L274" s="2004"/>
      <c r="M274" s="2004"/>
      <c r="N274" s="2004"/>
      <c r="O274" s="1161"/>
      <c r="P274" s="2005"/>
      <c r="Q274" s="2005"/>
      <c r="R274" s="2005"/>
      <c r="S274" s="2005"/>
      <c r="T274" s="2005"/>
      <c r="U274" s="2005"/>
      <c r="V274" s="2005"/>
      <c r="W274" s="2005"/>
      <c r="Y274" s="2409"/>
      <c r="Z274" s="2410"/>
      <c r="AA274" s="2410"/>
      <c r="AB274" s="2410"/>
    </row>
    <row r="275" spans="1:64">
      <c r="A275" s="1458"/>
      <c r="B275" s="1458"/>
      <c r="C275" s="2346"/>
      <c r="D275" s="1983"/>
      <c r="E275" s="1455"/>
      <c r="F275" s="1455"/>
      <c r="G275" s="1455"/>
      <c r="H275" s="1455"/>
      <c r="I275" s="1455"/>
      <c r="J275" s="1455"/>
      <c r="K275" s="1455"/>
      <c r="L275" s="1455"/>
      <c r="M275" s="1455"/>
      <c r="N275" s="1455"/>
      <c r="O275" s="1983"/>
      <c r="P275" s="1987"/>
      <c r="Q275" s="1987"/>
      <c r="R275" s="1987"/>
      <c r="S275" s="1987"/>
      <c r="T275" s="1987"/>
      <c r="U275" s="1987"/>
      <c r="V275" s="1987"/>
      <c r="W275" s="1987"/>
      <c r="Y275" s="2269"/>
      <c r="Z275" s="1983"/>
      <c r="AA275" s="1983"/>
      <c r="AB275" s="1983"/>
    </row>
    <row r="276" spans="1:64" s="2398" customFormat="1" ht="3.75" customHeight="1">
      <c r="A276" s="2766"/>
      <c r="C276" s="2399"/>
      <c r="D276" s="2767"/>
      <c r="E276" s="2399"/>
      <c r="F276" s="2399"/>
      <c r="G276" s="2399"/>
      <c r="H276" s="2399"/>
      <c r="I276" s="2399"/>
      <c r="J276" s="2399"/>
      <c r="K276" s="2399"/>
      <c r="L276" s="2399"/>
      <c r="M276" s="2399"/>
      <c r="N276" s="2399"/>
      <c r="O276" s="2399"/>
      <c r="P276" s="2399"/>
      <c r="Q276" s="2746"/>
      <c r="R276" s="2497"/>
      <c r="S276" s="2399"/>
      <c r="T276" s="2399"/>
      <c r="U276" s="2399"/>
      <c r="V276" s="2399"/>
      <c r="W276" s="2399"/>
      <c r="X276" s="2399"/>
      <c r="Y276" s="2399"/>
      <c r="AF276" s="2399"/>
      <c r="AG276" s="2399"/>
      <c r="BL276" s="2399"/>
    </row>
    <row r="277" spans="1:64">
      <c r="A277" s="1458"/>
      <c r="B277" s="1458"/>
      <c r="C277" s="2346"/>
      <c r="D277" s="1545" t="s">
        <v>2537</v>
      </c>
      <c r="E277" s="1458"/>
      <c r="F277" s="1985"/>
      <c r="G277" s="1459"/>
      <c r="H277" s="1458"/>
      <c r="I277" s="1985"/>
      <c r="J277" s="1458"/>
      <c r="K277" s="1983"/>
      <c r="L277" s="1983"/>
      <c r="M277" s="1455"/>
      <c r="N277" s="1455"/>
      <c r="O277" s="1983"/>
      <c r="P277" s="1987"/>
      <c r="Q277" s="1987"/>
      <c r="R277" s="1987"/>
      <c r="S277" s="1987"/>
      <c r="T277" s="1987"/>
      <c r="U277" s="1987"/>
      <c r="V277" s="1987"/>
      <c r="W277" s="1987"/>
      <c r="Y277" s="2269"/>
      <c r="Z277" s="1983"/>
      <c r="AA277" s="1983"/>
      <c r="AB277" s="1983"/>
    </row>
    <row r="278" spans="1:64">
      <c r="A278" s="1458"/>
      <c r="B278" s="1458"/>
      <c r="C278" s="2346"/>
      <c r="D278" s="3623" t="s">
        <v>1597</v>
      </c>
      <c r="E278" s="1942"/>
      <c r="F278" s="1985"/>
      <c r="G278" s="1459"/>
      <c r="H278" s="1458"/>
      <c r="I278" s="1985"/>
      <c r="J278" s="1458"/>
      <c r="K278" s="1983"/>
      <c r="L278" s="1983"/>
      <c r="M278" s="1455"/>
      <c r="N278" s="1455"/>
      <c r="O278" s="1983"/>
      <c r="P278" s="1987"/>
      <c r="Q278" s="1987"/>
      <c r="R278" s="1987"/>
      <c r="S278" s="1987"/>
      <c r="T278" s="1987"/>
      <c r="U278" s="1983"/>
      <c r="V278" s="1987"/>
      <c r="W278" s="1987"/>
      <c r="Y278" s="4495" t="s">
        <v>1758</v>
      </c>
      <c r="Z278" s="4495"/>
      <c r="AA278" s="4495"/>
      <c r="AB278" s="4495"/>
    </row>
    <row r="279" spans="1:64">
      <c r="A279" s="1458"/>
      <c r="B279" s="1458"/>
      <c r="C279" s="2346"/>
      <c r="D279" s="3670" t="s">
        <v>1441</v>
      </c>
      <c r="E279" s="1942"/>
      <c r="F279" s="1985"/>
      <c r="G279" s="1459"/>
      <c r="H279" s="1458"/>
      <c r="I279" s="1985"/>
      <c r="J279" s="1458"/>
      <c r="K279" s="1983"/>
      <c r="L279" s="1983"/>
      <c r="M279" s="1455"/>
      <c r="N279" s="1455"/>
      <c r="O279" s="1983"/>
      <c r="P279" s="1987"/>
      <c r="Q279" s="1987"/>
      <c r="R279" s="1987"/>
      <c r="S279" s="1987"/>
      <c r="T279" s="1987"/>
      <c r="U279" s="1987"/>
      <c r="V279" s="1987"/>
      <c r="W279" s="1987"/>
      <c r="Y279" s="4495"/>
      <c r="Z279" s="4495"/>
      <c r="AA279" s="4495"/>
      <c r="AB279" s="4495"/>
    </row>
    <row r="280" spans="1:64">
      <c r="A280" s="1458"/>
      <c r="B280" s="1458"/>
      <c r="C280" s="2346"/>
      <c r="D280" s="3670" t="s">
        <v>1505</v>
      </c>
      <c r="E280" s="1942"/>
      <c r="F280" s="1985"/>
      <c r="G280" s="1459"/>
      <c r="H280" s="1458"/>
      <c r="I280" s="1985"/>
      <c r="J280" s="1458"/>
      <c r="K280" s="1983"/>
      <c r="L280" s="1983"/>
      <c r="M280" s="1455"/>
      <c r="N280" s="1455"/>
      <c r="O280" s="1983"/>
      <c r="P280" s="1987"/>
      <c r="Q280" s="1987"/>
      <c r="R280" s="1987"/>
      <c r="S280" s="1987"/>
      <c r="T280" s="1987"/>
      <c r="U280" s="1987"/>
      <c r="V280" s="1987"/>
      <c r="W280" s="1987"/>
      <c r="Y280" s="2392"/>
      <c r="Z280" s="2392"/>
      <c r="AA280" s="2392"/>
      <c r="AB280" s="2392"/>
    </row>
    <row r="281" spans="1:64">
      <c r="A281" s="1458"/>
      <c r="B281" s="1458"/>
      <c r="C281" s="2346"/>
      <c r="D281" s="3623" t="s">
        <v>1544</v>
      </c>
      <c r="E281" s="1942"/>
      <c r="F281" s="1985"/>
      <c r="G281" s="1459"/>
      <c r="H281" s="1458"/>
      <c r="I281" s="1985"/>
      <c r="J281" s="1458"/>
      <c r="K281" s="1983"/>
      <c r="L281" s="1983"/>
      <c r="M281" s="1594"/>
      <c r="N281" s="1594"/>
      <c r="O281" s="1594"/>
      <c r="P281" s="1594"/>
      <c r="Q281" s="1594"/>
      <c r="R281" s="1594"/>
      <c r="S281" s="1594"/>
      <c r="T281" s="1594"/>
      <c r="U281" s="1594"/>
      <c r="V281" s="1594"/>
      <c r="W281" s="1594"/>
      <c r="Y281" s="2399"/>
      <c r="Z281" s="2398"/>
      <c r="AA281" s="2398"/>
      <c r="AB281" s="2398"/>
    </row>
    <row r="282" spans="1:64">
      <c r="A282" s="1458"/>
      <c r="B282" s="1458"/>
      <c r="C282" s="2346"/>
      <c r="D282" s="1548"/>
      <c r="E282" s="1942"/>
      <c r="F282" s="1985"/>
      <c r="G282" s="1459"/>
      <c r="H282" s="1458"/>
      <c r="I282" s="1985"/>
      <c r="J282" s="1458"/>
      <c r="K282" s="1983"/>
      <c r="L282" s="1983"/>
      <c r="M282" s="1987"/>
      <c r="N282" s="1987"/>
      <c r="O282" s="1987"/>
      <c r="P282" s="1987"/>
      <c r="Q282" s="1987"/>
      <c r="R282" s="1987"/>
      <c r="S282" s="1987"/>
      <c r="T282" s="1987"/>
      <c r="U282" s="1987"/>
      <c r="V282" s="1987"/>
      <c r="W282" s="1987"/>
      <c r="Y282" s="2399"/>
      <c r="Z282" s="2398"/>
      <c r="AA282" s="2398"/>
      <c r="AB282" s="2398"/>
    </row>
    <row r="283" spans="1:64">
      <c r="A283" s="1458"/>
      <c r="B283" s="1458"/>
      <c r="C283" s="2346"/>
      <c r="D283" s="1594"/>
      <c r="E283" s="1594"/>
      <c r="F283" s="1594"/>
      <c r="G283" s="1594"/>
      <c r="H283" s="1594"/>
      <c r="I283" s="1594"/>
      <c r="J283" s="1594"/>
      <c r="K283" s="1594"/>
      <c r="L283" s="1594"/>
      <c r="M283" s="1594"/>
      <c r="N283" s="1594"/>
      <c r="O283" s="1594"/>
      <c r="P283" s="1594"/>
      <c r="Q283" s="1594"/>
      <c r="R283" s="1594"/>
      <c r="S283" s="1594"/>
      <c r="T283" s="1594"/>
      <c r="U283" s="1594"/>
      <c r="V283" s="1594"/>
      <c r="W283" s="1594"/>
      <c r="Y283" s="2399"/>
      <c r="Z283" s="2398"/>
      <c r="AA283" s="2398"/>
      <c r="AB283" s="2398"/>
    </row>
    <row r="284" spans="1:64">
      <c r="A284" s="1417" t="s">
        <v>1516</v>
      </c>
      <c r="B284" s="1059"/>
      <c r="C284" s="2362"/>
      <c r="D284" s="1545" t="s">
        <v>1759</v>
      </c>
      <c r="E284" s="1554"/>
      <c r="F284" s="1554"/>
      <c r="G284" s="1554"/>
      <c r="H284" s="1554"/>
      <c r="I284" s="1554"/>
      <c r="J284" s="1554"/>
      <c r="K284" s="1554"/>
      <c r="L284" s="1554"/>
      <c r="M284" s="1554"/>
      <c r="N284" s="1554"/>
      <c r="O284" s="1592"/>
      <c r="P284" s="1592"/>
      <c r="Q284" s="1333"/>
      <c r="R284" s="1097"/>
      <c r="S284" s="1505"/>
      <c r="T284" s="1594"/>
      <c r="U284" s="1594"/>
      <c r="V284" s="1594"/>
      <c r="W284" s="1594"/>
      <c r="Y284" s="2399"/>
      <c r="Z284" s="2398"/>
      <c r="AA284" s="2398"/>
      <c r="AB284" s="2398"/>
    </row>
    <row r="285" spans="1:64">
      <c r="A285" s="1458"/>
      <c r="B285" s="1458"/>
      <c r="C285" s="2346"/>
      <c r="D285" s="3623" t="s">
        <v>1760</v>
      </c>
      <c r="E285" s="1590"/>
      <c r="F285" s="1590"/>
      <c r="G285" s="1590"/>
      <c r="H285" s="1590"/>
      <c r="I285" s="1590"/>
      <c r="J285" s="1590"/>
      <c r="K285" s="1590"/>
      <c r="L285" s="1590"/>
      <c r="M285" s="1590"/>
      <c r="N285" s="1590"/>
      <c r="O285" s="1592"/>
      <c r="P285" s="1592"/>
      <c r="Q285" s="1333"/>
      <c r="R285" s="1097"/>
      <c r="S285" s="1505"/>
      <c r="T285" s="1594"/>
      <c r="U285" s="1594"/>
      <c r="V285" s="1594"/>
      <c r="W285" s="1594"/>
      <c r="Y285" s="2399"/>
      <c r="Z285" s="2398"/>
      <c r="AA285" s="2398"/>
      <c r="AB285" s="2398"/>
    </row>
    <row r="286" spans="1:64">
      <c r="A286" s="1458"/>
      <c r="B286" s="1458"/>
      <c r="C286" s="2346"/>
      <c r="D286" s="1545"/>
      <c r="E286" s="1595"/>
      <c r="F286" s="1595"/>
      <c r="G286" s="1595"/>
      <c r="H286" s="1595"/>
      <c r="I286" s="1595"/>
      <c r="J286" s="1595"/>
      <c r="K286" s="1595"/>
      <c r="L286" s="1595"/>
      <c r="M286" s="1595"/>
      <c r="N286" s="1595"/>
      <c r="O286" s="1592"/>
      <c r="P286" s="1592"/>
      <c r="Q286" s="1333"/>
      <c r="R286" s="1097"/>
      <c r="S286" s="1505"/>
      <c r="T286" s="1594"/>
      <c r="U286" s="1594"/>
      <c r="V286" s="1594"/>
      <c r="W286" s="1594"/>
      <c r="Y286" s="2399"/>
      <c r="Z286" s="2398"/>
      <c r="AA286" s="2398"/>
      <c r="AB286" s="2398"/>
    </row>
    <row r="287" spans="1:64">
      <c r="A287" s="1458"/>
      <c r="B287" s="1458"/>
      <c r="C287" s="2346"/>
      <c r="D287" s="1545" t="s">
        <v>1763</v>
      </c>
      <c r="E287" s="1554"/>
      <c r="F287" s="1554"/>
      <c r="G287" s="1554"/>
      <c r="H287" s="1554"/>
      <c r="I287" s="1554"/>
      <c r="J287" s="1554"/>
      <c r="K287" s="1554"/>
      <c r="L287" s="1554"/>
      <c r="M287" s="1554"/>
      <c r="N287" s="1554"/>
      <c r="O287" s="1592"/>
      <c r="P287" s="1592"/>
      <c r="Q287" s="1333"/>
      <c r="R287" s="1097"/>
      <c r="S287" s="1505"/>
      <c r="T287" s="1594"/>
      <c r="U287" s="1594"/>
      <c r="V287" s="1594"/>
      <c r="W287" s="1594"/>
      <c r="Y287" s="2399"/>
      <c r="Z287" s="2398"/>
      <c r="AA287" s="2398"/>
      <c r="AB287" s="2398"/>
    </row>
    <row r="288" spans="1:64">
      <c r="A288" s="1458"/>
      <c r="B288" s="1458"/>
      <c r="C288" s="2346"/>
      <c r="D288" s="3623" t="s">
        <v>1761</v>
      </c>
      <c r="E288" s="1554"/>
      <c r="F288" s="1554"/>
      <c r="G288" s="1554"/>
      <c r="H288" s="1554"/>
      <c r="I288" s="1554"/>
      <c r="J288" s="1554"/>
      <c r="K288" s="1554"/>
      <c r="L288" s="1554"/>
      <c r="M288" s="1554"/>
      <c r="N288" s="1554"/>
      <c r="O288" s="1592"/>
      <c r="P288" s="1592"/>
      <c r="Q288" s="1333"/>
      <c r="R288" s="1097"/>
      <c r="S288" s="1505"/>
      <c r="T288" s="1594"/>
      <c r="U288" s="1594"/>
      <c r="V288" s="1594"/>
      <c r="W288" s="1594"/>
      <c r="Y288" s="2399"/>
      <c r="Z288" s="2398"/>
      <c r="AA288" s="2398"/>
      <c r="AB288" s="2398"/>
    </row>
    <row r="289" spans="1:64">
      <c r="A289" s="1831"/>
      <c r="B289" s="1831"/>
      <c r="C289" s="2346"/>
      <c r="D289" s="1831"/>
      <c r="E289" s="1595"/>
      <c r="F289" s="1595"/>
      <c r="G289" s="1595"/>
      <c r="H289" s="1595"/>
      <c r="I289" s="1595"/>
      <c r="J289" s="1595"/>
      <c r="K289" s="1595"/>
      <c r="L289" s="1595"/>
      <c r="M289" s="1595"/>
      <c r="N289" s="1595"/>
      <c r="O289" s="1831"/>
      <c r="P289" s="1831"/>
      <c r="Q289" s="1333"/>
      <c r="R289" s="1097"/>
      <c r="S289" s="1505"/>
      <c r="T289" s="1835"/>
      <c r="U289" s="1835"/>
      <c r="V289" s="1835"/>
      <c r="W289" s="1835"/>
      <c r="Y289" s="2399"/>
      <c r="Z289" s="2398"/>
      <c r="AA289" s="2398"/>
      <c r="AB289" s="2398"/>
    </row>
    <row r="290" spans="1:64" s="2398" customFormat="1" ht="3.75" customHeight="1">
      <c r="A290" s="2766"/>
      <c r="C290" s="2399"/>
      <c r="D290" s="2767"/>
      <c r="E290" s="2399"/>
      <c r="F290" s="2399"/>
      <c r="G290" s="2399"/>
      <c r="H290" s="2399"/>
      <c r="I290" s="2399"/>
      <c r="J290" s="2399"/>
      <c r="K290" s="2399"/>
      <c r="L290" s="2399"/>
      <c r="M290" s="2399"/>
      <c r="N290" s="2399"/>
      <c r="O290" s="2399"/>
      <c r="P290" s="2399"/>
      <c r="Q290" s="2746"/>
      <c r="R290" s="2497"/>
      <c r="S290" s="2399"/>
      <c r="T290" s="2399"/>
      <c r="U290" s="2399"/>
      <c r="V290" s="2399"/>
      <c r="W290" s="2399"/>
      <c r="X290" s="2399"/>
      <c r="Y290" s="2399"/>
      <c r="AF290" s="2399"/>
      <c r="AG290" s="2399"/>
      <c r="BL290" s="2399"/>
    </row>
    <row r="291" spans="1:64">
      <c r="A291" s="1175" t="s">
        <v>96</v>
      </c>
      <c r="B291" s="102"/>
      <c r="C291" s="2362"/>
      <c r="D291" s="3671" t="s">
        <v>1632</v>
      </c>
      <c r="E291" s="1587"/>
      <c r="F291" s="1587"/>
      <c r="G291" s="1587"/>
      <c r="H291" s="1587"/>
      <c r="I291" s="1587"/>
      <c r="J291" s="1587"/>
      <c r="K291" s="92"/>
      <c r="L291" s="79" t="s">
        <v>1880</v>
      </c>
      <c r="M291" s="1587"/>
      <c r="N291" s="1587"/>
      <c r="O291" s="1587"/>
      <c r="P291" s="1587"/>
      <c r="Q291" s="1587"/>
      <c r="R291" s="1587"/>
      <c r="S291" s="1587"/>
      <c r="T291" s="1585"/>
      <c r="U291" s="1587"/>
      <c r="V291" s="1585"/>
      <c r="W291" s="1585"/>
      <c r="X291" s="2363"/>
      <c r="Y291" s="4274" t="s">
        <v>1762</v>
      </c>
      <c r="Z291" s="4274"/>
      <c r="AA291" s="4274"/>
      <c r="AB291" s="4274"/>
    </row>
    <row r="292" spans="1:64">
      <c r="A292" s="1458"/>
      <c r="B292" s="1458"/>
      <c r="C292" s="2346"/>
      <c r="D292" s="1593"/>
      <c r="E292" s="1587"/>
      <c r="F292" s="1587"/>
      <c r="G292" s="1587"/>
      <c r="H292" s="1587"/>
      <c r="I292" s="1587"/>
      <c r="J292" s="1592"/>
      <c r="K292" s="1587"/>
      <c r="L292" s="1592"/>
      <c r="M292" s="1592"/>
      <c r="N292" s="1587"/>
      <c r="O292" s="1587"/>
      <c r="P292" s="1587"/>
      <c r="Q292" s="1587"/>
      <c r="R292" s="1587"/>
      <c r="S292" s="1587"/>
      <c r="T292" s="1587"/>
      <c r="U292" s="1587"/>
      <c r="V292" s="1587"/>
      <c r="W292" s="1587"/>
      <c r="X292" s="2363"/>
      <c r="Y292" s="4274"/>
      <c r="Z292" s="4274"/>
      <c r="AA292" s="4274"/>
      <c r="AB292" s="4274"/>
    </row>
    <row r="293" spans="1:64">
      <c r="A293" s="1458"/>
      <c r="B293" s="1458"/>
      <c r="C293" s="2346"/>
      <c r="D293" s="2654"/>
      <c r="E293" s="2655"/>
      <c r="F293" s="2655"/>
      <c r="G293" s="2655"/>
      <c r="H293" s="2655"/>
      <c r="I293" s="2655"/>
      <c r="J293" s="2655"/>
      <c r="K293" s="2655"/>
      <c r="L293" s="2655"/>
      <c r="M293" s="2655"/>
      <c r="N293" s="2655"/>
      <c r="O293" s="2655"/>
      <c r="P293" s="2655"/>
      <c r="Q293" s="2655"/>
      <c r="R293" s="2655"/>
      <c r="S293" s="2655"/>
      <c r="T293" s="2655"/>
      <c r="U293" s="2655"/>
      <c r="V293" s="2655"/>
      <c r="W293" s="2655"/>
      <c r="X293" s="2363"/>
      <c r="Y293" s="1455"/>
      <c r="Z293" s="1455"/>
      <c r="AA293" s="1455"/>
      <c r="AB293" s="1455"/>
    </row>
    <row r="294" spans="1:64">
      <c r="A294" s="1458"/>
      <c r="B294" s="1458"/>
      <c r="C294" s="2346"/>
      <c r="D294" s="1593"/>
      <c r="E294" s="1587"/>
      <c r="F294" s="1587"/>
      <c r="G294" s="1587"/>
      <c r="H294" s="1587"/>
      <c r="I294" s="1587"/>
      <c r="J294" s="1587"/>
      <c r="K294" s="1587"/>
      <c r="L294" s="1587"/>
      <c r="M294" s="1587"/>
      <c r="N294" s="1599" t="s">
        <v>1313</v>
      </c>
      <c r="O294" s="1592"/>
      <c r="P294" s="1587"/>
      <c r="Q294" s="1598"/>
      <c r="R294" s="1597" t="s">
        <v>1363</v>
      </c>
      <c r="S294" s="1598"/>
      <c r="T294" s="1598"/>
      <c r="U294" s="1443"/>
      <c r="V294" s="1587"/>
      <c r="W294" s="1592"/>
      <c r="Y294" s="4381" t="s">
        <v>1370</v>
      </c>
      <c r="Z294" s="4381"/>
      <c r="AA294" s="4381"/>
      <c r="AB294" s="4381"/>
    </row>
    <row r="295" spans="1:64">
      <c r="A295" s="1458"/>
      <c r="B295" s="1458"/>
      <c r="C295" s="2346"/>
      <c r="D295" s="1593"/>
      <c r="E295" s="1587"/>
      <c r="F295" s="1587"/>
      <c r="G295" s="1587"/>
      <c r="H295" s="1587"/>
      <c r="I295" s="1587"/>
      <c r="J295" s="1587"/>
      <c r="K295" s="1587"/>
      <c r="L295" s="1587"/>
      <c r="M295" s="1587"/>
      <c r="N295" s="1587"/>
      <c r="O295" s="1592"/>
      <c r="P295" s="1598"/>
      <c r="Q295" s="1598"/>
      <c r="R295" s="1598"/>
      <c r="S295" s="1587"/>
      <c r="T295" s="1598" t="s">
        <v>1314</v>
      </c>
      <c r="U295" s="1599" t="s">
        <v>1315</v>
      </c>
      <c r="V295" s="1598" t="s">
        <v>1369</v>
      </c>
      <c r="W295" s="1592"/>
      <c r="Y295" s="4381"/>
      <c r="Z295" s="4381"/>
      <c r="AA295" s="4381"/>
      <c r="AB295" s="4381"/>
    </row>
    <row r="296" spans="1:64">
      <c r="A296" s="1458"/>
      <c r="B296" s="1458"/>
      <c r="C296" s="2346"/>
      <c r="D296" s="1593"/>
      <c r="E296" s="1587"/>
      <c r="F296" s="1587"/>
      <c r="G296" s="1587"/>
      <c r="H296" s="1587"/>
      <c r="I296" s="1587"/>
      <c r="J296" s="1587"/>
      <c r="K296" s="1587"/>
      <c r="L296" s="1587"/>
      <c r="M296" s="1587"/>
      <c r="N296" s="1601" t="s">
        <v>1311</v>
      </c>
      <c r="O296" s="1591"/>
      <c r="P296" s="1586"/>
      <c r="Q296" s="1598"/>
      <c r="R296" s="1600" t="s">
        <v>1253</v>
      </c>
      <c r="S296" s="1600"/>
      <c r="T296" s="1735" t="s">
        <v>1316</v>
      </c>
      <c r="U296" s="1603" t="s">
        <v>1260</v>
      </c>
      <c r="V296" s="1733" t="s">
        <v>1322</v>
      </c>
      <c r="W296" s="1592"/>
      <c r="Y296" s="4381"/>
      <c r="Z296" s="4381"/>
      <c r="AA296" s="4381"/>
      <c r="AB296" s="4381"/>
    </row>
    <row r="297" spans="1:64">
      <c r="A297" s="1458"/>
      <c r="B297" s="1458"/>
      <c r="C297" s="2346"/>
      <c r="D297" s="1593"/>
      <c r="E297" s="1587"/>
      <c r="F297" s="1587"/>
      <c r="G297" s="1587"/>
      <c r="H297" s="1587"/>
      <c r="I297" s="1587"/>
      <c r="J297" s="1587"/>
      <c r="K297" s="1587"/>
      <c r="L297" s="1587"/>
      <c r="M297" s="1587"/>
      <c r="N297" s="1601" t="s">
        <v>1312</v>
      </c>
      <c r="O297" s="1591"/>
      <c r="P297" s="1586"/>
      <c r="Q297" s="1598"/>
      <c r="R297" s="1600" t="s">
        <v>1254</v>
      </c>
      <c r="S297" s="1600"/>
      <c r="T297" s="1736" t="s">
        <v>1317</v>
      </c>
      <c r="U297" s="1603" t="s">
        <v>1255</v>
      </c>
      <c r="V297" s="1733" t="s">
        <v>1323</v>
      </c>
      <c r="W297" s="1592"/>
      <c r="Y297" s="3672" t="s">
        <v>1360</v>
      </c>
      <c r="Z297" s="1505"/>
      <c r="AA297" s="1505"/>
      <c r="AB297" s="1569"/>
    </row>
    <row r="298" spans="1:64" ht="13.15" customHeight="1">
      <c r="A298" s="1458"/>
      <c r="B298" s="1458"/>
      <c r="C298" s="2346"/>
      <c r="D298" s="1593"/>
      <c r="E298" s="1587"/>
      <c r="F298" s="1587"/>
      <c r="G298" s="1587"/>
      <c r="H298" s="1587"/>
      <c r="I298" s="1587"/>
      <c r="J298" s="1587"/>
      <c r="K298" s="1587"/>
      <c r="L298" s="1587"/>
      <c r="M298" s="1587"/>
      <c r="N298" s="1611" t="s">
        <v>1557</v>
      </c>
      <c r="O298" s="1591"/>
      <c r="P298" s="1586"/>
      <c r="Q298" s="1599"/>
      <c r="R298" s="1600" t="s">
        <v>1256</v>
      </c>
      <c r="S298" s="1600"/>
      <c r="T298" s="1736" t="s">
        <v>1318</v>
      </c>
      <c r="U298" s="1604" t="s">
        <v>1261</v>
      </c>
      <c r="V298" s="1733" t="s">
        <v>1324</v>
      </c>
      <c r="W298" s="1592"/>
      <c r="Y298" s="3673" t="s">
        <v>2538</v>
      </c>
      <c r="Z298" s="1505"/>
      <c r="AA298" s="1505"/>
      <c r="AB298" s="1569"/>
      <c r="AC298" s="2375"/>
      <c r="AD298" s="2375"/>
      <c r="AE298" s="2375"/>
      <c r="AF298" s="2375"/>
    </row>
    <row r="299" spans="1:64" ht="12.75" customHeight="1">
      <c r="A299" s="1458"/>
      <c r="B299" s="1458"/>
      <c r="C299" s="2346"/>
      <c r="D299" s="1593"/>
      <c r="E299" s="1587"/>
      <c r="F299" s="1587"/>
      <c r="G299" s="1587"/>
      <c r="H299" s="1587"/>
      <c r="I299" s="1587"/>
      <c r="J299" s="1587"/>
      <c r="K299" s="1587"/>
      <c r="L299" s="1587"/>
      <c r="M299" s="1587"/>
      <c r="N299" s="1611" t="s">
        <v>1359</v>
      </c>
      <c r="O299" s="1591"/>
      <c r="P299" s="1586"/>
      <c r="Q299" s="1599"/>
      <c r="R299" s="1600" t="s">
        <v>1257</v>
      </c>
      <c r="S299" s="1600"/>
      <c r="T299" s="1736" t="s">
        <v>1319</v>
      </c>
      <c r="U299" s="1604" t="s">
        <v>1262</v>
      </c>
      <c r="V299" s="1733" t="s">
        <v>1325</v>
      </c>
      <c r="W299" s="1592"/>
      <c r="Y299" s="3672" t="s">
        <v>1329</v>
      </c>
      <c r="Z299" s="1505"/>
      <c r="AA299" s="1505"/>
      <c r="AB299" s="2344"/>
      <c r="AC299" s="2393" t="s">
        <v>1407</v>
      </c>
      <c r="AD299" s="4481" t="s">
        <v>1875</v>
      </c>
      <c r="AE299" s="4482"/>
      <c r="AF299" s="4482"/>
      <c r="AG299" s="4482"/>
      <c r="AH299" s="4482"/>
      <c r="AI299" s="4482"/>
      <c r="AJ299" s="4482"/>
      <c r="AK299" s="2373"/>
      <c r="AL299" s="2373"/>
    </row>
    <row r="300" spans="1:64">
      <c r="A300" s="1458"/>
      <c r="B300" s="1458"/>
      <c r="C300" s="2346"/>
      <c r="D300" s="1593"/>
      <c r="E300" s="1587"/>
      <c r="F300" s="1587"/>
      <c r="G300" s="1587"/>
      <c r="H300" s="1587"/>
      <c r="I300" s="1587"/>
      <c r="J300" s="1587"/>
      <c r="K300" s="1587"/>
      <c r="L300" s="1587"/>
      <c r="M300" s="1587"/>
      <c r="N300" s="1611" t="s">
        <v>1558</v>
      </c>
      <c r="O300" s="1591"/>
      <c r="P300" s="1586"/>
      <c r="Q300" s="1599"/>
      <c r="R300" s="1602" t="s">
        <v>1258</v>
      </c>
      <c r="S300" s="1602"/>
      <c r="T300" s="1737" t="s">
        <v>1320</v>
      </c>
      <c r="U300" s="1605" t="s">
        <v>1263</v>
      </c>
      <c r="V300" s="1734" t="s">
        <v>1326</v>
      </c>
      <c r="W300" s="1592"/>
      <c r="Y300" s="3672" t="s">
        <v>1330</v>
      </c>
      <c r="Z300" s="1505"/>
      <c r="AA300" s="1505"/>
      <c r="AB300" s="1607"/>
      <c r="AD300" s="4481"/>
      <c r="AE300" s="4482"/>
      <c r="AF300" s="4482"/>
      <c r="AG300" s="4482"/>
      <c r="AH300" s="4482"/>
      <c r="AI300" s="4482"/>
      <c r="AJ300" s="4482"/>
      <c r="AK300" s="2373"/>
      <c r="AL300" s="2373"/>
    </row>
    <row r="301" spans="1:64">
      <c r="A301" s="1458"/>
      <c r="B301" s="1458"/>
      <c r="C301" s="2346"/>
      <c r="D301" s="1593"/>
      <c r="E301" s="1587"/>
      <c r="F301" s="1587"/>
      <c r="G301" s="1587"/>
      <c r="H301" s="1587"/>
      <c r="I301" s="1587"/>
      <c r="J301" s="1587"/>
      <c r="K301" s="1587"/>
      <c r="L301" s="1587"/>
      <c r="M301" s="1587"/>
      <c r="N301" s="1587"/>
      <c r="O301" s="1587"/>
      <c r="P301" s="1587"/>
      <c r="Q301" s="1587"/>
      <c r="R301" s="1602" t="s">
        <v>1259</v>
      </c>
      <c r="S301" s="1602"/>
      <c r="T301" s="1738" t="s">
        <v>1321</v>
      </c>
      <c r="U301" s="1600" t="s">
        <v>1264</v>
      </c>
      <c r="V301" s="1734" t="s">
        <v>1316</v>
      </c>
      <c r="W301" s="1592"/>
      <c r="X301" s="2366"/>
      <c r="Y301" s="3672" t="s">
        <v>1331</v>
      </c>
      <c r="Z301" s="1505"/>
      <c r="AA301" s="1505"/>
      <c r="AB301" s="1569"/>
    </row>
    <row r="302" spans="1:64">
      <c r="A302" s="1458"/>
      <c r="B302" s="1458"/>
      <c r="C302" s="2346"/>
      <c r="D302" s="1593"/>
      <c r="E302" s="1587"/>
      <c r="F302" s="1587"/>
      <c r="G302" s="1587"/>
      <c r="H302" s="1587"/>
      <c r="I302" s="1587"/>
      <c r="J302" s="1587"/>
      <c r="K302" s="1587"/>
      <c r="L302" s="1587"/>
      <c r="M302" s="1514"/>
      <c r="N302" s="1587"/>
      <c r="O302" s="1587"/>
      <c r="P302" s="1587"/>
      <c r="Q302" s="1587"/>
      <c r="R302" s="1587"/>
      <c r="S302" s="1587"/>
      <c r="T302" s="1587"/>
      <c r="U302" s="1587"/>
      <c r="V302" s="1585"/>
      <c r="W302" s="1585"/>
      <c r="X302" s="2363"/>
      <c r="Y302" s="1614"/>
      <c r="Z302" s="1587"/>
      <c r="AA302" s="1587"/>
      <c r="AB302" s="1587"/>
    </row>
    <row r="303" spans="1:64" ht="13.15" customHeight="1">
      <c r="A303" s="1458"/>
      <c r="B303" s="1458"/>
      <c r="C303" s="2346"/>
      <c r="D303" s="4354" t="s">
        <v>1509</v>
      </c>
      <c r="E303" s="4354"/>
      <c r="F303" s="4354"/>
      <c r="G303" s="4354"/>
      <c r="H303" s="4354"/>
      <c r="I303" s="4354"/>
      <c r="J303" s="4354"/>
      <c r="K303" s="4354"/>
      <c r="L303" s="4354"/>
      <c r="M303" s="4354"/>
      <c r="N303" s="4354"/>
      <c r="O303" s="4354"/>
      <c r="P303" s="4354"/>
      <c r="Q303" s="1690"/>
      <c r="R303" s="1936" t="s">
        <v>1881</v>
      </c>
      <c r="S303" s="1690"/>
      <c r="T303" s="1690"/>
      <c r="U303" s="1690"/>
      <c r="V303" s="1690"/>
      <c r="W303" s="1690"/>
      <c r="X303" s="2363"/>
      <c r="Y303" s="3492" t="s">
        <v>2539</v>
      </c>
      <c r="Z303" s="1592"/>
      <c r="AA303" s="1592"/>
      <c r="AB303" s="1592"/>
    </row>
    <row r="304" spans="1:64" ht="13.15" customHeight="1">
      <c r="A304" s="1458"/>
      <c r="B304" s="1458"/>
      <c r="C304" s="2346"/>
      <c r="D304" s="4354"/>
      <c r="E304" s="4354"/>
      <c r="F304" s="4354"/>
      <c r="G304" s="4354"/>
      <c r="H304" s="4354"/>
      <c r="I304" s="4354"/>
      <c r="J304" s="4354"/>
      <c r="K304" s="4354"/>
      <c r="L304" s="4354"/>
      <c r="M304" s="4354"/>
      <c r="N304" s="4354"/>
      <c r="O304" s="4354"/>
      <c r="P304" s="4354"/>
      <c r="Q304" s="1690"/>
      <c r="R304" s="4483" t="s">
        <v>1541</v>
      </c>
      <c r="S304" s="4483"/>
      <c r="T304" s="4483"/>
      <c r="U304" s="4483"/>
      <c r="V304" s="4483"/>
      <c r="W304" s="4483"/>
      <c r="Y304" s="3657" t="s">
        <v>1310</v>
      </c>
      <c r="Z304" s="1089"/>
      <c r="AA304" s="92"/>
      <c r="AB304" s="1592"/>
    </row>
    <row r="305" spans="1:28" ht="13.15" customHeight="1">
      <c r="A305" s="1458"/>
      <c r="B305" s="1458"/>
      <c r="C305" s="2346"/>
      <c r="D305" s="4354"/>
      <c r="E305" s="4354"/>
      <c r="F305" s="4354"/>
      <c r="G305" s="4354"/>
      <c r="H305" s="4354"/>
      <c r="I305" s="4354"/>
      <c r="J305" s="4354"/>
      <c r="K305" s="4354"/>
      <c r="L305" s="4354"/>
      <c r="M305" s="4354"/>
      <c r="N305" s="4354"/>
      <c r="O305" s="4354"/>
      <c r="P305" s="4354"/>
      <c r="Q305" s="1690"/>
      <c r="R305" s="4483"/>
      <c r="S305" s="4483"/>
      <c r="T305" s="4483"/>
      <c r="U305" s="4483"/>
      <c r="V305" s="4483"/>
      <c r="W305" s="4483"/>
      <c r="Y305" s="1614"/>
      <c r="Z305" s="1983"/>
      <c r="AA305" s="1983"/>
      <c r="AB305" s="1983"/>
    </row>
    <row r="306" spans="1:28">
      <c r="A306" s="1458"/>
      <c r="B306" s="1458"/>
      <c r="C306" s="2346"/>
      <c r="D306" s="4484" t="s">
        <v>1603</v>
      </c>
      <c r="E306" s="4484"/>
      <c r="F306" s="4484"/>
      <c r="G306" s="4484"/>
      <c r="H306" s="4484"/>
      <c r="I306" s="4484"/>
      <c r="J306" s="4484"/>
      <c r="K306" s="4484"/>
      <c r="L306" s="4484"/>
      <c r="M306" s="4484"/>
      <c r="N306" s="4484"/>
      <c r="O306" s="4484"/>
      <c r="P306" s="4484"/>
      <c r="Q306" s="1333"/>
      <c r="R306" s="4483"/>
      <c r="S306" s="4483"/>
      <c r="T306" s="4483"/>
      <c r="U306" s="4483"/>
      <c r="V306" s="4483"/>
      <c r="W306" s="4483"/>
      <c r="Y306" s="3488"/>
      <c r="Z306" s="2398"/>
      <c r="AA306" s="2398"/>
      <c r="AB306" s="2398"/>
    </row>
    <row r="307" spans="1:28">
      <c r="A307" s="1458"/>
      <c r="B307" s="1458"/>
      <c r="C307" s="2346"/>
      <c r="D307" s="4484"/>
      <c r="E307" s="4484"/>
      <c r="F307" s="4484"/>
      <c r="G307" s="4484"/>
      <c r="H307" s="4484"/>
      <c r="I307" s="4484"/>
      <c r="J307" s="4484"/>
      <c r="K307" s="4484"/>
      <c r="L307" s="4484"/>
      <c r="M307" s="4484"/>
      <c r="N307" s="4484"/>
      <c r="O307" s="4484"/>
      <c r="P307" s="4484"/>
      <c r="Q307" s="1333"/>
      <c r="R307" s="4483"/>
      <c r="S307" s="4483"/>
      <c r="T307" s="4483"/>
      <c r="U307" s="4483"/>
      <c r="V307" s="4483"/>
      <c r="W307" s="4483"/>
      <c r="Y307" s="3488"/>
      <c r="Z307" s="2398"/>
      <c r="AA307" s="2398"/>
      <c r="AB307" s="2398"/>
    </row>
    <row r="308" spans="1:28" ht="13.15" customHeight="1">
      <c r="A308" s="1458"/>
      <c r="B308" s="1458"/>
      <c r="C308" s="2346"/>
      <c r="D308" s="1596"/>
      <c r="E308" s="1621"/>
      <c r="F308" s="1621"/>
      <c r="G308" s="1621"/>
      <c r="H308" s="1621"/>
      <c r="I308" s="1621"/>
      <c r="J308" s="1621"/>
      <c r="K308" s="1621"/>
      <c r="L308" s="1596"/>
      <c r="M308" s="1621"/>
      <c r="N308" s="1621"/>
      <c r="O308" s="1621"/>
      <c r="P308" s="1621"/>
      <c r="Q308" s="1621"/>
      <c r="R308" s="1621"/>
      <c r="S308" s="1621"/>
      <c r="T308" s="1621"/>
      <c r="U308" s="1621"/>
      <c r="V308" s="1621"/>
      <c r="W308" s="1624"/>
      <c r="Y308" s="3488"/>
      <c r="Z308" s="2398"/>
      <c r="AA308" s="3761"/>
      <c r="AB308" s="2398"/>
    </row>
    <row r="309" spans="1:28">
      <c r="A309" s="1458"/>
      <c r="B309" s="1458"/>
      <c r="C309" s="2346"/>
      <c r="D309" s="3403" t="s">
        <v>2595</v>
      </c>
      <c r="E309" s="1621"/>
      <c r="F309" s="1621"/>
      <c r="G309" s="1621"/>
      <c r="H309" s="1621"/>
      <c r="I309" s="1621"/>
      <c r="J309" s="1621"/>
      <c r="K309" s="1621"/>
      <c r="L309" s="1596"/>
      <c r="M309" s="1621"/>
      <c r="N309" s="1621"/>
      <c r="O309" s="1621"/>
      <c r="P309" s="1621"/>
      <c r="Q309" s="1621"/>
      <c r="R309" s="1621"/>
      <c r="S309" s="1621"/>
      <c r="T309" s="1621"/>
      <c r="U309" s="1621"/>
      <c r="V309" s="1621"/>
      <c r="W309" s="1624"/>
      <c r="Y309" s="1614"/>
      <c r="Z309" s="1621"/>
      <c r="AA309" s="1625"/>
      <c r="AB309" s="1592"/>
    </row>
    <row r="310" spans="1:28">
      <c r="A310" s="1458"/>
      <c r="B310" s="1458"/>
      <c r="C310" s="2346"/>
      <c r="D310" s="3674" t="s">
        <v>1355</v>
      </c>
      <c r="E310" s="1598"/>
      <c r="F310" s="1598"/>
      <c r="G310" s="1598"/>
      <c r="H310" s="1598"/>
      <c r="I310" s="1598"/>
      <c r="J310" s="1598"/>
      <c r="K310" s="1598"/>
      <c r="L310" s="1597"/>
      <c r="M310" s="1598"/>
      <c r="N310" s="1598"/>
      <c r="O310" s="1598"/>
      <c r="P310" s="1598" t="s">
        <v>1764</v>
      </c>
      <c r="Q310" s="1598"/>
      <c r="R310" s="1598"/>
      <c r="S310" s="1598"/>
      <c r="T310" s="1598"/>
      <c r="U310" s="1621"/>
      <c r="V310" s="1621"/>
      <c r="W310" s="1624"/>
      <c r="Y310" s="3492" t="s">
        <v>2616</v>
      </c>
      <c r="Z310" s="1613" t="s">
        <v>1252</v>
      </c>
      <c r="AA310" s="1089"/>
      <c r="AB310" s="1592"/>
    </row>
    <row r="311" spans="1:28">
      <c r="A311" s="1458"/>
      <c r="B311" s="1458"/>
      <c r="C311" s="2346"/>
      <c r="D311" s="3675" t="s">
        <v>2541</v>
      </c>
      <c r="E311" s="3676"/>
      <c r="F311" s="3676"/>
      <c r="G311" s="3676"/>
      <c r="H311" s="3676"/>
      <c r="I311" s="3677"/>
      <c r="J311" s="2169" t="s">
        <v>2542</v>
      </c>
      <c r="K311" s="2170"/>
      <c r="L311" s="2172"/>
      <c r="M311" s="2170"/>
      <c r="N311" s="2170"/>
      <c r="O311" s="2170"/>
      <c r="P311" s="2169" t="s">
        <v>2543</v>
      </c>
      <c r="Q311" s="2170"/>
      <c r="R311" s="2170"/>
      <c r="S311" s="2170"/>
      <c r="T311" s="2170"/>
      <c r="U311" s="2170"/>
      <c r="V311" s="2170"/>
      <c r="W311" s="2171"/>
      <c r="X311" s="2374"/>
      <c r="Y311" s="3492"/>
      <c r="Z311" s="1089"/>
      <c r="AA311" s="1592"/>
      <c r="AB311" s="1592"/>
    </row>
    <row r="312" spans="1:28">
      <c r="A312" s="1458"/>
      <c r="B312" s="1458"/>
      <c r="C312" s="2346"/>
      <c r="D312" s="3678" t="s">
        <v>1332</v>
      </c>
      <c r="E312" s="1610"/>
      <c r="F312" s="1610"/>
      <c r="G312" s="1610"/>
      <c r="H312" s="1610"/>
      <c r="I312" s="3679"/>
      <c r="J312" s="1635" t="s">
        <v>1333</v>
      </c>
      <c r="K312" s="1564"/>
      <c r="L312" s="1636"/>
      <c r="M312" s="1564"/>
      <c r="N312" s="1608"/>
      <c r="O312" s="1608"/>
      <c r="P312" s="1635" t="s">
        <v>1882</v>
      </c>
      <c r="Q312" s="1564"/>
      <c r="R312" s="1564"/>
      <c r="S312" s="1564"/>
      <c r="T312" s="1564"/>
      <c r="U312" s="1564"/>
      <c r="V312" s="1564"/>
      <c r="W312" s="1607"/>
      <c r="X312" s="2374"/>
      <c r="Y312" s="2776"/>
      <c r="Z312" s="2777"/>
      <c r="AA312" s="2398"/>
      <c r="AB312" s="2398"/>
    </row>
    <row r="313" spans="1:28">
      <c r="A313" s="1458"/>
      <c r="B313" s="1458"/>
      <c r="C313" s="2346"/>
      <c r="D313" s="3678" t="s">
        <v>1334</v>
      </c>
      <c r="E313" s="1610"/>
      <c r="F313" s="1610"/>
      <c r="G313" s="1610"/>
      <c r="H313" s="1610"/>
      <c r="I313" s="3679"/>
      <c r="J313" s="1635" t="s">
        <v>1335</v>
      </c>
      <c r="K313" s="1564"/>
      <c r="L313" s="1636"/>
      <c r="M313" s="1564"/>
      <c r="N313" s="1608"/>
      <c r="O313" s="1608"/>
      <c r="P313" s="1635" t="s">
        <v>1356</v>
      </c>
      <c r="Q313" s="1564"/>
      <c r="R313" s="1564"/>
      <c r="S313" s="1564"/>
      <c r="T313" s="1564"/>
      <c r="U313" s="1564"/>
      <c r="V313" s="1564"/>
      <c r="W313" s="1607"/>
      <c r="X313" s="2374"/>
      <c r="Y313" s="2776"/>
      <c r="Z313" s="2777"/>
      <c r="AA313" s="2398"/>
      <c r="AB313" s="2398"/>
    </row>
    <row r="314" spans="1:28">
      <c r="A314" s="1458"/>
      <c r="B314" s="1458"/>
      <c r="C314" s="2346"/>
      <c r="D314" s="3678" t="s">
        <v>1336</v>
      </c>
      <c r="E314" s="1610"/>
      <c r="F314" s="1610"/>
      <c r="G314" s="1610"/>
      <c r="H314" s="1610"/>
      <c r="I314" s="3679"/>
      <c r="J314" s="1635" t="s">
        <v>1337</v>
      </c>
      <c r="K314" s="1564"/>
      <c r="L314" s="1636"/>
      <c r="M314" s="1564"/>
      <c r="N314" s="1608"/>
      <c r="O314" s="1608"/>
      <c r="P314" s="1635" t="s">
        <v>1352</v>
      </c>
      <c r="Q314" s="1564"/>
      <c r="R314" s="1564"/>
      <c r="S314" s="1564"/>
      <c r="T314" s="1564"/>
      <c r="U314" s="1564"/>
      <c r="V314" s="1564"/>
      <c r="W314" s="1607"/>
      <c r="X314" s="2374"/>
      <c r="Y314" s="2776"/>
      <c r="Z314" s="2777"/>
      <c r="AA314" s="2398"/>
      <c r="AB314" s="2398"/>
    </row>
    <row r="315" spans="1:28">
      <c r="A315" s="1458"/>
      <c r="B315" s="1458"/>
      <c r="C315" s="2346"/>
      <c r="D315" s="3678" t="s">
        <v>1338</v>
      </c>
      <c r="E315" s="1610"/>
      <c r="F315" s="1610"/>
      <c r="G315" s="1610"/>
      <c r="H315" s="1610"/>
      <c r="I315" s="3679"/>
      <c r="J315" s="1635" t="s">
        <v>1339</v>
      </c>
      <c r="K315" s="1564"/>
      <c r="L315" s="1636"/>
      <c r="M315" s="1564"/>
      <c r="N315" s="1608"/>
      <c r="O315" s="1608"/>
      <c r="P315" s="4382" t="s">
        <v>1357</v>
      </c>
      <c r="Q315" s="4383"/>
      <c r="R315" s="4383"/>
      <c r="S315" s="4383"/>
      <c r="T315" s="4383"/>
      <c r="U315" s="4383"/>
      <c r="V315" s="4383"/>
      <c r="W315" s="4384"/>
      <c r="X315" s="2374"/>
      <c r="Y315" s="2776"/>
      <c r="Z315" s="2777"/>
      <c r="AA315" s="2398"/>
      <c r="AB315" s="2398"/>
    </row>
    <row r="316" spans="1:28">
      <c r="A316" s="1458"/>
      <c r="B316" s="1458"/>
      <c r="C316" s="2346"/>
      <c r="D316" s="3678" t="s">
        <v>1340</v>
      </c>
      <c r="E316" s="1610"/>
      <c r="F316" s="1610"/>
      <c r="G316" s="1610"/>
      <c r="H316" s="1610"/>
      <c r="I316" s="3679"/>
      <c r="J316" s="1635" t="s">
        <v>1341</v>
      </c>
      <c r="K316" s="1564"/>
      <c r="L316" s="1636"/>
      <c r="M316" s="1564"/>
      <c r="N316" s="1608"/>
      <c r="O316" s="1608"/>
      <c r="P316" s="4382"/>
      <c r="Q316" s="4383"/>
      <c r="R316" s="4383"/>
      <c r="S316" s="4383"/>
      <c r="T316" s="4383"/>
      <c r="U316" s="4383"/>
      <c r="V316" s="4383"/>
      <c r="W316" s="4384"/>
      <c r="X316" s="2374"/>
      <c r="Y316" s="2776"/>
      <c r="Z316" s="2777"/>
      <c r="AA316" s="2398"/>
      <c r="AB316" s="2398"/>
    </row>
    <row r="317" spans="1:28">
      <c r="A317" s="1458"/>
      <c r="B317" s="1458"/>
      <c r="C317" s="2346"/>
      <c r="D317" s="3678" t="s">
        <v>1342</v>
      </c>
      <c r="E317" s="1610"/>
      <c r="F317" s="1610"/>
      <c r="G317" s="1610"/>
      <c r="H317" s="1610"/>
      <c r="I317" s="3679"/>
      <c r="J317" s="1637" t="s">
        <v>1343</v>
      </c>
      <c r="K317" s="1558"/>
      <c r="L317" s="1638"/>
      <c r="M317" s="1558"/>
      <c r="N317" s="1609"/>
      <c r="O317" s="1609"/>
      <c r="P317" s="4382" t="s">
        <v>1353</v>
      </c>
      <c r="Q317" s="4383"/>
      <c r="R317" s="4383"/>
      <c r="S317" s="4383"/>
      <c r="T317" s="4383"/>
      <c r="U317" s="4383"/>
      <c r="V317" s="4383"/>
      <c r="W317" s="4384"/>
      <c r="X317" s="2374"/>
      <c r="Y317" s="2776"/>
      <c r="Z317" s="2777"/>
      <c r="AA317" s="2398"/>
      <c r="AB317" s="2398"/>
    </row>
    <row r="318" spans="1:28">
      <c r="A318" s="1458"/>
      <c r="B318" s="1458"/>
      <c r="C318" s="2346"/>
      <c r="D318" s="3678" t="s">
        <v>2540</v>
      </c>
      <c r="E318" s="1610"/>
      <c r="F318" s="1610"/>
      <c r="G318" s="1610"/>
      <c r="H318" s="1610"/>
      <c r="I318" s="3679"/>
      <c r="J318" s="1569"/>
      <c r="K318" s="1569"/>
      <c r="L318" s="1639"/>
      <c r="M318" s="1569"/>
      <c r="N318" s="1598"/>
      <c r="O318" s="1598"/>
      <c r="P318" s="4382"/>
      <c r="Q318" s="4383"/>
      <c r="R318" s="4383"/>
      <c r="S318" s="4383"/>
      <c r="T318" s="4383"/>
      <c r="U318" s="4383"/>
      <c r="V318" s="4383"/>
      <c r="W318" s="4384"/>
      <c r="X318" s="2374"/>
      <c r="Y318" s="2776"/>
      <c r="Z318" s="2777"/>
      <c r="AA318" s="2398"/>
      <c r="AB318" s="2398"/>
    </row>
    <row r="319" spans="1:28">
      <c r="A319" s="1458"/>
      <c r="B319" s="1458"/>
      <c r="C319" s="2346"/>
      <c r="D319" s="3678" t="s">
        <v>1344</v>
      </c>
      <c r="E319" s="1610"/>
      <c r="F319" s="1610"/>
      <c r="G319" s="1610"/>
      <c r="H319" s="1610"/>
      <c r="I319" s="3679"/>
      <c r="J319" s="1569"/>
      <c r="K319" s="1569"/>
      <c r="L319" s="1639"/>
      <c r="M319" s="1569"/>
      <c r="N319" s="1598"/>
      <c r="O319" s="1598"/>
      <c r="P319" s="4382" t="s">
        <v>1354</v>
      </c>
      <c r="Q319" s="4383"/>
      <c r="R319" s="4383"/>
      <c r="S319" s="4383"/>
      <c r="T319" s="4383"/>
      <c r="U319" s="4383"/>
      <c r="V319" s="4383"/>
      <c r="W319" s="4384"/>
      <c r="X319" s="2374"/>
      <c r="Y319" s="2776"/>
      <c r="Z319" s="2777"/>
      <c r="AA319" s="2398"/>
      <c r="AB319" s="2398"/>
    </row>
    <row r="320" spans="1:28">
      <c r="A320" s="1458"/>
      <c r="B320" s="1458"/>
      <c r="C320" s="2346"/>
      <c r="D320" s="3678" t="s">
        <v>1345</v>
      </c>
      <c r="E320" s="1610"/>
      <c r="F320" s="1610"/>
      <c r="G320" s="1610"/>
      <c r="H320" s="1610"/>
      <c r="I320" s="3679"/>
      <c r="J320" s="1569"/>
      <c r="K320" s="1569"/>
      <c r="L320" s="1639"/>
      <c r="M320" s="1569"/>
      <c r="N320" s="1598"/>
      <c r="O320" s="1598"/>
      <c r="P320" s="4385"/>
      <c r="Q320" s="4386"/>
      <c r="R320" s="4386"/>
      <c r="S320" s="4386"/>
      <c r="T320" s="4386"/>
      <c r="U320" s="4386"/>
      <c r="V320" s="4386"/>
      <c r="W320" s="4387"/>
      <c r="X320" s="2374"/>
      <c r="Y320" s="2776"/>
      <c r="Z320" s="2777"/>
      <c r="AA320" s="2398"/>
      <c r="AB320" s="2398"/>
    </row>
    <row r="321" spans="1:64">
      <c r="A321" s="1458"/>
      <c r="B321" s="1458"/>
      <c r="C321" s="2346"/>
      <c r="D321" s="3678" t="s">
        <v>1346</v>
      </c>
      <c r="E321" s="1610"/>
      <c r="F321" s="1610"/>
      <c r="G321" s="1610"/>
      <c r="H321" s="1610"/>
      <c r="I321" s="3679"/>
      <c r="J321" s="1569"/>
      <c r="K321" s="1569"/>
      <c r="L321" s="1639"/>
      <c r="M321" s="1569"/>
      <c r="N321" s="1598"/>
      <c r="O321" s="1598"/>
      <c r="P321" s="2169" t="s">
        <v>2544</v>
      </c>
      <c r="Q321" s="2170"/>
      <c r="R321" s="2170"/>
      <c r="S321" s="2170"/>
      <c r="T321" s="2170"/>
      <c r="U321" s="2170"/>
      <c r="V321" s="2170"/>
      <c r="W321" s="2171"/>
      <c r="X321" s="2374"/>
      <c r="Y321" s="2776"/>
      <c r="Z321" s="2777"/>
      <c r="AA321" s="2398"/>
      <c r="AB321" s="2398"/>
    </row>
    <row r="322" spans="1:64">
      <c r="A322" s="1458"/>
      <c r="B322" s="1458"/>
      <c r="C322" s="2346"/>
      <c r="D322" s="4312" t="s">
        <v>1347</v>
      </c>
      <c r="E322" s="4313"/>
      <c r="F322" s="4313"/>
      <c r="G322" s="4313"/>
      <c r="H322" s="4313"/>
      <c r="I322" s="4314"/>
      <c r="J322" s="1569"/>
      <c r="K322" s="1569"/>
      <c r="L322" s="1639"/>
      <c r="M322" s="1569"/>
      <c r="N322" s="1598"/>
      <c r="O322" s="1621"/>
      <c r="P322" s="1635" t="s">
        <v>1350</v>
      </c>
      <c r="Q322" s="1564"/>
      <c r="R322" s="1564"/>
      <c r="S322" s="1564"/>
      <c r="T322" s="1564"/>
      <c r="U322" s="1564"/>
      <c r="V322" s="1564"/>
      <c r="W322" s="1640"/>
      <c r="X322" s="2374"/>
      <c r="Y322" s="2776"/>
      <c r="Z322" s="2777"/>
      <c r="AA322" s="2398"/>
      <c r="AB322" s="2398"/>
    </row>
    <row r="323" spans="1:64">
      <c r="A323" s="1458"/>
      <c r="B323" s="1458"/>
      <c r="C323" s="2346"/>
      <c r="D323" s="4312"/>
      <c r="E323" s="4313"/>
      <c r="F323" s="4313"/>
      <c r="G323" s="4313"/>
      <c r="H323" s="4313"/>
      <c r="I323" s="4314"/>
      <c r="J323" s="1569"/>
      <c r="K323" s="1569"/>
      <c r="L323" s="1639"/>
      <c r="M323" s="1569"/>
      <c r="N323" s="1598"/>
      <c r="O323" s="1621"/>
      <c r="P323" s="1635" t="s">
        <v>1351</v>
      </c>
      <c r="Q323" s="1564"/>
      <c r="R323" s="1564"/>
      <c r="S323" s="1564"/>
      <c r="T323" s="1564"/>
      <c r="U323" s="1564"/>
      <c r="V323" s="1564"/>
      <c r="W323" s="1640"/>
      <c r="X323" s="2374"/>
      <c r="Y323" s="2776"/>
      <c r="Z323" s="2777"/>
      <c r="AA323" s="2398"/>
      <c r="AB323" s="2398"/>
    </row>
    <row r="324" spans="1:64">
      <c r="A324" s="1458"/>
      <c r="B324" s="1458"/>
      <c r="C324" s="2346"/>
      <c r="D324" s="3678" t="s">
        <v>1348</v>
      </c>
      <c r="E324" s="1610"/>
      <c r="F324" s="1610"/>
      <c r="G324" s="1610"/>
      <c r="H324" s="1610"/>
      <c r="I324" s="3679"/>
      <c r="J324" s="1569"/>
      <c r="K324" s="1569"/>
      <c r="L324" s="1639"/>
      <c r="M324" s="1569"/>
      <c r="N324" s="1598"/>
      <c r="O324" s="1621"/>
      <c r="P324" s="4382" t="s">
        <v>1358</v>
      </c>
      <c r="Q324" s="4383"/>
      <c r="R324" s="4383"/>
      <c r="S324" s="4383"/>
      <c r="T324" s="4383"/>
      <c r="U324" s="4383"/>
      <c r="V324" s="4383"/>
      <c r="W324" s="4384"/>
      <c r="X324" s="2374"/>
      <c r="Y324" s="2776"/>
      <c r="Z324" s="2777"/>
      <c r="AA324" s="2398"/>
      <c r="AB324" s="2398"/>
    </row>
    <row r="325" spans="1:64">
      <c r="A325" s="1458"/>
      <c r="B325" s="1458"/>
      <c r="C325" s="2346"/>
      <c r="D325" s="3680" t="s">
        <v>1349</v>
      </c>
      <c r="E325" s="1693"/>
      <c r="F325" s="1693"/>
      <c r="G325" s="1693"/>
      <c r="H325" s="1693"/>
      <c r="I325" s="3681"/>
      <c r="J325" s="1621"/>
      <c r="K325" s="1621"/>
      <c r="L325" s="1596"/>
      <c r="M325" s="1621"/>
      <c r="N325" s="1621"/>
      <c r="O325" s="1621"/>
      <c r="P325" s="4385"/>
      <c r="Q325" s="4386"/>
      <c r="R325" s="4386"/>
      <c r="S325" s="4386"/>
      <c r="T325" s="4386"/>
      <c r="U325" s="4386"/>
      <c r="V325" s="4386"/>
      <c r="W325" s="4387"/>
      <c r="X325" s="2374"/>
      <c r="Y325" s="2776"/>
      <c r="Z325" s="2777"/>
      <c r="AA325" s="2398"/>
      <c r="AB325" s="2398"/>
    </row>
    <row r="326" spans="1:64">
      <c r="A326" s="1458"/>
      <c r="B326" s="1458"/>
      <c r="C326" s="2346"/>
      <c r="D326" s="1983"/>
      <c r="E326" s="1985"/>
      <c r="F326" s="1985"/>
      <c r="G326" s="1985"/>
      <c r="H326" s="1985"/>
      <c r="I326" s="1985"/>
      <c r="J326" s="1983"/>
      <c r="K326" s="1983"/>
      <c r="L326" s="1596"/>
      <c r="M326" s="1983"/>
      <c r="N326" s="1983"/>
      <c r="O326" s="1983"/>
      <c r="P326" s="1990"/>
      <c r="Q326" s="1990"/>
      <c r="R326" s="1990"/>
      <c r="S326" s="1990"/>
      <c r="T326" s="1990"/>
      <c r="U326" s="1990"/>
      <c r="V326" s="1990"/>
      <c r="W326" s="1990"/>
      <c r="X326" s="2374"/>
      <c r="Y326" s="2776"/>
      <c r="Z326" s="2777"/>
      <c r="AA326" s="2398"/>
      <c r="AB326" s="2398"/>
    </row>
    <row r="327" spans="1:64">
      <c r="A327" s="1458"/>
      <c r="B327" s="1458"/>
      <c r="C327" s="2346"/>
      <c r="D327" s="3403" t="s">
        <v>1556</v>
      </c>
      <c r="E327" s="1985"/>
      <c r="F327" s="1985"/>
      <c r="G327" s="1985"/>
      <c r="H327" s="1985"/>
      <c r="I327" s="1985"/>
      <c r="J327" s="1983"/>
      <c r="K327" s="92"/>
      <c r="L327" s="1596"/>
      <c r="M327" s="1983"/>
      <c r="N327" s="1983"/>
      <c r="O327" s="1983"/>
      <c r="P327" s="1990"/>
      <c r="Q327" s="1990"/>
      <c r="R327" s="1990"/>
      <c r="S327" s="1990"/>
      <c r="T327" s="1990"/>
      <c r="U327" s="1990"/>
      <c r="V327" s="1990"/>
      <c r="W327" s="1990"/>
      <c r="X327" s="2374"/>
      <c r="Y327" s="2776"/>
      <c r="Z327" s="2777"/>
      <c r="AA327" s="2398"/>
      <c r="AB327" s="2398"/>
    </row>
    <row r="328" spans="1:64">
      <c r="A328" s="1458"/>
      <c r="B328" s="1458"/>
      <c r="C328" s="2346"/>
      <c r="D328" s="1545" t="s">
        <v>2545</v>
      </c>
      <c r="E328" s="2269"/>
      <c r="F328" s="2269"/>
      <c r="G328" s="2269"/>
      <c r="H328" s="2269"/>
      <c r="I328" s="2269"/>
      <c r="J328" s="2271"/>
      <c r="K328" s="2271"/>
      <c r="L328" s="1596"/>
      <c r="M328" s="2271"/>
      <c r="N328" s="2271"/>
      <c r="O328" s="2271"/>
      <c r="P328" s="2273"/>
      <c r="Q328" s="2273"/>
      <c r="R328" s="2273"/>
      <c r="S328" s="2273"/>
      <c r="T328" s="2273"/>
      <c r="U328" s="2273"/>
      <c r="V328" s="2273"/>
      <c r="W328" s="2273"/>
      <c r="X328" s="2374"/>
      <c r="Y328" s="2776"/>
      <c r="Z328" s="2777"/>
      <c r="AA328" s="2398"/>
      <c r="AB328" s="2398"/>
    </row>
    <row r="329" spans="1:64">
      <c r="A329" s="1458"/>
      <c r="B329" s="1458"/>
      <c r="C329" s="2346"/>
      <c r="D329" s="3682" t="s">
        <v>1561</v>
      </c>
      <c r="E329" s="1985"/>
      <c r="F329" s="1985"/>
      <c r="G329" s="1985"/>
      <c r="H329" s="1985"/>
      <c r="I329" s="1985"/>
      <c r="J329" s="1983"/>
      <c r="K329" s="1983"/>
      <c r="L329" s="1596"/>
      <c r="M329" s="1983"/>
      <c r="N329" s="1983"/>
      <c r="O329" s="1983"/>
      <c r="P329" s="1990"/>
      <c r="Q329" s="2017" t="s">
        <v>1565</v>
      </c>
      <c r="R329" s="1990"/>
      <c r="S329" s="1990"/>
      <c r="T329" s="1990"/>
      <c r="U329" s="1990"/>
      <c r="V329" s="1990"/>
      <c r="W329" s="1990"/>
      <c r="X329" s="2374"/>
      <c r="Y329" s="2776"/>
      <c r="Z329" s="2777"/>
      <c r="AA329" s="2398"/>
      <c r="AB329" s="2398"/>
    </row>
    <row r="330" spans="1:64" ht="13.15" customHeight="1">
      <c r="A330" s="1458"/>
      <c r="B330" s="1458"/>
      <c r="C330" s="2346"/>
      <c r="D330" s="3683" t="s">
        <v>1560</v>
      </c>
      <c r="E330" s="1985"/>
      <c r="F330" s="1985"/>
      <c r="G330" s="1985"/>
      <c r="H330" s="2018" t="s">
        <v>2547</v>
      </c>
      <c r="I330" s="2018"/>
      <c r="J330" s="2018"/>
      <c r="K330" s="2018"/>
      <c r="L330" s="2018"/>
      <c r="M330" s="1983"/>
      <c r="N330" s="1983"/>
      <c r="O330" s="1983"/>
      <c r="P330" s="1990"/>
      <c r="Q330" s="2017" t="s">
        <v>1562</v>
      </c>
      <c r="R330" s="1990"/>
      <c r="S330" s="1990"/>
      <c r="T330" s="1990"/>
      <c r="U330" s="1990"/>
      <c r="V330" s="1990"/>
      <c r="W330" s="1990"/>
      <c r="X330" s="2374"/>
      <c r="Y330" s="2776"/>
      <c r="Z330" s="2777"/>
      <c r="AA330" s="2398"/>
      <c r="AB330" s="2398"/>
    </row>
    <row r="331" spans="1:64">
      <c r="A331" s="1458"/>
      <c r="B331" s="1458"/>
      <c r="C331" s="2346"/>
      <c r="D331" s="3682" t="s">
        <v>1559</v>
      </c>
      <c r="E331" s="1985"/>
      <c r="F331" s="1985"/>
      <c r="G331" s="1985"/>
      <c r="H331" s="2018"/>
      <c r="I331" s="2018"/>
      <c r="J331" s="2018"/>
      <c r="K331" s="2018"/>
      <c r="L331" s="2018"/>
      <c r="M331" s="1983"/>
      <c r="N331" s="1983"/>
      <c r="O331" s="1983"/>
      <c r="P331" s="1990"/>
      <c r="Q331" s="2017" t="s">
        <v>1566</v>
      </c>
      <c r="R331" s="1990"/>
      <c r="S331" s="1990"/>
      <c r="T331" s="1990"/>
      <c r="U331" s="1990"/>
      <c r="V331" s="1990"/>
      <c r="W331" s="1990"/>
      <c r="X331" s="2374"/>
      <c r="Y331" s="2776"/>
      <c r="Z331" s="2777"/>
      <c r="AA331" s="2398"/>
      <c r="AB331" s="2398"/>
    </row>
    <row r="332" spans="1:64">
      <c r="A332" s="1458"/>
      <c r="B332" s="1458"/>
      <c r="C332" s="2346"/>
      <c r="D332" s="3682" t="s">
        <v>1564</v>
      </c>
      <c r="E332" s="1985"/>
      <c r="F332" s="3407" t="s">
        <v>2546</v>
      </c>
      <c r="G332" s="1983"/>
      <c r="H332" s="1983"/>
      <c r="I332" s="1983"/>
      <c r="J332" s="2017" t="s">
        <v>1563</v>
      </c>
      <c r="K332" s="1985"/>
      <c r="L332" s="1482"/>
      <c r="M332" s="1482"/>
      <c r="N332" s="1482"/>
      <c r="O332" s="1482"/>
      <c r="P332" s="2009"/>
      <c r="Q332" s="1985"/>
      <c r="R332" s="1983"/>
      <c r="S332" s="1983"/>
      <c r="T332" s="92"/>
      <c r="U332" s="1983"/>
      <c r="V332" s="1983"/>
      <c r="W332" s="1990"/>
      <c r="X332" s="2374"/>
      <c r="Y332" s="2776"/>
      <c r="Z332" s="2777"/>
      <c r="AA332" s="2398"/>
      <c r="AB332" s="2398"/>
    </row>
    <row r="333" spans="1:64">
      <c r="A333" s="1458"/>
      <c r="B333" s="1458"/>
      <c r="C333" s="2346"/>
      <c r="D333" s="2016"/>
      <c r="E333" s="1985"/>
      <c r="F333" s="1983"/>
      <c r="G333" s="1983"/>
      <c r="H333" s="1983"/>
      <c r="I333" s="1983"/>
      <c r="J333" s="2017" t="s">
        <v>1567</v>
      </c>
      <c r="K333" s="1985"/>
      <c r="L333" s="1482"/>
      <c r="M333" s="1482"/>
      <c r="N333" s="1482"/>
      <c r="O333" s="1482"/>
      <c r="P333" s="2009"/>
      <c r="Q333" s="1608"/>
      <c r="R333" s="1983"/>
      <c r="S333" s="1983"/>
      <c r="T333" s="1990"/>
      <c r="U333" s="1983"/>
      <c r="V333" s="1983"/>
      <c r="W333" s="1990"/>
      <c r="X333" s="2374"/>
      <c r="Y333" s="2776"/>
      <c r="Z333" s="2777"/>
      <c r="AA333" s="2398"/>
      <c r="AB333" s="2398"/>
    </row>
    <row r="334" spans="1:64">
      <c r="A334" s="1458"/>
      <c r="B334" s="1458"/>
      <c r="C334" s="2346"/>
      <c r="D334" s="1983"/>
      <c r="E334" s="1834"/>
      <c r="F334" s="1834"/>
      <c r="G334" s="1834"/>
      <c r="H334" s="1834"/>
      <c r="I334" s="1834"/>
      <c r="J334" s="1831"/>
      <c r="K334" s="1831"/>
      <c r="L334" s="1596"/>
      <c r="M334" s="1831"/>
      <c r="N334" s="1831"/>
      <c r="O334" s="1831"/>
      <c r="P334" s="1836"/>
      <c r="Q334" s="1836"/>
      <c r="R334" s="1836"/>
      <c r="S334" s="1836"/>
      <c r="T334" s="1836"/>
      <c r="U334" s="1836"/>
      <c r="V334" s="1836"/>
      <c r="W334" s="1836"/>
      <c r="X334" s="2374"/>
      <c r="Y334" s="2776"/>
      <c r="Z334" s="2777"/>
      <c r="AA334" s="2398"/>
      <c r="AB334" s="2398"/>
    </row>
    <row r="335" spans="1:64" s="2398" customFormat="1" ht="3.75" customHeight="1">
      <c r="A335" s="2766"/>
      <c r="C335" s="2399"/>
      <c r="D335" s="2767"/>
      <c r="E335" s="2399"/>
      <c r="F335" s="2399"/>
      <c r="G335" s="2399"/>
      <c r="H335" s="2399"/>
      <c r="I335" s="2399"/>
      <c r="J335" s="2399"/>
      <c r="K335" s="2399"/>
      <c r="L335" s="2399"/>
      <c r="M335" s="2399"/>
      <c r="N335" s="2399"/>
      <c r="O335" s="2399"/>
      <c r="P335" s="2399"/>
      <c r="Q335" s="2746"/>
      <c r="R335" s="2497"/>
      <c r="S335" s="2399"/>
      <c r="T335" s="2399"/>
      <c r="U335" s="2399"/>
      <c r="V335" s="2399"/>
      <c r="W335" s="2399"/>
      <c r="X335" s="2399"/>
      <c r="Y335" s="2399"/>
      <c r="AF335" s="2399"/>
      <c r="AG335" s="2399"/>
      <c r="BL335" s="2399"/>
    </row>
    <row r="336" spans="1:64" s="2398" customFormat="1" ht="3.75" customHeight="1">
      <c r="A336" s="2766"/>
      <c r="B336" s="1160"/>
      <c r="C336" s="2394"/>
      <c r="D336" s="3690"/>
      <c r="E336" s="3689"/>
      <c r="F336" s="3689"/>
      <c r="G336" s="3689"/>
      <c r="H336" s="3689"/>
      <c r="I336" s="3689"/>
      <c r="J336" s="3689"/>
      <c r="K336" s="3689"/>
      <c r="L336" s="3689"/>
      <c r="M336" s="3689"/>
      <c r="N336" s="3689"/>
      <c r="O336" s="3689"/>
      <c r="P336" s="3689"/>
      <c r="Q336" s="3691"/>
      <c r="R336" s="3692"/>
      <c r="S336" s="3689"/>
      <c r="T336" s="3689"/>
      <c r="U336" s="3689"/>
      <c r="V336" s="3689"/>
      <c r="W336" s="3689"/>
      <c r="X336" s="2399"/>
      <c r="Y336" s="2399"/>
      <c r="AF336" s="2399"/>
      <c r="AG336" s="2399"/>
      <c r="BL336" s="2399"/>
    </row>
    <row r="337" spans="1:64">
      <c r="A337" s="2775"/>
      <c r="B337" s="2395" t="s">
        <v>2548</v>
      </c>
      <c r="C337" s="2394"/>
      <c r="D337" s="4338" t="s">
        <v>2549</v>
      </c>
      <c r="E337" s="4338"/>
      <c r="F337" s="4338"/>
      <c r="G337" s="4338"/>
      <c r="H337" s="4338"/>
      <c r="I337" s="4338"/>
      <c r="J337" s="4338"/>
      <c r="K337" s="4338"/>
      <c r="L337" s="4338"/>
      <c r="M337" s="4338"/>
      <c r="N337" s="4338"/>
      <c r="O337" s="4338"/>
      <c r="P337" s="4338"/>
      <c r="Q337" s="4338"/>
      <c r="R337" s="4338"/>
      <c r="S337" s="4338"/>
      <c r="T337" s="4338"/>
      <c r="U337" s="4338"/>
      <c r="V337" s="4338"/>
      <c r="W337" s="4338"/>
      <c r="X337" s="2374"/>
      <c r="Y337" s="3687"/>
      <c r="Z337" s="3687"/>
      <c r="AA337" s="3687"/>
      <c r="AB337" s="3687"/>
    </row>
    <row r="338" spans="1:64">
      <c r="A338" s="2775"/>
      <c r="B338" s="2396"/>
      <c r="C338" s="2394"/>
      <c r="D338" s="4338"/>
      <c r="E338" s="4338"/>
      <c r="F338" s="4338"/>
      <c r="G338" s="4338"/>
      <c r="H338" s="4338"/>
      <c r="I338" s="4338"/>
      <c r="J338" s="4338"/>
      <c r="K338" s="4338"/>
      <c r="L338" s="4338"/>
      <c r="M338" s="4338"/>
      <c r="N338" s="4338"/>
      <c r="O338" s="4338"/>
      <c r="P338" s="4338"/>
      <c r="Q338" s="4338"/>
      <c r="R338" s="4338"/>
      <c r="S338" s="4338"/>
      <c r="T338" s="4338"/>
      <c r="U338" s="4338"/>
      <c r="V338" s="4338"/>
      <c r="W338" s="4338"/>
      <c r="X338" s="2374"/>
      <c r="Y338" s="3687"/>
      <c r="Z338" s="3687"/>
      <c r="AA338" s="3687"/>
      <c r="AB338" s="3687"/>
    </row>
    <row r="339" spans="1:64">
      <c r="A339" s="2775"/>
      <c r="B339" s="2396"/>
      <c r="C339" s="2394"/>
      <c r="D339" s="3685" t="s">
        <v>2550</v>
      </c>
      <c r="E339" s="3684"/>
      <c r="F339" s="3684"/>
      <c r="G339" s="3684"/>
      <c r="H339" s="3684"/>
      <c r="I339" s="3684"/>
      <c r="J339" s="3684"/>
      <c r="K339" s="3684"/>
      <c r="L339" s="3684"/>
      <c r="M339" s="3684"/>
      <c r="N339" s="3684"/>
      <c r="O339" s="3684"/>
      <c r="P339" s="3684"/>
      <c r="Q339" s="3684"/>
      <c r="R339" s="3684"/>
      <c r="S339" s="3684"/>
      <c r="T339" s="3684"/>
      <c r="U339" s="3684"/>
      <c r="V339" s="3684"/>
      <c r="W339" s="3684"/>
      <c r="X339" s="2374"/>
      <c r="Y339" s="3688"/>
      <c r="Z339" s="3688"/>
      <c r="AA339" s="3688"/>
      <c r="AB339" s="3688"/>
    </row>
    <row r="340" spans="1:64" s="2398" customFormat="1" ht="3.75" customHeight="1">
      <c r="A340" s="2766"/>
      <c r="B340" s="1160"/>
      <c r="C340" s="2394"/>
      <c r="D340" s="3690"/>
      <c r="E340" s="3689"/>
      <c r="F340" s="3689"/>
      <c r="G340" s="3689"/>
      <c r="H340" s="3689"/>
      <c r="I340" s="3689"/>
      <c r="J340" s="3689"/>
      <c r="K340" s="3689"/>
      <c r="L340" s="3689"/>
      <c r="M340" s="3689"/>
      <c r="N340" s="3689"/>
      <c r="O340" s="3689"/>
      <c r="P340" s="3689"/>
      <c r="Q340" s="3691"/>
      <c r="R340" s="3692"/>
      <c r="S340" s="3689"/>
      <c r="T340" s="3689"/>
      <c r="U340" s="3689"/>
      <c r="V340" s="3689"/>
      <c r="W340" s="3689"/>
      <c r="X340" s="2399"/>
      <c r="Y340" s="2399"/>
      <c r="AF340" s="2399"/>
      <c r="AG340" s="2399"/>
      <c r="BL340" s="2399"/>
    </row>
    <row r="341" spans="1:64" s="2398" customFormat="1" ht="3.75" customHeight="1">
      <c r="A341" s="2766"/>
      <c r="C341" s="2399"/>
      <c r="D341" s="2767"/>
      <c r="E341" s="2399"/>
      <c r="F341" s="2399"/>
      <c r="G341" s="2399"/>
      <c r="H341" s="2399"/>
      <c r="I341" s="2399"/>
      <c r="J341" s="2399"/>
      <c r="K341" s="2399"/>
      <c r="L341" s="2399"/>
      <c r="M341" s="2399"/>
      <c r="N341" s="2399"/>
      <c r="O341" s="2399"/>
      <c r="P341" s="2399"/>
      <c r="Q341" s="2746"/>
      <c r="R341" s="2497"/>
      <c r="S341" s="2399"/>
      <c r="T341" s="2399"/>
      <c r="U341" s="2399"/>
      <c r="V341" s="2399"/>
      <c r="W341" s="2399"/>
      <c r="X341" s="2399"/>
      <c r="Y341" s="2399"/>
      <c r="AF341" s="2399"/>
      <c r="AG341" s="2399"/>
      <c r="BL341" s="2399"/>
    </row>
    <row r="342" spans="1:64" ht="13.15" customHeight="1">
      <c r="A342" s="1458"/>
      <c r="B342" s="4277" t="s">
        <v>2557</v>
      </c>
      <c r="C342" s="3694"/>
      <c r="D342" s="4406" t="s">
        <v>2558</v>
      </c>
      <c r="E342" s="4406"/>
      <c r="F342" s="4406"/>
      <c r="G342" s="4406"/>
      <c r="H342" s="4406"/>
      <c r="I342" s="4406"/>
      <c r="J342" s="4406"/>
      <c r="K342" s="4406"/>
      <c r="L342" s="4406"/>
      <c r="M342" s="4406"/>
      <c r="N342" s="4406"/>
      <c r="O342" s="4406"/>
      <c r="P342" s="4406"/>
      <c r="Q342" s="4406"/>
      <c r="R342" s="4406"/>
      <c r="S342" s="4406"/>
      <c r="T342" s="4406"/>
      <c r="U342" s="4406"/>
      <c r="V342" s="4406"/>
      <c r="W342" s="4406"/>
      <c r="X342" s="2374"/>
      <c r="Y342" s="2776"/>
      <c r="Z342" s="2777"/>
      <c r="AA342" s="2398"/>
      <c r="AB342" s="2398"/>
    </row>
    <row r="343" spans="1:64">
      <c r="A343" s="1458"/>
      <c r="B343" s="4278"/>
      <c r="C343" s="3694"/>
      <c r="D343" s="4281"/>
      <c r="E343" s="4281"/>
      <c r="F343" s="4281"/>
      <c r="G343" s="4281"/>
      <c r="H343" s="4281"/>
      <c r="I343" s="4281"/>
      <c r="J343" s="4281"/>
      <c r="K343" s="4281"/>
      <c r="L343" s="4281"/>
      <c r="M343" s="4281"/>
      <c r="N343" s="4281"/>
      <c r="O343" s="4281"/>
      <c r="P343" s="4281"/>
      <c r="Q343" s="4281"/>
      <c r="R343" s="4281"/>
      <c r="S343" s="4281"/>
      <c r="T343" s="4281"/>
      <c r="U343" s="4281"/>
      <c r="V343" s="4281"/>
      <c r="W343" s="4281"/>
      <c r="X343" s="2374"/>
      <c r="Y343" s="3762"/>
      <c r="Z343" s="3763"/>
      <c r="AA343" s="3763"/>
      <c r="AB343" s="2398"/>
    </row>
    <row r="344" spans="1:64">
      <c r="A344" s="1458"/>
      <c r="B344" s="4278"/>
      <c r="C344" s="3694"/>
      <c r="D344" s="3695"/>
      <c r="E344" s="3695"/>
      <c r="F344" s="3695"/>
      <c r="G344" s="3695"/>
      <c r="H344" s="3695"/>
      <c r="I344" s="3695"/>
      <c r="J344" s="3695"/>
      <c r="K344" s="3695"/>
      <c r="L344" s="3695"/>
      <c r="M344" s="3695"/>
      <c r="N344" s="3695"/>
      <c r="O344" s="3695"/>
      <c r="P344" s="3695"/>
      <c r="Q344" s="3695"/>
      <c r="R344" s="3695"/>
      <c r="S344" s="3695"/>
      <c r="T344" s="3695"/>
      <c r="U344" s="3695"/>
      <c r="V344" s="3695"/>
      <c r="W344" s="3695"/>
      <c r="X344" s="2374"/>
      <c r="Y344" s="2776"/>
      <c r="Z344" s="2777"/>
      <c r="AA344" s="2398"/>
      <c r="AB344" s="2398"/>
    </row>
    <row r="345" spans="1:64">
      <c r="A345" s="1458"/>
      <c r="B345" s="4278"/>
      <c r="C345" s="3694"/>
      <c r="D345" s="3696" t="s">
        <v>2559</v>
      </c>
      <c r="E345" s="3697"/>
      <c r="F345" s="3697"/>
      <c r="G345" s="3697"/>
      <c r="H345" s="3697"/>
      <c r="I345" s="3697"/>
      <c r="J345" s="3697"/>
      <c r="K345" s="3697"/>
      <c r="L345" s="3697"/>
      <c r="M345" s="3697"/>
      <c r="N345" s="3697"/>
      <c r="O345" s="3697"/>
      <c r="P345" s="3697"/>
      <c r="Q345" s="3697"/>
      <c r="R345" s="3697"/>
      <c r="S345" s="3697"/>
      <c r="T345" s="3697"/>
      <c r="U345" s="3697"/>
      <c r="V345" s="3697"/>
      <c r="W345" s="3697"/>
      <c r="X345" s="2374"/>
      <c r="Y345" s="2776"/>
      <c r="Z345" s="2777"/>
      <c r="AA345" s="2398"/>
      <c r="AB345" s="2398"/>
    </row>
    <row r="346" spans="1:64">
      <c r="A346" s="1458"/>
      <c r="B346" s="3698"/>
      <c r="C346" s="3694"/>
      <c r="D346" s="3699" t="s">
        <v>1883</v>
      </c>
      <c r="E346" s="3696"/>
      <c r="F346" s="3696"/>
      <c r="G346" s="3696"/>
      <c r="H346" s="3696"/>
      <c r="I346" s="3696"/>
      <c r="J346" s="3696"/>
      <c r="K346" s="3696"/>
      <c r="L346" s="3696"/>
      <c r="M346" s="3696"/>
      <c r="N346" s="3696"/>
      <c r="O346" s="3696"/>
      <c r="P346" s="3696"/>
      <c r="Q346" s="3696"/>
      <c r="R346" s="3696"/>
      <c r="S346" s="3696"/>
      <c r="T346" s="3696"/>
      <c r="U346" s="3696"/>
      <c r="V346" s="3696"/>
      <c r="W346" s="3696"/>
      <c r="X346" s="2374"/>
      <c r="Y346" s="1135"/>
      <c r="Z346" s="1089"/>
      <c r="AA346" s="1992"/>
      <c r="AB346" s="1992"/>
    </row>
    <row r="347" spans="1:64" ht="13.15" customHeight="1">
      <c r="A347" s="1458"/>
      <c r="B347" s="3698"/>
      <c r="C347" s="3694"/>
      <c r="D347" s="4283" t="s">
        <v>2560</v>
      </c>
      <c r="E347" s="4283"/>
      <c r="F347" s="4283"/>
      <c r="G347" s="4283"/>
      <c r="H347" s="4283"/>
      <c r="I347" s="4283"/>
      <c r="J347" s="4283"/>
      <c r="K347" s="4283"/>
      <c r="L347" s="4283"/>
      <c r="M347" s="4283"/>
      <c r="N347" s="4283"/>
      <c r="O347" s="4283"/>
      <c r="P347" s="4283"/>
      <c r="Q347" s="4283"/>
      <c r="R347" s="4283"/>
      <c r="S347" s="4283"/>
      <c r="T347" s="4283"/>
      <c r="U347" s="4283"/>
      <c r="V347" s="4283"/>
      <c r="W347" s="4283"/>
      <c r="X347" s="2374"/>
      <c r="Y347" s="3494" t="s">
        <v>1543</v>
      </c>
      <c r="Z347" s="1089"/>
      <c r="AA347" s="1992"/>
      <c r="AB347" s="1992"/>
    </row>
    <row r="348" spans="1:64">
      <c r="A348" s="1458"/>
      <c r="B348" s="3698"/>
      <c r="C348" s="3694"/>
      <c r="D348" s="4283"/>
      <c r="E348" s="4283"/>
      <c r="F348" s="4283"/>
      <c r="G348" s="4283"/>
      <c r="H348" s="4283"/>
      <c r="I348" s="4283"/>
      <c r="J348" s="4283"/>
      <c r="K348" s="4283"/>
      <c r="L348" s="4283"/>
      <c r="M348" s="4283"/>
      <c r="N348" s="4283"/>
      <c r="O348" s="4283"/>
      <c r="P348" s="4283"/>
      <c r="Q348" s="4283"/>
      <c r="R348" s="4283"/>
      <c r="S348" s="4283"/>
      <c r="T348" s="4283"/>
      <c r="U348" s="4283"/>
      <c r="V348" s="4283"/>
      <c r="W348" s="4283"/>
      <c r="X348" s="2374"/>
      <c r="Y348" s="3492"/>
      <c r="Z348" s="1089"/>
      <c r="AA348" s="1992"/>
      <c r="AB348" s="1992"/>
    </row>
    <row r="349" spans="1:64">
      <c r="A349" s="1458"/>
      <c r="B349" s="3698"/>
      <c r="C349" s="3694"/>
      <c r="D349" s="4283" t="s">
        <v>1598</v>
      </c>
      <c r="E349" s="4283"/>
      <c r="F349" s="4283"/>
      <c r="G349" s="4283"/>
      <c r="H349" s="4283"/>
      <c r="I349" s="4283"/>
      <c r="J349" s="4283"/>
      <c r="K349" s="4283"/>
      <c r="L349" s="4283"/>
      <c r="M349" s="4283"/>
      <c r="N349" s="4283"/>
      <c r="O349" s="4283"/>
      <c r="P349" s="4283"/>
      <c r="Q349" s="4283"/>
      <c r="R349" s="4283"/>
      <c r="S349" s="4283"/>
      <c r="T349" s="4283"/>
      <c r="U349" s="4283"/>
      <c r="V349" s="4283"/>
      <c r="W349" s="4283"/>
      <c r="X349" s="2374"/>
      <c r="Y349" s="3488"/>
      <c r="Z349" s="2777"/>
      <c r="AA349" s="2398"/>
      <c r="AB349" s="2398"/>
    </row>
    <row r="350" spans="1:64">
      <c r="A350" s="1458"/>
      <c r="B350" s="3698"/>
      <c r="C350" s="3694"/>
      <c r="D350" s="4283"/>
      <c r="E350" s="4283"/>
      <c r="F350" s="4283"/>
      <c r="G350" s="4283"/>
      <c r="H350" s="4283"/>
      <c r="I350" s="4283"/>
      <c r="J350" s="4283"/>
      <c r="K350" s="4283"/>
      <c r="L350" s="4283"/>
      <c r="M350" s="4283"/>
      <c r="N350" s="4283"/>
      <c r="O350" s="4283"/>
      <c r="P350" s="4283"/>
      <c r="Q350" s="4283"/>
      <c r="R350" s="4283"/>
      <c r="S350" s="4283"/>
      <c r="T350" s="4283"/>
      <c r="U350" s="4283"/>
      <c r="V350" s="4283"/>
      <c r="W350" s="4283"/>
      <c r="X350" s="2374"/>
      <c r="Y350" s="3764"/>
      <c r="Z350" s="2777"/>
      <c r="AA350" s="2398"/>
      <c r="AB350" s="2398"/>
    </row>
    <row r="351" spans="1:64">
      <c r="A351" s="1458"/>
      <c r="B351" s="3698"/>
      <c r="C351" s="3694"/>
      <c r="D351" s="4283" t="s">
        <v>1607</v>
      </c>
      <c r="E351" s="4283"/>
      <c r="F351" s="4283"/>
      <c r="G351" s="4283"/>
      <c r="H351" s="4283"/>
      <c r="I351" s="4283"/>
      <c r="J351" s="4283"/>
      <c r="K351" s="4283"/>
      <c r="L351" s="4283"/>
      <c r="M351" s="4283"/>
      <c r="N351" s="4283"/>
      <c r="O351" s="4283"/>
      <c r="P351" s="4283"/>
      <c r="Q351" s="4283"/>
      <c r="R351" s="4283"/>
      <c r="S351" s="4283"/>
      <c r="T351" s="4283"/>
      <c r="U351" s="4283"/>
      <c r="V351" s="4283"/>
      <c r="W351" s="4283"/>
      <c r="X351" s="2374"/>
      <c r="Y351" s="3764"/>
      <c r="Z351" s="2777"/>
      <c r="AA351" s="2398"/>
      <c r="AB351" s="2398"/>
    </row>
    <row r="352" spans="1:64">
      <c r="A352" s="1458"/>
      <c r="B352" s="3698"/>
      <c r="C352" s="3694"/>
      <c r="D352" s="4283"/>
      <c r="E352" s="4283"/>
      <c r="F352" s="4283"/>
      <c r="G352" s="4283"/>
      <c r="H352" s="4283"/>
      <c r="I352" s="4283"/>
      <c r="J352" s="4283"/>
      <c r="K352" s="4283"/>
      <c r="L352" s="4283"/>
      <c r="M352" s="4283"/>
      <c r="N352" s="4283"/>
      <c r="O352" s="4283"/>
      <c r="P352" s="4283"/>
      <c r="Q352" s="4283"/>
      <c r="R352" s="4283"/>
      <c r="S352" s="4283"/>
      <c r="T352" s="4283"/>
      <c r="U352" s="4283"/>
      <c r="V352" s="4283"/>
      <c r="W352" s="4283"/>
      <c r="X352" s="2374"/>
      <c r="Y352" s="3764"/>
      <c r="Z352" s="2777"/>
      <c r="AA352" s="2398"/>
      <c r="AB352" s="2398"/>
    </row>
    <row r="353" spans="1:28">
      <c r="A353" s="1458"/>
      <c r="B353" s="3698"/>
      <c r="C353" s="3694"/>
      <c r="D353" s="4283"/>
      <c r="E353" s="4283"/>
      <c r="F353" s="4283"/>
      <c r="G353" s="4283"/>
      <c r="H353" s="4283"/>
      <c r="I353" s="4283"/>
      <c r="J353" s="4283"/>
      <c r="K353" s="4283"/>
      <c r="L353" s="4283"/>
      <c r="M353" s="4283"/>
      <c r="N353" s="4283"/>
      <c r="O353" s="4283"/>
      <c r="P353" s="4283"/>
      <c r="Q353" s="4283"/>
      <c r="R353" s="4283"/>
      <c r="S353" s="4283"/>
      <c r="T353" s="4283"/>
      <c r="U353" s="4283"/>
      <c r="V353" s="4283"/>
      <c r="W353" s="4283"/>
      <c r="X353" s="2374"/>
      <c r="Y353" s="3764"/>
      <c r="Z353" s="2777"/>
      <c r="AA353" s="2398"/>
      <c r="AB353" s="2398"/>
    </row>
    <row r="354" spans="1:28">
      <c r="A354" s="1458"/>
      <c r="B354" s="3698"/>
      <c r="C354" s="3694"/>
      <c r="D354" s="3696"/>
      <c r="E354" s="3697"/>
      <c r="F354" s="3697"/>
      <c r="G354" s="3697"/>
      <c r="H354" s="3697"/>
      <c r="I354" s="3697"/>
      <c r="J354" s="3697"/>
      <c r="K354" s="3697"/>
      <c r="L354" s="3697"/>
      <c r="M354" s="3697"/>
      <c r="N354" s="3697"/>
      <c r="O354" s="3697"/>
      <c r="P354" s="3697"/>
      <c r="Q354" s="3697"/>
      <c r="R354" s="3697"/>
      <c r="S354" s="3697"/>
      <c r="T354" s="3697"/>
      <c r="U354" s="3697"/>
      <c r="V354" s="3697"/>
      <c r="W354" s="3697"/>
      <c r="X354" s="2374"/>
      <c r="Y354" s="3494"/>
      <c r="Z354" s="1089"/>
      <c r="AA354" s="1992"/>
      <c r="AB354" s="1992"/>
    </row>
    <row r="355" spans="1:28">
      <c r="A355" s="1458"/>
      <c r="B355" s="3698"/>
      <c r="C355" s="3694"/>
      <c r="D355" s="4281" t="s">
        <v>2561</v>
      </c>
      <c r="E355" s="4281"/>
      <c r="F355" s="4281"/>
      <c r="G355" s="4281"/>
      <c r="H355" s="4281"/>
      <c r="I355" s="4281"/>
      <c r="J355" s="4281"/>
      <c r="K355" s="4281"/>
      <c r="L355" s="4281"/>
      <c r="M355" s="4281"/>
      <c r="N355" s="4281"/>
      <c r="O355" s="4281"/>
      <c r="P355" s="4281"/>
      <c r="Q355" s="4281"/>
      <c r="R355" s="4281"/>
      <c r="S355" s="4281"/>
      <c r="T355" s="4281"/>
      <c r="U355" s="4281"/>
      <c r="V355" s="4281"/>
      <c r="W355" s="3697"/>
      <c r="X355" s="2374"/>
      <c r="Y355" s="3494" t="s">
        <v>2551</v>
      </c>
      <c r="Z355" s="110"/>
      <c r="AA355" s="1992"/>
      <c r="AB355" s="1992"/>
    </row>
    <row r="356" spans="1:28">
      <c r="A356" s="1458"/>
      <c r="B356" s="3698"/>
      <c r="C356" s="3694"/>
      <c r="D356" s="4281"/>
      <c r="E356" s="4281"/>
      <c r="F356" s="4281"/>
      <c r="G356" s="4281"/>
      <c r="H356" s="4281"/>
      <c r="I356" s="4281"/>
      <c r="J356" s="4281"/>
      <c r="K356" s="4281"/>
      <c r="L356" s="4281"/>
      <c r="M356" s="4281"/>
      <c r="N356" s="4281"/>
      <c r="O356" s="4281"/>
      <c r="P356" s="4281"/>
      <c r="Q356" s="4281"/>
      <c r="R356" s="4281"/>
      <c r="S356" s="4281"/>
      <c r="T356" s="4281"/>
      <c r="U356" s="4281"/>
      <c r="V356" s="4281"/>
      <c r="W356" s="3697"/>
      <c r="X356" s="2374"/>
      <c r="Y356" s="3494"/>
      <c r="Z356" s="110"/>
      <c r="AA356" s="1992"/>
      <c r="AB356" s="1992"/>
    </row>
    <row r="357" spans="1:28">
      <c r="A357" s="1458"/>
      <c r="B357" s="3698"/>
      <c r="C357" s="3694"/>
      <c r="D357" s="4283" t="s">
        <v>1599</v>
      </c>
      <c r="E357" s="4283"/>
      <c r="F357" s="4283"/>
      <c r="G357" s="4283"/>
      <c r="H357" s="4283"/>
      <c r="I357" s="4283"/>
      <c r="J357" s="4283"/>
      <c r="K357" s="4283"/>
      <c r="L357" s="4283"/>
      <c r="M357" s="4283"/>
      <c r="N357" s="4283"/>
      <c r="O357" s="4283"/>
      <c r="P357" s="4283"/>
      <c r="Q357" s="4283"/>
      <c r="R357" s="4283"/>
      <c r="S357" s="4283"/>
      <c r="T357" s="4283"/>
      <c r="U357" s="4283"/>
      <c r="V357" s="4283"/>
      <c r="W357" s="4283"/>
      <c r="X357" s="2374"/>
      <c r="Y357" s="3765"/>
      <c r="Z357" s="2839"/>
      <c r="AA357" s="2398"/>
      <c r="AB357" s="2398"/>
    </row>
    <row r="358" spans="1:28">
      <c r="A358" s="1458"/>
      <c r="B358" s="3698"/>
      <c r="C358" s="3694"/>
      <c r="D358" s="4283"/>
      <c r="E358" s="4283"/>
      <c r="F358" s="4283"/>
      <c r="G358" s="4283"/>
      <c r="H358" s="4283"/>
      <c r="I358" s="4283"/>
      <c r="J358" s="4283"/>
      <c r="K358" s="4283"/>
      <c r="L358" s="4283"/>
      <c r="M358" s="4283"/>
      <c r="N358" s="4283"/>
      <c r="O358" s="4283"/>
      <c r="P358" s="4283"/>
      <c r="Q358" s="4283"/>
      <c r="R358" s="4283"/>
      <c r="S358" s="4283"/>
      <c r="T358" s="4283"/>
      <c r="U358" s="4283"/>
      <c r="V358" s="4283"/>
      <c r="W358" s="4283"/>
      <c r="X358" s="2374"/>
      <c r="Y358" s="3765"/>
      <c r="Z358" s="2839"/>
      <c r="AA358" s="2398"/>
      <c r="AB358" s="2398"/>
    </row>
    <row r="359" spans="1:28">
      <c r="A359" s="1458"/>
      <c r="B359" s="3698"/>
      <c r="C359" s="3694"/>
      <c r="D359" s="4283" t="s">
        <v>2556</v>
      </c>
      <c r="E359" s="4283"/>
      <c r="F359" s="4283"/>
      <c r="G359" s="4283"/>
      <c r="H359" s="4283"/>
      <c r="I359" s="4283"/>
      <c r="J359" s="4283"/>
      <c r="K359" s="4283"/>
      <c r="L359" s="4283"/>
      <c r="M359" s="4283"/>
      <c r="N359" s="4283"/>
      <c r="O359" s="4283"/>
      <c r="P359" s="4283"/>
      <c r="Q359" s="4283"/>
      <c r="R359" s="4283"/>
      <c r="S359" s="4283"/>
      <c r="T359" s="4283"/>
      <c r="U359" s="4283"/>
      <c r="V359" s="4283"/>
      <c r="W359" s="4283"/>
      <c r="X359" s="2374"/>
      <c r="Y359" s="3765"/>
      <c r="Z359" s="2839"/>
      <c r="AA359" s="2398"/>
      <c r="AB359" s="2398"/>
    </row>
    <row r="360" spans="1:28" ht="13.15" customHeight="1">
      <c r="A360" s="1458"/>
      <c r="B360" s="3698"/>
      <c r="C360" s="3694"/>
      <c r="D360" s="4283" t="s">
        <v>2562</v>
      </c>
      <c r="E360" s="4283"/>
      <c r="F360" s="4283"/>
      <c r="G360" s="4283"/>
      <c r="H360" s="4283"/>
      <c r="I360" s="4283"/>
      <c r="J360" s="4283"/>
      <c r="K360" s="4283"/>
      <c r="L360" s="4283"/>
      <c r="M360" s="4283"/>
      <c r="N360" s="4283"/>
      <c r="O360" s="4283"/>
      <c r="P360" s="4283"/>
      <c r="Q360" s="4283"/>
      <c r="R360" s="4283"/>
      <c r="S360" s="4283"/>
      <c r="T360" s="4283"/>
      <c r="U360" s="4283"/>
      <c r="V360" s="4283"/>
      <c r="W360" s="4283"/>
      <c r="X360" s="2374"/>
      <c r="Y360" s="3765"/>
      <c r="Z360" s="2839"/>
      <c r="AA360" s="2398"/>
      <c r="AB360" s="2398"/>
    </row>
    <row r="361" spans="1:28">
      <c r="A361" s="1458"/>
      <c r="B361" s="3698"/>
      <c r="C361" s="3694"/>
      <c r="D361" s="4283"/>
      <c r="E361" s="4283"/>
      <c r="F361" s="4283"/>
      <c r="G361" s="4283"/>
      <c r="H361" s="4283"/>
      <c r="I361" s="4283"/>
      <c r="J361" s="4283"/>
      <c r="K361" s="4283"/>
      <c r="L361" s="4283"/>
      <c r="M361" s="4283"/>
      <c r="N361" s="4283"/>
      <c r="O361" s="4283"/>
      <c r="P361" s="4283"/>
      <c r="Q361" s="4283"/>
      <c r="R361" s="4283"/>
      <c r="S361" s="4283"/>
      <c r="T361" s="4283"/>
      <c r="U361" s="4283"/>
      <c r="V361" s="4283"/>
      <c r="W361" s="4283"/>
      <c r="X361" s="2374"/>
      <c r="Y361" s="3765"/>
      <c r="Z361" s="2839"/>
      <c r="AA361" s="2398"/>
      <c r="AB361" s="2398"/>
    </row>
    <row r="362" spans="1:28">
      <c r="A362" s="1458"/>
      <c r="B362" s="3698"/>
      <c r="C362" s="3694"/>
      <c r="D362" s="4283"/>
      <c r="E362" s="4283"/>
      <c r="F362" s="4283"/>
      <c r="G362" s="4283"/>
      <c r="H362" s="4283"/>
      <c r="I362" s="4283"/>
      <c r="J362" s="4283"/>
      <c r="K362" s="4283"/>
      <c r="L362" s="4283"/>
      <c r="M362" s="4283"/>
      <c r="N362" s="4283"/>
      <c r="O362" s="4283"/>
      <c r="P362" s="4283"/>
      <c r="Q362" s="4283"/>
      <c r="R362" s="4283"/>
      <c r="S362" s="4283"/>
      <c r="T362" s="4283"/>
      <c r="U362" s="4283"/>
      <c r="V362" s="4283"/>
      <c r="W362" s="4283"/>
      <c r="X362" s="2374"/>
      <c r="Y362" s="3765"/>
      <c r="Z362" s="2839"/>
      <c r="AA362" s="2398"/>
      <c r="AB362" s="2398"/>
    </row>
    <row r="363" spans="1:28">
      <c r="A363" s="1458"/>
      <c r="B363" s="3698"/>
      <c r="C363" s="3694"/>
      <c r="D363" s="3699" t="s">
        <v>1586</v>
      </c>
      <c r="E363" s="3700"/>
      <c r="F363" s="3700"/>
      <c r="G363" s="3700"/>
      <c r="H363" s="3700"/>
      <c r="I363" s="3700"/>
      <c r="J363" s="3700"/>
      <c r="K363" s="3700"/>
      <c r="L363" s="3700"/>
      <c r="M363" s="3700"/>
      <c r="N363" s="3700"/>
      <c r="O363" s="3700"/>
      <c r="P363" s="3700"/>
      <c r="Q363" s="3700"/>
      <c r="R363" s="3700"/>
      <c r="S363" s="3700"/>
      <c r="T363" s="3700"/>
      <c r="U363" s="3700"/>
      <c r="V363" s="3700"/>
      <c r="W363" s="3700"/>
      <c r="X363" s="2374"/>
      <c r="Y363" s="3765"/>
      <c r="Z363" s="2839"/>
      <c r="AA363" s="2398"/>
      <c r="AB363" s="2398"/>
    </row>
    <row r="364" spans="1:28">
      <c r="A364" s="1458"/>
      <c r="B364" s="3698"/>
      <c r="C364" s="3694"/>
      <c r="D364" s="4283" t="s">
        <v>2563</v>
      </c>
      <c r="E364" s="4283"/>
      <c r="F364" s="4283"/>
      <c r="G364" s="4283"/>
      <c r="H364" s="4283"/>
      <c r="I364" s="4283"/>
      <c r="J364" s="4283"/>
      <c r="K364" s="4283"/>
      <c r="L364" s="4283"/>
      <c r="M364" s="4283"/>
      <c r="N364" s="4283"/>
      <c r="O364" s="4283"/>
      <c r="P364" s="4283"/>
      <c r="Q364" s="4283"/>
      <c r="R364" s="4283"/>
      <c r="S364" s="4283"/>
      <c r="T364" s="4283"/>
      <c r="U364" s="4283"/>
      <c r="V364" s="4283"/>
      <c r="W364" s="4283"/>
      <c r="X364" s="2374"/>
      <c r="Y364" s="3765"/>
      <c r="Z364" s="2839"/>
      <c r="AA364" s="2398"/>
      <c r="AB364" s="2398"/>
    </row>
    <row r="365" spans="1:28">
      <c r="A365" s="1458"/>
      <c r="B365" s="3698"/>
      <c r="C365" s="3694"/>
      <c r="D365" s="4283"/>
      <c r="E365" s="4283"/>
      <c r="F365" s="4283"/>
      <c r="G365" s="4283"/>
      <c r="H365" s="4283"/>
      <c r="I365" s="4283"/>
      <c r="J365" s="4283"/>
      <c r="K365" s="4283"/>
      <c r="L365" s="4283"/>
      <c r="M365" s="4283"/>
      <c r="N365" s="4283"/>
      <c r="O365" s="4283"/>
      <c r="P365" s="4283"/>
      <c r="Q365" s="4283"/>
      <c r="R365" s="4283"/>
      <c r="S365" s="4283"/>
      <c r="T365" s="4283"/>
      <c r="U365" s="4283"/>
      <c r="V365" s="4283"/>
      <c r="W365" s="4283"/>
      <c r="X365" s="2374"/>
      <c r="Y365" s="3765"/>
      <c r="Z365" s="2839"/>
      <c r="AA365" s="2398"/>
      <c r="AB365" s="2398"/>
    </row>
    <row r="366" spans="1:28">
      <c r="A366" s="1458"/>
      <c r="B366" s="3698"/>
      <c r="C366" s="3694"/>
      <c r="D366" s="4283"/>
      <c r="E366" s="4283"/>
      <c r="F366" s="4283"/>
      <c r="G366" s="4283"/>
      <c r="H366" s="4283"/>
      <c r="I366" s="4283"/>
      <c r="J366" s="4283"/>
      <c r="K366" s="4283"/>
      <c r="L366" s="4283"/>
      <c r="M366" s="4283"/>
      <c r="N366" s="4283"/>
      <c r="O366" s="4283"/>
      <c r="P366" s="4283"/>
      <c r="Q366" s="4283"/>
      <c r="R366" s="4283"/>
      <c r="S366" s="4283"/>
      <c r="T366" s="4283"/>
      <c r="U366" s="4283"/>
      <c r="V366" s="4283"/>
      <c r="W366" s="4283"/>
      <c r="X366" s="2374"/>
      <c r="Y366" s="3494"/>
      <c r="Z366" s="110"/>
      <c r="AA366" s="1992"/>
      <c r="AB366" s="1992"/>
    </row>
    <row r="367" spans="1:28">
      <c r="A367" s="1458"/>
      <c r="B367" s="3698"/>
      <c r="C367" s="3694"/>
      <c r="D367" s="3699" t="s">
        <v>1884</v>
      </c>
      <c r="E367" s="3696"/>
      <c r="F367" s="3696"/>
      <c r="G367" s="3696"/>
      <c r="H367" s="3696"/>
      <c r="I367" s="3696"/>
      <c r="J367" s="3696"/>
      <c r="K367" s="3696"/>
      <c r="L367" s="3696"/>
      <c r="M367" s="3696"/>
      <c r="N367" s="3696"/>
      <c r="O367" s="3696"/>
      <c r="P367" s="3696"/>
      <c r="Q367" s="3696"/>
      <c r="R367" s="3696"/>
      <c r="S367" s="3696"/>
      <c r="T367" s="3696"/>
      <c r="U367" s="3696"/>
      <c r="V367" s="3696"/>
      <c r="W367" s="3696"/>
      <c r="X367" s="2374"/>
      <c r="Y367" s="3494" t="s">
        <v>1542</v>
      </c>
      <c r="Z367" s="110"/>
      <c r="AA367" s="1983"/>
      <c r="AB367" s="1983"/>
    </row>
    <row r="368" spans="1:28">
      <c r="A368" s="1458"/>
      <c r="B368" s="3698"/>
      <c r="C368" s="3694"/>
      <c r="D368" s="3701"/>
      <c r="E368" s="3702"/>
      <c r="F368" s="3702"/>
      <c r="G368" s="3702"/>
      <c r="H368" s="3702"/>
      <c r="I368" s="3702"/>
      <c r="J368" s="3702"/>
      <c r="K368" s="3702"/>
      <c r="L368" s="3702"/>
      <c r="M368" s="3702"/>
      <c r="N368" s="3702"/>
      <c r="O368" s="3702"/>
      <c r="P368" s="3702"/>
      <c r="Q368" s="3702"/>
      <c r="R368" s="3702"/>
      <c r="S368" s="3702"/>
      <c r="T368" s="3702"/>
      <c r="U368" s="3702"/>
      <c r="V368" s="3702"/>
      <c r="W368" s="3702"/>
      <c r="X368" s="2374"/>
      <c r="Y368" s="2137"/>
      <c r="Z368" s="2000"/>
      <c r="AA368" s="1545"/>
      <c r="AB368" s="1545"/>
    </row>
    <row r="369" spans="1:28">
      <c r="A369" s="1458"/>
      <c r="B369" s="3698"/>
      <c r="C369" s="3694"/>
      <c r="D369" s="3701" t="str">
        <f>CONCATENATE("Hyp. Mobile and Fixed D*/Ebitda* resp. stand at ",ROUND('GEARINGS, Eb&amp;E'!AA289,1),"x and ", ROUND('GEARINGS, Eb&amp;E'!AA288,1),"x. If we assume and add an operational cash level similar to Belgacom's (",ROUND(CALCULATIONS!OJ7,1),"x), resulting tD*/Ebitda* would imply a Financial Risk:")</f>
        <v>Hyp. Mobile and Fixed D*/Ebitda* resp. stand at 2,3x and 2,3x. If we assume and add an operational cash level similar to Belgacom's (0,2x), resulting tD*/Ebitda* would imply a Financial Risk:</v>
      </c>
      <c r="E369" s="3701"/>
      <c r="F369" s="3701"/>
      <c r="G369" s="3701"/>
      <c r="H369" s="3701"/>
      <c r="I369" s="3701"/>
      <c r="J369" s="3701"/>
      <c r="K369" s="3701"/>
      <c r="L369" s="3702"/>
      <c r="M369" s="3702"/>
      <c r="N369" s="3702"/>
      <c r="O369" s="3702"/>
      <c r="P369" s="3702"/>
      <c r="Q369" s="3702"/>
      <c r="R369" s="3702"/>
      <c r="S369" s="3702"/>
      <c r="T369" s="3702"/>
      <c r="U369" s="3702"/>
      <c r="V369" s="3702"/>
      <c r="W369" s="3702"/>
      <c r="X369" s="2374"/>
      <c r="Y369" s="3766"/>
      <c r="Z369" s="3321"/>
      <c r="AA369" s="3756"/>
      <c r="AB369" s="3756"/>
    </row>
    <row r="370" spans="1:28">
      <c r="A370" s="1458"/>
      <c r="B370" s="4456" t="s">
        <v>1605</v>
      </c>
      <c r="C370" s="3694"/>
      <c r="D370" s="3703" t="s">
        <v>2564</v>
      </c>
      <c r="E370" s="3701"/>
      <c r="F370" s="3701"/>
      <c r="G370" s="3701"/>
      <c r="H370" s="3701"/>
      <c r="I370" s="3701"/>
      <c r="J370" s="3701"/>
      <c r="K370" s="3701"/>
      <c r="L370" s="3702"/>
      <c r="M370" s="3702"/>
      <c r="N370" s="3702"/>
      <c r="O370" s="3702"/>
      <c r="P370" s="3702"/>
      <c r="Q370" s="3702"/>
      <c r="R370" s="3702"/>
      <c r="S370" s="3702"/>
      <c r="T370" s="3702"/>
      <c r="U370" s="3702"/>
      <c r="V370" s="3702"/>
      <c r="W370" s="3702"/>
      <c r="X370" s="2374"/>
      <c r="Y370" s="3766"/>
      <c r="Z370" s="3321"/>
      <c r="AA370" s="3756"/>
      <c r="AB370" s="3756"/>
    </row>
    <row r="371" spans="1:28">
      <c r="A371" s="1458"/>
      <c r="B371" s="4456"/>
      <c r="C371" s="3694"/>
      <c r="D371" s="3703" t="s">
        <v>2565</v>
      </c>
      <c r="E371" s="3701"/>
      <c r="F371" s="3701"/>
      <c r="G371" s="3701"/>
      <c r="H371" s="3701"/>
      <c r="I371" s="3701"/>
      <c r="J371" s="3701"/>
      <c r="K371" s="3701"/>
      <c r="L371" s="3702"/>
      <c r="M371" s="3702"/>
      <c r="N371" s="3702"/>
      <c r="O371" s="3702"/>
      <c r="P371" s="3702"/>
      <c r="Q371" s="3702"/>
      <c r="R371" s="3702"/>
      <c r="S371" s="3702"/>
      <c r="T371" s="3702"/>
      <c r="U371" s="3702"/>
      <c r="V371" s="3702"/>
      <c r="W371" s="3702"/>
      <c r="X371" s="2374"/>
      <c r="Y371" s="3766"/>
      <c r="Z371" s="3321"/>
      <c r="AA371" s="3756"/>
      <c r="AB371" s="3756"/>
    </row>
    <row r="372" spans="1:28">
      <c r="A372" s="1458"/>
      <c r="B372" s="3698"/>
      <c r="C372" s="3694"/>
      <c r="D372" s="3699"/>
      <c r="E372" s="3696"/>
      <c r="F372" s="3696"/>
      <c r="G372" s="3696"/>
      <c r="H372" s="3696"/>
      <c r="I372" s="3696"/>
      <c r="J372" s="3696"/>
      <c r="K372" s="3696"/>
      <c r="L372" s="3696"/>
      <c r="M372" s="3696"/>
      <c r="N372" s="3696"/>
      <c r="O372" s="3696"/>
      <c r="P372" s="3696"/>
      <c r="Q372" s="3696"/>
      <c r="R372" s="3696"/>
      <c r="S372" s="3696"/>
      <c r="T372" s="3696"/>
      <c r="U372" s="3696"/>
      <c r="V372" s="3696"/>
      <c r="W372" s="3696"/>
      <c r="X372" s="2374"/>
      <c r="Y372" s="3766"/>
      <c r="Z372" s="3321"/>
      <c r="AA372" s="3756"/>
      <c r="AB372" s="3756"/>
    </row>
    <row r="373" spans="1:28" ht="13.15" customHeight="1">
      <c r="A373" s="1458"/>
      <c r="B373" s="3698"/>
      <c r="C373" s="3694"/>
      <c r="D373" s="4297" t="s">
        <v>2566</v>
      </c>
      <c r="E373" s="4298"/>
      <c r="F373" s="4298"/>
      <c r="G373" s="4298"/>
      <c r="H373" s="4298"/>
      <c r="I373" s="4298"/>
      <c r="J373" s="4298"/>
      <c r="K373" s="4298"/>
      <c r="L373" s="4298"/>
      <c r="M373" s="4298"/>
      <c r="N373" s="4298"/>
      <c r="O373" s="4298"/>
      <c r="P373" s="4298"/>
      <c r="Q373" s="4298"/>
      <c r="R373" s="4298"/>
      <c r="S373" s="4298"/>
      <c r="T373" s="4298"/>
      <c r="U373" s="4298"/>
      <c r="V373" s="4298"/>
      <c r="W373" s="4299"/>
      <c r="X373" s="2374"/>
      <c r="Y373" s="3766"/>
      <c r="Z373" s="3321"/>
      <c r="AA373" s="3756"/>
      <c r="AB373" s="3756"/>
    </row>
    <row r="374" spans="1:28" ht="13.15" customHeight="1">
      <c r="A374" s="1458"/>
      <c r="B374" s="3698"/>
      <c r="C374" s="3694"/>
      <c r="D374" s="4300"/>
      <c r="E374" s="4281"/>
      <c r="F374" s="4281"/>
      <c r="G374" s="4281"/>
      <c r="H374" s="4281"/>
      <c r="I374" s="4281"/>
      <c r="J374" s="4281"/>
      <c r="K374" s="4281"/>
      <c r="L374" s="4281"/>
      <c r="M374" s="4281"/>
      <c r="N374" s="4281"/>
      <c r="O374" s="4281"/>
      <c r="P374" s="4281"/>
      <c r="Q374" s="4281"/>
      <c r="R374" s="4281"/>
      <c r="S374" s="4281"/>
      <c r="T374" s="4281"/>
      <c r="U374" s="4281"/>
      <c r="V374" s="4281"/>
      <c r="W374" s="4301"/>
      <c r="X374" s="2374"/>
      <c r="Y374" s="3764"/>
      <c r="Z374" s="3321"/>
      <c r="AA374" s="3756"/>
      <c r="AB374" s="3756"/>
    </row>
    <row r="375" spans="1:28" ht="13.15" customHeight="1">
      <c r="A375" s="1458"/>
      <c r="B375" s="3698"/>
      <c r="C375" s="3694"/>
      <c r="D375" s="4284" t="s">
        <v>2552</v>
      </c>
      <c r="E375" s="4283"/>
      <c r="F375" s="4283"/>
      <c r="G375" s="4283"/>
      <c r="H375" s="4283"/>
      <c r="I375" s="4283"/>
      <c r="J375" s="4283"/>
      <c r="K375" s="4283"/>
      <c r="L375" s="4283"/>
      <c r="M375" s="4283"/>
      <c r="N375" s="4283"/>
      <c r="O375" s="4283"/>
      <c r="P375" s="4283"/>
      <c r="Q375" s="4283"/>
      <c r="R375" s="4283"/>
      <c r="S375" s="4283"/>
      <c r="T375" s="4283"/>
      <c r="U375" s="4283"/>
      <c r="V375" s="4283"/>
      <c r="W375" s="4285"/>
      <c r="X375" s="2379"/>
      <c r="Y375" s="3764"/>
      <c r="Z375" s="3321"/>
      <c r="AA375" s="3756"/>
      <c r="AB375" s="3756"/>
    </row>
    <row r="376" spans="1:28">
      <c r="A376" s="1458"/>
      <c r="B376" s="3698"/>
      <c r="C376" s="3694"/>
      <c r="D376" s="4284"/>
      <c r="E376" s="4283"/>
      <c r="F376" s="4283"/>
      <c r="G376" s="4283"/>
      <c r="H376" s="4283"/>
      <c r="I376" s="4283"/>
      <c r="J376" s="4283"/>
      <c r="K376" s="4283"/>
      <c r="L376" s="4283"/>
      <c r="M376" s="4283"/>
      <c r="N376" s="4283"/>
      <c r="O376" s="4283"/>
      <c r="P376" s="4283"/>
      <c r="Q376" s="4283"/>
      <c r="R376" s="4283"/>
      <c r="S376" s="4283"/>
      <c r="T376" s="4283"/>
      <c r="U376" s="4283"/>
      <c r="V376" s="4283"/>
      <c r="W376" s="4285"/>
      <c r="X376" s="2379"/>
      <c r="Y376" s="3764"/>
      <c r="Z376" s="3321"/>
      <c r="AA376" s="3756"/>
      <c r="AB376" s="3756"/>
    </row>
    <row r="377" spans="1:28">
      <c r="A377" s="1458"/>
      <c r="B377" s="3698"/>
      <c r="C377" s="3694"/>
      <c r="D377" s="4286" t="s">
        <v>1608</v>
      </c>
      <c r="E377" s="4287"/>
      <c r="F377" s="4287"/>
      <c r="G377" s="4287"/>
      <c r="H377" s="4287"/>
      <c r="I377" s="4287"/>
      <c r="J377" s="4287"/>
      <c r="K377" s="4287"/>
      <c r="L377" s="4287"/>
      <c r="M377" s="4287"/>
      <c r="N377" s="4287"/>
      <c r="O377" s="4287"/>
      <c r="P377" s="4287"/>
      <c r="Q377" s="4287"/>
      <c r="R377" s="4287"/>
      <c r="S377" s="4287"/>
      <c r="T377" s="4287"/>
      <c r="U377" s="4287"/>
      <c r="V377" s="4287"/>
      <c r="W377" s="4288"/>
      <c r="X377" s="2379"/>
      <c r="Y377" s="3764"/>
      <c r="Z377" s="3321"/>
      <c r="AA377" s="3756"/>
      <c r="AB377" s="3756"/>
    </row>
    <row r="378" spans="1:28">
      <c r="A378" s="1458"/>
      <c r="B378" s="3698"/>
      <c r="C378" s="3694"/>
      <c r="D378" s="4286"/>
      <c r="E378" s="4287"/>
      <c r="F378" s="4287"/>
      <c r="G378" s="4287"/>
      <c r="H378" s="4287"/>
      <c r="I378" s="4287"/>
      <c r="J378" s="4287"/>
      <c r="K378" s="4287"/>
      <c r="L378" s="4287"/>
      <c r="M378" s="4287"/>
      <c r="N378" s="4287"/>
      <c r="O378" s="4287"/>
      <c r="P378" s="4287"/>
      <c r="Q378" s="4287"/>
      <c r="R378" s="4287"/>
      <c r="S378" s="4287"/>
      <c r="T378" s="4287"/>
      <c r="U378" s="4287"/>
      <c r="V378" s="4287"/>
      <c r="W378" s="4288"/>
      <c r="X378" s="2379"/>
      <c r="Y378" s="3764"/>
      <c r="Z378" s="3321"/>
      <c r="AA378" s="3756"/>
      <c r="AB378" s="3756"/>
    </row>
    <row r="379" spans="1:28" ht="13.15" customHeight="1">
      <c r="A379" s="1458"/>
      <c r="B379" s="3698"/>
      <c r="C379" s="3694"/>
      <c r="D379" s="3704" t="s">
        <v>2553</v>
      </c>
      <c r="E379" s="3705"/>
      <c r="F379" s="3705"/>
      <c r="G379" s="3705"/>
      <c r="H379" s="3705"/>
      <c r="I379" s="3705"/>
      <c r="J379" s="3705"/>
      <c r="K379" s="3705"/>
      <c r="L379" s="3705"/>
      <c r="M379" s="3705"/>
      <c r="N379" s="3705"/>
      <c r="O379" s="3705"/>
      <c r="P379" s="3705"/>
      <c r="Q379" s="3705"/>
      <c r="R379" s="3705"/>
      <c r="S379" s="3705"/>
      <c r="T379" s="3705"/>
      <c r="U379" s="3705"/>
      <c r="V379" s="3705"/>
      <c r="W379" s="3706"/>
      <c r="X379" s="2379"/>
      <c r="Y379" s="3764"/>
      <c r="Z379" s="3321"/>
      <c r="AA379" s="3756"/>
      <c r="AB379" s="3756"/>
    </row>
    <row r="380" spans="1:28" ht="13.15" customHeight="1">
      <c r="A380" s="1458"/>
      <c r="B380" s="3698"/>
      <c r="C380" s="3694"/>
      <c r="D380" s="3707" t="s">
        <v>2554</v>
      </c>
      <c r="E380" s="3707"/>
      <c r="F380" s="3707"/>
      <c r="G380" s="3707"/>
      <c r="H380" s="3707"/>
      <c r="I380" s="3707"/>
      <c r="J380" s="3707"/>
      <c r="K380" s="3707"/>
      <c r="L380" s="3707"/>
      <c r="M380" s="3707"/>
      <c r="N380" s="3707"/>
      <c r="O380" s="3707"/>
      <c r="P380" s="3707"/>
      <c r="Q380" s="3707"/>
      <c r="R380" s="3707"/>
      <c r="S380" s="3707"/>
      <c r="T380" s="3707"/>
      <c r="U380" s="3707"/>
      <c r="V380" s="3707"/>
      <c r="W380" s="3707"/>
      <c r="X380" s="2379"/>
      <c r="Y380" s="3764"/>
      <c r="Z380" s="3321"/>
      <c r="AA380" s="3756"/>
      <c r="AB380" s="3756"/>
    </row>
    <row r="381" spans="1:28" ht="13.15" customHeight="1">
      <c r="A381" s="1458"/>
      <c r="B381" s="3698"/>
      <c r="C381" s="3694"/>
      <c r="D381" s="2015" t="s">
        <v>2567</v>
      </c>
      <c r="E381" s="3707"/>
      <c r="F381" s="3707"/>
      <c r="G381" s="3707"/>
      <c r="H381" s="3707"/>
      <c r="I381" s="3707"/>
      <c r="J381" s="3707"/>
      <c r="K381" s="3707"/>
      <c r="L381" s="3707"/>
      <c r="M381" s="3707"/>
      <c r="N381" s="3707"/>
      <c r="O381" s="3707"/>
      <c r="P381" s="3707"/>
      <c r="Q381" s="3707"/>
      <c r="R381" s="3707"/>
      <c r="S381" s="3707"/>
      <c r="T381" s="3707"/>
      <c r="U381" s="3707"/>
      <c r="V381" s="3707"/>
      <c r="W381" s="3707"/>
      <c r="X381" s="2380"/>
      <c r="Y381" s="3766"/>
      <c r="Z381" s="3766"/>
      <c r="AA381" s="3766"/>
      <c r="AB381" s="3766"/>
    </row>
    <row r="382" spans="1:28" ht="13.15" customHeight="1">
      <c r="A382" s="1458"/>
      <c r="B382" s="3698"/>
      <c r="C382" s="3694"/>
      <c r="D382" s="2015" t="s">
        <v>2555</v>
      </c>
      <c r="E382" s="2000"/>
      <c r="F382" s="2000"/>
      <c r="G382" s="2000"/>
      <c r="H382" s="2000"/>
      <c r="I382" s="2000"/>
      <c r="J382" s="2000"/>
      <c r="K382" s="2000"/>
      <c r="L382" s="2000"/>
      <c r="M382" s="2000"/>
      <c r="N382" s="2000"/>
      <c r="O382" s="2000"/>
      <c r="P382" s="2000"/>
      <c r="Q382" s="2000"/>
      <c r="R382" s="2000"/>
      <c r="S382" s="2000"/>
      <c r="T382" s="2000"/>
      <c r="U382" s="2000"/>
      <c r="V382" s="2000"/>
      <c r="W382" s="2000"/>
      <c r="X382" s="2380"/>
      <c r="Y382" s="3766"/>
      <c r="Z382" s="3766"/>
      <c r="AA382" s="3766"/>
      <c r="AB382" s="3766"/>
    </row>
    <row r="383" spans="1:28" ht="13.15" customHeight="1">
      <c r="A383" s="1458"/>
      <c r="B383" s="3698"/>
      <c r="C383" s="3694"/>
      <c r="D383" s="2015"/>
      <c r="E383" s="2000"/>
      <c r="F383" s="2000"/>
      <c r="G383" s="2000"/>
      <c r="H383" s="2000"/>
      <c r="I383" s="2000"/>
      <c r="J383" s="2000"/>
      <c r="K383" s="2000"/>
      <c r="L383" s="2000"/>
      <c r="M383" s="2000"/>
      <c r="N383" s="2000"/>
      <c r="O383" s="2000"/>
      <c r="P383" s="2000"/>
      <c r="Q383" s="2000"/>
      <c r="R383" s="2000"/>
      <c r="S383" s="2000"/>
      <c r="T383" s="2000"/>
      <c r="U383" s="2000"/>
      <c r="V383" s="2000"/>
      <c r="W383" s="2000"/>
      <c r="X383" s="2380"/>
      <c r="Y383" s="3766"/>
      <c r="Z383" s="3766"/>
      <c r="AA383" s="3766"/>
      <c r="AB383" s="3766"/>
    </row>
    <row r="384" spans="1:28" ht="13.15" customHeight="1">
      <c r="A384" s="1458"/>
      <c r="B384" s="3698"/>
      <c r="C384" s="3694"/>
      <c r="D384" s="3708" t="s">
        <v>1585</v>
      </c>
      <c r="E384" s="3697"/>
      <c r="F384" s="3697"/>
      <c r="G384" s="3697"/>
      <c r="H384" s="3697"/>
      <c r="I384" s="3697"/>
      <c r="J384" s="3697"/>
      <c r="K384" s="3697"/>
      <c r="L384" s="3697"/>
      <c r="M384" s="3697"/>
      <c r="N384" s="3697"/>
      <c r="O384" s="3697"/>
      <c r="P384" s="3697"/>
      <c r="Q384" s="3697"/>
      <c r="R384" s="3697"/>
      <c r="S384" s="3697"/>
      <c r="T384" s="3697"/>
      <c r="U384" s="3697"/>
      <c r="V384" s="3697"/>
      <c r="W384" s="3697"/>
      <c r="X384" s="2381"/>
      <c r="Y384" s="3488"/>
      <c r="Z384" s="3756"/>
      <c r="AA384" s="3756"/>
      <c r="AB384" s="3756"/>
    </row>
    <row r="385" spans="1:28">
      <c r="A385" s="1458"/>
      <c r="B385" s="4289" t="s">
        <v>2568</v>
      </c>
      <c r="C385" s="3694"/>
      <c r="D385" s="3709" t="s">
        <v>2569</v>
      </c>
      <c r="E385" s="3697"/>
      <c r="F385" s="3697"/>
      <c r="G385" s="3697"/>
      <c r="H385" s="3710"/>
      <c r="I385" s="3697"/>
      <c r="J385" s="3711"/>
      <c r="K385" s="2000"/>
      <c r="L385" s="3697"/>
      <c r="M385" s="3697"/>
      <c r="N385" s="3697"/>
      <c r="O385" s="3697"/>
      <c r="P385" s="3697"/>
      <c r="Q385" s="3697"/>
      <c r="R385" s="3697"/>
      <c r="S385" s="3697"/>
      <c r="T385" s="3697"/>
      <c r="U385" s="3697"/>
      <c r="V385" s="3697"/>
      <c r="W385" s="3697"/>
      <c r="X385" s="2381"/>
      <c r="Y385" s="3488"/>
      <c r="Z385" s="3756"/>
      <c r="AA385" s="3756"/>
      <c r="AB385" s="3756"/>
    </row>
    <row r="386" spans="1:28">
      <c r="A386" s="1458"/>
      <c r="B386" s="4289"/>
      <c r="C386" s="3694"/>
      <c r="D386" s="3709" t="s">
        <v>2570</v>
      </c>
      <c r="E386" s="3696"/>
      <c r="F386" s="3696"/>
      <c r="G386" s="3696"/>
      <c r="H386" s="3710"/>
      <c r="I386" s="3696"/>
      <c r="J386" s="3712" t="s">
        <v>1600</v>
      </c>
      <c r="K386" s="2000"/>
      <c r="L386" s="3696"/>
      <c r="M386" s="3696"/>
      <c r="N386" s="3696"/>
      <c r="O386" s="3696"/>
      <c r="P386" s="3696"/>
      <c r="Q386" s="3696"/>
      <c r="R386" s="3696"/>
      <c r="S386" s="3696"/>
      <c r="T386" s="3696"/>
      <c r="U386" s="3696"/>
      <c r="V386" s="3696"/>
      <c r="W386" s="3696"/>
      <c r="X386" s="2374"/>
      <c r="Y386" s="3488"/>
      <c r="Z386" s="3756"/>
      <c r="AA386" s="3756"/>
      <c r="AB386" s="3756"/>
    </row>
    <row r="387" spans="1:28">
      <c r="A387" s="1458"/>
      <c r="B387" s="3713"/>
      <c r="C387" s="3694"/>
      <c r="D387" s="3714"/>
      <c r="E387" s="3715"/>
      <c r="F387" s="3715"/>
      <c r="G387" s="3715"/>
      <c r="H387" s="3715"/>
      <c r="I387" s="3715"/>
      <c r="J387" s="3715"/>
      <c r="K387" s="3715"/>
      <c r="L387" s="3714"/>
      <c r="M387" s="3715"/>
      <c r="N387" s="3715"/>
      <c r="O387" s="3715"/>
      <c r="P387" s="3693"/>
      <c r="Q387" s="3693"/>
      <c r="R387" s="3693"/>
      <c r="S387" s="3693"/>
      <c r="T387" s="3693"/>
      <c r="U387" s="3693"/>
      <c r="V387" s="3693"/>
      <c r="W387" s="3693"/>
      <c r="X387" s="2374"/>
      <c r="Y387" s="3488"/>
      <c r="Z387" s="3321"/>
      <c r="AA387" s="3756"/>
      <c r="AB387" s="3756"/>
    </row>
    <row r="388" spans="1:28">
      <c r="A388" s="1458"/>
      <c r="B388" s="1458"/>
      <c r="C388" s="2346"/>
      <c r="D388" s="1614"/>
      <c r="E388" s="1458"/>
      <c r="F388" s="1593"/>
      <c r="G388" s="1459"/>
      <c r="H388" s="1458"/>
      <c r="I388" s="1593"/>
      <c r="J388" s="1458"/>
      <c r="K388" s="1592"/>
      <c r="L388" s="1592"/>
      <c r="M388" s="1592"/>
      <c r="N388" s="1592"/>
      <c r="O388" s="1592"/>
      <c r="P388" s="1592"/>
      <c r="Q388" s="1333"/>
      <c r="R388" s="1097"/>
      <c r="S388" s="1505"/>
      <c r="T388" s="1505"/>
      <c r="U388" s="1505"/>
      <c r="V388" s="1505"/>
      <c r="W388" s="1097"/>
      <c r="Y388" s="3488"/>
      <c r="Z388" s="3756"/>
      <c r="AA388" s="3756"/>
      <c r="AB388" s="3756"/>
    </row>
    <row r="389" spans="1:28">
      <c r="A389" s="1587"/>
      <c r="B389" s="1587"/>
      <c r="D389" s="3403" t="s">
        <v>1364</v>
      </c>
      <c r="E389" s="1587"/>
      <c r="F389" s="1587"/>
      <c r="G389" s="1587"/>
      <c r="H389" s="1587"/>
      <c r="I389" s="1587"/>
      <c r="J389" s="1587"/>
      <c r="K389" s="1587"/>
      <c r="L389" s="1514"/>
      <c r="M389" s="1587"/>
      <c r="N389" s="1587"/>
      <c r="O389" s="1587"/>
      <c r="P389" s="1614"/>
      <c r="Q389" s="1614"/>
      <c r="R389" s="1614"/>
      <c r="S389" s="1614"/>
      <c r="T389" s="1614"/>
      <c r="U389" s="1614"/>
      <c r="V389" s="1614"/>
      <c r="W389" s="1587"/>
      <c r="X389" s="2368"/>
      <c r="Y389" s="3492"/>
      <c r="Z389" s="3719"/>
      <c r="AA389" s="2000"/>
      <c r="AB389" s="1545"/>
    </row>
    <row r="390" spans="1:28" ht="13.15" customHeight="1">
      <c r="A390" s="1587"/>
      <c r="B390" s="1587"/>
      <c r="D390" s="3718" t="s">
        <v>2571</v>
      </c>
      <c r="E390" s="1587"/>
      <c r="F390" s="1587"/>
      <c r="G390" s="1587"/>
      <c r="H390" s="1587"/>
      <c r="I390" s="1587"/>
      <c r="J390" s="1587"/>
      <c r="K390" s="1587"/>
      <c r="L390" s="1514"/>
      <c r="M390" s="1587"/>
      <c r="N390" s="1587"/>
      <c r="O390" s="1587"/>
      <c r="P390" s="3398" t="s">
        <v>2641</v>
      </c>
      <c r="Q390" s="1614"/>
      <c r="R390" s="1616"/>
      <c r="S390" s="1614"/>
      <c r="T390" s="1614"/>
      <c r="U390" s="1614"/>
      <c r="V390" s="1614"/>
      <c r="W390" s="1587"/>
      <c r="X390" s="2368"/>
      <c r="Y390" s="3492" t="s">
        <v>1384</v>
      </c>
      <c r="Z390" s="2000"/>
      <c r="AA390" s="2000"/>
      <c r="AB390" s="2000"/>
    </row>
    <row r="391" spans="1:28">
      <c r="A391" s="1587"/>
      <c r="B391" s="1587"/>
      <c r="D391" s="1606"/>
      <c r="E391" s="1587"/>
      <c r="F391" s="1587"/>
      <c r="G391" s="1587"/>
      <c r="H391" s="1587"/>
      <c r="I391" s="1587"/>
      <c r="J391" s="1587"/>
      <c r="K391" s="1587"/>
      <c r="L391" s="1514"/>
      <c r="M391" s="1587"/>
      <c r="N391" s="1587"/>
      <c r="O391" s="1587"/>
      <c r="P391" s="1615"/>
      <c r="Q391" s="1614"/>
      <c r="R391" s="1482" t="s">
        <v>1508</v>
      </c>
      <c r="S391" s="1614"/>
      <c r="T391" s="1614"/>
      <c r="U391" s="1587"/>
      <c r="V391" s="1614"/>
      <c r="W391" s="1587"/>
      <c r="X391" s="2368"/>
      <c r="Y391" s="3492" t="s">
        <v>1385</v>
      </c>
      <c r="Z391" s="2000"/>
      <c r="AA391" s="2000"/>
      <c r="AB391" s="2000"/>
    </row>
    <row r="392" spans="1:28">
      <c r="A392" s="1587"/>
      <c r="B392" s="1587"/>
      <c r="D392" s="1606"/>
      <c r="E392" s="1587"/>
      <c r="F392" s="1587"/>
      <c r="G392" s="1587"/>
      <c r="H392" s="1587"/>
      <c r="I392" s="1587"/>
      <c r="J392" s="1587"/>
      <c r="K392" s="1587"/>
      <c r="L392" s="1514"/>
      <c r="M392" s="1587"/>
      <c r="N392" s="1587"/>
      <c r="O392" s="1587"/>
      <c r="P392" s="1614"/>
      <c r="Q392" s="1614"/>
      <c r="R392" s="1641" t="s">
        <v>1387</v>
      </c>
      <c r="S392" s="1614"/>
      <c r="T392" s="1614"/>
      <c r="U392" s="1587"/>
      <c r="V392" s="1614"/>
      <c r="W392" s="1587"/>
      <c r="X392" s="2368"/>
      <c r="Y392" s="1614"/>
      <c r="Z392" s="1545"/>
      <c r="AA392" s="1545"/>
      <c r="AB392" s="1545"/>
    </row>
    <row r="393" spans="1:28">
      <c r="A393" s="1587"/>
      <c r="B393" s="1587"/>
      <c r="D393" s="1587"/>
      <c r="E393" s="1587"/>
      <c r="F393" s="1587"/>
      <c r="G393" s="1587"/>
      <c r="H393" s="1587"/>
      <c r="I393" s="1587"/>
      <c r="J393" s="1587"/>
      <c r="K393" s="1587"/>
      <c r="L393" s="1514"/>
      <c r="M393" s="1587"/>
      <c r="N393" s="1135"/>
      <c r="O393" s="1135"/>
      <c r="P393" s="1588"/>
      <c r="Q393" s="1588"/>
      <c r="R393" s="1588"/>
      <c r="S393" s="1588"/>
      <c r="T393" s="1588"/>
      <c r="U393" s="1624" t="s">
        <v>1361</v>
      </c>
      <c r="V393" s="1585"/>
      <c r="W393" s="1587"/>
      <c r="X393" s="2363"/>
      <c r="Y393" s="3492" t="s">
        <v>1386</v>
      </c>
      <c r="Z393" s="1545"/>
      <c r="AA393" s="1545"/>
      <c r="AB393" s="1545"/>
    </row>
    <row r="394" spans="1:28">
      <c r="A394" s="1587"/>
      <c r="B394" s="1587"/>
      <c r="D394" s="1327"/>
      <c r="E394" s="1587"/>
      <c r="F394" s="1587"/>
      <c r="G394" s="1587"/>
      <c r="H394" s="1587"/>
      <c r="I394" s="1587"/>
      <c r="J394" s="1587"/>
      <c r="K394" s="1587"/>
      <c r="L394" s="1514"/>
      <c r="M394" s="1587"/>
      <c r="N394" s="1135"/>
      <c r="O394" s="1135"/>
      <c r="P394" s="1588"/>
      <c r="Q394" s="1588"/>
      <c r="R394" s="1588"/>
      <c r="S394" s="1588"/>
      <c r="T394" s="1588"/>
      <c r="U394" s="1588"/>
      <c r="V394" s="1585"/>
      <c r="W394" s="1587"/>
      <c r="X394" s="2363"/>
      <c r="Y394" s="3492" t="s">
        <v>1362</v>
      </c>
      <c r="Z394" s="1545"/>
      <c r="AA394" s="1545"/>
      <c r="AB394" s="1545"/>
    </row>
    <row r="395" spans="1:28">
      <c r="A395" s="1587"/>
      <c r="B395" s="1587"/>
      <c r="D395" s="1327"/>
      <c r="E395" s="1587"/>
      <c r="F395" s="1587"/>
      <c r="G395" s="1587"/>
      <c r="H395" s="1587"/>
      <c r="I395" s="1587"/>
      <c r="J395" s="1587"/>
      <c r="K395" s="1587"/>
      <c r="L395" s="1514"/>
      <c r="M395" s="1587"/>
      <c r="N395" s="1135"/>
      <c r="O395" s="1135"/>
      <c r="P395" s="1135"/>
      <c r="Q395" s="1588"/>
      <c r="R395" s="1135"/>
      <c r="S395" s="1588"/>
      <c r="T395" s="1135"/>
      <c r="U395" s="1135"/>
      <c r="V395" s="1585"/>
      <c r="W395" s="1587"/>
      <c r="X395" s="2363"/>
      <c r="Y395" s="1614"/>
      <c r="Z395" s="1545"/>
      <c r="AA395" s="1545"/>
      <c r="AB395" s="1545"/>
    </row>
    <row r="396" spans="1:28">
      <c r="A396" s="1587"/>
      <c r="B396" s="1587"/>
      <c r="D396" s="1327"/>
      <c r="E396" s="1587"/>
      <c r="F396" s="1587"/>
      <c r="G396" s="1587"/>
      <c r="H396" s="1587"/>
      <c r="I396" s="1587"/>
      <c r="J396" s="1587"/>
      <c r="K396" s="1587"/>
      <c r="L396" s="1514"/>
      <c r="M396" s="1621"/>
      <c r="N396" s="1135"/>
      <c r="O396" s="1135"/>
      <c r="P396" s="1135"/>
      <c r="Q396" s="1588"/>
      <c r="R396" s="1135"/>
      <c r="S396" s="1588"/>
      <c r="T396" s="1135"/>
      <c r="U396" s="1135"/>
      <c r="V396" s="1585"/>
      <c r="W396" s="1587"/>
      <c r="X396" s="2363"/>
      <c r="Y396" s="4407" t="s">
        <v>1506</v>
      </c>
      <c r="Z396" s="4407"/>
      <c r="AA396" s="4407"/>
      <c r="AB396" s="4407"/>
    </row>
    <row r="397" spans="1:28">
      <c r="A397" s="1587"/>
      <c r="B397" s="1587"/>
      <c r="D397" s="1327"/>
      <c r="E397" s="1587"/>
      <c r="F397" s="1587"/>
      <c r="G397" s="1587"/>
      <c r="H397" s="1587"/>
      <c r="I397" s="1587"/>
      <c r="J397" s="1587"/>
      <c r="K397" s="1587"/>
      <c r="L397" s="1514"/>
      <c r="M397" s="1587"/>
      <c r="N397" s="1587"/>
      <c r="O397" s="1587"/>
      <c r="P397" s="1587"/>
      <c r="Q397" s="1587"/>
      <c r="R397" s="1587"/>
      <c r="S397" s="1587"/>
      <c r="T397" s="1587"/>
      <c r="U397" s="1587"/>
      <c r="V397" s="1585"/>
      <c r="W397" s="1587"/>
      <c r="X397" s="2363"/>
      <c r="Y397" s="4407"/>
      <c r="Z397" s="4407"/>
      <c r="AA397" s="4407"/>
      <c r="AB397" s="4407"/>
    </row>
    <row r="398" spans="1:28">
      <c r="A398" s="1587"/>
      <c r="B398" s="1587"/>
      <c r="D398" s="1327"/>
      <c r="E398" s="1587"/>
      <c r="F398" s="1587"/>
      <c r="G398" s="1587"/>
      <c r="H398" s="1587"/>
      <c r="I398" s="1587"/>
      <c r="J398" s="1587"/>
      <c r="K398" s="1587"/>
      <c r="L398" s="1514"/>
      <c r="M398" s="1587"/>
      <c r="N398" s="1587"/>
      <c r="O398" s="1587"/>
      <c r="P398" s="1587"/>
      <c r="Q398" s="1587"/>
      <c r="R398" s="1587"/>
      <c r="S398" s="1587"/>
      <c r="T398" s="1587"/>
      <c r="U398" s="1587"/>
      <c r="V398" s="1585"/>
      <c r="W398" s="1587"/>
      <c r="X398" s="2363"/>
      <c r="Y398" s="1614"/>
      <c r="Z398" s="1545"/>
      <c r="AA398" s="1545"/>
      <c r="AB398" s="1545"/>
    </row>
    <row r="399" spans="1:28">
      <c r="A399" s="1587"/>
      <c r="B399" s="1587"/>
      <c r="D399" s="1327"/>
      <c r="E399" s="1587"/>
      <c r="F399" s="1587"/>
      <c r="G399" s="1587"/>
      <c r="H399" s="1587"/>
      <c r="I399" s="1587"/>
      <c r="J399" s="1587"/>
      <c r="K399" s="1587"/>
      <c r="L399" s="1514"/>
      <c r="M399" s="1587"/>
      <c r="N399" s="1587"/>
      <c r="O399" s="1587"/>
      <c r="P399" s="1587"/>
      <c r="Q399" s="1587"/>
      <c r="R399" s="1587"/>
      <c r="S399" s="1587"/>
      <c r="T399" s="1587"/>
      <c r="U399" s="1587"/>
      <c r="V399" s="1585"/>
      <c r="W399" s="1587"/>
      <c r="X399" s="2363"/>
      <c r="Y399" s="3488"/>
      <c r="Z399" s="3756"/>
      <c r="AA399" s="3756"/>
      <c r="AB399" s="3756"/>
    </row>
    <row r="400" spans="1:28">
      <c r="A400" s="1587"/>
      <c r="B400" s="1587"/>
      <c r="D400" s="1327"/>
      <c r="E400" s="1587"/>
      <c r="F400" s="1587"/>
      <c r="G400" s="1587"/>
      <c r="H400" s="1587"/>
      <c r="I400" s="1587"/>
      <c r="J400" s="1587"/>
      <c r="K400" s="1587"/>
      <c r="L400" s="1514"/>
      <c r="M400" s="1547" t="s">
        <v>1515</v>
      </c>
      <c r="N400" s="1587"/>
      <c r="O400" s="1587"/>
      <c r="P400" s="1587"/>
      <c r="Q400" s="1587"/>
      <c r="R400" s="1587"/>
      <c r="S400" s="1587"/>
      <c r="T400" s="1587"/>
      <c r="U400" s="1587"/>
      <c r="V400" s="1585"/>
      <c r="W400" s="1587"/>
      <c r="X400" s="2363"/>
      <c r="Y400" s="3488"/>
      <c r="Z400" s="3756"/>
      <c r="AA400" s="3756"/>
      <c r="AB400" s="3756"/>
    </row>
    <row r="401" spans="1:28">
      <c r="A401" s="1587"/>
      <c r="B401" s="1587"/>
      <c r="D401" s="1327"/>
      <c r="E401" s="1587"/>
      <c r="F401" s="1587"/>
      <c r="G401" s="1587"/>
      <c r="H401" s="1587"/>
      <c r="I401" s="1587"/>
      <c r="J401" s="1587"/>
      <c r="K401" s="1587"/>
      <c r="L401" s="1514"/>
      <c r="M401" s="1587"/>
      <c r="N401" s="1587"/>
      <c r="O401" s="1587"/>
      <c r="P401" s="1587"/>
      <c r="Q401" s="1587"/>
      <c r="R401" s="1587"/>
      <c r="S401" s="1587"/>
      <c r="T401" s="1587"/>
      <c r="U401" s="1587"/>
      <c r="V401" s="1587"/>
      <c r="W401" s="1587"/>
      <c r="X401" s="2363"/>
      <c r="Y401" s="1614"/>
      <c r="Z401" s="1545"/>
      <c r="AA401" s="1545"/>
      <c r="AB401" s="1545"/>
    </row>
    <row r="402" spans="1:28">
      <c r="A402" s="1587"/>
      <c r="B402" s="1587"/>
      <c r="D402" s="1327"/>
      <c r="E402" s="1587"/>
      <c r="F402" s="1587"/>
      <c r="G402" s="1587"/>
      <c r="H402" s="1587"/>
      <c r="I402" s="1587"/>
      <c r="J402" s="1587"/>
      <c r="K402" s="1587"/>
      <c r="L402" s="1514"/>
      <c r="M402" s="1587"/>
      <c r="N402" s="1587"/>
      <c r="O402" s="1587"/>
      <c r="P402" s="1587"/>
      <c r="Q402" s="1587"/>
      <c r="R402" s="1587"/>
      <c r="S402" s="1587"/>
      <c r="T402" s="1587"/>
      <c r="U402" s="1587"/>
      <c r="V402" s="1634"/>
      <c r="W402" s="1587"/>
      <c r="X402" s="2363"/>
      <c r="Y402" s="4274" t="s">
        <v>1507</v>
      </c>
      <c r="Z402" s="4274"/>
      <c r="AA402" s="4274"/>
      <c r="AB402" s="4274"/>
    </row>
    <row r="403" spans="1:28">
      <c r="A403" s="1587"/>
      <c r="B403" s="1587"/>
      <c r="D403" s="1327"/>
      <c r="E403" s="1587"/>
      <c r="F403" s="1587"/>
      <c r="G403" s="1587"/>
      <c r="H403" s="1587"/>
      <c r="I403" s="1587"/>
      <c r="J403" s="1587"/>
      <c r="K403" s="1587"/>
      <c r="L403" s="1514"/>
      <c r="M403" s="1547" t="s">
        <v>1389</v>
      </c>
      <c r="N403" s="1587"/>
      <c r="O403" s="1587"/>
      <c r="P403" s="1587"/>
      <c r="Q403" s="1587"/>
      <c r="R403" s="1587"/>
      <c r="S403" s="1587"/>
      <c r="T403" s="1587"/>
      <c r="U403" s="79" t="s">
        <v>2642</v>
      </c>
      <c r="V403" s="1585"/>
      <c r="W403" s="1587"/>
      <c r="X403" s="2363"/>
      <c r="Y403" s="4274"/>
      <c r="Z403" s="4274"/>
      <c r="AA403" s="4274"/>
      <c r="AB403" s="4274"/>
    </row>
    <row r="404" spans="1:28">
      <c r="A404" s="1587"/>
      <c r="B404" s="1587"/>
      <c r="D404" s="1327"/>
      <c r="E404" s="1587"/>
      <c r="F404" s="1587"/>
      <c r="G404" s="1587"/>
      <c r="H404" s="1587"/>
      <c r="I404" s="1587"/>
      <c r="J404" s="1587"/>
      <c r="K404" s="1587"/>
      <c r="L404" s="1514"/>
      <c r="M404" s="1547" t="s">
        <v>1390</v>
      </c>
      <c r="N404" s="1587"/>
      <c r="O404" s="1587"/>
      <c r="P404" s="1587"/>
      <c r="Q404" s="1587"/>
      <c r="R404" s="1587"/>
      <c r="S404" s="1587"/>
      <c r="T404" s="1587"/>
      <c r="U404" s="79" t="s">
        <v>1365</v>
      </c>
      <c r="V404" s="1587"/>
      <c r="W404" s="1587"/>
      <c r="X404" s="2363"/>
      <c r="Y404" s="1614"/>
      <c r="Z404" s="1545"/>
      <c r="AA404" s="1545"/>
      <c r="AB404" s="1545"/>
    </row>
    <row r="405" spans="1:28">
      <c r="A405" s="1587"/>
      <c r="B405" s="1587"/>
      <c r="D405" s="1327"/>
      <c r="E405" s="1587"/>
      <c r="F405" s="1587"/>
      <c r="G405" s="1587"/>
      <c r="H405" s="1587"/>
      <c r="I405" s="1587"/>
      <c r="J405" s="1587"/>
      <c r="K405" s="1587"/>
      <c r="L405" s="1514"/>
      <c r="M405" s="1587"/>
      <c r="N405" s="1587"/>
      <c r="O405" s="1587"/>
      <c r="P405" s="1587"/>
      <c r="Q405" s="1587"/>
      <c r="R405" s="1587"/>
      <c r="S405" s="1587"/>
      <c r="T405" s="1587"/>
      <c r="U405" s="1585"/>
      <c r="V405" s="1585"/>
      <c r="W405" s="1587"/>
      <c r="X405" s="2363"/>
      <c r="Y405" s="3488"/>
      <c r="Z405" s="3756"/>
      <c r="AA405" s="3756"/>
      <c r="AB405" s="3756"/>
    </row>
    <row r="406" spans="1:28">
      <c r="A406" s="1587"/>
      <c r="B406" s="1587"/>
      <c r="D406" s="1327"/>
      <c r="E406" s="1587"/>
      <c r="F406" s="1587"/>
      <c r="G406" s="1587"/>
      <c r="H406" s="1587"/>
      <c r="I406" s="1587"/>
      <c r="J406" s="1587"/>
      <c r="K406" s="1587"/>
      <c r="L406" s="1514"/>
      <c r="M406" s="1587"/>
      <c r="N406" s="1587"/>
      <c r="O406" s="1587"/>
      <c r="P406" s="1587"/>
      <c r="Q406" s="1587"/>
      <c r="R406" s="1587"/>
      <c r="S406" s="1587"/>
      <c r="T406" s="1587"/>
      <c r="U406" s="1585"/>
      <c r="V406" s="1585"/>
      <c r="W406" s="1587"/>
      <c r="X406" s="2363"/>
      <c r="Y406" s="3488"/>
      <c r="Z406" s="3756"/>
      <c r="AA406" s="3756"/>
      <c r="AB406" s="3756"/>
    </row>
    <row r="407" spans="1:28">
      <c r="A407" s="1587"/>
      <c r="B407" s="1587"/>
      <c r="D407" s="4465" t="s">
        <v>1582</v>
      </c>
      <c r="E407" s="4466"/>
      <c r="F407" s="4466"/>
      <c r="G407" s="4466"/>
      <c r="H407" s="4466"/>
      <c r="I407" s="4466"/>
      <c r="J407" s="4466"/>
      <c r="K407" s="4466"/>
      <c r="L407" s="4466"/>
      <c r="M407" s="4466"/>
      <c r="N407" s="4466"/>
      <c r="O407" s="4466"/>
      <c r="P407" s="4466"/>
      <c r="Q407" s="4466"/>
      <c r="R407" s="4466"/>
      <c r="S407" s="4466"/>
      <c r="T407" s="4466"/>
      <c r="U407" s="4466"/>
      <c r="V407" s="4466"/>
      <c r="W407" s="4467"/>
      <c r="X407" s="2363"/>
      <c r="Y407" s="3488"/>
      <c r="Z407" s="3756"/>
      <c r="AA407" s="3756"/>
      <c r="AB407" s="3756"/>
    </row>
    <row r="408" spans="1:28">
      <c r="A408" s="1587"/>
      <c r="B408" s="1587"/>
      <c r="D408" s="4468"/>
      <c r="E408" s="4469"/>
      <c r="F408" s="4469"/>
      <c r="G408" s="4469"/>
      <c r="H408" s="4469"/>
      <c r="I408" s="4469"/>
      <c r="J408" s="4469"/>
      <c r="K408" s="4469"/>
      <c r="L408" s="4469"/>
      <c r="M408" s="4469"/>
      <c r="N408" s="4469"/>
      <c r="O408" s="4469"/>
      <c r="P408" s="4469"/>
      <c r="Q408" s="4469"/>
      <c r="R408" s="4469"/>
      <c r="S408" s="4469"/>
      <c r="T408" s="4469"/>
      <c r="U408" s="4469"/>
      <c r="V408" s="4469"/>
      <c r="W408" s="4470"/>
      <c r="X408" s="2363"/>
      <c r="Y408" s="3488"/>
      <c r="Z408" s="3756"/>
      <c r="AA408" s="3756"/>
      <c r="AB408" s="3756"/>
    </row>
    <row r="409" spans="1:28">
      <c r="A409" s="1587"/>
      <c r="B409" s="1587"/>
      <c r="D409" s="4471"/>
      <c r="E409" s="4472"/>
      <c r="F409" s="4472"/>
      <c r="G409" s="4472"/>
      <c r="H409" s="4472"/>
      <c r="I409" s="4472"/>
      <c r="J409" s="4472"/>
      <c r="K409" s="4472"/>
      <c r="L409" s="4472"/>
      <c r="M409" s="4472"/>
      <c r="N409" s="4472"/>
      <c r="O409" s="4472"/>
      <c r="P409" s="4472"/>
      <c r="Q409" s="4472"/>
      <c r="R409" s="4472"/>
      <c r="S409" s="4472"/>
      <c r="T409" s="4472"/>
      <c r="U409" s="4472"/>
      <c r="V409" s="4472"/>
      <c r="W409" s="4473"/>
      <c r="X409" s="2363"/>
      <c r="Y409" s="3488"/>
      <c r="Z409" s="3756"/>
      <c r="AA409" s="3756"/>
      <c r="AB409" s="3756"/>
    </row>
    <row r="410" spans="1:28">
      <c r="A410" s="1587"/>
      <c r="B410" s="1587"/>
      <c r="D410" s="79"/>
      <c r="E410" s="1596"/>
      <c r="F410" s="1587"/>
      <c r="G410" s="1587"/>
      <c r="H410" s="1587"/>
      <c r="I410" s="1587"/>
      <c r="J410" s="1587"/>
      <c r="K410" s="1587"/>
      <c r="L410" s="1587"/>
      <c r="M410" s="1514"/>
      <c r="N410" s="1587"/>
      <c r="O410" s="1587"/>
      <c r="P410" s="1587"/>
      <c r="Q410" s="1587"/>
      <c r="R410" s="1587"/>
      <c r="S410" s="1587"/>
      <c r="T410" s="1587"/>
      <c r="U410" s="1587"/>
      <c r="V410" s="1585"/>
      <c r="W410" s="1585"/>
      <c r="X410" s="2363"/>
      <c r="Y410" s="1614"/>
      <c r="Z410" s="1545"/>
      <c r="AA410" s="1545"/>
      <c r="AB410" s="1545"/>
    </row>
    <row r="411" spans="1:28">
      <c r="A411" s="1587"/>
      <c r="B411" s="1587"/>
      <c r="D411" s="3720" t="s">
        <v>2572</v>
      </c>
      <c r="E411" s="1545"/>
      <c r="F411" s="1545"/>
      <c r="G411" s="1545"/>
      <c r="H411" s="1545"/>
      <c r="I411" s="1545"/>
      <c r="J411" s="1545"/>
      <c r="K411" s="1545"/>
      <c r="L411" s="3721"/>
      <c r="M411" s="1545"/>
      <c r="N411" s="1545"/>
      <c r="O411" s="1545"/>
      <c r="P411" s="1545"/>
      <c r="Q411" s="1545"/>
      <c r="R411" s="1545"/>
      <c r="S411" s="1545"/>
      <c r="T411" s="1545"/>
      <c r="U411" s="1545"/>
      <c r="V411" s="1545"/>
      <c r="W411" s="1545"/>
      <c r="X411" s="2363"/>
      <c r="Y411" s="3492" t="s">
        <v>1388</v>
      </c>
      <c r="Z411" s="1545"/>
      <c r="AA411" s="1545"/>
      <c r="AB411" s="1545"/>
    </row>
    <row r="412" spans="1:28">
      <c r="A412" s="1587"/>
      <c r="B412" s="1587"/>
      <c r="D412" s="3722" t="s">
        <v>2573</v>
      </c>
      <c r="E412" s="1545"/>
      <c r="F412" s="1545"/>
      <c r="G412" s="1545"/>
      <c r="H412" s="1545"/>
      <c r="I412" s="1545"/>
      <c r="J412" s="1545"/>
      <c r="K412" s="1545"/>
      <c r="L412" s="3721"/>
      <c r="M412" s="1545"/>
      <c r="N412" s="1545"/>
      <c r="O412" s="1545"/>
      <c r="P412" s="1545"/>
      <c r="Q412" s="1545"/>
      <c r="R412" s="1545"/>
      <c r="S412" s="1545"/>
      <c r="T412" s="1545"/>
      <c r="U412" s="1545"/>
      <c r="V412" s="1545"/>
      <c r="W412" s="1545"/>
      <c r="X412" s="2363"/>
      <c r="Y412" s="1614"/>
      <c r="Z412" s="1545"/>
      <c r="AA412" s="1545"/>
      <c r="AB412" s="1545"/>
    </row>
    <row r="413" spans="1:28">
      <c r="A413" s="1587"/>
      <c r="B413" s="1587"/>
      <c r="D413" s="3723" t="s">
        <v>2574</v>
      </c>
      <c r="E413" s="1545"/>
      <c r="F413" s="1545"/>
      <c r="G413" s="1545"/>
      <c r="H413" s="1545"/>
      <c r="I413" s="1545"/>
      <c r="J413" s="1545"/>
      <c r="K413" s="1545"/>
      <c r="L413" s="3721"/>
      <c r="M413" s="1545"/>
      <c r="N413" s="1545"/>
      <c r="O413" s="1545"/>
      <c r="P413" s="1545"/>
      <c r="Q413" s="1545"/>
      <c r="R413" s="1545"/>
      <c r="S413" s="1545"/>
      <c r="T413" s="1545"/>
      <c r="U413" s="1545"/>
      <c r="V413" s="1545"/>
      <c r="W413" s="1545"/>
      <c r="X413" s="2363"/>
      <c r="Y413" s="3488"/>
      <c r="Z413" s="3756"/>
      <c r="AA413" s="3756"/>
      <c r="AB413" s="3756"/>
    </row>
    <row r="414" spans="1:28">
      <c r="A414" s="1587"/>
      <c r="B414" s="1587"/>
      <c r="D414" s="3722" t="s">
        <v>1885</v>
      </c>
      <c r="E414" s="1545"/>
      <c r="F414" s="1545"/>
      <c r="G414" s="1545"/>
      <c r="H414" s="1545"/>
      <c r="I414" s="1545"/>
      <c r="J414" s="1545"/>
      <c r="K414" s="1545"/>
      <c r="L414" s="3721"/>
      <c r="M414" s="1545"/>
      <c r="N414" s="1545"/>
      <c r="O414" s="1545"/>
      <c r="P414" s="1545"/>
      <c r="Q414" s="1545"/>
      <c r="R414" s="1545"/>
      <c r="S414" s="1545"/>
      <c r="T414" s="1545"/>
      <c r="U414" s="1545"/>
      <c r="V414" s="1545"/>
      <c r="W414" s="1545"/>
      <c r="X414" s="2363"/>
      <c r="Y414" s="3488"/>
      <c r="Z414" s="3756"/>
      <c r="AA414" s="3756"/>
      <c r="AB414" s="3756"/>
    </row>
    <row r="415" spans="1:28">
      <c r="A415" s="1587"/>
      <c r="B415" s="1587"/>
      <c r="D415" s="4315" t="s">
        <v>2583</v>
      </c>
      <c r="E415" s="4315"/>
      <c r="F415" s="4315"/>
      <c r="G415" s="4315"/>
      <c r="H415" s="4315"/>
      <c r="I415" s="4315"/>
      <c r="J415" s="4315"/>
      <c r="K415" s="4315"/>
      <c r="L415" s="4315"/>
      <c r="M415" s="4315"/>
      <c r="N415" s="4315"/>
      <c r="O415" s="4315"/>
      <c r="P415" s="4315"/>
      <c r="Q415" s="4315"/>
      <c r="R415" s="4315"/>
      <c r="S415" s="4315"/>
      <c r="T415" s="4315"/>
      <c r="U415" s="4315"/>
      <c r="V415" s="4315"/>
      <c r="W415" s="4315"/>
      <c r="X415" s="2363"/>
      <c r="Y415" s="3488"/>
      <c r="Z415" s="3756"/>
      <c r="AA415" s="3756"/>
      <c r="AB415" s="3756"/>
    </row>
    <row r="416" spans="1:28">
      <c r="A416" s="1587"/>
      <c r="B416" s="1587"/>
      <c r="D416" s="4315"/>
      <c r="E416" s="4315"/>
      <c r="F416" s="4315"/>
      <c r="G416" s="4315"/>
      <c r="H416" s="4315"/>
      <c r="I416" s="4315"/>
      <c r="J416" s="4315"/>
      <c r="K416" s="4315"/>
      <c r="L416" s="4315"/>
      <c r="M416" s="4315"/>
      <c r="N416" s="4315"/>
      <c r="O416" s="4315"/>
      <c r="P416" s="4315"/>
      <c r="Q416" s="4315"/>
      <c r="R416" s="4315"/>
      <c r="S416" s="4315"/>
      <c r="T416" s="4315"/>
      <c r="U416" s="4315"/>
      <c r="V416" s="4315"/>
      <c r="W416" s="4315"/>
      <c r="X416" s="2363"/>
      <c r="Y416" s="3488"/>
      <c r="Z416" s="3756"/>
      <c r="AA416" s="3756"/>
      <c r="AB416" s="3756"/>
    </row>
    <row r="417" spans="1:28">
      <c r="A417" s="1587"/>
      <c r="B417" s="1587"/>
      <c r="D417" s="4316" t="s">
        <v>2575</v>
      </c>
      <c r="E417" s="4316"/>
      <c r="F417" s="4316"/>
      <c r="G417" s="4316"/>
      <c r="H417" s="4316"/>
      <c r="I417" s="4316"/>
      <c r="J417" s="4316"/>
      <c r="K417" s="4316"/>
      <c r="L417" s="4316"/>
      <c r="M417" s="4316"/>
      <c r="N417" s="4316"/>
      <c r="O417" s="4316"/>
      <c r="P417" s="4316"/>
      <c r="Q417" s="4316"/>
      <c r="R417" s="4316"/>
      <c r="S417" s="4316"/>
      <c r="T417" s="4316"/>
      <c r="U417" s="4316"/>
      <c r="V417" s="4316"/>
      <c r="W417" s="4316"/>
      <c r="X417" s="2363"/>
      <c r="Y417" s="3488"/>
      <c r="Z417" s="3756"/>
      <c r="AA417" s="3756"/>
      <c r="AB417" s="3756"/>
    </row>
    <row r="418" spans="1:28">
      <c r="A418" s="1587"/>
      <c r="B418" s="1587"/>
      <c r="D418" s="4316"/>
      <c r="E418" s="4316"/>
      <c r="F418" s="4316"/>
      <c r="G418" s="4316"/>
      <c r="H418" s="4316"/>
      <c r="I418" s="4316"/>
      <c r="J418" s="4316"/>
      <c r="K418" s="4316"/>
      <c r="L418" s="4316"/>
      <c r="M418" s="4316"/>
      <c r="N418" s="4316"/>
      <c r="O418" s="4316"/>
      <c r="P418" s="4316"/>
      <c r="Q418" s="4316"/>
      <c r="R418" s="4316"/>
      <c r="S418" s="4316"/>
      <c r="T418" s="4316"/>
      <c r="U418" s="4316"/>
      <c r="V418" s="4316"/>
      <c r="W418" s="4316"/>
      <c r="X418" s="2363"/>
      <c r="Y418" s="3488"/>
      <c r="Z418" s="3756"/>
      <c r="AA418" s="3756"/>
      <c r="AB418" s="3756"/>
    </row>
    <row r="419" spans="1:28">
      <c r="A419" s="1587"/>
      <c r="B419" s="1587"/>
      <c r="D419" s="4317" t="s">
        <v>1366</v>
      </c>
      <c r="E419" s="4317"/>
      <c r="F419" s="4317"/>
      <c r="G419" s="4317"/>
      <c r="H419" s="4317"/>
      <c r="I419" s="4317"/>
      <c r="J419" s="4317"/>
      <c r="K419" s="4317"/>
      <c r="L419" s="4317"/>
      <c r="M419" s="4317"/>
      <c r="N419" s="4317"/>
      <c r="O419" s="4317"/>
      <c r="P419" s="4317"/>
      <c r="Q419" s="4317"/>
      <c r="R419" s="4317"/>
      <c r="S419" s="4317"/>
      <c r="T419" s="4317"/>
      <c r="U419" s="4317"/>
      <c r="V419" s="4317"/>
      <c r="W419" s="4317"/>
      <c r="X419" s="2363"/>
      <c r="Y419" s="3488"/>
      <c r="Z419" s="3756"/>
      <c r="AA419" s="3756"/>
      <c r="AB419" s="3756"/>
    </row>
    <row r="420" spans="1:28">
      <c r="A420" s="1587"/>
      <c r="B420" s="1587"/>
      <c r="D420" s="4317"/>
      <c r="E420" s="4317"/>
      <c r="F420" s="4317"/>
      <c r="G420" s="4317"/>
      <c r="H420" s="4317"/>
      <c r="I420" s="4317"/>
      <c r="J420" s="4317"/>
      <c r="K420" s="4317"/>
      <c r="L420" s="4317"/>
      <c r="M420" s="4317"/>
      <c r="N420" s="4317"/>
      <c r="O420" s="4317"/>
      <c r="P420" s="4317"/>
      <c r="Q420" s="4317"/>
      <c r="R420" s="4317"/>
      <c r="S420" s="4317"/>
      <c r="T420" s="4317"/>
      <c r="U420" s="4317"/>
      <c r="V420" s="4317"/>
      <c r="W420" s="4317"/>
      <c r="X420" s="2363"/>
      <c r="Y420" s="3488"/>
      <c r="Z420" s="3756"/>
      <c r="AA420" s="3756"/>
      <c r="AB420" s="3756"/>
    </row>
    <row r="421" spans="1:28">
      <c r="A421" s="1831"/>
      <c r="B421" s="1831"/>
      <c r="D421" s="1837"/>
      <c r="E421" s="1837"/>
      <c r="F421" s="1837"/>
      <c r="G421" s="1837"/>
      <c r="H421" s="1837"/>
      <c r="I421" s="1837"/>
      <c r="J421" s="1837"/>
      <c r="K421" s="1837"/>
      <c r="L421" s="1837"/>
      <c r="M421" s="1837"/>
      <c r="N421" s="1837"/>
      <c r="O421" s="1837"/>
      <c r="P421" s="1837"/>
      <c r="Q421" s="1837"/>
      <c r="R421" s="1837"/>
      <c r="S421" s="1837"/>
      <c r="T421" s="1837"/>
      <c r="U421" s="1837"/>
      <c r="V421" s="1837"/>
      <c r="W421" s="1837"/>
      <c r="X421" s="2363"/>
      <c r="Y421" s="3488"/>
      <c r="Z421" s="3756"/>
      <c r="AA421" s="3756"/>
      <c r="AB421" s="3756"/>
    </row>
    <row r="422" spans="1:28" ht="13.15" customHeight="1">
      <c r="A422" s="1831"/>
      <c r="B422" s="4279" t="s">
        <v>2576</v>
      </c>
      <c r="C422" s="2374"/>
      <c r="D422" s="3725" t="s">
        <v>2584</v>
      </c>
      <c r="E422" s="3726"/>
      <c r="F422" s="3726"/>
      <c r="G422" s="3726"/>
      <c r="H422" s="3726"/>
      <c r="I422" s="3726"/>
      <c r="J422" s="3726"/>
      <c r="K422" s="3726"/>
      <c r="L422" s="3726"/>
      <c r="M422" s="3726"/>
      <c r="N422" s="3726"/>
      <c r="O422" s="3726"/>
      <c r="P422" s="3726"/>
      <c r="Q422" s="3726"/>
      <c r="R422" s="3726"/>
      <c r="S422" s="3726"/>
      <c r="T422" s="3726"/>
      <c r="U422" s="3726"/>
      <c r="V422" s="3726"/>
      <c r="W422" s="3726"/>
      <c r="X422" s="2363"/>
      <c r="Y422" s="3488"/>
      <c r="Z422" s="3756"/>
      <c r="AA422" s="3756"/>
      <c r="AB422" s="3756"/>
    </row>
    <row r="423" spans="1:28" ht="13.15" customHeight="1">
      <c r="A423" s="1831"/>
      <c r="B423" s="4280"/>
      <c r="C423" s="2374"/>
      <c r="D423" s="3699" t="s">
        <v>2585</v>
      </c>
      <c r="E423" s="3699"/>
      <c r="F423" s="3699"/>
      <c r="G423" s="3699"/>
      <c r="H423" s="3699"/>
      <c r="I423" s="3699"/>
      <c r="J423" s="3699"/>
      <c r="K423" s="3699"/>
      <c r="L423" s="3699"/>
      <c r="M423" s="3699"/>
      <c r="N423" s="3699"/>
      <c r="O423" s="3699"/>
      <c r="P423" s="3699"/>
      <c r="Q423" s="3699"/>
      <c r="R423" s="3699"/>
      <c r="S423" s="3699"/>
      <c r="T423" s="3699"/>
      <c r="U423" s="3699"/>
      <c r="V423" s="3699"/>
      <c r="W423" s="3699"/>
      <c r="X423" s="2382"/>
      <c r="Y423" s="3488"/>
      <c r="Z423" s="3756"/>
      <c r="AA423" s="3756"/>
      <c r="AB423" s="3756"/>
    </row>
    <row r="424" spans="1:28" ht="13.15" customHeight="1">
      <c r="A424" s="1992"/>
      <c r="B424" s="4280"/>
      <c r="C424" s="2374"/>
      <c r="D424" s="3699" t="s">
        <v>1581</v>
      </c>
      <c r="E424" s="3699"/>
      <c r="F424" s="3699"/>
      <c r="G424" s="3699"/>
      <c r="H424" s="3699"/>
      <c r="I424" s="3699"/>
      <c r="J424" s="3699"/>
      <c r="K424" s="3699"/>
      <c r="L424" s="3699"/>
      <c r="M424" s="3699"/>
      <c r="N424" s="3699"/>
      <c r="O424" s="3699"/>
      <c r="P424" s="3699"/>
      <c r="Q424" s="3699"/>
      <c r="R424" s="3699"/>
      <c r="S424" s="3699"/>
      <c r="T424" s="3699"/>
      <c r="U424" s="3699"/>
      <c r="V424" s="3699"/>
      <c r="W424" s="3699"/>
      <c r="X424" s="2382"/>
      <c r="Y424" s="3488"/>
      <c r="Z424" s="3756"/>
      <c r="AA424" s="3756"/>
      <c r="AB424" s="3756"/>
    </row>
    <row r="425" spans="1:28">
      <c r="A425" s="1983"/>
      <c r="B425" s="1081"/>
      <c r="C425" s="2374"/>
      <c r="D425" s="3699"/>
      <c r="E425" s="3700"/>
      <c r="F425" s="3700"/>
      <c r="G425" s="3700"/>
      <c r="H425" s="3700"/>
      <c r="I425" s="3700"/>
      <c r="J425" s="3700"/>
      <c r="K425" s="3700"/>
      <c r="L425" s="3700"/>
      <c r="M425" s="3700"/>
      <c r="N425" s="3700"/>
      <c r="O425" s="3700"/>
      <c r="P425" s="3700"/>
      <c r="Q425" s="3700"/>
      <c r="R425" s="3700"/>
      <c r="S425" s="3700"/>
      <c r="T425" s="3700"/>
      <c r="U425" s="3700"/>
      <c r="V425" s="3700"/>
      <c r="W425" s="3700"/>
      <c r="X425" s="2382"/>
      <c r="Y425" s="3488"/>
      <c r="Z425" s="3756"/>
      <c r="AA425" s="3756"/>
      <c r="AB425" s="3756"/>
    </row>
    <row r="426" spans="1:28">
      <c r="A426" s="1983"/>
      <c r="B426" s="1081"/>
      <c r="C426" s="2374"/>
      <c r="D426" s="3696" t="s">
        <v>2577</v>
      </c>
      <c r="E426" s="3700"/>
      <c r="F426" s="3700"/>
      <c r="G426" s="3700"/>
      <c r="H426" s="3700"/>
      <c r="I426" s="3700"/>
      <c r="J426" s="3700"/>
      <c r="K426" s="3700"/>
      <c r="L426" s="3700"/>
      <c r="M426" s="3700"/>
      <c r="N426" s="3700"/>
      <c r="O426" s="3700"/>
      <c r="P426" s="3700"/>
      <c r="Q426" s="3700"/>
      <c r="R426" s="3700"/>
      <c r="S426" s="3700"/>
      <c r="T426" s="3700"/>
      <c r="U426" s="3700"/>
      <c r="V426" s="3700"/>
      <c r="W426" s="3700"/>
      <c r="X426" s="2382"/>
      <c r="Y426" s="3488"/>
      <c r="Z426" s="3756"/>
      <c r="AA426" s="3756"/>
      <c r="AB426" s="3756"/>
    </row>
    <row r="427" spans="1:28" ht="13.15" customHeight="1">
      <c r="A427" s="1983"/>
      <c r="B427" s="1081"/>
      <c r="C427" s="2374"/>
      <c r="D427" s="3699" t="s">
        <v>1601</v>
      </c>
      <c r="E427" s="3701"/>
      <c r="F427" s="3701"/>
      <c r="G427" s="3701"/>
      <c r="H427" s="3701"/>
      <c r="I427" s="3701"/>
      <c r="J427" s="3701"/>
      <c r="K427" s="3701"/>
      <c r="L427" s="3701"/>
      <c r="M427" s="3701"/>
      <c r="N427" s="3701"/>
      <c r="O427" s="3701"/>
      <c r="P427" s="3701"/>
      <c r="Q427" s="3701"/>
      <c r="R427" s="3701"/>
      <c r="S427" s="3701"/>
      <c r="T427" s="3701"/>
      <c r="U427" s="3701"/>
      <c r="V427" s="3701"/>
      <c r="W427" s="3701"/>
      <c r="X427" s="2382"/>
      <c r="Y427" s="3488"/>
      <c r="Z427" s="3756"/>
      <c r="AA427" s="3756"/>
      <c r="AB427" s="3756"/>
    </row>
    <row r="428" spans="1:28">
      <c r="A428" s="1983"/>
      <c r="B428" s="1081"/>
      <c r="C428" s="2374"/>
      <c r="D428" s="3699" t="s">
        <v>1587</v>
      </c>
      <c r="E428" s="3701"/>
      <c r="F428" s="3701"/>
      <c r="G428" s="3701"/>
      <c r="H428" s="3701"/>
      <c r="I428" s="3701"/>
      <c r="J428" s="3701"/>
      <c r="K428" s="3701"/>
      <c r="L428" s="3701"/>
      <c r="M428" s="3701"/>
      <c r="N428" s="3701"/>
      <c r="O428" s="3701"/>
      <c r="P428" s="3701"/>
      <c r="Q428" s="3701"/>
      <c r="R428" s="3701"/>
      <c r="S428" s="3701"/>
      <c r="T428" s="3701"/>
      <c r="U428" s="3701"/>
      <c r="V428" s="3701"/>
      <c r="W428" s="3701"/>
      <c r="X428" s="2383"/>
      <c r="Y428" s="3488"/>
      <c r="Z428" s="3756"/>
      <c r="AA428" s="3756"/>
      <c r="AB428" s="3756"/>
    </row>
    <row r="429" spans="1:28">
      <c r="A429" s="1992"/>
      <c r="B429" s="1081"/>
      <c r="C429" s="2374"/>
      <c r="D429" s="3708" t="s">
        <v>2578</v>
      </c>
      <c r="E429" s="3701"/>
      <c r="F429" s="3701"/>
      <c r="G429" s="3701"/>
      <c r="H429" s="3701"/>
      <c r="I429" s="3701"/>
      <c r="J429" s="3701"/>
      <c r="K429" s="3701"/>
      <c r="L429" s="3701"/>
      <c r="M429" s="3701"/>
      <c r="N429" s="3701"/>
      <c r="O429" s="3701"/>
      <c r="P429" s="3701"/>
      <c r="Q429" s="3701"/>
      <c r="R429" s="3701"/>
      <c r="S429" s="3701"/>
      <c r="T429" s="3701"/>
      <c r="U429" s="3701"/>
      <c r="V429" s="3701"/>
      <c r="W429" s="3701"/>
      <c r="X429" s="2383"/>
      <c r="Y429" s="3488"/>
      <c r="Z429" s="3756"/>
      <c r="AA429" s="3756"/>
      <c r="AB429" s="3756"/>
    </row>
    <row r="430" spans="1:28">
      <c r="A430" s="1983"/>
      <c r="B430" s="4289" t="s">
        <v>2579</v>
      </c>
      <c r="C430" s="2374"/>
      <c r="D430" s="3727" t="s">
        <v>2580</v>
      </c>
      <c r="E430" s="3728"/>
      <c r="F430" s="3728"/>
      <c r="G430" s="3728"/>
      <c r="H430" s="2665"/>
      <c r="I430" s="3729"/>
      <c r="J430" s="3730" t="s">
        <v>1588</v>
      </c>
      <c r="K430" s="3697"/>
      <c r="L430" s="2000"/>
      <c r="M430" s="3700"/>
      <c r="N430" s="3700"/>
      <c r="O430" s="3700"/>
      <c r="P430" s="3700"/>
      <c r="Q430" s="3700"/>
      <c r="R430" s="3700"/>
      <c r="S430" s="3700"/>
      <c r="T430" s="3700"/>
      <c r="U430" s="3700"/>
      <c r="V430" s="3700"/>
      <c r="W430" s="3700"/>
      <c r="X430" s="2383"/>
      <c r="Y430" s="3488"/>
      <c r="Z430" s="3756"/>
      <c r="AA430" s="3756"/>
      <c r="AB430" s="3756"/>
    </row>
    <row r="431" spans="1:28">
      <c r="A431" s="1983"/>
      <c r="B431" s="4289"/>
      <c r="C431" s="2374"/>
      <c r="D431" s="3731" t="s">
        <v>2581</v>
      </c>
      <c r="E431" s="3732"/>
      <c r="F431" s="3732"/>
      <c r="G431" s="3732"/>
      <c r="H431" s="3733"/>
      <c r="I431" s="3734"/>
      <c r="J431" s="3730" t="s">
        <v>1589</v>
      </c>
      <c r="K431" s="3696"/>
      <c r="L431" s="2000"/>
      <c r="M431" s="3700"/>
      <c r="N431" s="3700"/>
      <c r="O431" s="3700"/>
      <c r="P431" s="3700"/>
      <c r="Q431" s="3700"/>
      <c r="R431" s="3700"/>
      <c r="S431" s="3700"/>
      <c r="T431" s="3700"/>
      <c r="U431" s="3700"/>
      <c r="V431" s="3700"/>
      <c r="W431" s="3700"/>
      <c r="X431" s="2383"/>
      <c r="Y431" s="3488"/>
      <c r="Z431" s="3756"/>
      <c r="AA431" s="3756"/>
      <c r="AB431" s="3756"/>
    </row>
    <row r="432" spans="1:28">
      <c r="A432" s="1992"/>
      <c r="B432" s="1081"/>
      <c r="C432" s="2374"/>
      <c r="D432" s="3709"/>
      <c r="E432" s="3696"/>
      <c r="F432" s="3696"/>
      <c r="G432" s="3696"/>
      <c r="H432" s="2000"/>
      <c r="I432" s="2000"/>
      <c r="J432" s="2000"/>
      <c r="K432" s="3696"/>
      <c r="L432" s="3696"/>
      <c r="M432" s="3700"/>
      <c r="N432" s="3700"/>
      <c r="O432" s="3700"/>
      <c r="P432" s="3700"/>
      <c r="Q432" s="3700"/>
      <c r="R432" s="3700"/>
      <c r="S432" s="3700"/>
      <c r="T432" s="3700"/>
      <c r="U432" s="3700"/>
      <c r="V432" s="3700"/>
      <c r="W432" s="3700"/>
      <c r="X432" s="2383"/>
      <c r="Y432" s="3488"/>
      <c r="Z432" s="3756"/>
      <c r="AA432" s="3756"/>
      <c r="AB432" s="3756"/>
    </row>
    <row r="433" spans="1:64" ht="13.15" customHeight="1">
      <c r="A433" s="1983"/>
      <c r="B433" s="1081"/>
      <c r="C433" s="2374"/>
      <c r="D433" s="4281" t="s">
        <v>2582</v>
      </c>
      <c r="E433" s="4282"/>
      <c r="F433" s="4282"/>
      <c r="G433" s="4282"/>
      <c r="H433" s="4282"/>
      <c r="I433" s="4282"/>
      <c r="J433" s="4282"/>
      <c r="K433" s="4282"/>
      <c r="L433" s="4282"/>
      <c r="M433" s="4282"/>
      <c r="N433" s="4282"/>
      <c r="O433" s="4282"/>
      <c r="P433" s="4282"/>
      <c r="Q433" s="4282"/>
      <c r="R433" s="4282"/>
      <c r="S433" s="4282"/>
      <c r="T433" s="4282"/>
      <c r="U433" s="4282"/>
      <c r="V433" s="4282"/>
      <c r="W433" s="4282"/>
      <c r="X433" s="2383"/>
      <c r="Y433" s="3488"/>
      <c r="Z433" s="3756"/>
      <c r="AA433" s="3756"/>
      <c r="AB433" s="3756"/>
    </row>
    <row r="434" spans="1:64">
      <c r="A434" s="1992"/>
      <c r="B434" s="1081"/>
      <c r="C434" s="2374"/>
      <c r="D434" s="4282"/>
      <c r="E434" s="4282"/>
      <c r="F434" s="4282"/>
      <c r="G434" s="4282"/>
      <c r="H434" s="4282"/>
      <c r="I434" s="4282"/>
      <c r="J434" s="4282"/>
      <c r="K434" s="4282"/>
      <c r="L434" s="4282"/>
      <c r="M434" s="4282"/>
      <c r="N434" s="4282"/>
      <c r="O434" s="4282"/>
      <c r="P434" s="4282"/>
      <c r="Q434" s="4282"/>
      <c r="R434" s="4282"/>
      <c r="S434" s="4282"/>
      <c r="T434" s="4282"/>
      <c r="U434" s="4282"/>
      <c r="V434" s="4282"/>
      <c r="W434" s="4282"/>
      <c r="X434" s="2383"/>
      <c r="Y434" s="3488"/>
      <c r="Z434" s="3756"/>
      <c r="AA434" s="3756"/>
      <c r="AB434" s="3756"/>
    </row>
    <row r="435" spans="1:64">
      <c r="A435" s="2028"/>
      <c r="B435" s="1081"/>
      <c r="C435" s="2374"/>
      <c r="D435" s="4457" t="s">
        <v>1602</v>
      </c>
      <c r="E435" s="4457"/>
      <c r="F435" s="4457"/>
      <c r="G435" s="4457"/>
      <c r="H435" s="4457"/>
      <c r="I435" s="4457"/>
      <c r="J435" s="4457"/>
      <c r="K435" s="4457"/>
      <c r="L435" s="4457"/>
      <c r="M435" s="4457"/>
      <c r="N435" s="4457"/>
      <c r="O435" s="4457"/>
      <c r="P435" s="4457"/>
      <c r="Q435" s="4457"/>
      <c r="R435" s="4457"/>
      <c r="S435" s="4457"/>
      <c r="T435" s="4457"/>
      <c r="U435" s="4457"/>
      <c r="V435" s="4457"/>
      <c r="W435" s="4457"/>
      <c r="X435" s="2383"/>
      <c r="Y435" s="3488"/>
      <c r="Z435" s="3756"/>
      <c r="AA435" s="3756"/>
      <c r="AB435" s="3756"/>
    </row>
    <row r="436" spans="1:64">
      <c r="A436" s="1831"/>
      <c r="B436" s="1081"/>
      <c r="C436" s="2374"/>
      <c r="D436" s="4283" t="s">
        <v>1886</v>
      </c>
      <c r="E436" s="4283"/>
      <c r="F436" s="4283"/>
      <c r="G436" s="4283"/>
      <c r="H436" s="4283"/>
      <c r="I436" s="4283"/>
      <c r="J436" s="4283"/>
      <c r="K436" s="4283"/>
      <c r="L436" s="4283"/>
      <c r="M436" s="4283"/>
      <c r="N436" s="4283"/>
      <c r="O436" s="4283"/>
      <c r="P436" s="4283"/>
      <c r="Q436" s="4283"/>
      <c r="R436" s="4283"/>
      <c r="S436" s="4283"/>
      <c r="T436" s="4283"/>
      <c r="U436" s="4283"/>
      <c r="V436" s="4283"/>
      <c r="W436" s="4283"/>
      <c r="X436" s="2363"/>
      <c r="Y436" s="3488"/>
      <c r="Z436" s="3756"/>
      <c r="AA436" s="3756"/>
      <c r="AB436" s="3756"/>
    </row>
    <row r="437" spans="1:64">
      <c r="A437" s="1831"/>
      <c r="B437" s="3339"/>
      <c r="C437" s="2374"/>
      <c r="D437" s="3735"/>
      <c r="E437" s="3736"/>
      <c r="F437" s="3736"/>
      <c r="G437" s="3736"/>
      <c r="H437" s="3736"/>
      <c r="I437" s="3736"/>
      <c r="J437" s="3736"/>
      <c r="K437" s="3736"/>
      <c r="L437" s="3736"/>
      <c r="M437" s="3736"/>
      <c r="N437" s="3736"/>
      <c r="O437" s="3736"/>
      <c r="P437" s="3736"/>
      <c r="Q437" s="3736"/>
      <c r="R437" s="3736"/>
      <c r="S437" s="3736"/>
      <c r="T437" s="3736"/>
      <c r="U437" s="3736"/>
      <c r="V437" s="3736"/>
      <c r="W437" s="3736"/>
      <c r="X437" s="2363"/>
      <c r="Y437" s="3488"/>
      <c r="Z437" s="3756"/>
      <c r="AA437" s="3756"/>
      <c r="AB437" s="3756"/>
    </row>
    <row r="438" spans="1:64">
      <c r="A438" s="1621"/>
      <c r="B438" s="1621"/>
      <c r="D438" s="2013"/>
      <c r="E438" s="1627"/>
      <c r="F438" s="1627"/>
      <c r="G438" s="1627"/>
      <c r="H438" s="1627"/>
      <c r="I438" s="1627"/>
      <c r="J438" s="1627"/>
      <c r="K438" s="1627"/>
      <c r="L438" s="1627"/>
      <c r="M438" s="1627"/>
      <c r="N438" s="1627"/>
      <c r="O438" s="1627"/>
      <c r="P438" s="1627"/>
      <c r="Q438" s="1627"/>
      <c r="R438" s="1627"/>
      <c r="S438" s="1627"/>
      <c r="T438" s="1627"/>
      <c r="U438" s="1627"/>
      <c r="V438" s="1627"/>
      <c r="W438" s="1627"/>
      <c r="X438" s="2363"/>
      <c r="Y438" s="3488"/>
      <c r="Z438" s="3756"/>
      <c r="AA438" s="3756"/>
      <c r="AB438" s="3756"/>
    </row>
    <row r="439" spans="1:64" s="2353" customFormat="1">
      <c r="A439" s="2731" t="s">
        <v>1308</v>
      </c>
      <c r="B439" s="2732"/>
      <c r="C439" s="2465"/>
      <c r="D439" s="2772"/>
      <c r="E439" s="2773"/>
      <c r="F439" s="2773"/>
      <c r="G439" s="2773"/>
      <c r="H439" s="2773"/>
      <c r="I439" s="2773"/>
      <c r="J439" s="2773"/>
      <c r="K439" s="2773"/>
      <c r="L439" s="2773"/>
      <c r="M439" s="2773"/>
      <c r="N439" s="2773"/>
      <c r="O439" s="2773"/>
      <c r="P439" s="2773"/>
      <c r="Q439" s="2773"/>
      <c r="R439" s="2773"/>
      <c r="S439" s="2773"/>
      <c r="T439" s="2773"/>
      <c r="U439" s="2773"/>
      <c r="V439" s="2773"/>
      <c r="W439" s="2773"/>
      <c r="X439" s="2358"/>
      <c r="Y439" s="3767"/>
      <c r="Z439" s="3768"/>
      <c r="AA439" s="3768"/>
      <c r="AB439" s="3768"/>
      <c r="AF439" s="2358"/>
      <c r="AG439" s="2358"/>
      <c r="BL439" s="2358"/>
    </row>
    <row r="440" spans="1:64" s="2353" customFormat="1">
      <c r="A440" s="1669"/>
      <c r="B440" s="670"/>
      <c r="C440" s="2465"/>
      <c r="D440" s="2772"/>
      <c r="E440" s="2774"/>
      <c r="F440" s="2774"/>
      <c r="G440" s="2774"/>
      <c r="H440" s="2774"/>
      <c r="I440" s="2774"/>
      <c r="J440" s="2774"/>
      <c r="K440" s="2774"/>
      <c r="L440" s="2774"/>
      <c r="M440" s="2774"/>
      <c r="N440" s="2774"/>
      <c r="O440" s="2774"/>
      <c r="P440" s="2774"/>
      <c r="Q440" s="2774"/>
      <c r="R440" s="2774"/>
      <c r="S440" s="2774"/>
      <c r="T440" s="2774"/>
      <c r="U440" s="2774"/>
      <c r="V440" s="2774"/>
      <c r="W440" s="2774"/>
      <c r="X440" s="2358"/>
      <c r="Y440" s="3767"/>
      <c r="Z440" s="3768"/>
      <c r="AA440" s="3768"/>
      <c r="AB440" s="3768"/>
      <c r="AF440" s="2358"/>
      <c r="AG440" s="2358"/>
      <c r="BL440" s="2358"/>
    </row>
    <row r="441" spans="1:64" s="2353" customFormat="1">
      <c r="A441" s="1669"/>
      <c r="B441" s="670"/>
      <c r="C441" s="2465"/>
      <c r="D441" s="2772"/>
      <c r="E441" s="2774"/>
      <c r="F441" s="2774"/>
      <c r="G441" s="2774"/>
      <c r="H441" s="2774"/>
      <c r="I441" s="2774"/>
      <c r="J441" s="2774"/>
      <c r="K441" s="2774"/>
      <c r="L441" s="2774"/>
      <c r="M441" s="2774"/>
      <c r="N441" s="2774"/>
      <c r="O441" s="2774"/>
      <c r="P441" s="2774"/>
      <c r="Q441" s="2774"/>
      <c r="R441" s="2774"/>
      <c r="S441" s="2774"/>
      <c r="T441" s="2774"/>
      <c r="U441" s="2774"/>
      <c r="V441" s="2774"/>
      <c r="W441" s="2774"/>
      <c r="X441" s="2358"/>
      <c r="Y441" s="3767"/>
      <c r="Z441" s="3768"/>
      <c r="AA441" s="3768"/>
      <c r="AB441" s="3768"/>
      <c r="AF441" s="2358"/>
      <c r="AG441" s="2358"/>
      <c r="BL441" s="2358"/>
    </row>
    <row r="442" spans="1:64" s="2353" customFormat="1">
      <c r="A442" s="1669"/>
      <c r="B442" s="670"/>
      <c r="C442" s="2465"/>
      <c r="D442" s="2772"/>
      <c r="E442" s="2774"/>
      <c r="F442" s="2774"/>
      <c r="G442" s="2774"/>
      <c r="H442" s="2774"/>
      <c r="I442" s="2774"/>
      <c r="J442" s="2774"/>
      <c r="K442" s="2774"/>
      <c r="L442" s="2774"/>
      <c r="M442" s="2774"/>
      <c r="N442" s="2774"/>
      <c r="O442" s="2774"/>
      <c r="P442" s="2774"/>
      <c r="Q442" s="2774"/>
      <c r="R442" s="2774"/>
      <c r="S442" s="2774"/>
      <c r="T442" s="2774"/>
      <c r="U442" s="2774"/>
      <c r="V442" s="2774"/>
      <c r="W442" s="2774"/>
      <c r="X442" s="2358"/>
      <c r="Y442" s="3767"/>
      <c r="Z442" s="3768"/>
      <c r="AA442" s="3768"/>
      <c r="AB442" s="3768"/>
      <c r="AF442" s="2358"/>
      <c r="AG442" s="2358"/>
      <c r="BL442" s="2358"/>
    </row>
    <row r="443" spans="1:64">
      <c r="A443" s="1992"/>
      <c r="B443" s="1992"/>
      <c r="D443" s="2013"/>
      <c r="E443" s="1627"/>
      <c r="F443" s="1627"/>
      <c r="G443" s="1627"/>
      <c r="H443" s="1627"/>
      <c r="I443" s="1627"/>
      <c r="J443" s="1627"/>
      <c r="K443" s="1627"/>
      <c r="L443" s="1627"/>
      <c r="M443" s="1627"/>
      <c r="N443" s="1627"/>
      <c r="O443" s="1627"/>
      <c r="P443" s="1627"/>
      <c r="Q443" s="1627"/>
      <c r="R443" s="1627"/>
      <c r="S443" s="1627"/>
      <c r="T443" s="1627"/>
      <c r="U443" s="1627"/>
      <c r="V443" s="1627"/>
      <c r="W443" s="1627"/>
      <c r="X443" s="2363"/>
      <c r="Y443" s="3488"/>
      <c r="Z443" s="3756"/>
      <c r="AA443" s="3756"/>
      <c r="AB443" s="3756"/>
    </row>
    <row r="444" spans="1:64" s="2398" customFormat="1" ht="3.75" customHeight="1">
      <c r="A444" s="2766"/>
      <c r="C444" s="2399"/>
      <c r="D444" s="2767"/>
      <c r="E444" s="2399"/>
      <c r="F444" s="2399"/>
      <c r="G444" s="2399"/>
      <c r="H444" s="2399"/>
      <c r="I444" s="2399"/>
      <c r="J444" s="2399"/>
      <c r="K444" s="2399"/>
      <c r="L444" s="2399"/>
      <c r="M444" s="2399"/>
      <c r="N444" s="2399"/>
      <c r="O444" s="2399"/>
      <c r="P444" s="2399"/>
      <c r="Q444" s="2746"/>
      <c r="R444" s="2497"/>
      <c r="S444" s="2399"/>
      <c r="T444" s="2399"/>
      <c r="U444" s="2399"/>
      <c r="V444" s="2399"/>
      <c r="W444" s="2399"/>
      <c r="X444" s="2399"/>
      <c r="Y444" s="2399"/>
      <c r="AF444" s="2399"/>
      <c r="AG444" s="2399"/>
      <c r="BL444" s="2399"/>
    </row>
    <row r="445" spans="1:64">
      <c r="A445" s="1175" t="s">
        <v>97</v>
      </c>
      <c r="B445" s="102"/>
      <c r="D445" s="1514" t="s">
        <v>2586</v>
      </c>
      <c r="E445" s="1627"/>
      <c r="F445" s="1627"/>
      <c r="G445" s="1627"/>
      <c r="H445" s="92"/>
      <c r="I445" s="1235" t="s">
        <v>2594</v>
      </c>
      <c r="J445" s="1621"/>
      <c r="K445" s="1587"/>
      <c r="L445" s="1587"/>
      <c r="M445" s="1587"/>
      <c r="N445" s="1587"/>
      <c r="O445" s="1587"/>
      <c r="P445" s="1587"/>
      <c r="Q445" s="1627"/>
      <c r="R445" s="1627"/>
      <c r="S445" s="1627"/>
      <c r="T445" s="1627"/>
      <c r="U445" s="1627"/>
      <c r="V445" s="1627"/>
      <c r="W445" s="1627"/>
      <c r="X445" s="2363"/>
      <c r="Y445" s="2399"/>
      <c r="Z445" s="2398"/>
      <c r="AA445" s="2398"/>
      <c r="AB445" s="2398"/>
      <c r="AD445" s="2398"/>
      <c r="AE445" s="2398"/>
      <c r="AF445" s="2399"/>
      <c r="AG445" s="2399"/>
      <c r="AH445" s="2398"/>
      <c r="AI445" s="2398"/>
      <c r="AJ445" s="2398"/>
      <c r="AK445" s="2398"/>
      <c r="AL445" s="2398"/>
      <c r="AM445" s="2398"/>
      <c r="AN445" s="2398"/>
      <c r="AO445" s="2398"/>
      <c r="AP445" s="2398"/>
      <c r="AQ445" s="2398"/>
      <c r="AR445" s="2398"/>
      <c r="AS445" s="2398"/>
      <c r="AT445" s="2398"/>
      <c r="AU445" s="2398"/>
      <c r="AV445" s="2398"/>
      <c r="AW445" s="2398"/>
      <c r="AX445" s="2398"/>
      <c r="AY445" s="2398"/>
      <c r="AZ445" s="2398"/>
      <c r="BA445" s="2398"/>
      <c r="BB445" s="2398"/>
      <c r="BC445" s="2398"/>
      <c r="BD445" s="2398"/>
      <c r="BE445" s="2398"/>
      <c r="BF445" s="2398"/>
      <c r="BG445" s="2398"/>
      <c r="BH445" s="2398"/>
      <c r="BI445" s="2398"/>
      <c r="BJ445" s="2398"/>
    </row>
    <row r="446" spans="1:64">
      <c r="A446" s="1121"/>
      <c r="B446" s="93"/>
      <c r="D446" s="4505" t="s">
        <v>1887</v>
      </c>
      <c r="E446" s="4506"/>
      <c r="F446" s="4506"/>
      <c r="G446" s="4506"/>
      <c r="H446" s="4506"/>
      <c r="I446" s="4506"/>
      <c r="J446" s="4506"/>
      <c r="K446" s="4506"/>
      <c r="L446" s="4506"/>
      <c r="M446" s="4506"/>
      <c r="N446" s="4506"/>
      <c r="O446" s="4506"/>
      <c r="P446" s="4506"/>
      <c r="Q446" s="4506"/>
      <c r="R446" s="4506"/>
      <c r="S446" s="4506"/>
      <c r="T446" s="4506"/>
      <c r="U446" s="4506"/>
      <c r="V446" s="4506"/>
      <c r="W446" s="4506"/>
      <c r="X446" s="2363"/>
      <c r="Y446" s="2399"/>
      <c r="Z446" s="2398"/>
      <c r="AA446" s="2398"/>
      <c r="AB446" s="2398"/>
      <c r="AD446" s="2398"/>
      <c r="AE446" s="2398"/>
      <c r="AF446" s="2399"/>
      <c r="AG446" s="2399"/>
      <c r="AH446" s="2398"/>
      <c r="AI446" s="2398"/>
      <c r="AJ446" s="2398"/>
      <c r="AK446" s="2398"/>
      <c r="AL446" s="2398"/>
      <c r="AM446" s="2398"/>
      <c r="AN446" s="2398"/>
      <c r="AO446" s="2398"/>
      <c r="AP446" s="2398"/>
      <c r="AQ446" s="2398"/>
      <c r="AR446" s="2398"/>
      <c r="AS446" s="2398"/>
      <c r="AT446" s="2398"/>
      <c r="AU446" s="2398"/>
      <c r="AV446" s="2398"/>
      <c r="AW446" s="2398"/>
      <c r="AX446" s="2398"/>
      <c r="AY446" s="2398"/>
      <c r="AZ446" s="2398"/>
      <c r="BA446" s="2398"/>
      <c r="BB446" s="2398"/>
      <c r="BC446" s="2398"/>
      <c r="BD446" s="2398"/>
      <c r="BE446" s="2398"/>
      <c r="BF446" s="2398"/>
      <c r="BG446" s="2398"/>
      <c r="BH446" s="2398"/>
      <c r="BI446" s="2398"/>
      <c r="BJ446" s="2398"/>
    </row>
    <row r="447" spans="1:64">
      <c r="A447" s="1121"/>
      <c r="B447" s="93"/>
      <c r="D447" s="4506"/>
      <c r="E447" s="4506"/>
      <c r="F447" s="4506"/>
      <c r="G447" s="4506"/>
      <c r="H447" s="4506"/>
      <c r="I447" s="4506"/>
      <c r="J447" s="4506"/>
      <c r="K447" s="4506"/>
      <c r="L447" s="4506"/>
      <c r="M447" s="4506"/>
      <c r="N447" s="4506"/>
      <c r="O447" s="4506"/>
      <c r="P447" s="4506"/>
      <c r="Q447" s="4506"/>
      <c r="R447" s="4506"/>
      <c r="S447" s="4506"/>
      <c r="T447" s="4506"/>
      <c r="U447" s="4506"/>
      <c r="V447" s="4506"/>
      <c r="W447" s="4506"/>
      <c r="X447" s="2406" t="s">
        <v>753</v>
      </c>
      <c r="Y447" s="2269"/>
      <c r="Z447" s="1983"/>
      <c r="AA447" s="1983"/>
      <c r="AB447" s="1983"/>
      <c r="AD447" s="1983"/>
      <c r="AE447" s="1983"/>
      <c r="AF447" s="1985"/>
      <c r="AG447" s="1985"/>
      <c r="AH447" s="1983"/>
      <c r="AI447" s="1983"/>
      <c r="AJ447" s="1983"/>
      <c r="AK447" s="1983"/>
      <c r="AL447" s="1983"/>
      <c r="AM447" s="1983"/>
      <c r="AN447" s="1983"/>
      <c r="AO447" s="1983"/>
      <c r="AP447" s="1983"/>
      <c r="AQ447" s="1983"/>
      <c r="AR447" s="1983"/>
      <c r="AS447" s="1983"/>
      <c r="AT447" s="1983"/>
      <c r="AU447" s="1983"/>
      <c r="AV447" s="1983"/>
      <c r="AW447" s="1983"/>
      <c r="AX447" s="1983"/>
      <c r="AY447" s="1983"/>
      <c r="AZ447" s="1983"/>
      <c r="BA447" s="1983"/>
      <c r="BB447" s="1983"/>
      <c r="BC447" s="1983"/>
      <c r="BD447" s="1983"/>
      <c r="BE447" s="1983"/>
      <c r="BF447" s="1983"/>
      <c r="BG447" s="1983"/>
      <c r="BH447" s="1983"/>
      <c r="BI447" s="1983"/>
      <c r="BJ447" s="1983"/>
    </row>
    <row r="448" spans="1:64" ht="13.15" customHeight="1">
      <c r="A448" s="1621"/>
      <c r="B448" s="1621"/>
      <c r="C448" s="2346"/>
      <c r="D448" s="3623" t="s">
        <v>1569</v>
      </c>
      <c r="E448" s="1621"/>
      <c r="F448" s="1621"/>
      <c r="G448" s="1621"/>
      <c r="H448" s="1621"/>
      <c r="I448" s="1621"/>
      <c r="J448" s="1621"/>
      <c r="K448" s="1621"/>
      <c r="L448" s="1587"/>
      <c r="M448" s="1621"/>
      <c r="N448" s="1089"/>
      <c r="O448" s="4370" t="s">
        <v>1391</v>
      </c>
      <c r="P448" s="4370"/>
      <c r="Q448" s="4370"/>
      <c r="R448" s="4370"/>
      <c r="S448" s="4370"/>
      <c r="T448" s="4370"/>
      <c r="U448" s="4370"/>
      <c r="V448" s="4370"/>
      <c r="W448" s="4370"/>
      <c r="Y448" s="4363" t="s">
        <v>2590</v>
      </c>
      <c r="Z448" s="4364"/>
      <c r="AA448" s="4364"/>
      <c r="AB448" s="4365"/>
      <c r="AD448" s="1621"/>
      <c r="AE448" s="1621"/>
      <c r="AF448" s="1624"/>
      <c r="AG448" s="1624"/>
      <c r="AH448" s="1621"/>
      <c r="AI448" s="1621"/>
      <c r="AJ448" s="1621"/>
      <c r="AK448" s="1621"/>
      <c r="AL448" s="1621"/>
      <c r="AM448" s="1621"/>
      <c r="AN448" s="1621"/>
      <c r="AO448" s="1621"/>
      <c r="AP448" s="1621"/>
      <c r="AQ448" s="1621"/>
      <c r="AR448" s="1621"/>
      <c r="AS448" s="1621"/>
      <c r="AT448" s="1621"/>
      <c r="AU448" s="1621"/>
      <c r="AV448" s="1621"/>
      <c r="AW448" s="1621"/>
      <c r="AX448" s="1621"/>
      <c r="AY448" s="1621"/>
      <c r="AZ448" s="1621"/>
      <c r="BA448" s="1621"/>
      <c r="BB448" s="1621"/>
      <c r="BC448" s="1621"/>
      <c r="BD448" s="1621"/>
      <c r="BE448" s="1621"/>
      <c r="BF448" s="1621"/>
      <c r="BG448" s="1621"/>
      <c r="BH448" s="1621"/>
      <c r="BI448" s="1621"/>
      <c r="BJ448" s="1621"/>
    </row>
    <row r="449" spans="1:62" ht="13.15" customHeight="1">
      <c r="A449" s="1458"/>
      <c r="B449" s="1458"/>
      <c r="C449" s="2346"/>
      <c r="D449" s="1587"/>
      <c r="E449" s="1587"/>
      <c r="F449" s="1587"/>
      <c r="G449" s="1587"/>
      <c r="H449" s="1587"/>
      <c r="I449" s="1587"/>
      <c r="J449" s="1587"/>
      <c r="K449" s="1587"/>
      <c r="L449" s="1587"/>
      <c r="M449" s="1587"/>
      <c r="N449" s="1587"/>
      <c r="O449" s="4370"/>
      <c r="P449" s="4370"/>
      <c r="Q449" s="4370"/>
      <c r="R449" s="4370"/>
      <c r="S449" s="4370"/>
      <c r="T449" s="4370"/>
      <c r="U449" s="4370"/>
      <c r="V449" s="4370"/>
      <c r="W449" s="4370"/>
      <c r="X449" s="2363"/>
      <c r="Y449" s="4366"/>
      <c r="Z449" s="4367"/>
      <c r="AA449" s="4367"/>
      <c r="AB449" s="4368"/>
      <c r="AD449" s="1621"/>
      <c r="AE449" s="1621"/>
      <c r="AF449" s="1624"/>
      <c r="AG449" s="1624"/>
      <c r="AH449" s="1621"/>
      <c r="AI449" s="1621"/>
      <c r="AJ449" s="1621"/>
      <c r="AK449" s="1621"/>
      <c r="AL449" s="1621"/>
      <c r="AM449" s="1621"/>
      <c r="AN449" s="1621"/>
      <c r="AO449" s="1621"/>
      <c r="AP449" s="1621"/>
      <c r="AQ449" s="1621"/>
      <c r="AR449" s="1621"/>
      <c r="AS449" s="1621"/>
      <c r="AT449" s="1621"/>
      <c r="AU449" s="1621"/>
      <c r="AV449" s="1621"/>
      <c r="AW449" s="1621"/>
      <c r="AX449" s="1621"/>
      <c r="AY449" s="1621"/>
      <c r="AZ449" s="1621"/>
      <c r="BA449" s="1621"/>
      <c r="BB449" s="1621"/>
      <c r="BC449" s="1621"/>
      <c r="BD449" s="1621"/>
      <c r="BE449" s="1621"/>
      <c r="BF449" s="1621"/>
      <c r="BG449" s="1621"/>
      <c r="BH449" s="1621"/>
      <c r="BI449" s="1621"/>
      <c r="BJ449" s="1621"/>
    </row>
    <row r="450" spans="1:62">
      <c r="A450" s="1458"/>
      <c r="B450" s="1458"/>
      <c r="C450" s="2346"/>
      <c r="D450" s="1587"/>
      <c r="E450" s="1587"/>
      <c r="F450" s="1587"/>
      <c r="G450" s="1587"/>
      <c r="H450" s="1587"/>
      <c r="I450" s="1587"/>
      <c r="J450" s="1587"/>
      <c r="K450" s="1587"/>
      <c r="L450" s="1587"/>
      <c r="M450" s="1587"/>
      <c r="N450" s="1587"/>
      <c r="O450" s="3407" t="s">
        <v>2587</v>
      </c>
      <c r="P450" s="1587"/>
      <c r="Q450" s="1587"/>
      <c r="R450" s="1587"/>
      <c r="S450" s="1587"/>
      <c r="T450" s="1585"/>
      <c r="U450" s="1587"/>
      <c r="V450" s="1585"/>
      <c r="W450" s="1585"/>
      <c r="X450" s="2363"/>
      <c r="Y450" s="4366"/>
      <c r="Z450" s="4367"/>
      <c r="AA450" s="4367"/>
      <c r="AB450" s="4368"/>
      <c r="AD450" s="1621"/>
      <c r="AE450" s="1621"/>
      <c r="AF450" s="1624"/>
      <c r="AG450" s="1624"/>
      <c r="AH450" s="1621"/>
      <c r="AI450" s="1621"/>
      <c r="AJ450" s="1621"/>
      <c r="AK450" s="1621"/>
      <c r="AL450" s="1621"/>
      <c r="AM450" s="1621"/>
      <c r="AN450" s="1621"/>
      <c r="AO450" s="1621"/>
      <c r="AP450" s="1621"/>
      <c r="AQ450" s="1621"/>
      <c r="AR450" s="1621"/>
      <c r="AS450" s="1621"/>
      <c r="AT450" s="1621"/>
      <c r="AU450" s="1621"/>
      <c r="AV450" s="1621"/>
      <c r="AW450" s="1621"/>
      <c r="AX450" s="1621"/>
      <c r="AY450" s="1621"/>
      <c r="AZ450" s="1621"/>
      <c r="BA450" s="1621"/>
      <c r="BB450" s="1621"/>
      <c r="BC450" s="1621"/>
      <c r="BD450" s="1621"/>
      <c r="BE450" s="1621"/>
      <c r="BF450" s="1621"/>
      <c r="BG450" s="1621"/>
      <c r="BH450" s="1621"/>
      <c r="BI450" s="1621"/>
      <c r="BJ450" s="1621"/>
    </row>
    <row r="451" spans="1:62">
      <c r="A451" s="1458"/>
      <c r="B451" s="1458"/>
      <c r="C451" s="2346"/>
      <c r="D451" s="1587"/>
      <c r="E451" s="1587"/>
      <c r="F451" s="1587"/>
      <c r="G451" s="1587"/>
      <c r="H451" s="1587"/>
      <c r="I451" s="1587"/>
      <c r="J451" s="1587"/>
      <c r="K451" s="1587"/>
      <c r="L451" s="1587"/>
      <c r="M451" s="1587"/>
      <c r="N451" s="1587"/>
      <c r="O451" s="1587"/>
      <c r="P451" s="1587"/>
      <c r="Q451" s="1587"/>
      <c r="R451" s="1587"/>
      <c r="S451" s="1587"/>
      <c r="T451" s="1585"/>
      <c r="U451" s="1587"/>
      <c r="V451" s="1585"/>
      <c r="W451" s="1585"/>
      <c r="X451" s="2363"/>
      <c r="Y451" s="3737" t="s">
        <v>1392</v>
      </c>
      <c r="Z451" s="3738"/>
      <c r="AA451" s="3738"/>
      <c r="AB451" s="3739"/>
      <c r="AD451" s="1621"/>
      <c r="AE451" s="1621"/>
      <c r="AF451" s="1624"/>
      <c r="AG451" s="1624"/>
      <c r="AH451" s="1621"/>
      <c r="AI451" s="1621"/>
      <c r="AJ451" s="1621"/>
      <c r="AK451" s="1621"/>
      <c r="AL451" s="1621"/>
      <c r="AM451" s="1621"/>
      <c r="AN451" s="1621"/>
      <c r="AO451" s="1621"/>
      <c r="AP451" s="1621"/>
      <c r="AQ451" s="1621"/>
      <c r="AR451" s="1621"/>
      <c r="AS451" s="1621"/>
      <c r="AT451" s="1621"/>
      <c r="AU451" s="1621"/>
      <c r="AV451" s="1621"/>
      <c r="AW451" s="1621"/>
      <c r="AX451" s="1621"/>
      <c r="AY451" s="1621"/>
      <c r="AZ451" s="1621"/>
      <c r="BA451" s="1621"/>
      <c r="BB451" s="1621"/>
      <c r="BC451" s="1621"/>
      <c r="BD451" s="1621"/>
      <c r="BE451" s="1621"/>
      <c r="BF451" s="1621"/>
      <c r="BG451" s="1621"/>
      <c r="BH451" s="1621"/>
      <c r="BI451" s="1621"/>
      <c r="BJ451" s="1621"/>
    </row>
    <row r="452" spans="1:62">
      <c r="A452" s="1458"/>
      <c r="B452" s="1458"/>
      <c r="C452" s="2346"/>
      <c r="D452" s="1587"/>
      <c r="E452" s="1587"/>
      <c r="F452" s="1587"/>
      <c r="G452" s="1587"/>
      <c r="H452" s="1587"/>
      <c r="I452" s="1587"/>
      <c r="J452" s="1587"/>
      <c r="K452" s="1587"/>
      <c r="L452" s="1587"/>
      <c r="M452" s="1587"/>
      <c r="N452" s="1587"/>
      <c r="O452" s="1587"/>
      <c r="P452" s="1587"/>
      <c r="Q452" s="1587"/>
      <c r="R452" s="1587"/>
      <c r="S452" s="1587"/>
      <c r="T452" s="1585"/>
      <c r="U452" s="1587"/>
      <c r="V452" s="1585"/>
      <c r="W452" s="1585"/>
      <c r="X452" s="2363"/>
      <c r="Y452" s="3737" t="s">
        <v>1393</v>
      </c>
      <c r="Z452" s="1614"/>
      <c r="AA452" s="3402"/>
      <c r="AB452" s="3739"/>
      <c r="AD452" s="1621"/>
      <c r="AE452" s="1621"/>
      <c r="AF452" s="1624"/>
      <c r="AG452" s="1624"/>
      <c r="AH452" s="1621"/>
      <c r="AI452" s="1621"/>
      <c r="AJ452" s="1621"/>
      <c r="AK452" s="1621"/>
      <c r="AL452" s="1621"/>
      <c r="AM452" s="1621"/>
      <c r="AN452" s="1621"/>
      <c r="AO452" s="1621"/>
      <c r="AP452" s="1621"/>
      <c r="AQ452" s="1621"/>
      <c r="AR452" s="1621"/>
      <c r="AS452" s="1621"/>
      <c r="AT452" s="1621"/>
      <c r="AU452" s="1621"/>
      <c r="AV452" s="1621"/>
      <c r="AW452" s="1621"/>
      <c r="AX452" s="1621"/>
      <c r="AY452" s="1621"/>
      <c r="AZ452" s="1621"/>
      <c r="BA452" s="1621"/>
      <c r="BB452" s="1621"/>
      <c r="BC452" s="1621"/>
      <c r="BD452" s="1621"/>
      <c r="BE452" s="1621"/>
      <c r="BF452" s="1621"/>
      <c r="BG452" s="1621"/>
      <c r="BH452" s="1621"/>
      <c r="BI452" s="1621"/>
      <c r="BJ452" s="1621"/>
    </row>
    <row r="453" spans="1:62">
      <c r="A453" s="1458"/>
      <c r="B453" s="1458"/>
      <c r="C453" s="2346"/>
      <c r="D453" s="1587"/>
      <c r="E453" s="1587"/>
      <c r="F453" s="1587"/>
      <c r="G453" s="1587"/>
      <c r="H453" s="1587"/>
      <c r="I453" s="1587"/>
      <c r="J453" s="1587"/>
      <c r="K453" s="1587"/>
      <c r="L453" s="1587"/>
      <c r="M453" s="1587"/>
      <c r="N453" s="1587"/>
      <c r="O453" s="1587"/>
      <c r="P453" s="1587"/>
      <c r="Q453" s="1587"/>
      <c r="R453" s="1587"/>
      <c r="S453" s="1587"/>
      <c r="T453" s="1585"/>
      <c r="U453" s="1587"/>
      <c r="V453" s="1585"/>
      <c r="W453" s="1585"/>
      <c r="X453" s="2363"/>
      <c r="Y453" s="3737" t="s">
        <v>1394</v>
      </c>
      <c r="Z453" s="1614"/>
      <c r="AA453" s="3402"/>
      <c r="AB453" s="3739"/>
      <c r="AD453" s="1621"/>
      <c r="AE453" s="1621"/>
      <c r="AF453" s="1624"/>
      <c r="AG453" s="1624"/>
      <c r="AH453" s="1621"/>
      <c r="AI453" s="1621"/>
      <c r="AJ453" s="1621"/>
      <c r="AK453" s="1621"/>
      <c r="AL453" s="1621"/>
      <c r="AM453" s="1621"/>
      <c r="AN453" s="1621"/>
      <c r="AO453" s="1621"/>
      <c r="AP453" s="1621"/>
      <c r="AQ453" s="1621"/>
      <c r="AR453" s="1621"/>
      <c r="AS453" s="1621"/>
      <c r="AT453" s="1621"/>
      <c r="AU453" s="1621"/>
      <c r="AV453" s="1621"/>
      <c r="AW453" s="1621"/>
      <c r="AX453" s="1621"/>
      <c r="AY453" s="1621"/>
      <c r="AZ453" s="1621"/>
      <c r="BA453" s="1621"/>
      <c r="BB453" s="1621"/>
      <c r="BC453" s="1621"/>
      <c r="BD453" s="1621"/>
      <c r="BE453" s="1621"/>
      <c r="BF453" s="1621"/>
      <c r="BG453" s="1621"/>
      <c r="BH453" s="1621"/>
      <c r="BI453" s="1621"/>
      <c r="BJ453" s="1621"/>
    </row>
    <row r="454" spans="1:62">
      <c r="A454" s="1458"/>
      <c r="B454" s="1458"/>
      <c r="C454" s="2346"/>
      <c r="D454" s="1587"/>
      <c r="E454" s="1587"/>
      <c r="F454" s="1587"/>
      <c r="G454" s="1587"/>
      <c r="H454" s="1587"/>
      <c r="I454" s="1587"/>
      <c r="J454" s="1587"/>
      <c r="K454" s="1587"/>
      <c r="L454" s="1587"/>
      <c r="M454" s="1587"/>
      <c r="N454" s="1587"/>
      <c r="O454" s="1621"/>
      <c r="P454" s="1587"/>
      <c r="Q454" s="1587"/>
      <c r="R454" s="1587"/>
      <c r="S454" s="1587"/>
      <c r="T454" s="1585"/>
      <c r="U454" s="1621"/>
      <c r="V454" s="1585"/>
      <c r="W454" s="1585"/>
      <c r="X454" s="2363"/>
      <c r="Y454" s="3740" t="s">
        <v>1395</v>
      </c>
      <c r="Z454" s="1614"/>
      <c r="AA454" s="3402"/>
      <c r="AB454" s="3739"/>
      <c r="AD454" s="1621"/>
      <c r="AE454" s="1621"/>
      <c r="AF454" s="1624"/>
      <c r="AG454" s="1624"/>
      <c r="AH454" s="1621"/>
      <c r="AI454" s="1621"/>
      <c r="AJ454" s="1621"/>
      <c r="AK454" s="1621"/>
      <c r="AL454" s="1621"/>
      <c r="AM454" s="1621"/>
      <c r="AN454" s="1621"/>
      <c r="AO454" s="1621"/>
      <c r="AP454" s="1621"/>
      <c r="AQ454" s="1621"/>
      <c r="AR454" s="1621"/>
      <c r="AS454" s="1621"/>
      <c r="AT454" s="1621"/>
      <c r="AU454" s="1621"/>
      <c r="AV454" s="1621"/>
      <c r="AW454" s="1621"/>
      <c r="AX454" s="1621"/>
      <c r="AY454" s="1621"/>
      <c r="AZ454" s="1621"/>
      <c r="BA454" s="1621"/>
      <c r="BB454" s="1621"/>
      <c r="BC454" s="1621"/>
      <c r="BD454" s="1621"/>
      <c r="BE454" s="1621"/>
      <c r="BF454" s="1621"/>
      <c r="BG454" s="1621"/>
      <c r="BH454" s="1621"/>
      <c r="BI454" s="1621"/>
      <c r="BJ454" s="1621"/>
    </row>
    <row r="455" spans="1:62">
      <c r="A455" s="1458"/>
      <c r="B455" s="1458"/>
      <c r="C455" s="2346"/>
      <c r="D455" s="1587"/>
      <c r="E455" s="1587"/>
      <c r="F455" s="1587"/>
      <c r="G455" s="1587"/>
      <c r="H455" s="1587"/>
      <c r="I455" s="1587"/>
      <c r="J455" s="1587"/>
      <c r="K455" s="1587"/>
      <c r="L455" s="1587"/>
      <c r="M455" s="1587"/>
      <c r="N455" s="1587"/>
      <c r="O455" s="1587"/>
      <c r="P455" s="1587"/>
      <c r="Q455" s="1628" t="s">
        <v>1415</v>
      </c>
      <c r="R455" s="1455"/>
      <c r="S455" s="1455"/>
      <c r="T455" s="1455"/>
      <c r="U455" s="1455"/>
      <c r="V455" s="1455"/>
      <c r="W455" s="1455"/>
      <c r="X455" s="2363"/>
      <c r="Y455" s="3741" t="s">
        <v>1411</v>
      </c>
      <c r="Z455" s="1693"/>
      <c r="AA455" s="3742"/>
      <c r="AB455" s="3681"/>
      <c r="AD455" s="1621"/>
      <c r="AE455" s="1621"/>
      <c r="AF455" s="1624"/>
      <c r="AG455" s="1624"/>
      <c r="AH455" s="1621"/>
      <c r="AI455" s="1621"/>
      <c r="AJ455" s="1621"/>
      <c r="AK455" s="1621"/>
      <c r="AL455" s="1621"/>
      <c r="AM455" s="1621"/>
      <c r="AN455" s="1621"/>
      <c r="AO455" s="1621"/>
      <c r="AP455" s="1621"/>
      <c r="AQ455" s="1621"/>
      <c r="AR455" s="1621"/>
      <c r="AS455" s="1621"/>
      <c r="AT455" s="1621"/>
      <c r="AU455" s="1621"/>
      <c r="AV455" s="1621"/>
      <c r="AW455" s="1621"/>
      <c r="AX455" s="1621"/>
      <c r="AY455" s="1621"/>
      <c r="AZ455" s="1621"/>
      <c r="BA455" s="1621"/>
      <c r="BB455" s="1621"/>
      <c r="BC455" s="1621"/>
      <c r="BD455" s="1621"/>
      <c r="BE455" s="1621"/>
      <c r="BF455" s="1621"/>
      <c r="BG455" s="1621"/>
      <c r="BH455" s="1621"/>
      <c r="BI455" s="1621"/>
      <c r="BJ455" s="1621"/>
    </row>
    <row r="456" spans="1:62" ht="13.15" customHeight="1">
      <c r="A456" s="1458"/>
      <c r="B456" s="1458"/>
      <c r="C456" s="2346"/>
      <c r="D456" s="1587"/>
      <c r="E456" s="1587"/>
      <c r="F456" s="1587"/>
      <c r="G456" s="1587"/>
      <c r="H456" s="1587"/>
      <c r="I456" s="1587"/>
      <c r="J456" s="1587"/>
      <c r="K456" s="1587"/>
      <c r="L456" s="1587"/>
      <c r="M456" s="1587"/>
      <c r="N456" s="1587"/>
      <c r="O456" s="1587"/>
      <c r="P456" s="1587"/>
      <c r="Q456" s="1621"/>
      <c r="R456" s="1621"/>
      <c r="S456" s="1621"/>
      <c r="T456" s="1621"/>
      <c r="U456" s="1621"/>
      <c r="V456" s="1621"/>
      <c r="W456" s="1621"/>
      <c r="X456" s="2363"/>
      <c r="Y456" s="2269"/>
      <c r="Z456" s="2012" t="s">
        <v>1387</v>
      </c>
      <c r="AA456" s="1626"/>
      <c r="AB456" s="1621"/>
      <c r="AD456" s="1621"/>
      <c r="AE456" s="1621"/>
      <c r="AF456" s="1624"/>
      <c r="AG456" s="1624"/>
      <c r="AH456" s="1621"/>
      <c r="AI456" s="1621"/>
      <c r="AJ456" s="1621"/>
      <c r="AK456" s="1621"/>
      <c r="AL456" s="1621"/>
      <c r="AM456" s="1621"/>
      <c r="AN456" s="1621"/>
      <c r="AO456" s="1621"/>
      <c r="AP456" s="1621"/>
      <c r="AQ456" s="1621"/>
      <c r="AR456" s="1621"/>
      <c r="AS456" s="1621"/>
      <c r="AT456" s="1621"/>
      <c r="AU456" s="1621"/>
      <c r="AV456" s="1621"/>
      <c r="AW456" s="1621"/>
      <c r="AX456" s="1621"/>
      <c r="AY456" s="1621"/>
      <c r="AZ456" s="1621"/>
      <c r="BA456" s="1621"/>
      <c r="BB456" s="1621"/>
      <c r="BC456" s="1621"/>
      <c r="BD456" s="1621"/>
      <c r="BE456" s="1621"/>
      <c r="BF456" s="1621"/>
      <c r="BG456" s="1621"/>
      <c r="BH456" s="1621"/>
      <c r="BI456" s="1621"/>
      <c r="BJ456" s="1621"/>
    </row>
    <row r="457" spans="1:62" ht="13.15" customHeight="1">
      <c r="A457" s="1458"/>
      <c r="B457" s="1458"/>
      <c r="C457" s="2346"/>
      <c r="D457" s="1621"/>
      <c r="E457" s="1621"/>
      <c r="F457" s="1621"/>
      <c r="G457" s="1621"/>
      <c r="H457" s="1621"/>
      <c r="I457" s="1621"/>
      <c r="J457" s="1621"/>
      <c r="K457" s="1621"/>
      <c r="L457" s="1621"/>
      <c r="M457" s="1621"/>
      <c r="N457" s="1621"/>
      <c r="O457" s="1621"/>
      <c r="P457" s="1621"/>
      <c r="Q457" s="4475" t="s">
        <v>1890</v>
      </c>
      <c r="R457" s="4476"/>
      <c r="S457" s="4476"/>
      <c r="T457" s="4476"/>
      <c r="U457" s="4476"/>
      <c r="V457" s="4476"/>
      <c r="W457" s="4477"/>
      <c r="X457" s="2363"/>
      <c r="Y457" s="3632" t="s">
        <v>2591</v>
      </c>
      <c r="Z457" s="107"/>
      <c r="AA457" s="107"/>
      <c r="AB457" s="1433"/>
      <c r="AD457" s="1621"/>
      <c r="AE457" s="1621"/>
      <c r="AF457" s="1624"/>
      <c r="AG457" s="1624"/>
      <c r="AH457" s="1621"/>
      <c r="AI457" s="1621"/>
      <c r="AJ457" s="1621"/>
      <c r="AK457" s="1621"/>
      <c r="AL457" s="1621"/>
      <c r="AM457" s="1621"/>
      <c r="AN457" s="1621"/>
      <c r="AO457" s="1621"/>
      <c r="AP457" s="1621"/>
      <c r="AQ457" s="1621"/>
      <c r="AR457" s="1621"/>
      <c r="AS457" s="1621"/>
      <c r="AT457" s="1621"/>
      <c r="AU457" s="1621"/>
      <c r="AV457" s="1621"/>
      <c r="AW457" s="1621"/>
      <c r="AX457" s="1621"/>
      <c r="AY457" s="1621"/>
      <c r="AZ457" s="1621"/>
      <c r="BA457" s="1621"/>
      <c r="BB457" s="1621"/>
      <c r="BC457" s="1621"/>
      <c r="BD457" s="1621"/>
      <c r="BE457" s="1621"/>
      <c r="BF457" s="1621"/>
      <c r="BG457" s="1621"/>
      <c r="BH457" s="1621"/>
      <c r="BI457" s="1621"/>
      <c r="BJ457" s="1621"/>
    </row>
    <row r="458" spans="1:62">
      <c r="A458" s="1458"/>
      <c r="B458" s="1458"/>
      <c r="C458" s="2346"/>
      <c r="D458" s="1621"/>
      <c r="E458" s="1621"/>
      <c r="F458" s="1621"/>
      <c r="G458" s="1621"/>
      <c r="H458" s="1621"/>
      <c r="I458" s="1621"/>
      <c r="J458" s="1621"/>
      <c r="K458" s="1621"/>
      <c r="L458" s="1621"/>
      <c r="M458" s="1621"/>
      <c r="N458" s="1621"/>
      <c r="O458" s="1621"/>
      <c r="P458" s="1621"/>
      <c r="Q458" s="4478"/>
      <c r="R458" s="4479"/>
      <c r="S458" s="4479"/>
      <c r="T458" s="4479"/>
      <c r="U458" s="4479"/>
      <c r="V458" s="4479"/>
      <c r="W458" s="4480"/>
      <c r="X458" s="2363"/>
      <c r="Y458" s="3656" t="s">
        <v>1549</v>
      </c>
      <c r="Z458" s="1985"/>
      <c r="AA458" s="1985"/>
      <c r="AB458" s="1787"/>
      <c r="AD458" s="1621"/>
      <c r="AE458" s="1621"/>
      <c r="AF458" s="1624"/>
      <c r="AG458" s="1624"/>
      <c r="AH458" s="1621"/>
      <c r="AI458" s="1621"/>
      <c r="AJ458" s="1621"/>
      <c r="AK458" s="1621"/>
      <c r="AL458" s="1621"/>
      <c r="AM458" s="1621"/>
      <c r="AN458" s="1621"/>
      <c r="AO458" s="1621"/>
      <c r="AP458" s="1621"/>
      <c r="AQ458" s="1621"/>
      <c r="AR458" s="1621"/>
      <c r="AS458" s="1621"/>
      <c r="AT458" s="1621"/>
      <c r="AU458" s="1621"/>
      <c r="AV458" s="1621"/>
      <c r="AW458" s="1621"/>
      <c r="AX458" s="1621"/>
      <c r="AY458" s="1621"/>
      <c r="AZ458" s="1621"/>
      <c r="BA458" s="1621"/>
      <c r="BB458" s="1621"/>
      <c r="BC458" s="1621"/>
      <c r="BD458" s="1621"/>
      <c r="BE458" s="1621"/>
      <c r="BF458" s="1621"/>
      <c r="BG458" s="1621"/>
      <c r="BH458" s="1621"/>
      <c r="BI458" s="1621"/>
      <c r="BJ458" s="1621"/>
    </row>
    <row r="459" spans="1:62">
      <c r="A459" s="1458"/>
      <c r="B459" s="1458"/>
      <c r="C459" s="2346"/>
      <c r="D459" s="1621"/>
      <c r="E459" s="1621"/>
      <c r="F459" s="1621"/>
      <c r="G459" s="1621"/>
      <c r="H459" s="1621"/>
      <c r="I459" s="1621"/>
      <c r="J459" s="1621"/>
      <c r="K459" s="1621"/>
      <c r="L459" s="1621"/>
      <c r="M459" s="1621"/>
      <c r="N459" s="1621"/>
      <c r="O459" s="1621"/>
      <c r="P459" s="1621"/>
      <c r="Q459" s="4478"/>
      <c r="R459" s="4479"/>
      <c r="S459" s="4479"/>
      <c r="T459" s="4479"/>
      <c r="U459" s="4479"/>
      <c r="V459" s="4479"/>
      <c r="W459" s="4480"/>
      <c r="X459" s="2363"/>
      <c r="Y459" s="3656" t="s">
        <v>1545</v>
      </c>
      <c r="Z459" s="1985"/>
      <c r="AA459" s="1985"/>
      <c r="AB459" s="1787"/>
      <c r="AD459" s="1621"/>
      <c r="AE459" s="1621"/>
      <c r="AF459" s="1624"/>
      <c r="AG459" s="1624"/>
      <c r="AH459" s="1621"/>
      <c r="AI459" s="1621"/>
      <c r="AJ459" s="1621"/>
      <c r="AK459" s="1621"/>
      <c r="AL459" s="1621"/>
      <c r="AM459" s="1621"/>
      <c r="AN459" s="1621"/>
      <c r="AO459" s="1621"/>
      <c r="AP459" s="1621"/>
      <c r="AQ459" s="1621"/>
      <c r="AR459" s="1621"/>
      <c r="AS459" s="1621"/>
      <c r="AT459" s="1621"/>
      <c r="AU459" s="1621"/>
      <c r="AV459" s="1621"/>
      <c r="AW459" s="1621"/>
      <c r="AX459" s="1621"/>
      <c r="AY459" s="1621"/>
      <c r="AZ459" s="1621"/>
      <c r="BA459" s="1621"/>
      <c r="BB459" s="1621"/>
      <c r="BC459" s="1621"/>
      <c r="BD459" s="1621"/>
      <c r="BE459" s="1621"/>
      <c r="BF459" s="1621"/>
      <c r="BG459" s="1621"/>
      <c r="BH459" s="1621"/>
      <c r="BI459" s="1621"/>
      <c r="BJ459" s="1621"/>
    </row>
    <row r="460" spans="1:62">
      <c r="A460" s="1458"/>
      <c r="B460" s="1458"/>
      <c r="C460" s="2346"/>
      <c r="D460" s="1621"/>
      <c r="E460" s="1621"/>
      <c r="F460" s="1621"/>
      <c r="G460" s="1621"/>
      <c r="H460" s="1621"/>
      <c r="I460" s="1621"/>
      <c r="J460" s="1621"/>
      <c r="K460" s="1621"/>
      <c r="L460" s="1621"/>
      <c r="M460" s="1621"/>
      <c r="N460" s="1621"/>
      <c r="O460" s="1621"/>
      <c r="P460" s="1621"/>
      <c r="Q460" s="4478"/>
      <c r="R460" s="4479"/>
      <c r="S460" s="4479"/>
      <c r="T460" s="4479"/>
      <c r="U460" s="4479"/>
      <c r="V460" s="4479"/>
      <c r="W460" s="4480"/>
      <c r="X460" s="2363"/>
      <c r="Y460" s="3656" t="s">
        <v>1546</v>
      </c>
      <c r="Z460" s="1985"/>
      <c r="AA460" s="1985"/>
      <c r="AB460" s="1787"/>
      <c r="AD460" s="1621"/>
      <c r="AE460" s="1621"/>
      <c r="AF460" s="1624"/>
      <c r="AG460" s="1624"/>
      <c r="AH460" s="1621"/>
      <c r="AI460" s="1621"/>
      <c r="AJ460" s="1621"/>
      <c r="AK460" s="1621"/>
      <c r="AL460" s="1621"/>
      <c r="AM460" s="1621"/>
      <c r="AN460" s="1621"/>
      <c r="AO460" s="1621"/>
      <c r="AP460" s="1621"/>
      <c r="AQ460" s="1621"/>
      <c r="AR460" s="1621"/>
      <c r="AS460" s="1621"/>
      <c r="AT460" s="1621"/>
      <c r="AU460" s="1621"/>
      <c r="AV460" s="1621"/>
      <c r="AW460" s="1621"/>
      <c r="AX460" s="1621"/>
      <c r="AY460" s="1621"/>
      <c r="AZ460" s="1621"/>
      <c r="BA460" s="1621"/>
      <c r="BB460" s="1621"/>
      <c r="BC460" s="1621"/>
      <c r="BD460" s="1621"/>
      <c r="BE460" s="1621"/>
      <c r="BF460" s="1621"/>
      <c r="BG460" s="1621"/>
      <c r="BH460" s="1621"/>
      <c r="BI460" s="1621"/>
      <c r="BJ460" s="1621"/>
    </row>
    <row r="461" spans="1:62">
      <c r="A461" s="1458"/>
      <c r="B461" s="1458"/>
      <c r="C461" s="2346"/>
      <c r="D461" s="1621"/>
      <c r="E461" s="1621"/>
      <c r="F461" s="1621"/>
      <c r="G461" s="1621"/>
      <c r="H461" s="1621"/>
      <c r="I461" s="1621"/>
      <c r="J461" s="1621"/>
      <c r="K461" s="1621"/>
      <c r="L461" s="1621"/>
      <c r="M461" s="1621"/>
      <c r="N461" s="1621"/>
      <c r="O461" s="1621"/>
      <c r="P461" s="1621"/>
      <c r="Q461" s="4478"/>
      <c r="R461" s="4479"/>
      <c r="S461" s="4479"/>
      <c r="T461" s="4479"/>
      <c r="U461" s="4479"/>
      <c r="V461" s="4479"/>
      <c r="W461" s="4480"/>
      <c r="X461" s="2363"/>
      <c r="Y461" s="3656" t="s">
        <v>1547</v>
      </c>
      <c r="Z461" s="1985"/>
      <c r="AA461" s="1985"/>
      <c r="AB461" s="1787"/>
      <c r="AD461" s="1621"/>
      <c r="AE461" s="1621"/>
      <c r="AF461" s="1624"/>
      <c r="AG461" s="1624"/>
      <c r="AH461" s="1621"/>
      <c r="AI461" s="1621"/>
      <c r="AJ461" s="1621"/>
      <c r="AK461" s="1621"/>
      <c r="AL461" s="1621"/>
      <c r="AM461" s="1621"/>
      <c r="AN461" s="1621"/>
      <c r="AO461" s="1621"/>
      <c r="AP461" s="1621"/>
      <c r="AQ461" s="1621"/>
      <c r="AR461" s="1621"/>
      <c r="AS461" s="1621"/>
      <c r="AT461" s="1621"/>
      <c r="AU461" s="1621"/>
      <c r="AV461" s="1621"/>
      <c r="AW461" s="1621"/>
      <c r="AX461" s="1621"/>
      <c r="AY461" s="1621"/>
      <c r="AZ461" s="1621"/>
      <c r="BA461" s="1621"/>
      <c r="BB461" s="1621"/>
      <c r="BC461" s="1621"/>
      <c r="BD461" s="1621"/>
      <c r="BE461" s="1621"/>
      <c r="BF461" s="1621"/>
      <c r="BG461" s="1621"/>
      <c r="BH461" s="1621"/>
      <c r="BI461" s="1621"/>
      <c r="BJ461" s="1621"/>
    </row>
    <row r="462" spans="1:62">
      <c r="A462" s="1458"/>
      <c r="B462" s="1458"/>
      <c r="C462" s="2346"/>
      <c r="D462" s="1621"/>
      <c r="E462" s="1621"/>
      <c r="F462" s="1621"/>
      <c r="G462" s="1621"/>
      <c r="H462" s="1621"/>
      <c r="I462" s="1621"/>
      <c r="J462" s="1621"/>
      <c r="K462" s="1621"/>
      <c r="L462" s="1621"/>
      <c r="M462" s="1621"/>
      <c r="N462" s="1621"/>
      <c r="O462" s="1621"/>
      <c r="P462" s="1621"/>
      <c r="Q462" s="4478"/>
      <c r="R462" s="4479"/>
      <c r="S462" s="4479"/>
      <c r="T462" s="4479"/>
      <c r="U462" s="4479"/>
      <c r="V462" s="4479"/>
      <c r="W462" s="4480"/>
      <c r="X462" s="2363"/>
      <c r="Y462" s="3633" t="s">
        <v>1548</v>
      </c>
      <c r="Z462" s="90"/>
      <c r="AA462" s="1945"/>
      <c r="AB462" s="91"/>
      <c r="AD462" s="1621"/>
      <c r="AE462" s="1621"/>
      <c r="AF462" s="1624"/>
      <c r="AG462" s="1624"/>
      <c r="AH462" s="1621"/>
      <c r="AI462" s="1621"/>
      <c r="AJ462" s="1621"/>
      <c r="AK462" s="1621"/>
      <c r="AL462" s="1621"/>
      <c r="AM462" s="1621"/>
      <c r="AN462" s="1621"/>
      <c r="AO462" s="1621"/>
      <c r="AP462" s="1621"/>
      <c r="AQ462" s="1621"/>
      <c r="AR462" s="1621"/>
      <c r="AS462" s="1621"/>
      <c r="AT462" s="1621"/>
      <c r="AU462" s="1621"/>
      <c r="AV462" s="1621"/>
      <c r="AW462" s="1621"/>
      <c r="AX462" s="1621"/>
      <c r="AY462" s="1621"/>
      <c r="AZ462" s="1621"/>
      <c r="BA462" s="1621"/>
      <c r="BB462" s="1621"/>
      <c r="BC462" s="1621"/>
      <c r="BD462" s="1621"/>
      <c r="BE462" s="1621"/>
      <c r="BF462" s="1621"/>
      <c r="BG462" s="1621"/>
      <c r="BH462" s="1621"/>
      <c r="BI462" s="1621"/>
      <c r="BJ462" s="1621"/>
    </row>
    <row r="463" spans="1:62">
      <c r="A463" s="1458"/>
      <c r="B463" s="1458"/>
      <c r="C463" s="2346"/>
      <c r="D463" s="1621"/>
      <c r="E463" s="1621"/>
      <c r="F463" s="1621"/>
      <c r="G463" s="1621"/>
      <c r="H463" s="1621"/>
      <c r="I463" s="1621"/>
      <c r="J463" s="1621"/>
      <c r="K463" s="1621"/>
      <c r="L463" s="1621"/>
      <c r="M463" s="1621"/>
      <c r="N463" s="1621"/>
      <c r="O463" s="1621"/>
      <c r="P463" s="1621"/>
      <c r="Q463" s="4478"/>
      <c r="R463" s="4479"/>
      <c r="S463" s="4479"/>
      <c r="T463" s="4479"/>
      <c r="U463" s="4479"/>
      <c r="V463" s="4479"/>
      <c r="W463" s="4480"/>
      <c r="X463" s="2363"/>
      <c r="Y463" s="2269"/>
      <c r="Z463" s="1089"/>
      <c r="AA463" s="1089"/>
      <c r="AB463" s="1089"/>
      <c r="AD463" s="1621"/>
      <c r="AE463" s="1621"/>
      <c r="AF463" s="1624"/>
      <c r="AG463" s="1624"/>
      <c r="AH463" s="1621"/>
      <c r="AI463" s="1621"/>
      <c r="AJ463" s="1621"/>
      <c r="AK463" s="1621"/>
      <c r="AL463" s="1621"/>
      <c r="AM463" s="1621"/>
      <c r="AN463" s="1621"/>
      <c r="AO463" s="1621"/>
      <c r="AP463" s="1621"/>
      <c r="AQ463" s="1621"/>
      <c r="AR463" s="1621"/>
      <c r="AS463" s="1621"/>
      <c r="AT463" s="1621"/>
      <c r="AU463" s="1621"/>
      <c r="AV463" s="1621"/>
      <c r="AW463" s="1621"/>
      <c r="AX463" s="1621"/>
      <c r="AY463" s="1621"/>
      <c r="AZ463" s="1621"/>
      <c r="BA463" s="1621"/>
      <c r="BB463" s="1621"/>
      <c r="BC463" s="1621"/>
      <c r="BD463" s="1621"/>
      <c r="BE463" s="1621"/>
      <c r="BF463" s="1621"/>
      <c r="BG463" s="1621"/>
      <c r="BH463" s="1621"/>
      <c r="BI463" s="1621"/>
      <c r="BJ463" s="1621"/>
    </row>
    <row r="464" spans="1:62" ht="13.15" customHeight="1">
      <c r="A464" s="1458"/>
      <c r="B464" s="1458"/>
      <c r="C464" s="2346"/>
      <c r="D464" s="1621"/>
      <c r="E464" s="1621"/>
      <c r="F464" s="1621"/>
      <c r="G464" s="1621"/>
      <c r="H464" s="1621"/>
      <c r="I464" s="1621"/>
      <c r="J464" s="1621"/>
      <c r="K464" s="1621"/>
      <c r="L464" s="1621"/>
      <c r="M464" s="1621"/>
      <c r="N464" s="1621"/>
      <c r="O464" s="1621"/>
      <c r="P464" s="1621"/>
      <c r="Q464" s="4478"/>
      <c r="R464" s="4479"/>
      <c r="S464" s="4479"/>
      <c r="T464" s="4479"/>
      <c r="U464" s="4479"/>
      <c r="V464" s="4479"/>
      <c r="W464" s="4480"/>
      <c r="X464" s="2363"/>
      <c r="Y464" s="4311" t="s">
        <v>1414</v>
      </c>
      <c r="Z464" s="4311"/>
      <c r="AA464" s="4311"/>
      <c r="AB464" s="4311"/>
      <c r="AD464" s="1621"/>
      <c r="AE464" s="1621"/>
      <c r="AF464" s="1621"/>
      <c r="AG464" s="1624"/>
      <c r="AH464" s="1621"/>
      <c r="AI464" s="1621"/>
      <c r="AJ464" s="1621"/>
      <c r="AK464" s="1621"/>
      <c r="AL464" s="1621"/>
      <c r="AM464" s="1621"/>
      <c r="AN464" s="1621"/>
      <c r="AO464" s="1621"/>
      <c r="AP464" s="1621"/>
      <c r="AQ464" s="1621"/>
      <c r="AR464" s="1621"/>
      <c r="AS464" s="1621"/>
      <c r="AT464" s="1621"/>
      <c r="AU464" s="1621"/>
      <c r="AV464" s="1621"/>
      <c r="AW464" s="1621"/>
      <c r="AX464" s="1621"/>
      <c r="AY464" s="1621"/>
      <c r="AZ464" s="1621"/>
      <c r="BA464" s="1621"/>
      <c r="BB464" s="1621"/>
      <c r="BC464" s="1621"/>
      <c r="BD464" s="1621"/>
      <c r="BE464" s="1621"/>
      <c r="BF464" s="1621"/>
      <c r="BG464" s="1621"/>
      <c r="BH464" s="1621"/>
      <c r="BI464" s="1621"/>
      <c r="BJ464" s="1621"/>
    </row>
    <row r="465" spans="1:62">
      <c r="A465" s="1458"/>
      <c r="B465" s="1458"/>
      <c r="C465" s="2346"/>
      <c r="D465" s="1621"/>
      <c r="E465" s="1621"/>
      <c r="F465" s="1621"/>
      <c r="G465" s="1621"/>
      <c r="H465" s="1621"/>
      <c r="I465" s="1621"/>
      <c r="J465" s="1621"/>
      <c r="K465" s="1621"/>
      <c r="L465" s="1621"/>
      <c r="M465" s="1621"/>
      <c r="N465" s="1621"/>
      <c r="O465" s="1621"/>
      <c r="P465" s="1621"/>
      <c r="Q465" s="4335" t="s">
        <v>1891</v>
      </c>
      <c r="R465" s="4336"/>
      <c r="S465" s="4336"/>
      <c r="T465" s="4336"/>
      <c r="U465" s="4336"/>
      <c r="V465" s="4336"/>
      <c r="W465" s="4337"/>
      <c r="X465" s="2363"/>
      <c r="Y465" s="4311"/>
      <c r="Z465" s="4311"/>
      <c r="AA465" s="4311"/>
      <c r="AB465" s="4311"/>
      <c r="AD465" s="1621"/>
      <c r="AE465" s="1621"/>
      <c r="AF465" s="1624"/>
      <c r="AG465" s="1624"/>
      <c r="AH465" s="1621"/>
      <c r="AI465" s="1621"/>
      <c r="AJ465" s="1621"/>
      <c r="AK465" s="1621"/>
      <c r="AL465" s="1621"/>
      <c r="AM465" s="1621"/>
      <c r="AN465" s="1621"/>
      <c r="AO465" s="1621"/>
      <c r="AP465" s="1621"/>
      <c r="AQ465" s="1621"/>
      <c r="AR465" s="1621"/>
      <c r="AS465" s="1621"/>
      <c r="AT465" s="1621"/>
      <c r="AU465" s="1621"/>
      <c r="AV465" s="1621"/>
      <c r="AW465" s="1621"/>
      <c r="AX465" s="1621"/>
      <c r="AY465" s="1621"/>
      <c r="AZ465" s="1621"/>
      <c r="BA465" s="1621"/>
      <c r="BB465" s="1621"/>
      <c r="BC465" s="1621"/>
      <c r="BD465" s="1621"/>
      <c r="BE465" s="1621"/>
      <c r="BF465" s="1621"/>
      <c r="BG465" s="1621"/>
      <c r="BH465" s="1621"/>
      <c r="BI465" s="1621"/>
      <c r="BJ465" s="1621"/>
    </row>
    <row r="466" spans="1:62">
      <c r="A466" s="1458"/>
      <c r="B466" s="1458"/>
      <c r="C466" s="2346"/>
      <c r="D466" s="1621"/>
      <c r="E466" s="1621"/>
      <c r="F466" s="1621"/>
      <c r="G466" s="1621"/>
      <c r="H466" s="1621"/>
      <c r="I466" s="1621"/>
      <c r="J466" s="1621"/>
      <c r="K466" s="1621"/>
      <c r="L466" s="1621"/>
      <c r="M466" s="1621"/>
      <c r="N466" s="1621"/>
      <c r="O466" s="1621"/>
      <c r="P466" s="1621"/>
      <c r="Q466" s="4335"/>
      <c r="R466" s="4336"/>
      <c r="S466" s="4336"/>
      <c r="T466" s="4336"/>
      <c r="U466" s="4336"/>
      <c r="V466" s="4336"/>
      <c r="W466" s="4337"/>
      <c r="X466" s="2363"/>
      <c r="Y466" s="4311"/>
      <c r="Z466" s="4311"/>
      <c r="AA466" s="4311"/>
      <c r="AB466" s="4311"/>
      <c r="AD466" s="1621"/>
      <c r="AE466" s="1621"/>
      <c r="AF466" s="1624"/>
      <c r="AG466" s="1624"/>
      <c r="AH466" s="1621"/>
      <c r="AI466" s="1621"/>
      <c r="AJ466" s="1621"/>
      <c r="AK466" s="1621"/>
      <c r="AL466" s="1621"/>
      <c r="AM466" s="1621"/>
      <c r="AN466" s="1621"/>
      <c r="AO466" s="1621"/>
      <c r="AP466" s="1621"/>
      <c r="AQ466" s="1621"/>
      <c r="AR466" s="1621"/>
      <c r="AS466" s="1621"/>
      <c r="AT466" s="1621"/>
      <c r="AU466" s="1621"/>
      <c r="AV466" s="1621"/>
      <c r="AW466" s="1621"/>
      <c r="AX466" s="1621"/>
      <c r="AY466" s="1621"/>
      <c r="AZ466" s="1621"/>
      <c r="BA466" s="1621"/>
      <c r="BB466" s="1621"/>
      <c r="BC466" s="1621"/>
      <c r="BD466" s="1621"/>
      <c r="BE466" s="1621"/>
      <c r="BF466" s="1621"/>
      <c r="BG466" s="1621"/>
      <c r="BH466" s="1621"/>
      <c r="BI466" s="1621"/>
      <c r="BJ466" s="1621"/>
    </row>
    <row r="467" spans="1:62" ht="13.15" customHeight="1">
      <c r="A467" s="1458"/>
      <c r="B467" s="1458"/>
      <c r="C467" s="2346"/>
      <c r="D467" s="1621"/>
      <c r="E467" s="1621"/>
      <c r="F467" s="1621"/>
      <c r="G467" s="1621"/>
      <c r="H467" s="1621"/>
      <c r="I467" s="1621"/>
      <c r="J467" s="1621"/>
      <c r="K467" s="1621"/>
      <c r="L467" s="1621"/>
      <c r="M467" s="1621"/>
      <c r="N467" s="1621"/>
      <c r="O467" s="1621"/>
      <c r="P467" s="1621"/>
      <c r="Q467" s="4335"/>
      <c r="R467" s="4336"/>
      <c r="S467" s="4336"/>
      <c r="T467" s="4336"/>
      <c r="U467" s="4336"/>
      <c r="V467" s="4336"/>
      <c r="W467" s="4337"/>
      <c r="X467" s="2363"/>
      <c r="Y467" s="2269"/>
      <c r="Z467" s="1621"/>
      <c r="AA467" s="1621"/>
      <c r="AB467" s="1621"/>
      <c r="AD467" s="1621"/>
      <c r="AE467" s="1621"/>
      <c r="AF467" s="1624"/>
      <c r="AG467" s="1624"/>
      <c r="AH467" s="1621"/>
      <c r="AI467" s="1621"/>
      <c r="AJ467" s="1621"/>
      <c r="AK467" s="1621"/>
      <c r="AL467" s="1621"/>
      <c r="AM467" s="1621"/>
      <c r="AN467" s="1621"/>
      <c r="AO467" s="1621"/>
      <c r="AP467" s="1621"/>
      <c r="AQ467" s="1621"/>
      <c r="AR467" s="1621"/>
      <c r="AS467" s="1621"/>
      <c r="AT467" s="1621"/>
      <c r="AU467" s="1621"/>
      <c r="AV467" s="1621"/>
      <c r="AW467" s="1621"/>
      <c r="AX467" s="1621"/>
      <c r="AY467" s="1621"/>
      <c r="AZ467" s="1621"/>
      <c r="BA467" s="1621"/>
      <c r="BB467" s="1621"/>
      <c r="BC467" s="1621"/>
      <c r="BD467" s="1621"/>
      <c r="BE467" s="1621"/>
      <c r="BF467" s="1621"/>
      <c r="BG467" s="1621"/>
      <c r="BH467" s="1621"/>
      <c r="BI467" s="1621"/>
      <c r="BJ467" s="1621"/>
    </row>
    <row r="468" spans="1:62">
      <c r="A468" s="1458"/>
      <c r="B468" s="1458"/>
      <c r="C468" s="2346"/>
      <c r="D468" s="1621"/>
      <c r="E468" s="1621"/>
      <c r="F468" s="1621"/>
      <c r="G468" s="1621"/>
      <c r="H468" s="1621"/>
      <c r="I468" s="1621"/>
      <c r="J468" s="1621"/>
      <c r="K468" s="1621"/>
      <c r="L468" s="1621"/>
      <c r="M468" s="1621"/>
      <c r="N468" s="1621"/>
      <c r="O468" s="1621"/>
      <c r="P468" s="1621"/>
      <c r="Q468" s="4335"/>
      <c r="R468" s="4336"/>
      <c r="S468" s="4336"/>
      <c r="T468" s="4336"/>
      <c r="U468" s="4336"/>
      <c r="V468" s="4336"/>
      <c r="W468" s="4337"/>
      <c r="X468" s="2363"/>
      <c r="Y468" s="2269"/>
      <c r="Z468" s="1621"/>
      <c r="AA468" s="1621"/>
      <c r="AB468" s="1621"/>
      <c r="AD468" s="1621"/>
      <c r="AE468" s="1621"/>
      <c r="AF468" s="1624"/>
      <c r="AG468" s="1624"/>
      <c r="AH468" s="1621"/>
      <c r="AI468" s="1621"/>
      <c r="AJ468" s="1621"/>
      <c r="AK468" s="1621"/>
      <c r="AL468" s="1621"/>
      <c r="AM468" s="1621"/>
      <c r="AN468" s="1621"/>
      <c r="AO468" s="1621"/>
      <c r="AP468" s="1621"/>
      <c r="AQ468" s="1621"/>
      <c r="AR468" s="1621"/>
      <c r="AS468" s="1621"/>
      <c r="AT468" s="1621"/>
      <c r="AU468" s="1621"/>
      <c r="AV468" s="1621"/>
      <c r="AW468" s="1621"/>
      <c r="AX468" s="1621"/>
      <c r="AY468" s="1621"/>
      <c r="AZ468" s="1621"/>
      <c r="BA468" s="1621"/>
      <c r="BB468" s="1621"/>
      <c r="BC468" s="1621"/>
      <c r="BD468" s="1621"/>
      <c r="BE468" s="1621"/>
      <c r="BF468" s="1621"/>
      <c r="BG468" s="1621"/>
      <c r="BH468" s="1621"/>
      <c r="BI468" s="1621"/>
      <c r="BJ468" s="1621"/>
    </row>
    <row r="469" spans="1:62">
      <c r="A469" s="1458"/>
      <c r="B469" s="1458"/>
      <c r="C469" s="2346"/>
      <c r="D469" s="1621"/>
      <c r="E469" s="1621"/>
      <c r="F469" s="1621"/>
      <c r="G469" s="1621"/>
      <c r="H469" s="1621"/>
      <c r="I469" s="1621"/>
      <c r="J469" s="1621"/>
      <c r="K469" s="1621"/>
      <c r="L469" s="1621"/>
      <c r="M469" s="1621"/>
      <c r="N469" s="1621"/>
      <c r="O469" s="1621"/>
      <c r="P469" s="1621"/>
      <c r="Q469" s="4335"/>
      <c r="R469" s="4336"/>
      <c r="S469" s="4336"/>
      <c r="T469" s="4336"/>
      <c r="U469" s="4336"/>
      <c r="V469" s="4336"/>
      <c r="W469" s="4337"/>
      <c r="X469" s="2363"/>
      <c r="Y469" s="4274" t="s">
        <v>2589</v>
      </c>
      <c r="Z469" s="4274"/>
      <c r="AA469" s="4274"/>
      <c r="AB469" s="4274"/>
      <c r="AD469" s="1621"/>
      <c r="AE469" s="1621"/>
      <c r="AF469" s="1624"/>
      <c r="AG469" s="1624"/>
      <c r="AH469" s="1621"/>
      <c r="AI469" s="1621"/>
      <c r="AJ469" s="1621"/>
      <c r="AK469" s="1621"/>
      <c r="AL469" s="1621"/>
      <c r="AM469" s="1621"/>
      <c r="AN469" s="1621"/>
      <c r="AO469" s="1621"/>
      <c r="AP469" s="1621"/>
      <c r="AQ469" s="1621"/>
      <c r="AR469" s="1621"/>
      <c r="AS469" s="1621"/>
      <c r="AT469" s="1621"/>
      <c r="AU469" s="1621"/>
      <c r="AV469" s="1621"/>
      <c r="AW469" s="1621"/>
      <c r="AX469" s="1621"/>
      <c r="AY469" s="1621"/>
      <c r="AZ469" s="1621"/>
      <c r="BA469" s="1621"/>
      <c r="BB469" s="1621"/>
      <c r="BC469" s="1621"/>
      <c r="BD469" s="1621"/>
      <c r="BE469" s="1621"/>
      <c r="BF469" s="1621"/>
      <c r="BG469" s="1621"/>
      <c r="BH469" s="1621"/>
      <c r="BI469" s="1621"/>
      <c r="BJ469" s="1621"/>
    </row>
    <row r="470" spans="1:62">
      <c r="A470" s="1458"/>
      <c r="B470" s="1458"/>
      <c r="C470" s="2346"/>
      <c r="D470" s="1621"/>
      <c r="E470" s="1621"/>
      <c r="F470" s="1621"/>
      <c r="G470" s="1621"/>
      <c r="H470" s="1621"/>
      <c r="I470" s="1621"/>
      <c r="J470" s="1621"/>
      <c r="K470" s="1621"/>
      <c r="L470" s="1621"/>
      <c r="M470" s="1621"/>
      <c r="N470" s="1621"/>
      <c r="O470" s="1621"/>
      <c r="P470" s="1621"/>
      <c r="Q470" s="4335"/>
      <c r="R470" s="4336"/>
      <c r="S470" s="4336"/>
      <c r="T470" s="4336"/>
      <c r="U470" s="4336"/>
      <c r="V470" s="4336"/>
      <c r="W470" s="4337"/>
      <c r="X470" s="2363"/>
      <c r="Y470" s="4274"/>
      <c r="Z470" s="4274"/>
      <c r="AA470" s="4274"/>
      <c r="AB470" s="4274"/>
      <c r="AD470" s="1621"/>
      <c r="AE470" s="1621"/>
      <c r="AF470" s="1624"/>
      <c r="AG470" s="1624"/>
      <c r="AH470" s="1621"/>
      <c r="AI470" s="1621"/>
      <c r="AJ470" s="1621"/>
      <c r="AK470" s="1621"/>
      <c r="AL470" s="1621"/>
      <c r="AM470" s="1621"/>
      <c r="AN470" s="1621"/>
      <c r="AO470" s="1621"/>
      <c r="AP470" s="1621"/>
      <c r="AQ470" s="1621"/>
      <c r="AR470" s="1621"/>
      <c r="AS470" s="1621"/>
      <c r="AT470" s="1621"/>
      <c r="AU470" s="1621"/>
      <c r="AV470" s="1621"/>
      <c r="AW470" s="1621"/>
      <c r="AX470" s="1621"/>
      <c r="AY470" s="1621"/>
      <c r="AZ470" s="1621"/>
      <c r="BA470" s="1621"/>
      <c r="BB470" s="1621"/>
      <c r="BC470" s="1621"/>
      <c r="BD470" s="1621"/>
      <c r="BE470" s="1621"/>
      <c r="BF470" s="1621"/>
      <c r="BG470" s="1621"/>
      <c r="BH470" s="1621"/>
      <c r="BI470" s="1621"/>
      <c r="BJ470" s="1621"/>
    </row>
    <row r="471" spans="1:62">
      <c r="A471" s="1458"/>
      <c r="B471" s="1458"/>
      <c r="C471" s="2346"/>
      <c r="D471" s="1621"/>
      <c r="E471" s="1621"/>
      <c r="F471" s="1621"/>
      <c r="G471" s="1621"/>
      <c r="H471" s="1621"/>
      <c r="I471" s="1621"/>
      <c r="J471" s="1621"/>
      <c r="K471" s="1621"/>
      <c r="L471" s="1621"/>
      <c r="M471" s="1621"/>
      <c r="N471" s="1621"/>
      <c r="O471" s="1621"/>
      <c r="P471" s="1621"/>
      <c r="Q471" s="4335"/>
      <c r="R471" s="4336"/>
      <c r="S471" s="4336"/>
      <c r="T471" s="4336"/>
      <c r="U471" s="4336"/>
      <c r="V471" s="4336"/>
      <c r="W471" s="4337"/>
      <c r="X471" s="2363"/>
      <c r="Y471" s="4274"/>
      <c r="Z471" s="4274"/>
      <c r="AA471" s="4274"/>
      <c r="AB471" s="4274"/>
      <c r="AD471" s="1621"/>
      <c r="AE471" s="1621"/>
      <c r="AF471" s="1624"/>
      <c r="AG471" s="1624"/>
      <c r="AH471" s="1621"/>
      <c r="AI471" s="1621"/>
      <c r="AJ471" s="1621"/>
      <c r="AK471" s="1621"/>
      <c r="AL471" s="1621"/>
      <c r="AM471" s="1621"/>
      <c r="AN471" s="1621"/>
      <c r="AO471" s="1621"/>
      <c r="AP471" s="1621"/>
      <c r="AQ471" s="1621"/>
      <c r="AR471" s="1621"/>
      <c r="AS471" s="1621"/>
      <c r="AT471" s="1621"/>
      <c r="AU471" s="1621"/>
      <c r="AV471" s="1621"/>
      <c r="AW471" s="1621"/>
      <c r="AX471" s="1621"/>
      <c r="AY471" s="1621"/>
      <c r="AZ471" s="1621"/>
      <c r="BA471" s="1621"/>
      <c r="BB471" s="1621"/>
      <c r="BC471" s="1621"/>
      <c r="BD471" s="1621"/>
      <c r="BE471" s="1621"/>
      <c r="BF471" s="1621"/>
      <c r="BG471" s="1621"/>
      <c r="BH471" s="1621"/>
      <c r="BI471" s="1621"/>
      <c r="BJ471" s="1621"/>
    </row>
    <row r="472" spans="1:62" ht="13.15" customHeight="1">
      <c r="A472" s="1458"/>
      <c r="B472" s="1458"/>
      <c r="C472" s="2346"/>
      <c r="D472" s="1621"/>
      <c r="E472" s="1621"/>
      <c r="F472" s="1621"/>
      <c r="G472" s="1621"/>
      <c r="H472" s="1621"/>
      <c r="I472" s="1621"/>
      <c r="J472" s="1621"/>
      <c r="K472" s="1621"/>
      <c r="L472" s="1621"/>
      <c r="M472" s="1621"/>
      <c r="N472" s="1621"/>
      <c r="O472" s="1621"/>
      <c r="P472" s="1621"/>
      <c r="Q472" s="4335"/>
      <c r="R472" s="4336"/>
      <c r="S472" s="4336"/>
      <c r="T472" s="4336"/>
      <c r="U472" s="4336"/>
      <c r="V472" s="4336"/>
      <c r="W472" s="4337"/>
      <c r="X472" s="2363"/>
      <c r="Y472" s="3656" t="s">
        <v>1410</v>
      </c>
      <c r="Z472" s="1545"/>
      <c r="AA472" s="3743" t="s">
        <v>1407</v>
      </c>
      <c r="AB472" s="1545"/>
      <c r="AD472" s="1621"/>
      <c r="AE472" s="1621"/>
      <c r="AF472" s="1624"/>
      <c r="AG472" s="1624"/>
      <c r="AH472" s="1621"/>
      <c r="AI472" s="1621"/>
      <c r="AJ472" s="1621"/>
      <c r="AK472" s="1621"/>
      <c r="AL472" s="1621"/>
      <c r="AM472" s="1621"/>
      <c r="AN472" s="1621"/>
      <c r="AO472" s="1621"/>
      <c r="AP472" s="1621"/>
      <c r="AQ472" s="1621"/>
      <c r="AR472" s="1621"/>
      <c r="AS472" s="1621"/>
      <c r="AT472" s="1621"/>
      <c r="AU472" s="1621"/>
      <c r="AV472" s="1621"/>
      <c r="AW472" s="1621"/>
      <c r="AX472" s="1621"/>
      <c r="AY472" s="1621"/>
      <c r="AZ472" s="1621"/>
      <c r="BA472" s="1621"/>
      <c r="BB472" s="1621"/>
      <c r="BC472" s="1621"/>
      <c r="BD472" s="1621"/>
      <c r="BE472" s="1621"/>
      <c r="BF472" s="1621"/>
      <c r="BG472" s="1621"/>
      <c r="BH472" s="1621"/>
      <c r="BI472" s="1621"/>
      <c r="BJ472" s="1621"/>
    </row>
    <row r="473" spans="1:62" ht="13.15" customHeight="1">
      <c r="A473" s="1458"/>
      <c r="B473" s="1458"/>
      <c r="C473" s="2346"/>
      <c r="D473" s="1621"/>
      <c r="E473" s="1621"/>
      <c r="F473" s="1621"/>
      <c r="G473" s="1621"/>
      <c r="H473" s="1621"/>
      <c r="I473" s="1621"/>
      <c r="J473" s="1621"/>
      <c r="K473" s="1621"/>
      <c r="L473" s="1621"/>
      <c r="M473" s="1621"/>
      <c r="N473" s="1621"/>
      <c r="O473" s="1621"/>
      <c r="P473" s="1621"/>
      <c r="Q473" s="4320" t="s">
        <v>2588</v>
      </c>
      <c r="R473" s="4321"/>
      <c r="S473" s="4321"/>
      <c r="T473" s="4321"/>
      <c r="U473" s="4321"/>
      <c r="V473" s="4321"/>
      <c r="W473" s="4322"/>
      <c r="X473" s="2363"/>
      <c r="Y473" s="3656" t="s">
        <v>2617</v>
      </c>
      <c r="Z473" s="1545"/>
      <c r="AA473" s="3743" t="s">
        <v>1407</v>
      </c>
      <c r="AB473" s="3744"/>
      <c r="AD473" s="1621"/>
      <c r="AE473" s="1621"/>
      <c r="AF473" s="1624"/>
      <c r="AG473" s="1624"/>
      <c r="AH473" s="1621"/>
      <c r="AI473" s="1621"/>
      <c r="AJ473" s="1621"/>
      <c r="AK473" s="1621"/>
      <c r="AL473" s="1621"/>
      <c r="AM473" s="1621"/>
      <c r="AN473" s="1621"/>
      <c r="AO473" s="1621"/>
      <c r="AP473" s="1621"/>
      <c r="AQ473" s="1621"/>
      <c r="AR473" s="1621"/>
      <c r="AS473" s="1621"/>
      <c r="AT473" s="1621"/>
      <c r="AU473" s="1621"/>
      <c r="AV473" s="1621"/>
      <c r="AW473" s="1621"/>
      <c r="AX473" s="1621"/>
      <c r="AY473" s="1621"/>
      <c r="AZ473" s="1621"/>
      <c r="BA473" s="1621"/>
      <c r="BB473" s="1621"/>
      <c r="BC473" s="1621"/>
      <c r="BD473" s="1621"/>
      <c r="BE473" s="1621"/>
      <c r="BF473" s="1621"/>
      <c r="BG473" s="1621"/>
      <c r="BH473" s="1621"/>
      <c r="BI473" s="1621"/>
      <c r="BJ473" s="1621"/>
    </row>
    <row r="474" spans="1:62" ht="13.15" customHeight="1">
      <c r="A474" s="1458"/>
      <c r="B474" s="1458"/>
      <c r="C474" s="2346"/>
      <c r="D474" s="1621"/>
      <c r="E474" s="1621"/>
      <c r="F474" s="1621"/>
      <c r="G474" s="1621"/>
      <c r="H474" s="1621"/>
      <c r="I474" s="1621"/>
      <c r="J474" s="1621"/>
      <c r="K474" s="1621"/>
      <c r="L474" s="1621"/>
      <c r="M474" s="1621"/>
      <c r="N474" s="1621"/>
      <c r="O474" s="1621"/>
      <c r="P474" s="1621"/>
      <c r="Q474" s="4320"/>
      <c r="R474" s="4321"/>
      <c r="S474" s="4321"/>
      <c r="T474" s="4321"/>
      <c r="U474" s="4321"/>
      <c r="V474" s="4321"/>
      <c r="W474" s="4322"/>
      <c r="X474" s="2363"/>
      <c r="Y474" s="3656" t="s">
        <v>1408</v>
      </c>
      <c r="Z474" s="1545"/>
      <c r="AA474" s="1545"/>
      <c r="AB474" s="1545"/>
      <c r="AD474" s="1621"/>
      <c r="AE474" s="1621"/>
      <c r="AF474" s="1624"/>
      <c r="AG474" s="1624"/>
      <c r="AH474" s="1621"/>
      <c r="AI474" s="1621"/>
      <c r="AJ474" s="1621"/>
      <c r="AK474" s="1621"/>
      <c r="AL474" s="1621"/>
      <c r="AM474" s="1621"/>
      <c r="AN474" s="1621"/>
      <c r="AO474" s="1621"/>
      <c r="AP474" s="1621"/>
      <c r="AQ474" s="1621"/>
      <c r="AR474" s="1621"/>
      <c r="AS474" s="1621"/>
      <c r="AT474" s="1621"/>
      <c r="AU474" s="1621"/>
      <c r="AV474" s="1621"/>
      <c r="AW474" s="1621"/>
      <c r="AX474" s="1621"/>
      <c r="AY474" s="1621"/>
      <c r="AZ474" s="1621"/>
      <c r="BA474" s="1621"/>
      <c r="BB474" s="1621"/>
      <c r="BC474" s="1621"/>
      <c r="BD474" s="1621"/>
      <c r="BE474" s="1621"/>
      <c r="BF474" s="1621"/>
      <c r="BG474" s="1621"/>
      <c r="BH474" s="1621"/>
      <c r="BI474" s="1621"/>
      <c r="BJ474" s="1621"/>
    </row>
    <row r="475" spans="1:62">
      <c r="A475" s="1458"/>
      <c r="B475" s="1458"/>
      <c r="C475" s="2346"/>
      <c r="D475" s="1621"/>
      <c r="E475" s="1621"/>
      <c r="F475" s="1621"/>
      <c r="G475" s="1621"/>
      <c r="H475" s="1621"/>
      <c r="I475" s="1621"/>
      <c r="J475" s="1621"/>
      <c r="K475" s="1621"/>
      <c r="L475" s="1621"/>
      <c r="M475" s="1621"/>
      <c r="N475" s="1621"/>
      <c r="O475" s="1621"/>
      <c r="P475" s="1621"/>
      <c r="Q475" s="4323"/>
      <c r="R475" s="4324"/>
      <c r="S475" s="4324"/>
      <c r="T475" s="4324"/>
      <c r="U475" s="4324"/>
      <c r="V475" s="4324"/>
      <c r="W475" s="4325"/>
      <c r="X475" s="2363"/>
      <c r="Y475" s="1615" t="s">
        <v>2618</v>
      </c>
      <c r="Z475" s="1545"/>
      <c r="AA475" s="3743" t="s">
        <v>1407</v>
      </c>
      <c r="AB475" s="1545"/>
      <c r="AD475" s="1621"/>
      <c r="AE475" s="1621"/>
      <c r="AF475" s="1624"/>
      <c r="AG475" s="1624"/>
      <c r="AH475" s="1621"/>
      <c r="AI475" s="1621"/>
      <c r="AJ475" s="1621"/>
      <c r="AK475" s="1621"/>
      <c r="AL475" s="1621"/>
      <c r="AM475" s="1621"/>
      <c r="AN475" s="1621"/>
      <c r="AO475" s="1621"/>
      <c r="AP475" s="1621"/>
      <c r="AQ475" s="1621"/>
      <c r="AR475" s="1621"/>
      <c r="AS475" s="1621"/>
      <c r="AT475" s="1621"/>
      <c r="AU475" s="1621"/>
      <c r="AV475" s="1621"/>
      <c r="AW475" s="1621"/>
      <c r="AX475" s="1621"/>
      <c r="AY475" s="1621"/>
      <c r="AZ475" s="1621"/>
      <c r="BA475" s="1621"/>
      <c r="BB475" s="1621"/>
      <c r="BC475" s="1621"/>
      <c r="BD475" s="1621"/>
      <c r="BE475" s="1621"/>
      <c r="BF475" s="1621"/>
      <c r="BG475" s="1621"/>
      <c r="BH475" s="1621"/>
      <c r="BI475" s="1621"/>
      <c r="BJ475" s="1621"/>
    </row>
    <row r="476" spans="1:62">
      <c r="A476" s="1458"/>
      <c r="B476" s="1458"/>
      <c r="C476" s="2346"/>
      <c r="D476" s="1621"/>
      <c r="E476" s="1621"/>
      <c r="F476" s="1621"/>
      <c r="G476" s="1621"/>
      <c r="H476" s="1621"/>
      <c r="I476" s="1621"/>
      <c r="J476" s="1621"/>
      <c r="K476" s="1621"/>
      <c r="L476" s="1621"/>
      <c r="M476" s="1621"/>
      <c r="N476" s="1621"/>
      <c r="O476" s="1621"/>
      <c r="P476" s="1621"/>
      <c r="Q476" s="1621"/>
      <c r="R476" s="1621"/>
      <c r="S476" s="1621"/>
      <c r="T476" s="1620"/>
      <c r="U476" s="1621"/>
      <c r="V476" s="1620"/>
      <c r="W476" s="1620"/>
      <c r="X476" s="2363"/>
      <c r="Y476" s="2269"/>
      <c r="Z476" s="1621"/>
      <c r="AA476" s="1621"/>
      <c r="AB476" s="1621"/>
      <c r="AD476" s="1621"/>
      <c r="AE476" s="1621"/>
      <c r="AF476" s="1624"/>
      <c r="AG476" s="1624"/>
      <c r="AH476" s="1621"/>
      <c r="AI476" s="1621"/>
      <c r="AJ476" s="1621"/>
      <c r="AK476" s="1621"/>
      <c r="AL476" s="1621"/>
      <c r="AM476" s="1621"/>
      <c r="AN476" s="1621"/>
      <c r="AO476" s="1621"/>
      <c r="AP476" s="1621"/>
      <c r="AQ476" s="1621"/>
      <c r="AR476" s="1621"/>
      <c r="AS476" s="1621"/>
      <c r="AT476" s="1621"/>
      <c r="AU476" s="1621"/>
      <c r="AV476" s="1621"/>
      <c r="AW476" s="1621"/>
      <c r="AX476" s="1621"/>
      <c r="AY476" s="1621"/>
      <c r="AZ476" s="1621"/>
      <c r="BA476" s="1621"/>
      <c r="BB476" s="1621"/>
      <c r="BC476" s="1621"/>
      <c r="BD476" s="1621"/>
      <c r="BE476" s="1621"/>
      <c r="BF476" s="1621"/>
      <c r="BG476" s="1621"/>
      <c r="BH476" s="1621"/>
      <c r="BI476" s="1621"/>
      <c r="BJ476" s="1621"/>
    </row>
    <row r="477" spans="1:62" ht="13.15" customHeight="1">
      <c r="A477" s="1458"/>
      <c r="B477" s="1458"/>
      <c r="C477" s="2346"/>
      <c r="D477" s="4412" t="s">
        <v>2596</v>
      </c>
      <c r="E477" s="4412"/>
      <c r="F477" s="4412"/>
      <c r="G477" s="4412"/>
      <c r="H477" s="4412"/>
      <c r="I477" s="4412"/>
      <c r="J477" s="4412"/>
      <c r="K477" s="4412"/>
      <c r="L477" s="4412"/>
      <c r="M477" s="4412"/>
      <c r="N477" s="4412"/>
      <c r="O477" s="4412"/>
      <c r="P477" s="4412"/>
      <c r="Q477" s="4412"/>
      <c r="R477" s="4412"/>
      <c r="S477" s="4412"/>
      <c r="T477" s="4412"/>
      <c r="U477" s="4412"/>
      <c r="V477" s="4412"/>
      <c r="W477" s="4412"/>
      <c r="Y477" s="4369" t="s">
        <v>2592</v>
      </c>
      <c r="Z477" s="4369"/>
      <c r="AA477" s="4369"/>
      <c r="AB477" s="4369"/>
      <c r="AD477" s="1621"/>
      <c r="AE477" s="1621"/>
      <c r="AF477" s="1624"/>
      <c r="AG477" s="1624"/>
      <c r="AH477" s="1621"/>
      <c r="AI477" s="1621"/>
      <c r="AJ477" s="1621"/>
      <c r="AK477" s="1621"/>
      <c r="AL477" s="1621"/>
      <c r="AM477" s="1621"/>
      <c r="AN477" s="1621"/>
      <c r="AO477" s="1621"/>
      <c r="AP477" s="1621"/>
      <c r="AQ477" s="1621"/>
      <c r="AR477" s="1621"/>
      <c r="AS477" s="1621"/>
      <c r="AT477" s="1621"/>
      <c r="AU477" s="1621"/>
      <c r="AV477" s="1621"/>
      <c r="AW477" s="1621"/>
      <c r="AX477" s="1621"/>
      <c r="AY477" s="1621"/>
      <c r="AZ477" s="1621"/>
      <c r="BA477" s="1621"/>
      <c r="BB477" s="1621"/>
      <c r="BC477" s="1621"/>
      <c r="BD477" s="1621"/>
      <c r="BE477" s="1621"/>
      <c r="BF477" s="1621"/>
      <c r="BG477" s="1621"/>
      <c r="BH477" s="1621"/>
      <c r="BI477" s="1621"/>
      <c r="BJ477" s="1621"/>
    </row>
    <row r="478" spans="1:62">
      <c r="A478" s="1458"/>
      <c r="B478" s="1458"/>
      <c r="C478" s="2346"/>
      <c r="D478" s="4412"/>
      <c r="E478" s="4412"/>
      <c r="F478" s="4412"/>
      <c r="G478" s="4412"/>
      <c r="H478" s="4412"/>
      <c r="I478" s="4412"/>
      <c r="J478" s="4412"/>
      <c r="K478" s="4412"/>
      <c r="L478" s="4412"/>
      <c r="M478" s="4412"/>
      <c r="N478" s="4412"/>
      <c r="O478" s="4412"/>
      <c r="P478" s="4412"/>
      <c r="Q478" s="4412"/>
      <c r="R478" s="4412"/>
      <c r="S478" s="4412"/>
      <c r="T478" s="4412"/>
      <c r="U478" s="4412"/>
      <c r="V478" s="4412"/>
      <c r="W478" s="4412"/>
      <c r="Y478" s="4369"/>
      <c r="Z478" s="4369"/>
      <c r="AA478" s="4369"/>
      <c r="AB478" s="4369"/>
      <c r="AD478" s="1621"/>
      <c r="AE478" s="1621"/>
      <c r="AF478" s="1624"/>
      <c r="AG478" s="1624"/>
      <c r="AH478" s="1621"/>
      <c r="AI478" s="1621"/>
      <c r="AJ478" s="1621"/>
      <c r="AK478" s="1621"/>
      <c r="AL478" s="1621"/>
      <c r="AM478" s="1621"/>
      <c r="AN478" s="1621"/>
      <c r="AO478" s="1621"/>
      <c r="AP478" s="1621"/>
      <c r="AQ478" s="1621"/>
      <c r="AR478" s="1621"/>
      <c r="AS478" s="1621"/>
      <c r="AT478" s="1621"/>
      <c r="AU478" s="1621"/>
      <c r="AV478" s="1621"/>
      <c r="AW478" s="1621"/>
      <c r="AX478" s="1621"/>
      <c r="AY478" s="1621"/>
      <c r="AZ478" s="1621"/>
      <c r="BA478" s="1621"/>
      <c r="BB478" s="1621"/>
      <c r="BC478" s="1621"/>
      <c r="BD478" s="1621"/>
      <c r="BE478" s="1621"/>
      <c r="BF478" s="1621"/>
      <c r="BG478" s="1621"/>
      <c r="BH478" s="1621"/>
      <c r="BI478" s="1621"/>
      <c r="BJ478" s="1621"/>
    </row>
    <row r="479" spans="1:62">
      <c r="A479" s="1458"/>
      <c r="B479" s="1458"/>
      <c r="C479" s="2346"/>
      <c r="D479" s="4412"/>
      <c r="E479" s="4412"/>
      <c r="F479" s="4412"/>
      <c r="G479" s="4412"/>
      <c r="H479" s="4412"/>
      <c r="I479" s="4412"/>
      <c r="J479" s="4412"/>
      <c r="K479" s="4412"/>
      <c r="L479" s="4412"/>
      <c r="M479" s="4412"/>
      <c r="N479" s="4412"/>
      <c r="O479" s="4412"/>
      <c r="P479" s="4412"/>
      <c r="Q479" s="4412"/>
      <c r="R479" s="4412"/>
      <c r="S479" s="4412"/>
      <c r="T479" s="4412"/>
      <c r="U479" s="4412"/>
      <c r="V479" s="4412"/>
      <c r="W479" s="4412"/>
      <c r="Y479" s="3745" t="s">
        <v>2602</v>
      </c>
      <c r="Z479" s="3746"/>
      <c r="AA479" s="3746"/>
      <c r="AB479" s="3746"/>
      <c r="AD479" s="1621"/>
      <c r="AE479" s="1621"/>
      <c r="AF479" s="1624"/>
      <c r="AG479" s="1624"/>
      <c r="AH479" s="1621"/>
      <c r="AI479" s="1621"/>
      <c r="AJ479" s="1621"/>
      <c r="AK479" s="1621"/>
      <c r="AL479" s="1621"/>
      <c r="AM479" s="1621"/>
      <c r="AN479" s="1621"/>
      <c r="AO479" s="1621"/>
      <c r="AP479" s="1621"/>
      <c r="AQ479" s="1621"/>
      <c r="AR479" s="1621"/>
      <c r="AS479" s="1621"/>
      <c r="AT479" s="1621"/>
      <c r="AU479" s="1621"/>
      <c r="AV479" s="1621"/>
      <c r="AW479" s="1621"/>
      <c r="AX479" s="1621"/>
      <c r="AY479" s="1621"/>
      <c r="AZ479" s="1621"/>
      <c r="BA479" s="1621"/>
      <c r="BB479" s="1621"/>
      <c r="BC479" s="1621"/>
      <c r="BD479" s="1621"/>
      <c r="BE479" s="1621"/>
      <c r="BF479" s="1621"/>
      <c r="BG479" s="1621"/>
      <c r="BH479" s="1621"/>
      <c r="BI479" s="1621"/>
      <c r="BJ479" s="1621"/>
    </row>
    <row r="480" spans="1:62">
      <c r="A480" s="1458"/>
      <c r="B480" s="1458"/>
      <c r="C480" s="2346"/>
      <c r="D480" s="1663"/>
      <c r="E480" s="1663"/>
      <c r="F480" s="1663"/>
      <c r="G480" s="1663"/>
      <c r="H480" s="1663"/>
      <c r="I480" s="1663"/>
      <c r="J480" s="1663"/>
      <c r="K480" s="1663"/>
      <c r="L480" s="1663"/>
      <c r="M480" s="1663"/>
      <c r="N480" s="1663"/>
      <c r="O480" s="1663"/>
      <c r="P480" s="1663"/>
      <c r="Q480" s="1663"/>
      <c r="R480" s="1663"/>
      <c r="S480" s="1663"/>
      <c r="T480" s="1663"/>
      <c r="U480" s="1663"/>
      <c r="V480" s="1663"/>
      <c r="W480" s="1663"/>
      <c r="Y480" s="3745" t="s">
        <v>2603</v>
      </c>
      <c r="Z480" s="3746"/>
      <c r="AA480" s="3746"/>
      <c r="AB480" s="3746"/>
      <c r="AD480" s="1621"/>
      <c r="AE480" s="1621"/>
      <c r="AF480" s="1624"/>
      <c r="AG480" s="1624"/>
      <c r="AH480" s="1621"/>
      <c r="AI480" s="1621"/>
      <c r="AJ480" s="1621"/>
      <c r="AK480" s="1621"/>
      <c r="AL480" s="1621"/>
      <c r="AM480" s="1621"/>
      <c r="AN480" s="1621"/>
      <c r="AO480" s="1621"/>
      <c r="AP480" s="1621"/>
      <c r="AQ480" s="1621"/>
      <c r="AR480" s="1621"/>
      <c r="AS480" s="1621"/>
      <c r="AT480" s="1621"/>
      <c r="AU480" s="1621"/>
      <c r="AV480" s="1621"/>
      <c r="AW480" s="1621"/>
      <c r="AX480" s="1621"/>
      <c r="AY480" s="1621"/>
      <c r="AZ480" s="1621"/>
      <c r="BA480" s="1621"/>
      <c r="BB480" s="1621"/>
      <c r="BC480" s="1621"/>
      <c r="BD480" s="1621"/>
      <c r="BE480" s="1621"/>
      <c r="BF480" s="1621"/>
      <c r="BG480" s="1621"/>
      <c r="BH480" s="1621"/>
      <c r="BI480" s="1621"/>
      <c r="BJ480" s="1621"/>
    </row>
    <row r="481" spans="1:64">
      <c r="A481" s="1458"/>
      <c r="B481" s="1458"/>
      <c r="C481" s="2346"/>
      <c r="D481" s="3748" t="s">
        <v>2597</v>
      </c>
      <c r="E481" s="1664"/>
      <c r="F481" s="1664"/>
      <c r="G481" s="1664"/>
      <c r="H481" s="1664"/>
      <c r="I481" s="1664"/>
      <c r="J481" s="1664"/>
      <c r="K481" s="1664"/>
      <c r="L481" s="1664"/>
      <c r="M481" s="1664"/>
      <c r="N481" s="1664"/>
      <c r="O481" s="1664"/>
      <c r="P481" s="1664"/>
      <c r="Q481" s="1664"/>
      <c r="R481" s="1664"/>
      <c r="S481" s="1664"/>
      <c r="T481" s="1664"/>
      <c r="U481" s="1664"/>
      <c r="V481" s="1664"/>
      <c r="W481" s="1664"/>
      <c r="Y481" s="3745" t="s">
        <v>2604</v>
      </c>
      <c r="Z481" s="1545"/>
      <c r="AA481" s="1545"/>
      <c r="AB481" s="1545"/>
      <c r="AD481" s="1621"/>
      <c r="AE481" s="1621"/>
      <c r="AF481" s="1624"/>
      <c r="AG481" s="1624"/>
      <c r="AH481" s="1621"/>
      <c r="AI481" s="1621"/>
      <c r="AJ481" s="1621"/>
      <c r="AK481" s="1621"/>
      <c r="AL481" s="1621"/>
      <c r="AM481" s="1621"/>
      <c r="AN481" s="1621"/>
      <c r="AO481" s="1621"/>
      <c r="AP481" s="1621"/>
      <c r="AQ481" s="1621"/>
      <c r="AR481" s="1621"/>
      <c r="AS481" s="1621"/>
      <c r="AT481" s="1621"/>
      <c r="AU481" s="1621"/>
      <c r="AV481" s="1621"/>
      <c r="AW481" s="1621"/>
      <c r="AX481" s="1621"/>
      <c r="AY481" s="1621"/>
      <c r="AZ481" s="1621"/>
      <c r="BA481" s="1621"/>
      <c r="BB481" s="1621"/>
      <c r="BC481" s="1621"/>
      <c r="BD481" s="1621"/>
      <c r="BE481" s="1621"/>
      <c r="BF481" s="1621"/>
      <c r="BG481" s="1621"/>
      <c r="BH481" s="1621"/>
      <c r="BI481" s="1621"/>
      <c r="BJ481" s="1621"/>
    </row>
    <row r="482" spans="1:64">
      <c r="A482" s="1458"/>
      <c r="B482" s="1458"/>
      <c r="C482" s="2346"/>
      <c r="D482" s="1664"/>
      <c r="E482" s="1664"/>
      <c r="F482" s="1664"/>
      <c r="G482" s="1664"/>
      <c r="H482" s="1664"/>
      <c r="I482" s="1664"/>
      <c r="J482" s="1664"/>
      <c r="K482" s="1664"/>
      <c r="L482" s="1664"/>
      <c r="M482" s="1664"/>
      <c r="N482" s="1664"/>
      <c r="O482" s="1664"/>
      <c r="P482" s="1664"/>
      <c r="Q482" s="1664"/>
      <c r="R482" s="1621" t="s">
        <v>97</v>
      </c>
      <c r="S482" s="4474" t="s">
        <v>1267</v>
      </c>
      <c r="T482" s="4474"/>
      <c r="U482" s="1620" t="s">
        <v>96</v>
      </c>
      <c r="V482" s="1642"/>
      <c r="W482" s="1664"/>
      <c r="Y482" s="3745" t="s">
        <v>2605</v>
      </c>
      <c r="Z482" s="1545"/>
      <c r="AA482" s="1545"/>
      <c r="AB482" s="1545"/>
      <c r="AD482" s="1621"/>
      <c r="AE482" s="1621"/>
      <c r="AF482" s="1624"/>
      <c r="AG482" s="1624"/>
      <c r="AH482" s="1621"/>
      <c r="AI482" s="1621"/>
      <c r="AJ482" s="1621"/>
      <c r="AK482" s="1621"/>
      <c r="AL482" s="1621"/>
      <c r="AM482" s="1621"/>
      <c r="AN482" s="1621"/>
      <c r="AO482" s="1621"/>
      <c r="AP482" s="1621"/>
      <c r="AQ482" s="1621"/>
      <c r="AR482" s="1621"/>
      <c r="AS482" s="1621"/>
      <c r="AT482" s="1621"/>
      <c r="AU482" s="1621"/>
      <c r="AV482" s="1621"/>
      <c r="AW482" s="1621"/>
      <c r="AX482" s="1621"/>
      <c r="AY482" s="1621"/>
      <c r="AZ482" s="1621"/>
      <c r="BA482" s="1621"/>
      <c r="BB482" s="1621"/>
      <c r="BC482" s="1621"/>
      <c r="BD482" s="1621"/>
      <c r="BE482" s="1621"/>
      <c r="BF482" s="1621"/>
      <c r="BG482" s="1621"/>
      <c r="BH482" s="1621"/>
      <c r="BI482" s="1621"/>
      <c r="BJ482" s="1621"/>
    </row>
    <row r="483" spans="1:64" ht="13.15" customHeight="1">
      <c r="A483" s="1458"/>
      <c r="B483" s="1458"/>
      <c r="C483" s="2346"/>
      <c r="D483" s="1621"/>
      <c r="E483" s="1663"/>
      <c r="F483" s="1663"/>
      <c r="G483" s="1663"/>
      <c r="H483" s="1663"/>
      <c r="I483" s="1663"/>
      <c r="J483" s="1663"/>
      <c r="K483" s="1663"/>
      <c r="L483" s="1663"/>
      <c r="M483" s="1663"/>
      <c r="N483" s="1663"/>
      <c r="O483" s="1663"/>
      <c r="P483" s="1663"/>
      <c r="Q483" s="1663"/>
      <c r="R483" s="1511" t="s">
        <v>307</v>
      </c>
      <c r="S483" s="1511" t="s">
        <v>1400</v>
      </c>
      <c r="T483" s="1622"/>
      <c r="U483" s="1622"/>
      <c r="V483" s="1622"/>
      <c r="W483" s="1663"/>
      <c r="Y483" s="4410" t="s">
        <v>1409</v>
      </c>
      <c r="Z483" s="4410"/>
      <c r="AA483" s="4410"/>
      <c r="AB483" s="4410"/>
      <c r="AD483" s="92"/>
      <c r="AE483" s="92"/>
      <c r="AF483" s="108"/>
      <c r="AG483" s="108"/>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row>
    <row r="484" spans="1:64">
      <c r="A484" s="1458"/>
      <c r="B484" s="1458"/>
      <c r="C484" s="2346"/>
      <c r="D484" s="1663"/>
      <c r="E484" s="1663"/>
      <c r="F484" s="1663"/>
      <c r="G484" s="1663"/>
      <c r="H484" s="1663"/>
      <c r="I484" s="1663"/>
      <c r="J484" s="1663"/>
      <c r="K484" s="1663"/>
      <c r="L484" s="1663"/>
      <c r="M484" s="1663"/>
      <c r="N484" s="1663"/>
      <c r="O484" s="1663"/>
      <c r="P484" s="1663"/>
      <c r="Q484" s="1663"/>
      <c r="R484" s="1511" t="s">
        <v>1396</v>
      </c>
      <c r="S484" s="1511" t="s">
        <v>1401</v>
      </c>
      <c r="T484" s="1621"/>
      <c r="U484" s="1621"/>
      <c r="V484" s="1621"/>
      <c r="W484" s="1663"/>
      <c r="Y484" s="4410"/>
      <c r="Z484" s="4410"/>
      <c r="AA484" s="4410"/>
      <c r="AB484" s="4410"/>
      <c r="AD484" s="2398"/>
      <c r="AE484" s="2398"/>
      <c r="AF484" s="2399"/>
      <c r="AG484" s="2399"/>
      <c r="AH484" s="2398"/>
      <c r="AI484" s="2398"/>
      <c r="AJ484" s="2398"/>
      <c r="AK484" s="2398"/>
      <c r="AL484" s="2398"/>
      <c r="AM484" s="2398"/>
      <c r="AN484" s="2398"/>
      <c r="AO484" s="2398"/>
      <c r="AP484" s="2398"/>
      <c r="AQ484" s="2398"/>
      <c r="AR484" s="2398"/>
      <c r="AS484" s="2398"/>
      <c r="AT484" s="2398"/>
    </row>
    <row r="485" spans="1:64">
      <c r="A485" s="1458"/>
      <c r="B485" s="1458"/>
      <c r="C485" s="2346"/>
      <c r="D485" s="1663"/>
      <c r="E485" s="1663"/>
      <c r="F485" s="1663"/>
      <c r="G485" s="1663"/>
      <c r="H485" s="1663"/>
      <c r="I485" s="1663"/>
      <c r="J485" s="1663"/>
      <c r="K485" s="1663"/>
      <c r="L485" s="1663"/>
      <c r="M485" s="1663"/>
      <c r="N485" s="1663"/>
      <c r="O485" s="1663"/>
      <c r="P485" s="1663"/>
      <c r="Q485" s="1663"/>
      <c r="R485" s="1621"/>
      <c r="S485" s="1621"/>
      <c r="T485" s="1651" t="s">
        <v>1260</v>
      </c>
      <c r="U485" s="1652" t="s">
        <v>1253</v>
      </c>
      <c r="V485" s="1652"/>
      <c r="W485" s="1663"/>
      <c r="Y485" s="2269"/>
      <c r="Z485" s="1621"/>
      <c r="AA485" s="1621"/>
      <c r="AB485" s="1621"/>
      <c r="AD485" s="2398"/>
      <c r="AE485" s="2398"/>
      <c r="AF485" s="2399"/>
      <c r="AG485" s="2399"/>
      <c r="AH485" s="2398"/>
      <c r="AI485" s="2398"/>
      <c r="AJ485" s="2398"/>
      <c r="AK485" s="2398"/>
      <c r="AL485" s="2398"/>
      <c r="AM485" s="2398"/>
      <c r="AN485" s="2398"/>
      <c r="AO485" s="2398"/>
      <c r="AP485" s="2398"/>
      <c r="AQ485" s="2398"/>
      <c r="AR485" s="2398"/>
      <c r="AS485" s="2398"/>
      <c r="AT485" s="2398"/>
    </row>
    <row r="486" spans="1:64">
      <c r="A486" s="1458"/>
      <c r="B486" s="1458"/>
      <c r="C486" s="2346"/>
      <c r="D486" s="1621"/>
      <c r="E486" s="1642"/>
      <c r="F486" s="1642"/>
      <c r="G486" s="1642"/>
      <c r="H486" s="1642"/>
      <c r="I486" s="1642"/>
      <c r="J486" s="1642"/>
      <c r="K486" s="1642"/>
      <c r="L486" s="1642"/>
      <c r="M486" s="1642"/>
      <c r="N486" s="1642"/>
      <c r="O486" s="1642"/>
      <c r="P486" s="1642"/>
      <c r="Q486" s="1642"/>
      <c r="R486" s="1511" t="s">
        <v>67</v>
      </c>
      <c r="S486" s="1511" t="s">
        <v>1402</v>
      </c>
      <c r="T486" s="1511" t="s">
        <v>1255</v>
      </c>
      <c r="U486" s="1600" t="s">
        <v>1254</v>
      </c>
      <c r="V486" s="1600"/>
      <c r="W486" s="1642"/>
      <c r="X486" s="2363"/>
      <c r="Y486" s="2135" t="s">
        <v>2606</v>
      </c>
      <c r="Z486" s="1545"/>
      <c r="AA486" s="1545"/>
      <c r="AB486" s="1545"/>
      <c r="AD486" s="2398"/>
      <c r="AE486" s="2398"/>
      <c r="AF486" s="2399"/>
      <c r="AG486" s="2399"/>
      <c r="AH486" s="2398"/>
      <c r="AI486" s="2398"/>
      <c r="AJ486" s="2398"/>
      <c r="AK486" s="2398"/>
      <c r="AL486" s="2398"/>
      <c r="AM486" s="2398"/>
      <c r="AN486" s="2398"/>
      <c r="AO486" s="2398"/>
      <c r="AP486" s="2398"/>
      <c r="AQ486" s="2398"/>
      <c r="AR486" s="2398"/>
      <c r="AS486" s="2398"/>
      <c r="AT486" s="2398"/>
    </row>
    <row r="487" spans="1:64">
      <c r="A487" s="1458"/>
      <c r="B487" s="1458"/>
      <c r="C487" s="2346"/>
      <c r="D487" s="1621"/>
      <c r="E487" s="1642"/>
      <c r="F487" s="1642"/>
      <c r="G487" s="1642"/>
      <c r="H487" s="1642"/>
      <c r="I487" s="1642"/>
      <c r="J487" s="1642"/>
      <c r="K487" s="1642"/>
      <c r="L487" s="1642"/>
      <c r="M487" s="1642"/>
      <c r="N487" s="1642"/>
      <c r="O487" s="1642"/>
      <c r="P487" s="1642"/>
      <c r="Q487" s="1642"/>
      <c r="R487" s="1644" t="s">
        <v>1397</v>
      </c>
      <c r="S487" s="1644" t="s">
        <v>1403</v>
      </c>
      <c r="T487" s="1644" t="s">
        <v>1261</v>
      </c>
      <c r="U487" s="1600" t="s">
        <v>1256</v>
      </c>
      <c r="V487" s="1600"/>
      <c r="W487" s="1642"/>
      <c r="X487" s="2363"/>
      <c r="Y487" s="4409" t="s">
        <v>2593</v>
      </c>
      <c r="Z487" s="4409"/>
      <c r="AA487" s="4409"/>
      <c r="AB487" s="4409"/>
      <c r="AD487" s="2398"/>
      <c r="AE487" s="2398"/>
      <c r="AF487" s="2399"/>
      <c r="AG487" s="2399"/>
      <c r="AH487" s="2398"/>
      <c r="AI487" s="2398"/>
      <c r="AJ487" s="2398"/>
      <c r="AK487" s="2398"/>
      <c r="AL487" s="2398"/>
      <c r="AM487" s="2398"/>
      <c r="AN487" s="2398"/>
      <c r="AO487" s="2398"/>
      <c r="AP487" s="2398"/>
      <c r="AQ487" s="2398"/>
      <c r="AR487" s="2398"/>
      <c r="AS487" s="2398"/>
      <c r="AT487" s="2398"/>
    </row>
    <row r="488" spans="1:64">
      <c r="A488" s="1458"/>
      <c r="B488" s="1458"/>
      <c r="C488" s="2346"/>
      <c r="D488" s="1642"/>
      <c r="E488" s="1642"/>
      <c r="F488" s="1642"/>
      <c r="G488" s="1642"/>
      <c r="H488" s="1642"/>
      <c r="I488" s="1642"/>
      <c r="J488" s="1642"/>
      <c r="K488" s="1642"/>
      <c r="L488" s="1642"/>
      <c r="M488" s="1642"/>
      <c r="N488" s="1642"/>
      <c r="O488" s="1642"/>
      <c r="P488" s="1642"/>
      <c r="Q488" s="1642"/>
      <c r="R488" s="1646" t="s">
        <v>1398</v>
      </c>
      <c r="S488" s="1646" t="s">
        <v>1404</v>
      </c>
      <c r="T488" s="1644" t="s">
        <v>1262</v>
      </c>
      <c r="U488" s="1600" t="s">
        <v>1257</v>
      </c>
      <c r="V488" s="1600"/>
      <c r="W488" s="1621"/>
      <c r="X488" s="2363"/>
      <c r="Y488" s="4409"/>
      <c r="Z488" s="4409"/>
      <c r="AA488" s="4409"/>
      <c r="AB488" s="4409"/>
      <c r="AD488" s="2398"/>
      <c r="AE488" s="2398"/>
      <c r="AF488" s="2399"/>
      <c r="AG488" s="2399"/>
      <c r="AH488" s="2398"/>
      <c r="AI488" s="2398"/>
      <c r="AJ488" s="2398"/>
      <c r="AK488" s="2398"/>
      <c r="AL488" s="2398"/>
      <c r="AM488" s="2398"/>
      <c r="AN488" s="2398"/>
      <c r="AO488" s="2398"/>
      <c r="AP488" s="2398"/>
      <c r="AQ488" s="2398"/>
      <c r="AR488" s="2398"/>
      <c r="AS488" s="2398"/>
      <c r="AT488" s="2398"/>
    </row>
    <row r="489" spans="1:64" ht="13.15" customHeight="1">
      <c r="A489" s="1458"/>
      <c r="B489" s="1458"/>
      <c r="C489" s="2346"/>
      <c r="D489" s="1587"/>
      <c r="E489" s="1587"/>
      <c r="F489" s="1587"/>
      <c r="G489" s="1587"/>
      <c r="H489" s="1587"/>
      <c r="I489" s="1587"/>
      <c r="J489" s="1587"/>
      <c r="K489" s="1587"/>
      <c r="L489" s="1587"/>
      <c r="M489" s="1587"/>
      <c r="N489" s="1587"/>
      <c r="O489" s="1587"/>
      <c r="P489" s="1587"/>
      <c r="Q489" s="1587"/>
      <c r="R489" s="1650" t="s">
        <v>331</v>
      </c>
      <c r="S489" s="1650" t="s">
        <v>1405</v>
      </c>
      <c r="T489" s="1645" t="s">
        <v>1263</v>
      </c>
      <c r="U489" s="1602" t="s">
        <v>1258</v>
      </c>
      <c r="V489" s="1602"/>
      <c r="W489" s="1621"/>
      <c r="Y489" s="3494" t="s">
        <v>1416</v>
      </c>
      <c r="Z489" s="1545"/>
      <c r="AA489" s="1545"/>
      <c r="AB489" s="1545"/>
      <c r="AD489" s="2398"/>
      <c r="AE489" s="2398"/>
      <c r="AF489" s="2399"/>
      <c r="AG489" s="2399"/>
      <c r="AH489" s="2398"/>
      <c r="AI489" s="2398"/>
      <c r="AJ489" s="2398"/>
      <c r="AK489" s="2398"/>
      <c r="AL489" s="2398"/>
      <c r="AM489" s="2398"/>
      <c r="AN489" s="2398"/>
      <c r="AO489" s="2398"/>
      <c r="AP489" s="2398"/>
      <c r="AQ489" s="2398"/>
      <c r="AR489" s="2398"/>
      <c r="AS489" s="2398"/>
      <c r="AT489" s="2398"/>
    </row>
    <row r="490" spans="1:64" ht="13.15" customHeight="1">
      <c r="A490" s="1458"/>
      <c r="B490" s="1458"/>
      <c r="C490" s="2346"/>
      <c r="D490" s="1587"/>
      <c r="E490" s="1587"/>
      <c r="F490" s="1587"/>
      <c r="G490" s="1587"/>
      <c r="H490" s="1587"/>
      <c r="I490" s="1587"/>
      <c r="J490" s="1587"/>
      <c r="K490" s="1587"/>
      <c r="L490" s="1587"/>
      <c r="M490" s="1587"/>
      <c r="N490" s="1587"/>
      <c r="O490" s="1587"/>
      <c r="P490" s="1587"/>
      <c r="Q490" s="1587"/>
      <c r="R490" s="1383"/>
      <c r="S490" s="1383"/>
      <c r="T490" s="1648" t="s">
        <v>1264</v>
      </c>
      <c r="U490" s="1649" t="s">
        <v>1259</v>
      </c>
      <c r="V490" s="1649"/>
      <c r="W490" s="1621"/>
      <c r="Y490" s="4411" t="s">
        <v>1888</v>
      </c>
      <c r="Z490" s="4411"/>
      <c r="AA490" s="4411"/>
      <c r="AB490" s="4411"/>
      <c r="AD490" s="2398"/>
      <c r="AE490" s="2398"/>
      <c r="AF490" s="2399"/>
      <c r="AG490" s="2399"/>
      <c r="AH490" s="2398"/>
      <c r="AI490" s="2398"/>
      <c r="AJ490" s="2398"/>
      <c r="AK490" s="2398"/>
      <c r="AL490" s="2398"/>
      <c r="AM490" s="2398"/>
      <c r="AN490" s="2398"/>
      <c r="AO490" s="2398"/>
      <c r="AP490" s="2398"/>
      <c r="AQ490" s="2398"/>
      <c r="AR490" s="2398"/>
      <c r="AS490" s="2398"/>
      <c r="AT490" s="2398"/>
    </row>
    <row r="491" spans="1:64">
      <c r="A491" s="1458"/>
      <c r="B491" s="1458"/>
      <c r="C491" s="2346"/>
      <c r="D491" s="1587"/>
      <c r="E491" s="1587"/>
      <c r="F491" s="1587"/>
      <c r="G491" s="1587"/>
      <c r="H491" s="1587"/>
      <c r="I491" s="1587"/>
      <c r="J491" s="1587"/>
      <c r="K491" s="1587"/>
      <c r="L491" s="1587"/>
      <c r="M491" s="1587"/>
      <c r="N491" s="1587"/>
      <c r="O491" s="1587"/>
      <c r="P491" s="1587"/>
      <c r="Q491" s="1587"/>
      <c r="R491" s="1647" t="s">
        <v>1399</v>
      </c>
      <c r="S491" s="1647" t="s">
        <v>1406</v>
      </c>
      <c r="T491" s="1383"/>
      <c r="U491" s="1383"/>
      <c r="V491" s="1383"/>
      <c r="W491" s="1621"/>
      <c r="X491" s="2369"/>
      <c r="Y491" s="4411"/>
      <c r="Z491" s="4411"/>
      <c r="AA491" s="4411"/>
      <c r="AB491" s="4411"/>
      <c r="AD491" s="2398"/>
      <c r="AE491" s="2398"/>
      <c r="AF491" s="2399"/>
      <c r="AG491" s="2399"/>
      <c r="AH491" s="2398"/>
      <c r="AI491" s="2398"/>
      <c r="AJ491" s="2398"/>
      <c r="AK491" s="2398"/>
      <c r="AL491" s="2398"/>
      <c r="AM491" s="2398"/>
      <c r="AN491" s="2398"/>
      <c r="AO491" s="2398"/>
      <c r="AP491" s="2398"/>
      <c r="AQ491" s="2398"/>
      <c r="AR491" s="2398"/>
      <c r="AS491" s="2398"/>
      <c r="AT491" s="2398"/>
    </row>
    <row r="492" spans="1:64">
      <c r="A492" s="1458"/>
      <c r="B492" s="1458"/>
      <c r="C492" s="2346"/>
      <c r="D492" s="1587"/>
      <c r="E492" s="1587"/>
      <c r="F492" s="1587"/>
      <c r="G492" s="1587"/>
      <c r="H492" s="1587"/>
      <c r="I492" s="1587"/>
      <c r="J492" s="1587"/>
      <c r="K492" s="1587"/>
      <c r="L492" s="1587"/>
      <c r="M492" s="1587"/>
      <c r="N492" s="1587"/>
      <c r="O492" s="1587"/>
      <c r="P492" s="1587"/>
      <c r="Q492" s="1587"/>
      <c r="R492" s="1621"/>
      <c r="S492" s="1621"/>
      <c r="T492" s="1621"/>
      <c r="U492" s="1621"/>
      <c r="V492" s="1621"/>
      <c r="W492" s="1621"/>
      <c r="X492" s="2370"/>
      <c r="Y492" s="1614"/>
      <c r="Z492" s="1545"/>
      <c r="AA492" s="1545"/>
      <c r="AB492" s="1545"/>
      <c r="AD492" s="2398"/>
      <c r="AE492" s="2398"/>
      <c r="AF492" s="2399"/>
      <c r="AG492" s="2399"/>
      <c r="AH492" s="2398"/>
      <c r="AI492" s="2398"/>
      <c r="AJ492" s="2398"/>
      <c r="AK492" s="2398"/>
      <c r="AL492" s="2398"/>
      <c r="AM492" s="2398"/>
      <c r="AN492" s="2398"/>
      <c r="AO492" s="2398"/>
      <c r="AP492" s="2398"/>
      <c r="AQ492" s="2398"/>
      <c r="AR492" s="2398"/>
      <c r="AS492" s="2398"/>
      <c r="AT492" s="2398"/>
    </row>
    <row r="493" spans="1:64" s="2360" customFormat="1">
      <c r="A493" s="1459"/>
      <c r="B493" s="1459"/>
      <c r="C493" s="2350"/>
      <c r="D493" s="3718" t="s">
        <v>2598</v>
      </c>
      <c r="E493" s="1983"/>
      <c r="F493" s="1983"/>
      <c r="G493" s="1983"/>
      <c r="H493" s="1983"/>
      <c r="I493" s="1983"/>
      <c r="J493" s="1983"/>
      <c r="K493" s="1983"/>
      <c r="L493" s="1983"/>
      <c r="M493" s="1983"/>
      <c r="N493" s="1983"/>
      <c r="O493" s="1983"/>
      <c r="P493" s="1983"/>
      <c r="Q493" s="4461" t="s">
        <v>1604</v>
      </c>
      <c r="R493" s="4462"/>
      <c r="S493" s="4462"/>
      <c r="T493" s="4462"/>
      <c r="U493" s="4462"/>
      <c r="V493" s="4462"/>
      <c r="W493" s="4462"/>
      <c r="X493" s="2371"/>
      <c r="Y493" s="4311" t="s">
        <v>1550</v>
      </c>
      <c r="Z493" s="4311"/>
      <c r="AA493" s="4311"/>
      <c r="AB493" s="4311"/>
      <c r="AD493" s="2400"/>
      <c r="AE493" s="2400"/>
      <c r="AF493" s="2401"/>
      <c r="AG493" s="2401"/>
      <c r="AH493" s="2400"/>
      <c r="AI493" s="2400"/>
      <c r="AJ493" s="2400"/>
      <c r="AK493" s="2400"/>
      <c r="AL493" s="2400"/>
      <c r="AM493" s="2400"/>
      <c r="AN493" s="2400"/>
      <c r="AO493" s="2400"/>
      <c r="AP493" s="2400"/>
      <c r="AQ493" s="2400"/>
      <c r="AR493" s="2400"/>
      <c r="AS493" s="2400"/>
      <c r="AT493" s="2400"/>
      <c r="BL493" s="2359"/>
    </row>
    <row r="494" spans="1:64" s="2360" customFormat="1">
      <c r="A494" s="1459"/>
      <c r="B494" s="1459"/>
      <c r="C494" s="2350"/>
      <c r="D494" s="3623" t="s">
        <v>2600</v>
      </c>
      <c r="E494" s="1983"/>
      <c r="F494" s="1983"/>
      <c r="G494" s="1983"/>
      <c r="H494" s="1983"/>
      <c r="I494" s="1983"/>
      <c r="J494" s="1983"/>
      <c r="K494" s="1983"/>
      <c r="L494" s="1983"/>
      <c r="M494" s="1983"/>
      <c r="N494" s="1983"/>
      <c r="O494" s="1983"/>
      <c r="P494" s="1983"/>
      <c r="Q494" s="4463"/>
      <c r="R494" s="4464"/>
      <c r="S494" s="4464"/>
      <c r="T494" s="4464"/>
      <c r="U494" s="4464"/>
      <c r="V494" s="4464"/>
      <c r="W494" s="4464"/>
      <c r="X494" s="2371"/>
      <c r="Y494" s="4311"/>
      <c r="Z494" s="4311"/>
      <c r="AA494" s="4311"/>
      <c r="AB494" s="4311"/>
      <c r="AD494" s="2400"/>
      <c r="AE494" s="2400"/>
      <c r="AF494" s="2401"/>
      <c r="AG494" s="2401"/>
      <c r="AH494" s="2400"/>
      <c r="AI494" s="2400"/>
      <c r="AJ494" s="2400"/>
      <c r="AK494" s="2400"/>
      <c r="AL494" s="2400"/>
      <c r="AM494" s="2400"/>
      <c r="AN494" s="2400"/>
      <c r="AO494" s="2400"/>
      <c r="AP494" s="2400"/>
      <c r="AQ494" s="2400"/>
      <c r="AR494" s="2400"/>
      <c r="AS494" s="2400"/>
      <c r="AT494" s="2400"/>
      <c r="BL494" s="2359"/>
    </row>
    <row r="495" spans="1:64" s="2360" customFormat="1">
      <c r="A495" s="1459"/>
      <c r="B495" s="1459"/>
      <c r="C495" s="2350"/>
      <c r="D495" s="3623" t="s">
        <v>2601</v>
      </c>
      <c r="E495" s="1983"/>
      <c r="F495" s="1983"/>
      <c r="G495" s="1983"/>
      <c r="H495" s="1983"/>
      <c r="I495" s="1983"/>
      <c r="J495" s="1983"/>
      <c r="K495" s="1983"/>
      <c r="L495" s="1983"/>
      <c r="M495" s="1983"/>
      <c r="N495" s="1983"/>
      <c r="O495" s="1983"/>
      <c r="P495" s="1983"/>
      <c r="Q495" s="4463" t="s">
        <v>1575</v>
      </c>
      <c r="R495" s="4464"/>
      <c r="S495" s="4464"/>
      <c r="T495" s="4464"/>
      <c r="U495" s="4464"/>
      <c r="V495" s="4464"/>
      <c r="W495" s="4464"/>
      <c r="X495" s="2371"/>
      <c r="Y495" s="3642"/>
      <c r="Z495" s="3747"/>
      <c r="AA495" s="3747"/>
      <c r="AB495" s="3747"/>
      <c r="AD495" s="2400"/>
      <c r="AE495" s="2400"/>
      <c r="AF495" s="2401"/>
      <c r="AG495" s="2401"/>
      <c r="AH495" s="2400"/>
      <c r="AI495" s="2400"/>
      <c r="AJ495" s="2400"/>
      <c r="AK495" s="2400"/>
      <c r="AL495" s="2400"/>
      <c r="AM495" s="2400"/>
      <c r="AN495" s="2400"/>
      <c r="AO495" s="2400"/>
      <c r="AP495" s="2400"/>
      <c r="AQ495" s="2400"/>
      <c r="AR495" s="2400"/>
      <c r="AS495" s="2400"/>
      <c r="AT495" s="2400"/>
      <c r="BL495" s="2359"/>
    </row>
    <row r="496" spans="1:64" s="2360" customFormat="1" ht="13.15" customHeight="1">
      <c r="A496" s="1459"/>
      <c r="B496" s="1459"/>
      <c r="C496" s="2350"/>
      <c r="D496" s="3623" t="s">
        <v>2599</v>
      </c>
      <c r="E496" s="131"/>
      <c r="F496" s="131"/>
      <c r="G496" s="131"/>
      <c r="H496" s="131"/>
      <c r="I496" s="131"/>
      <c r="J496" s="131"/>
      <c r="K496" s="131"/>
      <c r="L496" s="1983"/>
      <c r="M496" s="1983"/>
      <c r="N496" s="1983"/>
      <c r="O496" s="1983"/>
      <c r="P496" s="1983"/>
      <c r="Q496" s="4463"/>
      <c r="R496" s="4464"/>
      <c r="S496" s="4464"/>
      <c r="T496" s="4464"/>
      <c r="U496" s="4464"/>
      <c r="V496" s="4464"/>
      <c r="W496" s="4464"/>
      <c r="X496" s="2371"/>
      <c r="Y496" s="3769"/>
      <c r="Z496" s="3770"/>
      <c r="AA496" s="3770"/>
      <c r="AB496" s="3770"/>
      <c r="AD496" s="2400"/>
      <c r="AE496" s="2400"/>
      <c r="AF496" s="2401"/>
      <c r="AG496" s="2401"/>
      <c r="AH496" s="2400"/>
      <c r="AI496" s="2400"/>
      <c r="AJ496" s="2400"/>
      <c r="AK496" s="2400"/>
      <c r="AL496" s="2400"/>
      <c r="AM496" s="2400"/>
      <c r="AN496" s="2400"/>
      <c r="AO496" s="2400"/>
      <c r="AP496" s="2400"/>
      <c r="AQ496" s="2400"/>
      <c r="AR496" s="2400"/>
      <c r="AS496" s="2400"/>
      <c r="AT496" s="2400"/>
      <c r="BL496" s="2359"/>
    </row>
    <row r="497" spans="1:64" s="2360" customFormat="1">
      <c r="A497" s="1459"/>
      <c r="B497" s="1459"/>
      <c r="C497" s="2350"/>
      <c r="D497" s="1742"/>
      <c r="E497" s="1742"/>
      <c r="F497" s="1742"/>
      <c r="G497" s="1742"/>
      <c r="H497" s="1742"/>
      <c r="I497" s="1742"/>
      <c r="J497" s="1742"/>
      <c r="K497" s="1742"/>
      <c r="L497" s="1739"/>
      <c r="M497" s="1739"/>
      <c r="N497" s="1739"/>
      <c r="O497" s="1739"/>
      <c r="P497" s="1739"/>
      <c r="Q497" s="1739"/>
      <c r="R497" s="1739"/>
      <c r="S497" s="1739"/>
      <c r="T497" s="1740"/>
      <c r="U497" s="1739"/>
      <c r="V497" s="1740"/>
      <c r="W497" s="1740"/>
      <c r="X497" s="2371"/>
      <c r="Y497" s="3769"/>
      <c r="Z497" s="3770"/>
      <c r="AA497" s="3770"/>
      <c r="AB497" s="3770"/>
      <c r="AD497" s="2400"/>
      <c r="AE497" s="2400"/>
      <c r="AF497" s="2401"/>
      <c r="AG497" s="2401"/>
      <c r="AH497" s="2400"/>
      <c r="AI497" s="2400"/>
      <c r="AJ497" s="2400"/>
      <c r="AK497" s="2400"/>
      <c r="AL497" s="2400"/>
      <c r="AM497" s="2400"/>
      <c r="AN497" s="2400"/>
      <c r="AO497" s="2400"/>
      <c r="AP497" s="2400"/>
      <c r="AQ497" s="2400"/>
      <c r="AR497" s="2400"/>
      <c r="AS497" s="2400"/>
      <c r="AT497" s="2400"/>
      <c r="BL497" s="2359"/>
    </row>
    <row r="498" spans="1:64" s="2398" customFormat="1" ht="3.75" customHeight="1">
      <c r="A498" s="2766"/>
      <c r="C498" s="2399"/>
      <c r="D498" s="2767"/>
      <c r="E498" s="2399"/>
      <c r="F498" s="2399"/>
      <c r="G498" s="2399"/>
      <c r="H498" s="2399"/>
      <c r="I498" s="2399"/>
      <c r="J498" s="2399"/>
      <c r="K498" s="2399"/>
      <c r="L498" s="2399"/>
      <c r="M498" s="2399"/>
      <c r="N498" s="2399"/>
      <c r="O498" s="2399"/>
      <c r="P498" s="2399"/>
      <c r="Q498" s="2746"/>
      <c r="R498" s="2497"/>
      <c r="S498" s="2399"/>
      <c r="T498" s="2399"/>
      <c r="U498" s="2399"/>
      <c r="V498" s="2399"/>
      <c r="W498" s="2399"/>
      <c r="X498" s="2399"/>
      <c r="Y498" s="2399"/>
      <c r="AF498" s="2399"/>
      <c r="AG498" s="2399"/>
      <c r="BL498" s="2399"/>
    </row>
    <row r="499" spans="1:64">
      <c r="A499" s="1417" t="s">
        <v>1517</v>
      </c>
      <c r="B499" s="1059"/>
      <c r="C499" s="2351"/>
      <c r="D499" s="3403" t="s">
        <v>1551</v>
      </c>
      <c r="E499" s="1983"/>
      <c r="F499" s="1983"/>
      <c r="G499" s="1983"/>
      <c r="H499" s="2271" t="s">
        <v>1889</v>
      </c>
      <c r="I499" s="1983"/>
      <c r="J499" s="1983"/>
      <c r="K499" s="1983"/>
      <c r="L499" s="1983"/>
      <c r="M499" s="1983"/>
      <c r="N499" s="1983"/>
      <c r="O499" s="1983"/>
      <c r="P499" s="1983"/>
      <c r="Q499" s="1983"/>
      <c r="R499" s="1983"/>
      <c r="S499" s="1983"/>
      <c r="T499" s="1984"/>
      <c r="U499" s="1983"/>
      <c r="V499" s="1984"/>
      <c r="W499" s="1984"/>
      <c r="X499" s="2363"/>
      <c r="Y499" s="2399"/>
      <c r="Z499" s="2398"/>
      <c r="AA499" s="2398"/>
      <c r="AB499" s="2398"/>
      <c r="AD499" s="2398"/>
      <c r="AE499" s="2398"/>
      <c r="AF499" s="2399"/>
      <c r="AG499" s="2399"/>
      <c r="AH499" s="2398"/>
      <c r="AI499" s="2398"/>
      <c r="AJ499" s="2398"/>
      <c r="AK499" s="2398"/>
      <c r="AL499" s="2398"/>
      <c r="AM499" s="2398"/>
      <c r="AN499" s="2398"/>
      <c r="AO499" s="2398"/>
      <c r="AP499" s="2398"/>
      <c r="AQ499" s="2398"/>
      <c r="AR499" s="2398"/>
      <c r="AS499" s="2398"/>
      <c r="AT499" s="2398"/>
    </row>
    <row r="500" spans="1:64">
      <c r="A500" s="1482"/>
      <c r="B500" s="1482"/>
      <c r="C500" s="2351"/>
      <c r="D500" s="3749" t="s">
        <v>1552</v>
      </c>
      <c r="E500" s="1983"/>
      <c r="F500" s="1983"/>
      <c r="G500" s="1983"/>
      <c r="H500" s="1983"/>
      <c r="I500" s="1983"/>
      <c r="J500" s="1983"/>
      <c r="K500" s="1983"/>
      <c r="L500" s="1983"/>
      <c r="M500" s="1983"/>
      <c r="N500" s="1983"/>
      <c r="O500" s="1983"/>
      <c r="P500" s="1983"/>
      <c r="Q500" s="1983"/>
      <c r="R500" s="1983"/>
      <c r="S500" s="1983"/>
      <c r="T500" s="1984"/>
      <c r="U500" s="1983"/>
      <c r="V500" s="1984"/>
      <c r="W500" s="1984"/>
      <c r="X500" s="2363"/>
      <c r="Y500" s="2399"/>
      <c r="Z500" s="2398"/>
      <c r="AA500" s="2398"/>
      <c r="AB500" s="2398"/>
      <c r="AD500" s="2398"/>
      <c r="AE500" s="2398"/>
      <c r="AF500" s="2399"/>
      <c r="AG500" s="2399"/>
      <c r="AH500" s="2398"/>
      <c r="AI500" s="2398"/>
      <c r="AJ500" s="2398"/>
      <c r="AK500" s="2398"/>
      <c r="AL500" s="2398"/>
      <c r="AM500" s="2398"/>
      <c r="AN500" s="2398"/>
      <c r="AO500" s="2398"/>
      <c r="AP500" s="2398"/>
      <c r="AQ500" s="2398"/>
      <c r="AR500" s="2398"/>
      <c r="AS500" s="2398"/>
      <c r="AT500" s="2398"/>
    </row>
    <row r="501" spans="1:64">
      <c r="A501" s="1482"/>
      <c r="B501" s="1482"/>
      <c r="C501" s="2351"/>
      <c r="D501" s="1983"/>
      <c r="E501" s="1482"/>
      <c r="F501" s="1985"/>
      <c r="G501" s="1482"/>
      <c r="H501" s="1482"/>
      <c r="I501" s="1985"/>
      <c r="J501" s="1482"/>
      <c r="K501" s="1983"/>
      <c r="L501" s="1983"/>
      <c r="M501" s="1983"/>
      <c r="N501" s="1983"/>
      <c r="O501" s="1983"/>
      <c r="P501" s="1983"/>
      <c r="Q501" s="73"/>
      <c r="R501" s="1983"/>
      <c r="S501" s="1506"/>
      <c r="T501" s="1506"/>
      <c r="U501" s="1506"/>
      <c r="V501" s="1506"/>
      <c r="W501" s="1983"/>
      <c r="Y501" s="2399"/>
      <c r="Z501" s="2398"/>
      <c r="AA501" s="2398"/>
      <c r="AB501" s="2398"/>
      <c r="AD501" s="2398"/>
      <c r="AE501" s="2398"/>
      <c r="AF501" s="2399"/>
      <c r="AG501" s="2399"/>
      <c r="AH501" s="2398"/>
      <c r="AI501" s="2398"/>
      <c r="AJ501" s="2398"/>
      <c r="AK501" s="2398"/>
      <c r="AL501" s="2398"/>
      <c r="AM501" s="2398"/>
      <c r="AN501" s="2398"/>
      <c r="AO501" s="2398"/>
      <c r="AP501" s="2398"/>
      <c r="AQ501" s="2398"/>
      <c r="AR501" s="2398"/>
      <c r="AS501" s="2398"/>
      <c r="AT501" s="2398"/>
    </row>
    <row r="502" spans="1:64">
      <c r="A502" s="1482"/>
      <c r="B502" s="1482"/>
      <c r="C502" s="2351"/>
      <c r="D502" s="1983"/>
      <c r="E502" s="1482"/>
      <c r="F502" s="1985"/>
      <c r="G502" s="1482"/>
      <c r="H502" s="1482"/>
      <c r="I502" s="1985"/>
      <c r="J502" s="1482"/>
      <c r="K502" s="1983"/>
      <c r="L502" s="1983"/>
      <c r="M502" s="1983"/>
      <c r="N502" s="1983"/>
      <c r="O502" s="1983"/>
      <c r="P502" s="1983"/>
      <c r="Q502" s="73"/>
      <c r="R502" s="1983"/>
      <c r="S502" s="1506"/>
      <c r="T502" s="1506"/>
      <c r="U502" s="1506"/>
      <c r="V502" s="1506"/>
      <c r="W502" s="1983"/>
      <c r="Y502" s="2399"/>
      <c r="Z502" s="2398"/>
      <c r="AA502" s="2398"/>
      <c r="AB502" s="2398"/>
      <c r="AD502" s="2398"/>
      <c r="AE502" s="2398"/>
      <c r="AF502" s="2399"/>
      <c r="AG502" s="2399"/>
      <c r="AH502" s="2398"/>
      <c r="AI502" s="2398"/>
      <c r="AJ502" s="2398"/>
      <c r="AK502" s="2398"/>
      <c r="AL502" s="2398"/>
      <c r="AM502" s="2398"/>
      <c r="AN502" s="2398"/>
      <c r="AO502" s="2398"/>
      <c r="AP502" s="2398"/>
      <c r="AQ502" s="2398"/>
      <c r="AR502" s="2398"/>
      <c r="AS502" s="2398"/>
      <c r="AT502" s="2398"/>
    </row>
    <row r="503" spans="1:64">
      <c r="A503" s="2351"/>
      <c r="B503" s="2351"/>
      <c r="C503" s="2351"/>
      <c r="E503" s="2351"/>
      <c r="F503" s="2329"/>
      <c r="G503" s="2351"/>
      <c r="H503" s="2351"/>
      <c r="I503" s="2329"/>
      <c r="J503" s="2351"/>
      <c r="Q503" s="2347"/>
      <c r="S503" s="2351"/>
      <c r="T503" s="2351"/>
      <c r="U503" s="2351"/>
      <c r="V503" s="2351"/>
    </row>
    <row r="504" spans="1:64">
      <c r="A504" s="1120" t="s">
        <v>1573</v>
      </c>
      <c r="B504" s="94"/>
      <c r="C504" s="2362"/>
      <c r="D504" s="94"/>
      <c r="E504" s="94"/>
      <c r="F504" s="94"/>
      <c r="G504" s="94"/>
      <c r="H504" s="94"/>
      <c r="I504" s="94"/>
      <c r="J504" s="94"/>
      <c r="K504" s="94"/>
      <c r="L504" s="94"/>
      <c r="M504" s="94"/>
      <c r="N504" s="94"/>
      <c r="O504" s="94"/>
      <c r="P504" s="94"/>
      <c r="Q504" s="94"/>
      <c r="R504" s="94"/>
      <c r="S504" s="94"/>
      <c r="T504" s="94"/>
      <c r="U504" s="94"/>
      <c r="V504" s="94"/>
      <c r="W504" s="94"/>
      <c r="X504" s="2362"/>
      <c r="Y504" s="2409"/>
      <c r="Z504" s="2410"/>
      <c r="AA504" s="2410"/>
      <c r="AB504" s="2410"/>
      <c r="AD504" s="2398"/>
      <c r="AE504" s="2398"/>
      <c r="AF504" s="2399"/>
      <c r="AG504" s="2399"/>
      <c r="AH504" s="2398"/>
      <c r="AI504" s="2398"/>
      <c r="AJ504" s="2398"/>
      <c r="AK504" s="2398"/>
      <c r="AL504" s="2398"/>
      <c r="AM504" s="2398"/>
      <c r="AN504" s="2398"/>
      <c r="AO504" s="2398"/>
      <c r="AP504" s="2398"/>
      <c r="AQ504" s="2398"/>
      <c r="AR504" s="2398"/>
      <c r="AS504" s="2398"/>
      <c r="AT504" s="2398"/>
    </row>
    <row r="505" spans="1:64">
      <c r="A505" s="1458"/>
      <c r="B505" s="1458"/>
      <c r="C505" s="2346"/>
      <c r="D505" s="1623"/>
      <c r="E505" s="1458"/>
      <c r="F505" s="1624"/>
      <c r="G505" s="1459"/>
      <c r="H505" s="1458"/>
      <c r="I505" s="1624"/>
      <c r="J505" s="1458"/>
      <c r="K505" s="1621"/>
      <c r="L505" s="1621"/>
      <c r="M505" s="1621"/>
      <c r="N505" s="1621"/>
      <c r="O505" s="1621"/>
      <c r="P505" s="1621"/>
      <c r="Q505" s="73"/>
      <c r="R505" s="1621"/>
      <c r="S505" s="1621"/>
      <c r="T505" s="1621"/>
      <c r="U505" s="1621"/>
      <c r="V505" s="1621"/>
      <c r="W505" s="1621"/>
      <c r="Y505" s="2269"/>
      <c r="Z505" s="1621"/>
      <c r="AA505" s="1621"/>
      <c r="AB505" s="1621"/>
      <c r="AD505" s="2398"/>
      <c r="AE505" s="2398"/>
      <c r="AF505" s="2399"/>
      <c r="AG505" s="2399"/>
      <c r="AH505" s="2398"/>
      <c r="AI505" s="2398"/>
      <c r="AJ505" s="2398"/>
      <c r="AK505" s="2398"/>
      <c r="AL505" s="2398"/>
      <c r="AM505" s="2398"/>
      <c r="AN505" s="2398"/>
      <c r="AO505" s="2398"/>
      <c r="AP505" s="2398"/>
      <c r="AQ505" s="2398"/>
      <c r="AR505" s="2398"/>
      <c r="AS505" s="2398"/>
      <c r="AT505" s="2398"/>
    </row>
    <row r="506" spans="1:64" s="2398" customFormat="1" ht="3.75" customHeight="1">
      <c r="A506" s="2766"/>
      <c r="C506" s="2399"/>
      <c r="D506" s="2767"/>
      <c r="E506" s="2399"/>
      <c r="F506" s="2399"/>
      <c r="G506" s="2399"/>
      <c r="H506" s="2399"/>
      <c r="I506" s="2399"/>
      <c r="J506" s="2399"/>
      <c r="K506" s="2399"/>
      <c r="L506" s="2399"/>
      <c r="M506" s="2399"/>
      <c r="N506" s="2399"/>
      <c r="O506" s="2399"/>
      <c r="P506" s="2399"/>
      <c r="Q506" s="2746"/>
      <c r="R506" s="2497"/>
      <c r="S506" s="2399"/>
      <c r="T506" s="2399"/>
      <c r="U506" s="2399"/>
      <c r="V506" s="2399"/>
      <c r="W506" s="2399"/>
      <c r="X506" s="2399"/>
      <c r="Y506" s="2399"/>
      <c r="AF506" s="2399"/>
      <c r="AG506" s="2399"/>
      <c r="BL506" s="2399"/>
    </row>
    <row r="507" spans="1:64">
      <c r="A507" s="2014"/>
      <c r="B507" s="2014"/>
      <c r="C507" s="2352"/>
      <c r="D507" s="1614" t="s">
        <v>2607</v>
      </c>
      <c r="E507" s="1614"/>
      <c r="F507" s="1614"/>
      <c r="G507" s="1614"/>
      <c r="H507" s="1614"/>
      <c r="I507" s="1614"/>
      <c r="J507" s="1614"/>
      <c r="K507" s="1545"/>
      <c r="L507" s="1545"/>
      <c r="M507" s="1545"/>
      <c r="N507" s="1545"/>
      <c r="O507" s="1545"/>
      <c r="P507" s="1545"/>
      <c r="Q507" s="3750"/>
      <c r="R507" s="1545"/>
      <c r="S507" s="1545"/>
      <c r="T507" s="1545"/>
      <c r="U507" s="1545"/>
      <c r="V507" s="1545"/>
      <c r="W507" s="1545"/>
      <c r="Y507" s="2269"/>
      <c r="Z507" s="1542"/>
      <c r="AA507" s="1542"/>
      <c r="AB507" s="1538"/>
      <c r="AD507" s="2398"/>
      <c r="AE507" s="2398"/>
      <c r="AF507" s="2399"/>
      <c r="AG507" s="2399"/>
      <c r="AH507" s="2398"/>
      <c r="AI507" s="2398"/>
      <c r="AJ507" s="2398"/>
      <c r="AK507" s="2398"/>
      <c r="AL507" s="2398"/>
      <c r="AM507" s="2398"/>
      <c r="AN507" s="2398"/>
      <c r="AO507" s="2398"/>
      <c r="AP507" s="2398"/>
      <c r="AQ507" s="2398"/>
      <c r="AR507" s="2398"/>
      <c r="AS507" s="2398"/>
      <c r="AT507" s="2398"/>
    </row>
    <row r="508" spans="1:64" ht="13.15" customHeight="1">
      <c r="A508" s="2014"/>
      <c r="B508" s="2014"/>
      <c r="C508" s="2352"/>
      <c r="D508" s="4413" t="s">
        <v>2609</v>
      </c>
      <c r="E508" s="4413"/>
      <c r="F508" s="4413"/>
      <c r="G508" s="4413"/>
      <c r="H508" s="4413"/>
      <c r="I508" s="4413"/>
      <c r="J508" s="4413"/>
      <c r="K508" s="4413"/>
      <c r="L508" s="4413"/>
      <c r="M508" s="4413"/>
      <c r="N508" s="4413"/>
      <c r="O508" s="4413"/>
      <c r="P508" s="4413"/>
      <c r="Q508" s="4413"/>
      <c r="R508" s="4413"/>
      <c r="S508" s="4413"/>
      <c r="T508" s="4413"/>
      <c r="U508" s="4413"/>
      <c r="V508" s="4413"/>
      <c r="W508" s="4413"/>
      <c r="Y508" s="4311" t="s">
        <v>1444</v>
      </c>
      <c r="Z508" s="4311"/>
      <c r="AA508" s="4311"/>
      <c r="AB508" s="4311"/>
      <c r="AD508" s="2398"/>
      <c r="AE508" s="2398"/>
      <c r="AF508" s="2399"/>
      <c r="AG508" s="2399"/>
      <c r="AH508" s="2398"/>
      <c r="AI508" s="2398"/>
      <c r="AJ508" s="2398"/>
      <c r="AK508" s="2398"/>
      <c r="AL508" s="2398"/>
      <c r="AM508" s="2398"/>
      <c r="AN508" s="2398"/>
      <c r="AO508" s="2398"/>
      <c r="AP508" s="2398"/>
      <c r="AQ508" s="2398"/>
      <c r="AR508" s="2398"/>
      <c r="AS508" s="2398"/>
      <c r="AT508" s="2398"/>
    </row>
    <row r="509" spans="1:64">
      <c r="A509" s="1538"/>
      <c r="B509" s="1538"/>
      <c r="D509" s="4413"/>
      <c r="E509" s="4413"/>
      <c r="F509" s="4413"/>
      <c r="G509" s="4413"/>
      <c r="H509" s="4413"/>
      <c r="I509" s="4413"/>
      <c r="J509" s="4413"/>
      <c r="K509" s="4413"/>
      <c r="L509" s="4413"/>
      <c r="M509" s="4413"/>
      <c r="N509" s="4413"/>
      <c r="O509" s="4413"/>
      <c r="P509" s="4413"/>
      <c r="Q509" s="4413"/>
      <c r="R509" s="4413"/>
      <c r="S509" s="4413"/>
      <c r="T509" s="4413"/>
      <c r="U509" s="4413"/>
      <c r="V509" s="4413"/>
      <c r="W509" s="4413"/>
      <c r="Y509" s="4311"/>
      <c r="Z509" s="4311"/>
      <c r="AA509" s="4311"/>
      <c r="AB509" s="4311"/>
      <c r="AD509" s="2398"/>
      <c r="AE509" s="2398"/>
      <c r="AF509" s="2399"/>
      <c r="AG509" s="2399"/>
      <c r="AH509" s="2398"/>
      <c r="AI509" s="2398"/>
      <c r="AJ509" s="2398"/>
      <c r="AK509" s="2398"/>
      <c r="AL509" s="2398"/>
      <c r="AM509" s="2398"/>
      <c r="AN509" s="2398"/>
      <c r="AO509" s="2398"/>
      <c r="AP509" s="2398"/>
      <c r="AQ509" s="2398"/>
      <c r="AR509" s="2398"/>
      <c r="AS509" s="2398"/>
      <c r="AT509" s="2398"/>
    </row>
    <row r="510" spans="1:64">
      <c r="A510" s="1667"/>
      <c r="B510" s="1667"/>
      <c r="D510" s="3751" t="s">
        <v>2608</v>
      </c>
      <c r="E510" s="1614"/>
      <c r="F510" s="1614"/>
      <c r="G510" s="1614"/>
      <c r="H510" s="1614"/>
      <c r="I510" s="1614"/>
      <c r="J510" s="1614"/>
      <c r="K510" s="1545"/>
      <c r="L510" s="1545"/>
      <c r="M510" s="1545"/>
      <c r="N510" s="1545"/>
      <c r="O510" s="1545"/>
      <c r="P510" s="1545"/>
      <c r="Q510" s="3750"/>
      <c r="R510" s="1545"/>
      <c r="S510" s="1545"/>
      <c r="T510" s="1545"/>
      <c r="U510" s="1545"/>
      <c r="V510" s="1545"/>
      <c r="W510" s="1545"/>
      <c r="Y510" s="1614"/>
      <c r="Z510" s="1545"/>
      <c r="AA510" s="1545"/>
      <c r="AB510" s="1545"/>
      <c r="AD510" s="2398"/>
      <c r="AE510" s="2398"/>
      <c r="AF510" s="2399"/>
      <c r="AG510" s="2399"/>
      <c r="AH510" s="2398"/>
      <c r="AI510" s="2398"/>
      <c r="AJ510" s="2398"/>
      <c r="AK510" s="2398"/>
      <c r="AL510" s="2398"/>
      <c r="AM510" s="2398"/>
      <c r="AN510" s="2398"/>
      <c r="AO510" s="2398"/>
      <c r="AP510" s="2398"/>
      <c r="AQ510" s="2398"/>
      <c r="AR510" s="2398"/>
      <c r="AS510" s="2398"/>
      <c r="AT510" s="2398"/>
    </row>
    <row r="511" spans="1:64" ht="13.15" customHeight="1">
      <c r="A511" s="1422"/>
      <c r="B511" s="1422"/>
      <c r="D511" s="3656" t="s">
        <v>2610</v>
      </c>
      <c r="E511" s="1988"/>
      <c r="F511" s="1988"/>
      <c r="G511" s="1988"/>
      <c r="H511" s="1988"/>
      <c r="I511" s="1988"/>
      <c r="J511" s="1988"/>
      <c r="K511" s="1988"/>
      <c r="L511" s="1988"/>
      <c r="M511" s="1988"/>
      <c r="N511" s="1988"/>
      <c r="O511" s="1988"/>
      <c r="P511" s="1988"/>
      <c r="Q511" s="1988"/>
      <c r="R511" s="1988"/>
      <c r="S511" s="1988"/>
      <c r="T511" s="1988"/>
      <c r="U511" s="1988"/>
      <c r="V511" s="1988"/>
      <c r="W511" s="1988"/>
      <c r="Y511" s="1614"/>
      <c r="Z511" s="1545"/>
      <c r="AA511" s="1545"/>
      <c r="AB511" s="1545"/>
      <c r="AD511" s="2398"/>
      <c r="AE511" s="2398"/>
      <c r="AF511" s="2399"/>
      <c r="AG511" s="2399"/>
      <c r="AH511" s="2398"/>
      <c r="AI511" s="2398"/>
      <c r="AJ511" s="2398"/>
      <c r="AK511" s="2398"/>
      <c r="AL511" s="2398"/>
      <c r="AM511" s="2398"/>
      <c r="AN511" s="2398"/>
      <c r="AO511" s="2398"/>
      <c r="AP511" s="2398"/>
      <c r="AQ511" s="2398"/>
      <c r="AR511" s="2398"/>
      <c r="AS511" s="2398"/>
      <c r="AT511" s="2398"/>
    </row>
    <row r="512" spans="1:64" ht="13.15" customHeight="1">
      <c r="A512" s="1992"/>
      <c r="B512" s="1992"/>
      <c r="D512" s="3656" t="s">
        <v>2611</v>
      </c>
      <c r="E512" s="1988"/>
      <c r="F512" s="1988"/>
      <c r="G512" s="1988"/>
      <c r="H512" s="1988"/>
      <c r="I512" s="1988"/>
      <c r="J512" s="1988"/>
      <c r="K512" s="1988"/>
      <c r="L512" s="1988"/>
      <c r="M512" s="1988"/>
      <c r="N512" s="1988"/>
      <c r="O512" s="1988"/>
      <c r="P512" s="1988"/>
      <c r="Q512" s="1988"/>
      <c r="R512" s="1988"/>
      <c r="S512" s="1988"/>
      <c r="T512" s="1988"/>
      <c r="U512" s="1988"/>
      <c r="V512" s="1988"/>
      <c r="W512" s="1988"/>
      <c r="Y512" s="1614"/>
      <c r="Z512" s="1545"/>
      <c r="AA512" s="1545"/>
      <c r="AB512" s="1545"/>
      <c r="AD512" s="2398"/>
      <c r="AE512" s="2398"/>
      <c r="AF512" s="2399"/>
      <c r="AG512" s="2399"/>
      <c r="AH512" s="2398"/>
      <c r="AI512" s="2398"/>
      <c r="AJ512" s="2398"/>
      <c r="AK512" s="2398"/>
      <c r="AL512" s="2398"/>
      <c r="AM512" s="2398"/>
      <c r="AN512" s="2398"/>
      <c r="AO512" s="2398"/>
      <c r="AP512" s="2398"/>
      <c r="AQ512" s="2398"/>
      <c r="AR512" s="2398"/>
      <c r="AS512" s="2398"/>
      <c r="AT512" s="2398"/>
    </row>
    <row r="513" spans="1:64" ht="13.15" customHeight="1">
      <c r="A513" s="1542"/>
      <c r="B513" s="1542"/>
      <c r="D513" s="3623" t="s">
        <v>1519</v>
      </c>
      <c r="E513" s="1988"/>
      <c r="F513" s="1988"/>
      <c r="G513" s="1988"/>
      <c r="H513" s="1988"/>
      <c r="I513" s="1988"/>
      <c r="J513" s="1988"/>
      <c r="K513" s="1988"/>
      <c r="L513" s="1988"/>
      <c r="M513" s="1988"/>
      <c r="N513" s="1988"/>
      <c r="O513" s="1988"/>
      <c r="P513" s="1988"/>
      <c r="Q513" s="1988"/>
      <c r="R513" s="1988"/>
      <c r="S513" s="1988"/>
      <c r="T513" s="1988"/>
      <c r="U513" s="1988"/>
      <c r="V513" s="1988"/>
      <c r="W513" s="1988"/>
      <c r="Y513" s="3492" t="s">
        <v>1518</v>
      </c>
      <c r="Z513" s="1545"/>
      <c r="AA513" s="1545"/>
      <c r="AB513" s="1545"/>
      <c r="AD513" s="2398"/>
      <c r="AE513" s="2398"/>
      <c r="AF513" s="2399"/>
      <c r="AG513" s="2399"/>
      <c r="AH513" s="2398"/>
      <c r="AI513" s="2398"/>
      <c r="AJ513" s="2398"/>
      <c r="AK513" s="2398"/>
      <c r="AL513" s="2398"/>
      <c r="AM513" s="2398"/>
      <c r="AN513" s="2398"/>
      <c r="AO513" s="2398"/>
      <c r="AP513" s="2398"/>
      <c r="AQ513" s="2398"/>
      <c r="AR513" s="2398"/>
      <c r="AS513" s="2398"/>
      <c r="AT513" s="2398"/>
    </row>
    <row r="514" spans="1:64" ht="13.15" customHeight="1">
      <c r="A514" s="1983"/>
      <c r="B514" s="1983"/>
      <c r="D514" s="1548"/>
      <c r="E514" s="1984"/>
      <c r="F514" s="1984"/>
      <c r="G514" s="1984"/>
      <c r="H514" s="1984"/>
      <c r="I514" s="1984"/>
      <c r="J514" s="1984"/>
      <c r="K514" s="1984"/>
      <c r="L514" s="1984"/>
      <c r="M514" s="1984"/>
      <c r="N514" s="1984"/>
      <c r="O514" s="1984"/>
      <c r="P514" s="1984"/>
      <c r="Q514" s="1984"/>
      <c r="R514" s="1984"/>
      <c r="S514" s="1984"/>
      <c r="T514" s="1984"/>
      <c r="U514" s="1984"/>
      <c r="V514" s="1984"/>
      <c r="W514" s="1984"/>
      <c r="Y514" s="1135"/>
      <c r="Z514" s="1089"/>
      <c r="AA514" s="1089"/>
      <c r="AB514" s="1983"/>
      <c r="AD514" s="2398"/>
      <c r="AE514" s="2398"/>
      <c r="AF514" s="2399"/>
      <c r="AG514" s="2399"/>
      <c r="AH514" s="2398"/>
      <c r="AI514" s="2398"/>
      <c r="AJ514" s="2398"/>
      <c r="AK514" s="2398"/>
      <c r="AL514" s="2398"/>
      <c r="AM514" s="2398"/>
      <c r="AN514" s="2398"/>
      <c r="AO514" s="2398"/>
      <c r="AP514" s="2398"/>
      <c r="AQ514" s="2398"/>
      <c r="AR514" s="2398"/>
      <c r="AS514" s="2398"/>
      <c r="AT514" s="2398"/>
    </row>
    <row r="515" spans="1:64" s="2398" customFormat="1">
      <c r="A515" s="2766"/>
      <c r="C515" s="2399"/>
      <c r="E515" s="2771"/>
      <c r="F515" s="2771"/>
      <c r="G515" s="2771"/>
      <c r="H515" s="2771"/>
      <c r="I515" s="2771"/>
      <c r="J515" s="2771"/>
      <c r="K515" s="2771"/>
      <c r="L515" s="2771"/>
      <c r="M515" s="2771"/>
      <c r="N515" s="2771"/>
      <c r="O515" s="2771"/>
      <c r="P515" s="2771"/>
      <c r="Q515" s="2771"/>
      <c r="R515" s="2771"/>
      <c r="S515" s="2771"/>
      <c r="T515" s="2771"/>
      <c r="U515" s="2771"/>
      <c r="X515" s="2399"/>
      <c r="Y515" s="2399"/>
      <c r="BL515" s="2399"/>
    </row>
    <row r="516" spans="1:64">
      <c r="A516" s="1417" t="s">
        <v>319</v>
      </c>
      <c r="B516" s="2021" t="s">
        <v>96</v>
      </c>
      <c r="D516" s="3752" t="s">
        <v>2612</v>
      </c>
      <c r="E516" s="1509"/>
      <c r="F516" s="1509"/>
      <c r="G516" s="1509"/>
      <c r="H516" s="1509"/>
      <c r="I516" s="1509"/>
      <c r="J516" s="1509"/>
      <c r="K516" s="1509"/>
      <c r="L516" s="1509"/>
      <c r="M516" s="1578"/>
      <c r="N516" s="1578"/>
      <c r="O516" s="1578"/>
      <c r="P516" s="1509"/>
      <c r="Q516" s="1510"/>
      <c r="R516" s="1511"/>
      <c r="S516" s="1509"/>
      <c r="T516" s="1578"/>
      <c r="U516" s="1578"/>
      <c r="V516" s="1578"/>
      <c r="W516" s="1578"/>
      <c r="Y516" s="2399"/>
      <c r="Z516" s="2398"/>
      <c r="AA516" s="2398"/>
      <c r="AB516" s="2398"/>
      <c r="AD516" s="92"/>
      <c r="AE516" s="92"/>
      <c r="AF516" s="1535" t="s">
        <v>1553</v>
      </c>
      <c r="AG516" s="92"/>
      <c r="AH516" s="92"/>
      <c r="AI516" s="92"/>
      <c r="AJ516" s="108"/>
      <c r="AK516" s="108"/>
      <c r="AL516" s="92"/>
      <c r="AM516" s="92"/>
      <c r="AN516" s="92"/>
      <c r="AO516" s="92"/>
      <c r="AP516" s="92"/>
      <c r="AQ516" s="92"/>
      <c r="AR516" s="92"/>
      <c r="AS516" s="92"/>
      <c r="AT516" s="92"/>
    </row>
    <row r="517" spans="1:64">
      <c r="A517" s="1090"/>
      <c r="B517" s="2021" t="s">
        <v>97</v>
      </c>
      <c r="D517" s="3752" t="s">
        <v>2613</v>
      </c>
      <c r="E517" s="1509"/>
      <c r="F517" s="1509"/>
      <c r="G517" s="1509"/>
      <c r="H517" s="1509"/>
      <c r="I517" s="1509"/>
      <c r="J517" s="1509"/>
      <c r="K517" s="1509"/>
      <c r="L517" s="1509"/>
      <c r="M517" s="1578"/>
      <c r="N517" s="1578"/>
      <c r="O517" s="1578"/>
      <c r="P517" s="1509"/>
      <c r="Q517" s="1510"/>
      <c r="R517" s="1511"/>
      <c r="S517" s="1509"/>
      <c r="T517" s="1578"/>
      <c r="U517" s="1578"/>
      <c r="V517" s="1578"/>
      <c r="W517" s="1578"/>
      <c r="Y517" s="2399"/>
      <c r="Z517" s="2398"/>
      <c r="AA517" s="2398"/>
      <c r="AB517" s="2398"/>
      <c r="AD517" s="92"/>
      <c r="AE517" s="92"/>
      <c r="AF517" s="92"/>
      <c r="AG517" s="92"/>
      <c r="AH517" s="92"/>
      <c r="AI517" s="92"/>
      <c r="AJ517" s="92"/>
      <c r="AK517" s="92"/>
      <c r="AL517" s="92"/>
      <c r="AM517" s="92"/>
      <c r="AN517" s="92"/>
      <c r="AO517" s="92"/>
      <c r="AP517" s="92"/>
      <c r="AQ517" s="92"/>
      <c r="AR517" s="92"/>
      <c r="AS517" s="92"/>
      <c r="AT517" s="92"/>
    </row>
    <row r="518" spans="1:64">
      <c r="A518" s="1090"/>
      <c r="B518" s="2021" t="s">
        <v>98</v>
      </c>
      <c r="D518" s="3752" t="s">
        <v>2614</v>
      </c>
      <c r="E518" s="1509"/>
      <c r="F518" s="1509"/>
      <c r="G518" s="1509"/>
      <c r="H518" s="1509"/>
      <c r="I518" s="1509"/>
      <c r="J518" s="1509"/>
      <c r="K518" s="1509"/>
      <c r="L518" s="1509"/>
      <c r="M518" s="1578"/>
      <c r="N518" s="1578"/>
      <c r="O518" s="1578"/>
      <c r="P518" s="1509"/>
      <c r="Q518" s="1510"/>
      <c r="R518" s="1511"/>
      <c r="S518" s="1509"/>
      <c r="T518" s="1578"/>
      <c r="U518" s="1578"/>
      <c r="V518" s="1578"/>
      <c r="W518" s="1578"/>
      <c r="Y518" s="2399"/>
      <c r="Z518" s="2398"/>
      <c r="AA518" s="2398"/>
      <c r="AB518" s="2398"/>
      <c r="AD518" s="92"/>
      <c r="AE518" s="92"/>
      <c r="AF518" s="92"/>
      <c r="AG518" s="92"/>
      <c r="AH518" s="92"/>
      <c r="AI518" s="92"/>
      <c r="AJ518" s="108"/>
      <c r="AK518" s="108"/>
      <c r="AL518" s="92"/>
      <c r="AM518" s="92"/>
      <c r="AN518" s="92"/>
      <c r="AO518" s="92"/>
      <c r="AP518" s="92"/>
      <c r="AQ518" s="92"/>
      <c r="AR518" s="92"/>
      <c r="AS518" s="92"/>
      <c r="AT518" s="92"/>
    </row>
    <row r="519" spans="1:64">
      <c r="A519" s="1090"/>
      <c r="B519" s="1422"/>
      <c r="D519" s="3622"/>
      <c r="E519" s="108"/>
      <c r="F519" s="108"/>
      <c r="G519" s="108"/>
      <c r="H519" s="108"/>
      <c r="I519" s="108"/>
      <c r="J519" s="108"/>
      <c r="K519" s="108"/>
      <c r="L519" s="108"/>
      <c r="M519" s="1422"/>
      <c r="N519" s="1422"/>
      <c r="O519" s="1422"/>
      <c r="P519" s="108"/>
      <c r="Q519" s="1506"/>
      <c r="R519" s="77"/>
      <c r="S519" s="108"/>
      <c r="T519" s="1422"/>
      <c r="U519" s="1422"/>
      <c r="V519" s="1422"/>
      <c r="W519" s="1422"/>
      <c r="Y519" s="2399"/>
      <c r="Z519" s="2398"/>
      <c r="AA519" s="2398"/>
      <c r="AB519" s="2398"/>
      <c r="AD519" s="92"/>
      <c r="AE519" s="92"/>
      <c r="AF519" s="92"/>
      <c r="AG519" s="92"/>
      <c r="AH519" s="92"/>
      <c r="AI519" s="92"/>
      <c r="AJ519" s="108"/>
      <c r="AK519" s="108"/>
      <c r="AL519" s="92"/>
      <c r="AM519" s="92"/>
      <c r="AN519" s="92"/>
      <c r="AO519" s="92"/>
      <c r="AP519" s="92"/>
      <c r="AQ519" s="92"/>
      <c r="AR519" s="92"/>
      <c r="AS519" s="92"/>
      <c r="AT519" s="92"/>
    </row>
    <row r="520" spans="1:64">
      <c r="A520" s="1090"/>
      <c r="B520" s="2021" t="s">
        <v>99</v>
      </c>
      <c r="D520" s="3635" t="s">
        <v>2615</v>
      </c>
      <c r="E520" s="1041"/>
      <c r="F520" s="1041"/>
      <c r="G520" s="571"/>
      <c r="H520" s="1512"/>
      <c r="I520" s="1148"/>
      <c r="J520" s="571"/>
      <c r="K520" s="571"/>
      <c r="L520" s="571"/>
      <c r="M520" s="571"/>
      <c r="N520" s="1041"/>
      <c r="O520" s="1041"/>
      <c r="P520" s="571"/>
      <c r="Q520" s="1512"/>
      <c r="R520" s="1148"/>
      <c r="S520" s="571"/>
      <c r="T520" s="1041"/>
      <c r="U520" s="1041"/>
      <c r="V520" s="1041"/>
      <c r="W520" s="1041"/>
      <c r="Y520" s="2399"/>
      <c r="Z520" s="2398"/>
      <c r="AA520" s="2398"/>
      <c r="AB520" s="2398"/>
      <c r="AD520" s="92"/>
      <c r="AE520" s="92"/>
      <c r="AF520" s="92"/>
      <c r="AG520" s="92"/>
      <c r="AH520" s="92"/>
      <c r="AI520" s="92"/>
      <c r="AJ520" s="108"/>
      <c r="AK520" s="108"/>
      <c r="AL520" s="92"/>
      <c r="AM520" s="92"/>
      <c r="AN520" s="92"/>
      <c r="AO520" s="92"/>
      <c r="AP520" s="92"/>
      <c r="AQ520" s="92"/>
      <c r="AR520" s="92"/>
      <c r="AS520" s="92"/>
      <c r="AT520" s="92"/>
    </row>
    <row r="521" spans="1:64">
      <c r="A521" s="1090"/>
      <c r="B521" s="1422"/>
      <c r="D521" s="1543"/>
      <c r="E521" s="1423"/>
      <c r="F521" s="108"/>
      <c r="G521" s="1506"/>
      <c r="H521" s="77"/>
      <c r="I521" s="108"/>
      <c r="J521" s="108"/>
      <c r="K521" s="108"/>
      <c r="L521" s="108"/>
      <c r="M521" s="1422"/>
      <c r="N521" s="1422"/>
      <c r="O521" s="1422"/>
      <c r="P521" s="108"/>
      <c r="Q521" s="1506"/>
      <c r="R521" s="77"/>
      <c r="S521" s="108"/>
      <c r="T521" s="1422"/>
      <c r="U521" s="1422"/>
      <c r="V521" s="1422"/>
      <c r="W521" s="1422"/>
      <c r="Y521" s="2399"/>
      <c r="Z521" s="2398"/>
      <c r="AA521" s="2398"/>
      <c r="AB521" s="2398"/>
      <c r="AD521" s="92"/>
      <c r="AE521" s="92"/>
      <c r="AF521" s="92"/>
      <c r="AG521" s="92"/>
      <c r="AH521" s="92"/>
      <c r="AI521" s="92"/>
      <c r="AJ521" s="108"/>
      <c r="AK521" s="108"/>
      <c r="AL521" s="92"/>
      <c r="AM521" s="92"/>
      <c r="AN521" s="92"/>
      <c r="AO521" s="92"/>
      <c r="AP521" s="92"/>
      <c r="AQ521" s="92"/>
      <c r="AR521" s="92"/>
      <c r="AS521" s="92"/>
      <c r="AT521" s="92"/>
    </row>
    <row r="522" spans="1:64" s="2398" customFormat="1" ht="3.75" customHeight="1">
      <c r="A522" s="2766"/>
      <c r="C522" s="2399"/>
      <c r="D522" s="2767"/>
      <c r="E522" s="2399"/>
      <c r="F522" s="2399"/>
      <c r="G522" s="2399"/>
      <c r="H522" s="2399"/>
      <c r="I522" s="2399"/>
      <c r="J522" s="2399"/>
      <c r="K522" s="2399"/>
      <c r="L522" s="2399"/>
      <c r="M522" s="2399"/>
      <c r="N522" s="2399"/>
      <c r="O522" s="2399"/>
      <c r="P522" s="2399"/>
      <c r="Q522" s="2746"/>
      <c r="R522" s="2497"/>
      <c r="S522" s="2399"/>
      <c r="T522" s="2399"/>
      <c r="U522" s="2399"/>
      <c r="V522" s="2399"/>
      <c r="W522" s="2399"/>
      <c r="X522" s="2399"/>
      <c r="Y522" s="2399"/>
      <c r="AD522" s="92"/>
      <c r="AE522" s="92"/>
      <c r="AF522" s="108"/>
      <c r="AG522" s="108"/>
      <c r="AH522" s="92"/>
      <c r="AI522" s="92"/>
      <c r="AJ522" s="92"/>
      <c r="AK522" s="92"/>
      <c r="AL522" s="92"/>
      <c r="AM522" s="92"/>
      <c r="AN522" s="92"/>
      <c r="AO522" s="92"/>
      <c r="AP522" s="92"/>
      <c r="AQ522" s="92"/>
      <c r="AR522" s="92"/>
      <c r="AS522" s="92"/>
      <c r="AT522" s="92"/>
      <c r="BL522" s="2399"/>
    </row>
    <row r="523" spans="1:64">
      <c r="A523" s="1175" t="s">
        <v>750</v>
      </c>
      <c r="B523" s="2021" t="s">
        <v>96</v>
      </c>
      <c r="D523" s="3640" t="s">
        <v>2619</v>
      </c>
      <c r="E523" s="3640"/>
      <c r="F523" s="3640"/>
      <c r="G523" s="3640"/>
      <c r="H523" s="3640"/>
      <c r="I523" s="3640"/>
      <c r="J523" s="3640"/>
      <c r="K523" s="3640"/>
      <c r="L523" s="3640"/>
      <c r="M523" s="3640"/>
      <c r="N523" s="3640"/>
      <c r="O523" s="3640"/>
      <c r="P523" s="3752"/>
      <c r="Q523" s="3752"/>
      <c r="R523" s="3771"/>
      <c r="S523" s="3752"/>
      <c r="T523" s="3640"/>
      <c r="U523" s="3640"/>
      <c r="V523" s="3640"/>
      <c r="W523" s="3640"/>
      <c r="Y523" s="2399"/>
      <c r="Z523" s="2398"/>
      <c r="AA523" s="2398"/>
      <c r="AB523" s="2398"/>
      <c r="AD523" s="92"/>
      <c r="AE523" s="92"/>
      <c r="AF523" s="92"/>
      <c r="AG523" s="92"/>
      <c r="AH523" s="92"/>
      <c r="AI523" s="92"/>
      <c r="AJ523" s="92"/>
      <c r="AK523" s="92"/>
      <c r="AL523" s="92"/>
      <c r="AM523" s="92"/>
      <c r="AN523" s="92"/>
      <c r="AO523" s="92"/>
      <c r="AP523" s="92"/>
      <c r="AQ523" s="92"/>
      <c r="AR523" s="92"/>
      <c r="AS523" s="92"/>
      <c r="AT523" s="92"/>
      <c r="BC523" s="2397"/>
    </row>
    <row r="524" spans="1:64">
      <c r="A524" s="1090"/>
      <c r="B524" s="1422"/>
      <c r="D524" s="4294" t="s">
        <v>2629</v>
      </c>
      <c r="E524" s="4294"/>
      <c r="F524" s="4294"/>
      <c r="G524" s="4294"/>
      <c r="H524" s="4294"/>
      <c r="I524" s="4294"/>
      <c r="J524" s="4294"/>
      <c r="K524" s="4294"/>
      <c r="L524" s="4294"/>
      <c r="M524" s="4294"/>
      <c r="N524" s="4294"/>
      <c r="O524" s="4294"/>
      <c r="P524" s="4294"/>
      <c r="Q524" s="4294"/>
      <c r="R524" s="4294"/>
      <c r="S524" s="4294"/>
      <c r="T524" s="4294"/>
      <c r="U524" s="4294"/>
      <c r="V524" s="4294"/>
      <c r="W524" s="4294"/>
      <c r="Y524" s="2399"/>
      <c r="Z524" s="2398"/>
      <c r="AA524" s="2398"/>
      <c r="AB524" s="2398"/>
      <c r="AD524" s="92"/>
      <c r="AE524" s="92"/>
      <c r="AF524" s="92"/>
      <c r="AG524" s="92"/>
      <c r="AH524" s="1422"/>
      <c r="AI524" s="1422"/>
      <c r="AJ524" s="1423"/>
      <c r="AK524" s="1423"/>
      <c r="AL524" s="1422"/>
      <c r="AM524" s="1422"/>
      <c r="AN524" s="1422"/>
      <c r="AO524" s="1422"/>
      <c r="AP524" s="1422"/>
      <c r="AQ524" s="1422"/>
      <c r="AR524" s="1422"/>
      <c r="AS524" s="1422"/>
      <c r="AT524" s="1422"/>
    </row>
    <row r="525" spans="1:64" ht="13.15" customHeight="1">
      <c r="A525" s="1422"/>
      <c r="B525" s="1422"/>
      <c r="D525" s="4295"/>
      <c r="E525" s="4295"/>
      <c r="F525" s="4295"/>
      <c r="G525" s="4295"/>
      <c r="H525" s="4295"/>
      <c r="I525" s="4295"/>
      <c r="J525" s="4295"/>
      <c r="K525" s="4295"/>
      <c r="L525" s="4295"/>
      <c r="M525" s="4295"/>
      <c r="N525" s="4295"/>
      <c r="O525" s="4295"/>
      <c r="P525" s="4295"/>
      <c r="Q525" s="4295"/>
      <c r="R525" s="4295"/>
      <c r="S525" s="4295"/>
      <c r="T525" s="4295"/>
      <c r="U525" s="4295"/>
      <c r="V525" s="4295"/>
      <c r="W525" s="4295"/>
      <c r="Y525" s="2399"/>
      <c r="Z525" s="2398"/>
      <c r="AA525" s="2398"/>
      <c r="AB525" s="2398"/>
      <c r="AD525" s="92"/>
      <c r="AE525" s="92"/>
      <c r="AF525" s="92"/>
      <c r="AG525" s="92"/>
      <c r="AH525" s="1422"/>
      <c r="AI525" s="1422"/>
      <c r="AJ525" s="1423"/>
      <c r="AK525" s="1423"/>
      <c r="AL525" s="1422"/>
      <c r="AM525" s="1422"/>
      <c r="AN525" s="1422"/>
      <c r="AO525" s="1422"/>
      <c r="AP525" s="1422"/>
      <c r="AQ525" s="1422"/>
      <c r="AR525" s="1422"/>
      <c r="AS525" s="1422"/>
      <c r="AT525" s="1422"/>
    </row>
    <row r="526" spans="1:64">
      <c r="A526" s="1422"/>
      <c r="B526" s="1422"/>
      <c r="D526" s="4307"/>
      <c r="E526" s="4307"/>
      <c r="F526" s="4307"/>
      <c r="G526" s="4307"/>
      <c r="H526" s="4307"/>
      <c r="I526" s="4307"/>
      <c r="J526" s="4307"/>
      <c r="K526" s="4307"/>
      <c r="L526" s="4307"/>
      <c r="M526" s="4307"/>
      <c r="N526" s="4307"/>
      <c r="O526" s="4307"/>
      <c r="P526" s="4307"/>
      <c r="Q526" s="4307"/>
      <c r="R526" s="4307"/>
      <c r="S526" s="4307"/>
      <c r="T526" s="4307"/>
      <c r="U526" s="4307"/>
      <c r="V526" s="4307"/>
      <c r="W526" s="4307"/>
      <c r="Y526" s="2399"/>
      <c r="Z526" s="2398"/>
      <c r="AA526" s="2398"/>
      <c r="AB526" s="2398"/>
      <c r="AD526" s="92"/>
      <c r="AE526" s="92"/>
      <c r="AF526" s="92"/>
      <c r="AG526" s="92"/>
      <c r="AH526" s="1422"/>
      <c r="AI526" s="1422"/>
      <c r="AJ526" s="1423"/>
      <c r="AK526" s="1423"/>
      <c r="AL526" s="1422"/>
      <c r="AM526" s="1422"/>
      <c r="AN526" s="1422"/>
      <c r="AO526" s="1422"/>
      <c r="AP526" s="1422"/>
      <c r="AQ526" s="1422"/>
      <c r="AR526" s="1422"/>
      <c r="AS526" s="1422"/>
      <c r="AT526" s="1422"/>
    </row>
    <row r="527" spans="1:64">
      <c r="A527" s="1422"/>
      <c r="B527" s="1422"/>
      <c r="D527" s="4294" t="s">
        <v>2630</v>
      </c>
      <c r="E527" s="4294"/>
      <c r="F527" s="4294"/>
      <c r="G527" s="4294"/>
      <c r="H527" s="4294"/>
      <c r="I527" s="4294"/>
      <c r="J527" s="4294"/>
      <c r="K527" s="4294"/>
      <c r="L527" s="4294"/>
      <c r="M527" s="4294"/>
      <c r="N527" s="4294"/>
      <c r="O527" s="4294"/>
      <c r="P527" s="4294"/>
      <c r="Q527" s="4294"/>
      <c r="R527" s="4294"/>
      <c r="S527" s="4294"/>
      <c r="T527" s="4294"/>
      <c r="U527" s="4294"/>
      <c r="V527" s="4294"/>
      <c r="W527" s="4294"/>
      <c r="Y527" s="2399"/>
      <c r="Z527" s="2398"/>
      <c r="AA527" s="2398"/>
      <c r="AB527" s="2398"/>
      <c r="AD527" s="92"/>
      <c r="AE527" s="92"/>
      <c r="AF527" s="92"/>
      <c r="AG527" s="92"/>
      <c r="AH527" s="1422"/>
      <c r="AI527" s="1422"/>
      <c r="AJ527" s="1423"/>
      <c r="AK527" s="1423"/>
      <c r="AL527" s="1422"/>
      <c r="AM527" s="1422"/>
      <c r="AN527" s="1422"/>
      <c r="AO527" s="1422"/>
      <c r="AP527" s="1422"/>
      <c r="AQ527" s="1422"/>
      <c r="AR527" s="1422"/>
      <c r="AS527" s="1422"/>
      <c r="AT527" s="1422"/>
    </row>
    <row r="528" spans="1:64">
      <c r="A528" s="1422"/>
      <c r="B528" s="1422"/>
      <c r="D528" s="4295"/>
      <c r="E528" s="4295"/>
      <c r="F528" s="4295"/>
      <c r="G528" s="4295"/>
      <c r="H528" s="4295"/>
      <c r="I528" s="4295"/>
      <c r="J528" s="4295"/>
      <c r="K528" s="4295"/>
      <c r="L528" s="4295"/>
      <c r="M528" s="4295"/>
      <c r="N528" s="4295"/>
      <c r="O528" s="4295"/>
      <c r="P528" s="4295"/>
      <c r="Q528" s="4295"/>
      <c r="R528" s="4295"/>
      <c r="S528" s="4295"/>
      <c r="T528" s="4295"/>
      <c r="U528" s="4295"/>
      <c r="V528" s="4295"/>
      <c r="W528" s="4295"/>
      <c r="Y528" s="2399"/>
      <c r="Z528" s="2398"/>
      <c r="AA528" s="2398"/>
      <c r="AB528" s="2398"/>
      <c r="AD528" s="92"/>
      <c r="AE528" s="92"/>
      <c r="AF528" s="92"/>
      <c r="AG528" s="92"/>
      <c r="AH528" s="1422"/>
      <c r="AI528" s="1422"/>
      <c r="AJ528" s="1423"/>
      <c r="AK528" s="1423"/>
      <c r="AL528" s="1422"/>
      <c r="AM528" s="1422"/>
      <c r="AN528" s="1422"/>
      <c r="AO528" s="1422"/>
      <c r="AP528" s="1422"/>
      <c r="AQ528" s="1422"/>
      <c r="AR528" s="1422"/>
      <c r="AS528" s="1422"/>
      <c r="AT528" s="1422"/>
    </row>
    <row r="529" spans="1:46">
      <c r="A529" s="1422"/>
      <c r="B529" s="1422"/>
      <c r="D529" s="4295"/>
      <c r="E529" s="4295"/>
      <c r="F529" s="4295"/>
      <c r="G529" s="4295"/>
      <c r="H529" s="4295"/>
      <c r="I529" s="4295"/>
      <c r="J529" s="4295"/>
      <c r="K529" s="4295"/>
      <c r="L529" s="4295"/>
      <c r="M529" s="4295"/>
      <c r="N529" s="4295"/>
      <c r="O529" s="4295"/>
      <c r="P529" s="4295"/>
      <c r="Q529" s="4295"/>
      <c r="R529" s="4295"/>
      <c r="S529" s="4295"/>
      <c r="T529" s="4295"/>
      <c r="U529" s="4295"/>
      <c r="V529" s="4295"/>
      <c r="W529" s="4295"/>
      <c r="Y529" s="2399"/>
      <c r="Z529" s="2398"/>
      <c r="AA529" s="2398"/>
      <c r="AB529" s="2398"/>
      <c r="AD529" s="92"/>
      <c r="AE529" s="92"/>
      <c r="AF529" s="92"/>
      <c r="AG529" s="92"/>
      <c r="AH529" s="1422"/>
      <c r="AI529" s="1422"/>
      <c r="AJ529" s="1423"/>
      <c r="AK529" s="1423"/>
      <c r="AL529" s="1422"/>
      <c r="AM529" s="1422"/>
      <c r="AN529" s="1422"/>
      <c r="AO529" s="1422"/>
      <c r="AP529" s="1422"/>
      <c r="AQ529" s="1422"/>
      <c r="AR529" s="1422"/>
      <c r="AS529" s="1422"/>
      <c r="AT529" s="1422"/>
    </row>
    <row r="530" spans="1:46" ht="13.15" customHeight="1">
      <c r="A530" s="1422"/>
      <c r="B530" s="1422"/>
      <c r="D530" s="4295" t="s">
        <v>2622</v>
      </c>
      <c r="E530" s="4295"/>
      <c r="F530" s="4295"/>
      <c r="G530" s="4295"/>
      <c r="H530" s="4295"/>
      <c r="I530" s="4295"/>
      <c r="J530" s="4295"/>
      <c r="K530" s="4295"/>
      <c r="L530" s="4295"/>
      <c r="M530" s="4295"/>
      <c r="N530" s="4295"/>
      <c r="O530" s="4295"/>
      <c r="P530" s="4295"/>
      <c r="Q530" s="4295"/>
      <c r="R530" s="4295"/>
      <c r="S530" s="4295"/>
      <c r="T530" s="4295"/>
      <c r="U530" s="4295"/>
      <c r="V530" s="4295"/>
      <c r="W530" s="4295"/>
      <c r="Y530" s="2399"/>
      <c r="Z530" s="2398"/>
      <c r="AA530" s="2398"/>
      <c r="AB530" s="2398"/>
      <c r="AD530" s="92"/>
      <c r="AE530" s="92"/>
      <c r="AF530" s="92"/>
      <c r="AG530" s="92"/>
      <c r="AH530" s="1422"/>
      <c r="AI530" s="1422"/>
      <c r="AJ530" s="1423"/>
      <c r="AK530" s="1423"/>
      <c r="AL530" s="1422"/>
      <c r="AM530" s="1422"/>
      <c r="AN530" s="1422"/>
      <c r="AO530" s="1422"/>
      <c r="AP530" s="1422"/>
      <c r="AQ530" s="1422"/>
      <c r="AR530" s="1422"/>
      <c r="AS530" s="1422"/>
      <c r="AT530" s="1422"/>
    </row>
    <row r="531" spans="1:46">
      <c r="A531" s="1422"/>
      <c r="B531" s="1422"/>
      <c r="D531" s="4295"/>
      <c r="E531" s="4295"/>
      <c r="F531" s="4295"/>
      <c r="G531" s="4295"/>
      <c r="H531" s="4295"/>
      <c r="I531" s="4295"/>
      <c r="J531" s="4295"/>
      <c r="K531" s="4295"/>
      <c r="L531" s="4295"/>
      <c r="M531" s="4295"/>
      <c r="N531" s="4295"/>
      <c r="O531" s="4295"/>
      <c r="P531" s="4295"/>
      <c r="Q531" s="4295"/>
      <c r="R531" s="4295"/>
      <c r="S531" s="4295"/>
      <c r="T531" s="4295"/>
      <c r="U531" s="4295"/>
      <c r="V531" s="4295"/>
      <c r="W531" s="4295"/>
      <c r="Y531" s="2399"/>
      <c r="Z531" s="2398"/>
      <c r="AA531" s="2398"/>
      <c r="AB531" s="2398"/>
      <c r="AD531" s="92"/>
      <c r="AE531" s="92"/>
      <c r="AF531" s="92"/>
      <c r="AG531" s="92"/>
      <c r="AH531" s="1422"/>
      <c r="AI531" s="1422"/>
      <c r="AJ531" s="1423"/>
      <c r="AK531" s="1423"/>
      <c r="AL531" s="1422"/>
      <c r="AM531" s="1422"/>
      <c r="AN531" s="1422"/>
      <c r="AO531" s="1422"/>
      <c r="AP531" s="1422"/>
      <c r="AQ531" s="1422"/>
      <c r="AR531" s="1422"/>
      <c r="AS531" s="1422"/>
      <c r="AT531" s="1422"/>
    </row>
    <row r="532" spans="1:46">
      <c r="A532" s="1422"/>
      <c r="B532" s="1422"/>
      <c r="D532" s="4295"/>
      <c r="E532" s="4295"/>
      <c r="F532" s="4295"/>
      <c r="G532" s="4295"/>
      <c r="H532" s="4295"/>
      <c r="I532" s="4295"/>
      <c r="J532" s="4295"/>
      <c r="K532" s="4295"/>
      <c r="L532" s="4295"/>
      <c r="M532" s="4295"/>
      <c r="N532" s="4295"/>
      <c r="O532" s="4295"/>
      <c r="P532" s="4295"/>
      <c r="Q532" s="4295"/>
      <c r="R532" s="4295"/>
      <c r="S532" s="4295"/>
      <c r="T532" s="4295"/>
      <c r="U532" s="4295"/>
      <c r="V532" s="4295"/>
      <c r="W532" s="4295"/>
      <c r="Y532" s="2399"/>
      <c r="Z532" s="2398"/>
      <c r="AA532" s="2398"/>
      <c r="AB532" s="2398"/>
      <c r="AD532" s="92"/>
      <c r="AE532" s="92"/>
      <c r="AF532" s="92"/>
      <c r="AG532" s="92"/>
      <c r="AH532" s="1422"/>
      <c r="AI532" s="1422"/>
      <c r="AJ532" s="1423"/>
      <c r="AK532" s="1423"/>
      <c r="AL532" s="1422"/>
      <c r="AM532" s="1422"/>
      <c r="AN532" s="1422"/>
      <c r="AO532" s="1422"/>
      <c r="AP532" s="1422"/>
      <c r="AQ532" s="1422"/>
      <c r="AR532" s="1422"/>
      <c r="AS532" s="1422"/>
      <c r="AT532" s="1422"/>
    </row>
    <row r="533" spans="1:46" ht="13.15" customHeight="1">
      <c r="A533" s="1422"/>
      <c r="B533" s="1422"/>
      <c r="D533" s="4295" t="s">
        <v>2623</v>
      </c>
      <c r="E533" s="4295"/>
      <c r="F533" s="4295"/>
      <c r="G533" s="4295"/>
      <c r="H533" s="4295"/>
      <c r="I533" s="4295"/>
      <c r="J533" s="4295"/>
      <c r="K533" s="4295"/>
      <c r="L533" s="4295"/>
      <c r="M533" s="4295"/>
      <c r="N533" s="4295"/>
      <c r="O533" s="4295"/>
      <c r="P533" s="4295"/>
      <c r="Q533" s="4295"/>
      <c r="R533" s="4295"/>
      <c r="S533" s="4295"/>
      <c r="T533" s="4295"/>
      <c r="U533" s="4295"/>
      <c r="V533" s="4295"/>
      <c r="W533" s="4295"/>
      <c r="X533" s="2372"/>
      <c r="Y533" s="2269"/>
      <c r="Z533" s="1422"/>
      <c r="AA533" s="1422"/>
      <c r="AB533" s="1422"/>
      <c r="AD533" s="92"/>
      <c r="AE533" s="92"/>
      <c r="AF533" s="92"/>
      <c r="AG533" s="92"/>
      <c r="AH533" s="1422"/>
      <c r="AI533" s="1422"/>
      <c r="AJ533" s="1423"/>
      <c r="AK533" s="1423"/>
      <c r="AL533" s="1422"/>
      <c r="AM533" s="1422"/>
      <c r="AN533" s="1422"/>
      <c r="AO533" s="1422"/>
      <c r="AP533" s="1422"/>
      <c r="AQ533" s="1422"/>
      <c r="AR533" s="1422"/>
      <c r="AS533" s="1422"/>
      <c r="AT533" s="1422"/>
    </row>
    <row r="534" spans="1:46">
      <c r="A534" s="1422"/>
      <c r="B534" s="1422"/>
      <c r="D534" s="4295"/>
      <c r="E534" s="4295"/>
      <c r="F534" s="4295"/>
      <c r="G534" s="4295"/>
      <c r="H534" s="4295"/>
      <c r="I534" s="4295"/>
      <c r="J534" s="4295"/>
      <c r="K534" s="4295"/>
      <c r="L534" s="4295"/>
      <c r="M534" s="4295"/>
      <c r="N534" s="4295"/>
      <c r="O534" s="4295"/>
      <c r="P534" s="4295"/>
      <c r="Q534" s="4295"/>
      <c r="R534" s="4295"/>
      <c r="S534" s="4295"/>
      <c r="T534" s="4295"/>
      <c r="U534" s="4295"/>
      <c r="V534" s="4295"/>
      <c r="W534" s="4295"/>
      <c r="X534" s="2372"/>
      <c r="Y534" s="1614" t="s">
        <v>1293</v>
      </c>
      <c r="Z534" s="1422"/>
      <c r="AA534" s="1422"/>
      <c r="AB534" s="1422"/>
      <c r="AD534" s="92"/>
      <c r="AE534" s="92"/>
      <c r="AF534" s="92"/>
      <c r="AG534" s="92"/>
      <c r="AH534" s="1422"/>
      <c r="AI534" s="1422"/>
      <c r="AJ534" s="1423"/>
      <c r="AK534" s="1423"/>
      <c r="AL534" s="1422"/>
      <c r="AM534" s="1422"/>
      <c r="AN534" s="1422"/>
      <c r="AO534" s="1422"/>
      <c r="AP534" s="1422"/>
      <c r="AQ534" s="1422"/>
      <c r="AR534" s="1422"/>
      <c r="AS534" s="1422"/>
      <c r="AT534" s="1422"/>
    </row>
    <row r="535" spans="1:46">
      <c r="A535" s="1422"/>
      <c r="B535" s="1422"/>
      <c r="D535" s="4295"/>
      <c r="E535" s="4295"/>
      <c r="F535" s="4295"/>
      <c r="G535" s="4295"/>
      <c r="H535" s="4295"/>
      <c r="I535" s="4295"/>
      <c r="J535" s="4295"/>
      <c r="K535" s="4295"/>
      <c r="L535" s="4295"/>
      <c r="M535" s="4295"/>
      <c r="N535" s="4295"/>
      <c r="O535" s="4295"/>
      <c r="P535" s="4295"/>
      <c r="Q535" s="4295"/>
      <c r="R535" s="4295"/>
      <c r="S535" s="4295"/>
      <c r="T535" s="4295"/>
      <c r="U535" s="4295"/>
      <c r="V535" s="4295"/>
      <c r="W535" s="4295"/>
      <c r="X535" s="2372"/>
      <c r="Y535" s="3505">
        <f>CALCULATIONS!NU7</f>
        <v>1.2701878517367673</v>
      </c>
      <c r="Z535" s="134"/>
      <c r="AA535" s="1422"/>
      <c r="AB535" s="1422"/>
      <c r="AD535" s="92"/>
      <c r="AE535" s="92"/>
      <c r="AF535" s="92"/>
      <c r="AG535" s="92"/>
      <c r="AH535" s="1422"/>
      <c r="AI535" s="1422"/>
      <c r="AJ535" s="1423"/>
      <c r="AK535" s="1423"/>
      <c r="AL535" s="1422"/>
      <c r="AM535" s="1422"/>
      <c r="AN535" s="1422"/>
      <c r="AO535" s="1422"/>
      <c r="AP535" s="1422"/>
      <c r="AQ535" s="1422"/>
      <c r="AR535" s="1422"/>
      <c r="AS535" s="1422"/>
      <c r="AT535" s="1422"/>
    </row>
    <row r="536" spans="1:46">
      <c r="A536" s="1422"/>
      <c r="B536" s="1422"/>
      <c r="D536" s="4295" t="s">
        <v>2624</v>
      </c>
      <c r="E536" s="4295"/>
      <c r="F536" s="4295"/>
      <c r="G536" s="4295"/>
      <c r="H536" s="4295"/>
      <c r="I536" s="4295"/>
      <c r="J536" s="4295"/>
      <c r="K536" s="4295"/>
      <c r="L536" s="4295"/>
      <c r="M536" s="4295"/>
      <c r="N536" s="4295"/>
      <c r="O536" s="4295"/>
      <c r="P536" s="4295"/>
      <c r="Q536" s="4295"/>
      <c r="R536" s="4295"/>
      <c r="S536" s="4295"/>
      <c r="T536" s="4295"/>
      <c r="U536" s="4295"/>
      <c r="V536" s="4295"/>
      <c r="W536" s="4295"/>
      <c r="Y536" s="2269"/>
      <c r="Z536" s="1422"/>
      <c r="AA536" s="1422"/>
      <c r="AB536" s="1422"/>
      <c r="AD536" s="92"/>
      <c r="AE536" s="92"/>
      <c r="AF536" s="108"/>
      <c r="AG536" s="92"/>
      <c r="AH536" s="1422"/>
      <c r="AI536" s="1422"/>
      <c r="AJ536" s="1423"/>
      <c r="AK536" s="1423"/>
      <c r="AL536" s="1422"/>
      <c r="AM536" s="1422"/>
      <c r="AN536" s="1422"/>
      <c r="AO536" s="1422"/>
      <c r="AP536" s="1422"/>
      <c r="AQ536" s="1422"/>
      <c r="AR536" s="1422"/>
      <c r="AS536" s="1422"/>
      <c r="AT536" s="1422"/>
    </row>
    <row r="537" spans="1:46">
      <c r="A537" s="1422"/>
      <c r="B537" s="1422"/>
      <c r="D537" s="4295"/>
      <c r="E537" s="4295"/>
      <c r="F537" s="4295"/>
      <c r="G537" s="4295"/>
      <c r="H537" s="4295"/>
      <c r="I537" s="4295"/>
      <c r="J537" s="4295"/>
      <c r="K537" s="4295"/>
      <c r="L537" s="4295"/>
      <c r="M537" s="4295"/>
      <c r="N537" s="4295"/>
      <c r="O537" s="4295"/>
      <c r="P537" s="4295"/>
      <c r="Q537" s="4295"/>
      <c r="R537" s="4295"/>
      <c r="S537" s="4295"/>
      <c r="T537" s="4295"/>
      <c r="U537" s="4295"/>
      <c r="V537" s="4295"/>
      <c r="W537" s="4295"/>
      <c r="Y537" s="2399"/>
      <c r="Z537" s="2398"/>
      <c r="AA537" s="2398"/>
      <c r="AB537" s="2398"/>
      <c r="AD537" s="2398"/>
      <c r="AE537" s="2398"/>
      <c r="AF537" s="2398"/>
      <c r="AG537" s="2398"/>
      <c r="AH537" s="2398"/>
      <c r="AI537" s="2398"/>
      <c r="AJ537" s="2399"/>
      <c r="AK537" s="2399"/>
      <c r="AL537" s="2398"/>
      <c r="AM537" s="2398"/>
      <c r="AN537" s="2398"/>
      <c r="AO537" s="2398"/>
      <c r="AP537" s="2398"/>
      <c r="AQ537" s="2398"/>
      <c r="AR537" s="2398"/>
      <c r="AS537" s="2398"/>
      <c r="AT537" s="2398"/>
    </row>
    <row r="538" spans="1:46">
      <c r="A538" s="1422"/>
      <c r="B538" s="1422"/>
      <c r="D538" s="3775" t="s">
        <v>2625</v>
      </c>
      <c r="E538" s="3775"/>
      <c r="F538" s="3775"/>
      <c r="G538" s="3775"/>
      <c r="H538" s="3775"/>
      <c r="I538" s="3775"/>
      <c r="J538" s="3775"/>
      <c r="K538" s="3775"/>
      <c r="L538" s="3775"/>
      <c r="M538" s="3775"/>
      <c r="N538" s="3775"/>
      <c r="O538" s="3775"/>
      <c r="P538" s="3775"/>
      <c r="Q538" s="3775"/>
      <c r="R538" s="3775"/>
      <c r="S538" s="3775"/>
      <c r="T538" s="3775"/>
      <c r="U538" s="3775"/>
      <c r="V538" s="3775"/>
      <c r="W538" s="3775"/>
      <c r="Y538" s="2399"/>
      <c r="Z538" s="2398"/>
      <c r="AA538" s="2398"/>
      <c r="AB538" s="2398"/>
      <c r="AD538" s="1422"/>
      <c r="AE538" s="1422"/>
      <c r="AF538" s="1217" t="s">
        <v>1246</v>
      </c>
      <c r="AG538" s="1422"/>
      <c r="AH538" s="1422"/>
      <c r="AI538" s="1422"/>
      <c r="AJ538" s="1422"/>
      <c r="AK538" s="1422"/>
      <c r="AL538" s="1422"/>
      <c r="AM538" s="1422"/>
      <c r="AN538" s="1422"/>
      <c r="AO538" s="1422"/>
      <c r="AP538" s="1422"/>
      <c r="AQ538" s="1422"/>
      <c r="AR538" s="1422"/>
      <c r="AS538" s="1422"/>
      <c r="AT538" s="1422"/>
    </row>
    <row r="539" spans="1:46">
      <c r="A539" s="1422"/>
      <c r="B539" s="1422"/>
      <c r="D539" s="1688"/>
      <c r="E539" s="1688"/>
      <c r="F539" s="1688"/>
      <c r="G539" s="1688"/>
      <c r="H539" s="1688"/>
      <c r="I539" s="1688"/>
      <c r="J539" s="1688"/>
      <c r="K539" s="1688"/>
      <c r="L539" s="1688"/>
      <c r="M539" s="1688"/>
      <c r="N539" s="1688"/>
      <c r="O539" s="1688"/>
      <c r="P539" s="1688"/>
      <c r="Q539" s="1688"/>
      <c r="R539" s="1688"/>
      <c r="S539" s="1688"/>
      <c r="T539" s="1688"/>
      <c r="U539" s="1688"/>
      <c r="V539" s="1688"/>
      <c r="W539" s="1688"/>
      <c r="Y539" s="2269"/>
      <c r="Z539" s="1422"/>
      <c r="AA539" s="1422"/>
      <c r="AB539" s="1422"/>
      <c r="AD539" s="1422"/>
      <c r="AE539" s="1422"/>
      <c r="AF539" s="1422"/>
      <c r="AG539" s="1422"/>
      <c r="AH539" s="1422"/>
      <c r="AI539" s="1422"/>
      <c r="AJ539" s="1422"/>
      <c r="AK539" s="1422"/>
      <c r="AL539" s="1422"/>
      <c r="AM539" s="1422"/>
      <c r="AN539" s="1422"/>
      <c r="AO539" s="1422"/>
      <c r="AP539" s="1422"/>
      <c r="AQ539" s="1422"/>
      <c r="AR539" s="1422"/>
      <c r="AS539" s="1422"/>
      <c r="AT539" s="1422"/>
    </row>
    <row r="540" spans="1:46">
      <c r="A540" s="1422"/>
      <c r="B540" s="2021" t="s">
        <v>97</v>
      </c>
      <c r="D540" s="3640" t="s">
        <v>2631</v>
      </c>
      <c r="E540" s="1551"/>
      <c r="F540" s="1551"/>
      <c r="G540" s="1551"/>
      <c r="H540" s="1551"/>
      <c r="I540" s="1551"/>
      <c r="J540" s="1551"/>
      <c r="K540" s="1551"/>
      <c r="L540" s="1551"/>
      <c r="M540" s="1551"/>
      <c r="N540" s="1551"/>
      <c r="O540" s="1550"/>
      <c r="P540" s="1552"/>
      <c r="Q540" s="1553"/>
      <c r="R540" s="1550"/>
      <c r="S540" s="1551"/>
      <c r="T540" s="1551"/>
      <c r="U540" s="1551"/>
      <c r="V540" s="1551"/>
      <c r="W540" s="1551"/>
      <c r="Y540" s="3492" t="s">
        <v>37</v>
      </c>
      <c r="Z540" s="1089"/>
      <c r="AA540" s="1089" t="s">
        <v>96</v>
      </c>
      <c r="AB540" s="1089" t="s">
        <v>97</v>
      </c>
      <c r="AD540" s="1422"/>
      <c r="AE540" s="1422"/>
      <c r="AF540" s="1422"/>
      <c r="AG540" s="1422"/>
      <c r="AH540" s="1422"/>
      <c r="AI540" s="1422"/>
      <c r="AJ540" s="1422"/>
      <c r="AK540" s="1422"/>
      <c r="AL540" s="1422"/>
      <c r="AM540" s="1422"/>
      <c r="AN540" s="1422"/>
      <c r="AO540" s="1422"/>
      <c r="AP540" s="1422"/>
      <c r="AQ540" s="1422"/>
      <c r="AR540" s="1422"/>
      <c r="AS540" s="1422"/>
      <c r="AT540" s="1422"/>
    </row>
    <row r="541" spans="1:46">
      <c r="A541" s="1090"/>
      <c r="B541" s="1422"/>
      <c r="D541" s="4404" t="s">
        <v>2632</v>
      </c>
      <c r="E541" s="4404"/>
      <c r="F541" s="4404"/>
      <c r="G541" s="4404"/>
      <c r="H541" s="4404"/>
      <c r="I541" s="4404"/>
      <c r="J541" s="4404"/>
      <c r="K541" s="4404"/>
      <c r="L541" s="4404"/>
      <c r="M541" s="4404"/>
      <c r="N541" s="4404"/>
      <c r="O541" s="4404"/>
      <c r="P541" s="4404"/>
      <c r="Q541" s="4404"/>
      <c r="R541" s="4404"/>
      <c r="S541" s="4404"/>
      <c r="T541" s="4404"/>
      <c r="U541" s="4404"/>
      <c r="V541" s="4404"/>
      <c r="W541" s="4404"/>
      <c r="Y541" s="3773" t="s">
        <v>1423</v>
      </c>
      <c r="Z541" s="1571"/>
      <c r="AA541" s="1571" t="s">
        <v>1283</v>
      </c>
      <c r="AB541" s="1571" t="s">
        <v>1284</v>
      </c>
      <c r="AD541" s="1422"/>
      <c r="AE541" s="1422"/>
      <c r="AF541" s="1422"/>
      <c r="AG541" s="1422"/>
      <c r="AH541" s="1422"/>
      <c r="AI541" s="1422"/>
      <c r="AJ541" s="1422"/>
      <c r="AK541" s="1422"/>
      <c r="AL541" s="1422"/>
      <c r="AM541" s="1422"/>
      <c r="AN541" s="1422"/>
      <c r="AO541" s="1422"/>
      <c r="AP541" s="1422"/>
      <c r="AQ541" s="1422"/>
      <c r="AR541" s="1422"/>
      <c r="AS541" s="1422"/>
      <c r="AT541" s="1422"/>
    </row>
    <row r="542" spans="1:46" ht="13.15" customHeight="1">
      <c r="A542" s="1090"/>
      <c r="B542" s="1422"/>
      <c r="D542" s="4405"/>
      <c r="E542" s="4405"/>
      <c r="F542" s="4405"/>
      <c r="G542" s="4405"/>
      <c r="H542" s="4405"/>
      <c r="I542" s="4405"/>
      <c r="J542" s="4405"/>
      <c r="K542" s="4405"/>
      <c r="L542" s="4405"/>
      <c r="M542" s="4405"/>
      <c r="N542" s="4405"/>
      <c r="O542" s="4405"/>
      <c r="P542" s="4405"/>
      <c r="Q542" s="4405"/>
      <c r="R542" s="4405"/>
      <c r="S542" s="4405"/>
      <c r="T542" s="4405"/>
      <c r="U542" s="4405"/>
      <c r="V542" s="4405"/>
      <c r="W542" s="4405"/>
      <c r="Y542" s="3773" t="s">
        <v>1424</v>
      </c>
      <c r="Z542" s="1571"/>
      <c r="AA542" s="1571" t="s">
        <v>1281</v>
      </c>
      <c r="AB542" s="4309" t="s">
        <v>1283</v>
      </c>
      <c r="AD542" s="1422"/>
      <c r="AE542" s="1422"/>
      <c r="AF542" s="1423"/>
      <c r="AG542" s="1423"/>
      <c r="AH542" s="1422"/>
      <c r="AI542" s="1422"/>
      <c r="AJ542" s="1422"/>
      <c r="AK542" s="1422"/>
      <c r="AL542" s="1422"/>
      <c r="AM542" s="1422"/>
      <c r="AN542" s="1422"/>
      <c r="AO542" s="1422"/>
      <c r="AP542" s="1422"/>
      <c r="AQ542" s="1422"/>
      <c r="AR542" s="1422"/>
      <c r="AS542" s="1422"/>
      <c r="AT542" s="1422"/>
    </row>
    <row r="543" spans="1:46" ht="13.15" customHeight="1">
      <c r="A543" s="1090"/>
      <c r="B543" s="1422"/>
      <c r="D543" s="4295" t="s">
        <v>2626</v>
      </c>
      <c r="E543" s="4295"/>
      <c r="F543" s="4295"/>
      <c r="G543" s="4295"/>
      <c r="H543" s="4295"/>
      <c r="I543" s="4295"/>
      <c r="J543" s="4295"/>
      <c r="K543" s="4295"/>
      <c r="L543" s="4295"/>
      <c r="M543" s="4295"/>
      <c r="N543" s="4295"/>
      <c r="O543" s="4295"/>
      <c r="P543" s="4295"/>
      <c r="Q543" s="4295"/>
      <c r="R543" s="4295"/>
      <c r="S543" s="4295"/>
      <c r="T543" s="4295"/>
      <c r="U543" s="4295"/>
      <c r="V543" s="4295"/>
      <c r="W543" s="4295"/>
      <c r="X543" s="2373"/>
      <c r="Y543" s="3773" t="s">
        <v>1280</v>
      </c>
      <c r="Z543" s="1571"/>
      <c r="AA543" s="1571" t="s">
        <v>1284</v>
      </c>
      <c r="AB543" s="4310"/>
      <c r="AD543" s="1422"/>
      <c r="AE543" s="1422"/>
      <c r="AF543" s="1423"/>
      <c r="AG543" s="1423"/>
      <c r="AH543" s="1422"/>
      <c r="AI543" s="1422"/>
      <c r="AJ543" s="1422"/>
      <c r="AK543" s="1422"/>
      <c r="AL543" s="1422"/>
      <c r="AM543" s="1422"/>
      <c r="AN543" s="1422"/>
      <c r="AO543" s="1422"/>
      <c r="AP543" s="1422"/>
      <c r="AQ543" s="1422"/>
      <c r="AR543" s="1422"/>
      <c r="AS543" s="1422"/>
      <c r="AT543" s="1422"/>
    </row>
    <row r="544" spans="1:46">
      <c r="A544" s="1090"/>
      <c r="B544" s="1422"/>
      <c r="D544" s="4295"/>
      <c r="E544" s="4295"/>
      <c r="F544" s="4295"/>
      <c r="G544" s="4295"/>
      <c r="H544" s="4295"/>
      <c r="I544" s="4295"/>
      <c r="J544" s="4295"/>
      <c r="K544" s="4295"/>
      <c r="L544" s="4295"/>
      <c r="M544" s="4295"/>
      <c r="N544" s="4295"/>
      <c r="O544" s="4295"/>
      <c r="P544" s="4295"/>
      <c r="Q544" s="4295"/>
      <c r="R544" s="4295"/>
      <c r="S544" s="4295"/>
      <c r="T544" s="4295"/>
      <c r="U544" s="4295"/>
      <c r="V544" s="4295"/>
      <c r="W544" s="4295"/>
      <c r="X544" s="2373"/>
      <c r="Y544" s="2269"/>
      <c r="Z544" s="1422"/>
      <c r="AA544" s="1422"/>
      <c r="AB544" s="1422"/>
      <c r="AD544" s="1422"/>
      <c r="AE544" s="1422"/>
      <c r="AF544" s="1423"/>
      <c r="AG544" s="1423"/>
      <c r="AH544" s="1422"/>
      <c r="AI544" s="1422"/>
      <c r="AJ544" s="1422"/>
      <c r="AK544" s="1422"/>
      <c r="AL544" s="1422"/>
      <c r="AM544" s="1422"/>
      <c r="AN544" s="1422"/>
      <c r="AO544" s="1422"/>
      <c r="AP544" s="1422"/>
      <c r="AQ544" s="1422"/>
      <c r="AR544" s="1422"/>
      <c r="AS544" s="1422"/>
      <c r="AT544" s="1422"/>
    </row>
    <row r="545" spans="1:46">
      <c r="A545" s="1090"/>
      <c r="B545" s="1422"/>
      <c r="D545" s="4295"/>
      <c r="E545" s="4295"/>
      <c r="F545" s="4295"/>
      <c r="G545" s="4295"/>
      <c r="H545" s="4295"/>
      <c r="I545" s="4295"/>
      <c r="J545" s="4295"/>
      <c r="K545" s="4295"/>
      <c r="L545" s="4295"/>
      <c r="M545" s="4295"/>
      <c r="N545" s="4295"/>
      <c r="O545" s="4295"/>
      <c r="P545" s="4295"/>
      <c r="Q545" s="4295"/>
      <c r="R545" s="4295"/>
      <c r="S545" s="4295"/>
      <c r="T545" s="4295"/>
      <c r="U545" s="4295"/>
      <c r="V545" s="4295"/>
      <c r="W545" s="4295"/>
      <c r="X545" s="2373"/>
      <c r="Y545" s="2399"/>
      <c r="Z545" s="2398"/>
      <c r="AA545" s="2398"/>
      <c r="AB545" s="2398"/>
      <c r="AD545" s="1422"/>
      <c r="AE545" s="1422"/>
      <c r="AF545" s="1423"/>
      <c r="AG545" s="1423"/>
      <c r="AH545" s="1422"/>
      <c r="AI545" s="1422"/>
      <c r="AJ545" s="1422"/>
      <c r="AK545" s="1422"/>
      <c r="AL545" s="1422"/>
      <c r="AM545" s="1422"/>
      <c r="AN545" s="1422"/>
      <c r="AO545" s="1422"/>
      <c r="AP545" s="1422"/>
      <c r="AQ545" s="1422"/>
      <c r="AR545" s="1422"/>
      <c r="AS545" s="1422"/>
      <c r="AT545" s="1422"/>
    </row>
    <row r="546" spans="1:46">
      <c r="A546" s="1090"/>
      <c r="B546" s="1422"/>
      <c r="D546" s="4295" t="s">
        <v>2627</v>
      </c>
      <c r="E546" s="4295"/>
      <c r="F546" s="4295"/>
      <c r="G546" s="4295"/>
      <c r="H546" s="4295"/>
      <c r="I546" s="4295"/>
      <c r="J546" s="4295"/>
      <c r="K546" s="4295"/>
      <c r="L546" s="4295"/>
      <c r="M546" s="4295"/>
      <c r="N546" s="4295"/>
      <c r="O546" s="4295"/>
      <c r="P546" s="4295"/>
      <c r="Q546" s="4295"/>
      <c r="R546" s="4295"/>
      <c r="S546" s="4295"/>
      <c r="T546" s="4295"/>
      <c r="U546" s="4295"/>
      <c r="V546" s="4295"/>
      <c r="W546" s="4295"/>
      <c r="Y546" s="2399"/>
      <c r="Z546" s="2398"/>
      <c r="AA546" s="2398"/>
      <c r="AB546" s="2398"/>
      <c r="AD546" s="1422"/>
      <c r="AE546" s="1422"/>
      <c r="AF546" s="1423"/>
      <c r="AG546" s="1423"/>
      <c r="AH546" s="1422"/>
      <c r="AI546" s="1422"/>
      <c r="AJ546" s="1422"/>
      <c r="AK546" s="1422"/>
      <c r="AL546" s="1422"/>
      <c r="AM546" s="1422"/>
      <c r="AN546" s="1422"/>
      <c r="AO546" s="1422"/>
      <c r="AP546" s="1422"/>
      <c r="AQ546" s="1422"/>
      <c r="AR546" s="1422"/>
      <c r="AS546" s="1422"/>
      <c r="AT546" s="1422"/>
    </row>
    <row r="547" spans="1:46">
      <c r="A547" s="1090"/>
      <c r="B547" s="1422"/>
      <c r="D547" s="4295"/>
      <c r="E547" s="4295"/>
      <c r="F547" s="4295"/>
      <c r="G547" s="4295"/>
      <c r="H547" s="4295"/>
      <c r="I547" s="4295"/>
      <c r="J547" s="4295"/>
      <c r="K547" s="4295"/>
      <c r="L547" s="4295"/>
      <c r="M547" s="4295"/>
      <c r="N547" s="4295"/>
      <c r="O547" s="4295"/>
      <c r="P547" s="4295"/>
      <c r="Q547" s="4295"/>
      <c r="R547" s="4295"/>
      <c r="S547" s="4295"/>
      <c r="T547" s="4295"/>
      <c r="U547" s="4295"/>
      <c r="V547" s="4295"/>
      <c r="W547" s="4295"/>
      <c r="Y547" s="1614"/>
      <c r="Z547" s="1545"/>
      <c r="AA547" s="1545"/>
      <c r="AB547" s="1545"/>
      <c r="AD547" s="1422"/>
      <c r="AE547" s="1422"/>
      <c r="AF547" s="1423"/>
      <c r="AG547" s="1423"/>
      <c r="AH547" s="1422"/>
      <c r="AI547" s="1422"/>
      <c r="AJ547" s="1422"/>
      <c r="AK547" s="1422"/>
      <c r="AL547" s="1422"/>
      <c r="AM547" s="1422"/>
      <c r="AN547" s="1422"/>
      <c r="AO547" s="1422"/>
      <c r="AP547" s="1422"/>
      <c r="AQ547" s="1422"/>
      <c r="AR547" s="1422"/>
      <c r="AS547" s="1422"/>
      <c r="AT547" s="1422"/>
    </row>
    <row r="548" spans="1:46">
      <c r="A548" s="1090"/>
      <c r="B548" s="1422"/>
      <c r="D548" s="4295" t="s">
        <v>2628</v>
      </c>
      <c r="E548" s="4295"/>
      <c r="F548" s="4295"/>
      <c r="G548" s="4295"/>
      <c r="H548" s="4295"/>
      <c r="I548" s="4295"/>
      <c r="J548" s="4295"/>
      <c r="K548" s="4295"/>
      <c r="L548" s="4295"/>
      <c r="M548" s="4295"/>
      <c r="N548" s="4295"/>
      <c r="O548" s="4295"/>
      <c r="P548" s="4295"/>
      <c r="Q548" s="4295"/>
      <c r="R548" s="4295"/>
      <c r="S548" s="4295"/>
      <c r="T548" s="4295"/>
      <c r="U548" s="4295"/>
      <c r="V548" s="4295"/>
      <c r="W548" s="4295"/>
      <c r="Y548" s="4403" t="s">
        <v>1521</v>
      </c>
      <c r="Z548" s="4403"/>
      <c r="AA548" s="4403"/>
      <c r="AB548" s="4403"/>
      <c r="AD548" s="1422"/>
      <c r="AE548" s="1422"/>
      <c r="AF548" s="1423"/>
      <c r="AG548" s="1423"/>
      <c r="AH548" s="1422"/>
      <c r="AI548" s="1422"/>
      <c r="AJ548" s="1422"/>
      <c r="AK548" s="1422"/>
      <c r="AL548" s="1422"/>
      <c r="AM548" s="1422"/>
      <c r="AN548" s="1422"/>
      <c r="AO548" s="1422"/>
      <c r="AP548" s="1422"/>
      <c r="AQ548" s="1422"/>
      <c r="AR548" s="1422"/>
      <c r="AS548" s="1422"/>
      <c r="AT548" s="1422"/>
    </row>
    <row r="549" spans="1:46">
      <c r="A549" s="1090"/>
      <c r="B549" s="1422"/>
      <c r="D549" s="4295"/>
      <c r="E549" s="4295"/>
      <c r="F549" s="4295"/>
      <c r="G549" s="4295"/>
      <c r="H549" s="4295"/>
      <c r="I549" s="4295"/>
      <c r="J549" s="4295"/>
      <c r="K549" s="4295"/>
      <c r="L549" s="4295"/>
      <c r="M549" s="4295"/>
      <c r="N549" s="4295"/>
      <c r="O549" s="4295"/>
      <c r="P549" s="4295"/>
      <c r="Q549" s="4295"/>
      <c r="R549" s="4295"/>
      <c r="S549" s="4295"/>
      <c r="T549" s="4295"/>
      <c r="U549" s="4295"/>
      <c r="V549" s="4295"/>
      <c r="W549" s="4295"/>
      <c r="Y549" s="4403"/>
      <c r="Z549" s="4403"/>
      <c r="AA549" s="4403"/>
      <c r="AB549" s="4403"/>
      <c r="AD549" s="1422"/>
      <c r="AE549" s="1422"/>
      <c r="AF549" s="1423"/>
      <c r="AG549" s="1423"/>
      <c r="AH549" s="1422"/>
      <c r="AI549" s="1422"/>
      <c r="AJ549" s="1422"/>
      <c r="AK549" s="1422"/>
      <c r="AL549" s="1422"/>
      <c r="AM549" s="1422"/>
      <c r="AN549" s="1422"/>
      <c r="AO549" s="1422"/>
      <c r="AP549" s="1422"/>
      <c r="AQ549" s="1422"/>
      <c r="AR549" s="1422"/>
      <c r="AS549" s="1422"/>
      <c r="AT549" s="1422"/>
    </row>
    <row r="550" spans="1:46">
      <c r="A550" s="1090"/>
      <c r="B550" s="1422"/>
      <c r="D550" s="4307"/>
      <c r="E550" s="4307"/>
      <c r="F550" s="4307"/>
      <c r="G550" s="4307"/>
      <c r="H550" s="4307"/>
      <c r="I550" s="4307"/>
      <c r="J550" s="4307"/>
      <c r="K550" s="4307"/>
      <c r="L550" s="4307"/>
      <c r="M550" s="4307"/>
      <c r="N550" s="4307"/>
      <c r="O550" s="4307"/>
      <c r="P550" s="4307"/>
      <c r="Q550" s="4307"/>
      <c r="R550" s="4307"/>
      <c r="S550" s="4307"/>
      <c r="T550" s="4307"/>
      <c r="U550" s="4307"/>
      <c r="V550" s="4307"/>
      <c r="W550" s="4307"/>
      <c r="Y550" s="4403"/>
      <c r="Z550" s="4403"/>
      <c r="AA550" s="4403"/>
      <c r="AB550" s="4403"/>
      <c r="AD550" s="1422"/>
      <c r="AE550" s="1422"/>
      <c r="AF550" s="1423"/>
      <c r="AG550" s="1423"/>
      <c r="AH550" s="1422"/>
      <c r="AI550" s="1422"/>
      <c r="AJ550" s="1422"/>
      <c r="AK550" s="1422"/>
      <c r="AL550" s="1422"/>
      <c r="AM550" s="1422"/>
      <c r="AN550" s="1422"/>
      <c r="AO550" s="1422"/>
      <c r="AP550" s="1422"/>
      <c r="AQ550" s="1422"/>
      <c r="AR550" s="1422"/>
      <c r="AS550" s="1422"/>
      <c r="AT550" s="1422"/>
    </row>
    <row r="551" spans="1:46">
      <c r="A551" s="1090"/>
      <c r="B551" s="1422"/>
      <c r="D551" s="4290" t="s">
        <v>2633</v>
      </c>
      <c r="E551" s="4290"/>
      <c r="F551" s="4290"/>
      <c r="G551" s="4290"/>
      <c r="H551" s="4290"/>
      <c r="I551" s="4290"/>
      <c r="J551" s="4290"/>
      <c r="K551" s="4290"/>
      <c r="L551" s="4290"/>
      <c r="M551" s="4290"/>
      <c r="N551" s="4290"/>
      <c r="O551" s="4290"/>
      <c r="P551" s="4290"/>
      <c r="Q551" s="4290"/>
      <c r="R551" s="4290"/>
      <c r="S551" s="4290"/>
      <c r="T551" s="4290"/>
      <c r="U551" s="4290"/>
      <c r="V551" s="4290"/>
      <c r="W551" s="4290"/>
      <c r="Y551" s="4403"/>
      <c r="Z551" s="4403"/>
      <c r="AA551" s="4403"/>
      <c r="AB551" s="4403"/>
      <c r="AD551" s="1422"/>
      <c r="AE551" s="1422"/>
      <c r="AF551" s="92"/>
      <c r="AG551" s="1423"/>
      <c r="AH551" s="1422"/>
      <c r="AI551" s="1422"/>
      <c r="AJ551" s="1422"/>
      <c r="AK551" s="1422"/>
      <c r="AL551" s="1422"/>
      <c r="AM551" s="1422"/>
      <c r="AN551" s="1422"/>
      <c r="AO551" s="1422"/>
      <c r="AP551" s="1422"/>
      <c r="AQ551" s="1422"/>
      <c r="AR551" s="1422"/>
      <c r="AS551" s="1422"/>
      <c r="AT551" s="1422"/>
    </row>
    <row r="552" spans="1:46">
      <c r="A552" s="1090"/>
      <c r="B552" s="1422"/>
      <c r="D552" s="4291"/>
      <c r="E552" s="4291"/>
      <c r="F552" s="4291"/>
      <c r="G552" s="4291"/>
      <c r="H552" s="4291"/>
      <c r="I552" s="4291"/>
      <c r="J552" s="4291"/>
      <c r="K552" s="4291"/>
      <c r="L552" s="4291"/>
      <c r="M552" s="4291"/>
      <c r="N552" s="4291"/>
      <c r="O552" s="4291"/>
      <c r="P552" s="4291"/>
      <c r="Q552" s="4291"/>
      <c r="R552" s="4291"/>
      <c r="S552" s="4291"/>
      <c r="T552" s="4291"/>
      <c r="U552" s="4291"/>
      <c r="V552" s="4291"/>
      <c r="W552" s="4291"/>
      <c r="Y552" s="1614"/>
      <c r="Z552" s="1545"/>
      <c r="AA552" s="1545"/>
      <c r="AB552" s="1545"/>
      <c r="AD552" s="1422"/>
      <c r="AE552" s="1422"/>
      <c r="AF552" s="1423"/>
      <c r="AG552" s="1423"/>
      <c r="AH552" s="1422"/>
      <c r="AI552" s="1422"/>
      <c r="AJ552" s="1422"/>
      <c r="AK552" s="1422"/>
      <c r="AL552" s="1422"/>
      <c r="AM552" s="1422"/>
      <c r="AN552" s="1422"/>
      <c r="AO552" s="1422"/>
      <c r="AP552" s="1422"/>
      <c r="AQ552" s="1422"/>
      <c r="AR552" s="1422"/>
      <c r="AS552" s="1422"/>
      <c r="AT552" s="1422"/>
    </row>
    <row r="553" spans="1:46">
      <c r="A553" s="1090"/>
      <c r="B553" s="1542"/>
      <c r="D553" s="79"/>
      <c r="E553" s="1562"/>
      <c r="F553" s="1562"/>
      <c r="G553" s="1562"/>
      <c r="H553" s="1562"/>
      <c r="I553" s="1562"/>
      <c r="J553" s="1562"/>
      <c r="K553" s="1562"/>
      <c r="L553" s="1562"/>
      <c r="M553" s="1562"/>
      <c r="N553" s="1562"/>
      <c r="O553" s="1562"/>
      <c r="P553" s="1562"/>
      <c r="Q553" s="1562"/>
      <c r="R553" s="1562"/>
      <c r="S553" s="1562"/>
      <c r="T553" s="1562"/>
      <c r="U553" s="1562"/>
      <c r="V553" s="1562"/>
      <c r="W553" s="1562"/>
      <c r="Y553" s="4311" t="s">
        <v>2620</v>
      </c>
      <c r="Z553" s="4311"/>
      <c r="AA553" s="4311"/>
      <c r="AB553" s="4311"/>
      <c r="AD553" s="1542"/>
      <c r="AE553" s="1542"/>
      <c r="AF553" s="1543"/>
      <c r="AG553" s="1543"/>
      <c r="AH553" s="1542"/>
      <c r="AI553" s="1542"/>
      <c r="AJ553" s="1542"/>
      <c r="AK553" s="1542"/>
      <c r="AL553" s="1542"/>
      <c r="AM553" s="1542"/>
      <c r="AN553" s="1542"/>
      <c r="AO553" s="1542"/>
      <c r="AP553" s="1542"/>
      <c r="AQ553" s="1542"/>
      <c r="AR553" s="1542"/>
      <c r="AS553" s="1542"/>
      <c r="AT553" s="1542"/>
    </row>
    <row r="554" spans="1:46" ht="13.15" customHeight="1">
      <c r="A554" s="1121"/>
      <c r="B554" s="2021" t="s">
        <v>99</v>
      </c>
      <c r="D554" s="3635" t="s">
        <v>2661</v>
      </c>
      <c r="E554" s="1041"/>
      <c r="F554" s="1041"/>
      <c r="G554" s="1041"/>
      <c r="H554" s="1041"/>
      <c r="I554" s="1041"/>
      <c r="J554" s="1041"/>
      <c r="K554" s="1041"/>
      <c r="L554" s="1041"/>
      <c r="M554" s="1041"/>
      <c r="N554" s="1041"/>
      <c r="O554" s="1041"/>
      <c r="P554" s="1041"/>
      <c r="Q554" s="1041"/>
      <c r="R554" s="1041"/>
      <c r="S554" s="1041"/>
      <c r="T554" s="1041"/>
      <c r="U554" s="1041"/>
      <c r="V554" s="1041"/>
      <c r="W554" s="1041"/>
      <c r="Y554" s="4311"/>
      <c r="Z554" s="4311"/>
      <c r="AA554" s="4311"/>
      <c r="AB554" s="4311"/>
      <c r="AD554" s="1422"/>
      <c r="AE554" s="1422"/>
      <c r="AF554" s="1423"/>
      <c r="AG554" s="1423"/>
      <c r="AH554" s="1422"/>
      <c r="AI554" s="1422"/>
      <c r="AJ554" s="1422"/>
      <c r="AK554" s="1422"/>
      <c r="AL554" s="1422"/>
      <c r="AM554" s="1422"/>
      <c r="AN554" s="1422"/>
      <c r="AO554" s="1422"/>
      <c r="AP554" s="1422"/>
      <c r="AQ554" s="1422"/>
      <c r="AR554" s="1422"/>
      <c r="AS554" s="1422"/>
      <c r="AT554" s="1422"/>
    </row>
    <row r="555" spans="1:46">
      <c r="A555" s="1121"/>
      <c r="B555" s="92"/>
      <c r="D555" s="79"/>
      <c r="E555" s="1372"/>
      <c r="F555" s="1423"/>
      <c r="G555" s="1423"/>
      <c r="H555" s="1423"/>
      <c r="I555" s="1423"/>
      <c r="J555" s="1423"/>
      <c r="K555" s="1423"/>
      <c r="L555" s="1423"/>
      <c r="M555" s="1423"/>
      <c r="N555" s="1423"/>
      <c r="O555" s="1423"/>
      <c r="P555" s="1423"/>
      <c r="Q555" s="1423"/>
      <c r="R555" s="1423"/>
      <c r="S555" s="1423"/>
      <c r="T555" s="1423"/>
      <c r="U555" s="1423"/>
      <c r="V555" s="1423"/>
      <c r="W555" s="1423"/>
      <c r="Y555" s="4311"/>
      <c r="Z555" s="4311"/>
      <c r="AA555" s="4311"/>
      <c r="AB555" s="4311"/>
      <c r="AD555" s="1422"/>
      <c r="AE555" s="1422"/>
      <c r="AF555" s="1423"/>
      <c r="AG555" s="1423"/>
      <c r="AH555" s="1422"/>
      <c r="AI555" s="1422"/>
      <c r="AJ555" s="1422"/>
      <c r="AK555" s="1422"/>
      <c r="AL555" s="1422"/>
      <c r="AM555" s="1422"/>
      <c r="AN555" s="1422"/>
      <c r="AO555" s="1422"/>
      <c r="AP555" s="1422"/>
      <c r="AQ555" s="1422"/>
      <c r="AR555" s="1422"/>
      <c r="AS555" s="1422"/>
      <c r="AT555" s="1422"/>
    </row>
    <row r="556" spans="1:46">
      <c r="A556" s="1121"/>
      <c r="B556" s="92"/>
      <c r="D556" s="79"/>
      <c r="E556" s="1372"/>
      <c r="F556" s="1985"/>
      <c r="G556" s="1985"/>
      <c r="H556" s="1985"/>
      <c r="I556" s="1985"/>
      <c r="J556" s="1985"/>
      <c r="K556" s="1985"/>
      <c r="L556" s="1985"/>
      <c r="M556" s="1985"/>
      <c r="N556" s="1985"/>
      <c r="O556" s="1985"/>
      <c r="P556" s="1985"/>
      <c r="Q556" s="1985"/>
      <c r="R556" s="1985"/>
      <c r="S556" s="1985"/>
      <c r="T556" s="1985"/>
      <c r="U556" s="1985"/>
      <c r="V556" s="1985"/>
      <c r="W556" s="1985"/>
      <c r="Y556" s="3774"/>
      <c r="Z556" s="3649"/>
      <c r="AA556" s="3649"/>
      <c r="AB556" s="3649"/>
      <c r="AD556" s="1983"/>
      <c r="AE556" s="1983"/>
      <c r="AF556" s="1985"/>
      <c r="AG556" s="1985"/>
      <c r="AH556" s="1983"/>
      <c r="AI556" s="1983"/>
      <c r="AJ556" s="1983"/>
      <c r="AK556" s="1983"/>
      <c r="AL556" s="1983"/>
      <c r="AM556" s="1983"/>
      <c r="AN556" s="1983"/>
      <c r="AO556" s="1983"/>
      <c r="AP556" s="1983"/>
      <c r="AQ556" s="1983"/>
      <c r="AR556" s="1983"/>
      <c r="AS556" s="1983"/>
      <c r="AT556" s="1983"/>
    </row>
    <row r="557" spans="1:46">
      <c r="A557" s="1121"/>
      <c r="B557" s="4440" t="s">
        <v>2636</v>
      </c>
      <c r="C557" s="2374"/>
      <c r="D557" s="4408" t="s">
        <v>1579</v>
      </c>
      <c r="E557" s="4408"/>
      <c r="F557" s="4408"/>
      <c r="G557" s="4408"/>
      <c r="H557" s="4408"/>
      <c r="I557" s="4408"/>
      <c r="J557" s="4408"/>
      <c r="K557" s="4408"/>
      <c r="L557" s="4408"/>
      <c r="M557" s="4408"/>
      <c r="N557" s="4408"/>
      <c r="O557" s="4408"/>
      <c r="P557" s="4408"/>
      <c r="Q557" s="4408"/>
      <c r="R557" s="4408"/>
      <c r="S557" s="4408"/>
      <c r="T557" s="4408"/>
      <c r="U557" s="4408"/>
      <c r="V557" s="4408"/>
      <c r="W557" s="4408"/>
      <c r="Y557" s="2399"/>
      <c r="Z557" s="3772"/>
      <c r="AA557" s="3772"/>
      <c r="AB557" s="2398"/>
      <c r="AD557" s="1542"/>
      <c r="AE557" s="1542"/>
      <c r="AF557" s="1543"/>
      <c r="AG557" s="1543"/>
      <c r="AH557" s="1542"/>
      <c r="AI557" s="1542"/>
      <c r="AJ557" s="1542"/>
      <c r="AK557" s="1542"/>
      <c r="AL557" s="1542"/>
      <c r="AM557" s="1542"/>
      <c r="AN557" s="1542"/>
      <c r="AO557" s="1542"/>
      <c r="AP557" s="1542"/>
      <c r="AQ557" s="1542"/>
      <c r="AR557" s="1542"/>
      <c r="AS557" s="1542"/>
      <c r="AT557" s="1542"/>
    </row>
    <row r="558" spans="1:46">
      <c r="A558" s="1121"/>
      <c r="B558" s="4441"/>
      <c r="C558" s="2374"/>
      <c r="D558" s="4367"/>
      <c r="E558" s="4367"/>
      <c r="F558" s="4367"/>
      <c r="G558" s="4367"/>
      <c r="H558" s="4367"/>
      <c r="I558" s="4367"/>
      <c r="J558" s="4367"/>
      <c r="K558" s="4367"/>
      <c r="L558" s="4367"/>
      <c r="M558" s="4367"/>
      <c r="N558" s="4367"/>
      <c r="O558" s="4367"/>
      <c r="P558" s="4367"/>
      <c r="Q558" s="4367"/>
      <c r="R558" s="4367"/>
      <c r="S558" s="4367"/>
      <c r="T558" s="4367"/>
      <c r="U558" s="4367"/>
      <c r="V558" s="4367"/>
      <c r="W558" s="4367"/>
      <c r="Y558" s="2399"/>
      <c r="Z558" s="2788"/>
      <c r="AA558" s="2788"/>
      <c r="AB558" s="2788"/>
      <c r="AD558" s="1667"/>
      <c r="AE558" s="1667"/>
      <c r="AF558" s="1668"/>
      <c r="AG558" s="1668"/>
      <c r="AH558" s="1667"/>
      <c r="AI558" s="1667"/>
      <c r="AJ558" s="1667"/>
      <c r="AK558" s="1667"/>
      <c r="AL558" s="1667"/>
      <c r="AM558" s="1667"/>
      <c r="AN558" s="1667"/>
      <c r="AO558" s="1667"/>
      <c r="AP558" s="1667"/>
      <c r="AQ558" s="1667"/>
      <c r="AR558" s="1667"/>
      <c r="AS558" s="1667"/>
      <c r="AT558" s="1667"/>
    </row>
    <row r="559" spans="1:46">
      <c r="A559" s="1121"/>
      <c r="B559" s="3776"/>
      <c r="C559" s="2374"/>
      <c r="D559" s="1615" t="str">
        <f>CONCATENATE("- For the period, Belgacom's tD*/Ebitda* stood at ",ROUND(CALCULATIONS!OJ7,1),"x above D*/Ebitda*.")</f>
        <v>- For the period, Belgacom's tD*/Ebitda* stood at 0,2x above D*/Ebitda*.</v>
      </c>
      <c r="E559" s="1614"/>
      <c r="F559" s="1614"/>
      <c r="G559" s="1614"/>
      <c r="H559" s="1614"/>
      <c r="I559" s="1614"/>
      <c r="J559" s="1614"/>
      <c r="K559" s="1614"/>
      <c r="L559" s="1614"/>
      <c r="M559" s="1614"/>
      <c r="N559" s="1614"/>
      <c r="O559" s="1614"/>
      <c r="P559" s="1614"/>
      <c r="Q559" s="1614"/>
      <c r="R559" s="1614"/>
      <c r="S559" s="1614"/>
      <c r="T559" s="3398"/>
      <c r="U559" s="3398"/>
      <c r="V559" s="3398"/>
      <c r="W559" s="3398"/>
      <c r="Y559" s="2390"/>
      <c r="Z559" s="1944"/>
      <c r="AA559" s="1944"/>
      <c r="AB559" s="1944"/>
      <c r="AD559" s="1831"/>
      <c r="AE559" s="1831"/>
      <c r="AF559" s="1834"/>
      <c r="AG559" s="1834"/>
      <c r="AH559" s="1831"/>
      <c r="AI559" s="1831"/>
      <c r="AJ559" s="1831"/>
      <c r="AK559" s="1831"/>
      <c r="AL559" s="1831"/>
      <c r="AM559" s="1831"/>
      <c r="AN559" s="1831"/>
      <c r="AO559" s="1831"/>
      <c r="AP559" s="1831"/>
      <c r="AQ559" s="1831"/>
      <c r="AR559" s="1831"/>
      <c r="AS559" s="1831"/>
      <c r="AT559" s="1831"/>
    </row>
    <row r="560" spans="1:46">
      <c r="A560" s="1121"/>
      <c r="B560" s="3776"/>
      <c r="C560" s="2374"/>
      <c r="D560" s="3656" t="s">
        <v>1892</v>
      </c>
      <c r="E560" s="1614"/>
      <c r="F560" s="1614"/>
      <c r="G560" s="1614"/>
      <c r="H560" s="1614"/>
      <c r="I560" s="1614"/>
      <c r="J560" s="1614"/>
      <c r="K560" s="1614"/>
      <c r="L560" s="1614"/>
      <c r="M560" s="1614"/>
      <c r="N560" s="1614"/>
      <c r="O560" s="1614"/>
      <c r="P560" s="1614"/>
      <c r="Q560" s="1614"/>
      <c r="R560" s="1614"/>
      <c r="S560" s="1614"/>
      <c r="T560" s="141" t="s">
        <v>1425</v>
      </c>
      <c r="U560" s="1691"/>
      <c r="V560" s="1529" t="s">
        <v>767</v>
      </c>
      <c r="W560" s="1366" t="s">
        <v>768</v>
      </c>
      <c r="Y560" s="4403" t="s">
        <v>2621</v>
      </c>
      <c r="Z560" s="4403"/>
      <c r="AA560" s="4403"/>
      <c r="AB560" s="4403"/>
      <c r="AD560" s="1831"/>
      <c r="AE560" s="1831"/>
      <c r="AF560" s="1834"/>
      <c r="AG560" s="1834"/>
      <c r="AH560" s="1831"/>
      <c r="AI560" s="1831"/>
      <c r="AJ560" s="1831"/>
      <c r="AK560" s="1831"/>
      <c r="AL560" s="1831"/>
      <c r="AM560" s="1831"/>
      <c r="AN560" s="1831"/>
      <c r="AO560" s="1831"/>
      <c r="AP560" s="1831"/>
      <c r="AQ560" s="1831"/>
      <c r="AR560" s="1831"/>
      <c r="AS560" s="1831"/>
      <c r="AT560" s="1831"/>
    </row>
    <row r="561" spans="1:46">
      <c r="A561" s="1121"/>
      <c r="B561" s="3776"/>
      <c r="C561" s="2374"/>
      <c r="D561" s="3656" t="s">
        <v>2635</v>
      </c>
      <c r="E561" s="1614"/>
      <c r="F561" s="1614"/>
      <c r="G561" s="1614"/>
      <c r="H561" s="1614"/>
      <c r="I561" s="1614"/>
      <c r="J561" s="1614"/>
      <c r="K561" s="1614"/>
      <c r="L561" s="1614"/>
      <c r="M561" s="1614"/>
      <c r="N561" s="1614"/>
      <c r="O561" s="1614"/>
      <c r="P561" s="1614"/>
      <c r="Q561" s="1614"/>
      <c r="R561" s="1614"/>
      <c r="S561" s="1614"/>
      <c r="T561" s="1530">
        <f>'GEARINGS, Eb&amp;E'!AA269+CALCULATIONS!$OJ$7+0.2</f>
        <v>2.7225146349362896</v>
      </c>
      <c r="U561" s="1692"/>
      <c r="V561" s="1531">
        <f>'GEARINGS, Eb&amp;E'!AB269+CALCULATIONS!$OJ$7+0.2</f>
        <v>2.4225146349362898</v>
      </c>
      <c r="W561" s="1689">
        <f>'GEARINGS, Eb&amp;E'!AC269+CALCULATIONS!$OJ$7+0.2</f>
        <v>2.9225146349362898</v>
      </c>
      <c r="Y561" s="4403"/>
      <c r="Z561" s="4403"/>
      <c r="AA561" s="4403"/>
      <c r="AB561" s="4403"/>
      <c r="AD561" s="2398"/>
      <c r="AE561" s="2398"/>
      <c r="AF561" s="2399"/>
      <c r="AG561" s="2399"/>
      <c r="AH561" s="2398"/>
      <c r="AI561" s="2398"/>
      <c r="AJ561" s="2398"/>
      <c r="AK561" s="2398"/>
      <c r="AL561" s="2398"/>
      <c r="AM561" s="2398"/>
      <c r="AN561" s="2398"/>
      <c r="AO561" s="2398"/>
      <c r="AP561" s="2398"/>
      <c r="AQ561" s="2398"/>
      <c r="AR561" s="2398"/>
      <c r="AS561" s="2398"/>
      <c r="AT561" s="2398"/>
    </row>
    <row r="562" spans="1:46">
      <c r="A562" s="1121"/>
      <c r="B562" s="3776"/>
      <c r="C562" s="2374"/>
      <c r="D562" s="1932"/>
      <c r="E562" s="1135"/>
      <c r="F562" s="1135"/>
      <c r="G562" s="1135"/>
      <c r="H562" s="1135"/>
      <c r="I562" s="1135"/>
      <c r="J562" s="1135"/>
      <c r="K562" s="1135"/>
      <c r="L562" s="1135"/>
      <c r="M562" s="1135"/>
      <c r="N562" s="1135"/>
      <c r="O562" s="1135"/>
      <c r="P562" s="1135"/>
      <c r="Q562" s="1135"/>
      <c r="R562" s="1135"/>
      <c r="S562" s="1135"/>
      <c r="T562" s="1173"/>
      <c r="U562" s="1173"/>
      <c r="V562" s="1173"/>
      <c r="W562" s="1173"/>
      <c r="Y562" s="3796"/>
      <c r="Z562" s="1989"/>
      <c r="AA562" s="1989"/>
      <c r="AB562" s="1989"/>
      <c r="AD562" s="2398"/>
      <c r="AE562" s="2398"/>
      <c r="AF562" s="2399"/>
      <c r="AG562" s="2399"/>
      <c r="AH562" s="2398"/>
      <c r="AI562" s="2398"/>
      <c r="AJ562" s="2398"/>
      <c r="AK562" s="2398"/>
      <c r="AL562" s="2398"/>
      <c r="AM562" s="2398"/>
      <c r="AN562" s="2398"/>
      <c r="AO562" s="2398"/>
      <c r="AP562" s="2398"/>
      <c r="AQ562" s="2398"/>
      <c r="AR562" s="2398"/>
      <c r="AS562" s="2398"/>
      <c r="AT562" s="2398"/>
    </row>
    <row r="563" spans="1:46">
      <c r="A563" s="1121"/>
      <c r="B563" s="3776"/>
      <c r="C563" s="2374"/>
      <c r="D563" s="3492" t="s">
        <v>2637</v>
      </c>
      <c r="E563" s="1135"/>
      <c r="F563" s="1135"/>
      <c r="G563" s="1135"/>
      <c r="H563" s="1135"/>
      <c r="I563" s="1135"/>
      <c r="J563" s="1135"/>
      <c r="K563" s="1135"/>
      <c r="L563" s="1135"/>
      <c r="M563" s="1135"/>
      <c r="N563" s="1135"/>
      <c r="O563" s="1135"/>
      <c r="P563" s="1135"/>
      <c r="Q563" s="1135"/>
      <c r="R563" s="1135"/>
      <c r="S563" s="1135"/>
      <c r="T563" s="1173"/>
      <c r="U563" s="1173"/>
      <c r="V563" s="1173"/>
      <c r="W563" s="1173"/>
      <c r="Y563" s="3797"/>
      <c r="Z563" s="3798"/>
      <c r="AA563" s="3798"/>
      <c r="AB563" s="3798"/>
      <c r="AD563" s="2398"/>
      <c r="AE563" s="2398"/>
      <c r="AF563" s="2399"/>
      <c r="AG563" s="2399"/>
      <c r="AH563" s="2398"/>
      <c r="AI563" s="2398"/>
      <c r="AJ563" s="2398"/>
      <c r="AK563" s="2398"/>
      <c r="AL563" s="2398"/>
      <c r="AM563" s="2398"/>
      <c r="AN563" s="2398"/>
      <c r="AO563" s="2398"/>
      <c r="AP563" s="2398"/>
      <c r="AQ563" s="2398"/>
      <c r="AR563" s="2398"/>
      <c r="AS563" s="2398"/>
      <c r="AT563" s="2398"/>
    </row>
    <row r="564" spans="1:46" ht="13.15" customHeight="1">
      <c r="A564" s="1121"/>
      <c r="B564" s="3776"/>
      <c r="C564" s="2374"/>
      <c r="D564" s="2742" t="s">
        <v>2638</v>
      </c>
      <c r="E564" s="3492"/>
      <c r="F564" s="1135"/>
      <c r="G564" s="1135"/>
      <c r="H564" s="1135"/>
      <c r="I564" s="1135"/>
      <c r="J564" s="1135"/>
      <c r="K564" s="1135"/>
      <c r="L564" s="1135"/>
      <c r="M564" s="1135"/>
      <c r="N564" s="1135"/>
      <c r="O564" s="1135"/>
      <c r="P564" s="1135"/>
      <c r="Q564" s="1135"/>
      <c r="R564" s="1135"/>
      <c r="S564" s="1135"/>
      <c r="T564" s="1135"/>
      <c r="U564" s="1135"/>
      <c r="V564" s="1135"/>
      <c r="W564" s="1135"/>
      <c r="Y564" s="3799"/>
      <c r="Z564" s="2788"/>
      <c r="AA564" s="2788"/>
      <c r="AB564" s="2788"/>
      <c r="AD564" s="2398"/>
      <c r="AE564" s="2398"/>
      <c r="AF564" s="2399"/>
      <c r="AG564" s="2399"/>
      <c r="AH564" s="2398"/>
      <c r="AI564" s="2398"/>
      <c r="AJ564" s="2398"/>
      <c r="AK564" s="2398"/>
      <c r="AL564" s="2398"/>
      <c r="AM564" s="2398"/>
      <c r="AN564" s="2398"/>
      <c r="AO564" s="2398"/>
      <c r="AP564" s="2398"/>
      <c r="AQ564" s="2398"/>
      <c r="AR564" s="2398"/>
      <c r="AS564" s="2398"/>
      <c r="AT564" s="2398"/>
    </row>
    <row r="565" spans="1:46">
      <c r="A565" s="1121"/>
      <c r="B565" s="3776"/>
      <c r="C565" s="2374"/>
      <c r="D565" s="3793" t="s">
        <v>1580</v>
      </c>
      <c r="E565" s="3794"/>
      <c r="F565" s="3781"/>
      <c r="G565" s="3781"/>
      <c r="H565" s="3781"/>
      <c r="I565" s="3781"/>
      <c r="J565" s="3781"/>
      <c r="K565" s="3781"/>
      <c r="L565" s="3781"/>
      <c r="M565" s="3781"/>
      <c r="N565" s="3781"/>
      <c r="O565" s="3781"/>
      <c r="P565" s="3781"/>
      <c r="Q565" s="3781"/>
      <c r="R565" s="3781"/>
      <c r="S565" s="3781"/>
      <c r="T565" s="3781"/>
      <c r="U565" s="3781"/>
      <c r="V565" s="3781"/>
      <c r="W565" s="1135"/>
      <c r="Y565" s="3799"/>
      <c r="Z565" s="2788"/>
      <c r="AA565" s="2788"/>
      <c r="AB565" s="2788"/>
      <c r="AD565" s="2398"/>
      <c r="AE565" s="2398"/>
      <c r="AF565" s="2399"/>
      <c r="AG565" s="2399"/>
      <c r="AH565" s="2398"/>
      <c r="AI565" s="2398"/>
      <c r="AJ565" s="2398"/>
      <c r="AK565" s="2398"/>
      <c r="AL565" s="2398"/>
      <c r="AM565" s="2398"/>
      <c r="AN565" s="2398"/>
      <c r="AO565" s="2398"/>
      <c r="AP565" s="2398"/>
      <c r="AQ565" s="2398"/>
      <c r="AR565" s="2398"/>
      <c r="AS565" s="2398"/>
      <c r="AT565" s="2398"/>
    </row>
    <row r="566" spans="1:46">
      <c r="A566" s="1121"/>
      <c r="B566" s="3776"/>
      <c r="C566" s="2374"/>
      <c r="D566" s="3793" t="s">
        <v>1613</v>
      </c>
      <c r="E566" s="3795"/>
      <c r="F566" s="3782"/>
      <c r="G566" s="3782"/>
      <c r="H566" s="3782"/>
      <c r="I566" s="3782"/>
      <c r="J566" s="3782"/>
      <c r="K566" s="3782"/>
      <c r="L566" s="3782"/>
      <c r="M566" s="3782"/>
      <c r="N566" s="3782"/>
      <c r="O566" s="3782"/>
      <c r="P566" s="3782"/>
      <c r="Q566" s="3782"/>
      <c r="R566" s="3782"/>
      <c r="S566" s="3782"/>
      <c r="T566" s="3782"/>
      <c r="U566" s="3782"/>
      <c r="V566" s="3782"/>
      <c r="W566" s="1135"/>
      <c r="Y566" s="3799"/>
      <c r="Z566" s="2788"/>
      <c r="AA566" s="2788"/>
      <c r="AB566" s="2788"/>
      <c r="AD566" s="2398"/>
      <c r="AE566" s="2398"/>
      <c r="AF566" s="2399"/>
      <c r="AG566" s="2399"/>
      <c r="AH566" s="2398"/>
      <c r="AI566" s="2398"/>
      <c r="AJ566" s="2398"/>
      <c r="AK566" s="2398"/>
      <c r="AL566" s="2398"/>
      <c r="AM566" s="2398"/>
      <c r="AN566" s="2398"/>
      <c r="AO566" s="2398"/>
      <c r="AP566" s="2398"/>
      <c r="AQ566" s="2398"/>
      <c r="AR566" s="2398"/>
      <c r="AS566" s="2398"/>
      <c r="AT566" s="2398"/>
    </row>
    <row r="567" spans="1:46">
      <c r="A567" s="1121"/>
      <c r="B567" s="3776"/>
      <c r="C567" s="2374"/>
      <c r="D567" s="3783"/>
      <c r="E567" s="1135"/>
      <c r="F567" s="1135"/>
      <c r="G567" s="1135"/>
      <c r="H567" s="1135"/>
      <c r="I567" s="1135"/>
      <c r="J567" s="1135"/>
      <c r="K567" s="1135"/>
      <c r="L567" s="1135"/>
      <c r="M567" s="1135"/>
      <c r="N567" s="1135"/>
      <c r="O567" s="1135"/>
      <c r="P567" s="1135"/>
      <c r="Q567" s="1135"/>
      <c r="R567" s="1135"/>
      <c r="S567" s="1135"/>
      <c r="T567" s="1135"/>
      <c r="U567" s="1135"/>
      <c r="V567" s="1135"/>
      <c r="W567" s="1135"/>
      <c r="Y567" s="3550"/>
      <c r="Z567" s="1097"/>
      <c r="AA567" s="1097"/>
      <c r="AB567" s="1422"/>
      <c r="AD567" s="2398"/>
      <c r="AE567" s="2398"/>
      <c r="AF567" s="2399"/>
      <c r="AG567" s="2399"/>
      <c r="AH567" s="2398"/>
      <c r="AI567" s="2398"/>
      <c r="AJ567" s="2398"/>
      <c r="AK567" s="2398"/>
      <c r="AL567" s="2398"/>
      <c r="AM567" s="2398"/>
      <c r="AN567" s="2398"/>
      <c r="AO567" s="2398"/>
      <c r="AP567" s="2398"/>
      <c r="AQ567" s="2398"/>
      <c r="AR567" s="2398"/>
      <c r="AS567" s="2398"/>
      <c r="AT567" s="2398"/>
    </row>
    <row r="568" spans="1:46" ht="13.15" customHeight="1">
      <c r="A568" s="1121"/>
      <c r="B568" s="3776"/>
      <c r="C568" s="2374"/>
      <c r="D568" s="4275" t="s">
        <v>2639</v>
      </c>
      <c r="E568" s="4275"/>
      <c r="F568" s="4275"/>
      <c r="G568" s="4275"/>
      <c r="H568" s="4275"/>
      <c r="I568" s="4275"/>
      <c r="J568" s="4275"/>
      <c r="K568" s="4275"/>
      <c r="L568" s="4275"/>
      <c r="M568" s="4275"/>
      <c r="N568" s="4275"/>
      <c r="O568" s="4275"/>
      <c r="P568" s="4275"/>
      <c r="Q568" s="4275"/>
      <c r="R568" s="4275"/>
      <c r="S568" s="1930"/>
      <c r="T568" s="1930"/>
      <c r="U568" s="1930"/>
      <c r="V568" s="1930"/>
      <c r="W568" s="1930"/>
      <c r="X568" s="2351"/>
      <c r="Y568" s="3620" t="s">
        <v>1583</v>
      </c>
      <c r="Z568" s="1097"/>
      <c r="AA568" s="1097"/>
      <c r="AB568" s="2011" t="s">
        <v>1572</v>
      </c>
      <c r="AD568" s="2398"/>
      <c r="AE568" s="2398"/>
      <c r="AF568" s="2399"/>
      <c r="AG568" s="2399"/>
      <c r="AH568" s="2398"/>
      <c r="AI568" s="2398"/>
      <c r="AJ568" s="2398"/>
      <c r="AK568" s="2398"/>
      <c r="AL568" s="2398"/>
      <c r="AM568" s="2398"/>
      <c r="AN568" s="2398"/>
      <c r="AO568" s="2398"/>
      <c r="AP568" s="2398"/>
      <c r="AQ568" s="2398"/>
      <c r="AR568" s="2398"/>
      <c r="AS568" s="2398"/>
      <c r="AT568" s="2398"/>
    </row>
    <row r="569" spans="1:46">
      <c r="A569" s="1121"/>
      <c r="B569" s="3776"/>
      <c r="C569" s="2374"/>
      <c r="D569" s="4275"/>
      <c r="E569" s="4275"/>
      <c r="F569" s="4275"/>
      <c r="G569" s="4275"/>
      <c r="H569" s="4275"/>
      <c r="I569" s="4275"/>
      <c r="J569" s="4275"/>
      <c r="K569" s="4275"/>
      <c r="L569" s="4275"/>
      <c r="M569" s="4275"/>
      <c r="N569" s="4275"/>
      <c r="O569" s="4275"/>
      <c r="P569" s="4275"/>
      <c r="Q569" s="4275"/>
      <c r="R569" s="4275"/>
      <c r="S569" s="1930"/>
      <c r="T569" s="1930"/>
      <c r="U569" s="1930"/>
      <c r="V569" s="1930"/>
      <c r="W569" s="1930"/>
      <c r="X569" s="2351"/>
      <c r="Y569" s="3550"/>
      <c r="Z569" s="1097"/>
      <c r="AA569" s="1097"/>
      <c r="AB569" s="1667"/>
      <c r="AD569" s="2398"/>
      <c r="AE569" s="2398"/>
      <c r="AF569" s="2399"/>
      <c r="AG569" s="2399"/>
      <c r="AH569" s="2398"/>
      <c r="AI569" s="2398"/>
      <c r="AJ569" s="2398"/>
      <c r="AK569" s="2398"/>
      <c r="AL569" s="2398"/>
      <c r="AM569" s="2398"/>
      <c r="AN569" s="2398"/>
      <c r="AO569" s="2398"/>
      <c r="AP569" s="2398"/>
      <c r="AQ569" s="2398"/>
      <c r="AR569" s="2398"/>
      <c r="AS569" s="2398"/>
      <c r="AT569" s="2398"/>
    </row>
    <row r="570" spans="1:46">
      <c r="A570" s="1121"/>
      <c r="B570" s="3776"/>
      <c r="C570" s="2374"/>
      <c r="D570" s="2742" t="s">
        <v>2643</v>
      </c>
      <c r="E570" s="3492"/>
      <c r="F570" s="3492"/>
      <c r="G570" s="3492"/>
      <c r="H570" s="3492"/>
      <c r="I570" s="3492"/>
      <c r="J570" s="3492"/>
      <c r="K570" s="2000"/>
      <c r="L570" s="3492"/>
      <c r="M570" s="3492"/>
      <c r="N570" s="3492"/>
      <c r="O570" s="3492"/>
      <c r="P570" s="3492"/>
      <c r="Q570" s="1089"/>
      <c r="R570" s="4437" t="s">
        <v>2644</v>
      </c>
      <c r="S570" s="4438"/>
      <c r="T570" s="4438"/>
      <c r="U570" s="4438"/>
      <c r="V570" s="4438"/>
      <c r="W570" s="4438"/>
      <c r="X570" s="2384"/>
      <c r="Y570" s="3799"/>
      <c r="Z570" s="3800"/>
      <c r="AA570" s="3800"/>
      <c r="AB570" s="2398"/>
      <c r="AD570" s="2398"/>
      <c r="AE570" s="2398"/>
      <c r="AF570" s="2399"/>
      <c r="AG570" s="2399"/>
      <c r="AH570" s="2398"/>
      <c r="AI570" s="2398"/>
      <c r="AJ570" s="2398"/>
      <c r="AK570" s="2398"/>
      <c r="AL570" s="2398"/>
      <c r="AM570" s="2398"/>
      <c r="AN570" s="2398"/>
      <c r="AO570" s="2398"/>
      <c r="AP570" s="2398"/>
      <c r="AQ570" s="2398"/>
      <c r="AR570" s="2398"/>
      <c r="AS570" s="2398"/>
      <c r="AT570" s="2398"/>
    </row>
    <row r="571" spans="1:46">
      <c r="A571" s="1121"/>
      <c r="B571" s="3776"/>
      <c r="C571" s="2374"/>
      <c r="D571" s="2742" t="s">
        <v>1893</v>
      </c>
      <c r="E571" s="3492"/>
      <c r="F571" s="3492"/>
      <c r="G571" s="3492"/>
      <c r="H571" s="3492"/>
      <c r="I571" s="3492"/>
      <c r="J571" s="3492"/>
      <c r="K571" s="2000"/>
      <c r="L571" s="3492"/>
      <c r="M571" s="3492"/>
      <c r="N571" s="3492"/>
      <c r="O571" s="3492"/>
      <c r="P571" s="3492"/>
      <c r="Q571" s="1089"/>
      <c r="R571" s="4437"/>
      <c r="S571" s="4438"/>
      <c r="T571" s="4438"/>
      <c r="U571" s="4438"/>
      <c r="V571" s="4438"/>
      <c r="W571" s="4438"/>
      <c r="X571" s="2384"/>
      <c r="Y571" s="3799"/>
      <c r="Z571" s="3800"/>
      <c r="AA571" s="3800"/>
      <c r="AB571" s="2398"/>
      <c r="AD571" s="2398"/>
      <c r="AE571" s="2398"/>
      <c r="AF571" s="2399"/>
      <c r="AG571" s="2399"/>
      <c r="AH571" s="2398"/>
      <c r="AI571" s="2398"/>
      <c r="AJ571" s="2398"/>
      <c r="AK571" s="2398"/>
      <c r="AL571" s="2398"/>
      <c r="AM571" s="2398"/>
      <c r="AN571" s="2398"/>
      <c r="AO571" s="2398"/>
      <c r="AP571" s="2398"/>
      <c r="AQ571" s="2398"/>
      <c r="AR571" s="2398"/>
      <c r="AS571" s="2398"/>
      <c r="AT571" s="2398"/>
    </row>
    <row r="572" spans="1:46">
      <c r="A572" s="1121"/>
      <c r="B572" s="3776"/>
      <c r="C572" s="2374"/>
      <c r="D572" s="1135"/>
      <c r="E572" s="1135"/>
      <c r="F572" s="1930"/>
      <c r="G572" s="1930"/>
      <c r="H572" s="1930"/>
      <c r="I572" s="1930"/>
      <c r="J572" s="1930"/>
      <c r="K572" s="1930"/>
      <c r="L572" s="1930"/>
      <c r="M572" s="1930"/>
      <c r="N572" s="1930"/>
      <c r="O572" s="1930"/>
      <c r="P572" s="1930"/>
      <c r="Q572" s="1930"/>
      <c r="R572" s="1930"/>
      <c r="S572" s="1930"/>
      <c r="T572" s="1135"/>
      <c r="U572" s="1135"/>
      <c r="V572" s="1135"/>
      <c r="W572" s="1135"/>
      <c r="Y572" s="3488"/>
      <c r="Z572" s="2398"/>
      <c r="AA572" s="2398"/>
      <c r="AB572" s="2398"/>
      <c r="AD572" s="2398"/>
      <c r="AE572" s="2398"/>
      <c r="AF572" s="2399"/>
      <c r="AG572" s="2399"/>
      <c r="AH572" s="2398"/>
      <c r="AI572" s="2398"/>
      <c r="AJ572" s="2398"/>
      <c r="AK572" s="2398"/>
      <c r="AL572" s="2398"/>
      <c r="AM572" s="2398"/>
      <c r="AN572" s="2398"/>
      <c r="AO572" s="2398"/>
      <c r="AP572" s="2398"/>
      <c r="AQ572" s="2398"/>
      <c r="AR572" s="2398"/>
      <c r="AS572" s="2398"/>
      <c r="AT572" s="2398"/>
    </row>
    <row r="573" spans="1:46">
      <c r="A573" s="1121"/>
      <c r="B573" s="3776"/>
      <c r="C573" s="2374"/>
      <c r="D573" s="4275" t="s">
        <v>2640</v>
      </c>
      <c r="E573" s="4275"/>
      <c r="F573" s="4275"/>
      <c r="G573" s="4275"/>
      <c r="H573" s="4275"/>
      <c r="I573" s="4275"/>
      <c r="J573" s="4275"/>
      <c r="K573" s="4275"/>
      <c r="L573" s="4275"/>
      <c r="M573" s="4275"/>
      <c r="N573" s="4275"/>
      <c r="O573" s="4275"/>
      <c r="P573" s="4275"/>
      <c r="Q573" s="4275"/>
      <c r="R573" s="4275"/>
      <c r="S573" s="3784"/>
      <c r="T573" s="3785" t="s">
        <v>37</v>
      </c>
      <c r="U573" s="3786"/>
      <c r="V573" s="3777" t="s">
        <v>1305</v>
      </c>
      <c r="W573" s="3778" t="s">
        <v>1282</v>
      </c>
      <c r="Y573" s="3550"/>
      <c r="Z573" s="1097"/>
      <c r="AA573" s="1097"/>
      <c r="AB573" s="1667"/>
      <c r="AD573" s="2398"/>
      <c r="AE573" s="2398"/>
      <c r="AF573" s="2399"/>
      <c r="AG573" s="2399"/>
      <c r="AH573" s="2398"/>
      <c r="AI573" s="2398"/>
      <c r="AJ573" s="2398"/>
      <c r="AK573" s="2398"/>
      <c r="AL573" s="2398"/>
      <c r="AM573" s="2398"/>
      <c r="AN573" s="2398"/>
      <c r="AO573" s="2398"/>
      <c r="AP573" s="2398"/>
      <c r="AQ573" s="2398"/>
      <c r="AR573" s="2398"/>
      <c r="AS573" s="2398"/>
      <c r="AT573" s="2398"/>
    </row>
    <row r="574" spans="1:46">
      <c r="A574" s="1121"/>
      <c r="B574" s="3776"/>
      <c r="C574" s="2374"/>
      <c r="D574" s="4275"/>
      <c r="E574" s="4275"/>
      <c r="F574" s="4275"/>
      <c r="G574" s="4275"/>
      <c r="H574" s="4275"/>
      <c r="I574" s="4275"/>
      <c r="J574" s="4275"/>
      <c r="K574" s="4275"/>
      <c r="L574" s="4275"/>
      <c r="M574" s="4275"/>
      <c r="N574" s="4275"/>
      <c r="O574" s="4275"/>
      <c r="P574" s="4275"/>
      <c r="Q574" s="4275"/>
      <c r="R574" s="4275"/>
      <c r="S574" s="3787" t="s">
        <v>1407</v>
      </c>
      <c r="T574" s="3788" t="s">
        <v>68</v>
      </c>
      <c r="U574" s="3789"/>
      <c r="V574" s="3779" t="s">
        <v>67</v>
      </c>
      <c r="W574" s="3780" t="s">
        <v>69</v>
      </c>
      <c r="Y574" s="3497" t="s">
        <v>1294</v>
      </c>
      <c r="Z574" s="1097"/>
      <c r="AA574" s="1097"/>
      <c r="AB574" s="1542"/>
      <c r="AD574" s="2398"/>
      <c r="AE574" s="2398"/>
      <c r="AF574" s="2399"/>
      <c r="AG574" s="2399"/>
      <c r="AH574" s="2398"/>
      <c r="AI574" s="2398"/>
      <c r="AJ574" s="2398"/>
      <c r="AK574" s="2398"/>
      <c r="AL574" s="2398"/>
      <c r="AM574" s="2398"/>
      <c r="AN574" s="2398"/>
      <c r="AO574" s="2398"/>
      <c r="AP574" s="2398"/>
      <c r="AQ574" s="2398"/>
      <c r="AR574" s="2398"/>
      <c r="AS574" s="2398"/>
      <c r="AT574" s="2398"/>
    </row>
    <row r="575" spans="1:46">
      <c r="A575" s="1121"/>
      <c r="B575" s="3790"/>
      <c r="C575" s="2374"/>
      <c r="D575" s="3791"/>
      <c r="E575" s="3792"/>
      <c r="F575" s="3792"/>
      <c r="G575" s="3792"/>
      <c r="H575" s="3792"/>
      <c r="I575" s="3792"/>
      <c r="J575" s="3792"/>
      <c r="K575" s="3792"/>
      <c r="L575" s="3792"/>
      <c r="M575" s="3792"/>
      <c r="N575" s="3792"/>
      <c r="O575" s="3792"/>
      <c r="P575" s="3792"/>
      <c r="Q575" s="3792"/>
      <c r="R575" s="3792"/>
      <c r="S575" s="3792"/>
      <c r="T575" s="3792"/>
      <c r="U575" s="2897"/>
      <c r="V575" s="2897"/>
      <c r="W575" s="2897"/>
      <c r="Y575" s="3550"/>
      <c r="Z575" s="1097"/>
      <c r="AA575" s="1097"/>
      <c r="AB575" s="1667"/>
      <c r="AD575" s="2398"/>
      <c r="AE575" s="2398"/>
      <c r="AF575" s="2399"/>
      <c r="AG575" s="2399"/>
      <c r="AH575" s="2398"/>
      <c r="AI575" s="2398"/>
      <c r="AJ575" s="2398"/>
      <c r="AK575" s="2398"/>
      <c r="AL575" s="2398"/>
      <c r="AM575" s="2398"/>
      <c r="AN575" s="2398"/>
      <c r="AO575" s="2398"/>
      <c r="AP575" s="2398"/>
      <c r="AQ575" s="2398"/>
      <c r="AR575" s="2398"/>
      <c r="AS575" s="2398"/>
      <c r="AT575" s="2398"/>
    </row>
    <row r="576" spans="1:46">
      <c r="A576" s="1121"/>
      <c r="B576" s="108"/>
      <c r="D576" s="1372"/>
      <c r="E576" s="1833"/>
      <c r="F576" s="1833"/>
      <c r="G576" s="1833"/>
      <c r="H576" s="1833"/>
      <c r="I576" s="1833"/>
      <c r="J576" s="1833"/>
      <c r="K576" s="1833"/>
      <c r="L576" s="1833"/>
      <c r="M576" s="1833"/>
      <c r="N576" s="1833"/>
      <c r="O576" s="1833"/>
      <c r="P576" s="1833"/>
      <c r="Q576" s="1833"/>
      <c r="R576" s="1833"/>
      <c r="S576" s="1833"/>
      <c r="T576" s="1833"/>
      <c r="U576" s="1834"/>
      <c r="V576" s="1834"/>
      <c r="W576" s="1834"/>
      <c r="Y576" s="3766"/>
      <c r="Z576" s="3801"/>
      <c r="AA576" s="3801"/>
      <c r="AB576" s="3801"/>
      <c r="AD576" s="2398"/>
      <c r="AE576" s="2398"/>
      <c r="AF576" s="2399"/>
      <c r="AG576" s="2399"/>
      <c r="AH576" s="2398"/>
      <c r="AI576" s="2398"/>
      <c r="AJ576" s="2398"/>
      <c r="AK576" s="2398"/>
      <c r="AL576" s="2398"/>
      <c r="AM576" s="2398"/>
      <c r="AN576" s="2398"/>
      <c r="AO576" s="2398"/>
      <c r="AP576" s="2398"/>
      <c r="AQ576" s="2398"/>
      <c r="AR576" s="2398"/>
      <c r="AS576" s="2398"/>
      <c r="AT576" s="2398"/>
    </row>
    <row r="577" spans="1:64">
      <c r="A577" s="1121"/>
      <c r="B577" s="92"/>
      <c r="D577" s="4367" t="s">
        <v>2634</v>
      </c>
      <c r="E577" s="4266"/>
      <c r="F577" s="4266"/>
      <c r="G577" s="4266"/>
      <c r="H577" s="4266"/>
      <c r="I577" s="4266"/>
      <c r="J577" s="4266"/>
      <c r="K577" s="4266"/>
      <c r="L577" s="4266"/>
      <c r="M577" s="4266"/>
      <c r="N577" s="4266"/>
      <c r="O577" s="4266"/>
      <c r="P577" s="4266"/>
      <c r="Q577" s="4266"/>
      <c r="R577" s="4266"/>
      <c r="S577" s="4266"/>
      <c r="T577" s="4266"/>
      <c r="U577" s="4266"/>
      <c r="V577" s="4266"/>
      <c r="W577" s="4266"/>
      <c r="Y577" s="3766"/>
      <c r="Z577" s="3801"/>
      <c r="AA577" s="3801"/>
      <c r="AB577" s="3801"/>
      <c r="AD577" s="2398"/>
      <c r="AE577" s="2398"/>
      <c r="AF577" s="2399"/>
      <c r="AG577" s="2399"/>
      <c r="AH577" s="2398"/>
      <c r="AI577" s="2398"/>
      <c r="AJ577" s="2398"/>
      <c r="AK577" s="2398"/>
      <c r="AL577" s="2398"/>
      <c r="AM577" s="2398"/>
      <c r="AN577" s="2398"/>
      <c r="AO577" s="2398"/>
      <c r="AP577" s="2398"/>
      <c r="AQ577" s="2398"/>
      <c r="AR577" s="2398"/>
      <c r="AS577" s="2398"/>
      <c r="AT577" s="2398"/>
    </row>
    <row r="578" spans="1:64">
      <c r="A578" s="1121"/>
      <c r="B578" s="92"/>
      <c r="D578" s="4266"/>
      <c r="E578" s="4266"/>
      <c r="F578" s="4266"/>
      <c r="G578" s="4266"/>
      <c r="H578" s="4266"/>
      <c r="I578" s="4266"/>
      <c r="J578" s="4266"/>
      <c r="K578" s="4266"/>
      <c r="L578" s="4266"/>
      <c r="M578" s="4266"/>
      <c r="N578" s="4266"/>
      <c r="O578" s="4266"/>
      <c r="P578" s="4266"/>
      <c r="Q578" s="4266"/>
      <c r="R578" s="4266"/>
      <c r="S578" s="4266"/>
      <c r="T578" s="4266"/>
      <c r="U578" s="4266"/>
      <c r="V578" s="4266"/>
      <c r="W578" s="4266"/>
      <c r="Y578" s="3766"/>
      <c r="Z578" s="3801"/>
      <c r="AA578" s="3801"/>
      <c r="AB578" s="3801"/>
      <c r="AD578" s="2398"/>
      <c r="AE578" s="2398"/>
      <c r="AF578" s="2399"/>
      <c r="AG578" s="2399"/>
      <c r="AH578" s="2398"/>
      <c r="AI578" s="2398"/>
      <c r="AJ578" s="2398"/>
      <c r="AK578" s="2398"/>
      <c r="AL578" s="2398"/>
      <c r="AM578" s="2398"/>
      <c r="AN578" s="2398"/>
      <c r="AO578" s="2398"/>
      <c r="AP578" s="2398"/>
      <c r="AQ578" s="2398"/>
      <c r="AR578" s="2398"/>
      <c r="AS578" s="2398"/>
      <c r="AT578" s="2398"/>
    </row>
    <row r="579" spans="1:64">
      <c r="A579" s="1121"/>
      <c r="B579" s="92"/>
      <c r="D579" s="1991"/>
      <c r="E579" s="1991"/>
      <c r="F579" s="1991"/>
      <c r="G579" s="1991"/>
      <c r="H579" s="1991"/>
      <c r="I579" s="1991"/>
      <c r="J579" s="1991"/>
      <c r="K579" s="1991"/>
      <c r="L579" s="1991"/>
      <c r="M579" s="1991"/>
      <c r="N579" s="1991"/>
      <c r="O579" s="1991"/>
      <c r="P579" s="1991"/>
      <c r="Q579" s="1991"/>
      <c r="R579" s="1991"/>
      <c r="S579" s="1991"/>
      <c r="T579" s="1991"/>
      <c r="U579" s="1983"/>
      <c r="V579" s="1991"/>
      <c r="W579" s="1991"/>
      <c r="Y579" s="3766"/>
      <c r="Z579" s="3801"/>
      <c r="AA579" s="3801"/>
      <c r="AB579" s="3801"/>
      <c r="AD579" s="2398"/>
      <c r="AE579" s="2398"/>
      <c r="AF579" s="2399"/>
      <c r="AG579" s="2399"/>
      <c r="AH579" s="2398"/>
      <c r="AI579" s="2398"/>
      <c r="AJ579" s="2398"/>
      <c r="AK579" s="2398"/>
      <c r="AL579" s="2398"/>
      <c r="AM579" s="2398"/>
      <c r="AN579" s="2398"/>
      <c r="AO579" s="2398"/>
      <c r="AP579" s="2398"/>
      <c r="AQ579" s="2398"/>
      <c r="AR579" s="2398"/>
      <c r="AS579" s="2398"/>
      <c r="AT579" s="2398"/>
    </row>
    <row r="580" spans="1:64">
      <c r="A580" s="1121"/>
      <c r="B580" s="4439" t="s">
        <v>2645</v>
      </c>
      <c r="C580" s="2374"/>
      <c r="D580" s="3812" t="s">
        <v>2646</v>
      </c>
      <c r="E580" s="3804"/>
      <c r="F580" s="3804"/>
      <c r="G580" s="3804"/>
      <c r="H580" s="3804"/>
      <c r="I580" s="3804"/>
      <c r="J580" s="3804"/>
      <c r="K580" s="3804"/>
      <c r="L580" s="3804"/>
      <c r="M580" s="3804"/>
      <c r="N580" s="3804"/>
      <c r="O580" s="3804"/>
      <c r="P580" s="3804"/>
      <c r="Q580" s="3804"/>
      <c r="R580" s="2908"/>
      <c r="S580" s="2908"/>
      <c r="T580" s="2908"/>
      <c r="U580" s="2908"/>
      <c r="V580" s="2908"/>
      <c r="W580" s="2908"/>
      <c r="Y580" s="3766"/>
      <c r="Z580" s="3801"/>
      <c r="AA580" s="3801"/>
      <c r="AB580" s="3801"/>
      <c r="AD580" s="2398"/>
      <c r="AE580" s="2398"/>
      <c r="AF580" s="2399"/>
      <c r="AG580" s="2399"/>
      <c r="AH580" s="2398"/>
      <c r="AI580" s="2398"/>
      <c r="AJ580" s="2398"/>
      <c r="AK580" s="2398"/>
      <c r="AL580" s="2398"/>
      <c r="AM580" s="2398"/>
      <c r="AN580" s="2398"/>
      <c r="AO580" s="2398"/>
      <c r="AP580" s="2398"/>
      <c r="AQ580" s="2398"/>
      <c r="AR580" s="2398"/>
      <c r="AS580" s="2398"/>
      <c r="AT580" s="2398"/>
    </row>
    <row r="581" spans="1:64">
      <c r="A581" s="1121"/>
      <c r="B581" s="4289"/>
      <c r="C581" s="2374"/>
      <c r="D581" s="3699" t="s">
        <v>1609</v>
      </c>
      <c r="E581" s="3805"/>
      <c r="F581" s="3805"/>
      <c r="G581" s="3805"/>
      <c r="H581" s="1135"/>
      <c r="I581" s="1135"/>
      <c r="J581" s="3806"/>
      <c r="K581" s="3806"/>
      <c r="L581" s="3806"/>
      <c r="M581" s="3806"/>
      <c r="N581" s="3806"/>
      <c r="O581" s="3806"/>
      <c r="P581" s="3806"/>
      <c r="Q581" s="1135"/>
      <c r="R581" s="1135"/>
      <c r="S581" s="1135"/>
      <c r="T581" s="2031" t="s">
        <v>55</v>
      </c>
      <c r="U581" s="155"/>
      <c r="V581" s="2031" t="s">
        <v>368</v>
      </c>
      <c r="W581" s="155"/>
      <c r="Y581" s="3766"/>
      <c r="Z581" s="3801"/>
      <c r="AA581" s="3801"/>
      <c r="AB581" s="3801"/>
      <c r="AD581" s="2398"/>
      <c r="AE581" s="2398"/>
      <c r="AF581" s="2399"/>
      <c r="AG581" s="2399"/>
      <c r="AH581" s="2398"/>
      <c r="AI581" s="2398"/>
      <c r="AJ581" s="2398"/>
      <c r="AK581" s="2398"/>
      <c r="AL581" s="2398"/>
      <c r="AM581" s="2398"/>
      <c r="AN581" s="2398"/>
      <c r="AO581" s="2398"/>
      <c r="AP581" s="2398"/>
      <c r="AQ581" s="2398"/>
      <c r="AR581" s="2398"/>
      <c r="AS581" s="2398"/>
      <c r="AT581" s="2398"/>
    </row>
    <row r="582" spans="1:64">
      <c r="A582" s="1121"/>
      <c r="B582" s="4434" t="s">
        <v>2693</v>
      </c>
      <c r="C582" s="2374"/>
      <c r="D582" s="3699" t="s">
        <v>1610</v>
      </c>
      <c r="E582" s="3724"/>
      <c r="F582" s="3724"/>
      <c r="G582" s="3724"/>
      <c r="H582" s="1135"/>
      <c r="I582" s="1135"/>
      <c r="J582" s="3806"/>
      <c r="K582" s="3806"/>
      <c r="L582" s="3806"/>
      <c r="M582" s="3806"/>
      <c r="N582" s="3806"/>
      <c r="O582" s="3806"/>
      <c r="P582" s="3806"/>
      <c r="Q582" s="3806"/>
      <c r="R582" s="1135"/>
      <c r="S582" s="1135"/>
      <c r="T582" s="1530">
        <f>'GEARINGS, Eb&amp;E'!AA289+CALCULATIONS!$OJ$7+0.2</f>
        <v>2.7225146349362896</v>
      </c>
      <c r="U582" s="155"/>
      <c r="V582" s="1530">
        <f>'GEARINGS, Eb&amp;E'!AA288+CALCULATIONS!$OJ$7+0.2</f>
        <v>2.7225146349362896</v>
      </c>
      <c r="W582" s="155"/>
      <c r="Y582" s="3766"/>
      <c r="Z582" s="3801"/>
      <c r="AA582" s="3801"/>
      <c r="AB582" s="3801"/>
      <c r="AD582" s="2398"/>
      <c r="AE582" s="2398"/>
      <c r="AF582" s="2399"/>
      <c r="AG582" s="2399"/>
      <c r="AH582" s="2398"/>
      <c r="AI582" s="2398"/>
      <c r="AJ582" s="2398"/>
      <c r="AK582" s="2398"/>
      <c r="AL582" s="2398"/>
      <c r="AM582" s="2398"/>
      <c r="AN582" s="2398"/>
      <c r="AO582" s="2398"/>
      <c r="AP582" s="2398"/>
      <c r="AQ582" s="2398"/>
      <c r="AR582" s="2398"/>
      <c r="AS582" s="2398"/>
      <c r="AT582" s="2398"/>
    </row>
    <row r="583" spans="1:64" ht="13.15" customHeight="1">
      <c r="A583" s="1121"/>
      <c r="B583" s="4434"/>
      <c r="C583" s="2374"/>
      <c r="D583" s="3708" t="s">
        <v>1611</v>
      </c>
      <c r="E583" s="3724"/>
      <c r="F583" s="3724"/>
      <c r="G583" s="3724"/>
      <c r="H583" s="1135"/>
      <c r="I583" s="1135"/>
      <c r="J583" s="3806"/>
      <c r="K583" s="3806"/>
      <c r="L583" s="3806"/>
      <c r="M583" s="3806"/>
      <c r="N583" s="3806"/>
      <c r="O583" s="3806"/>
      <c r="P583" s="3806"/>
      <c r="Q583" s="3806"/>
      <c r="R583" s="1135"/>
      <c r="S583" s="1135"/>
      <c r="T583" s="3807" t="s">
        <v>68</v>
      </c>
      <c r="U583" s="3808"/>
      <c r="V583" s="4272" t="s">
        <v>1612</v>
      </c>
      <c r="W583" s="4273"/>
      <c r="Y583" s="3766"/>
      <c r="Z583" s="3801"/>
      <c r="AA583" s="3801"/>
      <c r="AB583" s="3801"/>
      <c r="AD583" s="2398"/>
      <c r="AE583" s="2398"/>
      <c r="AF583" s="2399"/>
      <c r="AG583" s="2399"/>
      <c r="AH583" s="2398"/>
      <c r="AI583" s="2398"/>
      <c r="AJ583" s="2398"/>
      <c r="AK583" s="2398"/>
      <c r="AL583" s="2398"/>
      <c r="AM583" s="2398"/>
      <c r="AN583" s="2398"/>
      <c r="AO583" s="2398"/>
      <c r="AP583" s="2398"/>
      <c r="AQ583" s="2398"/>
      <c r="AR583" s="2398"/>
      <c r="AS583" s="2398"/>
      <c r="AT583" s="2398"/>
    </row>
    <row r="584" spans="1:64">
      <c r="A584" s="1121"/>
      <c r="B584" s="3339"/>
      <c r="C584" s="2374"/>
      <c r="D584" s="3809"/>
      <c r="E584" s="3810"/>
      <c r="F584" s="3810"/>
      <c r="G584" s="3810"/>
      <c r="H584" s="3810"/>
      <c r="I584" s="3810"/>
      <c r="J584" s="3810"/>
      <c r="K584" s="3810"/>
      <c r="L584" s="3810"/>
      <c r="M584" s="3810"/>
      <c r="N584" s="3810"/>
      <c r="O584" s="3810"/>
      <c r="P584" s="3810"/>
      <c r="Q584" s="3810"/>
      <c r="R584" s="3810"/>
      <c r="S584" s="3810"/>
      <c r="T584" s="3810"/>
      <c r="U584" s="3810"/>
      <c r="V584" s="3810"/>
      <c r="W584" s="3810"/>
      <c r="Y584" s="3766"/>
      <c r="Z584" s="3801"/>
      <c r="AA584" s="3801"/>
      <c r="AB584" s="3801"/>
      <c r="AD584" s="2398"/>
      <c r="AE584" s="2398"/>
      <c r="AF584" s="2399"/>
      <c r="AG584" s="2399"/>
      <c r="AH584" s="2398"/>
      <c r="AI584" s="2398"/>
      <c r="AJ584" s="2398"/>
      <c r="AK584" s="2398"/>
      <c r="AL584" s="2398"/>
      <c r="AM584" s="2398"/>
      <c r="AN584" s="2398"/>
      <c r="AO584" s="2398"/>
      <c r="AP584" s="2398"/>
      <c r="AQ584" s="2398"/>
      <c r="AR584" s="2398"/>
      <c r="AS584" s="2398"/>
      <c r="AT584" s="2398"/>
    </row>
    <row r="585" spans="1:64">
      <c r="A585" s="1121"/>
      <c r="B585" s="92"/>
      <c r="D585" s="1983"/>
      <c r="E585" s="1983"/>
      <c r="F585" s="1983"/>
      <c r="G585" s="1983"/>
      <c r="H585" s="1983"/>
      <c r="I585" s="1983"/>
      <c r="J585" s="1983"/>
      <c r="K585" s="1983"/>
      <c r="L585" s="1983"/>
      <c r="M585" s="1983"/>
      <c r="N585" s="1983"/>
      <c r="O585" s="1983"/>
      <c r="P585" s="1983"/>
      <c r="Q585" s="1991"/>
      <c r="R585" s="1991"/>
      <c r="S585" s="1991"/>
      <c r="T585" s="1991"/>
      <c r="U585" s="1991"/>
      <c r="V585" s="1991"/>
      <c r="W585" s="1991"/>
      <c r="Y585" s="3766"/>
      <c r="Z585" s="3801"/>
      <c r="AA585" s="3801"/>
      <c r="AB585" s="3801"/>
      <c r="AD585" s="2398"/>
      <c r="AE585" s="2398"/>
      <c r="AF585" s="2399"/>
      <c r="AG585" s="2399"/>
      <c r="AH585" s="2398"/>
      <c r="AI585" s="2398"/>
      <c r="AJ585" s="2398"/>
      <c r="AK585" s="2398"/>
      <c r="AL585" s="2398"/>
      <c r="AM585" s="2398"/>
      <c r="AN585" s="2398"/>
      <c r="AO585" s="2398"/>
      <c r="AP585" s="2398"/>
      <c r="AQ585" s="2398"/>
      <c r="AR585" s="2398"/>
      <c r="AS585" s="2398"/>
      <c r="AT585" s="2398"/>
    </row>
    <row r="586" spans="1:64" s="2353" customFormat="1">
      <c r="A586" s="1582"/>
      <c r="B586" s="1583"/>
      <c r="C586" s="2358"/>
      <c r="D586" s="1217"/>
      <c r="E586" s="1584"/>
      <c r="F586" s="1584"/>
      <c r="G586" s="1584"/>
      <c r="H586" s="1584"/>
      <c r="I586" s="1584"/>
      <c r="J586" s="1584"/>
      <c r="K586" s="1584"/>
      <c r="L586" s="1584"/>
      <c r="M586" s="1584"/>
      <c r="N586" s="1584"/>
      <c r="O586" s="1584"/>
      <c r="P586" s="1584"/>
      <c r="Q586" s="1584"/>
      <c r="R586" s="1584"/>
      <c r="S586" s="1584"/>
      <c r="T586" s="1584"/>
      <c r="U586" s="1584"/>
      <c r="V586" s="1584"/>
      <c r="W586" s="1584"/>
      <c r="X586" s="2358"/>
      <c r="Y586" s="3802"/>
      <c r="Z586" s="3803"/>
      <c r="AA586" s="3803"/>
      <c r="AB586" s="3803"/>
      <c r="AD586" s="2402"/>
      <c r="AE586" s="2402"/>
      <c r="AF586" s="2403"/>
      <c r="AG586" s="2403"/>
      <c r="AH586" s="2402"/>
      <c r="AI586" s="2402"/>
      <c r="AJ586" s="2402"/>
      <c r="AK586" s="2402"/>
      <c r="AL586" s="2402"/>
      <c r="AM586" s="2402"/>
      <c r="AN586" s="2402"/>
      <c r="AO586" s="2402"/>
      <c r="AP586" s="2402"/>
      <c r="AQ586" s="2402"/>
      <c r="AR586" s="2402"/>
      <c r="AS586" s="2402"/>
      <c r="AT586" s="2402"/>
      <c r="BL586" s="2358"/>
    </row>
    <row r="587" spans="1:64" s="2353" customFormat="1">
      <c r="A587" s="2731" t="s">
        <v>1308</v>
      </c>
      <c r="B587" s="2732"/>
      <c r="C587" s="2465"/>
      <c r="D587" s="2773"/>
      <c r="E587" s="2773"/>
      <c r="F587" s="2773"/>
      <c r="G587" s="2773"/>
      <c r="H587" s="2773"/>
      <c r="I587" s="2773"/>
      <c r="J587" s="2773"/>
      <c r="K587" s="2773"/>
      <c r="L587" s="2773"/>
      <c r="M587" s="2773"/>
      <c r="N587" s="2773"/>
      <c r="O587" s="2773"/>
      <c r="P587" s="2773"/>
      <c r="Q587" s="2773"/>
      <c r="R587" s="2773"/>
      <c r="S587" s="2773"/>
      <c r="T587" s="2773"/>
      <c r="U587" s="2773"/>
      <c r="V587" s="2773"/>
      <c r="W587" s="2773"/>
      <c r="X587" s="2358"/>
      <c r="Y587" s="3767"/>
      <c r="Z587" s="2402"/>
      <c r="AA587" s="2402"/>
      <c r="AB587" s="2402"/>
      <c r="AD587" s="2402"/>
      <c r="AE587" s="2402"/>
      <c r="AF587" s="2403"/>
      <c r="AG587" s="2403"/>
      <c r="AH587" s="2402"/>
      <c r="AI587" s="2402"/>
      <c r="AJ587" s="2402"/>
      <c r="AK587" s="2402"/>
      <c r="AL587" s="2402"/>
      <c r="AM587" s="2402"/>
      <c r="AN587" s="2402"/>
      <c r="AO587" s="2402"/>
      <c r="AP587" s="2402"/>
      <c r="AQ587" s="2402"/>
      <c r="AR587" s="2402"/>
      <c r="AS587" s="2402"/>
      <c r="AT587" s="2402"/>
      <c r="BL587" s="2358"/>
    </row>
    <row r="588" spans="1:64" s="2353" customFormat="1">
      <c r="A588" s="1669"/>
      <c r="B588" s="670"/>
      <c r="C588" s="2465"/>
      <c r="D588" s="2773"/>
      <c r="E588" s="2773"/>
      <c r="F588" s="2773"/>
      <c r="G588" s="2773"/>
      <c r="H588" s="2773"/>
      <c r="I588" s="2773"/>
      <c r="J588" s="2773"/>
      <c r="K588" s="2773"/>
      <c r="L588" s="2773"/>
      <c r="M588" s="2773"/>
      <c r="N588" s="2773"/>
      <c r="O588" s="2773"/>
      <c r="P588" s="2773"/>
      <c r="Q588" s="2773"/>
      <c r="R588" s="2773"/>
      <c r="S588" s="2773"/>
      <c r="T588" s="2773"/>
      <c r="U588" s="2773"/>
      <c r="V588" s="2773"/>
      <c r="W588" s="2773"/>
      <c r="X588" s="2358"/>
      <c r="Y588" s="3767"/>
      <c r="Z588" s="2402"/>
      <c r="AA588" s="2402"/>
      <c r="AB588" s="2402"/>
      <c r="AD588" s="2402"/>
      <c r="AE588" s="2402"/>
      <c r="AF588" s="2403"/>
      <c r="AG588" s="2403"/>
      <c r="AH588" s="2402"/>
      <c r="AI588" s="2402"/>
      <c r="AJ588" s="2402"/>
      <c r="AK588" s="2402"/>
      <c r="AL588" s="2402"/>
      <c r="AM588" s="2402"/>
      <c r="AN588" s="2402"/>
      <c r="AO588" s="2402"/>
      <c r="AP588" s="2402"/>
      <c r="AQ588" s="2402"/>
      <c r="AR588" s="2402"/>
      <c r="AS588" s="2402"/>
      <c r="AT588" s="2402"/>
      <c r="BL588" s="2358"/>
    </row>
    <row r="589" spans="1:64" s="2353" customFormat="1">
      <c r="A589" s="1582"/>
      <c r="B589" s="1583"/>
      <c r="C589" s="2358"/>
      <c r="D589" s="2773"/>
      <c r="E589" s="2773"/>
      <c r="F589" s="2773"/>
      <c r="G589" s="2773"/>
      <c r="H589" s="2773"/>
      <c r="I589" s="2773"/>
      <c r="J589" s="2773"/>
      <c r="K589" s="2773"/>
      <c r="L589" s="2773"/>
      <c r="M589" s="2773"/>
      <c r="N589" s="2773"/>
      <c r="O589" s="2773"/>
      <c r="P589" s="2773"/>
      <c r="Q589" s="2773"/>
      <c r="R589" s="2773"/>
      <c r="S589" s="2773"/>
      <c r="T589" s="2773"/>
      <c r="U589" s="2773"/>
      <c r="V589" s="2773"/>
      <c r="W589" s="2773"/>
      <c r="X589" s="2358"/>
      <c r="Y589" s="3767"/>
      <c r="Z589" s="2402"/>
      <c r="AA589" s="2402"/>
      <c r="AB589" s="2402"/>
      <c r="AD589" s="2402"/>
      <c r="AE589" s="2402"/>
      <c r="AF589" s="2403"/>
      <c r="AG589" s="2403"/>
      <c r="AH589" s="2402"/>
      <c r="AI589" s="2402"/>
      <c r="AJ589" s="2402"/>
      <c r="AK589" s="2402"/>
      <c r="AL589" s="2402"/>
      <c r="AM589" s="2402"/>
      <c r="AN589" s="2402"/>
      <c r="AO589" s="2402"/>
      <c r="AP589" s="2402"/>
      <c r="AQ589" s="2402"/>
      <c r="AR589" s="2402"/>
      <c r="AS589" s="2402"/>
      <c r="AT589" s="2402"/>
      <c r="BL589" s="2358"/>
    </row>
    <row r="590" spans="1:64">
      <c r="A590" s="1121"/>
      <c r="B590" s="92"/>
      <c r="D590" s="3811"/>
      <c r="E590" s="3811"/>
      <c r="F590" s="3811"/>
      <c r="G590" s="3811"/>
      <c r="H590" s="3811"/>
      <c r="I590" s="3811"/>
      <c r="J590" s="3811"/>
      <c r="K590" s="3811"/>
      <c r="L590" s="3811"/>
      <c r="M590" s="3811"/>
      <c r="N590" s="3811"/>
      <c r="O590" s="3811"/>
      <c r="P590" s="3811"/>
      <c r="Q590" s="3811"/>
      <c r="R590" s="3811"/>
      <c r="S590" s="3811"/>
      <c r="T590" s="3811"/>
      <c r="U590" s="3811"/>
      <c r="V590" s="3811"/>
      <c r="W590" s="3811"/>
      <c r="Y590" s="3488"/>
      <c r="Z590" s="2398"/>
      <c r="AA590" s="2398"/>
      <c r="AB590" s="2398"/>
      <c r="AD590" s="2398"/>
      <c r="AE590" s="2398"/>
      <c r="AF590" s="2399"/>
      <c r="AG590" s="2399"/>
      <c r="AH590" s="2398"/>
      <c r="AI590" s="2398"/>
      <c r="AJ590" s="2398"/>
      <c r="AK590" s="2398"/>
      <c r="AL590" s="2398"/>
      <c r="AM590" s="2398"/>
      <c r="AN590" s="2398"/>
      <c r="AO590" s="2398"/>
      <c r="AP590" s="2398"/>
      <c r="AQ590" s="2398"/>
      <c r="AR590" s="2398"/>
      <c r="AS590" s="2398"/>
      <c r="AT590" s="2398"/>
    </row>
    <row r="591" spans="1:64">
      <c r="A591" s="1121"/>
      <c r="B591" s="92"/>
      <c r="D591" s="93"/>
      <c r="E591" s="108"/>
      <c r="F591" s="108"/>
      <c r="G591" s="108"/>
      <c r="H591" s="108"/>
      <c r="I591" s="108"/>
      <c r="J591" s="108"/>
      <c r="K591" s="108"/>
      <c r="L591" s="108"/>
      <c r="M591" s="108"/>
      <c r="N591" s="108"/>
      <c r="O591" s="108"/>
      <c r="P591" s="108"/>
      <c r="Q591" s="108"/>
      <c r="R591" s="108"/>
      <c r="S591" s="108"/>
      <c r="T591" s="108"/>
      <c r="U591" s="1416"/>
      <c r="V591" s="1416"/>
      <c r="W591" s="1416"/>
      <c r="Y591" s="3488"/>
      <c r="Z591" s="2398"/>
      <c r="AA591" s="2398"/>
      <c r="AB591" s="2398"/>
      <c r="AD591" s="2398"/>
      <c r="AE591" s="2398"/>
      <c r="AF591" s="2399"/>
      <c r="AG591" s="2399"/>
      <c r="AH591" s="2398"/>
      <c r="AI591" s="2398"/>
      <c r="AJ591" s="2398"/>
      <c r="AK591" s="2398"/>
      <c r="AL591" s="2398"/>
      <c r="AM591" s="2398"/>
      <c r="AN591" s="2398"/>
      <c r="AO591" s="2398"/>
      <c r="AP591" s="2398"/>
      <c r="AQ591" s="2398"/>
      <c r="AR591" s="2398"/>
      <c r="AS591" s="2398"/>
      <c r="AT591" s="2398"/>
    </row>
    <row r="592" spans="1:64" s="2398" customFormat="1">
      <c r="A592" s="2769"/>
      <c r="C592" s="2399"/>
      <c r="D592" s="2767"/>
      <c r="E592" s="2399"/>
      <c r="F592" s="2399"/>
      <c r="G592" s="2399"/>
      <c r="H592" s="2399"/>
      <c r="I592" s="2399"/>
      <c r="J592" s="2399"/>
      <c r="K592" s="2399"/>
      <c r="L592" s="2399"/>
      <c r="M592" s="2399"/>
      <c r="N592" s="2399"/>
      <c r="O592" s="2399"/>
      <c r="P592" s="2399"/>
      <c r="Q592" s="2399"/>
      <c r="R592" s="2399"/>
      <c r="S592" s="2399"/>
      <c r="T592" s="2399"/>
      <c r="U592" s="2770"/>
      <c r="V592" s="2770"/>
      <c r="W592" s="2770"/>
      <c r="X592" s="2399"/>
      <c r="Y592" s="2399"/>
      <c r="AF592" s="2399"/>
      <c r="AG592" s="2399"/>
      <c r="BL592" s="2399"/>
    </row>
    <row r="593" spans="1:46">
      <c r="A593" s="1175" t="s">
        <v>752</v>
      </c>
      <c r="B593" s="2021" t="s">
        <v>96</v>
      </c>
      <c r="D593" s="3640" t="s">
        <v>1273</v>
      </c>
      <c r="E593" s="3640"/>
      <c r="F593" s="3640"/>
      <c r="G593" s="3640"/>
      <c r="H593" s="3640"/>
      <c r="I593" s="3640"/>
      <c r="J593" s="3640"/>
      <c r="K593" s="3640"/>
      <c r="L593" s="3640"/>
      <c r="M593" s="3640"/>
      <c r="N593" s="3640"/>
      <c r="O593" s="3640"/>
      <c r="P593" s="3752"/>
      <c r="Q593" s="3752"/>
      <c r="R593" s="3771"/>
      <c r="S593" s="3752"/>
      <c r="T593" s="3640"/>
      <c r="U593" s="3640"/>
      <c r="V593" s="3640"/>
      <c r="W593" s="3640"/>
      <c r="Y593" s="2269"/>
      <c r="Z593" s="1422"/>
      <c r="AA593" s="1422"/>
      <c r="AB593" s="1422"/>
      <c r="AD593" s="1422"/>
      <c r="AE593" s="1422"/>
      <c r="AF593" s="1217" t="s">
        <v>1247</v>
      </c>
      <c r="AG593" s="1423"/>
      <c r="AH593" s="1422"/>
      <c r="AI593" s="1422"/>
      <c r="AJ593" s="1422"/>
      <c r="AK593" s="1422"/>
      <c r="AL593" s="1422"/>
      <c r="AM593" s="1422"/>
      <c r="AN593" s="1422"/>
      <c r="AO593" s="1422"/>
      <c r="AP593" s="1422"/>
      <c r="AQ593" s="1422"/>
      <c r="AR593" s="1422"/>
      <c r="AS593" s="1422"/>
      <c r="AT593" s="1422"/>
    </row>
    <row r="594" spans="1:46">
      <c r="A594" s="1090"/>
      <c r="B594" s="1422"/>
      <c r="D594" s="4294" t="s">
        <v>2649</v>
      </c>
      <c r="E594" s="4294"/>
      <c r="F594" s="4294"/>
      <c r="G594" s="4294"/>
      <c r="H594" s="4294"/>
      <c r="I594" s="4294"/>
      <c r="J594" s="4294"/>
      <c r="K594" s="4294"/>
      <c r="L594" s="4294"/>
      <c r="M594" s="4294"/>
      <c r="N594" s="4294"/>
      <c r="O594" s="4294"/>
      <c r="P594" s="4294"/>
      <c r="Q594" s="4294"/>
      <c r="R594" s="4294"/>
      <c r="S594" s="4294"/>
      <c r="T594" s="4294"/>
      <c r="U594" s="4294"/>
      <c r="V594" s="4294"/>
      <c r="W594" s="4294"/>
      <c r="Y594" s="3716" t="s">
        <v>2647</v>
      </c>
      <c r="Z594" s="1422"/>
      <c r="AA594" s="1422"/>
      <c r="AB594" s="1422"/>
      <c r="AD594" s="1422"/>
      <c r="AE594" s="1422"/>
      <c r="AF594" s="1423"/>
      <c r="AG594" s="1423"/>
      <c r="AH594" s="1422"/>
      <c r="AI594" s="1422"/>
      <c r="AJ594" s="1422"/>
      <c r="AK594" s="1422"/>
      <c r="AL594" s="1422"/>
      <c r="AM594" s="1422"/>
      <c r="AN594" s="1422"/>
      <c r="AO594" s="1422"/>
      <c r="AP594" s="1422"/>
      <c r="AQ594" s="1422"/>
      <c r="AR594" s="1422"/>
      <c r="AS594" s="1422"/>
      <c r="AT594" s="1422"/>
    </row>
    <row r="595" spans="1:46">
      <c r="A595" s="2858"/>
      <c r="B595" s="1422"/>
      <c r="D595" s="4295"/>
      <c r="E595" s="4295"/>
      <c r="F595" s="4295"/>
      <c r="G595" s="4295"/>
      <c r="H595" s="4295"/>
      <c r="I595" s="4295"/>
      <c r="J595" s="4295"/>
      <c r="K595" s="4295"/>
      <c r="L595" s="4295"/>
      <c r="M595" s="4295"/>
      <c r="N595" s="4295"/>
      <c r="O595" s="4295"/>
      <c r="P595" s="4295"/>
      <c r="Q595" s="4295"/>
      <c r="R595" s="4295"/>
      <c r="S595" s="4295"/>
      <c r="T595" s="4295"/>
      <c r="U595" s="4295"/>
      <c r="V595" s="4295"/>
      <c r="W595" s="4295"/>
      <c r="Y595" s="3398"/>
      <c r="Z595" s="1422"/>
      <c r="AA595" s="1422"/>
      <c r="AB595" s="1422"/>
      <c r="AD595" s="1422"/>
      <c r="AE595" s="1422"/>
      <c r="AF595" s="1423"/>
      <c r="AG595" s="1423"/>
      <c r="AH595" s="1422"/>
      <c r="AI595" s="1422"/>
      <c r="AJ595" s="1422"/>
      <c r="AK595" s="1422"/>
      <c r="AL595" s="1422"/>
      <c r="AM595" s="1422"/>
      <c r="AN595" s="1422"/>
      <c r="AO595" s="1422"/>
      <c r="AP595" s="1422"/>
      <c r="AQ595" s="1422"/>
      <c r="AR595" s="1422"/>
      <c r="AS595" s="1422"/>
      <c r="AT595" s="1422"/>
    </row>
    <row r="596" spans="1:46">
      <c r="A596" s="1090"/>
      <c r="B596" s="1422"/>
      <c r="D596" s="4295"/>
      <c r="E596" s="4295"/>
      <c r="F596" s="4295"/>
      <c r="G596" s="4295"/>
      <c r="H596" s="4295"/>
      <c r="I596" s="4295"/>
      <c r="J596" s="4295"/>
      <c r="K596" s="4295"/>
      <c r="L596" s="4295"/>
      <c r="M596" s="4295"/>
      <c r="N596" s="4295"/>
      <c r="O596" s="4295"/>
      <c r="P596" s="4295"/>
      <c r="Q596" s="4295"/>
      <c r="R596" s="4295"/>
      <c r="S596" s="4295"/>
      <c r="T596" s="4295"/>
      <c r="U596" s="4295"/>
      <c r="V596" s="4295"/>
      <c r="W596" s="4295"/>
      <c r="Y596" s="2399"/>
      <c r="Z596" s="2398"/>
      <c r="AA596" s="2398"/>
      <c r="AB596" s="2398"/>
      <c r="AD596" s="1422"/>
      <c r="AE596" s="1422"/>
      <c r="AF596" s="1423"/>
      <c r="AG596" s="1423"/>
      <c r="AH596" s="1422"/>
      <c r="AI596" s="1422"/>
      <c r="AJ596" s="1422"/>
      <c r="AK596" s="1422"/>
      <c r="AL596" s="1422"/>
      <c r="AM596" s="1422"/>
      <c r="AN596" s="1422"/>
      <c r="AO596" s="1422"/>
      <c r="AP596" s="1422"/>
      <c r="AQ596" s="1422"/>
      <c r="AR596" s="1422"/>
      <c r="AS596" s="1422"/>
      <c r="AT596" s="1422"/>
    </row>
    <row r="597" spans="1:46">
      <c r="A597" s="1090"/>
      <c r="B597" s="1422"/>
      <c r="D597" s="3815" t="s">
        <v>2650</v>
      </c>
      <c r="E597" s="3815"/>
      <c r="F597" s="3815"/>
      <c r="G597" s="3815"/>
      <c r="H597" s="3815"/>
      <c r="I597" s="3815"/>
      <c r="J597" s="3815"/>
      <c r="K597" s="3815"/>
      <c r="L597" s="3815"/>
      <c r="M597" s="3815"/>
      <c r="N597" s="3815"/>
      <c r="O597" s="3815"/>
      <c r="P597" s="3815"/>
      <c r="Q597" s="3815"/>
      <c r="R597" s="3815"/>
      <c r="S597" s="3815"/>
      <c r="T597" s="3815"/>
      <c r="U597" s="3815"/>
      <c r="V597" s="3815"/>
      <c r="W597" s="3816"/>
      <c r="Y597" s="3813"/>
      <c r="Z597" s="3814"/>
      <c r="AA597" s="3814"/>
      <c r="AB597" s="2398"/>
      <c r="AD597" s="1422"/>
      <c r="AE597" s="1422"/>
      <c r="AF597" s="1423"/>
      <c r="AG597" s="1423"/>
      <c r="AH597" s="1422"/>
      <c r="AI597" s="1422"/>
      <c r="AJ597" s="1422"/>
      <c r="AK597" s="1422"/>
      <c r="AL597" s="1422"/>
      <c r="AM597" s="1422"/>
      <c r="AN597" s="1422"/>
      <c r="AO597" s="1422"/>
      <c r="AP597" s="1422"/>
      <c r="AQ597" s="1422"/>
      <c r="AR597" s="1422"/>
      <c r="AS597" s="1422"/>
      <c r="AT597" s="1422"/>
    </row>
    <row r="598" spans="1:46">
      <c r="A598" s="1090"/>
      <c r="B598" s="1422"/>
      <c r="D598" s="4295" t="s">
        <v>1265</v>
      </c>
      <c r="E598" s="4295"/>
      <c r="F598" s="4295"/>
      <c r="G598" s="4295"/>
      <c r="H598" s="4295"/>
      <c r="I598" s="4295"/>
      <c r="J598" s="4295"/>
      <c r="K598" s="4295"/>
      <c r="L598" s="4295"/>
      <c r="M598" s="4295"/>
      <c r="N598" s="4295"/>
      <c r="O598" s="4295"/>
      <c r="P598" s="4295"/>
      <c r="Q598" s="4295"/>
      <c r="R598" s="4295"/>
      <c r="S598" s="4295"/>
      <c r="T598" s="4295"/>
      <c r="U598" s="4295"/>
      <c r="V598" s="4295"/>
      <c r="W598" s="4295"/>
      <c r="X598" s="2373"/>
      <c r="Y598" s="3813"/>
      <c r="Z598" s="3814"/>
      <c r="AA598" s="3814"/>
      <c r="AB598" s="2398"/>
      <c r="AD598" s="1422"/>
      <c r="AE598" s="1422"/>
      <c r="AF598" s="1423"/>
      <c r="AG598" s="1423"/>
      <c r="AH598" s="1422"/>
      <c r="AI598" s="1422"/>
      <c r="AJ598" s="1422"/>
      <c r="AK598" s="1422"/>
      <c r="AL598" s="1422"/>
      <c r="AM598" s="1422"/>
      <c r="AN598" s="1422"/>
      <c r="AO598" s="1422"/>
      <c r="AP598" s="1422"/>
      <c r="AQ598" s="1422"/>
      <c r="AR598" s="1422"/>
      <c r="AS598" s="1422"/>
      <c r="AT598" s="1422"/>
    </row>
    <row r="599" spans="1:46">
      <c r="A599" s="1090"/>
      <c r="B599" s="1422"/>
      <c r="D599" s="4295"/>
      <c r="E599" s="4295"/>
      <c r="F599" s="4295"/>
      <c r="G599" s="4295"/>
      <c r="H599" s="4295"/>
      <c r="I599" s="4295"/>
      <c r="J599" s="4295"/>
      <c r="K599" s="4295"/>
      <c r="L599" s="4295"/>
      <c r="M599" s="4295"/>
      <c r="N599" s="4295"/>
      <c r="O599" s="4295"/>
      <c r="P599" s="4295"/>
      <c r="Q599" s="4295"/>
      <c r="R599" s="4295"/>
      <c r="S599" s="4295"/>
      <c r="T599" s="4295"/>
      <c r="U599" s="4295"/>
      <c r="V599" s="4295"/>
      <c r="W599" s="4295"/>
      <c r="X599" s="2373"/>
      <c r="Y599" s="2399"/>
      <c r="Z599" s="2398"/>
      <c r="AA599" s="2398"/>
      <c r="AB599" s="2398"/>
      <c r="AD599" s="1422"/>
      <c r="AE599" s="1422"/>
      <c r="AF599" s="1423"/>
      <c r="AG599" s="1423"/>
      <c r="AH599" s="1422"/>
      <c r="AI599" s="1422"/>
      <c r="AJ599" s="1422"/>
      <c r="AK599" s="1422"/>
      <c r="AL599" s="1422"/>
      <c r="AM599" s="1422"/>
      <c r="AN599" s="1422"/>
      <c r="AO599" s="1422"/>
      <c r="AP599" s="1422"/>
      <c r="AQ599" s="1422"/>
      <c r="AR599" s="1422"/>
      <c r="AS599" s="1422"/>
      <c r="AT599" s="1422"/>
    </row>
    <row r="600" spans="1:46">
      <c r="A600" s="1090"/>
      <c r="B600" s="1422"/>
      <c r="D600" s="4295" t="s">
        <v>2651</v>
      </c>
      <c r="E600" s="4295"/>
      <c r="F600" s="4295"/>
      <c r="G600" s="4295"/>
      <c r="H600" s="4295"/>
      <c r="I600" s="4295"/>
      <c r="J600" s="4295"/>
      <c r="K600" s="4295"/>
      <c r="L600" s="4295"/>
      <c r="M600" s="4295"/>
      <c r="N600" s="4295"/>
      <c r="O600" s="4295"/>
      <c r="P600" s="4295"/>
      <c r="Q600" s="4295"/>
      <c r="R600" s="4295"/>
      <c r="S600" s="4295"/>
      <c r="T600" s="4295"/>
      <c r="U600" s="4295"/>
      <c r="V600" s="4295"/>
      <c r="W600" s="4295"/>
      <c r="Y600" s="2399"/>
      <c r="Z600" s="2398"/>
      <c r="AA600" s="2398"/>
      <c r="AB600" s="2398"/>
      <c r="AD600" s="1422"/>
      <c r="AE600" s="1422"/>
      <c r="AF600" s="1423"/>
      <c r="AG600" s="1423"/>
      <c r="AH600" s="1422"/>
      <c r="AI600" s="1422"/>
      <c r="AJ600" s="1422"/>
      <c r="AK600" s="1422"/>
      <c r="AL600" s="1422"/>
      <c r="AM600" s="1422"/>
      <c r="AN600" s="1422"/>
      <c r="AO600" s="1422"/>
      <c r="AP600" s="1422"/>
      <c r="AQ600" s="1422"/>
      <c r="AR600" s="1422"/>
      <c r="AS600" s="1422"/>
      <c r="AT600" s="1422"/>
    </row>
    <row r="601" spans="1:46">
      <c r="A601" s="1090"/>
      <c r="B601" s="1422"/>
      <c r="D601" s="4295"/>
      <c r="E601" s="4295"/>
      <c r="F601" s="4295"/>
      <c r="G601" s="4295"/>
      <c r="H601" s="4295"/>
      <c r="I601" s="4295"/>
      <c r="J601" s="4295"/>
      <c r="K601" s="4295"/>
      <c r="L601" s="4295"/>
      <c r="M601" s="4295"/>
      <c r="N601" s="4295"/>
      <c r="O601" s="4295"/>
      <c r="P601" s="4295"/>
      <c r="Q601" s="4295"/>
      <c r="R601" s="4295"/>
      <c r="S601" s="4295"/>
      <c r="T601" s="4295"/>
      <c r="U601" s="4295"/>
      <c r="V601" s="4295"/>
      <c r="W601" s="4295"/>
      <c r="Y601" s="2399"/>
      <c r="Z601" s="2398"/>
      <c r="AA601" s="2398"/>
      <c r="AB601" s="2398"/>
      <c r="AD601" s="1422"/>
      <c r="AE601" s="1422"/>
      <c r="AF601" s="1423"/>
      <c r="AG601" s="1423"/>
      <c r="AH601" s="1422"/>
      <c r="AI601" s="1422"/>
      <c r="AJ601" s="1422"/>
      <c r="AK601" s="1422"/>
      <c r="AL601" s="1422"/>
      <c r="AM601" s="1422"/>
      <c r="AN601" s="1422"/>
      <c r="AO601" s="1422"/>
      <c r="AP601" s="1422"/>
      <c r="AQ601" s="1422"/>
      <c r="AR601" s="1422"/>
      <c r="AS601" s="1422"/>
      <c r="AT601" s="1422"/>
    </row>
    <row r="602" spans="1:46">
      <c r="A602" s="1090"/>
      <c r="B602" s="1422"/>
      <c r="D602" s="4295" t="s">
        <v>2652</v>
      </c>
      <c r="E602" s="4295"/>
      <c r="F602" s="4295"/>
      <c r="G602" s="4295"/>
      <c r="H602" s="4295"/>
      <c r="I602" s="4295"/>
      <c r="J602" s="4295"/>
      <c r="K602" s="4295"/>
      <c r="L602" s="4295"/>
      <c r="M602" s="4295"/>
      <c r="N602" s="4295"/>
      <c r="O602" s="4295"/>
      <c r="P602" s="4295"/>
      <c r="Q602" s="4295"/>
      <c r="R602" s="4295"/>
      <c r="S602" s="4295"/>
      <c r="T602" s="4295"/>
      <c r="U602" s="4295"/>
      <c r="V602" s="4295"/>
      <c r="W602" s="4295"/>
      <c r="Y602" s="2399"/>
      <c r="Z602" s="2398"/>
      <c r="AA602" s="2398"/>
      <c r="AB602" s="2398"/>
      <c r="AD602" s="1422"/>
      <c r="AE602" s="1422"/>
      <c r="AF602" s="1423"/>
      <c r="AG602" s="1423"/>
      <c r="AH602" s="1422"/>
      <c r="AI602" s="1422"/>
      <c r="AJ602" s="1422"/>
      <c r="AK602" s="1422"/>
      <c r="AL602" s="1422"/>
      <c r="AM602" s="1422"/>
      <c r="AN602" s="1422"/>
      <c r="AO602" s="1422"/>
      <c r="AP602" s="1422"/>
      <c r="AQ602" s="1422"/>
      <c r="AR602" s="1422"/>
      <c r="AS602" s="1422"/>
      <c r="AT602" s="1422"/>
    </row>
    <row r="603" spans="1:46">
      <c r="A603" s="1422"/>
      <c r="B603" s="1422"/>
      <c r="D603" s="4307"/>
      <c r="E603" s="4307"/>
      <c r="F603" s="4307"/>
      <c r="G603" s="4307"/>
      <c r="H603" s="4307"/>
      <c r="I603" s="4307"/>
      <c r="J603" s="4307"/>
      <c r="K603" s="4307"/>
      <c r="L603" s="4307"/>
      <c r="M603" s="4307"/>
      <c r="N603" s="4307"/>
      <c r="O603" s="4307"/>
      <c r="P603" s="4307"/>
      <c r="Q603" s="4307"/>
      <c r="R603" s="4307"/>
      <c r="S603" s="4307"/>
      <c r="T603" s="4307"/>
      <c r="U603" s="4307"/>
      <c r="V603" s="4307"/>
      <c r="W603" s="4307"/>
      <c r="Y603" s="2399"/>
      <c r="Z603" s="2398"/>
      <c r="AA603" s="2398"/>
      <c r="AB603" s="2398"/>
      <c r="AD603" s="1422"/>
      <c r="AE603" s="1422"/>
      <c r="AF603" s="1422"/>
      <c r="AG603" s="1422"/>
      <c r="AH603" s="1422"/>
      <c r="AI603" s="1422"/>
      <c r="AJ603" s="1422"/>
      <c r="AK603" s="1422"/>
      <c r="AL603" s="1422"/>
      <c r="AM603" s="1422"/>
      <c r="AN603" s="1422"/>
      <c r="AO603" s="1422"/>
      <c r="AP603" s="1422"/>
      <c r="AQ603" s="1422"/>
      <c r="AR603" s="1422"/>
      <c r="AS603" s="1422"/>
      <c r="AT603" s="1422"/>
    </row>
    <row r="604" spans="1:46">
      <c r="A604" s="1422"/>
      <c r="B604" s="1422"/>
      <c r="D604" s="1598"/>
      <c r="E604" s="1598"/>
      <c r="F604" s="1598"/>
      <c r="G604" s="1598"/>
      <c r="H604" s="1598"/>
      <c r="I604" s="1598"/>
      <c r="J604" s="1598"/>
      <c r="K604" s="1598"/>
      <c r="L604" s="1598"/>
      <c r="M604" s="1598"/>
      <c r="N604" s="1598"/>
      <c r="O604" s="1598"/>
      <c r="P604" s="1598"/>
      <c r="Q604" s="1598"/>
      <c r="R604" s="1598"/>
      <c r="S604" s="1598"/>
      <c r="T604" s="1598"/>
      <c r="U604" s="1598"/>
      <c r="V604" s="1598"/>
      <c r="W604" s="1598"/>
      <c r="Y604" s="1614"/>
      <c r="Z604" s="1422"/>
      <c r="AA604" s="1422"/>
      <c r="AB604" s="1422"/>
      <c r="AD604" s="1422"/>
      <c r="AE604" s="1422"/>
      <c r="AF604" s="1422"/>
      <c r="AG604" s="1422"/>
      <c r="AH604" s="1422"/>
      <c r="AI604" s="1422"/>
      <c r="AJ604" s="1422"/>
      <c r="AK604" s="1422"/>
      <c r="AL604" s="1422"/>
      <c r="AM604" s="1422"/>
      <c r="AN604" s="1422"/>
      <c r="AO604" s="1422"/>
      <c r="AP604" s="1422"/>
      <c r="AQ604" s="1422"/>
      <c r="AR604" s="1422"/>
      <c r="AS604" s="1422"/>
      <c r="AT604" s="1422"/>
    </row>
    <row r="605" spans="1:46">
      <c r="A605" s="1422"/>
      <c r="B605" s="2021" t="s">
        <v>97</v>
      </c>
      <c r="D605" s="3640" t="s">
        <v>2648</v>
      </c>
      <c r="E605" s="3640"/>
      <c r="F605" s="3640"/>
      <c r="G605" s="3640"/>
      <c r="H605" s="3640"/>
      <c r="I605" s="3640"/>
      <c r="J605" s="3640"/>
      <c r="K605" s="3640"/>
      <c r="L605" s="3640"/>
      <c r="M605" s="3640"/>
      <c r="N605" s="3640"/>
      <c r="O605" s="3752"/>
      <c r="P605" s="3752"/>
      <c r="Q605" s="3771"/>
      <c r="R605" s="3752"/>
      <c r="S605" s="3640"/>
      <c r="T605" s="3640"/>
      <c r="U605" s="3640"/>
      <c r="V605" s="3640"/>
      <c r="W605" s="3640"/>
      <c r="Y605" s="1614" t="s">
        <v>1297</v>
      </c>
      <c r="Z605" s="1422"/>
      <c r="AA605" s="1422"/>
      <c r="AB605" s="1422"/>
      <c r="AD605" s="1422"/>
      <c r="AE605" s="1422"/>
      <c r="AF605" s="1422"/>
      <c r="AG605" s="1422"/>
      <c r="AH605" s="1422"/>
      <c r="AI605" s="1422"/>
      <c r="AJ605" s="1422"/>
      <c r="AK605" s="1422"/>
      <c r="AL605" s="1422"/>
      <c r="AM605" s="1422"/>
      <c r="AN605" s="1422"/>
      <c r="AO605" s="1422"/>
      <c r="AP605" s="1422"/>
      <c r="AQ605" s="1422"/>
      <c r="AR605" s="1422"/>
      <c r="AS605" s="1422"/>
      <c r="AT605" s="1422"/>
    </row>
    <row r="606" spans="1:46">
      <c r="A606" s="1422"/>
      <c r="B606" s="1422"/>
      <c r="D606" s="4460" t="s">
        <v>2653</v>
      </c>
      <c r="E606" s="4460"/>
      <c r="F606" s="4460"/>
      <c r="G606" s="4460"/>
      <c r="H606" s="4460"/>
      <c r="I606" s="4460"/>
      <c r="J606" s="4460"/>
      <c r="K606" s="4460"/>
      <c r="L606" s="4460"/>
      <c r="M606" s="4460"/>
      <c r="N606" s="4460"/>
      <c r="O606" s="4460"/>
      <c r="P606" s="4460"/>
      <c r="Q606" s="4460"/>
      <c r="R606" s="4460"/>
      <c r="S606" s="4460"/>
      <c r="T606" s="4460"/>
      <c r="U606" s="4460"/>
      <c r="V606" s="4460"/>
      <c r="W606" s="4460"/>
      <c r="Y606" s="3505">
        <f>CALCULATIONS!NZ9</f>
        <v>5.0035394649622855</v>
      </c>
      <c r="Z606" s="1422"/>
      <c r="AA606" s="1422"/>
      <c r="AB606" s="1422"/>
      <c r="AD606" s="1422"/>
      <c r="AE606" s="1422"/>
      <c r="AF606" s="1422"/>
      <c r="AG606" s="1422"/>
      <c r="AH606" s="1422"/>
      <c r="AI606" s="1422"/>
      <c r="AJ606" s="1422"/>
      <c r="AK606" s="1422"/>
      <c r="AL606" s="1422"/>
      <c r="AM606" s="1422"/>
      <c r="AN606" s="1422"/>
      <c r="AO606" s="1422"/>
      <c r="AP606" s="1422"/>
      <c r="AQ606" s="1422"/>
      <c r="AR606" s="1422"/>
      <c r="AS606" s="1422"/>
      <c r="AT606" s="1422"/>
    </row>
    <row r="607" spans="1:46">
      <c r="A607" s="1422"/>
      <c r="B607" s="1422"/>
      <c r="D607" s="4292"/>
      <c r="E607" s="4292"/>
      <c r="F607" s="4292"/>
      <c r="G607" s="4292"/>
      <c r="H607" s="4292"/>
      <c r="I607" s="4292"/>
      <c r="J607" s="4292"/>
      <c r="K607" s="4292"/>
      <c r="L607" s="4292"/>
      <c r="M607" s="4292"/>
      <c r="N607" s="4292"/>
      <c r="O607" s="4292"/>
      <c r="P607" s="4292"/>
      <c r="Q607" s="4292"/>
      <c r="R607" s="4292"/>
      <c r="S607" s="4292"/>
      <c r="T607" s="4292"/>
      <c r="U607" s="4292"/>
      <c r="V607" s="4292"/>
      <c r="W607" s="4292"/>
      <c r="Y607" s="1614"/>
      <c r="Z607" s="1089" t="s">
        <v>1300</v>
      </c>
      <c r="AA607" s="1422"/>
      <c r="AB607" s="1422"/>
      <c r="AD607" s="1422"/>
      <c r="AE607" s="1422"/>
      <c r="AF607" s="1422"/>
      <c r="AG607" s="1422"/>
      <c r="AH607" s="1422"/>
      <c r="AI607" s="1422"/>
      <c r="AJ607" s="1422"/>
      <c r="AK607" s="1422"/>
      <c r="AL607" s="1422"/>
      <c r="AM607" s="1422"/>
      <c r="AN607" s="1422"/>
      <c r="AO607" s="1422"/>
      <c r="AP607" s="1422"/>
      <c r="AQ607" s="1422"/>
      <c r="AR607" s="1422"/>
      <c r="AS607" s="1422"/>
      <c r="AT607" s="1422"/>
    </row>
    <row r="608" spans="1:46">
      <c r="A608" s="1422"/>
      <c r="B608" s="1422"/>
      <c r="D608" s="4292"/>
      <c r="E608" s="4292"/>
      <c r="F608" s="4292"/>
      <c r="G608" s="4292"/>
      <c r="H608" s="4292"/>
      <c r="I608" s="4292"/>
      <c r="J608" s="4292"/>
      <c r="K608" s="4292"/>
      <c r="L608" s="4292"/>
      <c r="M608" s="4292"/>
      <c r="N608" s="4292"/>
      <c r="O608" s="4292"/>
      <c r="P608" s="4292"/>
      <c r="Q608" s="4292"/>
      <c r="R608" s="4292"/>
      <c r="S608" s="4292"/>
      <c r="T608" s="4292"/>
      <c r="U608" s="4292"/>
      <c r="V608" s="4292"/>
      <c r="W608" s="4292"/>
      <c r="Y608" s="1614"/>
      <c r="Z608" s="1560">
        <f>CALCULATIONS!LK9</f>
        <v>4.3704719780651446</v>
      </c>
      <c r="AA608" s="1422"/>
      <c r="AB608" s="1422"/>
      <c r="AD608" s="1422"/>
      <c r="AE608" s="1422"/>
      <c r="AF608" s="1422"/>
      <c r="AG608" s="1422"/>
      <c r="AH608" s="1422"/>
      <c r="AI608" s="1422"/>
      <c r="AJ608" s="1422"/>
      <c r="AK608" s="1422"/>
      <c r="AL608" s="1422"/>
      <c r="AM608" s="1422"/>
      <c r="AN608" s="1422"/>
      <c r="AO608" s="1422"/>
      <c r="AP608" s="1422"/>
      <c r="AQ608" s="1422"/>
      <c r="AR608" s="1422"/>
      <c r="AS608" s="1422"/>
      <c r="AT608" s="1422"/>
    </row>
    <row r="609" spans="1:46">
      <c r="A609" s="1422"/>
      <c r="B609" s="1422"/>
      <c r="D609" s="4292"/>
      <c r="E609" s="4292"/>
      <c r="F609" s="4292"/>
      <c r="G609" s="4292"/>
      <c r="H609" s="4292"/>
      <c r="I609" s="4292"/>
      <c r="J609" s="4292"/>
      <c r="K609" s="4292"/>
      <c r="L609" s="4292"/>
      <c r="M609" s="4292"/>
      <c r="N609" s="4292"/>
      <c r="O609" s="4292"/>
      <c r="P609" s="4292"/>
      <c r="Q609" s="4292"/>
      <c r="R609" s="4292"/>
      <c r="S609" s="4292"/>
      <c r="T609" s="4292"/>
      <c r="U609" s="4292"/>
      <c r="V609" s="4292"/>
      <c r="W609" s="4292"/>
      <c r="Y609" s="1614"/>
      <c r="Z609" s="1422"/>
      <c r="AA609" s="1422"/>
      <c r="AB609" s="1422"/>
      <c r="AD609" s="1422"/>
      <c r="AE609" s="1422"/>
      <c r="AF609" s="1422"/>
      <c r="AG609" s="1422"/>
      <c r="AH609" s="1422"/>
      <c r="AI609" s="1422"/>
      <c r="AJ609" s="1422"/>
      <c r="AK609" s="1422"/>
      <c r="AL609" s="1422"/>
      <c r="AM609" s="1422"/>
      <c r="AN609" s="1422"/>
      <c r="AO609" s="1422"/>
      <c r="AP609" s="1422"/>
      <c r="AQ609" s="1422"/>
      <c r="AR609" s="1422"/>
      <c r="AS609" s="1422"/>
      <c r="AT609" s="1422"/>
    </row>
    <row r="610" spans="1:46">
      <c r="A610" s="1422"/>
      <c r="B610" s="1422"/>
      <c r="D610" s="4292" t="s">
        <v>1251</v>
      </c>
      <c r="E610" s="4292"/>
      <c r="F610" s="4292"/>
      <c r="G610" s="4292"/>
      <c r="H610" s="4292"/>
      <c r="I610" s="4292"/>
      <c r="J610" s="4292"/>
      <c r="K610" s="4292"/>
      <c r="L610" s="4292"/>
      <c r="M610" s="4292"/>
      <c r="N610" s="4292"/>
      <c r="O610" s="4292"/>
      <c r="P610" s="4292"/>
      <c r="Q610" s="4292"/>
      <c r="R610" s="4292"/>
      <c r="S610" s="4292"/>
      <c r="T610" s="4292"/>
      <c r="U610" s="4292"/>
      <c r="V610" s="4292"/>
      <c r="W610" s="4292"/>
      <c r="Y610" s="3488"/>
      <c r="Z610" s="2398"/>
      <c r="AA610" s="2398"/>
      <c r="AB610" s="2398"/>
      <c r="AD610" s="1422"/>
      <c r="AE610" s="1422"/>
      <c r="AF610" s="1422"/>
      <c r="AG610" s="1422"/>
      <c r="AH610" s="1422"/>
      <c r="AI610" s="1422"/>
      <c r="AJ610" s="1422"/>
      <c r="AK610" s="1422"/>
      <c r="AL610" s="1422"/>
      <c r="AM610" s="1422"/>
      <c r="AN610" s="1422"/>
      <c r="AO610" s="1422"/>
      <c r="AP610" s="1422"/>
      <c r="AQ610" s="1422"/>
      <c r="AR610" s="1422"/>
      <c r="AS610" s="1422"/>
      <c r="AT610" s="1422"/>
    </row>
    <row r="611" spans="1:46">
      <c r="A611" s="1422"/>
      <c r="B611" s="1422"/>
      <c r="D611" s="4292"/>
      <c r="E611" s="4292"/>
      <c r="F611" s="4292"/>
      <c r="G611" s="4292"/>
      <c r="H611" s="4292"/>
      <c r="I611" s="4292"/>
      <c r="J611" s="4292"/>
      <c r="K611" s="4292"/>
      <c r="L611" s="4292"/>
      <c r="M611" s="4292"/>
      <c r="N611" s="4292"/>
      <c r="O611" s="4292"/>
      <c r="P611" s="4292"/>
      <c r="Q611" s="4292"/>
      <c r="R611" s="4292"/>
      <c r="S611" s="4292"/>
      <c r="T611" s="4292"/>
      <c r="U611" s="4292"/>
      <c r="V611" s="4292"/>
      <c r="W611" s="4292"/>
      <c r="Y611" s="3488"/>
      <c r="Z611" s="2398"/>
      <c r="AA611" s="2398"/>
      <c r="AB611" s="2398"/>
      <c r="AD611" s="1422"/>
      <c r="AE611" s="1422"/>
      <c r="AF611" s="1422"/>
      <c r="AG611" s="1422"/>
      <c r="AH611" s="1422"/>
      <c r="AI611" s="1422"/>
      <c r="AJ611" s="1422"/>
      <c r="AK611" s="1422"/>
      <c r="AL611" s="1422"/>
      <c r="AM611" s="1422"/>
      <c r="AN611" s="1422"/>
      <c r="AO611" s="1422"/>
      <c r="AP611" s="1422"/>
      <c r="AQ611" s="1422"/>
      <c r="AR611" s="1422"/>
      <c r="AS611" s="1422"/>
      <c r="AT611" s="1422"/>
    </row>
    <row r="612" spans="1:46">
      <c r="A612" s="1422"/>
      <c r="B612" s="1422"/>
      <c r="D612" s="4292" t="s">
        <v>2654</v>
      </c>
      <c r="E612" s="4292"/>
      <c r="F612" s="4292"/>
      <c r="G612" s="4292"/>
      <c r="H612" s="4292"/>
      <c r="I612" s="4292"/>
      <c r="J612" s="4292"/>
      <c r="K612" s="4292"/>
      <c r="L612" s="4292"/>
      <c r="M612" s="4292"/>
      <c r="N612" s="4292"/>
      <c r="O612" s="4292"/>
      <c r="P612" s="4292"/>
      <c r="Q612" s="4292"/>
      <c r="R612" s="4292"/>
      <c r="S612" s="4292"/>
      <c r="T612" s="4292"/>
      <c r="U612" s="4292"/>
      <c r="V612" s="4292"/>
      <c r="W612" s="4292"/>
      <c r="Y612" s="3488"/>
      <c r="Z612" s="2398"/>
      <c r="AA612" s="2398"/>
      <c r="AB612" s="2398"/>
      <c r="AD612" s="1422"/>
      <c r="AE612" s="1422"/>
      <c r="AF612" s="1422"/>
      <c r="AG612" s="1422"/>
      <c r="AH612" s="1422"/>
      <c r="AI612" s="1422"/>
      <c r="AJ612" s="1422"/>
      <c r="AK612" s="1422"/>
      <c r="AL612" s="1422"/>
      <c r="AM612" s="1422"/>
      <c r="AN612" s="1422"/>
      <c r="AO612" s="1422"/>
      <c r="AP612" s="1422"/>
      <c r="AQ612" s="1422"/>
      <c r="AR612" s="1422"/>
      <c r="AS612" s="1422"/>
      <c r="AT612" s="1422"/>
    </row>
    <row r="613" spans="1:46">
      <c r="A613" s="1422"/>
      <c r="B613" s="1422"/>
      <c r="D613" s="4292"/>
      <c r="E613" s="4292"/>
      <c r="F613" s="4292"/>
      <c r="G613" s="4292"/>
      <c r="H613" s="4292"/>
      <c r="I613" s="4292"/>
      <c r="J613" s="4292"/>
      <c r="K613" s="4292"/>
      <c r="L613" s="4292"/>
      <c r="M613" s="4292"/>
      <c r="N613" s="4292"/>
      <c r="O613" s="4292"/>
      <c r="P613" s="4292"/>
      <c r="Q613" s="4292"/>
      <c r="R613" s="4292"/>
      <c r="S613" s="4292"/>
      <c r="T613" s="4292"/>
      <c r="U613" s="4292"/>
      <c r="V613" s="4292"/>
      <c r="W613" s="4292"/>
      <c r="Y613" s="3488"/>
      <c r="Z613" s="2398"/>
      <c r="AA613" s="2398"/>
      <c r="AB613" s="2398"/>
      <c r="AD613" s="1422"/>
      <c r="AE613" s="1422"/>
      <c r="AF613" s="1422"/>
      <c r="AG613" s="1422"/>
      <c r="AH613" s="1422"/>
      <c r="AI613" s="1422"/>
      <c r="AJ613" s="1422"/>
      <c r="AK613" s="1422"/>
      <c r="AL613" s="1422"/>
      <c r="AM613" s="1422"/>
      <c r="AN613" s="1422"/>
      <c r="AO613" s="1422"/>
      <c r="AP613" s="1422"/>
      <c r="AQ613" s="1422"/>
      <c r="AR613" s="1422"/>
      <c r="AS613" s="1422"/>
      <c r="AT613" s="1422"/>
    </row>
    <row r="614" spans="1:46">
      <c r="A614" s="1422"/>
      <c r="B614" s="1422"/>
      <c r="D614" s="4292" t="s">
        <v>2655</v>
      </c>
      <c r="E614" s="4292"/>
      <c r="F614" s="4292"/>
      <c r="G614" s="4292"/>
      <c r="H614" s="4292"/>
      <c r="I614" s="4292"/>
      <c r="J614" s="4292"/>
      <c r="K614" s="4292"/>
      <c r="L614" s="4292"/>
      <c r="M614" s="4292"/>
      <c r="N614" s="4292"/>
      <c r="O614" s="4292"/>
      <c r="P614" s="4292"/>
      <c r="Q614" s="4292"/>
      <c r="R614" s="4292"/>
      <c r="S614" s="4292"/>
      <c r="T614" s="4292"/>
      <c r="U614" s="4292"/>
      <c r="V614" s="4292"/>
      <c r="W614" s="4292"/>
      <c r="Y614" s="3488"/>
      <c r="Z614" s="2398"/>
      <c r="AA614" s="2398"/>
      <c r="AB614" s="2398"/>
      <c r="AD614" s="1422"/>
      <c r="AE614" s="1422"/>
      <c r="AF614" s="1422"/>
      <c r="AG614" s="1422"/>
      <c r="AH614" s="1422"/>
      <c r="AI614" s="1422"/>
      <c r="AJ614" s="1422"/>
      <c r="AK614" s="1422"/>
      <c r="AL614" s="1422"/>
      <c r="AM614" s="1422"/>
      <c r="AN614" s="1422"/>
      <c r="AO614" s="1422"/>
      <c r="AP614" s="1422"/>
      <c r="AQ614" s="1422"/>
      <c r="AR614" s="1422"/>
      <c r="AS614" s="1422"/>
      <c r="AT614" s="1422"/>
    </row>
    <row r="615" spans="1:46">
      <c r="A615" s="1422"/>
      <c r="B615" s="1422"/>
      <c r="D615" s="4293"/>
      <c r="E615" s="4293"/>
      <c r="F615" s="4293"/>
      <c r="G615" s="4293"/>
      <c r="H615" s="4293"/>
      <c r="I615" s="4293"/>
      <c r="J615" s="4293"/>
      <c r="K615" s="4293"/>
      <c r="L615" s="4293"/>
      <c r="M615" s="4293"/>
      <c r="N615" s="4293"/>
      <c r="O615" s="4293"/>
      <c r="P615" s="4293"/>
      <c r="Q615" s="4293"/>
      <c r="R615" s="4293"/>
      <c r="S615" s="4293"/>
      <c r="T615" s="4293"/>
      <c r="U615" s="4293"/>
      <c r="V615" s="4293"/>
      <c r="W615" s="4293"/>
      <c r="Y615" s="3488"/>
      <c r="Z615" s="2398"/>
      <c r="AA615" s="2398"/>
      <c r="AB615" s="2398"/>
      <c r="AD615" s="1422"/>
      <c r="AE615" s="1422"/>
      <c r="AF615" s="1422"/>
      <c r="AG615" s="1422"/>
      <c r="AH615" s="1422"/>
      <c r="AI615" s="1422"/>
      <c r="AJ615" s="1422"/>
      <c r="AK615" s="1422"/>
      <c r="AL615" s="1422"/>
      <c r="AM615" s="1422"/>
      <c r="AN615" s="1422"/>
      <c r="AO615" s="1422"/>
      <c r="AP615" s="1422"/>
      <c r="AQ615" s="1422"/>
      <c r="AR615" s="1422"/>
      <c r="AS615" s="1422"/>
      <c r="AT615" s="1422"/>
    </row>
    <row r="616" spans="1:46">
      <c r="A616" s="1422"/>
      <c r="B616" s="1422"/>
      <c r="D616" s="1532"/>
      <c r="E616" s="1532"/>
      <c r="F616" s="1532"/>
      <c r="G616" s="1532"/>
      <c r="H616" s="1532"/>
      <c r="I616" s="1532"/>
      <c r="J616" s="1532"/>
      <c r="K616" s="1532"/>
      <c r="L616" s="1532"/>
      <c r="M616" s="1532"/>
      <c r="N616" s="1532"/>
      <c r="O616" s="1532"/>
      <c r="P616" s="1532"/>
      <c r="Q616" s="1532"/>
      <c r="R616" s="1532"/>
      <c r="S616" s="1532"/>
      <c r="T616" s="1532"/>
      <c r="U616" s="1532"/>
      <c r="V616" s="1532"/>
      <c r="W616" s="1598"/>
      <c r="Y616" s="3488"/>
      <c r="Z616" s="2398"/>
      <c r="AA616" s="2398"/>
      <c r="AB616" s="2398"/>
      <c r="AD616" s="1422"/>
      <c r="AE616" s="1422"/>
      <c r="AF616" s="1422"/>
      <c r="AG616" s="1422"/>
      <c r="AH616" s="1422"/>
      <c r="AI616" s="1422"/>
      <c r="AJ616" s="1422"/>
      <c r="AK616" s="1422"/>
      <c r="AL616" s="1422"/>
      <c r="AM616" s="1422"/>
      <c r="AN616" s="1422"/>
      <c r="AO616" s="1422"/>
      <c r="AP616" s="1422"/>
      <c r="AQ616" s="1422"/>
      <c r="AR616" s="1422"/>
      <c r="AS616" s="1422"/>
      <c r="AT616" s="1422"/>
    </row>
    <row r="617" spans="1:46">
      <c r="A617" s="1422"/>
      <c r="B617" s="2021" t="s">
        <v>98</v>
      </c>
      <c r="D617" s="3640" t="s">
        <v>2658</v>
      </c>
      <c r="E617" s="1666"/>
      <c r="F617" s="1666"/>
      <c r="G617" s="1666"/>
      <c r="H617" s="1666"/>
      <c r="I617" s="1666"/>
      <c r="J617" s="1666"/>
      <c r="K617" s="1666"/>
      <c r="L617" s="1666"/>
      <c r="M617" s="1666"/>
      <c r="N617" s="1666"/>
      <c r="O617" s="1509"/>
      <c r="P617" s="1510"/>
      <c r="Q617" s="1511"/>
      <c r="R617" s="1509"/>
      <c r="S617" s="1666"/>
      <c r="T617" s="1666"/>
      <c r="U617" s="1666"/>
      <c r="V617" s="1666"/>
      <c r="W617" s="1666"/>
      <c r="Y617" s="1614"/>
      <c r="Z617" s="1422"/>
      <c r="AA617" s="1422"/>
      <c r="AB617" s="1422"/>
      <c r="AD617" s="1422"/>
      <c r="AE617" s="1422"/>
      <c r="AF617" s="1422"/>
      <c r="AG617" s="1422"/>
      <c r="AH617" s="1422"/>
      <c r="AI617" s="1422"/>
      <c r="AJ617" s="1422"/>
      <c r="AK617" s="1422"/>
      <c r="AL617" s="1422"/>
      <c r="AM617" s="1422"/>
      <c r="AN617" s="1422"/>
      <c r="AO617" s="1422"/>
      <c r="AP617" s="1422"/>
      <c r="AQ617" s="1422"/>
      <c r="AR617" s="1422"/>
      <c r="AS617" s="1422"/>
      <c r="AT617" s="1422"/>
    </row>
    <row r="618" spans="1:46">
      <c r="A618" s="1422"/>
      <c r="B618" s="1422"/>
      <c r="D618" s="4294" t="s">
        <v>2659</v>
      </c>
      <c r="E618" s="4294"/>
      <c r="F618" s="4294"/>
      <c r="G618" s="4294"/>
      <c r="H618" s="4294"/>
      <c r="I618" s="4294"/>
      <c r="J618" s="4294"/>
      <c r="K618" s="4294"/>
      <c r="L618" s="4294"/>
      <c r="M618" s="4294"/>
      <c r="N618" s="4294"/>
      <c r="O618" s="4294"/>
      <c r="P618" s="4294"/>
      <c r="Q618" s="4294"/>
      <c r="R618" s="4294"/>
      <c r="S618" s="4294"/>
      <c r="T618" s="4294"/>
      <c r="U618" s="4294"/>
      <c r="V618" s="4294"/>
      <c r="W618" s="4294"/>
      <c r="Y618" s="3492"/>
      <c r="Z618" s="1089" t="s">
        <v>1301</v>
      </c>
      <c r="AA618" s="1422"/>
      <c r="AB618" s="1422"/>
      <c r="AD618" s="2398"/>
      <c r="AE618" s="2398"/>
      <c r="AF618" s="2398"/>
      <c r="AG618" s="2398"/>
      <c r="AH618" s="2398"/>
      <c r="AI618" s="2398"/>
      <c r="AJ618" s="2398"/>
      <c r="AK618" s="2398"/>
      <c r="AL618" s="2398"/>
      <c r="AM618" s="2398"/>
      <c r="AN618" s="2398"/>
      <c r="AO618" s="2398"/>
      <c r="AP618" s="2398"/>
      <c r="AQ618" s="2398"/>
      <c r="AR618" s="2398"/>
      <c r="AS618" s="2398"/>
      <c r="AT618" s="2398"/>
    </row>
    <row r="619" spans="1:46">
      <c r="A619" s="1090"/>
      <c r="B619" s="1422"/>
      <c r="D619" s="4295"/>
      <c r="E619" s="4295"/>
      <c r="F619" s="4295"/>
      <c r="G619" s="4295"/>
      <c r="H619" s="4295"/>
      <c r="I619" s="4295"/>
      <c r="J619" s="4295"/>
      <c r="K619" s="4295"/>
      <c r="L619" s="4295"/>
      <c r="M619" s="4295"/>
      <c r="N619" s="4295"/>
      <c r="O619" s="4295"/>
      <c r="P619" s="4295"/>
      <c r="Q619" s="4295"/>
      <c r="R619" s="4295"/>
      <c r="S619" s="4295"/>
      <c r="T619" s="4295"/>
      <c r="U619" s="4295"/>
      <c r="V619" s="4295"/>
      <c r="W619" s="4295"/>
      <c r="Y619" s="3492"/>
      <c r="Z619" s="1560">
        <f>CALCULATIONS!LG9+1</f>
        <v>4.7407046780406041</v>
      </c>
      <c r="AA619" s="1422"/>
      <c r="AB619" s="1422"/>
      <c r="AD619" s="2398"/>
      <c r="AE619" s="2398"/>
      <c r="AF619" s="2399"/>
      <c r="AG619" s="2399"/>
      <c r="AH619" s="2398"/>
      <c r="AI619" s="2398"/>
      <c r="AJ619" s="2398"/>
      <c r="AK619" s="2398"/>
      <c r="AL619" s="2398"/>
      <c r="AM619" s="2398"/>
      <c r="AN619" s="2398"/>
      <c r="AO619" s="2398"/>
      <c r="AP619" s="2398"/>
      <c r="AQ619" s="2398"/>
      <c r="AR619" s="2398"/>
      <c r="AS619" s="2398"/>
      <c r="AT619" s="2398"/>
    </row>
    <row r="620" spans="1:46">
      <c r="A620" s="1090"/>
      <c r="B620" s="1422"/>
      <c r="D620" s="4295" t="s">
        <v>1299</v>
      </c>
      <c r="E620" s="4295"/>
      <c r="F620" s="4295"/>
      <c r="G620" s="4295"/>
      <c r="H620" s="4295"/>
      <c r="I620" s="4295"/>
      <c r="J620" s="4295"/>
      <c r="K620" s="4295"/>
      <c r="L620" s="4295"/>
      <c r="M620" s="4295"/>
      <c r="N620" s="4295"/>
      <c r="O620" s="4295"/>
      <c r="P620" s="4295"/>
      <c r="Q620" s="4295"/>
      <c r="R620" s="4295"/>
      <c r="S620" s="4295"/>
      <c r="T620" s="4295"/>
      <c r="U620" s="4295"/>
      <c r="V620" s="4295"/>
      <c r="W620" s="4295"/>
      <c r="Y620" s="3492"/>
      <c r="Z620" s="1089"/>
      <c r="AA620" s="1422"/>
      <c r="AB620" s="1422"/>
      <c r="AD620" s="2398"/>
      <c r="AE620" s="2398"/>
      <c r="AF620" s="2399"/>
      <c r="AG620" s="2399"/>
      <c r="AH620" s="2398"/>
      <c r="AI620" s="2398"/>
      <c r="AJ620" s="2398"/>
      <c r="AK620" s="2398"/>
      <c r="AL620" s="2398"/>
      <c r="AM620" s="2398"/>
      <c r="AN620" s="2398"/>
      <c r="AO620" s="2398"/>
      <c r="AP620" s="2398"/>
      <c r="AQ620" s="2398"/>
      <c r="AR620" s="2398"/>
      <c r="AS620" s="2398"/>
      <c r="AT620" s="2398"/>
    </row>
    <row r="621" spans="1:46">
      <c r="A621" s="1090"/>
      <c r="B621" s="1422"/>
      <c r="D621" s="4295"/>
      <c r="E621" s="4295"/>
      <c r="F621" s="4295"/>
      <c r="G621" s="4295"/>
      <c r="H621" s="4295"/>
      <c r="I621" s="4295"/>
      <c r="J621" s="4295"/>
      <c r="K621" s="4295"/>
      <c r="L621" s="4295"/>
      <c r="M621" s="4295"/>
      <c r="N621" s="4295"/>
      <c r="O621" s="4295"/>
      <c r="P621" s="4295"/>
      <c r="Q621" s="4295"/>
      <c r="R621" s="4295"/>
      <c r="S621" s="4295"/>
      <c r="T621" s="4295"/>
      <c r="U621" s="4295"/>
      <c r="V621" s="4295"/>
      <c r="W621" s="4295"/>
      <c r="Y621" s="3764"/>
      <c r="Z621" s="2777"/>
      <c r="AA621" s="2398"/>
      <c r="AB621" s="2398"/>
      <c r="AD621" s="2398"/>
      <c r="AE621" s="2398"/>
      <c r="AF621" s="2399"/>
      <c r="AG621" s="2399"/>
      <c r="AH621" s="2398"/>
      <c r="AI621" s="2398"/>
      <c r="AJ621" s="2398"/>
      <c r="AK621" s="2398"/>
      <c r="AL621" s="2398"/>
      <c r="AM621" s="2398"/>
      <c r="AN621" s="2398"/>
      <c r="AO621" s="2398"/>
      <c r="AP621" s="2398"/>
      <c r="AQ621" s="2398"/>
      <c r="AR621" s="2398"/>
      <c r="AS621" s="2398"/>
      <c r="AT621" s="2398"/>
    </row>
    <row r="622" spans="1:46">
      <c r="A622" s="1090"/>
      <c r="B622" s="1422"/>
      <c r="D622" s="4295"/>
      <c r="E622" s="4295"/>
      <c r="F622" s="4295"/>
      <c r="G622" s="4295"/>
      <c r="H622" s="4295"/>
      <c r="I622" s="4295"/>
      <c r="J622" s="4295"/>
      <c r="K622" s="4295"/>
      <c r="L622" s="4295"/>
      <c r="M622" s="4295"/>
      <c r="N622" s="4295"/>
      <c r="O622" s="4295"/>
      <c r="P622" s="4295"/>
      <c r="Q622" s="4295"/>
      <c r="R622" s="4295"/>
      <c r="S622" s="4295"/>
      <c r="T622" s="4295"/>
      <c r="U622" s="4295"/>
      <c r="V622" s="4295"/>
      <c r="W622" s="4295"/>
      <c r="Y622" s="3492"/>
      <c r="Z622" s="1089"/>
      <c r="AA622" s="1422"/>
      <c r="AB622" s="1422"/>
      <c r="AD622" s="2398"/>
      <c r="AE622" s="2398"/>
      <c r="AF622" s="2399"/>
      <c r="AG622" s="2399"/>
      <c r="AH622" s="2398"/>
      <c r="AI622" s="2398"/>
      <c r="AJ622" s="2398"/>
      <c r="AK622" s="2398"/>
      <c r="AL622" s="2398"/>
      <c r="AM622" s="2398"/>
      <c r="AN622" s="2398"/>
      <c r="AO622" s="2398"/>
      <c r="AP622" s="2398"/>
      <c r="AQ622" s="2398"/>
      <c r="AR622" s="2398"/>
      <c r="AS622" s="2398"/>
      <c r="AT622" s="2398"/>
    </row>
    <row r="623" spans="1:46">
      <c r="A623" s="1090"/>
      <c r="B623" s="1422"/>
      <c r="D623" s="3815" t="s">
        <v>1276</v>
      </c>
      <c r="E623" s="3815"/>
      <c r="F623" s="3815"/>
      <c r="G623" s="3815"/>
      <c r="H623" s="3815"/>
      <c r="I623" s="3815"/>
      <c r="J623" s="3815"/>
      <c r="K623" s="3815"/>
      <c r="L623" s="3815"/>
      <c r="M623" s="3815"/>
      <c r="N623" s="3815"/>
      <c r="O623" s="3818"/>
      <c r="P623" s="3818"/>
      <c r="Q623" s="3819"/>
      <c r="R623" s="3818"/>
      <c r="S623" s="3815"/>
      <c r="T623" s="3815"/>
      <c r="U623" s="3815"/>
      <c r="V623" s="3815"/>
      <c r="W623" s="3816"/>
      <c r="Y623" s="3492" t="s">
        <v>2668</v>
      </c>
      <c r="Z623" s="1089"/>
      <c r="AA623" s="1422"/>
      <c r="AB623" s="1422"/>
      <c r="AD623" s="2398"/>
      <c r="AE623" s="2398"/>
      <c r="AF623" s="2399"/>
      <c r="AG623" s="2399"/>
      <c r="AH623" s="2398"/>
      <c r="AI623" s="2398"/>
      <c r="AJ623" s="2398"/>
      <c r="AK623" s="2398"/>
      <c r="AL623" s="2398"/>
      <c r="AM623" s="2398"/>
      <c r="AN623" s="2398"/>
      <c r="AO623" s="2398"/>
      <c r="AP623" s="2398"/>
      <c r="AQ623" s="2398"/>
      <c r="AR623" s="2398"/>
      <c r="AS623" s="2398"/>
      <c r="AT623" s="2398"/>
    </row>
    <row r="624" spans="1:46">
      <c r="A624" s="1090"/>
      <c r="B624" s="1422"/>
      <c r="D624" s="4295" t="s">
        <v>2656</v>
      </c>
      <c r="E624" s="4295"/>
      <c r="F624" s="4295"/>
      <c r="G624" s="4295"/>
      <c r="H624" s="4295"/>
      <c r="I624" s="4295"/>
      <c r="J624" s="4295"/>
      <c r="K624" s="4295"/>
      <c r="L624" s="4295"/>
      <c r="M624" s="4295"/>
      <c r="N624" s="4295"/>
      <c r="O624" s="4295"/>
      <c r="P624" s="4295"/>
      <c r="Q624" s="4295"/>
      <c r="R624" s="4295"/>
      <c r="S624" s="4295"/>
      <c r="T624" s="4295"/>
      <c r="U624" s="4295"/>
      <c r="V624" s="4295"/>
      <c r="W624" s="4295"/>
      <c r="Y624" s="1614"/>
      <c r="Z624" s="1422"/>
      <c r="AA624" s="1422"/>
      <c r="AB624" s="1422"/>
      <c r="AD624" s="2398"/>
      <c r="AE624" s="2398"/>
      <c r="AF624" s="2399"/>
      <c r="AG624" s="2399"/>
      <c r="AH624" s="2398"/>
      <c r="AI624" s="2398"/>
      <c r="AJ624" s="2398"/>
      <c r="AK624" s="2398"/>
      <c r="AL624" s="2398"/>
      <c r="AM624" s="2398"/>
      <c r="AN624" s="2398"/>
      <c r="AO624" s="2398"/>
      <c r="AP624" s="2398"/>
      <c r="AQ624" s="2398"/>
      <c r="AR624" s="2398"/>
      <c r="AS624" s="2398"/>
      <c r="AT624" s="2398"/>
    </row>
    <row r="625" spans="1:64">
      <c r="A625" s="1090"/>
      <c r="B625" s="1422"/>
      <c r="D625" s="4295"/>
      <c r="E625" s="4295"/>
      <c r="F625" s="4295"/>
      <c r="G625" s="4295"/>
      <c r="H625" s="4295"/>
      <c r="I625" s="4295"/>
      <c r="J625" s="4295"/>
      <c r="K625" s="4295"/>
      <c r="L625" s="4295"/>
      <c r="M625" s="4295"/>
      <c r="N625" s="4295"/>
      <c r="O625" s="4295"/>
      <c r="P625" s="4295"/>
      <c r="Q625" s="4295"/>
      <c r="R625" s="4295"/>
      <c r="S625" s="4295"/>
      <c r="T625" s="4295"/>
      <c r="U625" s="4295"/>
      <c r="V625" s="4295"/>
      <c r="W625" s="4295"/>
      <c r="Y625" s="3488"/>
      <c r="Z625" s="2398"/>
      <c r="AA625" s="2398"/>
      <c r="AB625" s="2398"/>
      <c r="AD625" s="2398"/>
      <c r="AE625" s="2398"/>
      <c r="AF625" s="2399"/>
      <c r="AG625" s="2399"/>
      <c r="AH625" s="2398"/>
      <c r="AI625" s="2398"/>
      <c r="AJ625" s="2398"/>
      <c r="AK625" s="2398"/>
      <c r="AL625" s="2398"/>
      <c r="AM625" s="2398"/>
      <c r="AN625" s="2398"/>
      <c r="AO625" s="2398"/>
      <c r="AP625" s="2398"/>
      <c r="AQ625" s="2398"/>
      <c r="AR625" s="2398"/>
      <c r="AS625" s="2398"/>
      <c r="AT625" s="2398"/>
    </row>
    <row r="626" spans="1:64">
      <c r="A626" s="1090"/>
      <c r="B626" s="1422"/>
      <c r="D626" s="4295" t="s">
        <v>1298</v>
      </c>
      <c r="E626" s="4295"/>
      <c r="F626" s="4295"/>
      <c r="G626" s="4295"/>
      <c r="H626" s="4295"/>
      <c r="I626" s="4295"/>
      <c r="J626" s="4295"/>
      <c r="K626" s="4295"/>
      <c r="L626" s="4295"/>
      <c r="M626" s="4295"/>
      <c r="N626" s="4295"/>
      <c r="O626" s="4295"/>
      <c r="P626" s="4295"/>
      <c r="Q626" s="4295"/>
      <c r="R626" s="4295"/>
      <c r="S626" s="4295"/>
      <c r="T626" s="4295"/>
      <c r="U626" s="4295"/>
      <c r="V626" s="4295"/>
      <c r="W626" s="4295"/>
      <c r="Y626" s="3488"/>
      <c r="Z626" s="2398"/>
      <c r="AA626" s="2398"/>
      <c r="AB626" s="2398"/>
      <c r="AD626" s="2398"/>
      <c r="AE626" s="2398"/>
      <c r="AF626" s="2399"/>
      <c r="AG626" s="2399"/>
      <c r="AH626" s="2398"/>
      <c r="AI626" s="2398"/>
      <c r="AJ626" s="2398"/>
      <c r="AK626" s="2398"/>
      <c r="AL626" s="2398"/>
      <c r="AM626" s="2398"/>
      <c r="AN626" s="2398"/>
      <c r="AO626" s="2398"/>
      <c r="AP626" s="2398"/>
      <c r="AQ626" s="2398"/>
      <c r="AR626" s="2398"/>
      <c r="AS626" s="2398"/>
      <c r="AT626" s="2398"/>
    </row>
    <row r="627" spans="1:64">
      <c r="A627" s="1090"/>
      <c r="B627" s="1422"/>
      <c r="D627" s="4295"/>
      <c r="E627" s="4295"/>
      <c r="F627" s="4295"/>
      <c r="G627" s="4295"/>
      <c r="H627" s="4295"/>
      <c r="I627" s="4295"/>
      <c r="J627" s="4295"/>
      <c r="K627" s="4295"/>
      <c r="L627" s="4295"/>
      <c r="M627" s="4295"/>
      <c r="N627" s="4295"/>
      <c r="O627" s="4295"/>
      <c r="P627" s="4295"/>
      <c r="Q627" s="4295"/>
      <c r="R627" s="4295"/>
      <c r="S627" s="4295"/>
      <c r="T627" s="4295"/>
      <c r="U627" s="4295"/>
      <c r="V627" s="4295"/>
      <c r="W627" s="4295"/>
      <c r="Y627" s="3488"/>
      <c r="Z627" s="2398"/>
      <c r="AA627" s="2398"/>
      <c r="AB627" s="2398"/>
      <c r="AD627" s="2398"/>
      <c r="AE627" s="2398"/>
      <c r="AF627" s="2399"/>
      <c r="AG627" s="2399"/>
      <c r="AH627" s="2398"/>
      <c r="AI627" s="2398"/>
      <c r="AJ627" s="2398"/>
      <c r="AK627" s="2398"/>
      <c r="AL627" s="2398"/>
      <c r="AM627" s="2398"/>
      <c r="AN627" s="2398"/>
      <c r="AO627" s="2398"/>
      <c r="AP627" s="2398"/>
      <c r="AQ627" s="2398"/>
      <c r="AR627" s="2398"/>
      <c r="AS627" s="2398"/>
      <c r="AT627" s="2398"/>
    </row>
    <row r="628" spans="1:64">
      <c r="A628" s="1090"/>
      <c r="B628" s="1422"/>
      <c r="D628" s="4295" t="s">
        <v>1277</v>
      </c>
      <c r="E628" s="4295"/>
      <c r="F628" s="4295"/>
      <c r="G628" s="4295"/>
      <c r="H628" s="4295"/>
      <c r="I628" s="4295"/>
      <c r="J628" s="4295"/>
      <c r="K628" s="4295"/>
      <c r="L628" s="4295"/>
      <c r="M628" s="4295"/>
      <c r="N628" s="4295"/>
      <c r="O628" s="4295"/>
      <c r="P628" s="4295"/>
      <c r="Q628" s="4295"/>
      <c r="R628" s="4295"/>
      <c r="S628" s="4295"/>
      <c r="T628" s="4295"/>
      <c r="U628" s="4295"/>
      <c r="V628" s="4295"/>
      <c r="W628" s="4295"/>
      <c r="Y628" s="3488"/>
      <c r="Z628" s="2398"/>
      <c r="AA628" s="2398"/>
      <c r="AB628" s="2398"/>
      <c r="AD628" s="2398"/>
      <c r="AE628" s="2398"/>
      <c r="AF628" s="2399"/>
      <c r="AG628" s="2399"/>
      <c r="AH628" s="2398"/>
      <c r="AI628" s="2398"/>
      <c r="AJ628" s="2398"/>
      <c r="AK628" s="2398"/>
      <c r="AL628" s="2398"/>
      <c r="AM628" s="2398"/>
      <c r="AN628" s="2398"/>
      <c r="AO628" s="2398"/>
      <c r="AP628" s="2398"/>
      <c r="AQ628" s="2398"/>
      <c r="AR628" s="2398"/>
      <c r="AS628" s="2398"/>
      <c r="AT628" s="2398"/>
    </row>
    <row r="629" spans="1:64">
      <c r="A629" s="1090"/>
      <c r="B629" s="1422"/>
      <c r="D629" s="4307"/>
      <c r="E629" s="4307"/>
      <c r="F629" s="4307"/>
      <c r="G629" s="4307"/>
      <c r="H629" s="4307"/>
      <c r="I629" s="4307"/>
      <c r="J629" s="4307"/>
      <c r="K629" s="4307"/>
      <c r="L629" s="4307"/>
      <c r="M629" s="4307"/>
      <c r="N629" s="4307"/>
      <c r="O629" s="4307"/>
      <c r="P629" s="4307"/>
      <c r="Q629" s="4307"/>
      <c r="R629" s="4307"/>
      <c r="S629" s="4307"/>
      <c r="T629" s="4307"/>
      <c r="U629" s="4307"/>
      <c r="V629" s="4307"/>
      <c r="W629" s="4307"/>
      <c r="Y629" s="3488"/>
      <c r="Z629" s="2398"/>
      <c r="AA629" s="2398"/>
      <c r="AB629" s="2398"/>
      <c r="AD629" s="2398"/>
      <c r="AE629" s="2398"/>
      <c r="AF629" s="2399"/>
      <c r="AG629" s="2399"/>
      <c r="AH629" s="2398"/>
      <c r="AI629" s="2398"/>
      <c r="AJ629" s="2398"/>
      <c r="AK629" s="2398"/>
      <c r="AL629" s="2398"/>
      <c r="AM629" s="2398"/>
      <c r="AN629" s="2398"/>
      <c r="AO629" s="2398"/>
      <c r="AP629" s="2398"/>
      <c r="AQ629" s="2398"/>
      <c r="AR629" s="2398"/>
      <c r="AS629" s="2398"/>
      <c r="AT629" s="2398"/>
    </row>
    <row r="630" spans="1:64">
      <c r="A630" s="1090"/>
      <c r="B630" s="1422"/>
      <c r="D630" s="3820" t="s">
        <v>2657</v>
      </c>
      <c r="E630" s="3816"/>
      <c r="F630" s="3717"/>
      <c r="G630" s="3717"/>
      <c r="H630" s="3717"/>
      <c r="I630" s="3717"/>
      <c r="J630" s="3717"/>
      <c r="K630" s="3717"/>
      <c r="L630" s="3717"/>
      <c r="M630" s="3717"/>
      <c r="N630" s="3717"/>
      <c r="O630" s="3618"/>
      <c r="P630" s="3618"/>
      <c r="Q630" s="3821"/>
      <c r="R630" s="3618"/>
      <c r="S630" s="3717"/>
      <c r="T630" s="3717"/>
      <c r="U630" s="3717"/>
      <c r="V630" s="3717"/>
      <c r="W630" s="3717"/>
      <c r="Y630" s="3488"/>
      <c r="Z630" s="2398"/>
      <c r="AA630" s="2398"/>
      <c r="AB630" s="2398"/>
      <c r="AD630" s="2398"/>
      <c r="AE630" s="2398"/>
      <c r="AF630" s="2399"/>
      <c r="AG630" s="2399"/>
      <c r="AH630" s="2398"/>
      <c r="AI630" s="2398"/>
      <c r="AJ630" s="2398"/>
      <c r="AK630" s="2398"/>
      <c r="AL630" s="2398"/>
      <c r="AM630" s="2398"/>
      <c r="AN630" s="2398"/>
      <c r="AO630" s="2398"/>
      <c r="AP630" s="2398"/>
      <c r="AQ630" s="2398"/>
      <c r="AR630" s="2398"/>
      <c r="AS630" s="2398"/>
      <c r="AT630" s="2398"/>
    </row>
    <row r="631" spans="1:64" s="2353" customFormat="1">
      <c r="A631" s="1533"/>
      <c r="B631" s="1534"/>
      <c r="C631" s="2358"/>
      <c r="D631" s="3822" t="s">
        <v>1274</v>
      </c>
      <c r="E631" s="3823"/>
      <c r="F631" s="3823"/>
      <c r="G631" s="3823"/>
      <c r="H631" s="3823"/>
      <c r="I631" s="3823"/>
      <c r="J631" s="3823"/>
      <c r="K631" s="3823"/>
      <c r="L631" s="3823"/>
      <c r="M631" s="3823"/>
      <c r="N631" s="3823"/>
      <c r="O631" s="3823"/>
      <c r="P631" s="3823"/>
      <c r="Q631" s="3823"/>
      <c r="R631" s="3823"/>
      <c r="S631" s="3824"/>
      <c r="T631" s="3824"/>
      <c r="U631" s="3824"/>
      <c r="V631" s="3824"/>
      <c r="W631" s="3824"/>
      <c r="X631" s="2358"/>
      <c r="Y631" s="3767"/>
      <c r="Z631" s="2402"/>
      <c r="AA631" s="2402"/>
      <c r="AB631" s="2402"/>
      <c r="AD631" s="2402"/>
      <c r="AE631" s="2402"/>
      <c r="AF631" s="2403"/>
      <c r="AG631" s="2403"/>
      <c r="AH631" s="2402"/>
      <c r="AI631" s="2402"/>
      <c r="AJ631" s="2402"/>
      <c r="AK631" s="2402"/>
      <c r="AL631" s="2402"/>
      <c r="AM631" s="2402"/>
      <c r="AN631" s="2402"/>
      <c r="AO631" s="2402"/>
      <c r="AP631" s="2402"/>
      <c r="AQ631" s="2402"/>
      <c r="AR631" s="2402"/>
      <c r="AS631" s="2402"/>
      <c r="AT631" s="2402"/>
      <c r="BL631" s="2358"/>
    </row>
    <row r="632" spans="1:64" s="2353" customFormat="1">
      <c r="A632" s="1533"/>
      <c r="B632" s="1534"/>
      <c r="C632" s="2358"/>
      <c r="D632" s="1535"/>
      <c r="E632" s="1559"/>
      <c r="F632" s="1577"/>
      <c r="G632" s="1577"/>
      <c r="H632" s="1577"/>
      <c r="I632" s="1577"/>
      <c r="J632" s="1577"/>
      <c r="K632" s="1577"/>
      <c r="L632" s="1577"/>
      <c r="M632" s="1577"/>
      <c r="N632" s="1577"/>
      <c r="O632" s="1577"/>
      <c r="P632" s="1577"/>
      <c r="Q632" s="1577"/>
      <c r="R632" s="1577"/>
      <c r="S632" s="1577"/>
      <c r="T632" s="1565"/>
      <c r="U632" s="1565"/>
      <c r="V632" s="1566"/>
      <c r="W632" s="1566"/>
      <c r="X632" s="2358"/>
      <c r="Y632" s="3767"/>
      <c r="Z632" s="2402"/>
      <c r="AA632" s="2402"/>
      <c r="AB632" s="2402"/>
      <c r="AD632" s="2402"/>
      <c r="AE632" s="2402"/>
      <c r="AF632" s="2403"/>
      <c r="AG632" s="2403"/>
      <c r="AH632" s="2402"/>
      <c r="AI632" s="2402"/>
      <c r="AJ632" s="2402"/>
      <c r="AK632" s="2402"/>
      <c r="AL632" s="2402"/>
      <c r="AM632" s="2402"/>
      <c r="AN632" s="2402"/>
      <c r="AO632" s="2402"/>
      <c r="AP632" s="2402"/>
      <c r="AQ632" s="2402"/>
      <c r="AR632" s="2402"/>
      <c r="AS632" s="2402"/>
      <c r="AT632" s="2402"/>
      <c r="BL632" s="2358"/>
    </row>
    <row r="633" spans="1:64">
      <c r="A633" s="1090"/>
      <c r="B633" s="2021" t="s">
        <v>99</v>
      </c>
      <c r="D633" s="3635" t="s">
        <v>2660</v>
      </c>
      <c r="E633" s="1041"/>
      <c r="F633" s="1041"/>
      <c r="G633" s="1041"/>
      <c r="H633" s="1041"/>
      <c r="I633" s="1041"/>
      <c r="J633" s="1041"/>
      <c r="K633" s="1041"/>
      <c r="L633" s="1041"/>
      <c r="M633" s="1041"/>
      <c r="N633" s="1041"/>
      <c r="O633" s="1041"/>
      <c r="P633" s="571"/>
      <c r="Q633" s="1512"/>
      <c r="R633" s="1148"/>
      <c r="S633" s="1148"/>
      <c r="T633" s="1148"/>
      <c r="U633" s="1148"/>
      <c r="V633" s="1148"/>
      <c r="W633" s="1148"/>
      <c r="Y633" s="3488"/>
      <c r="Z633" s="2398"/>
      <c r="AA633" s="2398"/>
      <c r="AB633" s="2398"/>
      <c r="AD633" s="2398"/>
      <c r="AE633" s="2398"/>
      <c r="AF633" s="2399"/>
      <c r="AG633" s="2399"/>
      <c r="AH633" s="2398"/>
      <c r="AI633" s="2398"/>
      <c r="AJ633" s="2398"/>
      <c r="AK633" s="2398"/>
      <c r="AL633" s="2398"/>
      <c r="AM633" s="2398"/>
      <c r="AN633" s="2398"/>
      <c r="AO633" s="2398"/>
      <c r="AP633" s="2398"/>
      <c r="AQ633" s="2398"/>
      <c r="AR633" s="2398"/>
      <c r="AS633" s="2398"/>
      <c r="AT633" s="2398"/>
    </row>
    <row r="634" spans="1:64">
      <c r="A634" s="1090"/>
      <c r="B634" s="1422"/>
      <c r="D634" s="79"/>
      <c r="E634" s="1422"/>
      <c r="F634" s="1422"/>
      <c r="G634" s="1422"/>
      <c r="H634" s="1422"/>
      <c r="I634" s="1422"/>
      <c r="J634" s="1422"/>
      <c r="K634" s="1422"/>
      <c r="L634" s="1422"/>
      <c r="M634" s="1422"/>
      <c r="N634" s="1422"/>
      <c r="O634" s="1422"/>
      <c r="P634" s="108"/>
      <c r="Q634" s="1506"/>
      <c r="R634" s="77"/>
      <c r="S634" s="108"/>
      <c r="T634" s="1422"/>
      <c r="U634" s="1422"/>
      <c r="V634" s="1422"/>
      <c r="W634" s="1422"/>
      <c r="Y634" s="3488"/>
      <c r="Z634" s="2398"/>
      <c r="AA634" s="2398"/>
      <c r="AB634" s="2398"/>
      <c r="AD634" s="2398"/>
      <c r="AE634" s="2398"/>
      <c r="AF634" s="2399"/>
      <c r="AG634" s="2399"/>
      <c r="AH634" s="2398"/>
      <c r="AI634" s="2398"/>
      <c r="AJ634" s="2398"/>
      <c r="AK634" s="2398"/>
      <c r="AL634" s="2398"/>
      <c r="AM634" s="2398"/>
      <c r="AN634" s="2398"/>
      <c r="AO634" s="2398"/>
      <c r="AP634" s="2398"/>
      <c r="AQ634" s="2398"/>
      <c r="AR634" s="2398"/>
      <c r="AS634" s="2398"/>
      <c r="AT634" s="2398"/>
    </row>
    <row r="635" spans="1:64">
      <c r="A635" s="1090"/>
      <c r="B635" s="4458" t="s">
        <v>1577</v>
      </c>
      <c r="D635" s="3812" t="str">
        <f>CONCATENATE("Telenet's tD*/Ebitda* was ", ROUND(CALCULATIONS!OJ9,1)," higher than its D*/Ebitda* for the period, and ",ROUND(CALCULATIONS!OD9,1)," by end 2Q13. Takingthis spread and Telenet's stated net leverage target of 3.5-4.5x, we find the range 4.0-5.0x")</f>
        <v>Telenet's tD*/Ebitda* was 0,5 higher than its D*/Ebitda* for the period, and 0,1 by end 2Q13. Takingthis spread and Telenet's stated net leverage target of 3.5-4.5x, we find the range 4.0-5.0x</v>
      </c>
      <c r="E635" s="3812"/>
      <c r="F635" s="3812"/>
      <c r="G635" s="3812"/>
      <c r="H635" s="3812"/>
      <c r="I635" s="3812"/>
      <c r="J635" s="3812"/>
      <c r="K635" s="3812"/>
      <c r="L635" s="3812"/>
      <c r="M635" s="3812"/>
      <c r="N635" s="3812"/>
      <c r="O635" s="3812"/>
      <c r="P635" s="3831"/>
      <c r="Q635" s="3831"/>
      <c r="R635" s="3832"/>
      <c r="S635" s="3825"/>
      <c r="T635" s="2908"/>
      <c r="U635" s="2908"/>
      <c r="V635" s="2908"/>
      <c r="W635" s="2908"/>
      <c r="Y635" s="3488"/>
      <c r="Z635" s="2398"/>
      <c r="AA635" s="2398"/>
      <c r="AB635" s="2398"/>
      <c r="AD635" s="2398"/>
      <c r="AE635" s="2398"/>
      <c r="AF635" s="2399"/>
      <c r="AG635" s="2399"/>
      <c r="AH635" s="2398"/>
      <c r="AI635" s="2398"/>
      <c r="AJ635" s="2398"/>
      <c r="AK635" s="2398"/>
      <c r="AL635" s="2398"/>
      <c r="AM635" s="2398"/>
      <c r="AN635" s="2398"/>
      <c r="AO635" s="2398"/>
      <c r="AP635" s="2398"/>
      <c r="AQ635" s="2398"/>
      <c r="AR635" s="2398"/>
      <c r="AS635" s="2398"/>
      <c r="AT635" s="2398"/>
    </row>
    <row r="636" spans="1:64">
      <c r="A636" s="1090"/>
      <c r="B636" s="4459"/>
      <c r="D636" s="3492" t="s">
        <v>1894</v>
      </c>
      <c r="E636" s="3492"/>
      <c r="F636" s="3492"/>
      <c r="G636" s="3492"/>
      <c r="H636" s="3492"/>
      <c r="I636" s="3492"/>
      <c r="J636" s="3492"/>
      <c r="K636" s="3492"/>
      <c r="L636" s="3492"/>
      <c r="M636" s="3492"/>
      <c r="N636" s="3492"/>
      <c r="O636" s="3492"/>
      <c r="P636" s="3489"/>
      <c r="Q636" s="3489"/>
      <c r="R636" s="3833"/>
      <c r="S636" s="1555"/>
      <c r="T636" s="1135"/>
      <c r="U636" s="1135"/>
      <c r="V636" s="1135"/>
      <c r="W636" s="1135"/>
      <c r="Y636" s="3488"/>
      <c r="Z636" s="2398"/>
      <c r="AA636" s="2398"/>
      <c r="AB636" s="2398"/>
      <c r="AD636" s="2398"/>
      <c r="AE636" s="2398"/>
      <c r="AF636" s="2399"/>
      <c r="AG636" s="2399"/>
      <c r="AH636" s="2398"/>
      <c r="AI636" s="2398"/>
      <c r="AJ636" s="2398"/>
      <c r="AK636" s="2398"/>
      <c r="AL636" s="2398"/>
      <c r="AM636" s="2398"/>
      <c r="AN636" s="2398"/>
      <c r="AO636" s="2398"/>
      <c r="AP636" s="2398"/>
      <c r="AQ636" s="2398"/>
      <c r="AR636" s="2398"/>
      <c r="AS636" s="2398"/>
      <c r="AT636" s="2398"/>
    </row>
    <row r="637" spans="1:64">
      <c r="A637" s="1090"/>
      <c r="B637" s="2173"/>
      <c r="D637" s="2742" t="s">
        <v>2662</v>
      </c>
      <c r="E637" s="3492"/>
      <c r="F637" s="3492"/>
      <c r="G637" s="3492"/>
      <c r="H637" s="3492"/>
      <c r="I637" s="3492"/>
      <c r="J637" s="3492"/>
      <c r="K637" s="3492"/>
      <c r="L637" s="3492"/>
      <c r="M637" s="3492"/>
      <c r="N637" s="3492"/>
      <c r="O637" s="3492"/>
      <c r="P637" s="3489"/>
      <c r="Q637" s="3489"/>
      <c r="R637" s="3833"/>
      <c r="S637" s="1555"/>
      <c r="T637" s="1135"/>
      <c r="U637" s="1135"/>
      <c r="V637" s="1135"/>
      <c r="W637" s="1135"/>
      <c r="Y637" s="3488"/>
      <c r="Z637" s="2398"/>
      <c r="AA637" s="2398"/>
      <c r="AB637" s="2398"/>
      <c r="AD637" s="2398"/>
      <c r="AE637" s="2398"/>
      <c r="AF637" s="2399"/>
      <c r="AG637" s="2399"/>
      <c r="AH637" s="2398"/>
      <c r="AI637" s="2398"/>
      <c r="AJ637" s="2398"/>
      <c r="AK637" s="2398"/>
      <c r="AL637" s="2398"/>
      <c r="AM637" s="2398"/>
      <c r="AN637" s="2398"/>
      <c r="AO637" s="2398"/>
      <c r="AP637" s="2398"/>
      <c r="AQ637" s="2398"/>
      <c r="AR637" s="2398"/>
      <c r="AS637" s="2398"/>
      <c r="AT637" s="2398"/>
    </row>
    <row r="638" spans="1:64" ht="13.15" customHeight="1">
      <c r="A638" s="1090"/>
      <c r="B638" s="2173"/>
      <c r="D638" s="4276" t="s">
        <v>1614</v>
      </c>
      <c r="E638" s="4276"/>
      <c r="F638" s="4276"/>
      <c r="G638" s="4276"/>
      <c r="H638" s="4276"/>
      <c r="I638" s="4276"/>
      <c r="J638" s="4276"/>
      <c r="K638" s="4276"/>
      <c r="L638" s="4276"/>
      <c r="M638" s="4276"/>
      <c r="N638" s="4276"/>
      <c r="O638" s="4276"/>
      <c r="P638" s="4276"/>
      <c r="Q638" s="4276"/>
      <c r="R638" s="4276"/>
      <c r="S638" s="1135"/>
      <c r="T638" s="3785" t="s">
        <v>38</v>
      </c>
      <c r="U638" s="3786"/>
      <c r="V638" s="3777" t="s">
        <v>1305</v>
      </c>
      <c r="W638" s="3778" t="s">
        <v>1282</v>
      </c>
      <c r="Y638" s="1614"/>
      <c r="Z638" s="1422"/>
      <c r="AA638" s="1422"/>
      <c r="AB638" s="1422"/>
      <c r="AD638" s="2398"/>
      <c r="AE638" s="2398"/>
      <c r="AF638" s="2399"/>
      <c r="AG638" s="2399"/>
      <c r="AH638" s="2398"/>
      <c r="AI638" s="2398"/>
      <c r="AJ638" s="2398"/>
      <c r="AK638" s="2398"/>
      <c r="AL638" s="2398"/>
      <c r="AM638" s="2398"/>
      <c r="AN638" s="2398"/>
      <c r="AO638" s="2398"/>
      <c r="AP638" s="2398"/>
      <c r="AQ638" s="2398"/>
      <c r="AR638" s="2398"/>
      <c r="AS638" s="2398"/>
      <c r="AT638" s="2398"/>
    </row>
    <row r="639" spans="1:64">
      <c r="A639" s="1090"/>
      <c r="B639" s="2173"/>
      <c r="D639" s="4276"/>
      <c r="E639" s="4276"/>
      <c r="F639" s="4276"/>
      <c r="G639" s="4276"/>
      <c r="H639" s="4276"/>
      <c r="I639" s="4276"/>
      <c r="J639" s="4276"/>
      <c r="K639" s="4276"/>
      <c r="L639" s="4276"/>
      <c r="M639" s="4276"/>
      <c r="N639" s="4276"/>
      <c r="O639" s="4276"/>
      <c r="P639" s="4276"/>
      <c r="Q639" s="4276"/>
      <c r="R639" s="4276"/>
      <c r="S639" s="1135"/>
      <c r="T639" s="3788" t="s">
        <v>109</v>
      </c>
      <c r="U639" s="3789"/>
      <c r="V639" s="3779" t="s">
        <v>329</v>
      </c>
      <c r="W639" s="3780" t="s">
        <v>109</v>
      </c>
      <c r="Y639" s="3550" t="s">
        <v>1302</v>
      </c>
      <c r="Z639" s="1422"/>
      <c r="AA639" s="1422"/>
      <c r="AB639" s="1422"/>
      <c r="AD639" s="2398"/>
      <c r="AE639" s="2398"/>
      <c r="AF639" s="2399"/>
      <c r="AG639" s="2399"/>
      <c r="AH639" s="2398"/>
      <c r="AI639" s="2398"/>
      <c r="AJ639" s="2398"/>
      <c r="AK639" s="2398"/>
      <c r="AL639" s="2398"/>
      <c r="AM639" s="2398"/>
      <c r="AN639" s="2398"/>
      <c r="AO639" s="2398"/>
      <c r="AP639" s="2398"/>
      <c r="AQ639" s="2398"/>
      <c r="AR639" s="2398"/>
      <c r="AS639" s="2398"/>
      <c r="AT639" s="2398"/>
    </row>
    <row r="640" spans="1:64">
      <c r="A640" s="1090"/>
      <c r="B640" s="2174"/>
      <c r="D640" s="3827"/>
      <c r="E640" s="3828"/>
      <c r="F640" s="3828"/>
      <c r="G640" s="3828"/>
      <c r="H640" s="3828"/>
      <c r="I640" s="3828"/>
      <c r="J640" s="3828"/>
      <c r="K640" s="3828"/>
      <c r="L640" s="3828"/>
      <c r="M640" s="3828"/>
      <c r="N640" s="3828"/>
      <c r="O640" s="3828"/>
      <c r="P640" s="3828"/>
      <c r="Q640" s="3828"/>
      <c r="R640" s="3828"/>
      <c r="S640" s="2897"/>
      <c r="T640" s="3829"/>
      <c r="U640" s="3829"/>
      <c r="V640" s="3830"/>
      <c r="W640" s="3830"/>
      <c r="Y640" s="3550"/>
      <c r="Z640" s="1831"/>
      <c r="AA640" s="1831"/>
      <c r="AB640" s="1831"/>
      <c r="AD640" s="2398"/>
      <c r="AE640" s="2398"/>
      <c r="AF640" s="2399"/>
      <c r="AG640" s="2399"/>
      <c r="AH640" s="2398"/>
      <c r="AI640" s="2398"/>
      <c r="AJ640" s="2398"/>
      <c r="AK640" s="2398"/>
      <c r="AL640" s="2398"/>
      <c r="AM640" s="2398"/>
      <c r="AN640" s="2398"/>
      <c r="AO640" s="2398"/>
      <c r="AP640" s="2398"/>
      <c r="AQ640" s="2398"/>
      <c r="AR640" s="2398"/>
      <c r="AS640" s="2398"/>
      <c r="AT640" s="2398"/>
    </row>
    <row r="641" spans="1:64">
      <c r="A641" s="1090"/>
      <c r="B641" s="1422"/>
      <c r="D641" s="79"/>
      <c r="E641" s="1422"/>
      <c r="F641" s="1422"/>
      <c r="G641" s="1422"/>
      <c r="H641" s="1422"/>
      <c r="I641" s="1422"/>
      <c r="J641" s="1422"/>
      <c r="K641" s="1422"/>
      <c r="L641" s="1422"/>
      <c r="M641" s="1422"/>
      <c r="N641" s="1422"/>
      <c r="O641" s="1422"/>
      <c r="P641" s="108"/>
      <c r="Q641" s="1506"/>
      <c r="R641" s="77"/>
      <c r="S641" s="108"/>
      <c r="T641" s="1422"/>
      <c r="U641" s="1422"/>
      <c r="V641" s="1422"/>
      <c r="W641" s="1422"/>
      <c r="Y641" s="3488"/>
      <c r="Z641" s="2398"/>
      <c r="AA641" s="2398"/>
      <c r="AB641" s="2398"/>
      <c r="AD641" s="2398"/>
      <c r="AE641" s="2398"/>
      <c r="AF641" s="2399"/>
      <c r="AG641" s="2399"/>
      <c r="AH641" s="2398"/>
      <c r="AI641" s="2398"/>
      <c r="AJ641" s="2398"/>
      <c r="AK641" s="2398"/>
      <c r="AL641" s="2398"/>
      <c r="AM641" s="2398"/>
      <c r="AN641" s="2398"/>
      <c r="AO641" s="2398"/>
      <c r="AP641" s="2398"/>
      <c r="AQ641" s="2398"/>
      <c r="AR641" s="2398"/>
      <c r="AS641" s="2398"/>
      <c r="AT641" s="2398"/>
    </row>
    <row r="642" spans="1:64">
      <c r="A642" s="1090"/>
      <c r="B642" s="1983"/>
      <c r="D642" s="1545" t="s">
        <v>2126</v>
      </c>
      <c r="E642" s="1545"/>
      <c r="F642" s="1545"/>
      <c r="G642" s="1545"/>
      <c r="H642" s="1545"/>
      <c r="I642" s="1545"/>
      <c r="J642" s="1545"/>
      <c r="K642" s="1545"/>
      <c r="L642" s="1545"/>
      <c r="M642" s="1545"/>
      <c r="N642" s="1545"/>
      <c r="O642" s="1545"/>
      <c r="P642" s="2753"/>
      <c r="Q642" s="2753"/>
      <c r="R642" s="1336"/>
      <c r="S642" s="2753"/>
      <c r="T642" s="1545"/>
      <c r="U642" s="1545"/>
      <c r="V642" s="1545"/>
      <c r="W642" s="1545"/>
      <c r="Y642" s="3488"/>
      <c r="Z642" s="2398"/>
      <c r="AA642" s="2398"/>
      <c r="AB642" s="2398"/>
      <c r="AD642" s="2398"/>
      <c r="AE642" s="2398"/>
      <c r="AF642" s="2399"/>
      <c r="AG642" s="2399"/>
      <c r="AH642" s="2398"/>
      <c r="AI642" s="2398"/>
      <c r="AJ642" s="2398"/>
      <c r="AK642" s="2398"/>
      <c r="AL642" s="2398"/>
      <c r="AM642" s="2398"/>
      <c r="AN642" s="2398"/>
      <c r="AO642" s="2398"/>
      <c r="AP642" s="2398"/>
      <c r="AQ642" s="2398"/>
      <c r="AR642" s="2398"/>
      <c r="AS642" s="2398"/>
      <c r="AT642" s="2398"/>
    </row>
    <row r="643" spans="1:64">
      <c r="A643" s="1090"/>
      <c r="B643" s="1983"/>
      <c r="D643" s="1548" t="s">
        <v>1576</v>
      </c>
      <c r="E643" s="1545"/>
      <c r="F643" s="1545"/>
      <c r="G643" s="1545"/>
      <c r="H643" s="1545"/>
      <c r="I643" s="1545"/>
      <c r="J643" s="1545"/>
      <c r="K643" s="1545"/>
      <c r="L643" s="1545"/>
      <c r="M643" s="1545"/>
      <c r="N643" s="1545"/>
      <c r="O643" s="1545"/>
      <c r="P643" s="2753"/>
      <c r="Q643" s="2753"/>
      <c r="R643" s="1336"/>
      <c r="S643" s="2753"/>
      <c r="T643" s="1545"/>
      <c r="U643" s="1545"/>
      <c r="V643" s="1545"/>
      <c r="W643" s="1545"/>
      <c r="Y643" s="3488"/>
      <c r="Z643" s="2398"/>
      <c r="AA643" s="2398"/>
      <c r="AB643" s="2398"/>
      <c r="AD643" s="2398"/>
      <c r="AE643" s="2398"/>
      <c r="AF643" s="2399"/>
      <c r="AG643" s="2399"/>
      <c r="AH643" s="2398"/>
      <c r="AI643" s="2398"/>
      <c r="AJ643" s="2398"/>
      <c r="AK643" s="2398"/>
      <c r="AL643" s="2398"/>
      <c r="AM643" s="2398"/>
      <c r="AN643" s="2398"/>
      <c r="AO643" s="2398"/>
      <c r="AP643" s="2398"/>
      <c r="AQ643" s="2398"/>
      <c r="AR643" s="2398"/>
      <c r="AS643" s="2398"/>
      <c r="AT643" s="2398"/>
    </row>
    <row r="644" spans="1:64" ht="13.15" customHeight="1">
      <c r="A644" s="1090"/>
      <c r="B644" s="1542"/>
      <c r="D644" s="4296" t="s">
        <v>2663</v>
      </c>
      <c r="E644" s="4296"/>
      <c r="F644" s="4296"/>
      <c r="G644" s="4296"/>
      <c r="H644" s="4296"/>
      <c r="I644" s="4296"/>
      <c r="J644" s="4296"/>
      <c r="K644" s="4296"/>
      <c r="L644" s="4296"/>
      <c r="M644" s="4296"/>
      <c r="N644" s="4296"/>
      <c r="O644" s="4296"/>
      <c r="P644" s="4296"/>
      <c r="Q644" s="4296"/>
      <c r="R644" s="4296"/>
      <c r="S644" s="4296"/>
      <c r="T644" s="4296"/>
      <c r="U644" s="4296"/>
      <c r="V644" s="4296"/>
      <c r="W644" s="4296"/>
      <c r="Y644" s="3488"/>
      <c r="Z644" s="2398"/>
      <c r="AA644" s="2398"/>
      <c r="AB644" s="2398"/>
      <c r="AD644" s="2398"/>
      <c r="AE644" s="2398"/>
      <c r="AF644" s="2399"/>
      <c r="AG644" s="2399"/>
      <c r="AH644" s="2398"/>
      <c r="AI644" s="2398"/>
      <c r="AJ644" s="2398"/>
      <c r="AK644" s="2398"/>
      <c r="AL644" s="2398"/>
      <c r="AM644" s="2398"/>
      <c r="AN644" s="2398"/>
      <c r="AO644" s="2398"/>
      <c r="AP644" s="2398"/>
      <c r="AQ644" s="2398"/>
      <c r="AR644" s="2398"/>
      <c r="AS644" s="2398"/>
      <c r="AT644" s="2398"/>
    </row>
    <row r="645" spans="1:64">
      <c r="A645" s="1090"/>
      <c r="B645" s="1422"/>
      <c r="D645" s="4296"/>
      <c r="E645" s="4296"/>
      <c r="F645" s="4296"/>
      <c r="G645" s="4296"/>
      <c r="H645" s="4296"/>
      <c r="I645" s="4296"/>
      <c r="J645" s="4296"/>
      <c r="K645" s="4296"/>
      <c r="L645" s="4296"/>
      <c r="M645" s="4296"/>
      <c r="N645" s="4296"/>
      <c r="O645" s="4296"/>
      <c r="P645" s="4296"/>
      <c r="Q645" s="4296"/>
      <c r="R645" s="4296"/>
      <c r="S645" s="4296"/>
      <c r="T645" s="4296"/>
      <c r="U645" s="4296"/>
      <c r="V645" s="4296"/>
      <c r="W645" s="4296"/>
      <c r="Y645" s="3488"/>
      <c r="Z645" s="2398"/>
      <c r="AA645" s="2398"/>
      <c r="AB645" s="2398"/>
      <c r="AD645" s="2398"/>
      <c r="AE645" s="2398"/>
      <c r="AF645" s="2399"/>
      <c r="AG645" s="2399"/>
      <c r="AH645" s="2398"/>
      <c r="AI645" s="2398"/>
      <c r="AJ645" s="2398"/>
      <c r="AK645" s="2398"/>
      <c r="AL645" s="2398"/>
      <c r="AM645" s="2398"/>
      <c r="AN645" s="2398"/>
      <c r="AO645" s="2398"/>
      <c r="AP645" s="2398"/>
      <c r="AQ645" s="2398"/>
      <c r="AR645" s="2398"/>
      <c r="AS645" s="2398"/>
      <c r="AT645" s="2398"/>
    </row>
    <row r="646" spans="1:64">
      <c r="A646" s="1090"/>
      <c r="B646" s="1983"/>
      <c r="D646" s="1986"/>
      <c r="E646" s="1986"/>
      <c r="F646" s="1986"/>
      <c r="G646" s="1986"/>
      <c r="H646" s="1986"/>
      <c r="I646" s="1986"/>
      <c r="J646" s="1986"/>
      <c r="K646" s="1986"/>
      <c r="L646" s="1986"/>
      <c r="M646" s="1986"/>
      <c r="N646" s="1986"/>
      <c r="O646" s="1986"/>
      <c r="P646" s="1986"/>
      <c r="Q646" s="1986"/>
      <c r="R646" s="1986"/>
      <c r="S646" s="1986"/>
      <c r="T646" s="1986"/>
      <c r="U646" s="1986"/>
      <c r="V646" s="1986"/>
      <c r="W646" s="1986"/>
      <c r="Y646" s="3488"/>
      <c r="Z646" s="2398"/>
      <c r="AA646" s="2398"/>
      <c r="AB646" s="2398"/>
      <c r="AD646" s="2398"/>
      <c r="AE646" s="2398"/>
      <c r="AF646" s="2399"/>
      <c r="AG646" s="2399"/>
      <c r="AH646" s="2398"/>
      <c r="AI646" s="2398"/>
      <c r="AJ646" s="2398"/>
      <c r="AK646" s="2398"/>
      <c r="AL646" s="2398"/>
      <c r="AM646" s="2398"/>
      <c r="AN646" s="2398"/>
      <c r="AO646" s="2398"/>
      <c r="AP646" s="2398"/>
      <c r="AQ646" s="2398"/>
      <c r="AR646" s="2398"/>
      <c r="AS646" s="2398"/>
      <c r="AT646" s="2398"/>
    </row>
    <row r="647" spans="1:64" s="2398" customFormat="1">
      <c r="A647" s="2766"/>
      <c r="C647" s="2399"/>
      <c r="D647" s="2767"/>
      <c r="E647" s="2768"/>
      <c r="F647" s="2768"/>
      <c r="G647" s="2768"/>
      <c r="H647" s="2768"/>
      <c r="I647" s="2768"/>
      <c r="J647" s="2768"/>
      <c r="K647" s="2768"/>
      <c r="L647" s="2768"/>
      <c r="M647" s="2768"/>
      <c r="N647" s="2768"/>
      <c r="O647" s="2768"/>
      <c r="P647" s="2768"/>
      <c r="Q647" s="2768"/>
      <c r="R647" s="2768"/>
      <c r="S647" s="2768"/>
      <c r="T647" s="2768"/>
      <c r="U647" s="2768"/>
      <c r="V647" s="2768"/>
      <c r="W647" s="2768"/>
      <c r="X647" s="2399"/>
      <c r="Y647" s="2399"/>
      <c r="AF647" s="2399"/>
      <c r="AG647" s="2399"/>
      <c r="BL647" s="2399"/>
    </row>
    <row r="648" spans="1:64">
      <c r="A648" s="1417" t="s">
        <v>1287</v>
      </c>
      <c r="B648" s="1417"/>
      <c r="D648" s="1545" t="s">
        <v>2664</v>
      </c>
      <c r="E648" s="1422"/>
      <c r="F648" s="1422"/>
      <c r="G648" s="1422"/>
      <c r="H648" s="1422"/>
      <c r="I648" s="1422"/>
      <c r="J648" s="1422"/>
      <c r="K648" s="1422"/>
      <c r="L648" s="1422"/>
      <c r="M648" s="1422"/>
      <c r="N648" s="1422"/>
      <c r="O648" s="1422"/>
      <c r="P648" s="108"/>
      <c r="Q648" s="1506"/>
      <c r="R648" s="77"/>
      <c r="S648" s="108"/>
      <c r="T648" s="1422"/>
      <c r="U648" s="1422"/>
      <c r="V648" s="1422"/>
      <c r="W648" s="1422"/>
      <c r="Y648" s="2399"/>
      <c r="Z648" s="2398"/>
      <c r="AA648" s="2398"/>
      <c r="AB648" s="2398"/>
      <c r="AD648" s="2398"/>
      <c r="AE648" s="2398"/>
      <c r="AF648" s="2399"/>
      <c r="AG648" s="2399"/>
      <c r="AH648" s="2398"/>
      <c r="AI648" s="2398"/>
      <c r="AJ648" s="2398"/>
      <c r="AK648" s="2398"/>
      <c r="AL648" s="2398"/>
      <c r="AM648" s="2398"/>
      <c r="AN648" s="2398"/>
      <c r="AO648" s="2398"/>
      <c r="AP648" s="2398"/>
      <c r="AQ648" s="2398"/>
      <c r="AR648" s="2398"/>
      <c r="AS648" s="2398"/>
      <c r="AT648" s="2398"/>
    </row>
    <row r="649" spans="1:64">
      <c r="A649" s="1121"/>
      <c r="B649" s="92"/>
      <c r="D649" s="3623" t="s">
        <v>2665</v>
      </c>
      <c r="E649" s="1667"/>
      <c r="F649" s="1667"/>
      <c r="G649" s="1667"/>
      <c r="H649" s="1667"/>
      <c r="I649" s="1667"/>
      <c r="J649" s="1667"/>
      <c r="K649" s="1667"/>
      <c r="L649" s="1667"/>
      <c r="M649" s="1667"/>
      <c r="N649" s="1667"/>
      <c r="O649" s="1667"/>
      <c r="P649" s="108"/>
      <c r="Q649" s="1506"/>
      <c r="R649" s="77"/>
      <c r="S649" s="108"/>
      <c r="T649" s="1667"/>
      <c r="U649" s="1667"/>
      <c r="V649" s="1667"/>
      <c r="W649" s="1667"/>
      <c r="Y649" s="2399"/>
      <c r="Z649" s="2398"/>
      <c r="AA649" s="2398"/>
      <c r="AB649" s="2398"/>
      <c r="AD649" s="2398"/>
      <c r="AE649" s="2398"/>
      <c r="AF649" s="2399"/>
      <c r="AG649" s="2399"/>
      <c r="AH649" s="2398"/>
      <c r="AI649" s="2398"/>
      <c r="AJ649" s="2398"/>
      <c r="AK649" s="2398"/>
      <c r="AL649" s="2398"/>
      <c r="AM649" s="2398"/>
      <c r="AN649" s="2398"/>
      <c r="AO649" s="2398"/>
      <c r="AP649" s="2398"/>
      <c r="AQ649" s="2398"/>
      <c r="AR649" s="2398"/>
      <c r="AS649" s="2398"/>
      <c r="AT649" s="2398"/>
    </row>
    <row r="650" spans="1:64">
      <c r="A650" s="1121"/>
      <c r="B650" s="92"/>
      <c r="D650" s="3623" t="s">
        <v>2666</v>
      </c>
      <c r="E650" s="1667"/>
      <c r="F650" s="1667"/>
      <c r="G650" s="1667"/>
      <c r="H650" s="1667"/>
      <c r="I650" s="1667"/>
      <c r="J650" s="1667"/>
      <c r="K650" s="1667"/>
      <c r="L650" s="1667"/>
      <c r="M650" s="1667"/>
      <c r="N650" s="1667"/>
      <c r="O650" s="1667"/>
      <c r="P650" s="108"/>
      <c r="Q650" s="1506"/>
      <c r="R650" s="77"/>
      <c r="S650" s="108"/>
      <c r="T650" s="1667"/>
      <c r="U650" s="1667"/>
      <c r="V650" s="1667"/>
      <c r="W650" s="1667"/>
      <c r="Y650" s="2399"/>
      <c r="Z650" s="2398"/>
      <c r="AA650" s="2398"/>
      <c r="AB650" s="2398"/>
      <c r="AD650" s="2398"/>
      <c r="AE650" s="2398"/>
      <c r="AF650" s="2399"/>
      <c r="AG650" s="2399"/>
      <c r="AH650" s="2398"/>
      <c r="AI650" s="2398"/>
      <c r="AJ650" s="2398"/>
      <c r="AK650" s="2398"/>
      <c r="AL650" s="2398"/>
      <c r="AM650" s="2398"/>
      <c r="AN650" s="2398"/>
      <c r="AO650" s="2398"/>
      <c r="AP650" s="2398"/>
      <c r="AQ650" s="2398"/>
      <c r="AR650" s="2398"/>
      <c r="AS650" s="2398"/>
      <c r="AT650" s="2398"/>
    </row>
    <row r="651" spans="1:64">
      <c r="A651" s="1121"/>
      <c r="B651" s="92"/>
      <c r="D651" s="3623" t="s">
        <v>2667</v>
      </c>
      <c r="E651" s="1667"/>
      <c r="F651" s="1667"/>
      <c r="G651" s="1667"/>
      <c r="H651" s="1667"/>
      <c r="I651" s="1667"/>
      <c r="J651" s="1667"/>
      <c r="K651" s="1667"/>
      <c r="L651" s="1667"/>
      <c r="M651" s="1667"/>
      <c r="N651" s="1667"/>
      <c r="O651" s="1667"/>
      <c r="P651" s="108"/>
      <c r="Q651" s="1506"/>
      <c r="R651" s="77"/>
      <c r="S651" s="108"/>
      <c r="T651" s="1667"/>
      <c r="U651" s="1667"/>
      <c r="V651" s="1667"/>
      <c r="W651" s="1667"/>
      <c r="Y651" s="2399"/>
      <c r="Z651" s="2398"/>
      <c r="AA651" s="2398"/>
      <c r="AB651" s="2398"/>
      <c r="AD651" s="2398"/>
      <c r="AE651" s="2398"/>
      <c r="AF651" s="2399"/>
      <c r="AG651" s="2399"/>
      <c r="AH651" s="2398"/>
      <c r="AI651" s="2398"/>
      <c r="AJ651" s="2398"/>
      <c r="AK651" s="2398"/>
      <c r="AL651" s="2398"/>
      <c r="AM651" s="2398"/>
      <c r="AN651" s="2398"/>
      <c r="AO651" s="2398"/>
      <c r="AP651" s="2398"/>
      <c r="AQ651" s="2398"/>
      <c r="AR651" s="2398"/>
      <c r="AS651" s="2398"/>
      <c r="AT651" s="2398"/>
    </row>
    <row r="652" spans="1:64">
      <c r="A652" s="1121"/>
      <c r="B652" s="92"/>
      <c r="D652" s="3623" t="s">
        <v>1606</v>
      </c>
      <c r="E652" s="1667"/>
      <c r="F652" s="1667"/>
      <c r="G652" s="1667"/>
      <c r="H652" s="1667"/>
      <c r="I652" s="1667"/>
      <c r="J652" s="1667"/>
      <c r="K652" s="1667"/>
      <c r="L652" s="1667"/>
      <c r="M652" s="1667"/>
      <c r="N652" s="1667"/>
      <c r="O652" s="1667"/>
      <c r="P652" s="108"/>
      <c r="Q652" s="1506"/>
      <c r="R652" s="77"/>
      <c r="S652" s="108"/>
      <c r="T652" s="1667"/>
      <c r="U652" s="1667"/>
      <c r="V652" s="1667"/>
      <c r="W652" s="1667"/>
      <c r="Y652" s="2399"/>
      <c r="Z652" s="2398"/>
      <c r="AA652" s="2398"/>
      <c r="AB652" s="2398"/>
      <c r="AD652" s="2398"/>
      <c r="AE652" s="2398"/>
      <c r="AF652" s="2399"/>
      <c r="AG652" s="2399"/>
      <c r="AH652" s="2398"/>
      <c r="AI652" s="2398"/>
      <c r="AJ652" s="2398"/>
      <c r="AK652" s="2398"/>
      <c r="AL652" s="2398"/>
      <c r="AM652" s="2398"/>
      <c r="AN652" s="2398"/>
      <c r="AO652" s="2398"/>
      <c r="AP652" s="2398"/>
      <c r="AQ652" s="2398"/>
      <c r="AR652" s="2398"/>
      <c r="AS652" s="2398"/>
      <c r="AT652" s="2398"/>
    </row>
    <row r="653" spans="1:64">
      <c r="A653" s="1121"/>
      <c r="B653" s="92"/>
      <c r="D653" s="93"/>
      <c r="E653" s="92"/>
      <c r="F653" s="92"/>
      <c r="G653" s="92"/>
      <c r="H653" s="92"/>
      <c r="I653" s="92"/>
      <c r="J653" s="92"/>
      <c r="K653" s="92"/>
      <c r="L653" s="92"/>
      <c r="M653" s="92"/>
      <c r="N653" s="92"/>
      <c r="O653" s="92"/>
      <c r="P653" s="108"/>
      <c r="Q653" s="1506"/>
      <c r="R653" s="77"/>
      <c r="S653" s="108"/>
      <c r="T653" s="92"/>
      <c r="U653" s="92"/>
      <c r="V653" s="92"/>
      <c r="W653" s="92"/>
      <c r="Y653" s="2399"/>
      <c r="Z653" s="2398"/>
      <c r="AA653" s="2398"/>
      <c r="AB653" s="2398"/>
      <c r="AD653" s="2398"/>
      <c r="AE653" s="2398"/>
      <c r="AF653" s="2399"/>
      <c r="AG653" s="2399"/>
      <c r="AH653" s="2398"/>
      <c r="AI653" s="2398"/>
      <c r="AJ653" s="2398"/>
      <c r="AK653" s="2398"/>
      <c r="AL653" s="2398"/>
      <c r="AM653" s="2398"/>
      <c r="AN653" s="2398"/>
      <c r="AO653" s="2398"/>
      <c r="AP653" s="2398"/>
      <c r="AQ653" s="2398"/>
      <c r="AR653" s="2398"/>
      <c r="AS653" s="2398"/>
      <c r="AT653" s="2398"/>
    </row>
    <row r="654" spans="1:64">
      <c r="A654" s="92"/>
      <c r="B654" s="2021" t="s">
        <v>96</v>
      </c>
      <c r="D654" s="3640" t="s">
        <v>2669</v>
      </c>
      <c r="E654" s="3640"/>
      <c r="F654" s="3640"/>
      <c r="G654" s="3640"/>
      <c r="H654" s="3640"/>
      <c r="I654" s="3640"/>
      <c r="J654" s="3640"/>
      <c r="K654" s="3640"/>
      <c r="L654" s="3640"/>
      <c r="M654" s="3640"/>
      <c r="N654" s="3640"/>
      <c r="O654" s="3640"/>
      <c r="P654" s="3752"/>
      <c r="Q654" s="3752"/>
      <c r="R654" s="3771"/>
      <c r="S654" s="3752"/>
      <c r="T654" s="3640"/>
      <c r="U654" s="3640"/>
      <c r="V654" s="3640"/>
      <c r="W654" s="3640"/>
      <c r="Y654" s="2399"/>
      <c r="Z654" s="2398"/>
      <c r="AA654" s="2398"/>
      <c r="AB654" s="2398"/>
      <c r="AD654" s="92"/>
      <c r="AE654" s="92"/>
      <c r="AF654" s="1217" t="s">
        <v>1285</v>
      </c>
      <c r="AG654" s="108"/>
      <c r="AH654" s="92"/>
      <c r="AI654" s="92"/>
      <c r="AJ654" s="92"/>
      <c r="AK654" s="92"/>
      <c r="AL654" s="92"/>
      <c r="AM654" s="92"/>
      <c r="AN654" s="92"/>
      <c r="AO654" s="92"/>
      <c r="AP654" s="92"/>
      <c r="AQ654" s="92"/>
      <c r="AR654" s="92"/>
      <c r="AS654" s="92"/>
      <c r="AT654" s="92"/>
    </row>
    <row r="655" spans="1:64">
      <c r="A655" s="1121"/>
      <c r="B655" s="1667"/>
      <c r="D655" s="3816" t="s">
        <v>2673</v>
      </c>
      <c r="E655" s="3619"/>
      <c r="F655" s="3816"/>
      <c r="G655" s="3816"/>
      <c r="H655" s="3816"/>
      <c r="I655" s="3816"/>
      <c r="J655" s="3816"/>
      <c r="K655" s="3816"/>
      <c r="L655" s="3816"/>
      <c r="M655" s="3816"/>
      <c r="N655" s="3816"/>
      <c r="O655" s="3816"/>
      <c r="P655" s="3618"/>
      <c r="Q655" s="3618"/>
      <c r="R655" s="3821"/>
      <c r="S655" s="3618"/>
      <c r="T655" s="3816"/>
      <c r="U655" s="3816"/>
      <c r="V655" s="3816"/>
      <c r="W655" s="3816"/>
      <c r="X655" s="2374"/>
      <c r="Y655" s="1614"/>
      <c r="Z655" s="1422"/>
      <c r="AA655" s="92"/>
      <c r="AB655" s="92"/>
      <c r="AD655" s="92"/>
      <c r="AE655" s="92"/>
      <c r="AF655" s="108"/>
      <c r="AG655" s="108"/>
      <c r="AH655" s="92"/>
      <c r="AI655" s="92"/>
      <c r="AJ655" s="92"/>
      <c r="AK655" s="92"/>
      <c r="AL655" s="92"/>
      <c r="AM655" s="92"/>
      <c r="AN655" s="92"/>
      <c r="AO655" s="92"/>
      <c r="AP655" s="92"/>
      <c r="AQ655" s="92"/>
      <c r="AR655" s="92"/>
      <c r="AS655" s="92"/>
      <c r="AT655" s="92"/>
    </row>
    <row r="656" spans="1:64">
      <c r="A656" s="1121"/>
      <c r="B656" s="1667"/>
      <c r="D656" s="4306" t="s">
        <v>2670</v>
      </c>
      <c r="E656" s="4306"/>
      <c r="F656" s="4306"/>
      <c r="G656" s="4306"/>
      <c r="H656" s="4306"/>
      <c r="I656" s="4306"/>
      <c r="J656" s="4306"/>
      <c r="K656" s="4306"/>
      <c r="L656" s="4306"/>
      <c r="M656" s="4306"/>
      <c r="N656" s="4306"/>
      <c r="O656" s="4306"/>
      <c r="P656" s="4306"/>
      <c r="Q656" s="4306"/>
      <c r="R656" s="4306"/>
      <c r="S656" s="4306"/>
      <c r="T656" s="4306"/>
      <c r="U656" s="4306"/>
      <c r="V656" s="4306"/>
      <c r="W656" s="4306"/>
      <c r="X656" s="2372"/>
      <c r="Y656" s="3492" t="s">
        <v>1304</v>
      </c>
      <c r="Z656" s="1089"/>
      <c r="AA656" s="1612" t="s">
        <v>37</v>
      </c>
      <c r="AB656" s="1089" t="s">
        <v>1426</v>
      </c>
      <c r="AD656" s="92"/>
      <c r="AE656" s="92"/>
      <c r="AF656" s="108"/>
      <c r="AG656" s="108"/>
      <c r="AH656" s="92"/>
      <c r="AI656" s="92"/>
      <c r="AJ656" s="92"/>
      <c r="AK656" s="92"/>
      <c r="AL656" s="92"/>
      <c r="AM656" s="92"/>
      <c r="AN656" s="92"/>
      <c r="AO656" s="92"/>
      <c r="AP656" s="92"/>
      <c r="AQ656" s="92"/>
      <c r="AR656" s="92"/>
      <c r="AS656" s="92"/>
      <c r="AT656" s="92"/>
    </row>
    <row r="657" spans="1:46">
      <c r="A657" s="1422"/>
      <c r="B657" s="1667"/>
      <c r="D657" s="4306"/>
      <c r="E657" s="4306"/>
      <c r="F657" s="4306"/>
      <c r="G657" s="4306"/>
      <c r="H657" s="4306"/>
      <c r="I657" s="4306"/>
      <c r="J657" s="4306"/>
      <c r="K657" s="4306"/>
      <c r="L657" s="4306"/>
      <c r="M657" s="4306"/>
      <c r="N657" s="4306"/>
      <c r="O657" s="4306"/>
      <c r="P657" s="4306"/>
      <c r="Q657" s="4306"/>
      <c r="R657" s="4306"/>
      <c r="S657" s="4306"/>
      <c r="T657" s="4306"/>
      <c r="U657" s="4306"/>
      <c r="V657" s="4306"/>
      <c r="W657" s="4306"/>
      <c r="X657" s="2372"/>
      <c r="Y657" s="3773" t="s">
        <v>1278</v>
      </c>
      <c r="Z657" s="1571"/>
      <c r="AA657" s="1571" t="s">
        <v>1283</v>
      </c>
      <c r="AB657" s="1571" t="s">
        <v>1282</v>
      </c>
      <c r="AD657" s="1422"/>
      <c r="AE657" s="1422"/>
      <c r="AF657" s="1423"/>
      <c r="AG657" s="1423"/>
      <c r="AH657" s="1422"/>
      <c r="AI657" s="1422"/>
      <c r="AJ657" s="1422"/>
      <c r="AK657" s="1422"/>
      <c r="AL657" s="1422"/>
      <c r="AM657" s="1422"/>
      <c r="AN657" s="1422"/>
      <c r="AO657" s="1422"/>
      <c r="AP657" s="1422"/>
      <c r="AQ657" s="1422"/>
      <c r="AR657" s="1422"/>
      <c r="AS657" s="1422"/>
      <c r="AT657" s="1422"/>
    </row>
    <row r="658" spans="1:46">
      <c r="A658" s="1090"/>
      <c r="B658" s="1667"/>
      <c r="D658" s="4295" t="s">
        <v>2671</v>
      </c>
      <c r="E658" s="4295"/>
      <c r="F658" s="4295"/>
      <c r="G658" s="4295"/>
      <c r="H658" s="4295"/>
      <c r="I658" s="4295"/>
      <c r="J658" s="4295"/>
      <c r="K658" s="4295"/>
      <c r="L658" s="4295"/>
      <c r="M658" s="4295"/>
      <c r="N658" s="4295"/>
      <c r="O658" s="4295"/>
      <c r="P658" s="4295"/>
      <c r="Q658" s="4295"/>
      <c r="R658" s="4295"/>
      <c r="S658" s="4295"/>
      <c r="T658" s="4295"/>
      <c r="U658" s="4295"/>
      <c r="V658" s="4295"/>
      <c r="W658" s="4295"/>
      <c r="X658" s="2373"/>
      <c r="Y658" s="3773" t="s">
        <v>1279</v>
      </c>
      <c r="Z658" s="1571"/>
      <c r="AA658" s="1571" t="s">
        <v>1281</v>
      </c>
      <c r="AB658" s="1571" t="s">
        <v>1281</v>
      </c>
      <c r="AD658" s="1422"/>
      <c r="AE658" s="1422"/>
      <c r="AF658" s="1423"/>
      <c r="AG658" s="1423"/>
      <c r="AH658" s="1422"/>
      <c r="AI658" s="1422"/>
      <c r="AJ658" s="1422"/>
      <c r="AK658" s="1422"/>
      <c r="AL658" s="1422"/>
      <c r="AM658" s="1422"/>
      <c r="AN658" s="1422"/>
      <c r="AO658" s="1422"/>
      <c r="AP658" s="1422"/>
      <c r="AQ658" s="1422"/>
      <c r="AR658" s="1422"/>
      <c r="AS658" s="1422"/>
      <c r="AT658" s="1422"/>
    </row>
    <row r="659" spans="1:46">
      <c r="A659" s="1090"/>
      <c r="B659" s="1667"/>
      <c r="D659" s="4295"/>
      <c r="E659" s="4295"/>
      <c r="F659" s="4295"/>
      <c r="G659" s="4295"/>
      <c r="H659" s="4295"/>
      <c r="I659" s="4295"/>
      <c r="J659" s="4295"/>
      <c r="K659" s="4295"/>
      <c r="L659" s="4295"/>
      <c r="M659" s="4295"/>
      <c r="N659" s="4295"/>
      <c r="O659" s="4295"/>
      <c r="P659" s="4295"/>
      <c r="Q659" s="4295"/>
      <c r="R659" s="4295"/>
      <c r="S659" s="4295"/>
      <c r="T659" s="4295"/>
      <c r="U659" s="4295"/>
      <c r="V659" s="4295"/>
      <c r="W659" s="4295"/>
      <c r="X659" s="2373"/>
      <c r="Y659" s="3773" t="s">
        <v>1280</v>
      </c>
      <c r="Z659" s="1571"/>
      <c r="AA659" s="1571" t="s">
        <v>1284</v>
      </c>
      <c r="AB659" s="1571" t="s">
        <v>1281</v>
      </c>
      <c r="AD659" s="1422"/>
      <c r="AE659" s="1422"/>
      <c r="AF659" s="1423"/>
      <c r="AG659" s="1423"/>
      <c r="AH659" s="1422"/>
      <c r="AI659" s="1422"/>
      <c r="AJ659" s="1422"/>
      <c r="AK659" s="1422"/>
      <c r="AL659" s="1422"/>
      <c r="AM659" s="1422"/>
      <c r="AN659" s="1422"/>
      <c r="AO659" s="1422"/>
      <c r="AP659" s="1422"/>
      <c r="AQ659" s="1422"/>
      <c r="AR659" s="1422"/>
      <c r="AS659" s="1422"/>
      <c r="AT659" s="1422"/>
    </row>
    <row r="660" spans="1:46">
      <c r="A660" s="1090"/>
      <c r="B660" s="1667"/>
      <c r="D660" s="4295"/>
      <c r="E660" s="4295"/>
      <c r="F660" s="4295"/>
      <c r="G660" s="4295"/>
      <c r="H660" s="4295"/>
      <c r="I660" s="4295"/>
      <c r="J660" s="4295"/>
      <c r="K660" s="4295"/>
      <c r="L660" s="4295"/>
      <c r="M660" s="4295"/>
      <c r="N660" s="4295"/>
      <c r="O660" s="4295"/>
      <c r="P660" s="4295"/>
      <c r="Q660" s="4295"/>
      <c r="R660" s="4295"/>
      <c r="S660" s="4295"/>
      <c r="T660" s="4295"/>
      <c r="U660" s="4295"/>
      <c r="V660" s="4295"/>
      <c r="W660" s="4295"/>
      <c r="X660" s="2373"/>
      <c r="Y660" s="1614"/>
      <c r="Z660" s="1422"/>
      <c r="AA660" s="1422"/>
      <c r="AB660" s="1422"/>
      <c r="AD660" s="1422"/>
      <c r="AE660" s="1422"/>
      <c r="AF660" s="1423"/>
      <c r="AG660" s="1423"/>
      <c r="AH660" s="1422"/>
      <c r="AI660" s="1422"/>
      <c r="AJ660" s="1422"/>
      <c r="AK660" s="1422"/>
      <c r="AL660" s="1422"/>
      <c r="AM660" s="1422"/>
      <c r="AN660" s="1422"/>
      <c r="AO660" s="1422"/>
      <c r="AP660" s="1422"/>
      <c r="AQ660" s="1422"/>
      <c r="AR660" s="1422"/>
      <c r="AS660" s="1422"/>
      <c r="AT660" s="1422"/>
    </row>
    <row r="661" spans="1:46">
      <c r="A661" s="1090"/>
      <c r="B661" s="1667"/>
      <c r="D661" s="4295" t="s">
        <v>2672</v>
      </c>
      <c r="E661" s="4295"/>
      <c r="F661" s="4295"/>
      <c r="G661" s="4295"/>
      <c r="H661" s="4295"/>
      <c r="I661" s="4295"/>
      <c r="J661" s="4295"/>
      <c r="K661" s="4295"/>
      <c r="L661" s="4295"/>
      <c r="M661" s="4295"/>
      <c r="N661" s="4295"/>
      <c r="O661" s="4295"/>
      <c r="P661" s="4295"/>
      <c r="Q661" s="4295"/>
      <c r="R661" s="4295"/>
      <c r="S661" s="4295"/>
      <c r="T661" s="4295"/>
      <c r="U661" s="4295"/>
      <c r="V661" s="4295"/>
      <c r="W661" s="4295"/>
      <c r="X661" s="2372"/>
      <c r="Y661" s="3492" t="s">
        <v>1303</v>
      </c>
      <c r="Z661" s="1422"/>
      <c r="AA661" s="1422"/>
      <c r="AB661" s="1422"/>
      <c r="AD661" s="1422"/>
      <c r="AE661" s="1422"/>
      <c r="AF661" s="1423"/>
      <c r="AG661" s="1423"/>
      <c r="AH661" s="1422"/>
      <c r="AI661" s="1422"/>
      <c r="AJ661" s="1422"/>
      <c r="AK661" s="1422"/>
      <c r="AL661" s="1422"/>
      <c r="AM661" s="1422"/>
      <c r="AN661" s="1422"/>
      <c r="AO661" s="1422"/>
      <c r="AP661" s="1422"/>
      <c r="AQ661" s="1422"/>
      <c r="AR661" s="1422"/>
      <c r="AS661" s="1422"/>
      <c r="AT661" s="1422"/>
    </row>
    <row r="662" spans="1:46">
      <c r="A662" s="1090"/>
      <c r="B662" s="1667"/>
      <c r="D662" s="4295"/>
      <c r="E662" s="4295"/>
      <c r="F662" s="4295"/>
      <c r="G662" s="4295"/>
      <c r="H662" s="4295"/>
      <c r="I662" s="4295"/>
      <c r="J662" s="4295"/>
      <c r="K662" s="4295"/>
      <c r="L662" s="4295"/>
      <c r="M662" s="4295"/>
      <c r="N662" s="4295"/>
      <c r="O662" s="4295"/>
      <c r="P662" s="4295"/>
      <c r="Q662" s="4295"/>
      <c r="R662" s="4295"/>
      <c r="S662" s="4295"/>
      <c r="T662" s="4295"/>
      <c r="U662" s="4295"/>
      <c r="V662" s="4295"/>
      <c r="W662" s="4295"/>
      <c r="X662" s="2372"/>
      <c r="Y662" s="3835">
        <f>CALCULATIONS!OA14</f>
        <v>3.332484459006789</v>
      </c>
      <c r="Z662" s="1422"/>
      <c r="AA662" s="1422"/>
      <c r="AB662" s="1422"/>
      <c r="AD662" s="1422"/>
      <c r="AE662" s="1422"/>
      <c r="AF662" s="1423"/>
      <c r="AG662" s="1423"/>
      <c r="AH662" s="1422"/>
      <c r="AI662" s="1422"/>
      <c r="AJ662" s="1422"/>
      <c r="AK662" s="1422"/>
      <c r="AL662" s="1422"/>
      <c r="AM662" s="1422"/>
      <c r="AN662" s="1422"/>
      <c r="AO662" s="1422"/>
      <c r="AP662" s="1422"/>
      <c r="AQ662" s="1422"/>
      <c r="AR662" s="1422"/>
      <c r="AS662" s="1422"/>
      <c r="AT662" s="1422"/>
    </row>
    <row r="663" spans="1:46">
      <c r="A663" s="1090"/>
      <c r="B663" s="1667"/>
      <c r="D663" s="4307"/>
      <c r="E663" s="4307"/>
      <c r="F663" s="4307"/>
      <c r="G663" s="4307"/>
      <c r="H663" s="4307"/>
      <c r="I663" s="4307"/>
      <c r="J663" s="4307"/>
      <c r="K663" s="4307"/>
      <c r="L663" s="4307"/>
      <c r="M663" s="4307"/>
      <c r="N663" s="4307"/>
      <c r="O663" s="4307"/>
      <c r="P663" s="4307"/>
      <c r="Q663" s="4307"/>
      <c r="R663" s="4307"/>
      <c r="S663" s="4307"/>
      <c r="T663" s="4307"/>
      <c r="U663" s="4307"/>
      <c r="V663" s="4307"/>
      <c r="W663" s="4307"/>
      <c r="X663" s="2372"/>
      <c r="Y663" s="1614"/>
      <c r="Z663" s="1422"/>
      <c r="AA663" s="1422"/>
      <c r="AB663" s="1422"/>
      <c r="AD663" s="1422"/>
      <c r="AE663" s="1422"/>
      <c r="AF663" s="1423"/>
      <c r="AG663" s="1423"/>
      <c r="AH663" s="1422"/>
      <c r="AI663" s="1422"/>
      <c r="AJ663" s="1422"/>
      <c r="AK663" s="1422"/>
      <c r="AL663" s="1422"/>
      <c r="AM663" s="1422"/>
      <c r="AN663" s="1422"/>
      <c r="AO663" s="1422"/>
      <c r="AP663" s="1422"/>
      <c r="AQ663" s="1422"/>
      <c r="AR663" s="1422"/>
      <c r="AS663" s="1422"/>
      <c r="AT663" s="1422"/>
    </row>
    <row r="664" spans="1:46">
      <c r="A664" s="1090"/>
      <c r="B664" s="1667"/>
      <c r="D664" s="1667"/>
      <c r="E664" s="1667"/>
      <c r="F664" s="1667"/>
      <c r="G664" s="1667"/>
      <c r="H664" s="1667"/>
      <c r="I664" s="1667"/>
      <c r="J664" s="1667"/>
      <c r="K664" s="1667"/>
      <c r="L664" s="1667"/>
      <c r="M664" s="1667"/>
      <c r="N664" s="1667"/>
      <c r="O664" s="1667"/>
      <c r="P664" s="1667"/>
      <c r="Q664" s="1667"/>
      <c r="R664" s="1667"/>
      <c r="S664" s="1667"/>
      <c r="T664" s="1667"/>
      <c r="U664" s="1667"/>
      <c r="V664" s="1667"/>
      <c r="W664" s="1667"/>
      <c r="Y664" s="2399"/>
      <c r="Z664" s="2398"/>
      <c r="AA664" s="2398"/>
      <c r="AB664" s="2398"/>
      <c r="AD664" s="1422"/>
      <c r="AE664" s="1422"/>
      <c r="AF664" s="1423"/>
      <c r="AG664" s="1423"/>
      <c r="AH664" s="1422"/>
      <c r="AI664" s="1422"/>
      <c r="AJ664" s="1422"/>
      <c r="AK664" s="1422"/>
      <c r="AL664" s="1422"/>
      <c r="AM664" s="1422"/>
      <c r="AN664" s="1422"/>
      <c r="AO664" s="1422"/>
      <c r="AP664" s="1422"/>
      <c r="AQ664" s="1422"/>
      <c r="AR664" s="1422"/>
      <c r="AS664" s="1422"/>
      <c r="AT664" s="1422"/>
    </row>
    <row r="665" spans="1:46">
      <c r="A665" s="1090"/>
      <c r="B665" s="2021" t="s">
        <v>97</v>
      </c>
      <c r="D665" s="3640" t="s">
        <v>1427</v>
      </c>
      <c r="E665" s="3640"/>
      <c r="F665" s="3640"/>
      <c r="G665" s="3640"/>
      <c r="H665" s="3640"/>
      <c r="I665" s="3640"/>
      <c r="J665" s="3640"/>
      <c r="K665" s="3640"/>
      <c r="L665" s="3640"/>
      <c r="M665" s="3640"/>
      <c r="N665" s="3640"/>
      <c r="O665" s="3640"/>
      <c r="P665" s="3752"/>
      <c r="Q665" s="3752"/>
      <c r="R665" s="3771"/>
      <c r="S665" s="3752"/>
      <c r="T665" s="3640"/>
      <c r="U665" s="3640"/>
      <c r="V665" s="3640"/>
      <c r="W665" s="3640"/>
      <c r="Y665" s="2399"/>
      <c r="Z665" s="2398"/>
      <c r="AA665" s="2398"/>
      <c r="AB665" s="2398"/>
      <c r="AD665" s="1422"/>
      <c r="AE665" s="1422"/>
      <c r="AF665" s="1423"/>
      <c r="AG665" s="1423"/>
      <c r="AH665" s="1422"/>
      <c r="AI665" s="1422"/>
      <c r="AJ665" s="1422"/>
      <c r="AK665" s="1422"/>
      <c r="AL665" s="1422"/>
      <c r="AM665" s="1422"/>
      <c r="AN665" s="1422"/>
      <c r="AO665" s="1422"/>
      <c r="AP665" s="1422"/>
      <c r="AQ665" s="1422"/>
      <c r="AR665" s="1422"/>
      <c r="AS665" s="1422"/>
      <c r="AT665" s="1422"/>
    </row>
    <row r="666" spans="1:46">
      <c r="A666" s="1090"/>
      <c r="B666" s="1422"/>
      <c r="D666" s="4290" t="s">
        <v>2674</v>
      </c>
      <c r="E666" s="4290"/>
      <c r="F666" s="4290"/>
      <c r="G666" s="4290"/>
      <c r="H666" s="4290"/>
      <c r="I666" s="4290"/>
      <c r="J666" s="4290"/>
      <c r="K666" s="4290"/>
      <c r="L666" s="4290"/>
      <c r="M666" s="4290"/>
      <c r="N666" s="4290"/>
      <c r="O666" s="4290"/>
      <c r="P666" s="4290"/>
      <c r="Q666" s="4290"/>
      <c r="R666" s="4290"/>
      <c r="S666" s="4290"/>
      <c r="T666" s="4290"/>
      <c r="U666" s="4290"/>
      <c r="V666" s="4290"/>
      <c r="W666" s="4290"/>
      <c r="Y666" s="2399"/>
      <c r="Z666" s="2398"/>
      <c r="AA666" s="2398"/>
      <c r="AB666" s="2398"/>
      <c r="AD666" s="1422"/>
      <c r="AE666" s="1422"/>
      <c r="AF666" s="1423"/>
      <c r="AG666" s="1423"/>
      <c r="AH666" s="1422"/>
      <c r="AI666" s="1422"/>
      <c r="AJ666" s="1422"/>
      <c r="AK666" s="1422"/>
      <c r="AL666" s="1422"/>
      <c r="AM666" s="1422"/>
      <c r="AN666" s="1422"/>
      <c r="AO666" s="1422"/>
      <c r="AP666" s="1422"/>
      <c r="AQ666" s="1422"/>
      <c r="AR666" s="1422"/>
      <c r="AS666" s="1422"/>
      <c r="AT666" s="1422"/>
    </row>
    <row r="667" spans="1:46">
      <c r="A667" s="1090"/>
      <c r="B667" s="1667"/>
      <c r="D667" s="4271"/>
      <c r="E667" s="4271"/>
      <c r="F667" s="4271"/>
      <c r="G667" s="4271"/>
      <c r="H667" s="4271"/>
      <c r="I667" s="4271"/>
      <c r="J667" s="4271"/>
      <c r="K667" s="4271"/>
      <c r="L667" s="4271"/>
      <c r="M667" s="4271"/>
      <c r="N667" s="4271"/>
      <c r="O667" s="4271"/>
      <c r="P667" s="4271"/>
      <c r="Q667" s="4271"/>
      <c r="R667" s="4271"/>
      <c r="S667" s="4271"/>
      <c r="T667" s="4271"/>
      <c r="U667" s="4271"/>
      <c r="V667" s="4271"/>
      <c r="W667" s="4271"/>
      <c r="Y667" s="2399"/>
      <c r="Z667" s="2398"/>
      <c r="AA667" s="2398"/>
      <c r="AB667" s="2398"/>
      <c r="AD667" s="1422"/>
      <c r="AE667" s="1422"/>
      <c r="AF667" s="1423"/>
      <c r="AG667" s="1423"/>
      <c r="AH667" s="1422"/>
      <c r="AI667" s="1422"/>
      <c r="AJ667" s="1422"/>
      <c r="AK667" s="1422"/>
      <c r="AL667" s="1422"/>
      <c r="AM667" s="1422"/>
      <c r="AN667" s="1422"/>
      <c r="AO667" s="1422"/>
      <c r="AP667" s="1422"/>
      <c r="AQ667" s="1422"/>
      <c r="AR667" s="1422"/>
      <c r="AS667" s="1422"/>
      <c r="AT667" s="1422"/>
    </row>
    <row r="668" spans="1:46">
      <c r="A668" s="1090"/>
      <c r="B668" s="1667"/>
      <c r="D668" s="4306" t="s">
        <v>2675</v>
      </c>
      <c r="E668" s="4306"/>
      <c r="F668" s="4306"/>
      <c r="G668" s="4306"/>
      <c r="H668" s="4306"/>
      <c r="I668" s="4306"/>
      <c r="J668" s="4306"/>
      <c r="K668" s="4306"/>
      <c r="L668" s="4306"/>
      <c r="M668" s="4306"/>
      <c r="N668" s="4306"/>
      <c r="O668" s="4306"/>
      <c r="P668" s="4306"/>
      <c r="Q668" s="4306"/>
      <c r="R668" s="4306"/>
      <c r="S668" s="4306"/>
      <c r="T668" s="4306"/>
      <c r="U668" s="4306"/>
      <c r="V668" s="4306"/>
      <c r="W668" s="4306"/>
      <c r="Y668" s="2399"/>
      <c r="Z668" s="2398"/>
      <c r="AA668" s="2398"/>
      <c r="AB668" s="2398"/>
      <c r="AD668" s="1422"/>
      <c r="AE668" s="1422"/>
      <c r="AF668" s="1423"/>
      <c r="AG668" s="1423"/>
      <c r="AH668" s="1422"/>
      <c r="AI668" s="1422"/>
      <c r="AJ668" s="1422"/>
      <c r="AK668" s="1422"/>
      <c r="AL668" s="1422"/>
      <c r="AM668" s="1422"/>
      <c r="AN668" s="1422"/>
      <c r="AO668" s="1422"/>
      <c r="AP668" s="1422"/>
      <c r="AQ668" s="1422"/>
      <c r="AR668" s="1422"/>
      <c r="AS668" s="1422"/>
      <c r="AT668" s="1422"/>
    </row>
    <row r="669" spans="1:46">
      <c r="A669" s="1090"/>
      <c r="B669" s="1667"/>
      <c r="D669" s="4307"/>
      <c r="E669" s="4307"/>
      <c r="F669" s="4307"/>
      <c r="G669" s="4307"/>
      <c r="H669" s="4307"/>
      <c r="I669" s="4307"/>
      <c r="J669" s="4307"/>
      <c r="K669" s="4307"/>
      <c r="L669" s="4307"/>
      <c r="M669" s="4307"/>
      <c r="N669" s="4307"/>
      <c r="O669" s="4307"/>
      <c r="P669" s="4307"/>
      <c r="Q669" s="4307"/>
      <c r="R669" s="4307"/>
      <c r="S669" s="4307"/>
      <c r="T669" s="4307"/>
      <c r="U669" s="4307"/>
      <c r="V669" s="4307"/>
      <c r="W669" s="4307"/>
      <c r="Y669" s="2399"/>
      <c r="Z669" s="2398"/>
      <c r="AA669" s="2398"/>
      <c r="AB669" s="2398"/>
      <c r="AD669" s="2398"/>
      <c r="AE669" s="2398"/>
      <c r="AF669" s="2399"/>
      <c r="AG669" s="2399"/>
      <c r="AH669" s="2398"/>
      <c r="AI669" s="2398"/>
      <c r="AJ669" s="2398"/>
      <c r="AK669" s="2398"/>
      <c r="AL669" s="2398"/>
      <c r="AM669" s="2398"/>
      <c r="AN669" s="2398"/>
      <c r="AO669" s="2398"/>
      <c r="AP669" s="2398"/>
      <c r="AQ669" s="2398"/>
      <c r="AR669" s="2398"/>
      <c r="AS669" s="2398"/>
      <c r="AT669" s="2398"/>
    </row>
    <row r="670" spans="1:46">
      <c r="A670" s="1090"/>
      <c r="B670" s="1667"/>
      <c r="D670" s="3841" t="s">
        <v>2676</v>
      </c>
      <c r="E670" s="3841"/>
      <c r="F670" s="3841"/>
      <c r="G670" s="3841"/>
      <c r="H670" s="3841"/>
      <c r="I670" s="3841"/>
      <c r="J670" s="3841"/>
      <c r="K670" s="3841"/>
      <c r="L670" s="3841"/>
      <c r="M670" s="3841"/>
      <c r="N670" s="3841"/>
      <c r="O670" s="3841"/>
      <c r="P670" s="3842"/>
      <c r="Q670" s="3842"/>
      <c r="R670" s="3843"/>
      <c r="S670" s="3842"/>
      <c r="T670" s="3841"/>
      <c r="U670" s="3841"/>
      <c r="V670" s="3841"/>
      <c r="W670" s="3841"/>
      <c r="Y670" s="2399"/>
      <c r="Z670" s="2398"/>
      <c r="AA670" s="2398"/>
      <c r="AB670" s="2398"/>
      <c r="AD670" s="2398"/>
      <c r="AE670" s="2398"/>
      <c r="AF670" s="2399"/>
      <c r="AG670" s="2399"/>
      <c r="AH670" s="2398"/>
      <c r="AI670" s="2398"/>
      <c r="AJ670" s="2398"/>
      <c r="AK670" s="2398"/>
      <c r="AL670" s="2398"/>
      <c r="AM670" s="2398"/>
      <c r="AN670" s="2398"/>
      <c r="AO670" s="2398"/>
      <c r="AP670" s="2398"/>
      <c r="AQ670" s="2398"/>
      <c r="AR670" s="2398"/>
      <c r="AS670" s="2398"/>
      <c r="AT670" s="2398"/>
    </row>
    <row r="671" spans="1:46">
      <c r="A671" s="1090"/>
      <c r="B671" s="1667"/>
      <c r="D671" s="1545"/>
      <c r="E671" s="1545"/>
      <c r="F671" s="1545"/>
      <c r="G671" s="1545"/>
      <c r="H671" s="1545"/>
      <c r="I671" s="1545"/>
      <c r="J671" s="1545"/>
      <c r="K671" s="1545"/>
      <c r="L671" s="1545"/>
      <c r="M671" s="1545"/>
      <c r="N671" s="1545"/>
      <c r="O671" s="1545"/>
      <c r="P671" s="1545"/>
      <c r="Q671" s="1545"/>
      <c r="R671" s="1545"/>
      <c r="S671" s="1545"/>
      <c r="T671" s="1545"/>
      <c r="U671" s="1545"/>
      <c r="V671" s="1545"/>
      <c r="W671" s="1545"/>
      <c r="Y671" s="2399"/>
      <c r="Z671" s="2398"/>
      <c r="AA671" s="2398"/>
      <c r="AB671" s="2398"/>
      <c r="AD671" s="2398"/>
      <c r="AE671" s="2398"/>
      <c r="AF671" s="2399"/>
      <c r="AG671" s="2399"/>
      <c r="AH671" s="2398"/>
      <c r="AI671" s="2398"/>
      <c r="AJ671" s="2398"/>
      <c r="AK671" s="2398"/>
      <c r="AL671" s="2398"/>
      <c r="AM671" s="2398"/>
      <c r="AN671" s="2398"/>
      <c r="AO671" s="2398"/>
      <c r="AP671" s="2398"/>
      <c r="AQ671" s="2398"/>
      <c r="AR671" s="2398"/>
      <c r="AS671" s="2398"/>
      <c r="AT671" s="2398"/>
    </row>
    <row r="672" spans="1:46">
      <c r="A672" s="1090"/>
      <c r="B672" s="2021" t="s">
        <v>98</v>
      </c>
      <c r="D672" s="3640" t="s">
        <v>2678</v>
      </c>
      <c r="E672" s="3640"/>
      <c r="F672" s="3640"/>
      <c r="G672" s="3640"/>
      <c r="H672" s="3640"/>
      <c r="I672" s="3640"/>
      <c r="J672" s="3640"/>
      <c r="K672" s="3640"/>
      <c r="L672" s="3640"/>
      <c r="M672" s="3640"/>
      <c r="N672" s="3640"/>
      <c r="O672" s="3640"/>
      <c r="P672" s="3752"/>
      <c r="Q672" s="3752"/>
      <c r="R672" s="3771"/>
      <c r="S672" s="3752"/>
      <c r="T672" s="3640"/>
      <c r="U672" s="3640"/>
      <c r="V672" s="3640"/>
      <c r="W672" s="3640"/>
      <c r="Y672" s="2399"/>
      <c r="Z672" s="2398"/>
      <c r="AA672" s="2398"/>
      <c r="AB672" s="2398"/>
      <c r="AD672" s="2398"/>
      <c r="AE672" s="2398"/>
      <c r="AF672" s="2399"/>
      <c r="AG672" s="2399"/>
      <c r="AH672" s="2398"/>
      <c r="AI672" s="2398"/>
      <c r="AJ672" s="2398"/>
      <c r="AK672" s="2398"/>
      <c r="AL672" s="2398"/>
      <c r="AM672" s="2398"/>
      <c r="AN672" s="2398"/>
      <c r="AO672" s="2398"/>
      <c r="AP672" s="2398"/>
      <c r="AQ672" s="2398"/>
      <c r="AR672" s="2398"/>
      <c r="AS672" s="2398"/>
      <c r="AT672" s="2398"/>
    </row>
    <row r="673" spans="1:64">
      <c r="A673" s="1090"/>
      <c r="B673" s="1667"/>
      <c r="D673" s="3844" t="s">
        <v>2677</v>
      </c>
      <c r="E673" s="3844"/>
      <c r="F673" s="3844"/>
      <c r="G673" s="3844"/>
      <c r="H673" s="3844"/>
      <c r="I673" s="3844"/>
      <c r="J673" s="3844"/>
      <c r="K673" s="3844"/>
      <c r="L673" s="3844"/>
      <c r="M673" s="3844"/>
      <c r="N673" s="3844"/>
      <c r="O673" s="3844"/>
      <c r="P673" s="3844"/>
      <c r="Q673" s="3844"/>
      <c r="R673" s="3845"/>
      <c r="S673" s="3844"/>
      <c r="T673" s="3844"/>
      <c r="U673" s="3844"/>
      <c r="V673" s="3844"/>
      <c r="W673" s="3844"/>
      <c r="Y673" s="2399"/>
      <c r="Z673" s="2398"/>
      <c r="AA673" s="2398"/>
      <c r="AB673" s="2398"/>
      <c r="AD673" s="2398"/>
      <c r="AE673" s="2398"/>
      <c r="AF673" s="2399"/>
      <c r="AG673" s="2399"/>
      <c r="AH673" s="2398"/>
      <c r="AI673" s="2398"/>
      <c r="AJ673" s="2398"/>
      <c r="AK673" s="2398"/>
      <c r="AL673" s="2398"/>
      <c r="AM673" s="2398"/>
      <c r="AN673" s="2398"/>
      <c r="AO673" s="2398"/>
      <c r="AP673" s="2398"/>
      <c r="AQ673" s="2398"/>
      <c r="AR673" s="2398"/>
      <c r="AS673" s="2398"/>
      <c r="AT673" s="2398"/>
    </row>
    <row r="674" spans="1:64">
      <c r="A674" s="1090"/>
      <c r="B674" s="2271"/>
      <c r="D674" s="3823" t="s">
        <v>1895</v>
      </c>
      <c r="E674" s="3823"/>
      <c r="F674" s="3823"/>
      <c r="G674" s="3823"/>
      <c r="H674" s="3823"/>
      <c r="I674" s="3823"/>
      <c r="J674" s="3823"/>
      <c r="K674" s="3823"/>
      <c r="L674" s="3823"/>
      <c r="M674" s="3823"/>
      <c r="N674" s="3823"/>
      <c r="O674" s="3823"/>
      <c r="P674" s="3823"/>
      <c r="Q674" s="3823"/>
      <c r="R674" s="3846"/>
      <c r="S674" s="3823"/>
      <c r="T674" s="3823"/>
      <c r="U674" s="3823"/>
      <c r="V674" s="3823"/>
      <c r="W674" s="3823"/>
      <c r="Y674" s="2399"/>
      <c r="Z674" s="2398"/>
      <c r="AA674" s="2398"/>
      <c r="AB674" s="2398"/>
      <c r="AD674" s="2398"/>
      <c r="AE674" s="2398"/>
      <c r="AF674" s="2399"/>
      <c r="AG674" s="2399"/>
      <c r="AH674" s="2398"/>
      <c r="AI674" s="2398"/>
      <c r="AJ674" s="2398"/>
      <c r="AK674" s="2398"/>
      <c r="AL674" s="2398"/>
      <c r="AM674" s="2398"/>
      <c r="AN674" s="2398"/>
      <c r="AO674" s="2398"/>
      <c r="AP674" s="2398"/>
      <c r="AQ674" s="2398"/>
      <c r="AR674" s="2398"/>
      <c r="AS674" s="2398"/>
      <c r="AT674" s="2398"/>
    </row>
    <row r="675" spans="1:64">
      <c r="A675" s="1090"/>
      <c r="B675" s="1667"/>
      <c r="D675" s="3489"/>
      <c r="E675" s="3489"/>
      <c r="F675" s="3489"/>
      <c r="G675" s="3489"/>
      <c r="H675" s="3489"/>
      <c r="I675" s="3489"/>
      <c r="J675" s="3489"/>
      <c r="K675" s="3489"/>
      <c r="L675" s="3489"/>
      <c r="M675" s="3489"/>
      <c r="N675" s="3489"/>
      <c r="O675" s="3489"/>
      <c r="P675" s="3489"/>
      <c r="Q675" s="3489"/>
      <c r="R675" s="3833"/>
      <c r="S675" s="3489"/>
      <c r="T675" s="3489"/>
      <c r="U675" s="3489"/>
      <c r="V675" s="3489"/>
      <c r="W675" s="3489"/>
      <c r="Y675" s="2399"/>
      <c r="Z675" s="2398"/>
      <c r="AA675" s="2398"/>
      <c r="AB675" s="2398"/>
      <c r="AD675" s="2398"/>
      <c r="AE675" s="2398"/>
      <c r="AF675" s="2399"/>
      <c r="AG675" s="2399"/>
      <c r="AH675" s="2398"/>
      <c r="AI675" s="2398"/>
      <c r="AJ675" s="2398"/>
      <c r="AK675" s="2398"/>
      <c r="AL675" s="2398"/>
      <c r="AM675" s="2398"/>
      <c r="AN675" s="2398"/>
      <c r="AO675" s="2398"/>
      <c r="AP675" s="2398"/>
      <c r="AQ675" s="2398"/>
      <c r="AR675" s="2398"/>
      <c r="AS675" s="2398"/>
      <c r="AT675" s="2398"/>
    </row>
    <row r="676" spans="1:64">
      <c r="A676" s="1090"/>
      <c r="B676" s="2021" t="s">
        <v>99</v>
      </c>
      <c r="D676" s="3635" t="s">
        <v>2679</v>
      </c>
      <c r="E676" s="3635"/>
      <c r="F676" s="3635"/>
      <c r="G676" s="3635"/>
      <c r="H676" s="3635"/>
      <c r="I676" s="3635"/>
      <c r="J676" s="3635"/>
      <c r="K676" s="3635"/>
      <c r="L676" s="3635"/>
      <c r="M676" s="3635"/>
      <c r="N676" s="3635"/>
      <c r="O676" s="3635"/>
      <c r="P676" s="3839"/>
      <c r="Q676" s="3839"/>
      <c r="R676" s="3840"/>
      <c r="S676" s="3840"/>
      <c r="T676" s="3840"/>
      <c r="U676" s="3840"/>
      <c r="V676" s="3840"/>
      <c r="W676" s="3840"/>
      <c r="Y676" s="2399"/>
      <c r="Z676" s="2398"/>
      <c r="AA676" s="2398"/>
      <c r="AB676" s="2398"/>
      <c r="AD676" s="2398"/>
      <c r="AE676" s="2398"/>
      <c r="AF676" s="2399"/>
      <c r="AG676" s="2399"/>
      <c r="AH676" s="2398"/>
      <c r="AI676" s="2398"/>
      <c r="AJ676" s="2398"/>
      <c r="AK676" s="2398"/>
      <c r="AL676" s="2398"/>
      <c r="AM676" s="2398"/>
      <c r="AN676" s="2398"/>
      <c r="AO676" s="2398"/>
      <c r="AP676" s="2398"/>
      <c r="AQ676" s="2398"/>
      <c r="AR676" s="2398"/>
      <c r="AS676" s="2398"/>
      <c r="AT676" s="2398"/>
    </row>
    <row r="677" spans="1:64">
      <c r="A677" s="1090"/>
      <c r="B677" s="1667"/>
      <c r="D677" s="3312"/>
      <c r="E677" s="1614"/>
      <c r="F677" s="1614"/>
      <c r="G677" s="1614"/>
      <c r="H677" s="1614"/>
      <c r="I677" s="1614"/>
      <c r="J677" s="1614"/>
      <c r="K677" s="1614"/>
      <c r="L677" s="1614"/>
      <c r="M677" s="1614"/>
      <c r="N677" s="1614"/>
      <c r="O677" s="1614"/>
      <c r="P677" s="2753"/>
      <c r="Q677" s="2753"/>
      <c r="R677" s="1336"/>
      <c r="S677" s="2753"/>
      <c r="T677" s="1614"/>
      <c r="U677" s="1614"/>
      <c r="V677" s="1614"/>
      <c r="W677" s="1614"/>
      <c r="Y677" s="2399"/>
      <c r="Z677" s="2398"/>
      <c r="AA677" s="2398"/>
      <c r="AB677" s="2398"/>
      <c r="AD677" s="2398"/>
      <c r="AE677" s="2398"/>
      <c r="AF677" s="2399"/>
      <c r="AG677" s="2399"/>
      <c r="AH677" s="2398"/>
      <c r="AI677" s="2398"/>
      <c r="AJ677" s="2398"/>
      <c r="AK677" s="2398"/>
      <c r="AL677" s="2398"/>
      <c r="AM677" s="2398"/>
      <c r="AN677" s="2398"/>
      <c r="AO677" s="2398"/>
      <c r="AP677" s="2398"/>
      <c r="AQ677" s="2398"/>
      <c r="AR677" s="2398"/>
      <c r="AS677" s="2398"/>
      <c r="AT677" s="2398"/>
    </row>
    <row r="678" spans="1:64" s="2398" customFormat="1" ht="3.75" customHeight="1">
      <c r="A678" s="2766"/>
      <c r="C678" s="2399"/>
      <c r="D678" s="2767"/>
      <c r="E678" s="2399"/>
      <c r="F678" s="2399"/>
      <c r="G678" s="2399"/>
      <c r="H678" s="2399"/>
      <c r="I678" s="2399"/>
      <c r="J678" s="2399"/>
      <c r="K678" s="2399"/>
      <c r="L678" s="2399"/>
      <c r="M678" s="2399"/>
      <c r="N678" s="2399"/>
      <c r="O678" s="2399"/>
      <c r="P678" s="2399"/>
      <c r="Q678" s="2746"/>
      <c r="R678" s="2497"/>
      <c r="S678" s="2399"/>
      <c r="T678" s="2399"/>
      <c r="U678" s="2399"/>
      <c r="V678" s="2399"/>
      <c r="W678" s="2399"/>
      <c r="X678" s="2399"/>
      <c r="Y678" s="2399"/>
      <c r="AF678" s="2399"/>
      <c r="AG678" s="2399"/>
      <c r="BL678" s="2399"/>
    </row>
    <row r="679" spans="1:64">
      <c r="A679" s="1417" t="s">
        <v>287</v>
      </c>
      <c r="B679" s="2021" t="s">
        <v>96</v>
      </c>
      <c r="D679" s="3640" t="s">
        <v>2680</v>
      </c>
      <c r="E679" s="3640"/>
      <c r="F679" s="3640"/>
      <c r="G679" s="3640"/>
      <c r="H679" s="3640"/>
      <c r="I679" s="3640"/>
      <c r="J679" s="3640"/>
      <c r="K679" s="3640"/>
      <c r="L679" s="3640"/>
      <c r="M679" s="3640"/>
      <c r="N679" s="3640"/>
      <c r="O679" s="3640"/>
      <c r="P679" s="3752"/>
      <c r="Q679" s="3752"/>
      <c r="R679" s="3771"/>
      <c r="S679" s="3752"/>
      <c r="T679" s="3640"/>
      <c r="U679" s="3640"/>
      <c r="V679" s="3640"/>
      <c r="W679" s="3640"/>
      <c r="Y679" s="2399"/>
      <c r="Z679" s="2398"/>
      <c r="AA679" s="2398"/>
      <c r="AB679" s="2398"/>
      <c r="AE679" s="2398"/>
      <c r="AF679" s="2399"/>
      <c r="AG679" s="2399"/>
      <c r="AH679" s="2398"/>
      <c r="AI679" s="2398"/>
      <c r="AJ679" s="2398"/>
      <c r="AK679" s="2398"/>
      <c r="AL679" s="2398"/>
      <c r="AM679" s="2398"/>
      <c r="AN679" s="2398"/>
      <c r="AO679" s="2398"/>
      <c r="AP679" s="2398"/>
      <c r="AQ679" s="2398"/>
      <c r="AR679" s="2398"/>
      <c r="AS679" s="2398"/>
      <c r="AT679" s="2398"/>
    </row>
    <row r="680" spans="1:64" ht="12.6" customHeight="1">
      <c r="A680" s="1121"/>
      <c r="B680" s="92"/>
      <c r="D680" s="4290" t="s">
        <v>2689</v>
      </c>
      <c r="E680" s="4290"/>
      <c r="F680" s="4290"/>
      <c r="G680" s="4290"/>
      <c r="H680" s="4290"/>
      <c r="I680" s="4290"/>
      <c r="J680" s="4290"/>
      <c r="K680" s="4290"/>
      <c r="L680" s="4290"/>
      <c r="M680" s="4290"/>
      <c r="N680" s="4290"/>
      <c r="O680" s="4290"/>
      <c r="P680" s="4290"/>
      <c r="Q680" s="4290"/>
      <c r="R680" s="4290"/>
      <c r="S680" s="4290"/>
      <c r="T680" s="4290"/>
      <c r="U680" s="4290"/>
      <c r="V680" s="4290"/>
      <c r="W680" s="4290"/>
      <c r="Y680" s="2399"/>
      <c r="Z680" s="2398"/>
      <c r="AA680" s="2398"/>
      <c r="AB680" s="2398"/>
      <c r="AE680" s="2398"/>
      <c r="AF680" s="2399"/>
      <c r="AG680" s="2399"/>
      <c r="AH680" s="2398"/>
      <c r="AI680" s="2398"/>
      <c r="AJ680" s="2398"/>
      <c r="AK680" s="2398"/>
      <c r="AL680" s="2398"/>
      <c r="AM680" s="2398"/>
      <c r="AN680" s="2398"/>
      <c r="AO680" s="2398"/>
      <c r="AP680" s="2398"/>
      <c r="AQ680" s="2398"/>
      <c r="AR680" s="2398"/>
      <c r="AS680" s="2398"/>
      <c r="AT680" s="2398"/>
    </row>
    <row r="681" spans="1:64">
      <c r="A681" s="1121"/>
      <c r="B681" s="92"/>
      <c r="D681" s="4291"/>
      <c r="E681" s="4291"/>
      <c r="F681" s="4291"/>
      <c r="G681" s="4291"/>
      <c r="H681" s="4291"/>
      <c r="I681" s="4291"/>
      <c r="J681" s="4291"/>
      <c r="K681" s="4291"/>
      <c r="L681" s="4291"/>
      <c r="M681" s="4291"/>
      <c r="N681" s="4291"/>
      <c r="O681" s="4291"/>
      <c r="P681" s="4291"/>
      <c r="Q681" s="4291"/>
      <c r="R681" s="4291"/>
      <c r="S681" s="4291"/>
      <c r="T681" s="4291"/>
      <c r="U681" s="4291"/>
      <c r="V681" s="4291"/>
      <c r="W681" s="4291"/>
      <c r="Y681" s="2399"/>
      <c r="Z681" s="2398"/>
      <c r="AA681" s="2398"/>
      <c r="AB681" s="2398"/>
      <c r="AE681" s="2398"/>
      <c r="AF681" s="2399"/>
      <c r="AG681" s="2399"/>
      <c r="AH681" s="2398"/>
      <c r="AI681" s="2398"/>
      <c r="AJ681" s="2398"/>
      <c r="AK681" s="2398"/>
      <c r="AL681" s="2398"/>
      <c r="AM681" s="2398"/>
      <c r="AN681" s="2398"/>
      <c r="AO681" s="2398"/>
      <c r="AP681" s="2398"/>
      <c r="AQ681" s="2398"/>
      <c r="AR681" s="2398"/>
      <c r="AS681" s="2398"/>
      <c r="AT681" s="2398"/>
    </row>
    <row r="682" spans="1:64">
      <c r="A682" s="1121"/>
      <c r="B682" s="92"/>
      <c r="D682" s="3618" t="s">
        <v>2688</v>
      </c>
      <c r="E682" s="3618"/>
      <c r="F682" s="3618"/>
      <c r="G682" s="3618"/>
      <c r="H682" s="3618"/>
      <c r="I682" s="3618"/>
      <c r="J682" s="3618"/>
      <c r="K682" s="3618"/>
      <c r="L682" s="3618"/>
      <c r="M682" s="3618"/>
      <c r="N682" s="3618"/>
      <c r="O682" s="3618"/>
      <c r="P682" s="3618"/>
      <c r="Q682" s="3821"/>
      <c r="R682" s="3618"/>
      <c r="S682" s="3618"/>
      <c r="T682" s="3618"/>
      <c r="U682" s="3618"/>
      <c r="V682" s="3618"/>
      <c r="W682" s="3618"/>
      <c r="Y682" s="2399"/>
      <c r="Z682" s="2398"/>
      <c r="AA682" s="2398"/>
      <c r="AB682" s="2398"/>
      <c r="AE682" s="2398"/>
      <c r="AF682" s="2399"/>
      <c r="AG682" s="2399"/>
      <c r="AH682" s="2398"/>
      <c r="AI682" s="2398"/>
      <c r="AJ682" s="2398"/>
      <c r="AK682" s="2398"/>
      <c r="AL682" s="2398"/>
      <c r="AM682" s="2398"/>
      <c r="AN682" s="2398"/>
      <c r="AO682" s="2398"/>
      <c r="AP682" s="2398"/>
      <c r="AQ682" s="2398"/>
      <c r="AR682" s="2398"/>
      <c r="AS682" s="2398"/>
      <c r="AT682" s="2398"/>
    </row>
    <row r="683" spans="1:64">
      <c r="A683" s="1121"/>
      <c r="B683" s="92"/>
      <c r="D683" s="3618" t="s">
        <v>2686</v>
      </c>
      <c r="E683" s="3618"/>
      <c r="F683" s="3618"/>
      <c r="G683" s="3618"/>
      <c r="H683" s="3618"/>
      <c r="I683" s="3618"/>
      <c r="J683" s="3618"/>
      <c r="K683" s="3618"/>
      <c r="L683" s="3618"/>
      <c r="M683" s="3618"/>
      <c r="N683" s="3618"/>
      <c r="O683" s="3618"/>
      <c r="P683" s="3618"/>
      <c r="Q683" s="3821"/>
      <c r="R683" s="3618"/>
      <c r="S683" s="3618"/>
      <c r="T683" s="3618"/>
      <c r="U683" s="3618"/>
      <c r="V683" s="3618"/>
      <c r="W683" s="3618"/>
      <c r="Y683" s="2399"/>
      <c r="Z683" s="2398"/>
      <c r="AA683" s="2398"/>
      <c r="AB683" s="2398"/>
      <c r="AE683" s="2398"/>
      <c r="AF683" s="2399"/>
      <c r="AG683" s="2399"/>
      <c r="AH683" s="2398"/>
      <c r="AI683" s="2398"/>
      <c r="AJ683" s="2398"/>
      <c r="AK683" s="2398"/>
      <c r="AL683" s="2398"/>
      <c r="AM683" s="2398"/>
      <c r="AN683" s="2398"/>
      <c r="AO683" s="2398"/>
      <c r="AP683" s="2398"/>
      <c r="AQ683" s="2398"/>
      <c r="AR683" s="2398"/>
      <c r="AS683" s="2398"/>
      <c r="AT683" s="2398"/>
    </row>
    <row r="684" spans="1:64">
      <c r="A684" s="1121"/>
      <c r="B684" s="92"/>
      <c r="D684" s="3823" t="s">
        <v>2687</v>
      </c>
      <c r="E684" s="3823"/>
      <c r="F684" s="3823"/>
      <c r="G684" s="3823"/>
      <c r="H684" s="3823"/>
      <c r="I684" s="3823"/>
      <c r="J684" s="3823"/>
      <c r="K684" s="3823"/>
      <c r="L684" s="3823"/>
      <c r="M684" s="3823"/>
      <c r="N684" s="3823"/>
      <c r="O684" s="3823"/>
      <c r="P684" s="3823"/>
      <c r="Q684" s="3846"/>
      <c r="R684" s="3823"/>
      <c r="S684" s="3823"/>
      <c r="T684" s="3823"/>
      <c r="U684" s="3823"/>
      <c r="V684" s="3823"/>
      <c r="W684" s="3823"/>
      <c r="Y684" s="2399"/>
      <c r="Z684" s="2398"/>
      <c r="AA684" s="2398"/>
      <c r="AB684" s="2398"/>
      <c r="AE684" s="2398"/>
      <c r="AF684" s="2399"/>
      <c r="AG684" s="2399"/>
      <c r="AH684" s="2398"/>
      <c r="AI684" s="2398"/>
      <c r="AJ684" s="2398"/>
      <c r="AK684" s="2398"/>
      <c r="AL684" s="2398"/>
      <c r="AM684" s="2398"/>
      <c r="AN684" s="2398"/>
      <c r="AO684" s="2398"/>
      <c r="AP684" s="2398"/>
      <c r="AQ684" s="2398"/>
      <c r="AR684" s="2398"/>
      <c r="AS684" s="2398"/>
      <c r="AT684" s="2398"/>
    </row>
    <row r="685" spans="1:64">
      <c r="A685" s="1422"/>
      <c r="B685" s="1422"/>
      <c r="D685" s="79"/>
      <c r="E685" s="1422"/>
      <c r="F685" s="1422"/>
      <c r="G685" s="1422"/>
      <c r="H685" s="1422"/>
      <c r="I685" s="1422"/>
      <c r="J685" s="1422"/>
      <c r="K685" s="1422"/>
      <c r="L685" s="1422"/>
      <c r="M685" s="1422"/>
      <c r="N685" s="1422"/>
      <c r="O685" s="1422"/>
      <c r="P685" s="108"/>
      <c r="Q685" s="1507"/>
      <c r="R685" s="77"/>
      <c r="S685" s="108"/>
      <c r="T685" s="1422"/>
      <c r="U685" s="1422"/>
      <c r="V685" s="1422"/>
      <c r="W685" s="1422"/>
      <c r="Y685" s="2399"/>
      <c r="Z685" s="2398"/>
      <c r="AA685" s="2398"/>
      <c r="AB685" s="2398"/>
      <c r="AE685" s="2398"/>
      <c r="AF685" s="2398"/>
      <c r="AG685" s="2398"/>
      <c r="AH685" s="2398"/>
      <c r="AI685" s="2398"/>
      <c r="AJ685" s="2398"/>
      <c r="AK685" s="2398"/>
      <c r="AL685" s="2398"/>
      <c r="AM685" s="2398"/>
      <c r="AN685" s="2398"/>
      <c r="AO685" s="2398"/>
      <c r="AP685" s="2398"/>
      <c r="AQ685" s="2398"/>
      <c r="AR685" s="2398"/>
      <c r="AS685" s="2398"/>
      <c r="AT685" s="2398"/>
    </row>
    <row r="686" spans="1:64">
      <c r="A686" s="1422"/>
      <c r="B686" s="2021" t="s">
        <v>97</v>
      </c>
      <c r="D686" s="3640" t="s">
        <v>2681</v>
      </c>
      <c r="E686" s="3640"/>
      <c r="F686" s="3640"/>
      <c r="G686" s="3640"/>
      <c r="H686" s="3640"/>
      <c r="I686" s="3640"/>
      <c r="J686" s="3640"/>
      <c r="K686" s="3640"/>
      <c r="L686" s="3640"/>
      <c r="M686" s="3640"/>
      <c r="N686" s="3640"/>
      <c r="O686" s="3640"/>
      <c r="P686" s="3752"/>
      <c r="Q686" s="3752"/>
      <c r="R686" s="3771"/>
      <c r="S686" s="3752"/>
      <c r="T686" s="3640"/>
      <c r="U686" s="3640"/>
      <c r="V686" s="3640"/>
      <c r="W686" s="3640"/>
      <c r="Y686" s="2399"/>
      <c r="Z686" s="2398"/>
      <c r="AA686" s="2398"/>
      <c r="AB686" s="2398"/>
      <c r="AE686" s="2398"/>
      <c r="AF686" s="2398"/>
      <c r="AG686" s="2398"/>
      <c r="AH686" s="2398"/>
      <c r="AI686" s="2398"/>
      <c r="AJ686" s="2398"/>
      <c r="AK686" s="2398"/>
      <c r="AL686" s="2398"/>
      <c r="AM686" s="2398"/>
      <c r="AN686" s="2398"/>
      <c r="AO686" s="2398"/>
      <c r="AP686" s="2398"/>
      <c r="AQ686" s="2398"/>
      <c r="AR686" s="2398"/>
      <c r="AS686" s="2398"/>
      <c r="AT686" s="2398"/>
    </row>
    <row r="687" spans="1:64" ht="13.15" customHeight="1">
      <c r="A687" s="1422"/>
      <c r="B687" s="1422"/>
      <c r="D687" s="4290" t="s">
        <v>2690</v>
      </c>
      <c r="E687" s="4290"/>
      <c r="F687" s="4290"/>
      <c r="G687" s="4290"/>
      <c r="H687" s="4290"/>
      <c r="I687" s="4290"/>
      <c r="J687" s="4290"/>
      <c r="K687" s="4290"/>
      <c r="L687" s="4290"/>
      <c r="M687" s="4290"/>
      <c r="N687" s="4290"/>
      <c r="O687" s="4290"/>
      <c r="P687" s="4290"/>
      <c r="Q687" s="4290"/>
      <c r="R687" s="4290"/>
      <c r="S687" s="4290"/>
      <c r="T687" s="4290"/>
      <c r="U687" s="4290"/>
      <c r="V687" s="4290"/>
      <c r="W687" s="4290"/>
      <c r="X687" s="2363"/>
      <c r="Y687" s="2399"/>
      <c r="Z687" s="2398"/>
      <c r="AA687" s="2398"/>
      <c r="AB687" s="2398"/>
      <c r="AE687" s="2398"/>
      <c r="AF687" s="2398"/>
      <c r="AG687" s="2398"/>
      <c r="AH687" s="2398"/>
      <c r="AI687" s="2398"/>
      <c r="AJ687" s="2398"/>
      <c r="AK687" s="2398"/>
      <c r="AL687" s="2398"/>
      <c r="AM687" s="2398"/>
      <c r="AN687" s="2398"/>
      <c r="AO687" s="2398"/>
      <c r="AP687" s="2398"/>
      <c r="AQ687" s="2398"/>
      <c r="AR687" s="2398"/>
      <c r="AS687" s="2398"/>
      <c r="AT687" s="2398"/>
    </row>
    <row r="688" spans="1:64">
      <c r="A688" s="1422"/>
      <c r="B688" s="1422"/>
      <c r="D688" s="4291"/>
      <c r="E688" s="4291"/>
      <c r="F688" s="4291"/>
      <c r="G688" s="4291"/>
      <c r="H688" s="4291"/>
      <c r="I688" s="4291"/>
      <c r="J688" s="4291"/>
      <c r="K688" s="4291"/>
      <c r="L688" s="4291"/>
      <c r="M688" s="4291"/>
      <c r="N688" s="4291"/>
      <c r="O688" s="4291"/>
      <c r="P688" s="4291"/>
      <c r="Q688" s="4291"/>
      <c r="R688" s="4291"/>
      <c r="S688" s="4291"/>
      <c r="T688" s="4291"/>
      <c r="U688" s="4291"/>
      <c r="V688" s="4291"/>
      <c r="W688" s="4291"/>
      <c r="X688" s="2363"/>
      <c r="Y688" s="2399"/>
      <c r="Z688" s="2398"/>
      <c r="AA688" s="2398"/>
      <c r="AB688" s="2398"/>
      <c r="AE688" s="2398"/>
      <c r="AF688" s="2398"/>
      <c r="AG688" s="2398"/>
      <c r="AH688" s="2398"/>
      <c r="AI688" s="2398"/>
      <c r="AJ688" s="2398"/>
      <c r="AK688" s="2398"/>
      <c r="AL688" s="2398"/>
      <c r="AM688" s="2398"/>
      <c r="AN688" s="2398"/>
      <c r="AO688" s="2398"/>
      <c r="AP688" s="2398"/>
      <c r="AQ688" s="2398"/>
      <c r="AR688" s="2398"/>
      <c r="AS688" s="2398"/>
      <c r="AT688" s="2398"/>
    </row>
    <row r="689" spans="1:46" ht="13.15" customHeight="1">
      <c r="A689" s="1422"/>
      <c r="B689" s="1422"/>
      <c r="D689" s="4290" t="s">
        <v>2691</v>
      </c>
      <c r="E689" s="4290"/>
      <c r="F689" s="4290"/>
      <c r="G689" s="4290"/>
      <c r="H689" s="4290"/>
      <c r="I689" s="4290"/>
      <c r="J689" s="4290"/>
      <c r="K689" s="4290"/>
      <c r="L689" s="4290"/>
      <c r="M689" s="4290"/>
      <c r="N689" s="4290"/>
      <c r="O689" s="4290"/>
      <c r="P689" s="4290"/>
      <c r="Q689" s="4290"/>
      <c r="R689" s="4290"/>
      <c r="S689" s="4290"/>
      <c r="T689" s="4290"/>
      <c r="U689" s="4290"/>
      <c r="V689" s="4290"/>
      <c r="W689" s="4290"/>
      <c r="X689" s="2363"/>
      <c r="Y689" s="2399"/>
      <c r="Z689" s="2398"/>
      <c r="AA689" s="2398"/>
      <c r="AB689" s="2398"/>
      <c r="AE689" s="2398"/>
      <c r="AF689" s="2398"/>
      <c r="AG689" s="2398"/>
      <c r="AH689" s="2398"/>
      <c r="AI689" s="2398"/>
      <c r="AJ689" s="2398"/>
      <c r="AK689" s="2398"/>
      <c r="AL689" s="2398"/>
      <c r="AM689" s="2398"/>
      <c r="AN689" s="2398"/>
      <c r="AO689" s="2398"/>
      <c r="AP689" s="2398"/>
      <c r="AQ689" s="2398"/>
      <c r="AR689" s="2398"/>
      <c r="AS689" s="2398"/>
      <c r="AT689" s="2398"/>
    </row>
    <row r="690" spans="1:46">
      <c r="A690" s="1422"/>
      <c r="B690" s="1422"/>
      <c r="D690" s="4291"/>
      <c r="E690" s="4291"/>
      <c r="F690" s="4291"/>
      <c r="G690" s="4291"/>
      <c r="H690" s="4291"/>
      <c r="I690" s="4291"/>
      <c r="J690" s="4291"/>
      <c r="K690" s="4291"/>
      <c r="L690" s="4291"/>
      <c r="M690" s="4291"/>
      <c r="N690" s="4291"/>
      <c r="O690" s="4291"/>
      <c r="P690" s="4291"/>
      <c r="Q690" s="4291"/>
      <c r="R690" s="4291"/>
      <c r="S690" s="4291"/>
      <c r="T690" s="4291"/>
      <c r="U690" s="4291"/>
      <c r="V690" s="4291"/>
      <c r="W690" s="4291"/>
      <c r="X690" s="2363"/>
      <c r="Y690" s="2399"/>
      <c r="Z690" s="2398"/>
      <c r="AA690" s="2398"/>
      <c r="AB690" s="2398"/>
      <c r="AE690" s="2398"/>
      <c r="AF690" s="2398"/>
      <c r="AG690" s="2398"/>
      <c r="AH690" s="2398"/>
      <c r="AI690" s="2398"/>
      <c r="AJ690" s="2398"/>
      <c r="AK690" s="2398"/>
      <c r="AL690" s="2398"/>
      <c r="AM690" s="2398"/>
      <c r="AN690" s="2398"/>
      <c r="AO690" s="2398"/>
      <c r="AP690" s="2398"/>
      <c r="AQ690" s="2398"/>
      <c r="AR690" s="2398"/>
      <c r="AS690" s="2398"/>
      <c r="AT690" s="2398"/>
    </row>
    <row r="691" spans="1:46" ht="13.15" customHeight="1">
      <c r="A691" s="1422"/>
      <c r="B691" s="1422"/>
      <c r="D691" s="4290" t="s">
        <v>2692</v>
      </c>
      <c r="E691" s="4290"/>
      <c r="F691" s="4290"/>
      <c r="G691" s="4290"/>
      <c r="H691" s="4290"/>
      <c r="I691" s="4290"/>
      <c r="J691" s="4290"/>
      <c r="K691" s="4290"/>
      <c r="L691" s="4290"/>
      <c r="M691" s="4290"/>
      <c r="N691" s="4290"/>
      <c r="O691" s="4290"/>
      <c r="P691" s="4290"/>
      <c r="Q691" s="4290"/>
      <c r="R691" s="4290"/>
      <c r="S691" s="4290"/>
      <c r="T691" s="4290"/>
      <c r="U691" s="4290"/>
      <c r="V691" s="4290"/>
      <c r="W691" s="4290"/>
      <c r="X691" s="2363"/>
      <c r="Y691" s="2399"/>
      <c r="Z691" s="2398"/>
      <c r="AA691" s="2398"/>
      <c r="AB691" s="2398"/>
      <c r="AE691" s="2398"/>
      <c r="AF691" s="2398"/>
      <c r="AG691" s="2398"/>
      <c r="AH691" s="2398"/>
      <c r="AI691" s="2398"/>
      <c r="AJ691" s="2398"/>
      <c r="AK691" s="2398"/>
      <c r="AL691" s="2398"/>
      <c r="AM691" s="2398"/>
      <c r="AN691" s="2398"/>
      <c r="AO691" s="2398"/>
      <c r="AP691" s="2398"/>
      <c r="AQ691" s="2398"/>
      <c r="AR691" s="2398"/>
      <c r="AS691" s="2398"/>
      <c r="AT691" s="2398"/>
    </row>
    <row r="692" spans="1:46">
      <c r="A692" s="1422"/>
      <c r="B692" s="1422"/>
      <c r="D692" s="4271"/>
      <c r="E692" s="4271"/>
      <c r="F692" s="4271"/>
      <c r="G692" s="4271"/>
      <c r="H692" s="4271"/>
      <c r="I692" s="4271"/>
      <c r="J692" s="4271"/>
      <c r="K692" s="4271"/>
      <c r="L692" s="4271"/>
      <c r="M692" s="4271"/>
      <c r="N692" s="4271"/>
      <c r="O692" s="4271"/>
      <c r="P692" s="4271"/>
      <c r="Q692" s="4271"/>
      <c r="R692" s="4271"/>
      <c r="S692" s="4271"/>
      <c r="T692" s="4271"/>
      <c r="U692" s="4271"/>
      <c r="V692" s="4271"/>
      <c r="W692" s="4271"/>
      <c r="X692" s="2363"/>
      <c r="Y692" s="2399"/>
      <c r="Z692" s="2398"/>
      <c r="AA692" s="2398"/>
      <c r="AB692" s="2398"/>
      <c r="AE692" s="2398"/>
      <c r="AF692" s="2398"/>
      <c r="AG692" s="2398"/>
      <c r="AH692" s="2398"/>
      <c r="AI692" s="2398"/>
      <c r="AJ692" s="2398"/>
      <c r="AK692" s="2398"/>
      <c r="AL692" s="2398"/>
      <c r="AM692" s="2398"/>
      <c r="AN692" s="2398"/>
      <c r="AO692" s="2398"/>
      <c r="AP692" s="2398"/>
      <c r="AQ692" s="2398"/>
      <c r="AR692" s="2398"/>
      <c r="AS692" s="2398"/>
      <c r="AT692" s="2398"/>
    </row>
    <row r="693" spans="1:46">
      <c r="A693" s="1422"/>
      <c r="B693" s="1422"/>
      <c r="D693" s="4271"/>
      <c r="E693" s="4271"/>
      <c r="F693" s="4271"/>
      <c r="G693" s="4271"/>
      <c r="H693" s="4271"/>
      <c r="I693" s="4271"/>
      <c r="J693" s="4271"/>
      <c r="K693" s="4271"/>
      <c r="L693" s="4271"/>
      <c r="M693" s="4271"/>
      <c r="N693" s="4271"/>
      <c r="O693" s="4271"/>
      <c r="P693" s="4271"/>
      <c r="Q693" s="4271"/>
      <c r="R693" s="4271"/>
      <c r="S693" s="4271"/>
      <c r="T693" s="4271"/>
      <c r="U693" s="4271"/>
      <c r="V693" s="4271"/>
      <c r="W693" s="4271"/>
      <c r="X693" s="2363"/>
      <c r="Y693" s="2399"/>
      <c r="Z693" s="2398"/>
      <c r="AA693" s="2398"/>
      <c r="AB693" s="2398"/>
      <c r="AE693" s="2398"/>
      <c r="AF693" s="2398"/>
      <c r="AG693" s="2398"/>
      <c r="AH693" s="2398"/>
      <c r="AI693" s="2398"/>
      <c r="AJ693" s="2398"/>
      <c r="AK693" s="2398"/>
      <c r="AL693" s="2398"/>
      <c r="AM693" s="2398"/>
      <c r="AN693" s="2398"/>
      <c r="AO693" s="2398"/>
      <c r="AP693" s="2398"/>
      <c r="AQ693" s="2398"/>
      <c r="AR693" s="2398"/>
      <c r="AS693" s="2398"/>
      <c r="AT693" s="2398"/>
    </row>
    <row r="694" spans="1:46" ht="13.15" customHeight="1">
      <c r="A694" s="1422"/>
      <c r="B694" s="1422"/>
      <c r="D694" s="4306" t="s">
        <v>1897</v>
      </c>
      <c r="E694" s="4306"/>
      <c r="F694" s="4306"/>
      <c r="G694" s="4306"/>
      <c r="H694" s="4306"/>
      <c r="I694" s="4306"/>
      <c r="J694" s="4306"/>
      <c r="K694" s="4306"/>
      <c r="L694" s="4306"/>
      <c r="M694" s="4306"/>
      <c r="N694" s="4306"/>
      <c r="O694" s="4306"/>
      <c r="P694" s="4306"/>
      <c r="Q694" s="4306"/>
      <c r="R694" s="4306"/>
      <c r="S694" s="4306"/>
      <c r="T694" s="4306"/>
      <c r="U694" s="4306"/>
      <c r="V694" s="4306"/>
      <c r="W694" s="4306"/>
      <c r="Y694" s="2399"/>
      <c r="Z694" s="2398"/>
      <c r="AA694" s="2398"/>
      <c r="AB694" s="2398"/>
      <c r="AE694" s="2398"/>
      <c r="AF694" s="2398"/>
      <c r="AG694" s="2398"/>
      <c r="AH694" s="2398"/>
      <c r="AI694" s="2398"/>
      <c r="AJ694" s="2398"/>
      <c r="AK694" s="2398"/>
      <c r="AL694" s="2398"/>
      <c r="AM694" s="2398"/>
      <c r="AN694" s="2398"/>
      <c r="AO694" s="2398"/>
      <c r="AP694" s="2398"/>
      <c r="AQ694" s="2398"/>
      <c r="AR694" s="2398"/>
      <c r="AS694" s="2398"/>
      <c r="AT694" s="2398"/>
    </row>
    <row r="695" spans="1:46">
      <c r="A695" s="1422"/>
      <c r="B695" s="1422"/>
      <c r="D695" s="4306"/>
      <c r="E695" s="4306"/>
      <c r="F695" s="4306"/>
      <c r="G695" s="4306"/>
      <c r="H695" s="4306"/>
      <c r="I695" s="4306"/>
      <c r="J695" s="4306"/>
      <c r="K695" s="4306"/>
      <c r="L695" s="4306"/>
      <c r="M695" s="4306"/>
      <c r="N695" s="4306"/>
      <c r="O695" s="4306"/>
      <c r="P695" s="4306"/>
      <c r="Q695" s="4306"/>
      <c r="R695" s="4306"/>
      <c r="S695" s="4306"/>
      <c r="T695" s="4306"/>
      <c r="U695" s="4306"/>
      <c r="V695" s="4306"/>
      <c r="W695" s="4306"/>
      <c r="Y695" s="1614"/>
      <c r="Z695" s="1545"/>
      <c r="AA695" s="1545"/>
      <c r="AB695" s="1545"/>
      <c r="AE695" s="2398"/>
      <c r="AF695" s="2398"/>
      <c r="AG695" s="2398"/>
      <c r="AH695" s="2398"/>
      <c r="AI695" s="2398"/>
      <c r="AJ695" s="2398"/>
      <c r="AK695" s="2398"/>
      <c r="AL695" s="2398"/>
      <c r="AM695" s="2398"/>
      <c r="AN695" s="2398"/>
      <c r="AO695" s="2398"/>
      <c r="AP695" s="2398"/>
      <c r="AQ695" s="2398"/>
      <c r="AR695" s="2398"/>
      <c r="AS695" s="2398"/>
      <c r="AT695" s="2398"/>
    </row>
    <row r="696" spans="1:46" ht="13.15" customHeight="1">
      <c r="A696" s="1422"/>
      <c r="B696" s="1422"/>
      <c r="D696" s="4306" t="s">
        <v>1288</v>
      </c>
      <c r="E696" s="4306"/>
      <c r="F696" s="4306"/>
      <c r="G696" s="4306"/>
      <c r="H696" s="4306"/>
      <c r="I696" s="4306"/>
      <c r="J696" s="4306"/>
      <c r="K696" s="4306"/>
      <c r="L696" s="4306"/>
      <c r="M696" s="4306"/>
      <c r="N696" s="4306"/>
      <c r="O696" s="4306"/>
      <c r="P696" s="4306"/>
      <c r="Q696" s="4306"/>
      <c r="R696" s="4306"/>
      <c r="S696" s="4306"/>
      <c r="T696" s="4306"/>
      <c r="U696" s="4306"/>
      <c r="V696" s="4306"/>
      <c r="W696" s="4306"/>
      <c r="Y696" s="4274" t="s">
        <v>1428</v>
      </c>
      <c r="Z696" s="4274"/>
      <c r="AA696" s="4274"/>
      <c r="AB696" s="4274"/>
      <c r="AE696" s="2398"/>
      <c r="AF696" s="2398"/>
      <c r="AG696" s="2398"/>
      <c r="AH696" s="2398"/>
      <c r="AI696" s="2398"/>
      <c r="AJ696" s="2398"/>
      <c r="AK696" s="2398"/>
      <c r="AL696" s="2398"/>
      <c r="AM696" s="2398"/>
      <c r="AN696" s="2398"/>
      <c r="AO696" s="2398"/>
      <c r="AP696" s="2398"/>
      <c r="AQ696" s="2398"/>
      <c r="AR696" s="2398"/>
      <c r="AS696" s="2398"/>
      <c r="AT696" s="2398"/>
    </row>
    <row r="697" spans="1:46" ht="13.15" customHeight="1">
      <c r="A697" s="1422"/>
      <c r="B697" s="1422"/>
      <c r="D697" s="4306"/>
      <c r="E697" s="4306"/>
      <c r="F697" s="4306"/>
      <c r="G697" s="4306"/>
      <c r="H697" s="4306"/>
      <c r="I697" s="4306"/>
      <c r="J697" s="4306"/>
      <c r="K697" s="4306"/>
      <c r="L697" s="4306"/>
      <c r="M697" s="4306"/>
      <c r="N697" s="4306"/>
      <c r="O697" s="4306"/>
      <c r="P697" s="4306"/>
      <c r="Q697" s="4306"/>
      <c r="R697" s="4306"/>
      <c r="S697" s="4306"/>
      <c r="T697" s="4306"/>
      <c r="U697" s="4306"/>
      <c r="V697" s="4306"/>
      <c r="W697" s="4306"/>
      <c r="X697" s="2408" t="s">
        <v>1896</v>
      </c>
      <c r="Y697" s="4274"/>
      <c r="Z697" s="4274"/>
      <c r="AA697" s="4274"/>
      <c r="AB697" s="4274"/>
      <c r="AE697" s="2398"/>
      <c r="AF697" s="2398"/>
      <c r="AG697" s="2398"/>
      <c r="AH697" s="2398"/>
      <c r="AI697" s="2398"/>
      <c r="AJ697" s="2398"/>
      <c r="AK697" s="2398"/>
      <c r="AL697" s="2398"/>
      <c r="AM697" s="2398"/>
      <c r="AN697" s="2398"/>
      <c r="AO697" s="2398"/>
      <c r="AP697" s="2398"/>
      <c r="AQ697" s="2398"/>
      <c r="AR697" s="2398"/>
      <c r="AS697" s="2398"/>
      <c r="AT697" s="2398"/>
    </row>
    <row r="698" spans="1:46" ht="13.15" customHeight="1">
      <c r="A698" s="1422"/>
      <c r="B698" s="1422"/>
      <c r="D698" s="4306" t="s">
        <v>1289</v>
      </c>
      <c r="E698" s="4306"/>
      <c r="F698" s="4306"/>
      <c r="G698" s="4306"/>
      <c r="H698" s="4306"/>
      <c r="I698" s="4306"/>
      <c r="J698" s="4306"/>
      <c r="K698" s="4306"/>
      <c r="L698" s="4306"/>
      <c r="M698" s="4306"/>
      <c r="N698" s="4306"/>
      <c r="O698" s="4306"/>
      <c r="P698" s="4306"/>
      <c r="Q698" s="4306"/>
      <c r="R698" s="4306"/>
      <c r="S698" s="4306"/>
      <c r="T698" s="4306"/>
      <c r="U698" s="4306"/>
      <c r="V698" s="4306"/>
      <c r="W698" s="4306"/>
      <c r="Y698" s="4274"/>
      <c r="Z698" s="4274"/>
      <c r="AA698" s="4274"/>
      <c r="AB698" s="4274"/>
      <c r="AE698" s="2398"/>
      <c r="AF698" s="2398"/>
      <c r="AG698" s="2398"/>
      <c r="AH698" s="2398"/>
      <c r="AI698" s="2398"/>
      <c r="AJ698" s="2398"/>
      <c r="AK698" s="2398"/>
      <c r="AL698" s="2398"/>
      <c r="AM698" s="2398"/>
      <c r="AN698" s="2398"/>
      <c r="AO698" s="2398"/>
      <c r="AP698" s="2398"/>
      <c r="AQ698" s="2398"/>
      <c r="AR698" s="2398"/>
      <c r="AS698" s="2398"/>
      <c r="AT698" s="2398"/>
    </row>
    <row r="699" spans="1:46">
      <c r="A699" s="1422"/>
      <c r="B699" s="1422"/>
      <c r="D699" s="4306"/>
      <c r="E699" s="4306"/>
      <c r="F699" s="4306"/>
      <c r="G699" s="4306"/>
      <c r="H699" s="4306"/>
      <c r="I699" s="4306"/>
      <c r="J699" s="4306"/>
      <c r="K699" s="4306"/>
      <c r="L699" s="4306"/>
      <c r="M699" s="4306"/>
      <c r="N699" s="4306"/>
      <c r="O699" s="4306"/>
      <c r="P699" s="4306"/>
      <c r="Q699" s="4306"/>
      <c r="R699" s="4306"/>
      <c r="S699" s="4306"/>
      <c r="T699" s="4306"/>
      <c r="U699" s="4306"/>
      <c r="V699" s="4306"/>
      <c r="W699" s="4306"/>
      <c r="Y699" s="1614"/>
      <c r="Z699" s="1545"/>
      <c r="AA699" s="1545"/>
      <c r="AB699" s="1545"/>
      <c r="AE699" s="2398"/>
      <c r="AF699" s="2398"/>
      <c r="AG699" s="2398"/>
      <c r="AH699" s="2398"/>
      <c r="AI699" s="2398"/>
      <c r="AJ699" s="2398"/>
      <c r="AK699" s="2398"/>
      <c r="AL699" s="2398"/>
      <c r="AM699" s="2398"/>
      <c r="AN699" s="2398"/>
      <c r="AO699" s="2398"/>
      <c r="AP699" s="2398"/>
      <c r="AQ699" s="2398"/>
      <c r="AR699" s="2398"/>
      <c r="AS699" s="2398"/>
      <c r="AT699" s="2398"/>
    </row>
    <row r="700" spans="1:46">
      <c r="A700" s="1422"/>
      <c r="B700" s="1422"/>
      <c r="D700" s="4306"/>
      <c r="E700" s="4306"/>
      <c r="F700" s="4306"/>
      <c r="G700" s="4306"/>
      <c r="H700" s="4306"/>
      <c r="I700" s="4306"/>
      <c r="J700" s="4306"/>
      <c r="K700" s="4306"/>
      <c r="L700" s="4306"/>
      <c r="M700" s="4306"/>
      <c r="N700" s="4306"/>
      <c r="O700" s="4306"/>
      <c r="P700" s="4306"/>
      <c r="Q700" s="4306"/>
      <c r="R700" s="4306"/>
      <c r="S700" s="4306"/>
      <c r="T700" s="4306"/>
      <c r="U700" s="4306"/>
      <c r="V700" s="4306"/>
      <c r="W700" s="4306"/>
      <c r="Y700" s="3488"/>
      <c r="Z700" s="3756"/>
      <c r="AA700" s="3756"/>
      <c r="AB700" s="3756"/>
      <c r="AE700" s="2398"/>
      <c r="AF700" s="2398"/>
      <c r="AG700" s="2398"/>
      <c r="AH700" s="2398"/>
      <c r="AI700" s="2398"/>
      <c r="AJ700" s="2398"/>
      <c r="AK700" s="2398"/>
      <c r="AL700" s="2398"/>
      <c r="AM700" s="2398"/>
      <c r="AN700" s="2398"/>
      <c r="AO700" s="2398"/>
      <c r="AP700" s="2398"/>
      <c r="AQ700" s="2398"/>
      <c r="AR700" s="2398"/>
      <c r="AS700" s="2398"/>
      <c r="AT700" s="2398"/>
    </row>
    <row r="701" spans="1:46" ht="13.15" customHeight="1">
      <c r="A701" s="1090"/>
      <c r="B701" s="1422"/>
      <c r="D701" s="4306" t="s">
        <v>2682</v>
      </c>
      <c r="E701" s="4306"/>
      <c r="F701" s="4306"/>
      <c r="G701" s="4306"/>
      <c r="H701" s="4306"/>
      <c r="I701" s="4306"/>
      <c r="J701" s="4306"/>
      <c r="K701" s="4306"/>
      <c r="L701" s="4306"/>
      <c r="M701" s="4306"/>
      <c r="N701" s="4306"/>
      <c r="O701" s="4306"/>
      <c r="P701" s="4306"/>
      <c r="Q701" s="4306"/>
      <c r="R701" s="4306"/>
      <c r="S701" s="4306"/>
      <c r="T701" s="4306"/>
      <c r="U701" s="4306"/>
      <c r="V701" s="4306"/>
      <c r="W701" s="4306"/>
      <c r="Y701" s="3488"/>
      <c r="Z701" s="3756"/>
      <c r="AA701" s="3756"/>
      <c r="AB701" s="3756"/>
      <c r="AE701" s="2398"/>
      <c r="AF701" s="2399"/>
      <c r="AG701" s="2399"/>
      <c r="AH701" s="2398"/>
      <c r="AI701" s="2398"/>
      <c r="AJ701" s="2398"/>
      <c r="AK701" s="2398"/>
      <c r="AL701" s="2398"/>
      <c r="AM701" s="2398"/>
      <c r="AN701" s="2398"/>
      <c r="AO701" s="2398"/>
      <c r="AP701" s="2398"/>
      <c r="AQ701" s="2398"/>
      <c r="AR701" s="2398"/>
      <c r="AS701" s="2398"/>
      <c r="AT701" s="2398"/>
    </row>
    <row r="702" spans="1:46">
      <c r="A702" s="1090"/>
      <c r="B702" s="1422"/>
      <c r="D702" s="4306"/>
      <c r="E702" s="4306"/>
      <c r="F702" s="4306"/>
      <c r="G702" s="4306"/>
      <c r="H702" s="4306"/>
      <c r="I702" s="4306"/>
      <c r="J702" s="4306"/>
      <c r="K702" s="4306"/>
      <c r="L702" s="4306"/>
      <c r="M702" s="4306"/>
      <c r="N702" s="4306"/>
      <c r="O702" s="4306"/>
      <c r="P702" s="4306"/>
      <c r="Q702" s="4306"/>
      <c r="R702" s="4306"/>
      <c r="S702" s="4306"/>
      <c r="T702" s="4306"/>
      <c r="U702" s="4306"/>
      <c r="V702" s="4306"/>
      <c r="W702" s="4306"/>
      <c r="Y702" s="1614"/>
      <c r="Z702" s="1545"/>
      <c r="AA702" s="1545"/>
      <c r="AB702" s="1545"/>
      <c r="AE702" s="2398"/>
      <c r="AF702" s="2399"/>
      <c r="AG702" s="2399"/>
      <c r="AH702" s="2398"/>
      <c r="AI702" s="2398"/>
      <c r="AJ702" s="2398"/>
      <c r="AK702" s="2398"/>
      <c r="AL702" s="2398"/>
      <c r="AM702" s="2398"/>
      <c r="AN702" s="2398"/>
      <c r="AO702" s="2398"/>
      <c r="AP702" s="2398"/>
      <c r="AQ702" s="2398"/>
      <c r="AR702" s="2398"/>
      <c r="AS702" s="2398"/>
      <c r="AT702" s="2398"/>
    </row>
    <row r="703" spans="1:46" ht="12.75" customHeight="1">
      <c r="A703" s="1090"/>
      <c r="B703" s="1422"/>
      <c r="D703" s="4306"/>
      <c r="E703" s="4306"/>
      <c r="F703" s="4306"/>
      <c r="G703" s="4306"/>
      <c r="H703" s="4306"/>
      <c r="I703" s="4306"/>
      <c r="J703" s="4306"/>
      <c r="K703" s="4306"/>
      <c r="L703" s="4306"/>
      <c r="M703" s="4306"/>
      <c r="N703" s="4306"/>
      <c r="O703" s="4306"/>
      <c r="P703" s="4306"/>
      <c r="Q703" s="4306"/>
      <c r="R703" s="4306"/>
      <c r="S703" s="4306"/>
      <c r="T703" s="4306"/>
      <c r="U703" s="4306"/>
      <c r="V703" s="4306"/>
      <c r="W703" s="4306"/>
      <c r="Y703" s="1545" t="s">
        <v>2694</v>
      </c>
      <c r="Z703" s="3834"/>
      <c r="AA703" s="3834"/>
      <c r="AB703" s="3834"/>
      <c r="AE703" s="2398"/>
      <c r="AF703" s="2399"/>
      <c r="AG703" s="2399"/>
      <c r="AH703" s="2398"/>
      <c r="AI703" s="2398"/>
      <c r="AJ703" s="2398"/>
      <c r="AK703" s="2398"/>
      <c r="AL703" s="2398"/>
      <c r="AM703" s="2398"/>
      <c r="AN703" s="2398"/>
      <c r="AO703" s="2398"/>
      <c r="AP703" s="2398"/>
      <c r="AQ703" s="2398"/>
      <c r="AR703" s="2398"/>
      <c r="AS703" s="2398"/>
      <c r="AT703" s="2398"/>
    </row>
    <row r="704" spans="1:46" ht="13.15" customHeight="1">
      <c r="A704" s="1090"/>
      <c r="B704" s="1422"/>
      <c r="D704" s="4306" t="s">
        <v>2683</v>
      </c>
      <c r="E704" s="4306"/>
      <c r="F704" s="4306"/>
      <c r="G704" s="4306"/>
      <c r="H704" s="4306"/>
      <c r="I704" s="4306"/>
      <c r="J704" s="4306"/>
      <c r="K704" s="4306"/>
      <c r="L704" s="4306"/>
      <c r="M704" s="4306"/>
      <c r="N704" s="4306"/>
      <c r="O704" s="4306"/>
      <c r="P704" s="4306"/>
      <c r="Q704" s="4306"/>
      <c r="R704" s="4306"/>
      <c r="S704" s="4306"/>
      <c r="T704" s="4306"/>
      <c r="U704" s="4306"/>
      <c r="V704" s="4306"/>
      <c r="W704" s="4306"/>
      <c r="Y704" s="3834"/>
      <c r="Z704" s="3834"/>
      <c r="AA704" s="3834"/>
      <c r="AB704" s="3834"/>
      <c r="AE704" s="2398"/>
      <c r="AF704" s="2399"/>
      <c r="AG704" s="2399"/>
      <c r="AH704" s="2398"/>
      <c r="AI704" s="2398"/>
      <c r="AJ704" s="2398"/>
      <c r="AK704" s="2398"/>
      <c r="AL704" s="2398"/>
      <c r="AM704" s="2398"/>
      <c r="AN704" s="2398"/>
      <c r="AO704" s="2398"/>
      <c r="AP704" s="2398"/>
      <c r="AQ704" s="2398"/>
      <c r="AR704" s="2398"/>
      <c r="AS704" s="2398"/>
      <c r="AT704" s="2398"/>
    </row>
    <row r="705" spans="1:64">
      <c r="A705" s="1090"/>
      <c r="B705" s="1422"/>
      <c r="D705" s="4306"/>
      <c r="E705" s="4306"/>
      <c r="F705" s="4306"/>
      <c r="G705" s="4306"/>
      <c r="H705" s="4306"/>
      <c r="I705" s="4306"/>
      <c r="J705" s="4306"/>
      <c r="K705" s="4306"/>
      <c r="L705" s="4306"/>
      <c r="M705" s="4306"/>
      <c r="N705" s="4306"/>
      <c r="O705" s="4306"/>
      <c r="P705" s="4306"/>
      <c r="Q705" s="4306"/>
      <c r="R705" s="4306"/>
      <c r="S705" s="4306"/>
      <c r="T705" s="4306"/>
      <c r="U705" s="4306"/>
      <c r="V705" s="4306"/>
      <c r="W705" s="4306"/>
      <c r="Y705" s="2399"/>
      <c r="Z705" s="2398"/>
      <c r="AA705" s="2398"/>
      <c r="AB705" s="2398"/>
      <c r="AE705" s="2398"/>
      <c r="AF705" s="2399"/>
      <c r="AG705" s="2399"/>
      <c r="AH705" s="2398"/>
      <c r="AI705" s="2398"/>
      <c r="AJ705" s="2398"/>
      <c r="AK705" s="2398"/>
      <c r="AL705" s="2398"/>
      <c r="AM705" s="2398"/>
      <c r="AN705" s="2398"/>
      <c r="AO705" s="2398"/>
      <c r="AP705" s="2398"/>
      <c r="AQ705" s="2398"/>
      <c r="AR705" s="2398"/>
      <c r="AS705" s="2398"/>
      <c r="AT705" s="2398"/>
    </row>
    <row r="706" spans="1:64">
      <c r="A706" s="1090"/>
      <c r="B706" s="1422"/>
      <c r="D706" s="4306"/>
      <c r="E706" s="4306"/>
      <c r="F706" s="4306"/>
      <c r="G706" s="4306"/>
      <c r="H706" s="4306"/>
      <c r="I706" s="4306"/>
      <c r="J706" s="4306"/>
      <c r="K706" s="4306"/>
      <c r="L706" s="4306"/>
      <c r="M706" s="4306"/>
      <c r="N706" s="4306"/>
      <c r="O706" s="4306"/>
      <c r="P706" s="4306"/>
      <c r="Q706" s="4306"/>
      <c r="R706" s="4306"/>
      <c r="S706" s="4306"/>
      <c r="T706" s="4306"/>
      <c r="U706" s="4306"/>
      <c r="V706" s="4306"/>
      <c r="W706" s="4306"/>
      <c r="Y706" s="2399"/>
      <c r="Z706" s="2398"/>
      <c r="AA706" s="2398"/>
      <c r="AB706" s="2398"/>
      <c r="AE706" s="2398"/>
      <c r="AF706" s="2399"/>
      <c r="AG706" s="2399"/>
      <c r="AH706" s="2398"/>
      <c r="AI706" s="2398"/>
      <c r="AJ706" s="2398"/>
      <c r="AK706" s="2398"/>
      <c r="AL706" s="2398"/>
      <c r="AM706" s="2398"/>
      <c r="AN706" s="2398"/>
      <c r="AO706" s="2398"/>
      <c r="AP706" s="2398"/>
      <c r="AQ706" s="2398"/>
      <c r="AR706" s="2398"/>
      <c r="AS706" s="2398"/>
      <c r="AT706" s="2398"/>
    </row>
    <row r="707" spans="1:64" ht="13.15" customHeight="1">
      <c r="A707" s="1090"/>
      <c r="B707" s="1422"/>
      <c r="D707" s="4306" t="s">
        <v>2684</v>
      </c>
      <c r="E707" s="4306"/>
      <c r="F707" s="4306"/>
      <c r="G707" s="4306"/>
      <c r="H707" s="4306"/>
      <c r="I707" s="4306"/>
      <c r="J707" s="4306"/>
      <c r="K707" s="4306"/>
      <c r="L707" s="4306"/>
      <c r="M707" s="4306"/>
      <c r="N707" s="4306"/>
      <c r="O707" s="4306"/>
      <c r="P707" s="4306"/>
      <c r="Q707" s="4306"/>
      <c r="R707" s="4306"/>
      <c r="S707" s="4306"/>
      <c r="T707" s="4306"/>
      <c r="U707" s="4306"/>
      <c r="V707" s="4306"/>
      <c r="W707" s="4306"/>
      <c r="X707" s="2363"/>
      <c r="Y707" s="2399"/>
      <c r="Z707" s="2398"/>
      <c r="AA707" s="2398"/>
      <c r="AB707" s="2398"/>
      <c r="AE707" s="2398"/>
      <c r="AF707" s="2399"/>
      <c r="AG707" s="2399"/>
      <c r="AH707" s="2398"/>
      <c r="AI707" s="2398"/>
      <c r="AJ707" s="2398"/>
      <c r="AK707" s="2398"/>
      <c r="AL707" s="2398"/>
      <c r="AM707" s="2398"/>
      <c r="AN707" s="2398"/>
      <c r="AO707" s="2398"/>
      <c r="AP707" s="2398"/>
      <c r="AQ707" s="2398"/>
      <c r="AR707" s="2398"/>
      <c r="AS707" s="2398"/>
      <c r="AT707" s="2398"/>
    </row>
    <row r="708" spans="1:64">
      <c r="A708" s="1090"/>
      <c r="B708" s="1422"/>
      <c r="D708" s="4306"/>
      <c r="E708" s="4306"/>
      <c r="F708" s="4306"/>
      <c r="G708" s="4306"/>
      <c r="H708" s="4306"/>
      <c r="I708" s="4306"/>
      <c r="J708" s="4306"/>
      <c r="K708" s="4306"/>
      <c r="L708" s="4306"/>
      <c r="M708" s="4306"/>
      <c r="N708" s="4306"/>
      <c r="O708" s="4306"/>
      <c r="P708" s="4306"/>
      <c r="Q708" s="4306"/>
      <c r="R708" s="4306"/>
      <c r="S708" s="4306"/>
      <c r="T708" s="4306"/>
      <c r="U708" s="4306"/>
      <c r="V708" s="4306"/>
      <c r="W708" s="4306"/>
      <c r="X708" s="2363"/>
      <c r="Y708" s="2399"/>
      <c r="Z708" s="2398"/>
      <c r="AA708" s="2398"/>
      <c r="AB708" s="2398"/>
      <c r="AE708" s="2398"/>
      <c r="AF708" s="2399"/>
      <c r="AG708" s="2399"/>
      <c r="AH708" s="2398"/>
      <c r="AI708" s="2398"/>
      <c r="AJ708" s="2398"/>
      <c r="AK708" s="2398"/>
      <c r="AL708" s="2398"/>
      <c r="AM708" s="2398"/>
      <c r="AN708" s="2398"/>
      <c r="AO708" s="2398"/>
      <c r="AP708" s="2398"/>
      <c r="AQ708" s="2398"/>
      <c r="AR708" s="2398"/>
      <c r="AS708" s="2398"/>
      <c r="AT708" s="2398"/>
    </row>
    <row r="709" spans="1:64">
      <c r="A709" s="1090"/>
      <c r="B709" s="1422"/>
      <c r="D709" s="4306"/>
      <c r="E709" s="4306"/>
      <c r="F709" s="4306"/>
      <c r="G709" s="4306"/>
      <c r="H709" s="4306"/>
      <c r="I709" s="4306"/>
      <c r="J709" s="4306"/>
      <c r="K709" s="4306"/>
      <c r="L709" s="4306"/>
      <c r="M709" s="4306"/>
      <c r="N709" s="4306"/>
      <c r="O709" s="4306"/>
      <c r="P709" s="4306"/>
      <c r="Q709" s="4306"/>
      <c r="R709" s="4306"/>
      <c r="S709" s="4306"/>
      <c r="T709" s="4306"/>
      <c r="U709" s="4306"/>
      <c r="V709" s="4306"/>
      <c r="W709" s="4306"/>
      <c r="Y709" s="2399"/>
      <c r="Z709" s="2398"/>
      <c r="AA709" s="2398"/>
      <c r="AB709" s="2398"/>
      <c r="AE709" s="2398"/>
      <c r="AF709" s="2399"/>
      <c r="AG709" s="2399"/>
      <c r="AH709" s="2398"/>
      <c r="AI709" s="2398"/>
      <c r="AJ709" s="2398"/>
      <c r="AK709" s="2398"/>
      <c r="AL709" s="2398"/>
      <c r="AM709" s="2398"/>
      <c r="AN709" s="2398"/>
      <c r="AO709" s="2398"/>
      <c r="AP709" s="2398"/>
      <c r="AQ709" s="2398"/>
      <c r="AR709" s="2398"/>
      <c r="AS709" s="2398"/>
      <c r="AT709" s="2398"/>
    </row>
    <row r="710" spans="1:64" ht="13.15" customHeight="1">
      <c r="A710" s="1090"/>
      <c r="B710" s="1422"/>
      <c r="D710" s="4295" t="s">
        <v>2685</v>
      </c>
      <c r="E710" s="4295"/>
      <c r="F710" s="4295"/>
      <c r="G710" s="4295"/>
      <c r="H710" s="4295"/>
      <c r="I710" s="4295"/>
      <c r="J710" s="4295"/>
      <c r="K710" s="4295"/>
      <c r="L710" s="4295"/>
      <c r="M710" s="4295"/>
      <c r="N710" s="4295"/>
      <c r="O710" s="4295"/>
      <c r="P710" s="4295"/>
      <c r="Q710" s="4295"/>
      <c r="R710" s="4295"/>
      <c r="S710" s="4295"/>
      <c r="T710" s="4295"/>
      <c r="U710" s="4295"/>
      <c r="V710" s="4295"/>
      <c r="W710" s="4295"/>
      <c r="Y710" s="2399"/>
      <c r="Z710" s="2398"/>
      <c r="AA710" s="2398"/>
      <c r="AB710" s="2398"/>
      <c r="AE710" s="2398"/>
      <c r="AF710" s="2399"/>
      <c r="AG710" s="2399"/>
      <c r="AH710" s="2398"/>
      <c r="AI710" s="2398"/>
      <c r="AJ710" s="2398"/>
      <c r="AK710" s="2398"/>
      <c r="AL710" s="2398"/>
      <c r="AM710" s="2398"/>
      <c r="AN710" s="2398"/>
      <c r="AO710" s="2398"/>
      <c r="AP710" s="2398"/>
      <c r="AQ710" s="2398"/>
      <c r="AR710" s="2398"/>
      <c r="AS710" s="2398"/>
      <c r="AT710" s="2398"/>
    </row>
    <row r="711" spans="1:64">
      <c r="A711" s="1090"/>
      <c r="B711" s="1422"/>
      <c r="D711" s="4295"/>
      <c r="E711" s="4295"/>
      <c r="F711" s="4295"/>
      <c r="G711" s="4295"/>
      <c r="H711" s="4295"/>
      <c r="I711" s="4295"/>
      <c r="J711" s="4295"/>
      <c r="K711" s="4295"/>
      <c r="L711" s="4295"/>
      <c r="M711" s="4295"/>
      <c r="N711" s="4295"/>
      <c r="O711" s="4295"/>
      <c r="P711" s="4295"/>
      <c r="Q711" s="4295"/>
      <c r="R711" s="4295"/>
      <c r="S711" s="4295"/>
      <c r="T711" s="4295"/>
      <c r="U711" s="4295"/>
      <c r="V711" s="4295"/>
      <c r="W711" s="4295"/>
      <c r="Y711" s="2399"/>
      <c r="Z711" s="2398"/>
      <c r="AA711" s="2398"/>
      <c r="AB711" s="2398"/>
      <c r="AE711" s="2398"/>
      <c r="AF711" s="2399"/>
      <c r="AG711" s="2399"/>
      <c r="AH711" s="2398"/>
      <c r="AI711" s="2398"/>
      <c r="AJ711" s="2398"/>
      <c r="AK711" s="2398"/>
      <c r="AL711" s="2398"/>
      <c r="AM711" s="2398"/>
      <c r="AN711" s="2398"/>
      <c r="AO711" s="2398"/>
      <c r="AP711" s="2398"/>
      <c r="AQ711" s="2398"/>
      <c r="AR711" s="2398"/>
      <c r="AS711" s="2398"/>
      <c r="AT711" s="2398"/>
    </row>
    <row r="712" spans="1:64">
      <c r="A712" s="1090"/>
      <c r="B712" s="1422"/>
      <c r="D712" s="4307"/>
      <c r="E712" s="4307"/>
      <c r="F712" s="4307"/>
      <c r="G712" s="4307"/>
      <c r="H712" s="4307"/>
      <c r="I712" s="4307"/>
      <c r="J712" s="4307"/>
      <c r="K712" s="4307"/>
      <c r="L712" s="4307"/>
      <c r="M712" s="4307"/>
      <c r="N712" s="4307"/>
      <c r="O712" s="4307"/>
      <c r="P712" s="4307"/>
      <c r="Q712" s="4307"/>
      <c r="R712" s="4307"/>
      <c r="S712" s="4307"/>
      <c r="T712" s="4307"/>
      <c r="U712" s="4307"/>
      <c r="V712" s="4307"/>
      <c r="W712" s="4307"/>
      <c r="Y712" s="2399"/>
      <c r="Z712" s="2398"/>
      <c r="AA712" s="2398"/>
      <c r="AB712" s="2398"/>
      <c r="AE712" s="2398"/>
      <c r="AF712" s="2399"/>
      <c r="AG712" s="2399"/>
      <c r="AH712" s="2398"/>
      <c r="AI712" s="2398"/>
      <c r="AJ712" s="2398"/>
      <c r="AK712" s="2398"/>
      <c r="AL712" s="2398"/>
      <c r="AM712" s="2398"/>
      <c r="AN712" s="2398"/>
      <c r="AO712" s="2398"/>
      <c r="AP712" s="2398"/>
      <c r="AQ712" s="2398"/>
      <c r="AR712" s="2398"/>
      <c r="AS712" s="2398"/>
      <c r="AT712" s="2398"/>
    </row>
    <row r="713" spans="1:64">
      <c r="A713" s="1090"/>
      <c r="B713" s="1422"/>
      <c r="D713" s="79"/>
      <c r="E713" s="1421"/>
      <c r="F713" s="1421"/>
      <c r="G713" s="1421"/>
      <c r="H713" s="1421"/>
      <c r="I713" s="1421"/>
      <c r="J713" s="1421"/>
      <c r="K713" s="1421"/>
      <c r="L713" s="1421"/>
      <c r="M713" s="1421"/>
      <c r="N713" s="1421"/>
      <c r="O713" s="1421"/>
      <c r="P713" s="1421"/>
      <c r="Q713" s="1421"/>
      <c r="R713" s="1421"/>
      <c r="S713" s="1561"/>
      <c r="T713" s="1686"/>
      <c r="U713" s="1686"/>
      <c r="V713" s="1686"/>
      <c r="W713" s="1686"/>
      <c r="Y713" s="2399"/>
      <c r="Z713" s="2398"/>
      <c r="AA713" s="2398"/>
      <c r="AB713" s="2398"/>
      <c r="AE713" s="2398"/>
      <c r="AF713" s="2399"/>
      <c r="AG713" s="2399"/>
      <c r="AH713" s="2398"/>
      <c r="AI713" s="2398"/>
      <c r="AJ713" s="2398"/>
      <c r="AK713" s="2398"/>
      <c r="AL713" s="2398"/>
      <c r="AM713" s="2398"/>
      <c r="AN713" s="2398"/>
      <c r="AO713" s="2398"/>
      <c r="AP713" s="2398"/>
      <c r="AQ713" s="2398"/>
      <c r="AR713" s="2398"/>
      <c r="AS713" s="2398"/>
      <c r="AT713" s="2398"/>
    </row>
    <row r="714" spans="1:64">
      <c r="A714" s="1090"/>
      <c r="B714" s="2021" t="s">
        <v>99</v>
      </c>
      <c r="D714" s="3635" t="s">
        <v>1520</v>
      </c>
      <c r="E714" s="1041"/>
      <c r="F714" s="1041"/>
      <c r="G714" s="1041"/>
      <c r="H714" s="1041"/>
      <c r="I714" s="1041"/>
      <c r="J714" s="1041"/>
      <c r="K714" s="1041"/>
      <c r="L714" s="1041"/>
      <c r="M714" s="1041"/>
      <c r="N714" s="1041"/>
      <c r="O714" s="1041"/>
      <c r="P714" s="571"/>
      <c r="Q714" s="1512"/>
      <c r="R714" s="1148"/>
      <c r="S714" s="1148"/>
      <c r="T714" s="1148"/>
      <c r="U714" s="1148"/>
      <c r="V714" s="1148"/>
      <c r="W714" s="1148"/>
      <c r="X714" s="2347"/>
      <c r="Y714" s="2399"/>
      <c r="Z714" s="2398"/>
      <c r="AA714" s="2398"/>
      <c r="AB714" s="2398"/>
      <c r="AE714" s="2398"/>
      <c r="AF714" s="2399"/>
      <c r="AG714" s="2399"/>
      <c r="AH714" s="2398"/>
      <c r="AI714" s="2398"/>
      <c r="AJ714" s="2398"/>
      <c r="AK714" s="2398"/>
      <c r="AL714" s="2398"/>
      <c r="AM714" s="2398"/>
      <c r="AN714" s="2398"/>
      <c r="AO714" s="2398"/>
      <c r="AP714" s="2398"/>
      <c r="AQ714" s="2398"/>
      <c r="AR714" s="2398"/>
      <c r="AS714" s="2398"/>
      <c r="AT714" s="2398"/>
    </row>
    <row r="715" spans="1:64">
      <c r="A715" s="1090"/>
      <c r="B715" s="1542"/>
      <c r="D715" s="79"/>
      <c r="E715" s="1543"/>
      <c r="F715" s="1543"/>
      <c r="G715" s="1543"/>
      <c r="H715" s="1543"/>
      <c r="I715" s="1543"/>
      <c r="J715" s="1543"/>
      <c r="K715" s="1543"/>
      <c r="L715" s="1543"/>
      <c r="M715" s="1543"/>
      <c r="N715" s="1543"/>
      <c r="O715" s="1543"/>
      <c r="P715" s="108"/>
      <c r="Q715" s="1506"/>
      <c r="R715" s="77"/>
      <c r="S715" s="1543"/>
      <c r="T715" s="1543"/>
      <c r="U715" s="1543"/>
      <c r="V715" s="1543"/>
      <c r="W715" s="1543"/>
      <c r="Y715" s="2399"/>
      <c r="Z715" s="2398"/>
      <c r="AA715" s="2398"/>
      <c r="AB715" s="2398"/>
      <c r="AE715" s="2398"/>
      <c r="AF715" s="2399"/>
      <c r="AG715" s="2399"/>
      <c r="AH715" s="2398"/>
      <c r="AI715" s="2398"/>
      <c r="AJ715" s="2398"/>
      <c r="AK715" s="2398"/>
      <c r="AL715" s="2398"/>
      <c r="AM715" s="2398"/>
      <c r="AN715" s="2398"/>
      <c r="AO715" s="2398"/>
      <c r="AP715" s="2398"/>
      <c r="AQ715" s="2398"/>
      <c r="AR715" s="2398"/>
      <c r="AS715" s="2398"/>
      <c r="AT715" s="2398"/>
    </row>
    <row r="716" spans="1:64" s="2398" customFormat="1" ht="3.75" customHeight="1">
      <c r="A716" s="2766"/>
      <c r="C716" s="2399"/>
      <c r="D716" s="2767"/>
      <c r="E716" s="2399"/>
      <c r="F716" s="2399"/>
      <c r="G716" s="2399"/>
      <c r="H716" s="2399"/>
      <c r="I716" s="2399"/>
      <c r="J716" s="2399"/>
      <c r="K716" s="2399"/>
      <c r="L716" s="2399"/>
      <c r="M716" s="2399"/>
      <c r="N716" s="2399"/>
      <c r="O716" s="2399"/>
      <c r="P716" s="2399"/>
      <c r="Q716" s="2746"/>
      <c r="R716" s="2497"/>
      <c r="S716" s="2399"/>
      <c r="T716" s="2399"/>
      <c r="U716" s="2399"/>
      <c r="V716" s="2399"/>
      <c r="W716" s="2399"/>
      <c r="X716" s="2399"/>
      <c r="Y716" s="2399"/>
      <c r="AF716" s="2399"/>
      <c r="AG716" s="2399"/>
      <c r="BL716" s="2399"/>
    </row>
    <row r="717" spans="1:64">
      <c r="A717" s="1175" t="s">
        <v>751</v>
      </c>
      <c r="B717" s="3857" t="s">
        <v>2695</v>
      </c>
      <c r="C717" s="2374"/>
      <c r="D717" s="3812" t="s">
        <v>2696</v>
      </c>
      <c r="E717" s="3812"/>
      <c r="F717" s="3812"/>
      <c r="G717" s="3812"/>
      <c r="H717" s="3812"/>
      <c r="I717" s="3812"/>
      <c r="J717" s="3812"/>
      <c r="K717" s="3812"/>
      <c r="L717" s="3812"/>
      <c r="M717" s="3812"/>
      <c r="N717" s="3812"/>
      <c r="O717" s="3812"/>
      <c r="P717" s="3831"/>
      <c r="Q717" s="3831"/>
      <c r="R717" s="3826"/>
      <c r="S717" s="3858" t="s">
        <v>1431</v>
      </c>
      <c r="T717" s="3858"/>
      <c r="U717" s="2908"/>
      <c r="V717" s="2908"/>
      <c r="W717" s="2908"/>
      <c r="Y717" s="2399"/>
      <c r="Z717" s="2398"/>
      <c r="AA717" s="2398"/>
      <c r="AB717" s="2398"/>
      <c r="AE717" s="2398"/>
      <c r="AF717" s="2399"/>
      <c r="AG717" s="2399"/>
      <c r="AH717" s="2398"/>
      <c r="AI717" s="2398"/>
      <c r="AJ717" s="2398"/>
      <c r="AK717" s="2398"/>
      <c r="AL717" s="2398"/>
      <c r="AM717" s="2398"/>
      <c r="AN717" s="2398"/>
      <c r="AO717" s="2398"/>
      <c r="AP717" s="2398"/>
      <c r="AQ717" s="2398"/>
      <c r="AR717" s="2398"/>
      <c r="AS717" s="2398"/>
      <c r="AT717" s="2398"/>
    </row>
    <row r="718" spans="1:64" ht="13.15" customHeight="1">
      <c r="A718" s="1090"/>
      <c r="B718" s="1081"/>
      <c r="C718" s="2374"/>
      <c r="D718" s="3859" t="s">
        <v>2697</v>
      </c>
      <c r="E718" s="3860"/>
      <c r="F718" s="3860"/>
      <c r="G718" s="3860"/>
      <c r="H718" s="3860"/>
      <c r="I718" s="3860"/>
      <c r="J718" s="3860"/>
      <c r="K718" s="3860"/>
      <c r="L718" s="3860"/>
      <c r="M718" s="3860"/>
      <c r="N718" s="3860"/>
      <c r="O718" s="3860"/>
      <c r="P718" s="3860"/>
      <c r="Q718" s="3860"/>
      <c r="R718" s="3861" t="s">
        <v>1407</v>
      </c>
      <c r="S718" s="3862" t="s">
        <v>1432</v>
      </c>
      <c r="T718" s="3862"/>
      <c r="U718" s="3863"/>
      <c r="V718" s="3863"/>
      <c r="W718" s="3863"/>
      <c r="Y718" s="2399"/>
      <c r="Z718" s="2398"/>
      <c r="AA718" s="2398"/>
      <c r="AB718" s="2398"/>
      <c r="AE718" s="2398"/>
      <c r="AF718" s="2399"/>
      <c r="AG718" s="2399"/>
      <c r="AH718" s="2398"/>
      <c r="AI718" s="2398"/>
      <c r="AJ718" s="2398"/>
      <c r="AK718" s="2398"/>
      <c r="AL718" s="2398"/>
      <c r="AM718" s="2398"/>
      <c r="AN718" s="2398"/>
      <c r="AO718" s="2398"/>
      <c r="AP718" s="2398"/>
      <c r="AQ718" s="2398"/>
      <c r="AR718" s="2398"/>
      <c r="AS718" s="2398"/>
      <c r="AT718" s="2398"/>
    </row>
    <row r="719" spans="1:64">
      <c r="A719" s="1090"/>
      <c r="B719" s="1081"/>
      <c r="C719" s="2374"/>
      <c r="D719" s="3859" t="s">
        <v>1309</v>
      </c>
      <c r="E719" s="3399"/>
      <c r="F719" s="3399"/>
      <c r="G719" s="3399"/>
      <c r="H719" s="3399"/>
      <c r="I719" s="3399"/>
      <c r="J719" s="3399"/>
      <c r="K719" s="3399"/>
      <c r="L719" s="3399"/>
      <c r="M719" s="3399"/>
      <c r="N719" s="3399"/>
      <c r="O719" s="3399"/>
      <c r="P719" s="3837"/>
      <c r="Q719" s="3837"/>
      <c r="R719" s="3861" t="s">
        <v>1407</v>
      </c>
      <c r="S719" s="3862" t="s">
        <v>1432</v>
      </c>
      <c r="T719" s="3862"/>
      <c r="U719" s="1549"/>
      <c r="V719" s="1549"/>
      <c r="W719" s="1549"/>
      <c r="Y719" s="2399"/>
      <c r="Z719" s="2398"/>
      <c r="AA719" s="2398"/>
      <c r="AB719" s="2398"/>
      <c r="AE719" s="2398"/>
      <c r="AF719" s="2399"/>
      <c r="AG719" s="2399"/>
      <c r="AH719" s="2398"/>
      <c r="AI719" s="2398"/>
      <c r="AJ719" s="2398"/>
      <c r="AK719" s="2398"/>
      <c r="AL719" s="2398"/>
      <c r="AM719" s="2398"/>
      <c r="AN719" s="2398"/>
      <c r="AO719" s="2398"/>
      <c r="AP719" s="2398"/>
      <c r="AQ719" s="2398"/>
      <c r="AR719" s="2398"/>
      <c r="AS719" s="2398"/>
      <c r="AT719" s="2398"/>
    </row>
    <row r="720" spans="1:64">
      <c r="A720" s="1090"/>
      <c r="B720" s="1081"/>
      <c r="C720" s="2374"/>
      <c r="D720" s="4276" t="s">
        <v>2711</v>
      </c>
      <c r="E720" s="4276"/>
      <c r="F720" s="4276"/>
      <c r="G720" s="4276"/>
      <c r="H720" s="4276"/>
      <c r="I720" s="4276"/>
      <c r="J720" s="4276"/>
      <c r="K720" s="4276"/>
      <c r="L720" s="4276"/>
      <c r="M720" s="4276"/>
      <c r="N720" s="4276"/>
      <c r="O720" s="4276"/>
      <c r="P720" s="4276"/>
      <c r="Q720" s="4276"/>
      <c r="R720" s="3864" t="s">
        <v>1407</v>
      </c>
      <c r="S720" s="4302" t="s">
        <v>2698</v>
      </c>
      <c r="T720" s="4302"/>
      <c r="U720" s="4302"/>
      <c r="V720" s="4302"/>
      <c r="W720" s="4302"/>
      <c r="Y720" s="2399"/>
      <c r="Z720" s="2398"/>
      <c r="AA720" s="2398"/>
      <c r="AB720" s="2398"/>
      <c r="AE720" s="2398"/>
      <c r="AF720" s="2399"/>
      <c r="AG720" s="2399"/>
      <c r="AH720" s="2398"/>
      <c r="AI720" s="2398"/>
      <c r="AJ720" s="2398"/>
      <c r="AK720" s="2398"/>
      <c r="AL720" s="2398"/>
      <c r="AM720" s="2398"/>
      <c r="AN720" s="2398"/>
      <c r="AO720" s="2398"/>
      <c r="AP720" s="2398"/>
      <c r="AQ720" s="2398"/>
      <c r="AR720" s="2398"/>
      <c r="AS720" s="2398"/>
      <c r="AT720" s="2398"/>
    </row>
    <row r="721" spans="1:46">
      <c r="A721" s="1090"/>
      <c r="B721" s="1081"/>
      <c r="C721" s="2374"/>
      <c r="D721" s="4276"/>
      <c r="E721" s="4276"/>
      <c r="F721" s="4276"/>
      <c r="G721" s="4276"/>
      <c r="H721" s="4276"/>
      <c r="I721" s="4276"/>
      <c r="J721" s="4276"/>
      <c r="K721" s="4276"/>
      <c r="L721" s="4276"/>
      <c r="M721" s="4276"/>
      <c r="N721" s="4276"/>
      <c r="O721" s="4276"/>
      <c r="P721" s="4276"/>
      <c r="Q721" s="4276"/>
      <c r="R721" s="1557"/>
      <c r="S721" s="4308"/>
      <c r="T721" s="4308"/>
      <c r="U721" s="4308"/>
      <c r="V721" s="4308"/>
      <c r="W721" s="4308"/>
      <c r="Y721" s="2776"/>
      <c r="Z721" s="2777"/>
      <c r="AA721" s="2777"/>
      <c r="AB721" s="2777"/>
      <c r="AD721" s="2367"/>
      <c r="AE721" s="2398"/>
      <c r="AF721" s="2399"/>
      <c r="AG721" s="2399"/>
      <c r="AH721" s="2398"/>
      <c r="AI721" s="2398"/>
      <c r="AJ721" s="2398"/>
      <c r="AK721" s="2398"/>
      <c r="AL721" s="2398"/>
      <c r="AM721" s="2398"/>
      <c r="AN721" s="2398"/>
      <c r="AO721" s="2398"/>
      <c r="AP721" s="2398"/>
      <c r="AQ721" s="2398"/>
      <c r="AR721" s="2398"/>
      <c r="AS721" s="2398"/>
      <c r="AT721" s="2398"/>
    </row>
    <row r="722" spans="1:46">
      <c r="A722" s="1090"/>
      <c r="B722" s="1081"/>
      <c r="C722" s="2374"/>
      <c r="D722" s="3865" t="s">
        <v>1435</v>
      </c>
      <c r="E722" s="3492"/>
      <c r="F722" s="3492"/>
      <c r="G722" s="3492"/>
      <c r="H722" s="3492"/>
      <c r="I722" s="3492"/>
      <c r="J722" s="3492"/>
      <c r="K722" s="3492"/>
      <c r="L722" s="3492"/>
      <c r="M722" s="3492"/>
      <c r="N722" s="3492"/>
      <c r="O722" s="3492"/>
      <c r="P722" s="3489"/>
      <c r="Q722" s="3489"/>
      <c r="R722" s="1557"/>
      <c r="S722" s="1135"/>
      <c r="T722" s="1135"/>
      <c r="U722" s="1135"/>
      <c r="V722" s="1135"/>
      <c r="W722" s="1135"/>
      <c r="Y722" s="2776"/>
      <c r="Z722" s="2777"/>
      <c r="AA722" s="2777"/>
      <c r="AB722" s="2777"/>
      <c r="AD722" s="2367"/>
      <c r="AE722" s="2398"/>
      <c r="AF722" s="2399"/>
      <c r="AG722" s="2399"/>
      <c r="AH722" s="2398"/>
      <c r="AI722" s="2398"/>
      <c r="AJ722" s="2398"/>
      <c r="AK722" s="2398"/>
      <c r="AL722" s="2398"/>
      <c r="AM722" s="2398"/>
      <c r="AN722" s="2398"/>
      <c r="AO722" s="2398"/>
      <c r="AP722" s="2398"/>
      <c r="AQ722" s="2398"/>
      <c r="AR722" s="2398"/>
      <c r="AS722" s="2398"/>
      <c r="AT722" s="2398"/>
    </row>
    <row r="723" spans="1:46">
      <c r="A723" s="1090"/>
      <c r="B723" s="1081"/>
      <c r="C723" s="2374"/>
      <c r="D723" s="3865" t="s">
        <v>1433</v>
      </c>
      <c r="E723" s="3492"/>
      <c r="F723" s="3492"/>
      <c r="G723" s="3492"/>
      <c r="H723" s="3492"/>
      <c r="I723" s="3492"/>
      <c r="J723" s="3492"/>
      <c r="K723" s="3492"/>
      <c r="L723" s="3492"/>
      <c r="M723" s="3492"/>
      <c r="N723" s="3492"/>
      <c r="O723" s="3492"/>
      <c r="P723" s="3489"/>
      <c r="Q723" s="3489"/>
      <c r="R723" s="1557"/>
      <c r="S723" s="1135"/>
      <c r="T723" s="1135"/>
      <c r="U723" s="1135"/>
      <c r="V723" s="1135"/>
      <c r="W723" s="1135"/>
      <c r="Y723" s="2776"/>
      <c r="Z723" s="2777"/>
      <c r="AA723" s="2777"/>
      <c r="AB723" s="2777"/>
      <c r="AD723" s="2367"/>
      <c r="AE723" s="2398"/>
      <c r="AF723" s="2399"/>
      <c r="AG723" s="2399"/>
      <c r="AH723" s="2398"/>
      <c r="AI723" s="2398"/>
      <c r="AJ723" s="2398"/>
      <c r="AK723" s="2398"/>
      <c r="AL723" s="2398"/>
      <c r="AM723" s="2398"/>
      <c r="AN723" s="2398"/>
      <c r="AO723" s="2398"/>
      <c r="AP723" s="2398"/>
      <c r="AQ723" s="2398"/>
      <c r="AR723" s="2398"/>
      <c r="AS723" s="2398"/>
      <c r="AT723" s="2398"/>
    </row>
    <row r="724" spans="1:46">
      <c r="A724" s="1090"/>
      <c r="B724" s="1081"/>
      <c r="C724" s="2374"/>
      <c r="D724" s="3866" t="s">
        <v>1434</v>
      </c>
      <c r="E724" s="3733"/>
      <c r="F724" s="3733"/>
      <c r="G724" s="3733"/>
      <c r="H724" s="3733"/>
      <c r="I724" s="3733"/>
      <c r="J724" s="3733"/>
      <c r="K724" s="3733"/>
      <c r="L724" s="3733"/>
      <c r="M724" s="3733"/>
      <c r="N724" s="3733"/>
      <c r="O724" s="3733"/>
      <c r="P724" s="3838"/>
      <c r="Q724" s="3838"/>
      <c r="R724" s="1570"/>
      <c r="S724" s="2714"/>
      <c r="T724" s="2714"/>
      <c r="U724" s="2714"/>
      <c r="V724" s="2714"/>
      <c r="W724" s="2714"/>
      <c r="Y724" s="1135"/>
      <c r="Z724" s="1089"/>
      <c r="AA724" s="1089"/>
      <c r="AB724" s="1089"/>
      <c r="AD724" s="3309"/>
      <c r="AE724" s="2398"/>
      <c r="AF724" s="2399"/>
      <c r="AG724" s="2399"/>
      <c r="AH724" s="2398"/>
      <c r="AI724" s="2398"/>
      <c r="AJ724" s="2398"/>
      <c r="AK724" s="2398"/>
      <c r="AL724" s="2398"/>
      <c r="AM724" s="2398"/>
      <c r="AN724" s="2398"/>
      <c r="AO724" s="2398"/>
      <c r="AP724" s="2398"/>
      <c r="AQ724" s="2398"/>
      <c r="AR724" s="2398"/>
      <c r="AS724" s="2398"/>
      <c r="AT724" s="2398"/>
    </row>
    <row r="725" spans="1:46">
      <c r="A725" s="1090"/>
      <c r="B725" s="1081"/>
      <c r="C725" s="2374"/>
      <c r="D725" s="3492"/>
      <c r="E725" s="1135"/>
      <c r="F725" s="1135"/>
      <c r="G725" s="1135"/>
      <c r="H725" s="1135"/>
      <c r="I725" s="1135"/>
      <c r="J725" s="1135"/>
      <c r="K725" s="1135"/>
      <c r="L725" s="1135"/>
      <c r="M725" s="1135"/>
      <c r="N725" s="1135"/>
      <c r="O725" s="1135"/>
      <c r="P725" s="1555"/>
      <c r="Q725" s="1556"/>
      <c r="R725" s="1557"/>
      <c r="S725" s="1135"/>
      <c r="T725" s="1135"/>
      <c r="U725" s="1135"/>
      <c r="V725" s="1135"/>
      <c r="W725" s="1135"/>
      <c r="Y725" s="2389" t="s">
        <v>1429</v>
      </c>
      <c r="Z725" s="1089" t="s">
        <v>1178</v>
      </c>
      <c r="AA725" s="1089">
        <v>2012</v>
      </c>
      <c r="AB725" s="1089">
        <v>2011</v>
      </c>
      <c r="AD725" s="1089">
        <v>2010</v>
      </c>
      <c r="AE725" s="2398"/>
      <c r="AF725" s="2399"/>
      <c r="AG725" s="2399"/>
      <c r="AH725" s="2398"/>
      <c r="AI725" s="2398"/>
      <c r="AJ725" s="2398"/>
      <c r="AK725" s="2398"/>
      <c r="AL725" s="2398"/>
      <c r="AM725" s="2398"/>
      <c r="AN725" s="2398"/>
      <c r="AO725" s="2398"/>
      <c r="AP725" s="2398"/>
      <c r="AQ725" s="2398"/>
      <c r="AR725" s="2398"/>
      <c r="AS725" s="2398"/>
      <c r="AT725" s="2398"/>
    </row>
    <row r="726" spans="1:46" ht="13.15" customHeight="1">
      <c r="A726" s="1090"/>
      <c r="B726" s="1081"/>
      <c r="C726" s="2374"/>
      <c r="D726" s="3492" t="s">
        <v>2712</v>
      </c>
      <c r="E726" s="2388"/>
      <c r="F726" s="2388"/>
      <c r="G726" s="2388"/>
      <c r="H726" s="2388"/>
      <c r="I726" s="2388"/>
      <c r="J726" s="2388"/>
      <c r="K726" s="2388"/>
      <c r="L726" s="2388"/>
      <c r="M726" s="2388"/>
      <c r="N726" s="2388"/>
      <c r="O726" s="2388"/>
      <c r="P726" s="2388"/>
      <c r="Q726" s="2388"/>
      <c r="R726" s="2388"/>
      <c r="S726" s="2388"/>
      <c r="T726" s="2388"/>
      <c r="U726" s="2388"/>
      <c r="V726" s="2388"/>
      <c r="W726" s="2388"/>
      <c r="Y726" s="3773" t="s">
        <v>286</v>
      </c>
      <c r="Z726" s="1572">
        <f>('Bloom Cleaner Data'!$HJ$14-'Bloom Cleaner Data'!$HF$14)/'Bloom Cleaner Data'!$HF$14</f>
        <v>-0.15771071182204541</v>
      </c>
      <c r="AA726" s="1572">
        <f>('Bloom Cleaner Data'!$HG$14-'Bloom Cleaner Data'!$HD$14)/'Bloom Cleaner Data'!$HD$14</f>
        <v>-0.1153336975100059</v>
      </c>
      <c r="AB726" s="1572">
        <f>('Bloom Cleaner Data'!$HD$14-'Bloom Cleaner Data'!$GZ$14)/'Bloom Cleaner Data'!$GZ$14</f>
        <v>1.6034029390628896E-2</v>
      </c>
      <c r="AD726" s="1572">
        <f>('Bloom Cleaner Data'!$GZ$14-'Bloom Cleaner Data'!$GV$14)/'Bloom Cleaner Data'!$GV$14</f>
        <v>5.352247951731131E-2</v>
      </c>
      <c r="AE726" s="2398"/>
      <c r="AF726" s="2399"/>
      <c r="AG726" s="2399"/>
      <c r="AH726" s="2398"/>
      <c r="AI726" s="2398"/>
      <c r="AJ726" s="2398"/>
      <c r="AK726" s="2398"/>
      <c r="AL726" s="2398"/>
      <c r="AM726" s="2398"/>
      <c r="AN726" s="2398"/>
      <c r="AO726" s="2398"/>
      <c r="AP726" s="2398"/>
      <c r="AQ726" s="2398"/>
      <c r="AR726" s="2398"/>
      <c r="AS726" s="2398"/>
      <c r="AT726" s="2398"/>
    </row>
    <row r="727" spans="1:46" ht="13.15" customHeight="1">
      <c r="A727" s="1090"/>
      <c r="B727" s="1081"/>
      <c r="C727" s="2374"/>
      <c r="D727" s="4442" t="s">
        <v>2699</v>
      </c>
      <c r="E727" s="4442"/>
      <c r="F727" s="4442"/>
      <c r="G727" s="4442"/>
      <c r="H727" s="4442"/>
      <c r="I727" s="4442"/>
      <c r="J727" s="4442"/>
      <c r="K727" s="4442"/>
      <c r="L727" s="4442"/>
      <c r="M727" s="4442"/>
      <c r="N727" s="4442"/>
      <c r="O727" s="4442"/>
      <c r="P727" s="4442"/>
      <c r="Q727" s="4442"/>
      <c r="R727" s="3867" t="s">
        <v>1407</v>
      </c>
      <c r="S727" s="4302" t="s">
        <v>2700</v>
      </c>
      <c r="T727" s="4302"/>
      <c r="U727" s="4302"/>
      <c r="V727" s="4302"/>
      <c r="W727" s="4302"/>
      <c r="Y727" s="3853" t="s">
        <v>36</v>
      </c>
      <c r="Z727" s="893">
        <f>('Bloom Cleaner Data'!$HJ$8-'Bloom Cleaner Data'!$HF$8)/'Bloom Cleaner Data'!$HF$8</f>
        <v>-0.16502999213842798</v>
      </c>
      <c r="AA727" s="893">
        <f>('Bloom Cleaner Data'!$HH$8-'Bloom Cleaner Data'!$HD$8)/'Bloom Cleaner Data'!$HD$8</f>
        <v>-6.7982202622286436E-2</v>
      </c>
      <c r="AB727" s="893">
        <f>('Bloom Cleaner Data'!$HD$8-'Bloom Cleaner Data'!$GZ$8)/'Bloom Cleaner Data'!$GZ$8</f>
        <v>-3.3905914593728638E-2</v>
      </c>
      <c r="AD727" s="893">
        <f>('Bloom Cleaner Data'!$GZ$8-'Bloom Cleaner Data'!$GV$8)/'Bloom Cleaner Data'!$GV$8</f>
        <v>-3.2287024293894705E-2</v>
      </c>
      <c r="AE727" s="2398"/>
      <c r="AF727" s="2399"/>
      <c r="AG727" s="2399"/>
      <c r="AH727" s="2398"/>
      <c r="AI727" s="2398"/>
      <c r="AJ727" s="2398"/>
      <c r="AK727" s="2398"/>
      <c r="AL727" s="2398"/>
      <c r="AM727" s="2398"/>
      <c r="AN727" s="2398"/>
      <c r="AO727" s="2398"/>
      <c r="AP727" s="2398"/>
      <c r="AQ727" s="2398"/>
      <c r="AR727" s="2398"/>
      <c r="AS727" s="2398"/>
      <c r="AT727" s="2398"/>
    </row>
    <row r="728" spans="1:46">
      <c r="A728" s="1090"/>
      <c r="B728" s="1081"/>
      <c r="C728" s="2374"/>
      <c r="D728" s="3879"/>
      <c r="E728" s="3879"/>
      <c r="F728" s="3879"/>
      <c r="G728" s="3879"/>
      <c r="H728" s="3879"/>
      <c r="I728" s="3879"/>
      <c r="J728" s="3879"/>
      <c r="K728" s="3879"/>
      <c r="L728" s="3879"/>
      <c r="M728" s="3879"/>
      <c r="N728" s="3879"/>
      <c r="O728" s="3879"/>
      <c r="P728" s="3879"/>
      <c r="Q728" s="3880"/>
      <c r="R728" s="3868"/>
      <c r="S728" s="4303"/>
      <c r="T728" s="4303"/>
      <c r="U728" s="4303"/>
      <c r="V728" s="4303"/>
      <c r="W728" s="4303"/>
      <c r="Y728" s="3773" t="s">
        <v>287</v>
      </c>
      <c r="Z728" s="1572">
        <f>('Bloom Cleaner Data'!$HJ$19-'Bloom Cleaner Data'!$HF$19)/'Bloom Cleaner Data'!$HF$19</f>
        <v>-0.22650387204861366</v>
      </c>
      <c r="AA728" s="1572">
        <f>('Bloom Cleaner Data'!$HH$19-'Bloom Cleaner Data'!$HD$19)/'Bloom Cleaner Data'!$HD$19</f>
        <v>-0.103996008527949</v>
      </c>
      <c r="AB728" s="1572">
        <f>('Bloom Cleaner Data'!$HD$19-'Bloom Cleaner Data'!$GZ$19)/'Bloom Cleaner Data'!$GZ$19</f>
        <v>-8.4170348319584948E-2</v>
      </c>
      <c r="AD728" s="1572">
        <f>('Bloom Cleaner Data'!$GZ$19-'Bloom Cleaner Data'!$GV$19)/'Bloom Cleaner Data'!$GV$19</f>
        <v>-6.364463597459992E-2</v>
      </c>
      <c r="AE728" s="2398"/>
      <c r="AF728" s="2399"/>
      <c r="AG728" s="2399"/>
      <c r="AH728" s="2398"/>
      <c r="AI728" s="2398"/>
      <c r="AJ728" s="2398"/>
      <c r="AK728" s="2398"/>
      <c r="AL728" s="2398"/>
      <c r="AM728" s="2398"/>
      <c r="AN728" s="2398"/>
      <c r="AO728" s="2398"/>
      <c r="AP728" s="2398"/>
      <c r="AQ728" s="2398"/>
      <c r="AR728" s="2398"/>
      <c r="AS728" s="2398"/>
      <c r="AT728" s="2398"/>
    </row>
    <row r="729" spans="1:46">
      <c r="A729" s="1090"/>
      <c r="B729" s="1081"/>
      <c r="C729" s="2374"/>
      <c r="D729" s="3859" t="s">
        <v>2701</v>
      </c>
      <c r="E729" s="3399"/>
      <c r="F729" s="3881"/>
      <c r="G729" s="3881"/>
      <c r="H729" s="3881"/>
      <c r="I729" s="3881"/>
      <c r="J729" s="3881"/>
      <c r="K729" s="3881"/>
      <c r="L729" s="3881"/>
      <c r="M729" s="3881"/>
      <c r="N729" s="3881"/>
      <c r="O729" s="3881"/>
      <c r="P729" s="3881"/>
      <c r="Q729" s="3881"/>
      <c r="R729" s="3861" t="s">
        <v>1407</v>
      </c>
      <c r="S729" s="3870" t="s">
        <v>2702</v>
      </c>
      <c r="T729" s="3869"/>
      <c r="U729" s="3869"/>
      <c r="V729" s="3869"/>
      <c r="W729" s="3869"/>
      <c r="Y729" s="1614"/>
      <c r="Z729" s="1422"/>
      <c r="AA729" s="1422"/>
      <c r="AB729" s="1422"/>
      <c r="AD729" s="1422"/>
      <c r="AE729" s="2398"/>
      <c r="AF729" s="2399"/>
      <c r="AG729" s="2399"/>
      <c r="AH729" s="2398"/>
      <c r="AI729" s="2398"/>
      <c r="AJ729" s="2398"/>
      <c r="AK729" s="2398"/>
      <c r="AL729" s="2398"/>
      <c r="AM729" s="2398"/>
      <c r="AN729" s="2398"/>
      <c r="AO729" s="2398"/>
      <c r="AP729" s="2398"/>
      <c r="AQ729" s="2398"/>
      <c r="AR729" s="2398"/>
      <c r="AS729" s="2398"/>
      <c r="AT729" s="2398"/>
    </row>
    <row r="730" spans="1:46">
      <c r="A730" s="1090"/>
      <c r="B730" s="1081"/>
      <c r="C730" s="2374"/>
      <c r="D730" s="3783"/>
      <c r="E730" s="1135"/>
      <c r="F730" s="3405"/>
      <c r="G730" s="3405"/>
      <c r="H730" s="3405"/>
      <c r="I730" s="3405"/>
      <c r="J730" s="3405"/>
      <c r="K730" s="3405"/>
      <c r="L730" s="3405"/>
      <c r="M730" s="3405"/>
      <c r="N730" s="3405"/>
      <c r="O730" s="3405"/>
      <c r="P730" s="3405"/>
      <c r="Q730" s="3405"/>
      <c r="R730" s="3405"/>
      <c r="S730" s="3405"/>
      <c r="T730" s="3405"/>
      <c r="U730" s="3405"/>
      <c r="V730" s="3405"/>
      <c r="W730" s="3405"/>
      <c r="Y730" s="2389" t="s">
        <v>1430</v>
      </c>
      <c r="Z730" s="1089" t="s">
        <v>1178</v>
      </c>
      <c r="AA730" s="1089">
        <v>2012</v>
      </c>
      <c r="AB730" s="1089">
        <v>2011</v>
      </c>
      <c r="AD730" s="1089">
        <v>2010</v>
      </c>
      <c r="AE730" s="2398"/>
      <c r="AF730" s="2399"/>
      <c r="AG730" s="2399"/>
      <c r="AH730" s="2398"/>
      <c r="AI730" s="2398"/>
      <c r="AJ730" s="2398"/>
      <c r="AK730" s="2398"/>
      <c r="AL730" s="2398"/>
      <c r="AM730" s="2398"/>
      <c r="AN730" s="2398"/>
      <c r="AO730" s="2398"/>
      <c r="AP730" s="2398"/>
      <c r="AQ730" s="2398"/>
      <c r="AR730" s="2398"/>
      <c r="AS730" s="2398"/>
      <c r="AT730" s="2398"/>
    </row>
    <row r="731" spans="1:46" ht="13.15" customHeight="1">
      <c r="A731" s="1090"/>
      <c r="B731" s="1081"/>
      <c r="C731" s="2374"/>
      <c r="D731" s="3492" t="s">
        <v>2703</v>
      </c>
      <c r="E731" s="1930"/>
      <c r="F731" s="1930"/>
      <c r="G731" s="1930"/>
      <c r="H731" s="1930"/>
      <c r="I731" s="1930"/>
      <c r="J731" s="1930"/>
      <c r="K731" s="1930"/>
      <c r="L731" s="1930"/>
      <c r="M731" s="1930"/>
      <c r="N731" s="1930"/>
      <c r="O731" s="1930"/>
      <c r="P731" s="1930"/>
      <c r="Q731" s="1930"/>
      <c r="R731" s="1930"/>
      <c r="S731" s="1930"/>
      <c r="T731" s="1930"/>
      <c r="U731" s="1930"/>
      <c r="V731" s="1930"/>
      <c r="W731" s="1930"/>
      <c r="Y731" s="3773" t="s">
        <v>286</v>
      </c>
      <c r="Z731" s="1572">
        <f>(CALCULATIONS!DY14-CALCULATIONS!DU14)/CALCULATIONS!DU14</f>
        <v>-0.14379524713280636</v>
      </c>
      <c r="AA731" s="1572">
        <f>(CALCULATIONS!DW14-CALCULATIONS!DS14)/CALCULATIONS!DS14</f>
        <v>-0.15792412690982061</v>
      </c>
      <c r="AB731" s="1572">
        <f>(CALCULATIONS!DS14-CALCULATIONS!DO14)/CALCULATIONS!DO14</f>
        <v>1.1734511858918656E-2</v>
      </c>
      <c r="AD731" s="1572">
        <f>(CALCULATIONS!DO14-CALCULATIONS!DK14)/CALCULATIONS!DK14</f>
        <v>4.2145979731534326E-2</v>
      </c>
      <c r="AE731" s="2398"/>
      <c r="AF731" s="2399"/>
      <c r="AG731" s="2399"/>
      <c r="AH731" s="2398"/>
      <c r="AI731" s="2398"/>
      <c r="AJ731" s="2398"/>
      <c r="AK731" s="2398"/>
      <c r="AL731" s="2398"/>
      <c r="AM731" s="2398"/>
      <c r="AN731" s="2398"/>
      <c r="AO731" s="2398"/>
      <c r="AP731" s="2398"/>
      <c r="AQ731" s="2398"/>
      <c r="AR731" s="2398"/>
      <c r="AS731" s="2398"/>
      <c r="AT731" s="2398"/>
    </row>
    <row r="732" spans="1:46" ht="13.15" customHeight="1">
      <c r="A732" s="1090"/>
      <c r="B732" s="1081"/>
      <c r="C732" s="2374"/>
      <c r="D732" s="4304" t="s">
        <v>2704</v>
      </c>
      <c r="E732" s="4304"/>
      <c r="F732" s="4304"/>
      <c r="G732" s="4304"/>
      <c r="H732" s="4304"/>
      <c r="I732" s="4304"/>
      <c r="J732" s="4304"/>
      <c r="K732" s="4304"/>
      <c r="L732" s="4304"/>
      <c r="M732" s="4304"/>
      <c r="N732" s="4304"/>
      <c r="O732" s="4304"/>
      <c r="P732" s="4304"/>
      <c r="Q732" s="4304"/>
      <c r="R732" s="3867" t="s">
        <v>1407</v>
      </c>
      <c r="S732" s="3871" t="s">
        <v>2705</v>
      </c>
      <c r="T732" s="3872"/>
      <c r="U732" s="3872"/>
      <c r="V732" s="3872"/>
      <c r="W732" s="3873" t="s">
        <v>1407</v>
      </c>
      <c r="Y732" s="3853" t="s">
        <v>36</v>
      </c>
      <c r="Z732" s="893">
        <f>(CALCULATIONS!DY8-CALCULATIONS!DU8)/CALCULATIONS!DU8</f>
        <v>-0.14943287290779197</v>
      </c>
      <c r="AA732" s="893">
        <f>(CALCULATIONS!DW8-CALCULATIONS!DS8)/CALCULATIONS!DS8</f>
        <v>-6.2696138353186645E-2</v>
      </c>
      <c r="AB732" s="893">
        <f>(CALCULATIONS!DS8-CALCULATIONS!DO8)/CALCULATIONS!DO8</f>
        <v>-3.623003669144844E-2</v>
      </c>
      <c r="AD732" s="893">
        <f>(CALCULATIONS!DO8-CALCULATIONS!DK8)/CALCULATIONS!DK8</f>
        <v>-3.0501566049817276E-2</v>
      </c>
      <c r="AE732" s="2398"/>
      <c r="AF732" s="2399"/>
      <c r="AG732" s="2399"/>
      <c r="AH732" s="2398"/>
      <c r="AI732" s="2398"/>
      <c r="AJ732" s="2398"/>
      <c r="AK732" s="2398"/>
      <c r="AL732" s="2398"/>
      <c r="AM732" s="2398"/>
      <c r="AN732" s="2398"/>
      <c r="AO732" s="2398"/>
      <c r="AP732" s="2398"/>
      <c r="AQ732" s="2398"/>
      <c r="AR732" s="2398"/>
      <c r="AS732" s="2398"/>
      <c r="AT732" s="2398"/>
    </row>
    <row r="733" spans="1:46">
      <c r="A733" s="1090"/>
      <c r="B733" s="1081"/>
      <c r="C733" s="2374"/>
      <c r="D733" s="4305"/>
      <c r="E733" s="4305"/>
      <c r="F733" s="4305"/>
      <c r="G733" s="4305"/>
      <c r="H733" s="4305"/>
      <c r="I733" s="4305"/>
      <c r="J733" s="4305"/>
      <c r="K733" s="4305"/>
      <c r="L733" s="4305"/>
      <c r="M733" s="4305"/>
      <c r="N733" s="4305"/>
      <c r="O733" s="4305"/>
      <c r="P733" s="4305"/>
      <c r="Q733" s="4305"/>
      <c r="R733" s="3874"/>
      <c r="S733" s="3874"/>
      <c r="T733" s="3874"/>
      <c r="U733" s="3874"/>
      <c r="V733" s="3874"/>
      <c r="W733" s="3874"/>
      <c r="Y733" s="3773" t="s">
        <v>287</v>
      </c>
      <c r="Z733" s="1572">
        <f>(CALCULATIONS!DY19-CALCULATIONS!DU19)/CALCULATIONS!DU19</f>
        <v>-0.22261049441522918</v>
      </c>
      <c r="AA733" s="1572">
        <f>(CALCULATIONS!DW19-CALCULATIONS!DS19)/CALCULATIONS!DS19</f>
        <v>-0.10295602093370315</v>
      </c>
      <c r="AB733" s="1572">
        <f>(CALCULATIONS!DS19-CALCULATIONS!DO19)/CALCULATIONS!DO19</f>
        <v>-7.4412901287084096E-2</v>
      </c>
      <c r="AD733" s="1572">
        <f>(CALCULATIONS!DO19-CALCULATIONS!DK19)/CALCULATIONS!DK19</f>
        <v>-6.6354443931599769E-2</v>
      </c>
      <c r="AE733" s="2398"/>
      <c r="AF733" s="2398"/>
      <c r="AG733" s="2399"/>
      <c r="AH733" s="2398"/>
      <c r="AI733" s="2398"/>
      <c r="AJ733" s="2398"/>
      <c r="AK733" s="2398"/>
      <c r="AL733" s="2398"/>
      <c r="AM733" s="2398"/>
      <c r="AN733" s="2398"/>
      <c r="AO733" s="2398"/>
      <c r="AP733" s="2398"/>
      <c r="AQ733" s="2398"/>
      <c r="AR733" s="2398"/>
      <c r="AS733" s="2398"/>
      <c r="AT733" s="2398"/>
    </row>
    <row r="734" spans="1:46" ht="13.15" customHeight="1">
      <c r="A734" s="1090"/>
      <c r="B734" s="1081"/>
      <c r="C734" s="2374"/>
      <c r="D734" s="4304" t="s">
        <v>1436</v>
      </c>
      <c r="E734" s="4304"/>
      <c r="F734" s="4304"/>
      <c r="G734" s="4304"/>
      <c r="H734" s="4304"/>
      <c r="I734" s="4304"/>
      <c r="J734" s="4304"/>
      <c r="K734" s="4304"/>
      <c r="L734" s="4304"/>
      <c r="M734" s="4304"/>
      <c r="N734" s="4304"/>
      <c r="O734" s="4304"/>
      <c r="P734" s="4304"/>
      <c r="Q734" s="4304"/>
      <c r="R734" s="3867" t="s">
        <v>1407</v>
      </c>
      <c r="S734" s="1135" t="s">
        <v>1615</v>
      </c>
      <c r="T734" s="1135"/>
      <c r="U734" s="1135"/>
      <c r="V734" s="1135"/>
      <c r="W734" s="1135"/>
      <c r="Y734" s="3854"/>
      <c r="Z734" s="3854"/>
      <c r="AA734" s="3854"/>
      <c r="AB734" s="3854"/>
      <c r="AD734" s="92"/>
      <c r="AE734" s="2398"/>
      <c r="AF734" s="2398"/>
      <c r="AG734" s="2399"/>
      <c r="AH734" s="2398"/>
      <c r="AI734" s="2398"/>
      <c r="AJ734" s="2398"/>
      <c r="AK734" s="2398"/>
      <c r="AL734" s="2398"/>
      <c r="AM734" s="2398"/>
      <c r="AN734" s="2398"/>
      <c r="AO734" s="2398"/>
      <c r="AP734" s="2398"/>
      <c r="AQ734" s="2398"/>
      <c r="AR734" s="2398"/>
      <c r="AS734" s="2398"/>
      <c r="AT734" s="2398"/>
    </row>
    <row r="735" spans="1:46">
      <c r="A735" s="1090"/>
      <c r="B735" s="1081"/>
      <c r="C735" s="2374"/>
      <c r="D735" s="4305"/>
      <c r="E735" s="4305"/>
      <c r="F735" s="4305"/>
      <c r="G735" s="4305"/>
      <c r="H735" s="4305"/>
      <c r="I735" s="4305"/>
      <c r="J735" s="4305"/>
      <c r="K735" s="4305"/>
      <c r="L735" s="4305"/>
      <c r="M735" s="4305"/>
      <c r="N735" s="4305"/>
      <c r="O735" s="4305"/>
      <c r="P735" s="4305"/>
      <c r="Q735" s="4305"/>
      <c r="R735" s="2714"/>
      <c r="S735" s="2714"/>
      <c r="T735" s="2714"/>
      <c r="U735" s="2714"/>
      <c r="V735" s="2714"/>
      <c r="W735" s="2714"/>
      <c r="Y735" s="3855"/>
      <c r="Z735" s="3855"/>
      <c r="AA735" s="3855"/>
      <c r="AB735" s="3855"/>
      <c r="AE735" s="2398"/>
      <c r="AF735" s="2398"/>
      <c r="AG735" s="2399"/>
      <c r="AH735" s="2398"/>
      <c r="AI735" s="2398"/>
      <c r="AJ735" s="2398"/>
      <c r="AK735" s="2398"/>
      <c r="AL735" s="2398"/>
      <c r="AM735" s="2398"/>
      <c r="AN735" s="2398"/>
      <c r="AO735" s="2398"/>
      <c r="AP735" s="2398"/>
      <c r="AQ735" s="2398"/>
      <c r="AR735" s="2398"/>
      <c r="AS735" s="2398"/>
      <c r="AT735" s="2398"/>
    </row>
    <row r="736" spans="1:46" ht="13.15" customHeight="1">
      <c r="A736" s="1090"/>
      <c r="B736" s="1081"/>
      <c r="C736" s="2374"/>
      <c r="D736" s="1135"/>
      <c r="E736" s="1135"/>
      <c r="F736" s="1135"/>
      <c r="G736" s="1135"/>
      <c r="H736" s="1135"/>
      <c r="I736" s="1135"/>
      <c r="J736" s="1135"/>
      <c r="K736" s="1135"/>
      <c r="L736" s="1135"/>
      <c r="M736" s="1135"/>
      <c r="N736" s="1135"/>
      <c r="O736" s="1135"/>
      <c r="P736" s="1135"/>
      <c r="Q736" s="1135"/>
      <c r="R736" s="1135"/>
      <c r="S736" s="1135"/>
      <c r="T736" s="1135"/>
      <c r="U736" s="1135"/>
      <c r="V736" s="1135"/>
      <c r="W736" s="1135"/>
      <c r="Y736" s="3856"/>
      <c r="Z736" s="3856"/>
      <c r="AA736" s="3856"/>
      <c r="AB736" s="3856"/>
      <c r="AD736" s="2407"/>
      <c r="AE736" s="2398"/>
      <c r="AF736" s="2398"/>
      <c r="AG736" s="2399"/>
      <c r="AH736" s="2398"/>
      <c r="AI736" s="2398"/>
      <c r="AJ736" s="2398"/>
      <c r="AK736" s="2398"/>
      <c r="AL736" s="2398"/>
      <c r="AM736" s="2398"/>
      <c r="AN736" s="2398"/>
      <c r="AO736" s="2398"/>
      <c r="AP736" s="2398"/>
      <c r="AQ736" s="2398"/>
      <c r="AR736" s="2398"/>
      <c r="AS736" s="2398"/>
      <c r="AT736" s="2398"/>
    </row>
    <row r="737" spans="1:46">
      <c r="A737" s="1090"/>
      <c r="B737" s="1081"/>
      <c r="C737" s="2374"/>
      <c r="D737" s="2665" t="s">
        <v>2714</v>
      </c>
      <c r="E737" s="3875"/>
      <c r="F737" s="3875"/>
      <c r="G737" s="3875"/>
      <c r="H737" s="3875"/>
      <c r="I737" s="3875"/>
      <c r="J737" s="3875"/>
      <c r="K737" s="3875"/>
      <c r="L737" s="3876" t="str">
        <f>CONCATENATE("tD*/Ebitda* moving from ",ROUND(CALCULATIONS!NN8,1),"x to ",ROUND(CALCULATIONS!OB8,1),"x by 2Q13")</f>
        <v>tD*/Ebitda* moving from 1x to 1,7x by 2Q13</v>
      </c>
      <c r="M737" s="3875"/>
      <c r="N737" s="3875"/>
      <c r="O737" s="3875"/>
      <c r="P737" s="3875"/>
      <c r="Q737" s="3875"/>
      <c r="R737" s="3867" t="s">
        <v>1407</v>
      </c>
      <c r="S737" s="2133" t="s">
        <v>2706</v>
      </c>
      <c r="T737" s="2133"/>
      <c r="U737" s="2133"/>
      <c r="V737" s="2133"/>
      <c r="W737" s="2133"/>
      <c r="Y737" s="2785"/>
      <c r="Z737" s="3763"/>
      <c r="AA737" s="3763"/>
      <c r="AB737" s="3763"/>
      <c r="AE737" s="2398"/>
      <c r="AF737" s="2399"/>
      <c r="AG737" s="2399"/>
      <c r="AH737" s="2398"/>
      <c r="AI737" s="2398"/>
      <c r="AJ737" s="2398"/>
      <c r="AK737" s="2398"/>
      <c r="AL737" s="2398"/>
      <c r="AM737" s="2398"/>
      <c r="AN737" s="2398"/>
      <c r="AO737" s="2398"/>
      <c r="AP737" s="2398"/>
      <c r="AQ737" s="2398"/>
      <c r="AR737" s="2398"/>
      <c r="AS737" s="2398"/>
      <c r="AT737" s="2398"/>
    </row>
    <row r="738" spans="1:46">
      <c r="A738" s="1090"/>
      <c r="B738" s="1081"/>
      <c r="C738" s="2374"/>
      <c r="D738" s="3882" t="str">
        <f>CONCATENATE("vs. ",ROUND( CALCULATIONS!OH19,1), " on average for TPS and ", ROUND(CALCULATIONS!OB19,1)," at 2Q13.")</f>
        <v>vs. 1,1 on average for TPS and 1,2 at 2Q13.</v>
      </c>
      <c r="E738" s="3877"/>
      <c r="F738" s="3877"/>
      <c r="G738" s="3877"/>
      <c r="H738" s="3877"/>
      <c r="I738" s="3877"/>
      <c r="J738" s="3877"/>
      <c r="K738" s="3877"/>
      <c r="L738" s="3877"/>
      <c r="M738" s="3877"/>
      <c r="N738" s="3877"/>
      <c r="O738" s="3877"/>
      <c r="P738" s="3877"/>
      <c r="Q738" s="3877"/>
      <c r="R738" s="2714"/>
      <c r="S738" s="2714"/>
      <c r="T738" s="2714"/>
      <c r="U738" s="2714"/>
      <c r="V738" s="2714"/>
      <c r="W738" s="2714"/>
      <c r="Y738" s="2399"/>
      <c r="Z738" s="2398"/>
      <c r="AA738" s="2398"/>
      <c r="AB738" s="2398"/>
      <c r="AE738" s="2398"/>
      <c r="AF738" s="2398"/>
      <c r="AG738" s="2399"/>
      <c r="AH738" s="2398"/>
      <c r="AI738" s="2398"/>
      <c r="AJ738" s="2398"/>
      <c r="AK738" s="2398"/>
      <c r="AL738" s="2398"/>
      <c r="AM738" s="2398"/>
      <c r="AN738" s="2398"/>
      <c r="AO738" s="2398"/>
      <c r="AP738" s="2398"/>
      <c r="AQ738" s="2398"/>
      <c r="AR738" s="2398"/>
      <c r="AS738" s="2398"/>
      <c r="AT738" s="2398"/>
    </row>
    <row r="739" spans="1:46">
      <c r="A739" s="1090"/>
      <c r="B739" s="1081"/>
      <c r="C739" s="2374"/>
      <c r="D739" s="3492"/>
      <c r="E739" s="3492"/>
      <c r="F739" s="3492"/>
      <c r="G739" s="3492"/>
      <c r="H739" s="3492"/>
      <c r="I739" s="3492"/>
      <c r="J739" s="3492"/>
      <c r="K739" s="3492"/>
      <c r="L739" s="3492"/>
      <c r="M739" s="3492"/>
      <c r="N739" s="3492"/>
      <c r="O739" s="3492"/>
      <c r="P739" s="3492"/>
      <c r="Q739" s="3492"/>
      <c r="R739" s="3492"/>
      <c r="S739" s="2665"/>
      <c r="T739" s="2665"/>
      <c r="U739" s="2665"/>
      <c r="V739" s="2665"/>
      <c r="W739" s="2665"/>
      <c r="Y739" s="2399"/>
      <c r="Z739" s="2398"/>
      <c r="AA739" s="2398"/>
      <c r="AB739" s="2398"/>
      <c r="AE739" s="2398"/>
      <c r="AF739" s="2398"/>
      <c r="AG739" s="2399"/>
      <c r="AH739" s="2398"/>
      <c r="AI739" s="2398"/>
      <c r="AJ739" s="2398"/>
      <c r="AK739" s="2398"/>
      <c r="AL739" s="2398"/>
      <c r="AM739" s="2398"/>
      <c r="AN739" s="2398"/>
      <c r="AO739" s="2398"/>
      <c r="AP739" s="2398"/>
      <c r="AQ739" s="2398"/>
      <c r="AR739" s="2398"/>
      <c r="AS739" s="2398"/>
      <c r="AT739" s="2398"/>
    </row>
    <row r="740" spans="1:46" ht="13.15" customHeight="1">
      <c r="A740" s="1090"/>
      <c r="B740" s="4434" t="s">
        <v>2707</v>
      </c>
      <c r="C740" s="2374"/>
      <c r="D740" s="4275" t="s">
        <v>2713</v>
      </c>
      <c r="E740" s="4275"/>
      <c r="F740" s="4275"/>
      <c r="G740" s="4275"/>
      <c r="H740" s="4275"/>
      <c r="I740" s="4275"/>
      <c r="J740" s="4275"/>
      <c r="K740" s="4275"/>
      <c r="L740" s="4275"/>
      <c r="M740" s="4275"/>
      <c r="N740" s="4275"/>
      <c r="O740" s="4275"/>
      <c r="P740" s="4275"/>
      <c r="Q740" s="4275"/>
      <c r="R740" s="4275"/>
      <c r="S740" s="4275"/>
      <c r="T740" s="4275"/>
      <c r="U740" s="4275"/>
      <c r="V740" s="4275"/>
      <c r="W740" s="4275"/>
      <c r="Y740" s="2399"/>
      <c r="Z740" s="2398"/>
      <c r="AA740" s="2398"/>
      <c r="AB740" s="2398"/>
      <c r="AE740" s="2398"/>
      <c r="AF740" s="2399"/>
      <c r="AG740" s="2399"/>
      <c r="AH740" s="2398"/>
      <c r="AI740" s="2398"/>
      <c r="AJ740" s="2398"/>
      <c r="AK740" s="2398"/>
      <c r="AL740" s="2398"/>
      <c r="AM740" s="2398"/>
      <c r="AN740" s="2398"/>
      <c r="AO740" s="2398"/>
      <c r="AP740" s="2398"/>
      <c r="AQ740" s="2398"/>
      <c r="AR740" s="2398"/>
      <c r="AS740" s="2398"/>
      <c r="AT740" s="2398"/>
    </row>
    <row r="741" spans="1:46" ht="13.15" customHeight="1">
      <c r="A741" s="1090"/>
      <c r="B741" s="4434"/>
      <c r="C741" s="2374"/>
      <c r="D741" s="4275"/>
      <c r="E741" s="4275"/>
      <c r="F741" s="4275"/>
      <c r="G741" s="4275"/>
      <c r="H741" s="4275"/>
      <c r="I741" s="4275"/>
      <c r="J741" s="4275"/>
      <c r="K741" s="4275"/>
      <c r="L741" s="4275"/>
      <c r="M741" s="4275"/>
      <c r="N741" s="4275"/>
      <c r="O741" s="4275"/>
      <c r="P741" s="4275"/>
      <c r="Q741" s="4275"/>
      <c r="R741" s="4275"/>
      <c r="S741" s="4275"/>
      <c r="T741" s="4275"/>
      <c r="U741" s="4275"/>
      <c r="V741" s="4275"/>
      <c r="W741" s="4275"/>
      <c r="Y741" s="2399"/>
      <c r="Z741" s="2398"/>
      <c r="AA741" s="2398"/>
      <c r="AB741" s="2398"/>
      <c r="AE741" s="2398"/>
      <c r="AF741" s="2398"/>
      <c r="AG741" s="2399"/>
      <c r="AH741" s="2398"/>
      <c r="AI741" s="2398"/>
      <c r="AJ741" s="2398"/>
      <c r="AK741" s="2398"/>
      <c r="AL741" s="2398"/>
      <c r="AM741" s="2398"/>
      <c r="AN741" s="2398"/>
      <c r="AO741" s="2398"/>
      <c r="AP741" s="2398"/>
      <c r="AQ741" s="2398"/>
      <c r="AR741" s="2398"/>
      <c r="AS741" s="2398"/>
      <c r="AT741" s="2398"/>
    </row>
    <row r="742" spans="1:46" ht="13.15" customHeight="1">
      <c r="A742" s="1090"/>
      <c r="B742" s="3878"/>
      <c r="C742" s="2374"/>
      <c r="D742" s="3774"/>
      <c r="E742" s="3774"/>
      <c r="F742" s="3774"/>
      <c r="G742" s="3774"/>
      <c r="H742" s="3774"/>
      <c r="I742" s="3774"/>
      <c r="J742" s="3774"/>
      <c r="K742" s="3774"/>
      <c r="L742" s="3774"/>
      <c r="M742" s="3774"/>
      <c r="N742" s="3774"/>
      <c r="O742" s="3774"/>
      <c r="P742" s="3774"/>
      <c r="Q742" s="3774"/>
      <c r="R742" s="3774"/>
      <c r="S742" s="3774"/>
      <c r="T742" s="3774"/>
      <c r="U742" s="3774"/>
      <c r="V742" s="3774"/>
      <c r="W742" s="3774"/>
      <c r="Y742" s="2399"/>
      <c r="Z742" s="2398"/>
      <c r="AA742" s="2398"/>
      <c r="AB742" s="2398"/>
      <c r="AE742" s="2398"/>
      <c r="AF742" s="2398"/>
      <c r="AG742" s="2399"/>
      <c r="AH742" s="2398"/>
      <c r="AI742" s="2398"/>
      <c r="AJ742" s="2398"/>
      <c r="AK742" s="2398"/>
      <c r="AL742" s="2398"/>
      <c r="AM742" s="2398"/>
      <c r="AN742" s="2398"/>
      <c r="AO742" s="2398"/>
      <c r="AP742" s="2398"/>
      <c r="AQ742" s="2398"/>
      <c r="AR742" s="2398"/>
      <c r="AS742" s="2398"/>
      <c r="AT742" s="2398"/>
    </row>
    <row r="743" spans="1:46" ht="13.15" customHeight="1">
      <c r="A743" s="1090"/>
      <c r="B743" s="1081"/>
      <c r="C743" s="2374"/>
      <c r="D743" s="4275" t="s">
        <v>2708</v>
      </c>
      <c r="E743" s="4275"/>
      <c r="F743" s="4275"/>
      <c r="G743" s="4275"/>
      <c r="H743" s="4275"/>
      <c r="I743" s="4275"/>
      <c r="J743" s="4275"/>
      <c r="K743" s="4275"/>
      <c r="L743" s="4275"/>
      <c r="M743" s="4275"/>
      <c r="N743" s="4275"/>
      <c r="O743" s="4275"/>
      <c r="P743" s="4275"/>
      <c r="Q743" s="4275"/>
      <c r="R743" s="4275"/>
      <c r="S743" s="4275"/>
      <c r="T743" s="4275"/>
      <c r="U743" s="4275"/>
      <c r="V743" s="4275"/>
      <c r="W743" s="4275"/>
      <c r="Y743" s="2399"/>
      <c r="Z743" s="2398"/>
      <c r="AA743" s="2398"/>
      <c r="AB743" s="2398"/>
      <c r="AE743" s="2398"/>
      <c r="AF743" s="2398"/>
      <c r="AG743" s="2399"/>
      <c r="AH743" s="2398"/>
      <c r="AI743" s="2398"/>
      <c r="AJ743" s="2398"/>
      <c r="AK743" s="2398"/>
      <c r="AL743" s="2398"/>
      <c r="AM743" s="2398"/>
      <c r="AN743" s="2398"/>
      <c r="AO743" s="2398"/>
      <c r="AP743" s="2398"/>
      <c r="AQ743" s="2398"/>
      <c r="AR743" s="2398"/>
      <c r="AS743" s="2398"/>
      <c r="AT743" s="2398"/>
    </row>
    <row r="744" spans="1:46" ht="13.15" customHeight="1">
      <c r="A744" s="1090"/>
      <c r="B744" s="1081"/>
      <c r="C744" s="2374"/>
      <c r="D744" s="4275"/>
      <c r="E744" s="4275"/>
      <c r="F744" s="4275"/>
      <c r="G744" s="4275"/>
      <c r="H744" s="4275"/>
      <c r="I744" s="4275"/>
      <c r="J744" s="4275"/>
      <c r="K744" s="4275"/>
      <c r="L744" s="4275"/>
      <c r="M744" s="4275"/>
      <c r="N744" s="4275"/>
      <c r="O744" s="4275"/>
      <c r="P744" s="4275"/>
      <c r="Q744" s="4275"/>
      <c r="R744" s="4275"/>
      <c r="S744" s="4275"/>
      <c r="T744" s="4275"/>
      <c r="U744" s="4275"/>
      <c r="V744" s="4275"/>
      <c r="W744" s="4275"/>
      <c r="Y744" s="2399"/>
      <c r="Z744" s="2398"/>
      <c r="AA744" s="2398"/>
      <c r="AB744" s="2398"/>
      <c r="AE744" s="2398"/>
      <c r="AF744" s="2398"/>
      <c r="AG744" s="2399"/>
      <c r="AH744" s="2398"/>
      <c r="AI744" s="2398"/>
      <c r="AJ744" s="2398"/>
      <c r="AK744" s="2398"/>
      <c r="AL744" s="2398"/>
      <c r="AM744" s="2398"/>
      <c r="AN744" s="2398"/>
      <c r="AO744" s="2398"/>
      <c r="AP744" s="2398"/>
      <c r="AQ744" s="2398"/>
      <c r="AR744" s="2398"/>
      <c r="AS744" s="2398"/>
      <c r="AT744" s="2398"/>
    </row>
    <row r="745" spans="1:46" ht="13.15" customHeight="1">
      <c r="A745" s="1090"/>
      <c r="B745" s="1081"/>
      <c r="C745" s="2374"/>
      <c r="D745" s="3492"/>
      <c r="E745" s="3774"/>
      <c r="F745" s="3774"/>
      <c r="G745" s="3774"/>
      <c r="H745" s="3774"/>
      <c r="I745" s="3774"/>
      <c r="J745" s="3774"/>
      <c r="K745" s="3774"/>
      <c r="L745" s="3774"/>
      <c r="M745" s="3774"/>
      <c r="N745" s="3774"/>
      <c r="O745" s="3774"/>
      <c r="P745" s="3774"/>
      <c r="Q745" s="3774"/>
      <c r="R745" s="3492"/>
      <c r="S745" s="3492"/>
      <c r="T745" s="3492"/>
      <c r="U745" s="3492"/>
      <c r="V745" s="3492"/>
      <c r="W745" s="3492"/>
      <c r="Y745" s="2399"/>
      <c r="Z745" s="2398"/>
      <c r="AA745" s="2398"/>
      <c r="AB745" s="2398"/>
      <c r="AE745" s="2398"/>
      <c r="AF745" s="2398"/>
      <c r="AG745" s="2399"/>
      <c r="AH745" s="2398"/>
      <c r="AI745" s="2398"/>
      <c r="AJ745" s="2398"/>
      <c r="AK745" s="2398"/>
      <c r="AL745" s="2398"/>
      <c r="AM745" s="2398"/>
      <c r="AN745" s="2398"/>
      <c r="AO745" s="2398"/>
      <c r="AP745" s="2398"/>
      <c r="AQ745" s="2398"/>
      <c r="AR745" s="2398"/>
      <c r="AS745" s="2398"/>
      <c r="AT745" s="2398"/>
    </row>
    <row r="746" spans="1:46" ht="13.15" customHeight="1">
      <c r="A746" s="1090"/>
      <c r="B746" s="4434" t="s">
        <v>2709</v>
      </c>
      <c r="C746" s="2374"/>
      <c r="D746" s="4275" t="s">
        <v>2710</v>
      </c>
      <c r="E746" s="4275"/>
      <c r="F746" s="4275"/>
      <c r="G746" s="4275"/>
      <c r="H746" s="4275"/>
      <c r="I746" s="4275"/>
      <c r="J746" s="4275"/>
      <c r="K746" s="4275"/>
      <c r="L746" s="4275"/>
      <c r="M746" s="4275"/>
      <c r="N746" s="4275"/>
      <c r="O746" s="4275"/>
      <c r="P746" s="4275"/>
      <c r="Q746" s="4275"/>
      <c r="R746" s="4275"/>
      <c r="S746" s="4275"/>
      <c r="T746" s="4275"/>
      <c r="U746" s="4275"/>
      <c r="V746" s="4275"/>
      <c r="W746" s="4275"/>
      <c r="Y746" s="2399"/>
      <c r="Z746" s="2398"/>
      <c r="AA746" s="2398"/>
      <c r="AB746" s="2398"/>
      <c r="AE746" s="2398"/>
      <c r="AF746" s="2398"/>
      <c r="AG746" s="2399"/>
      <c r="AH746" s="2398"/>
      <c r="AI746" s="2398"/>
      <c r="AJ746" s="2398"/>
      <c r="AK746" s="2398"/>
      <c r="AL746" s="2398"/>
      <c r="AM746" s="2398"/>
      <c r="AN746" s="2398"/>
      <c r="AO746" s="2398"/>
      <c r="AP746" s="2398"/>
      <c r="AQ746" s="2398"/>
      <c r="AR746" s="2398"/>
      <c r="AS746" s="2398"/>
      <c r="AT746" s="2398"/>
    </row>
    <row r="747" spans="1:46" ht="13.15" customHeight="1">
      <c r="A747" s="1090"/>
      <c r="B747" s="4434"/>
      <c r="C747" s="2374"/>
      <c r="D747" s="4275"/>
      <c r="E747" s="4275"/>
      <c r="F747" s="4275"/>
      <c r="G747" s="4275"/>
      <c r="H747" s="4275"/>
      <c r="I747" s="4275"/>
      <c r="J747" s="4275"/>
      <c r="K747" s="4275"/>
      <c r="L747" s="4275"/>
      <c r="M747" s="4275"/>
      <c r="N747" s="4275"/>
      <c r="O747" s="4275"/>
      <c r="P747" s="4275"/>
      <c r="Q747" s="4275"/>
      <c r="R747" s="4275"/>
      <c r="S747" s="4275"/>
      <c r="T747" s="4275"/>
      <c r="U747" s="4275"/>
      <c r="V747" s="4275"/>
      <c r="W747" s="4275"/>
      <c r="Y747" s="2399"/>
      <c r="Z747" s="2398"/>
      <c r="AA747" s="2398"/>
      <c r="AB747" s="2398"/>
      <c r="AE747" s="2398"/>
      <c r="AF747" s="2398"/>
      <c r="AG747" s="2399"/>
      <c r="AH747" s="2398"/>
      <c r="AI747" s="2398"/>
      <c r="AJ747" s="2398"/>
      <c r="AK747" s="2398"/>
      <c r="AL747" s="2398"/>
      <c r="AM747" s="2398"/>
      <c r="AN747" s="2398"/>
      <c r="AO747" s="2398"/>
      <c r="AP747" s="2398"/>
      <c r="AQ747" s="2398"/>
      <c r="AR747" s="2398"/>
      <c r="AS747" s="2398"/>
      <c r="AT747" s="2398"/>
    </row>
    <row r="748" spans="1:46" ht="13.15" customHeight="1">
      <c r="A748" s="1090"/>
      <c r="B748" s="3878"/>
      <c r="C748" s="2374"/>
      <c r="D748" s="4276" t="s">
        <v>1617</v>
      </c>
      <c r="E748" s="4276"/>
      <c r="F748" s="4276"/>
      <c r="G748" s="4276"/>
      <c r="H748" s="4276"/>
      <c r="I748" s="4276"/>
      <c r="J748" s="4276"/>
      <c r="K748" s="4276"/>
      <c r="L748" s="4276"/>
      <c r="M748" s="4276"/>
      <c r="N748" s="4276"/>
      <c r="O748" s="4276"/>
      <c r="P748" s="4276"/>
      <c r="Q748" s="3405"/>
      <c r="R748" s="3405"/>
      <c r="S748" s="3405"/>
      <c r="T748" s="3405"/>
      <c r="U748" s="3405"/>
      <c r="V748" s="3405"/>
      <c r="W748" s="3405"/>
      <c r="Y748" s="2399"/>
      <c r="Z748" s="2398"/>
      <c r="AA748" s="2398"/>
      <c r="AB748" s="2398"/>
      <c r="AE748" s="2398"/>
      <c r="AF748" s="2398"/>
      <c r="AG748" s="2399"/>
      <c r="AH748" s="2398"/>
      <c r="AI748" s="2398"/>
      <c r="AJ748" s="2398"/>
      <c r="AK748" s="2398"/>
      <c r="AL748" s="2398"/>
      <c r="AM748" s="2398"/>
      <c r="AN748" s="2398"/>
      <c r="AO748" s="2398"/>
      <c r="AP748" s="2398"/>
      <c r="AQ748" s="2398"/>
      <c r="AR748" s="2398"/>
      <c r="AS748" s="2398"/>
      <c r="AT748" s="2398"/>
    </row>
    <row r="749" spans="1:46" ht="13.15" customHeight="1">
      <c r="A749" s="1090"/>
      <c r="B749" s="3878"/>
      <c r="C749" s="2374"/>
      <c r="D749" s="4276"/>
      <c r="E749" s="4276"/>
      <c r="F749" s="4276"/>
      <c r="G749" s="4276"/>
      <c r="H749" s="4276"/>
      <c r="I749" s="4276"/>
      <c r="J749" s="4276"/>
      <c r="K749" s="4276"/>
      <c r="L749" s="4276"/>
      <c r="M749" s="4276"/>
      <c r="N749" s="4276"/>
      <c r="O749" s="4276"/>
      <c r="P749" s="4276"/>
      <c r="Q749" s="3405"/>
      <c r="R749" s="3405"/>
      <c r="S749" s="3405"/>
      <c r="T749" s="3785" t="s">
        <v>36</v>
      </c>
      <c r="U749" s="3786"/>
      <c r="V749" s="3777" t="s">
        <v>1305</v>
      </c>
      <c r="W749" s="3778" t="s">
        <v>1282</v>
      </c>
      <c r="Y749" s="2399"/>
      <c r="Z749" s="2398"/>
      <c r="AA749" s="2398"/>
      <c r="AB749" s="2398"/>
      <c r="AE749" s="2398"/>
      <c r="AF749" s="2398"/>
      <c r="AG749" s="2399"/>
      <c r="AH749" s="2398"/>
      <c r="AI749" s="2398"/>
      <c r="AJ749" s="2398"/>
      <c r="AK749" s="2398"/>
      <c r="AL749" s="2398"/>
      <c r="AM749" s="2398"/>
      <c r="AN749" s="2398"/>
      <c r="AO749" s="2398"/>
      <c r="AP749" s="2398"/>
      <c r="AQ749" s="2398"/>
      <c r="AR749" s="2398"/>
      <c r="AS749" s="2398"/>
      <c r="AT749" s="2398"/>
    </row>
    <row r="750" spans="1:46" ht="13.15" customHeight="1">
      <c r="A750" s="1090"/>
      <c r="B750" s="3878"/>
      <c r="C750" s="2374"/>
      <c r="D750" s="4276"/>
      <c r="E750" s="4276"/>
      <c r="F750" s="4276"/>
      <c r="G750" s="4276"/>
      <c r="H750" s="4276"/>
      <c r="I750" s="4276"/>
      <c r="J750" s="4276"/>
      <c r="K750" s="4276"/>
      <c r="L750" s="4276"/>
      <c r="M750" s="4276"/>
      <c r="N750" s="4276"/>
      <c r="O750" s="4276"/>
      <c r="P750" s="4276"/>
      <c r="Q750" s="3405"/>
      <c r="R750" s="1135"/>
      <c r="S750" s="1135"/>
      <c r="T750" s="3788" t="s">
        <v>71</v>
      </c>
      <c r="U750" s="3789"/>
      <c r="V750" s="3779" t="s">
        <v>70</v>
      </c>
      <c r="W750" s="3780" t="s">
        <v>330</v>
      </c>
      <c r="Y750" s="2399"/>
      <c r="Z750" s="2398"/>
      <c r="AA750" s="2398"/>
      <c r="AB750" s="2398"/>
      <c r="AE750" s="2398"/>
      <c r="AF750" s="2398"/>
      <c r="AG750" s="2399"/>
      <c r="AH750" s="2398"/>
      <c r="AI750" s="2398"/>
      <c r="AJ750" s="2398"/>
      <c r="AK750" s="2398"/>
      <c r="AL750" s="2398"/>
      <c r="AM750" s="2398"/>
      <c r="AN750" s="2398"/>
      <c r="AO750" s="2398"/>
      <c r="AP750" s="2398"/>
      <c r="AQ750" s="2398"/>
      <c r="AR750" s="2398"/>
      <c r="AS750" s="2398"/>
      <c r="AT750" s="2398"/>
    </row>
    <row r="751" spans="1:46" ht="13.15" customHeight="1">
      <c r="A751" s="1090"/>
      <c r="B751" s="3878"/>
      <c r="C751" s="2374"/>
      <c r="D751" s="2742" t="s">
        <v>1616</v>
      </c>
      <c r="E751" s="3883"/>
      <c r="F751" s="3883"/>
      <c r="G751" s="3883"/>
      <c r="H751" s="3883"/>
      <c r="I751" s="3883"/>
      <c r="J751" s="3883"/>
      <c r="K751" s="3883"/>
      <c r="L751" s="3883"/>
      <c r="M751" s="3883"/>
      <c r="N751" s="3883"/>
      <c r="O751" s="3883"/>
      <c r="P751" s="3883"/>
      <c r="Q751" s="3405"/>
      <c r="R751" s="1135"/>
      <c r="S751" s="1135"/>
      <c r="T751" s="1089"/>
      <c r="U751" s="1089"/>
      <c r="V751" s="1089"/>
      <c r="W751" s="1089"/>
      <c r="Y751" s="2399"/>
      <c r="Z751" s="2398"/>
      <c r="AA751" s="2398"/>
      <c r="AB751" s="2398"/>
      <c r="AE751" s="2398"/>
      <c r="AF751" s="2398"/>
      <c r="AG751" s="2399"/>
      <c r="AH751" s="2398"/>
      <c r="AI751" s="2398"/>
      <c r="AJ751" s="2398"/>
      <c r="AK751" s="2398"/>
      <c r="AL751" s="2398"/>
      <c r="AM751" s="2398"/>
      <c r="AN751" s="2398"/>
      <c r="AO751" s="2398"/>
      <c r="AP751" s="2398"/>
      <c r="AQ751" s="2398"/>
      <c r="AR751" s="2398"/>
      <c r="AS751" s="2398"/>
      <c r="AT751" s="2398"/>
    </row>
    <row r="752" spans="1:46">
      <c r="A752" s="1090"/>
      <c r="B752" s="3339"/>
      <c r="C752" s="2374"/>
      <c r="D752" s="3791"/>
      <c r="E752" s="3792"/>
      <c r="F752" s="3792"/>
      <c r="G752" s="3792"/>
      <c r="H752" s="3792"/>
      <c r="I752" s="3792"/>
      <c r="J752" s="3792"/>
      <c r="K752" s="3792"/>
      <c r="L752" s="3792"/>
      <c r="M752" s="3792"/>
      <c r="N752" s="3792"/>
      <c r="O752" s="3792"/>
      <c r="P752" s="3792"/>
      <c r="Q752" s="3792"/>
      <c r="R752" s="2897"/>
      <c r="S752" s="2897"/>
      <c r="T752" s="2897"/>
      <c r="U752" s="2897"/>
      <c r="V752" s="2897"/>
      <c r="W752" s="2897"/>
      <c r="Y752" s="2399"/>
      <c r="Z752" s="2398"/>
      <c r="AA752" s="2398"/>
      <c r="AB752" s="2398"/>
      <c r="AE752" s="2398"/>
      <c r="AF752" s="2398"/>
      <c r="AG752" s="2399"/>
      <c r="AH752" s="2398"/>
      <c r="AI752" s="2398"/>
      <c r="AJ752" s="2398"/>
      <c r="AK752" s="2398"/>
      <c r="AL752" s="2398"/>
      <c r="AM752" s="2398"/>
      <c r="AN752" s="2398"/>
      <c r="AO752" s="2398"/>
      <c r="AP752" s="2398"/>
      <c r="AQ752" s="2398"/>
      <c r="AR752" s="2398"/>
      <c r="AS752" s="2398"/>
      <c r="AT752" s="2398"/>
    </row>
    <row r="753" spans="1:64">
      <c r="A753" s="1090"/>
      <c r="B753" s="1831"/>
      <c r="D753" s="1825"/>
      <c r="E753" s="1740"/>
      <c r="F753" s="1740"/>
      <c r="G753" s="1740"/>
      <c r="H753" s="1740"/>
      <c r="I753" s="1740"/>
      <c r="J753" s="1740"/>
      <c r="K753" s="1740"/>
      <c r="L753" s="1740"/>
      <c r="M753" s="1740"/>
      <c r="N753" s="1832"/>
      <c r="O753" s="1832"/>
      <c r="P753" s="1832"/>
      <c r="Q753" s="1832"/>
      <c r="R753" s="1831"/>
      <c r="S753" s="1831"/>
      <c r="T753" s="1831"/>
      <c r="U753" s="1831"/>
      <c r="V753" s="1831"/>
      <c r="W753" s="1831"/>
      <c r="Y753" s="2399"/>
      <c r="Z753" s="2398"/>
      <c r="AA753" s="2398"/>
      <c r="AB753" s="2398"/>
      <c r="AE753" s="2398"/>
      <c r="AF753" s="2398"/>
      <c r="AG753" s="2399"/>
      <c r="AH753" s="2398"/>
      <c r="AI753" s="2398"/>
      <c r="AJ753" s="2398"/>
      <c r="AK753" s="2398"/>
      <c r="AL753" s="2398"/>
      <c r="AM753" s="2398"/>
      <c r="AN753" s="2398"/>
      <c r="AO753" s="2398"/>
      <c r="AP753" s="2398"/>
      <c r="AQ753" s="2398"/>
      <c r="AR753" s="2398"/>
      <c r="AS753" s="2398"/>
      <c r="AT753" s="2398"/>
    </row>
    <row r="754" spans="1:64">
      <c r="A754" s="1090"/>
      <c r="B754" s="1667"/>
      <c r="D754" s="79"/>
      <c r="E754" s="1665"/>
      <c r="F754" s="1665"/>
      <c r="G754" s="1665"/>
      <c r="H754" s="1665"/>
      <c r="I754" s="1665"/>
      <c r="J754" s="1665"/>
      <c r="K754" s="1665"/>
      <c r="L754" s="1665"/>
      <c r="M754" s="1665"/>
      <c r="N754" s="1665"/>
      <c r="O754" s="1665"/>
      <c r="P754" s="1665"/>
      <c r="Q754" s="1665"/>
      <c r="R754" s="1667"/>
      <c r="S754" s="1668"/>
      <c r="T754" s="1668"/>
      <c r="U754" s="1668"/>
      <c r="V754" s="1668"/>
      <c r="W754" s="1668"/>
      <c r="Y754" s="2399"/>
      <c r="Z754" s="2398"/>
      <c r="AA754" s="2398"/>
      <c r="AB754" s="2398"/>
      <c r="AE754" s="2398"/>
      <c r="AF754" s="2398"/>
      <c r="AG754" s="2399"/>
      <c r="AH754" s="2398"/>
      <c r="AI754" s="2398"/>
      <c r="AJ754" s="2398"/>
      <c r="AK754" s="2398"/>
      <c r="AL754" s="2398"/>
      <c r="AM754" s="2398"/>
      <c r="AN754" s="2398"/>
      <c r="AO754" s="2398"/>
      <c r="AP754" s="2398"/>
      <c r="AQ754" s="2398"/>
      <c r="AR754" s="2398"/>
      <c r="AS754" s="2398"/>
      <c r="AT754" s="2398"/>
    </row>
    <row r="755" spans="1:64" s="2353" customFormat="1">
      <c r="A755" s="2731" t="s">
        <v>1308</v>
      </c>
      <c r="B755" s="2732"/>
      <c r="C755" s="2465"/>
      <c r="D755" s="2763"/>
      <c r="E755" s="2763"/>
      <c r="F755" s="2763"/>
      <c r="G755" s="2763"/>
      <c r="H755" s="2763"/>
      <c r="I755" s="2763"/>
      <c r="J755" s="2763"/>
      <c r="K755" s="2763"/>
      <c r="L755" s="2763"/>
      <c r="M755" s="2763"/>
      <c r="N755" s="2763"/>
      <c r="O755" s="2763"/>
      <c r="P755" s="2763"/>
      <c r="Q755" s="2763"/>
      <c r="R755" s="2763"/>
      <c r="S755" s="2763"/>
      <c r="T755" s="2763"/>
      <c r="U755" s="2763"/>
      <c r="V755" s="2763"/>
      <c r="W755" s="2763"/>
      <c r="X755" s="2358"/>
      <c r="Y755" s="2403"/>
      <c r="Z755" s="2402"/>
      <c r="AA755" s="2402"/>
      <c r="AB755" s="2402"/>
      <c r="AE755" s="2402"/>
      <c r="AF755" s="2402"/>
      <c r="AG755" s="2403"/>
      <c r="AH755" s="2402"/>
      <c r="AI755" s="2402"/>
      <c r="AJ755" s="2402"/>
      <c r="AK755" s="2402"/>
      <c r="AL755" s="2402"/>
      <c r="AM755" s="2402"/>
      <c r="AN755" s="2402"/>
      <c r="AO755" s="2402"/>
      <c r="AP755" s="2402"/>
      <c r="AQ755" s="2402"/>
      <c r="AR755" s="2402"/>
      <c r="AS755" s="2402"/>
      <c r="AT755" s="2402"/>
      <c r="BL755" s="2358"/>
    </row>
    <row r="756" spans="1:64" s="2353" customFormat="1">
      <c r="A756" s="1669"/>
      <c r="B756" s="670"/>
      <c r="C756" s="2465"/>
      <c r="D756" s="2763"/>
      <c r="E756" s="2763"/>
      <c r="F756" s="2763"/>
      <c r="G756" s="2763"/>
      <c r="H756" s="2763"/>
      <c r="I756" s="2763"/>
      <c r="J756" s="2763"/>
      <c r="K756" s="2763"/>
      <c r="L756" s="2763"/>
      <c r="M756" s="2763"/>
      <c r="N756" s="2763"/>
      <c r="O756" s="2763"/>
      <c r="P756" s="2763"/>
      <c r="Q756" s="2763"/>
      <c r="R756" s="2763"/>
      <c r="S756" s="2763"/>
      <c r="T756" s="2763"/>
      <c r="U756" s="2763"/>
      <c r="V756" s="2763"/>
      <c r="W756" s="2763"/>
      <c r="X756" s="2358"/>
      <c r="Y756" s="2403"/>
      <c r="Z756" s="2402"/>
      <c r="AA756" s="2402"/>
      <c r="AB756" s="2402"/>
      <c r="AE756" s="2402"/>
      <c r="AF756" s="2402"/>
      <c r="AG756" s="2403"/>
      <c r="AH756" s="2402"/>
      <c r="AI756" s="2402"/>
      <c r="AJ756" s="2402"/>
      <c r="AK756" s="2402"/>
      <c r="AL756" s="2402"/>
      <c r="AM756" s="2402"/>
      <c r="AN756" s="2402"/>
      <c r="AO756" s="2402"/>
      <c r="AP756" s="2402"/>
      <c r="AQ756" s="2402"/>
      <c r="AR756" s="2402"/>
      <c r="AS756" s="2402"/>
      <c r="AT756" s="2402"/>
      <c r="BL756" s="2358"/>
    </row>
    <row r="757" spans="1:64" s="2353" customFormat="1">
      <c r="A757" s="1669"/>
      <c r="B757" s="670"/>
      <c r="C757" s="2465"/>
      <c r="D757" s="2763"/>
      <c r="E757" s="2763"/>
      <c r="F757" s="2763"/>
      <c r="G757" s="2763"/>
      <c r="H757" s="2763"/>
      <c r="I757" s="2763"/>
      <c r="J757" s="2763"/>
      <c r="K757" s="2763"/>
      <c r="L757" s="2763"/>
      <c r="M757" s="2763"/>
      <c r="N757" s="2763"/>
      <c r="O757" s="2763"/>
      <c r="P757" s="2763"/>
      <c r="Q757" s="2763"/>
      <c r="R757" s="2763"/>
      <c r="S757" s="2763"/>
      <c r="T757" s="2763"/>
      <c r="U757" s="2763"/>
      <c r="V757" s="2763"/>
      <c r="W757" s="2763"/>
      <c r="X757" s="2358"/>
      <c r="Y757" s="2403"/>
      <c r="Z757" s="2402"/>
      <c r="AA757" s="2402"/>
      <c r="AB757" s="2402"/>
      <c r="AE757" s="2402"/>
      <c r="AF757" s="2402"/>
      <c r="AG757" s="2403"/>
      <c r="AH757" s="2402"/>
      <c r="AI757" s="2402"/>
      <c r="AJ757" s="2402"/>
      <c r="AK757" s="2402"/>
      <c r="AL757" s="2402"/>
      <c r="AM757" s="2402"/>
      <c r="AN757" s="2402"/>
      <c r="AO757" s="2402"/>
      <c r="AP757" s="2402"/>
      <c r="AQ757" s="2402"/>
      <c r="AR757" s="2402"/>
      <c r="AS757" s="2402"/>
      <c r="AT757" s="2402"/>
      <c r="BL757" s="2358"/>
    </row>
    <row r="758" spans="1:64">
      <c r="A758" s="1121"/>
      <c r="B758" s="92"/>
      <c r="D758" s="2764"/>
      <c r="E758" s="2764"/>
      <c r="F758" s="2764"/>
      <c r="G758" s="2764"/>
      <c r="H758" s="2764"/>
      <c r="I758" s="2764"/>
      <c r="J758" s="2764"/>
      <c r="K758" s="2764"/>
      <c r="L758" s="2764"/>
      <c r="M758" s="2764"/>
      <c r="N758" s="2764"/>
      <c r="O758" s="2764"/>
      <c r="P758" s="2764"/>
      <c r="Q758" s="2764"/>
      <c r="R758" s="2764"/>
      <c r="S758" s="2764"/>
      <c r="T758" s="2764"/>
      <c r="U758" s="2764"/>
      <c r="V758" s="2764"/>
      <c r="W758" s="2764"/>
      <c r="Y758" s="2399"/>
      <c r="Z758" s="2398"/>
      <c r="AA758" s="2398"/>
      <c r="AB758" s="2398"/>
      <c r="AE758" s="2398"/>
      <c r="AF758" s="2398"/>
      <c r="AG758" s="2399"/>
      <c r="AH758" s="2398"/>
      <c r="AI758" s="2398"/>
      <c r="AJ758" s="2398"/>
      <c r="AK758" s="2398"/>
      <c r="AL758" s="2398"/>
      <c r="AM758" s="2398"/>
      <c r="AN758" s="2398"/>
      <c r="AO758" s="2398"/>
      <c r="AP758" s="2398"/>
      <c r="AQ758" s="2398"/>
      <c r="AR758" s="2398"/>
      <c r="AS758" s="2398"/>
      <c r="AT758" s="2398"/>
    </row>
    <row r="759" spans="1:64">
      <c r="A759" s="1536"/>
      <c r="B759" s="1422"/>
      <c r="D759" s="1422"/>
      <c r="E759" s="1421"/>
      <c r="F759" s="1421"/>
      <c r="G759" s="1421"/>
      <c r="H759" s="1421"/>
      <c r="I759" s="1421"/>
      <c r="J759" s="1421"/>
      <c r="K759" s="1421"/>
      <c r="L759" s="1421"/>
      <c r="M759" s="1421"/>
      <c r="N759" s="1421"/>
      <c r="O759" s="1421"/>
      <c r="P759" s="1421"/>
      <c r="Q759" s="1421"/>
      <c r="R759" s="1421"/>
      <c r="S759" s="1421"/>
      <c r="T759" s="1421"/>
      <c r="U759" s="1421"/>
      <c r="V759" s="1421"/>
      <c r="W759" s="1421"/>
      <c r="Y759" s="2399"/>
      <c r="Z759" s="2398"/>
      <c r="AA759" s="2398"/>
      <c r="AB759" s="2398"/>
      <c r="AE759" s="2398"/>
      <c r="AF759" s="2399"/>
      <c r="AG759" s="2399"/>
      <c r="AH759" s="2398"/>
      <c r="AI759" s="2398"/>
      <c r="AJ759" s="2398"/>
      <c r="AK759" s="2398"/>
      <c r="AL759" s="2398"/>
      <c r="AM759" s="2398"/>
      <c r="AN759" s="2398"/>
      <c r="AO759" s="2398"/>
      <c r="AP759" s="2398"/>
      <c r="AQ759" s="2398"/>
      <c r="AR759" s="2398"/>
      <c r="AS759" s="2398"/>
      <c r="AT759" s="2398"/>
    </row>
    <row r="760" spans="1:64">
      <c r="A760" s="2423"/>
      <c r="R760" s="2424"/>
      <c r="S760" s="2424"/>
      <c r="T760" s="2424"/>
      <c r="U760" s="2424"/>
      <c r="V760" s="2424"/>
      <c r="W760" s="2424"/>
      <c r="Y760" s="2399"/>
      <c r="Z760" s="2398"/>
      <c r="AA760" s="2398"/>
      <c r="AB760" s="2398"/>
    </row>
    <row r="761" spans="1:64">
      <c r="A761" s="1384" t="s">
        <v>2715</v>
      </c>
      <c r="B761" s="2026"/>
      <c r="D761" s="1160"/>
      <c r="E761" s="3686" t="s">
        <v>1899</v>
      </c>
      <c r="F761" s="3885"/>
      <c r="G761" s="3885"/>
      <c r="H761" s="3885"/>
      <c r="I761" s="3885"/>
      <c r="J761" s="3885"/>
      <c r="K761" s="3885"/>
      <c r="L761" s="3885"/>
      <c r="M761" s="3885"/>
      <c r="N761" s="3885"/>
      <c r="O761" s="3885"/>
      <c r="P761" s="3885"/>
      <c r="Q761" s="3885"/>
      <c r="R761" s="3886"/>
      <c r="S761" s="3689"/>
      <c r="T761" s="1160"/>
      <c r="U761" s="1160"/>
      <c r="V761" s="1160"/>
      <c r="W761" s="1160"/>
      <c r="Y761" s="2399"/>
      <c r="Z761" s="2398"/>
      <c r="AA761" s="2398"/>
      <c r="AB761" s="2398"/>
      <c r="AE761" s="2398"/>
      <c r="AF761" s="2399"/>
      <c r="AG761" s="2399"/>
      <c r="AH761" s="2398"/>
      <c r="AI761" s="2398"/>
      <c r="AJ761" s="2398"/>
      <c r="AK761" s="2398"/>
      <c r="AL761" s="2398"/>
      <c r="AM761" s="2398"/>
      <c r="AN761" s="2398"/>
      <c r="AO761" s="2398"/>
      <c r="AP761" s="2398"/>
      <c r="AQ761" s="2398"/>
      <c r="AR761" s="2398"/>
      <c r="AS761" s="2398"/>
      <c r="AT761" s="2398"/>
    </row>
    <row r="762" spans="1:64">
      <c r="A762" s="1682"/>
      <c r="B762" s="214"/>
      <c r="D762" s="1546"/>
      <c r="E762" s="2030"/>
      <c r="F762" s="2030"/>
      <c r="G762" s="2030"/>
      <c r="H762" s="2030"/>
      <c r="I762" s="2030"/>
      <c r="J762" s="2030"/>
      <c r="K762" s="2030"/>
      <c r="L762" s="2030"/>
      <c r="M762" s="2030"/>
      <c r="N762" s="2030"/>
      <c r="O762" s="2030"/>
      <c r="P762" s="2030"/>
      <c r="Q762" s="1507"/>
      <c r="R762" s="77"/>
      <c r="S762" s="108"/>
      <c r="T762" s="2029"/>
      <c r="U762" s="2029"/>
      <c r="V762" s="2029"/>
      <c r="W762" s="2029"/>
      <c r="Y762" s="2399"/>
      <c r="Z762" s="2398"/>
      <c r="AA762" s="2398"/>
      <c r="AB762" s="2398"/>
      <c r="AE762" s="2398"/>
      <c r="AF762" s="2399"/>
      <c r="AG762" s="2399"/>
      <c r="AH762" s="2398"/>
      <c r="AI762" s="2398"/>
      <c r="AJ762" s="2398"/>
      <c r="AK762" s="2398"/>
      <c r="AL762" s="2398"/>
      <c r="AM762" s="2398"/>
      <c r="AN762" s="2398"/>
      <c r="AO762" s="2398"/>
      <c r="AP762" s="2398"/>
      <c r="AQ762" s="2398"/>
      <c r="AR762" s="2398"/>
      <c r="AS762" s="2398"/>
      <c r="AT762" s="2398"/>
    </row>
    <row r="763" spans="1:64">
      <c r="A763" s="1090"/>
      <c r="B763" s="2129"/>
      <c r="D763" s="92"/>
      <c r="E763" s="1385" t="s">
        <v>38</v>
      </c>
      <c r="F763" s="155"/>
      <c r="G763" s="1041" t="s">
        <v>1305</v>
      </c>
      <c r="H763" s="1366" t="s">
        <v>1282</v>
      </c>
      <c r="I763" s="2129"/>
      <c r="J763" s="1385" t="s">
        <v>1459</v>
      </c>
      <c r="K763" s="155"/>
      <c r="L763" s="1041" t="s">
        <v>1305</v>
      </c>
      <c r="M763" s="1366" t="s">
        <v>1282</v>
      </c>
      <c r="N763" s="2129"/>
      <c r="O763" s="1385" t="s">
        <v>1307</v>
      </c>
      <c r="P763" s="155"/>
      <c r="Q763" s="1041" t="s">
        <v>1305</v>
      </c>
      <c r="R763" s="1366" t="s">
        <v>1282</v>
      </c>
      <c r="S763" s="2129"/>
      <c r="T763" s="2129"/>
      <c r="U763" s="92"/>
      <c r="V763" s="2129"/>
      <c r="W763" s="2129"/>
      <c r="Y763" s="2399"/>
      <c r="Z763" s="2398"/>
      <c r="AA763" s="2398"/>
      <c r="AB763" s="2398"/>
      <c r="AE763" s="2398"/>
      <c r="AF763" s="2399"/>
      <c r="AG763" s="2399"/>
      <c r="AH763" s="2398"/>
      <c r="AI763" s="2398"/>
      <c r="AJ763" s="2398"/>
      <c r="AK763" s="2398"/>
      <c r="AL763" s="2398"/>
      <c r="AM763" s="2398"/>
      <c r="AN763" s="2398"/>
      <c r="AO763" s="2398"/>
      <c r="AP763" s="2398"/>
      <c r="AQ763" s="2398"/>
      <c r="AR763" s="2398"/>
      <c r="AS763" s="2398"/>
      <c r="AT763" s="2398"/>
    </row>
    <row r="764" spans="1:64">
      <c r="A764" s="1090"/>
      <c r="B764" s="2129"/>
      <c r="D764" s="92"/>
      <c r="E764" s="2859" t="s">
        <v>329</v>
      </c>
      <c r="F764" s="2176"/>
      <c r="G764" s="1041" t="s">
        <v>329</v>
      </c>
      <c r="H764" s="1366" t="str">
        <f>W639</f>
        <v>B+</v>
      </c>
      <c r="I764" s="2129"/>
      <c r="J764" s="2175" t="str">
        <f>T574</f>
        <v>A-</v>
      </c>
      <c r="K764" s="2176"/>
      <c r="L764" s="1041" t="str">
        <f>V574</f>
        <v>A</v>
      </c>
      <c r="M764" s="1366" t="str">
        <f>W574</f>
        <v>BBB+</v>
      </c>
      <c r="N764" s="2129"/>
      <c r="O764" s="2175" t="str">
        <f>T750</f>
        <v>BBB-</v>
      </c>
      <c r="P764" s="2176"/>
      <c r="Q764" s="1041" t="str">
        <f>V750</f>
        <v>BBB</v>
      </c>
      <c r="R764" s="1366" t="str">
        <f>W750</f>
        <v>BB+</v>
      </c>
      <c r="S764" s="2129"/>
      <c r="T764" s="2129"/>
      <c r="U764" s="92"/>
      <c r="V764" s="92"/>
      <c r="W764" s="2129"/>
      <c r="Y764" s="2399"/>
      <c r="Z764" s="2398"/>
      <c r="AA764" s="2398"/>
      <c r="AB764" s="2398"/>
      <c r="AE764" s="2398"/>
      <c r="AF764" s="2399"/>
      <c r="AG764" s="2399"/>
      <c r="AH764" s="2398"/>
      <c r="AI764" s="2398"/>
      <c r="AJ764" s="2398"/>
      <c r="AK764" s="2398"/>
      <c r="AL764" s="2398"/>
      <c r="AM764" s="2398"/>
      <c r="AN764" s="2398"/>
      <c r="AO764" s="2398"/>
      <c r="AP764" s="2398"/>
      <c r="AQ764" s="2398"/>
      <c r="AR764" s="2398"/>
      <c r="AS764" s="2398"/>
      <c r="AT764" s="2398"/>
    </row>
    <row r="765" spans="1:64">
      <c r="A765" s="1683"/>
      <c r="B765" s="3884" t="s">
        <v>1765</v>
      </c>
      <c r="D765" s="92"/>
      <c r="E765" s="570"/>
      <c r="F765" s="3890"/>
      <c r="G765" s="92"/>
      <c r="H765" s="92"/>
      <c r="I765" s="539"/>
      <c r="J765" s="1385" t="s">
        <v>67</v>
      </c>
      <c r="K765" s="3890"/>
      <c r="L765" s="92"/>
      <c r="M765" s="92"/>
      <c r="N765" s="2129"/>
      <c r="O765" s="1385" t="s">
        <v>68</v>
      </c>
      <c r="P765" s="155"/>
      <c r="Q765" s="2129"/>
      <c r="R765" s="2129"/>
      <c r="S765" s="2129"/>
      <c r="T765" s="2129"/>
      <c r="U765" s="2129"/>
      <c r="V765" s="2129"/>
      <c r="W765" s="2129"/>
      <c r="Y765" s="2399"/>
      <c r="Z765" s="2398"/>
      <c r="AA765" s="2398"/>
      <c r="AB765" s="2398"/>
      <c r="AE765" s="2398"/>
      <c r="AF765" s="2399"/>
      <c r="AG765" s="2399"/>
      <c r="AH765" s="2398"/>
      <c r="AI765" s="2398"/>
      <c r="AJ765" s="2398"/>
      <c r="AK765" s="2398"/>
      <c r="AL765" s="2398"/>
      <c r="AM765" s="2398"/>
      <c r="AN765" s="2398"/>
      <c r="AO765" s="2398"/>
      <c r="AP765" s="2398"/>
      <c r="AQ765" s="2398"/>
      <c r="AR765" s="2398"/>
      <c r="AS765" s="2398"/>
      <c r="AT765" s="2398"/>
    </row>
    <row r="766" spans="1:64">
      <c r="A766" s="1683"/>
      <c r="B766" s="3884"/>
      <c r="D766" s="2129"/>
      <c r="E766" s="2129"/>
      <c r="F766" s="2129"/>
      <c r="G766" s="2129"/>
      <c r="H766" s="2129"/>
      <c r="I766" s="2129"/>
      <c r="J766" s="2129"/>
      <c r="K766" s="2129"/>
      <c r="L766" s="2129"/>
      <c r="M766" s="2129"/>
      <c r="N766" s="2129"/>
      <c r="O766" s="2129"/>
      <c r="P766" s="92"/>
      <c r="Q766" s="92"/>
      <c r="R766" s="92"/>
      <c r="S766" s="92"/>
      <c r="T766" s="2129"/>
      <c r="U766" s="2129"/>
      <c r="V766" s="2129"/>
      <c r="W766" s="2129"/>
      <c r="Y766" s="2399"/>
      <c r="Z766" s="2398"/>
      <c r="AA766" s="2398"/>
      <c r="AB766" s="2398"/>
      <c r="AE766" s="2398"/>
      <c r="AF766" s="2399"/>
      <c r="AG766" s="2399"/>
      <c r="AH766" s="2398"/>
      <c r="AI766" s="2398"/>
      <c r="AJ766" s="2398"/>
      <c r="AK766" s="2398"/>
      <c r="AL766" s="2398"/>
      <c r="AM766" s="2398"/>
      <c r="AN766" s="2398"/>
      <c r="AO766" s="2398"/>
      <c r="AP766" s="2398"/>
      <c r="AQ766" s="2398"/>
      <c r="AR766" s="2398"/>
      <c r="AS766" s="2398"/>
      <c r="AT766" s="2398"/>
    </row>
    <row r="767" spans="1:64">
      <c r="A767" s="1683"/>
      <c r="B767" s="3884"/>
      <c r="D767" s="2129"/>
      <c r="E767" s="1385" t="s">
        <v>769</v>
      </c>
      <c r="F767" s="155"/>
      <c r="G767" s="1041" t="s">
        <v>1305</v>
      </c>
      <c r="H767" s="1366" t="s">
        <v>1282</v>
      </c>
      <c r="I767" s="2129"/>
      <c r="J767" s="2765"/>
      <c r="K767" s="2765"/>
      <c r="L767" s="2765"/>
      <c r="M767" s="2765"/>
      <c r="N767" s="2129"/>
      <c r="O767" s="1385" t="s">
        <v>770</v>
      </c>
      <c r="P767" s="155"/>
      <c r="Q767" s="1041" t="s">
        <v>1305</v>
      </c>
      <c r="R767" s="1366" t="s">
        <v>1282</v>
      </c>
      <c r="S767" s="92"/>
      <c r="T767" s="2129"/>
      <c r="U767" s="2129"/>
      <c r="V767" s="2129"/>
      <c r="W767" s="2129"/>
      <c r="Y767" s="2399"/>
      <c r="Z767" s="2398"/>
      <c r="AA767" s="2398"/>
      <c r="AB767" s="2398"/>
      <c r="AE767" s="2398"/>
      <c r="AF767" s="2399"/>
      <c r="AG767" s="2399"/>
      <c r="AH767" s="2398"/>
      <c r="AI767" s="2398"/>
      <c r="AJ767" s="2398"/>
      <c r="AK767" s="2398"/>
      <c r="AL767" s="2398"/>
      <c r="AM767" s="2398"/>
      <c r="AN767" s="2398"/>
      <c r="AO767" s="2398"/>
      <c r="AP767" s="2398"/>
      <c r="AQ767" s="2398"/>
      <c r="AR767" s="2398"/>
      <c r="AS767" s="2398"/>
      <c r="AT767" s="2398"/>
    </row>
    <row r="768" spans="1:64">
      <c r="A768" s="1683"/>
      <c r="B768" s="3884"/>
      <c r="D768" s="2129"/>
      <c r="E768" s="2177" t="s">
        <v>70</v>
      </c>
      <c r="F768" s="2178"/>
      <c r="G768" s="1041" t="s">
        <v>69</v>
      </c>
      <c r="H768" s="1366" t="s">
        <v>71</v>
      </c>
      <c r="I768" s="2129"/>
      <c r="J768" s="2765"/>
      <c r="K768" s="2765"/>
      <c r="L768" s="2765"/>
      <c r="M768" s="2765"/>
      <c r="N768" s="2129"/>
      <c r="O768" s="2177" t="s">
        <v>71</v>
      </c>
      <c r="P768" s="2178"/>
      <c r="Q768" s="1041" t="s">
        <v>70</v>
      </c>
      <c r="R768" s="1366" t="s">
        <v>330</v>
      </c>
      <c r="S768" s="2129"/>
      <c r="T768" s="2129"/>
      <c r="U768" s="2129"/>
      <c r="V768" s="2129"/>
      <c r="W768" s="2129"/>
      <c r="Y768" s="2399"/>
      <c r="Z768" s="2398"/>
      <c r="AA768" s="2398"/>
      <c r="AB768" s="2398"/>
      <c r="AE768" s="2398"/>
      <c r="AF768" s="2399"/>
      <c r="AG768" s="2399"/>
      <c r="AH768" s="2398"/>
      <c r="AI768" s="2398"/>
      <c r="AJ768" s="2398"/>
      <c r="AK768" s="2398"/>
      <c r="AL768" s="2398"/>
      <c r="AM768" s="2398"/>
      <c r="AN768" s="2398"/>
      <c r="AO768" s="2398"/>
      <c r="AP768" s="2398"/>
      <c r="AQ768" s="2398"/>
      <c r="AR768" s="2398"/>
      <c r="AS768" s="2398"/>
      <c r="AT768" s="2398"/>
    </row>
    <row r="769" spans="1:64">
      <c r="A769" s="1683"/>
      <c r="B769" s="3884" t="s">
        <v>1765</v>
      </c>
      <c r="D769" s="539"/>
      <c r="E769" s="1385" t="s">
        <v>69</v>
      </c>
      <c r="F769" s="155"/>
      <c r="G769" s="2129"/>
      <c r="H769" s="2129"/>
      <c r="I769" s="2129"/>
      <c r="J769" s="2765"/>
      <c r="K769" s="2765"/>
      <c r="L769" s="2765"/>
      <c r="M769" s="2765"/>
      <c r="N769" s="2129"/>
      <c r="O769" s="1385" t="s">
        <v>68</v>
      </c>
      <c r="P769" s="155"/>
      <c r="Q769" s="2129"/>
      <c r="R769" s="2129"/>
      <c r="S769" s="2129"/>
      <c r="T769" s="2129"/>
      <c r="U769" s="2129"/>
      <c r="V769" s="2129"/>
      <c r="W769" s="2129"/>
      <c r="Y769" s="2399"/>
      <c r="Z769" s="2398"/>
      <c r="AA769" s="2398"/>
      <c r="AB769" s="2398"/>
      <c r="AE769" s="2398"/>
      <c r="AF769" s="2399"/>
      <c r="AG769" s="2399"/>
      <c r="AH769" s="2398"/>
      <c r="AI769" s="2398"/>
      <c r="AJ769" s="2398"/>
      <c r="AK769" s="2398"/>
      <c r="AL769" s="2398"/>
      <c r="AM769" s="2398"/>
      <c r="AN769" s="2398"/>
      <c r="AO769" s="2398"/>
      <c r="AP769" s="2398"/>
      <c r="AQ769" s="2398"/>
      <c r="AR769" s="2398"/>
      <c r="AS769" s="2398"/>
      <c r="AT769" s="2398"/>
    </row>
    <row r="770" spans="1:64">
      <c r="A770" s="1090"/>
      <c r="B770" s="2129"/>
      <c r="D770" s="2129"/>
      <c r="E770" s="2129"/>
      <c r="F770" s="2129"/>
      <c r="G770" s="2129"/>
      <c r="H770" s="2129"/>
      <c r="I770" s="2129"/>
      <c r="J770" s="2129"/>
      <c r="K770" s="2129"/>
      <c r="L770" s="2129"/>
      <c r="M770" s="2129"/>
      <c r="N770" s="2129"/>
      <c r="O770" s="2129"/>
      <c r="P770" s="2129"/>
      <c r="Q770" s="2129"/>
      <c r="R770" s="2129"/>
      <c r="S770" s="2129"/>
      <c r="T770" s="2129"/>
      <c r="U770" s="2129"/>
      <c r="V770" s="2129"/>
      <c r="W770" s="2129"/>
      <c r="Y770" s="2399"/>
      <c r="Z770" s="2398"/>
      <c r="AA770" s="2398"/>
      <c r="AB770" s="2398"/>
      <c r="AE770" s="2398"/>
      <c r="AF770" s="2399"/>
      <c r="AG770" s="2399"/>
      <c r="AH770" s="2398"/>
      <c r="AI770" s="2398"/>
      <c r="AJ770" s="2398"/>
      <c r="AK770" s="2398"/>
      <c r="AL770" s="2398"/>
      <c r="AM770" s="2398"/>
      <c r="AN770" s="2398"/>
      <c r="AO770" s="2398"/>
      <c r="AP770" s="2398"/>
      <c r="AQ770" s="2398"/>
      <c r="AR770" s="2398"/>
      <c r="AS770" s="2398"/>
      <c r="AT770" s="2398"/>
    </row>
    <row r="771" spans="1:64">
      <c r="A771" s="1090"/>
      <c r="B771" s="3407"/>
      <c r="D771" s="3407"/>
      <c r="E771" s="3407"/>
      <c r="F771" s="3407"/>
      <c r="G771" s="3407"/>
      <c r="H771" s="3407"/>
      <c r="I771" s="3407"/>
      <c r="J771" s="3407"/>
      <c r="K771" s="3407"/>
      <c r="L771" s="3407"/>
      <c r="M771" s="3407"/>
      <c r="N771" s="3407"/>
      <c r="O771" s="3407"/>
      <c r="P771" s="3407"/>
      <c r="Q771" s="3407"/>
      <c r="R771" s="3407"/>
      <c r="S771" s="3407"/>
      <c r="T771" s="3407"/>
      <c r="U771" s="3407"/>
      <c r="V771" s="3407"/>
      <c r="W771" s="3407"/>
      <c r="Y771" s="2399"/>
      <c r="Z771" s="2398"/>
      <c r="AA771" s="2398"/>
      <c r="AB771" s="2398"/>
      <c r="AE771" s="2398"/>
      <c r="AF771" s="2399"/>
      <c r="AG771" s="2399"/>
      <c r="AH771" s="2398"/>
      <c r="AI771" s="2398"/>
      <c r="AJ771" s="2398"/>
      <c r="AK771" s="2398"/>
      <c r="AL771" s="2398"/>
      <c r="AM771" s="2398"/>
      <c r="AN771" s="2398"/>
      <c r="AO771" s="2398"/>
      <c r="AP771" s="2398"/>
      <c r="AQ771" s="2398"/>
      <c r="AR771" s="2398"/>
      <c r="AS771" s="2398"/>
      <c r="AT771" s="2398"/>
    </row>
    <row r="772" spans="1:64" s="2353" customFormat="1">
      <c r="A772" s="2731" t="s">
        <v>1308</v>
      </c>
      <c r="B772" s="2732"/>
      <c r="C772" s="2465"/>
      <c r="D772" s="2763"/>
      <c r="E772" s="2763"/>
      <c r="F772" s="2763"/>
      <c r="G772" s="2763"/>
      <c r="H772" s="2763"/>
      <c r="I772" s="2763"/>
      <c r="J772" s="2763"/>
      <c r="K772" s="2763"/>
      <c r="L772" s="2763"/>
      <c r="M772" s="2763"/>
      <c r="N772" s="2763"/>
      <c r="O772" s="2763"/>
      <c r="P772" s="2763"/>
      <c r="Q772" s="2763"/>
      <c r="R772" s="2763"/>
      <c r="S772" s="2763"/>
      <c r="T772" s="2763"/>
      <c r="U772" s="2763"/>
      <c r="V772" s="2763"/>
      <c r="W772" s="2763"/>
      <c r="X772" s="2358"/>
      <c r="Y772" s="2403"/>
      <c r="Z772" s="2402"/>
      <c r="AA772" s="2402"/>
      <c r="AB772" s="2402"/>
      <c r="AE772" s="2402"/>
      <c r="AF772" s="2402"/>
      <c r="AG772" s="2403"/>
      <c r="AH772" s="2402"/>
      <c r="AI772" s="2402"/>
      <c r="AJ772" s="2402"/>
      <c r="AK772" s="2402"/>
      <c r="AL772" s="2402"/>
      <c r="AM772" s="2402"/>
      <c r="AN772" s="2402"/>
      <c r="AO772" s="2402"/>
      <c r="AP772" s="2402"/>
      <c r="AQ772" s="2402"/>
      <c r="AR772" s="2402"/>
      <c r="AS772" s="2402"/>
      <c r="AT772" s="2402"/>
      <c r="BL772" s="2358"/>
    </row>
    <row r="773" spans="1:64" s="2353" customFormat="1">
      <c r="A773" s="1669"/>
      <c r="B773" s="670"/>
      <c r="C773" s="2465"/>
      <c r="D773" s="2763"/>
      <c r="E773" s="2763"/>
      <c r="F773" s="2763"/>
      <c r="G773" s="2763"/>
      <c r="H773" s="2763"/>
      <c r="I773" s="2763"/>
      <c r="J773" s="2763"/>
      <c r="K773" s="2763"/>
      <c r="L773" s="2763"/>
      <c r="M773" s="2763"/>
      <c r="N773" s="2763"/>
      <c r="O773" s="2763"/>
      <c r="P773" s="2763"/>
      <c r="Q773" s="2763"/>
      <c r="R773" s="2763"/>
      <c r="S773" s="2763"/>
      <c r="T773" s="2763"/>
      <c r="U773" s="2763"/>
      <c r="V773" s="2763"/>
      <c r="W773" s="2763"/>
      <c r="X773" s="2358"/>
      <c r="Y773" s="2403"/>
      <c r="Z773" s="2402"/>
      <c r="AA773" s="2402"/>
      <c r="AB773" s="2402"/>
      <c r="AE773" s="2402"/>
      <c r="AF773" s="2402"/>
      <c r="AG773" s="2403"/>
      <c r="AH773" s="2402"/>
      <c r="AI773" s="2402"/>
      <c r="AJ773" s="2402"/>
      <c r="AK773" s="2402"/>
      <c r="AL773" s="2402"/>
      <c r="AM773" s="2402"/>
      <c r="AN773" s="2402"/>
      <c r="AO773" s="2402"/>
      <c r="AP773" s="2402"/>
      <c r="AQ773" s="2402"/>
      <c r="AR773" s="2402"/>
      <c r="AS773" s="2402"/>
      <c r="AT773" s="2402"/>
      <c r="BL773" s="2358"/>
    </row>
    <row r="774" spans="1:64" s="2353" customFormat="1">
      <c r="A774" s="1669"/>
      <c r="B774" s="670"/>
      <c r="C774" s="2465"/>
      <c r="D774" s="2763"/>
      <c r="E774" s="2763"/>
      <c r="F774" s="2763"/>
      <c r="G774" s="2763"/>
      <c r="H774" s="2763"/>
      <c r="I774" s="2763"/>
      <c r="J774" s="2763"/>
      <c r="K774" s="2763"/>
      <c r="L774" s="2763"/>
      <c r="M774" s="2763"/>
      <c r="N774" s="2763"/>
      <c r="O774" s="2763"/>
      <c r="P774" s="2763"/>
      <c r="Q774" s="2763"/>
      <c r="R774" s="2763"/>
      <c r="S774" s="2763"/>
      <c r="T774" s="2763"/>
      <c r="U774" s="2763"/>
      <c r="V774" s="2763"/>
      <c r="W774" s="2763"/>
      <c r="X774" s="2358"/>
      <c r="Y774" s="2403"/>
      <c r="Z774" s="2402"/>
      <c r="AA774" s="2402"/>
      <c r="AB774" s="2402"/>
      <c r="AE774" s="2402"/>
      <c r="AF774" s="2402"/>
      <c r="AG774" s="2403"/>
      <c r="AH774" s="2402"/>
      <c r="AI774" s="2402"/>
      <c r="AJ774" s="2402"/>
      <c r="AK774" s="2402"/>
      <c r="AL774" s="2402"/>
      <c r="AM774" s="2402"/>
      <c r="AN774" s="2402"/>
      <c r="AO774" s="2402"/>
      <c r="AP774" s="2402"/>
      <c r="AQ774" s="2402"/>
      <c r="AR774" s="2402"/>
      <c r="AS774" s="2402"/>
      <c r="AT774" s="2402"/>
      <c r="BL774" s="2358"/>
    </row>
    <row r="775" spans="1:64" s="2353" customFormat="1">
      <c r="A775" s="1669"/>
      <c r="B775" s="670"/>
      <c r="C775" s="2465"/>
      <c r="D775" s="2763"/>
      <c r="E775" s="2763"/>
      <c r="F775" s="2763"/>
      <c r="G775" s="2763"/>
      <c r="H775" s="2763"/>
      <c r="I775" s="2763"/>
      <c r="J775" s="2763"/>
      <c r="K775" s="2763"/>
      <c r="L775" s="2763"/>
      <c r="M775" s="2763"/>
      <c r="N775" s="2763"/>
      <c r="O775" s="2763"/>
      <c r="P775" s="2763"/>
      <c r="Q775" s="2763"/>
      <c r="R775" s="2763"/>
      <c r="S775" s="2763"/>
      <c r="T775" s="2763"/>
      <c r="U775" s="2763"/>
      <c r="V775" s="2763"/>
      <c r="W775" s="2763"/>
      <c r="X775" s="2358"/>
      <c r="Y775" s="2403"/>
      <c r="Z775" s="2402"/>
      <c r="AA775" s="2402"/>
      <c r="AB775" s="2402"/>
      <c r="AE775" s="2402"/>
      <c r="AF775" s="2402"/>
      <c r="AG775" s="2403"/>
      <c r="AH775" s="2402"/>
      <c r="AI775" s="2402"/>
      <c r="AJ775" s="2402"/>
      <c r="AK775" s="2402"/>
      <c r="AL775" s="2402"/>
      <c r="AM775" s="2402"/>
      <c r="AN775" s="2402"/>
      <c r="AO775" s="2402"/>
      <c r="AP775" s="2402"/>
      <c r="AQ775" s="2402"/>
      <c r="AR775" s="2402"/>
      <c r="AS775" s="2402"/>
      <c r="AT775" s="2402"/>
      <c r="BL775" s="2358"/>
    </row>
    <row r="776" spans="1:64" s="2353" customFormat="1">
      <c r="A776" s="1669"/>
      <c r="B776" s="670"/>
      <c r="C776" s="2465"/>
      <c r="D776" s="2763"/>
      <c r="E776" s="2763"/>
      <c r="F776" s="2763"/>
      <c r="G776" s="2763"/>
      <c r="H776" s="2763"/>
      <c r="I776" s="2763"/>
      <c r="J776" s="2763"/>
      <c r="K776" s="2763"/>
      <c r="L776" s="2763"/>
      <c r="M776" s="2763"/>
      <c r="N776" s="2763"/>
      <c r="O776" s="2763"/>
      <c r="P776" s="2763"/>
      <c r="Q776" s="2763"/>
      <c r="R776" s="2763"/>
      <c r="S776" s="2763"/>
      <c r="T776" s="2763"/>
      <c r="U776" s="2763"/>
      <c r="V776" s="2763"/>
      <c r="W776" s="2763"/>
      <c r="X776" s="2358"/>
      <c r="Y776" s="2403"/>
      <c r="Z776" s="2402"/>
      <c r="AA776" s="2402"/>
      <c r="AB776" s="2402"/>
      <c r="AE776" s="2402"/>
      <c r="AF776" s="2402"/>
      <c r="AG776" s="2403"/>
      <c r="AH776" s="2402"/>
      <c r="AI776" s="2402"/>
      <c r="AJ776" s="2402"/>
      <c r="AK776" s="2402"/>
      <c r="AL776" s="2402"/>
      <c r="AM776" s="2402"/>
      <c r="AN776" s="2402"/>
      <c r="AO776" s="2402"/>
      <c r="AP776" s="2402"/>
      <c r="AQ776" s="2402"/>
      <c r="AR776" s="2402"/>
      <c r="AS776" s="2402"/>
      <c r="AT776" s="2402"/>
      <c r="BL776" s="2358"/>
    </row>
    <row r="777" spans="1:64">
      <c r="A777" s="1121"/>
      <c r="B777" s="92"/>
      <c r="D777" s="2764"/>
      <c r="E777" s="2764"/>
      <c r="F777" s="2764"/>
      <c r="G777" s="2764"/>
      <c r="H777" s="2764"/>
      <c r="I777" s="2764"/>
      <c r="J777" s="2764"/>
      <c r="K777" s="2764"/>
      <c r="L777" s="2764"/>
      <c r="M777" s="2764"/>
      <c r="N777" s="2764"/>
      <c r="O777" s="2764"/>
      <c r="P777" s="2764"/>
      <c r="Q777" s="2764"/>
      <c r="R777" s="2764"/>
      <c r="S777" s="2764"/>
      <c r="T777" s="2764"/>
      <c r="U777" s="2764"/>
      <c r="V777" s="2764"/>
      <c r="W777" s="2764"/>
      <c r="Y777" s="2399"/>
      <c r="Z777" s="2398"/>
      <c r="AA777" s="2398"/>
      <c r="AB777" s="2398"/>
      <c r="AE777" s="2398"/>
      <c r="AF777" s="2398"/>
      <c r="AG777" s="2399"/>
      <c r="AH777" s="2398"/>
      <c r="AI777" s="2398"/>
      <c r="AJ777" s="2398"/>
      <c r="AK777" s="2398"/>
      <c r="AL777" s="2398"/>
      <c r="AM777" s="2398"/>
      <c r="AN777" s="2398"/>
      <c r="AO777" s="2398"/>
      <c r="AP777" s="2398"/>
      <c r="AQ777" s="2398"/>
      <c r="AR777" s="2398"/>
      <c r="AS777" s="2398"/>
      <c r="AT777" s="2398"/>
    </row>
    <row r="778" spans="1:64">
      <c r="A778" s="1121"/>
      <c r="B778" s="92"/>
      <c r="D778" s="2027"/>
      <c r="E778" s="2027"/>
      <c r="F778" s="2027"/>
      <c r="G778" s="2027"/>
      <c r="H778" s="2027"/>
      <c r="I778" s="2027"/>
      <c r="J778" s="2027"/>
      <c r="K778" s="2027"/>
      <c r="L778" s="2027"/>
      <c r="M778" s="2027"/>
      <c r="N778" s="2027"/>
      <c r="O778" s="2027"/>
      <c r="P778" s="2027"/>
      <c r="Q778" s="2027"/>
      <c r="R778" s="2027"/>
      <c r="S778" s="2027"/>
      <c r="T778" s="2027"/>
      <c r="U778" s="2027"/>
      <c r="V778" s="2027"/>
      <c r="W778" s="2027"/>
      <c r="Y778" s="2399"/>
      <c r="Z778" s="2398"/>
      <c r="AA778" s="2398"/>
      <c r="AB778" s="2398"/>
      <c r="AE778" s="2398"/>
      <c r="AF778" s="2398"/>
      <c r="AG778" s="2399"/>
      <c r="AH778" s="2398"/>
      <c r="AI778" s="2398"/>
      <c r="AJ778" s="2398"/>
      <c r="AK778" s="2398"/>
      <c r="AL778" s="2398"/>
      <c r="AM778" s="2398"/>
      <c r="AN778" s="2398"/>
      <c r="AO778" s="2398"/>
      <c r="AP778" s="2398"/>
      <c r="AQ778" s="2398"/>
      <c r="AR778" s="2398"/>
      <c r="AS778" s="2398"/>
      <c r="AT778" s="2398"/>
    </row>
    <row r="779" spans="1:64" hidden="1">
      <c r="A779" s="1121"/>
      <c r="B779" s="92"/>
      <c r="D779" s="2027"/>
      <c r="E779" s="2027"/>
      <c r="F779" s="2027"/>
      <c r="G779" s="2027"/>
      <c r="H779" s="2027"/>
      <c r="I779" s="2027"/>
      <c r="J779" s="2027"/>
      <c r="K779" s="2027"/>
      <c r="L779" s="2027"/>
      <c r="M779" s="2027"/>
      <c r="N779" s="2027"/>
      <c r="O779" s="2027"/>
      <c r="P779" s="2027"/>
      <c r="Q779" s="2027"/>
      <c r="R779" s="2027"/>
      <c r="S779" s="2027"/>
      <c r="T779" s="2027"/>
      <c r="U779" s="2027"/>
      <c r="V779" s="2027"/>
      <c r="W779" s="2027"/>
      <c r="Y779" s="2399"/>
      <c r="Z779" s="2398"/>
      <c r="AA779" s="2398"/>
      <c r="AB779" s="2398"/>
      <c r="AE779" s="2398"/>
      <c r="AF779" s="2398"/>
      <c r="AG779" s="2399"/>
      <c r="AH779" s="2398"/>
      <c r="AI779" s="2398"/>
      <c r="AJ779" s="2398"/>
      <c r="AK779" s="2398"/>
      <c r="AL779" s="2398"/>
      <c r="AM779" s="2398"/>
      <c r="AN779" s="2398"/>
      <c r="AO779" s="2398"/>
      <c r="AP779" s="2398"/>
      <c r="AQ779" s="2398"/>
      <c r="AR779" s="2398"/>
      <c r="AS779" s="2398"/>
      <c r="AT779" s="2398"/>
    </row>
    <row r="780" spans="1:64" hidden="1">
      <c r="A780" s="1417" t="s">
        <v>41</v>
      </c>
      <c r="B780" s="1121"/>
      <c r="D780" s="1739"/>
      <c r="E780" s="1739"/>
      <c r="F780" s="1739"/>
      <c r="G780" s="1739"/>
      <c r="H780" s="1739"/>
      <c r="I780" s="1739"/>
      <c r="J780" s="1739"/>
      <c r="K780" s="1739"/>
      <c r="L780" s="1739"/>
      <c r="M780" s="1739"/>
      <c r="N780" s="1739"/>
      <c r="O780" s="1739"/>
      <c r="P780" s="1739"/>
      <c r="Q780" s="1739"/>
      <c r="R780" s="1422"/>
      <c r="S780" s="1422"/>
      <c r="T780" s="1422"/>
      <c r="U780" s="1422"/>
      <c r="V780" s="1422"/>
      <c r="W780" s="1422"/>
      <c r="Y780" s="2399"/>
      <c r="Z780" s="2398"/>
      <c r="AA780" s="2398"/>
      <c r="AB780" s="2398"/>
      <c r="AE780" s="2398"/>
      <c r="AF780" s="2398"/>
      <c r="AG780" s="2398"/>
      <c r="AH780" s="2398"/>
      <c r="AI780" s="2398"/>
      <c r="AJ780" s="2398"/>
      <c r="AK780" s="2398"/>
      <c r="AL780" s="2398"/>
      <c r="AM780" s="2398"/>
      <c r="AN780" s="2398"/>
      <c r="AO780" s="2398"/>
      <c r="AP780" s="2398"/>
      <c r="AQ780" s="2398"/>
      <c r="AR780" s="2398"/>
      <c r="AS780" s="2398"/>
      <c r="AT780" s="2398"/>
    </row>
    <row r="781" spans="1:64" hidden="1">
      <c r="A781" s="1090"/>
      <c r="B781" s="92"/>
      <c r="D781" s="1739"/>
      <c r="E781" s="1739"/>
      <c r="F781" s="1422"/>
      <c r="G781" s="1422"/>
      <c r="H781" s="1422"/>
      <c r="I781" s="1422"/>
      <c r="J781" s="1422"/>
      <c r="K781" s="1422"/>
      <c r="L781" s="1422"/>
      <c r="M781" s="1422"/>
      <c r="N781" s="1422"/>
      <c r="O781" s="1422"/>
      <c r="P781" s="1422"/>
      <c r="Q781" s="1422"/>
      <c r="R781" s="1422"/>
      <c r="S781" s="1422"/>
      <c r="T781" s="1422"/>
      <c r="U781" s="1422"/>
      <c r="V781" s="1422"/>
      <c r="W781" s="1422"/>
      <c r="Y781" s="2399"/>
      <c r="Z781" s="2398"/>
      <c r="AA781" s="2398"/>
      <c r="AB781" s="2398"/>
      <c r="AE781" s="2398"/>
      <c r="AF781" s="2398"/>
      <c r="AG781" s="2398"/>
      <c r="AH781" s="2398"/>
      <c r="AI781" s="2398"/>
      <c r="AJ781" s="2398"/>
      <c r="AK781" s="2398"/>
      <c r="AL781" s="2398"/>
      <c r="AM781" s="2398"/>
      <c r="AN781" s="2398"/>
      <c r="AO781" s="2398"/>
      <c r="AP781" s="2398"/>
      <c r="AQ781" s="2398"/>
      <c r="AR781" s="2398"/>
      <c r="AS781" s="2398"/>
      <c r="AT781" s="2398"/>
    </row>
    <row r="782" spans="1:64" hidden="1">
      <c r="A782" s="1090"/>
      <c r="B782" s="92"/>
      <c r="D782" s="1739"/>
      <c r="E782" s="1739"/>
      <c r="F782" s="1422"/>
      <c r="G782" s="1422"/>
      <c r="H782" s="1422"/>
      <c r="I782" s="1422"/>
      <c r="J782" s="1422"/>
      <c r="K782" s="1422"/>
      <c r="L782" s="1422"/>
      <c r="M782" s="1422"/>
      <c r="N782" s="1422"/>
      <c r="O782" s="1422"/>
      <c r="P782" s="1422"/>
      <c r="Q782" s="1422"/>
      <c r="R782" s="1422"/>
      <c r="S782" s="1422"/>
      <c r="T782" s="1422"/>
      <c r="U782" s="1422"/>
      <c r="V782" s="1422"/>
      <c r="W782" s="1422"/>
      <c r="Y782" s="2399"/>
      <c r="Z782" s="2398"/>
      <c r="AA782" s="2398"/>
      <c r="AB782" s="2398"/>
      <c r="AE782" s="2398"/>
      <c r="AF782" s="2398"/>
      <c r="AG782" s="2398"/>
      <c r="AH782" s="2398"/>
      <c r="AI782" s="2398"/>
      <c r="AJ782" s="2398"/>
      <c r="AK782" s="2398"/>
      <c r="AL782" s="2398"/>
      <c r="AM782" s="2398"/>
      <c r="AN782" s="2398"/>
      <c r="AO782" s="2398"/>
      <c r="AP782" s="2398"/>
      <c r="AQ782" s="2398"/>
      <c r="AR782" s="2398"/>
      <c r="AS782" s="2398"/>
      <c r="AT782" s="2398"/>
    </row>
    <row r="783" spans="1:64" hidden="1">
      <c r="A783" s="1417" t="s">
        <v>649</v>
      </c>
      <c r="B783" s="1121"/>
      <c r="D783" s="1739"/>
      <c r="E783" s="1739"/>
      <c r="F783" s="1422"/>
      <c r="G783" s="1422"/>
      <c r="H783" s="1422"/>
      <c r="I783" s="1422"/>
      <c r="J783" s="1422"/>
      <c r="K783" s="1422"/>
      <c r="L783" s="1422"/>
      <c r="M783" s="1422"/>
      <c r="N783" s="1422"/>
      <c r="O783" s="1422"/>
      <c r="P783" s="1422"/>
      <c r="Q783" s="1422"/>
      <c r="R783" s="1422"/>
      <c r="S783" s="1422"/>
      <c r="T783" s="1422"/>
      <c r="U783" s="1422"/>
      <c r="V783" s="1422"/>
      <c r="W783" s="1422"/>
      <c r="Y783" s="2399"/>
      <c r="Z783" s="2398"/>
      <c r="AA783" s="2398"/>
      <c r="AB783" s="2398"/>
      <c r="AE783" s="2398"/>
      <c r="AF783" s="2398"/>
      <c r="AG783" s="2398"/>
      <c r="AH783" s="2398"/>
      <c r="AI783" s="2398"/>
      <c r="AJ783" s="2398"/>
      <c r="AK783" s="2398"/>
      <c r="AL783" s="2398"/>
      <c r="AM783" s="2398"/>
      <c r="AN783" s="2398"/>
      <c r="AO783" s="2398"/>
      <c r="AP783" s="2398"/>
      <c r="AQ783" s="2398"/>
      <c r="AR783" s="2398"/>
      <c r="AS783" s="2398"/>
      <c r="AT783" s="2398"/>
    </row>
    <row r="784" spans="1:64" hidden="1">
      <c r="A784" s="1090"/>
      <c r="B784" s="92"/>
      <c r="D784" s="1739"/>
      <c r="E784" s="1739"/>
      <c r="F784" s="1422"/>
      <c r="G784" s="1422"/>
      <c r="H784" s="1422"/>
      <c r="I784" s="1422"/>
      <c r="J784" s="1422"/>
      <c r="K784" s="1422"/>
      <c r="L784" s="1422"/>
      <c r="M784" s="1422"/>
      <c r="N784" s="1422"/>
      <c r="O784" s="1422"/>
      <c r="P784" s="1422"/>
      <c r="Q784" s="1422"/>
      <c r="R784" s="1422"/>
      <c r="S784" s="1422"/>
      <c r="T784" s="1422"/>
      <c r="U784" s="1422"/>
      <c r="V784" s="1422"/>
      <c r="W784" s="1422"/>
      <c r="Y784" s="2399"/>
      <c r="Z784" s="2398"/>
      <c r="AA784" s="2398"/>
      <c r="AB784" s="2398"/>
      <c r="AE784" s="2398"/>
      <c r="AF784" s="2398"/>
      <c r="AG784" s="2398"/>
      <c r="AH784" s="2398"/>
      <c r="AI784" s="2398"/>
      <c r="AJ784" s="2398"/>
      <c r="AK784" s="2398"/>
      <c r="AL784" s="2398"/>
      <c r="AM784" s="2398"/>
      <c r="AN784" s="2398"/>
      <c r="AO784" s="2398"/>
      <c r="AP784" s="2398"/>
      <c r="AQ784" s="2398"/>
      <c r="AR784" s="2398"/>
      <c r="AS784" s="2398"/>
      <c r="AT784" s="2398"/>
    </row>
    <row r="785" spans="1:46" hidden="1">
      <c r="A785" s="1090"/>
      <c r="B785" s="92"/>
      <c r="D785" s="1739"/>
      <c r="E785" s="1739"/>
      <c r="F785" s="1422"/>
      <c r="G785" s="1422"/>
      <c r="H785" s="1422"/>
      <c r="I785" s="1422"/>
      <c r="J785" s="1422"/>
      <c r="K785" s="1422"/>
      <c r="L785" s="1422"/>
      <c r="M785" s="1422"/>
      <c r="N785" s="1422"/>
      <c r="O785" s="1422"/>
      <c r="P785" s="1422"/>
      <c r="Q785" s="1422"/>
      <c r="R785" s="1422"/>
      <c r="S785" s="1422"/>
      <c r="T785" s="1422"/>
      <c r="U785" s="1422"/>
      <c r="V785" s="1422"/>
      <c r="W785" s="1422"/>
      <c r="Y785" s="2399"/>
      <c r="Z785" s="2398"/>
      <c r="AA785" s="2398"/>
      <c r="AB785" s="2398"/>
      <c r="AE785" s="2398"/>
      <c r="AF785" s="2398"/>
      <c r="AG785" s="2398"/>
      <c r="AH785" s="2398"/>
      <c r="AI785" s="2398"/>
      <c r="AJ785" s="2398"/>
      <c r="AK785" s="2398"/>
      <c r="AL785" s="2398"/>
      <c r="AM785" s="2398"/>
      <c r="AN785" s="2398"/>
      <c r="AO785" s="2398"/>
      <c r="AP785" s="2398"/>
      <c r="AQ785" s="2398"/>
      <c r="AR785" s="2398"/>
      <c r="AS785" s="2398"/>
      <c r="AT785" s="2398"/>
    </row>
    <row r="786" spans="1:46" hidden="1">
      <c r="A786" s="1417" t="s">
        <v>1445</v>
      </c>
      <c r="B786" s="1121"/>
      <c r="D786" s="1739"/>
      <c r="E786" s="1739"/>
      <c r="F786" s="1422"/>
      <c r="G786" s="1422"/>
      <c r="H786" s="1422"/>
      <c r="I786" s="1422"/>
      <c r="J786" s="1422"/>
      <c r="K786" s="1422"/>
      <c r="L786" s="1422"/>
      <c r="M786" s="1422"/>
      <c r="N786" s="1422"/>
      <c r="O786" s="1422"/>
      <c r="P786" s="1422"/>
      <c r="Q786" s="1422"/>
      <c r="R786" s="1422"/>
      <c r="S786" s="1422"/>
      <c r="T786" s="1422"/>
      <c r="U786" s="1422"/>
      <c r="V786" s="1422"/>
      <c r="W786" s="1422"/>
      <c r="Y786" s="2399"/>
      <c r="Z786" s="2398"/>
      <c r="AA786" s="2398"/>
      <c r="AB786" s="2398"/>
      <c r="AE786" s="2398"/>
      <c r="AF786" s="2398"/>
      <c r="AG786" s="2398"/>
      <c r="AH786" s="2398"/>
      <c r="AI786" s="2398"/>
      <c r="AJ786" s="2398"/>
      <c r="AK786" s="2398"/>
      <c r="AL786" s="2398"/>
      <c r="AM786" s="2398"/>
      <c r="AN786" s="2398"/>
      <c r="AO786" s="2398"/>
      <c r="AP786" s="2398"/>
      <c r="AQ786" s="2398"/>
      <c r="AR786" s="2398"/>
      <c r="AS786" s="2398"/>
      <c r="AT786" s="2398"/>
    </row>
    <row r="787" spans="1:46" hidden="1">
      <c r="A787" s="1090"/>
      <c r="B787" s="1422"/>
      <c r="D787" s="1739"/>
      <c r="E787" s="1739"/>
      <c r="F787" s="1422"/>
      <c r="G787" s="1422"/>
      <c r="H787" s="1422"/>
      <c r="I787" s="1422"/>
      <c r="J787" s="1422"/>
      <c r="K787" s="1422"/>
      <c r="L787" s="1422"/>
      <c r="M787" s="1422"/>
      <c r="N787" s="1422"/>
      <c r="O787" s="1422"/>
      <c r="P787" s="1422"/>
      <c r="Q787" s="1422"/>
      <c r="R787" s="1422"/>
      <c r="S787" s="1422"/>
      <c r="T787" s="1422"/>
      <c r="U787" s="1422"/>
      <c r="V787" s="1422"/>
      <c r="W787" s="1422"/>
      <c r="Y787" s="2399"/>
      <c r="Z787" s="2398"/>
      <c r="AA787" s="2398"/>
      <c r="AB787" s="2398"/>
      <c r="AE787" s="2398"/>
      <c r="AF787" s="2399"/>
      <c r="AG787" s="2399"/>
      <c r="AH787" s="2398"/>
      <c r="AI787" s="2398"/>
      <c r="AJ787" s="2398"/>
      <c r="AK787" s="2398"/>
      <c r="AL787" s="2398"/>
      <c r="AM787" s="2398"/>
      <c r="AN787" s="2398"/>
      <c r="AO787" s="2398"/>
      <c r="AP787" s="2398"/>
      <c r="AQ787" s="2398"/>
      <c r="AR787" s="2398"/>
      <c r="AS787" s="2398"/>
      <c r="AT787" s="2398"/>
    </row>
    <row r="788" spans="1:46" hidden="1">
      <c r="A788" s="1826"/>
      <c r="B788" s="1422"/>
      <c r="D788" s="1422"/>
      <c r="E788" s="1422"/>
      <c r="F788" s="1422"/>
      <c r="G788" s="1422"/>
      <c r="H788" s="1422"/>
      <c r="I788" s="1422"/>
      <c r="J788" s="1422"/>
      <c r="K788" s="1422"/>
      <c r="L788" s="1422"/>
      <c r="M788" s="1422"/>
      <c r="N788" s="1422"/>
      <c r="O788" s="1422"/>
      <c r="P788" s="1422"/>
      <c r="Q788" s="1422"/>
      <c r="R788" s="1422"/>
      <c r="S788" s="1422"/>
      <c r="T788" s="1422"/>
      <c r="U788" s="1422"/>
      <c r="V788" s="1422"/>
      <c r="W788" s="1422"/>
      <c r="Y788" s="2399"/>
      <c r="Z788" s="2398"/>
      <c r="AA788" s="2398"/>
      <c r="AB788" s="2398"/>
      <c r="AE788" s="2398"/>
      <c r="AF788" s="2399"/>
      <c r="AG788" s="2399"/>
      <c r="AH788" s="2398"/>
      <c r="AI788" s="2398"/>
      <c r="AJ788" s="2398"/>
      <c r="AK788" s="2398"/>
      <c r="AL788" s="2398"/>
      <c r="AM788" s="2398"/>
      <c r="AN788" s="2398"/>
      <c r="AO788" s="2398"/>
      <c r="AP788" s="2398"/>
      <c r="AQ788" s="2398"/>
      <c r="AR788" s="2398"/>
      <c r="AS788" s="2398"/>
      <c r="AT788" s="2398"/>
    </row>
    <row r="789" spans="1:46" hidden="1">
      <c r="A789" s="1090"/>
      <c r="B789" s="1799"/>
      <c r="D789" s="1799"/>
      <c r="E789" s="1799"/>
      <c r="F789" s="1799"/>
      <c r="G789" s="1799"/>
      <c r="H789" s="1799"/>
      <c r="I789" s="1799"/>
      <c r="J789" s="1799"/>
      <c r="K789" s="1799"/>
      <c r="L789" s="1799"/>
      <c r="M789" s="1799"/>
      <c r="N789" s="1799"/>
      <c r="O789" s="1799"/>
      <c r="P789" s="1799"/>
      <c r="Q789" s="1799"/>
      <c r="R789" s="1799"/>
      <c r="S789" s="1799"/>
      <c r="T789" s="1799"/>
      <c r="U789" s="1799"/>
      <c r="V789" s="1799"/>
      <c r="W789" s="1799"/>
      <c r="Y789" s="2399"/>
      <c r="Z789" s="2398"/>
      <c r="AA789" s="2398"/>
      <c r="AB789" s="2398"/>
      <c r="AE789" s="2398"/>
      <c r="AF789" s="2399"/>
      <c r="AG789" s="2399"/>
      <c r="AH789" s="2398"/>
      <c r="AI789" s="2398"/>
      <c r="AJ789" s="2398"/>
      <c r="AK789" s="2398"/>
      <c r="AL789" s="2398"/>
      <c r="AM789" s="2398"/>
      <c r="AN789" s="2398"/>
      <c r="AO789" s="2398"/>
      <c r="AP789" s="2398"/>
      <c r="AQ789" s="2398"/>
      <c r="AR789" s="2398"/>
      <c r="AS789" s="2398"/>
      <c r="AT789" s="2398"/>
    </row>
    <row r="790" spans="1:46" hidden="1">
      <c r="A790" s="1090"/>
      <c r="B790" s="1422"/>
      <c r="D790" s="1422"/>
      <c r="E790" s="1422"/>
      <c r="F790" s="1422"/>
      <c r="G790" s="1422"/>
      <c r="H790" s="1422"/>
      <c r="I790" s="1422"/>
      <c r="J790" s="1422"/>
      <c r="K790" s="1422"/>
      <c r="L790" s="1422"/>
      <c r="M790" s="1422"/>
      <c r="N790" s="1422"/>
      <c r="O790" s="1422"/>
      <c r="P790" s="1422"/>
      <c r="Q790" s="1422"/>
      <c r="R790" s="1422"/>
      <c r="S790" s="1422"/>
      <c r="T790" s="1422"/>
      <c r="U790" s="1422"/>
      <c r="V790" s="1422"/>
      <c r="W790" s="1422"/>
      <c r="Y790" s="2399"/>
      <c r="Z790" s="2398"/>
      <c r="AA790" s="2398"/>
      <c r="AB790" s="2398"/>
      <c r="AE790" s="2398"/>
      <c r="AF790" s="2399"/>
      <c r="AG790" s="2399"/>
      <c r="AH790" s="2398"/>
      <c r="AI790" s="2398"/>
      <c r="AJ790" s="2398"/>
      <c r="AK790" s="2398"/>
      <c r="AL790" s="2398"/>
      <c r="AM790" s="2398"/>
      <c r="AN790" s="2398"/>
      <c r="AO790" s="2398"/>
      <c r="AP790" s="2398"/>
      <c r="AQ790" s="2398"/>
      <c r="AR790" s="2398"/>
      <c r="AS790" s="2398"/>
      <c r="AT790" s="2398"/>
    </row>
    <row r="791" spans="1:46">
      <c r="A791" s="1090"/>
      <c r="B791" s="1422"/>
      <c r="D791" s="1422"/>
      <c r="E791" s="1422"/>
      <c r="F791" s="1422"/>
      <c r="G791" s="1422"/>
      <c r="H791" s="1422"/>
      <c r="I791" s="1422"/>
      <c r="J791" s="1422"/>
      <c r="K791" s="1422"/>
      <c r="L791" s="1422"/>
      <c r="M791" s="1422"/>
      <c r="N791" s="1422"/>
      <c r="O791" s="1422"/>
      <c r="P791" s="1422"/>
      <c r="Q791" s="1422"/>
      <c r="R791" s="1422"/>
      <c r="S791" s="1422"/>
      <c r="T791" s="1422"/>
      <c r="U791" s="1422"/>
      <c r="V791" s="1422"/>
      <c r="W791" s="1422"/>
      <c r="Y791" s="2399"/>
      <c r="Z791" s="2398"/>
      <c r="AA791" s="2398"/>
      <c r="AB791" s="2398"/>
      <c r="AE791" s="2398"/>
      <c r="AF791" s="2399"/>
      <c r="AG791" s="2399"/>
      <c r="AH791" s="2398"/>
      <c r="AI791" s="2398"/>
      <c r="AJ791" s="2398"/>
      <c r="AK791" s="2398"/>
      <c r="AL791" s="2398"/>
      <c r="AM791" s="2398"/>
      <c r="AN791" s="2398"/>
      <c r="AO791" s="2398"/>
      <c r="AP791" s="2398"/>
      <c r="AQ791" s="2398"/>
      <c r="AR791" s="2398"/>
      <c r="AS791" s="2398"/>
      <c r="AT791" s="2398"/>
    </row>
    <row r="793" spans="1:46" ht="12.75" customHeight="1">
      <c r="A793" s="1513" t="s">
        <v>1443</v>
      </c>
      <c r="B793" s="1618"/>
      <c r="D793" s="1545" t="s">
        <v>1898</v>
      </c>
      <c r="E793" s="1545"/>
      <c r="F793" s="1545"/>
      <c r="G793" s="1545"/>
      <c r="H793" s="1545"/>
      <c r="I793" s="1545"/>
      <c r="J793" s="1545"/>
      <c r="K793" s="1545"/>
      <c r="L793" s="1545"/>
      <c r="M793" s="1545"/>
      <c r="N793" s="1545"/>
      <c r="O793" s="1545"/>
      <c r="P793" s="1545"/>
      <c r="Q793" s="1545"/>
      <c r="R793" s="1545"/>
      <c r="S793" s="1422"/>
      <c r="T793" s="1422"/>
      <c r="U793" s="1422"/>
      <c r="V793" s="1422"/>
      <c r="W793" s="1422"/>
      <c r="Y793" s="92"/>
      <c r="Z793" s="3887"/>
      <c r="AA793" s="3887"/>
      <c r="AB793" s="3887"/>
      <c r="AE793" s="2398"/>
      <c r="AF793" s="2399"/>
      <c r="AG793" s="2399"/>
      <c r="AH793" s="2398"/>
      <c r="AI793" s="2398"/>
      <c r="AJ793" s="2398"/>
      <c r="AK793" s="2398"/>
      <c r="AL793" s="2398"/>
      <c r="AM793" s="2398"/>
      <c r="AN793" s="2398"/>
      <c r="AO793" s="2398"/>
      <c r="AP793" s="2398"/>
      <c r="AQ793" s="2398"/>
      <c r="AR793" s="2398"/>
      <c r="AS793" s="2398"/>
      <c r="AT793" s="2398"/>
    </row>
    <row r="794" spans="1:46">
      <c r="A794" s="1121"/>
      <c r="B794" s="93"/>
      <c r="D794" s="4274" t="s">
        <v>2716</v>
      </c>
      <c r="E794" s="4274"/>
      <c r="F794" s="4274"/>
      <c r="G794" s="4274"/>
      <c r="H794" s="4274"/>
      <c r="I794" s="4274"/>
      <c r="J794" s="4274"/>
      <c r="K794" s="4274"/>
      <c r="L794" s="4274"/>
      <c r="M794" s="4274"/>
      <c r="N794" s="4274"/>
      <c r="O794" s="4274"/>
      <c r="P794" s="4274"/>
      <c r="Q794" s="4274"/>
      <c r="R794" s="4274"/>
      <c r="S794" s="2271"/>
      <c r="T794" s="2271"/>
      <c r="U794" s="2271"/>
      <c r="V794" s="2271"/>
      <c r="W794" s="2271"/>
      <c r="Y794" s="4494" t="s">
        <v>2717</v>
      </c>
      <c r="Z794" s="4494"/>
      <c r="AA794" s="4494"/>
      <c r="AB794" s="4494"/>
      <c r="AE794" s="2398"/>
      <c r="AF794" s="2399"/>
      <c r="AG794" s="2399"/>
      <c r="AH794" s="2398"/>
      <c r="AI794" s="2398"/>
      <c r="AJ794" s="2398"/>
      <c r="AK794" s="2398"/>
      <c r="AL794" s="2398"/>
      <c r="AM794" s="2398"/>
      <c r="AN794" s="2398"/>
      <c r="AO794" s="2398"/>
      <c r="AP794" s="2398"/>
      <c r="AQ794" s="2398"/>
      <c r="AR794" s="2398"/>
      <c r="AS794" s="2398"/>
      <c r="AT794" s="2398"/>
    </row>
    <row r="795" spans="1:46">
      <c r="A795" s="1422"/>
      <c r="B795" s="1422"/>
      <c r="D795" s="4274"/>
      <c r="E795" s="4274"/>
      <c r="F795" s="4274"/>
      <c r="G795" s="4274"/>
      <c r="H795" s="4274"/>
      <c r="I795" s="4274"/>
      <c r="J795" s="4274"/>
      <c r="K795" s="4274"/>
      <c r="L795" s="4274"/>
      <c r="M795" s="4274"/>
      <c r="N795" s="4274"/>
      <c r="O795" s="4274"/>
      <c r="P795" s="4274"/>
      <c r="Q795" s="4274"/>
      <c r="R795" s="4274"/>
      <c r="S795" s="1422"/>
      <c r="T795" s="1422"/>
      <c r="U795" s="1422"/>
      <c r="V795" s="1422"/>
      <c r="W795" s="1422"/>
      <c r="Y795" s="4494"/>
      <c r="Z795" s="4494"/>
      <c r="AA795" s="4494"/>
      <c r="AB795" s="4494"/>
      <c r="AE795" s="2398"/>
      <c r="AF795" s="2399"/>
      <c r="AG795" s="2399"/>
      <c r="AH795" s="2398"/>
      <c r="AI795" s="2398"/>
      <c r="AJ795" s="2398"/>
      <c r="AK795" s="2398"/>
      <c r="AL795" s="2398"/>
      <c r="AM795" s="2398"/>
      <c r="AN795" s="2398"/>
      <c r="AO795" s="2398"/>
      <c r="AP795" s="2398"/>
      <c r="AQ795" s="2398"/>
      <c r="AR795" s="2398"/>
      <c r="AS795" s="2398"/>
      <c r="AT795" s="2398"/>
    </row>
    <row r="796" spans="1:46">
      <c r="A796" s="1090"/>
      <c r="B796" s="1422"/>
      <c r="D796" s="1422"/>
      <c r="E796" s="1422"/>
      <c r="F796" s="1422"/>
      <c r="G796" s="1422"/>
      <c r="H796" s="1422"/>
      <c r="I796" s="1422"/>
      <c r="J796" s="1422"/>
      <c r="K796" s="1422"/>
      <c r="L796" s="1422"/>
      <c r="M796" s="1422"/>
      <c r="N796" s="1422"/>
      <c r="O796" s="1422"/>
      <c r="P796" s="1422"/>
      <c r="Q796" s="1422"/>
      <c r="R796" s="1422"/>
      <c r="S796" s="1422"/>
      <c r="T796" s="1422"/>
      <c r="U796" s="1422"/>
      <c r="V796" s="1422"/>
      <c r="W796" s="1422"/>
      <c r="Y796" s="4494"/>
      <c r="Z796" s="4494"/>
      <c r="AA796" s="4494"/>
      <c r="AB796" s="4494"/>
      <c r="AE796" s="2398"/>
      <c r="AF796" s="2399"/>
      <c r="AG796" s="2399"/>
      <c r="AH796" s="2398"/>
      <c r="AI796" s="2398"/>
      <c r="AJ796" s="2398"/>
      <c r="AK796" s="2398"/>
      <c r="AL796" s="2398"/>
      <c r="AM796" s="2398"/>
      <c r="AN796" s="2398"/>
      <c r="AO796" s="2398"/>
      <c r="AP796" s="2398"/>
      <c r="AQ796" s="2398"/>
      <c r="AR796" s="2398"/>
      <c r="AS796" s="2398"/>
      <c r="AT796" s="2398"/>
    </row>
    <row r="797" spans="1:46">
      <c r="A797" s="1765" t="s">
        <v>1447</v>
      </c>
      <c r="B797" s="1422"/>
      <c r="D797" s="1427" t="str">
        <f>CONCATENATE(D822,"Q ",D823)</f>
        <v>4Q 2009</v>
      </c>
      <c r="E797" s="1427" t="str">
        <f t="shared" ref="E797:R797" si="2">CONCATENATE(E822,"Q ",E823)</f>
        <v>1Q 2010</v>
      </c>
      <c r="F797" s="1427" t="str">
        <f t="shared" si="2"/>
        <v>2Q 2010</v>
      </c>
      <c r="G797" s="1427" t="str">
        <f t="shared" si="2"/>
        <v>3Q 2010</v>
      </c>
      <c r="H797" s="1427" t="str">
        <f t="shared" si="2"/>
        <v>4Q 2010</v>
      </c>
      <c r="I797" s="1427" t="str">
        <f t="shared" si="2"/>
        <v>1Q 2011</v>
      </c>
      <c r="J797" s="1427" t="str">
        <f t="shared" si="2"/>
        <v>2Q 2011</v>
      </c>
      <c r="K797" s="1427" t="str">
        <f t="shared" si="2"/>
        <v>3Q 2011</v>
      </c>
      <c r="L797" s="1427" t="str">
        <f t="shared" si="2"/>
        <v>4Q 2011</v>
      </c>
      <c r="M797" s="1427" t="str">
        <f t="shared" si="2"/>
        <v>1Q 2012</v>
      </c>
      <c r="N797" s="1427" t="str">
        <f t="shared" si="2"/>
        <v>2Q 2012</v>
      </c>
      <c r="O797" s="1427" t="str">
        <f t="shared" si="2"/>
        <v>3Q 2012</v>
      </c>
      <c r="P797" s="1427" t="str">
        <f t="shared" si="2"/>
        <v>4Q 2012</v>
      </c>
      <c r="Q797" s="1427" t="str">
        <f t="shared" si="2"/>
        <v>1Q 2013</v>
      </c>
      <c r="R797" s="1427" t="str">
        <f t="shared" si="2"/>
        <v>2Q 2013</v>
      </c>
      <c r="S797" s="1422"/>
      <c r="T797" s="1422"/>
      <c r="U797" s="1422"/>
      <c r="V797" s="1422"/>
      <c r="W797" s="1422"/>
      <c r="Y797" s="1927"/>
      <c r="Z797" s="1373"/>
      <c r="AA797" s="1373"/>
      <c r="AB797" s="1373"/>
      <c r="AE797" s="2398"/>
      <c r="AF797" s="2399"/>
      <c r="AG797" s="2399"/>
      <c r="AH797" s="2398"/>
      <c r="AI797" s="2398"/>
      <c r="AJ797" s="2398"/>
      <c r="AK797" s="2398"/>
      <c r="AL797" s="2398"/>
      <c r="AM797" s="2398"/>
      <c r="AN797" s="2398"/>
      <c r="AO797" s="2398"/>
      <c r="AP797" s="2398"/>
      <c r="AQ797" s="2398"/>
      <c r="AR797" s="2398"/>
      <c r="AS797" s="2398"/>
      <c r="AT797" s="2398"/>
    </row>
    <row r="798" spans="1:46">
      <c r="A798" s="1122" t="s">
        <v>498</v>
      </c>
      <c r="B798" s="82" t="s">
        <v>52</v>
      </c>
      <c r="D798" s="1744" t="str">
        <f>$R798</f>
        <v>BBB+</v>
      </c>
      <c r="E798" s="1744" t="str">
        <f t="shared" ref="E798:Q813" si="3">$R798</f>
        <v>BBB+</v>
      </c>
      <c r="F798" s="1745" t="str">
        <f t="shared" si="3"/>
        <v>BBB+</v>
      </c>
      <c r="G798" s="1745" t="str">
        <f t="shared" si="3"/>
        <v>BBB+</v>
      </c>
      <c r="H798" s="1778" t="str">
        <f t="shared" si="3"/>
        <v>BBB+</v>
      </c>
      <c r="I798" s="1744" t="str">
        <f t="shared" si="3"/>
        <v>BBB+</v>
      </c>
      <c r="J798" s="1745" t="str">
        <f t="shared" si="3"/>
        <v>BBB+</v>
      </c>
      <c r="K798" s="1745" t="str">
        <f t="shared" si="3"/>
        <v>BBB+</v>
      </c>
      <c r="L798" s="1778" t="str">
        <f t="shared" si="3"/>
        <v>BBB+</v>
      </c>
      <c r="M798" s="1744" t="str">
        <f t="shared" si="3"/>
        <v>BBB+</v>
      </c>
      <c r="N798" s="1745" t="str">
        <f t="shared" si="3"/>
        <v>BBB+</v>
      </c>
      <c r="O798" s="1745" t="str">
        <f t="shared" si="3"/>
        <v>BBB+</v>
      </c>
      <c r="P798" s="1778" t="str">
        <f t="shared" si="3"/>
        <v>BBB+</v>
      </c>
      <c r="Q798" s="1745" t="str">
        <f t="shared" si="3"/>
        <v>BBB+</v>
      </c>
      <c r="R798" s="107" t="str">
        <f>VLOOKUP($B798,$B$96:$L$119,11,FALSE)</f>
        <v>BBB+</v>
      </c>
      <c r="S798" s="1422"/>
      <c r="T798" s="1422"/>
      <c r="U798" s="1422"/>
      <c r="V798" s="1422"/>
      <c r="W798" s="1422"/>
      <c r="Y798" s="2399"/>
      <c r="Z798" s="2398"/>
      <c r="AA798" s="2398"/>
      <c r="AB798" s="2398"/>
      <c r="AE798" s="2398"/>
      <c r="AF798" s="2399"/>
      <c r="AG798" s="2399"/>
      <c r="AH798" s="2398"/>
      <c r="AI798" s="2398"/>
      <c r="AJ798" s="2398"/>
      <c r="AK798" s="2398"/>
      <c r="AL798" s="2398"/>
      <c r="AM798" s="2398"/>
      <c r="AN798" s="2398"/>
      <c r="AO798" s="2398"/>
      <c r="AP798" s="2398"/>
      <c r="AQ798" s="2398"/>
      <c r="AR798" s="2398"/>
      <c r="AS798" s="2398"/>
      <c r="AT798" s="2398"/>
    </row>
    <row r="799" spans="1:46">
      <c r="A799" s="1115" t="s">
        <v>385</v>
      </c>
      <c r="B799" s="83" t="s">
        <v>276</v>
      </c>
      <c r="D799" s="1746" t="str">
        <f t="shared" ref="D799:D820" si="4">$R799</f>
        <v>BBB</v>
      </c>
      <c r="E799" s="1746" t="str">
        <f t="shared" si="3"/>
        <v>BBB</v>
      </c>
      <c r="F799" s="1747" t="str">
        <f t="shared" si="3"/>
        <v>BBB</v>
      </c>
      <c r="G799" s="1747" t="str">
        <f t="shared" si="3"/>
        <v>BBB</v>
      </c>
      <c r="H799" s="1779" t="str">
        <f t="shared" si="3"/>
        <v>BBB</v>
      </c>
      <c r="I799" s="1746" t="str">
        <f t="shared" si="3"/>
        <v>BBB</v>
      </c>
      <c r="J799" s="1747" t="str">
        <f t="shared" si="3"/>
        <v>BBB</v>
      </c>
      <c r="K799" s="1747" t="str">
        <f t="shared" si="3"/>
        <v>BBB</v>
      </c>
      <c r="L799" s="1779" t="str">
        <f t="shared" si="3"/>
        <v>BBB</v>
      </c>
      <c r="M799" s="1746" t="str">
        <f t="shared" si="3"/>
        <v>BBB</v>
      </c>
      <c r="N799" s="1747" t="str">
        <f t="shared" si="3"/>
        <v>BBB</v>
      </c>
      <c r="O799" s="1747" t="str">
        <f t="shared" si="3"/>
        <v>BBB</v>
      </c>
      <c r="P799" s="1779" t="str">
        <f t="shared" si="3"/>
        <v>BBB</v>
      </c>
      <c r="Q799" s="1747" t="str">
        <f t="shared" si="3"/>
        <v>BBB</v>
      </c>
      <c r="R799" s="1686" t="str">
        <f t="shared" ref="R799:R820" si="5">VLOOKUP($B799,$B$96:$L$119,11,FALSE)</f>
        <v>BBB</v>
      </c>
      <c r="S799" s="1422"/>
      <c r="T799" s="1422"/>
      <c r="U799" s="1422"/>
      <c r="V799" s="1422"/>
      <c r="W799" s="1422"/>
      <c r="Y799" s="2399"/>
      <c r="Z799" s="2398"/>
      <c r="AA799" s="2398"/>
      <c r="AB799" s="2398"/>
      <c r="AE799" s="2398"/>
      <c r="AF799" s="2399"/>
      <c r="AG799" s="2399"/>
      <c r="AH799" s="2398"/>
      <c r="AI799" s="2398"/>
      <c r="AJ799" s="2398"/>
      <c r="AK799" s="2398"/>
      <c r="AL799" s="2398"/>
      <c r="AM799" s="2398"/>
      <c r="AN799" s="2398"/>
      <c r="AO799" s="2398"/>
      <c r="AP799" s="2398"/>
      <c r="AQ799" s="2398"/>
      <c r="AR799" s="2398"/>
      <c r="AS799" s="2398"/>
      <c r="AT799" s="2398"/>
    </row>
    <row r="800" spans="1:46">
      <c r="A800" s="1117" t="s">
        <v>319</v>
      </c>
      <c r="B800" s="1370" t="s">
        <v>750</v>
      </c>
      <c r="D800" s="1757" t="str">
        <f t="shared" si="4"/>
        <v>A</v>
      </c>
      <c r="E800" s="1757" t="str">
        <f t="shared" si="3"/>
        <v>A</v>
      </c>
      <c r="F800" s="1758" t="str">
        <f t="shared" si="3"/>
        <v>A</v>
      </c>
      <c r="G800" s="1758" t="str">
        <f t="shared" si="3"/>
        <v>A</v>
      </c>
      <c r="H800" s="1780" t="str">
        <f t="shared" si="3"/>
        <v>A</v>
      </c>
      <c r="I800" s="1757" t="str">
        <f t="shared" si="3"/>
        <v>A</v>
      </c>
      <c r="J800" s="1758" t="str">
        <f t="shared" si="3"/>
        <v>A</v>
      </c>
      <c r="K800" s="1758" t="str">
        <f t="shared" si="3"/>
        <v>A</v>
      </c>
      <c r="L800" s="1661" t="str">
        <f t="shared" si="3"/>
        <v>A</v>
      </c>
      <c r="M800" s="1016" t="str">
        <f t="shared" si="3"/>
        <v>A</v>
      </c>
      <c r="N800" s="1756" t="str">
        <f t="shared" si="3"/>
        <v>A</v>
      </c>
      <c r="O800" s="1756" t="str">
        <f t="shared" si="3"/>
        <v>A</v>
      </c>
      <c r="P800" s="1661" t="str">
        <f t="shared" si="3"/>
        <v>A</v>
      </c>
      <c r="Q800" s="1756" t="str">
        <f t="shared" si="3"/>
        <v>A</v>
      </c>
      <c r="R800" s="1756" t="str">
        <f t="shared" si="5"/>
        <v>A</v>
      </c>
      <c r="S800" s="1422"/>
      <c r="T800" s="1422"/>
      <c r="U800" s="1422"/>
      <c r="V800" s="1422"/>
      <c r="W800" s="1422"/>
      <c r="Y800" s="2399"/>
      <c r="Z800" s="2398"/>
      <c r="AA800" s="2398"/>
      <c r="AB800" s="2398"/>
      <c r="AE800" s="2398"/>
      <c r="AF800" s="2399"/>
      <c r="AG800" s="2399"/>
      <c r="AH800" s="2398"/>
      <c r="AI800" s="2398"/>
      <c r="AJ800" s="2398"/>
      <c r="AK800" s="2398"/>
      <c r="AL800" s="2398"/>
      <c r="AM800" s="2398"/>
      <c r="AN800" s="2398"/>
      <c r="AO800" s="2398"/>
      <c r="AP800" s="2398"/>
      <c r="AQ800" s="2398"/>
      <c r="AR800" s="2398"/>
      <c r="AS800" s="2398"/>
      <c r="AT800" s="2398"/>
    </row>
    <row r="801" spans="1:64" s="2354" customFormat="1">
      <c r="A801" s="1763" t="s">
        <v>319</v>
      </c>
      <c r="B801" s="1764" t="s">
        <v>751</v>
      </c>
      <c r="C801" s="2361"/>
      <c r="D801" s="1757" t="s">
        <v>71</v>
      </c>
      <c r="E801" s="1757" t="s">
        <v>71</v>
      </c>
      <c r="F801" s="1758" t="s">
        <v>71</v>
      </c>
      <c r="G801" s="1758" t="s">
        <v>71</v>
      </c>
      <c r="H801" s="1780" t="s">
        <v>71</v>
      </c>
      <c r="I801" s="1757" t="s">
        <v>71</v>
      </c>
      <c r="J801" s="1758" t="s">
        <v>71</v>
      </c>
      <c r="K801" s="1758" t="s">
        <v>71</v>
      </c>
      <c r="L801" s="1780" t="s">
        <v>71</v>
      </c>
      <c r="M801" s="1757" t="s">
        <v>71</v>
      </c>
      <c r="N801" s="1758" t="s">
        <v>330</v>
      </c>
      <c r="O801" s="1758" t="s">
        <v>330</v>
      </c>
      <c r="P801" s="1780" t="s">
        <v>330</v>
      </c>
      <c r="Q801" s="1758" t="s">
        <v>330</v>
      </c>
      <c r="R801" s="1758" t="s">
        <v>330</v>
      </c>
      <c r="S801" s="1598"/>
      <c r="T801" s="1598"/>
      <c r="U801" s="1598"/>
      <c r="V801" s="1598"/>
      <c r="W801" s="1598"/>
      <c r="X801" s="2361"/>
      <c r="Y801" s="2405"/>
      <c r="Z801" s="2404"/>
      <c r="AA801" s="2404"/>
      <c r="AB801" s="2404"/>
      <c r="AE801" s="2404"/>
      <c r="AF801" s="2405"/>
      <c r="AG801" s="2405"/>
      <c r="AH801" s="2404"/>
      <c r="AI801" s="2404"/>
      <c r="AJ801" s="2404"/>
      <c r="AK801" s="2404"/>
      <c r="AL801" s="2404"/>
      <c r="AM801" s="2404"/>
      <c r="AN801" s="2404"/>
      <c r="AO801" s="2404"/>
      <c r="AP801" s="2404"/>
      <c r="AQ801" s="2404"/>
      <c r="AR801" s="2404"/>
      <c r="AS801" s="2404"/>
      <c r="AT801" s="2404"/>
      <c r="BL801" s="2361"/>
    </row>
    <row r="802" spans="1:64">
      <c r="A802" s="1117" t="s">
        <v>319</v>
      </c>
      <c r="B802" s="1370" t="s">
        <v>752</v>
      </c>
      <c r="D802" s="1016" t="s">
        <v>329</v>
      </c>
      <c r="E802" s="1016" t="s">
        <v>329</v>
      </c>
      <c r="F802" s="1756" t="s">
        <v>329</v>
      </c>
      <c r="G802" s="1756" t="s">
        <v>329</v>
      </c>
      <c r="H802" s="1661" t="s">
        <v>329</v>
      </c>
      <c r="I802" s="1016" t="s">
        <v>329</v>
      </c>
      <c r="J802" s="1756" t="s">
        <v>329</v>
      </c>
      <c r="K802" s="1756" t="s">
        <v>329</v>
      </c>
      <c r="L802" s="1661" t="s">
        <v>329</v>
      </c>
      <c r="M802" s="1016" t="s">
        <v>329</v>
      </c>
      <c r="N802" s="1756" t="s">
        <v>329</v>
      </c>
      <c r="O802" s="1756" t="str">
        <f t="shared" si="3"/>
        <v>B+</v>
      </c>
      <c r="P802" s="1661" t="str">
        <f t="shared" si="3"/>
        <v>B+</v>
      </c>
      <c r="Q802" s="1756" t="str">
        <f t="shared" si="3"/>
        <v>B+</v>
      </c>
      <c r="R802" s="1756" t="str">
        <f t="shared" si="5"/>
        <v>B+</v>
      </c>
      <c r="S802" s="1422"/>
      <c r="T802" s="1422"/>
      <c r="U802" s="1422"/>
      <c r="V802" s="1422"/>
      <c r="W802" s="1422"/>
      <c r="Y802" s="2399"/>
      <c r="Z802" s="2398"/>
      <c r="AA802" s="2398"/>
      <c r="AB802" s="2398"/>
      <c r="AE802" s="2398"/>
      <c r="AF802" s="2399"/>
      <c r="AG802" s="2399"/>
      <c r="AH802" s="2398"/>
      <c r="AI802" s="2398"/>
      <c r="AJ802" s="2398"/>
      <c r="AK802" s="2398"/>
      <c r="AL802" s="2398"/>
      <c r="AM802" s="2398"/>
      <c r="AN802" s="2398"/>
      <c r="AO802" s="2398"/>
      <c r="AP802" s="2398"/>
      <c r="AQ802" s="2398"/>
      <c r="AR802" s="2398"/>
      <c r="AS802" s="2398"/>
      <c r="AT802" s="2398"/>
    </row>
    <row r="803" spans="1:64">
      <c r="A803" s="1115" t="s">
        <v>539</v>
      </c>
      <c r="B803" s="83" t="s">
        <v>39</v>
      </c>
      <c r="D803" s="1746" t="str">
        <f t="shared" si="4"/>
        <v>BBB</v>
      </c>
      <c r="E803" s="1746" t="str">
        <f t="shared" si="3"/>
        <v>BBB</v>
      </c>
      <c r="F803" s="1747" t="str">
        <f t="shared" si="3"/>
        <v>BBB</v>
      </c>
      <c r="G803" s="1747" t="str">
        <f t="shared" si="3"/>
        <v>BBB</v>
      </c>
      <c r="H803" s="1779" t="str">
        <f t="shared" si="3"/>
        <v>BBB</v>
      </c>
      <c r="I803" s="1746" t="str">
        <f t="shared" si="3"/>
        <v>BBB</v>
      </c>
      <c r="J803" s="1747" t="str">
        <f t="shared" si="3"/>
        <v>BBB</v>
      </c>
      <c r="K803" s="1747" t="str">
        <f t="shared" si="3"/>
        <v>BBB</v>
      </c>
      <c r="L803" s="1779" t="str">
        <f t="shared" si="3"/>
        <v>BBB</v>
      </c>
      <c r="M803" s="1746" t="str">
        <f t="shared" si="3"/>
        <v>BBB</v>
      </c>
      <c r="N803" s="1747" t="str">
        <f t="shared" si="3"/>
        <v>BBB</v>
      </c>
      <c r="O803" s="1747" t="str">
        <f t="shared" si="3"/>
        <v>BBB</v>
      </c>
      <c r="P803" s="1779" t="str">
        <f t="shared" si="3"/>
        <v>BBB</v>
      </c>
      <c r="Q803" s="1747" t="str">
        <f t="shared" si="3"/>
        <v>BBB</v>
      </c>
      <c r="R803" s="1686" t="str">
        <f t="shared" si="5"/>
        <v>BBB</v>
      </c>
      <c r="S803" s="1422"/>
      <c r="T803" s="1422"/>
      <c r="U803" s="1422"/>
      <c r="V803" s="1422"/>
      <c r="W803" s="1422"/>
      <c r="Y803" s="2399"/>
      <c r="Z803" s="2398"/>
      <c r="AA803" s="2398"/>
      <c r="AB803" s="2398"/>
      <c r="AE803" s="2398"/>
      <c r="AF803" s="2399"/>
      <c r="AG803" s="2399"/>
      <c r="AH803" s="2398"/>
      <c r="AI803" s="2398"/>
      <c r="AJ803" s="2398"/>
      <c r="AK803" s="2398"/>
      <c r="AL803" s="2398"/>
      <c r="AM803" s="2398"/>
      <c r="AN803" s="2398"/>
      <c r="AO803" s="2398"/>
      <c r="AP803" s="2398"/>
      <c r="AQ803" s="2398"/>
      <c r="AR803" s="2398"/>
      <c r="AS803" s="2398"/>
      <c r="AT803" s="2398"/>
    </row>
    <row r="804" spans="1:64">
      <c r="A804" s="1115" t="s">
        <v>217</v>
      </c>
      <c r="B804" s="83" t="s">
        <v>53</v>
      </c>
      <c r="D804" s="1746" t="str">
        <f t="shared" si="4"/>
        <v>BBB</v>
      </c>
      <c r="E804" s="1746" t="str">
        <f t="shared" si="3"/>
        <v>BBB</v>
      </c>
      <c r="F804" s="1747" t="str">
        <f t="shared" si="3"/>
        <v>BBB</v>
      </c>
      <c r="G804" s="1747" t="str">
        <f t="shared" si="3"/>
        <v>BBB</v>
      </c>
      <c r="H804" s="1779" t="str">
        <f t="shared" si="3"/>
        <v>BBB</v>
      </c>
      <c r="I804" s="1746" t="str">
        <f t="shared" si="3"/>
        <v>BBB</v>
      </c>
      <c r="J804" s="1747" t="str">
        <f t="shared" si="3"/>
        <v>BBB</v>
      </c>
      <c r="K804" s="1747" t="str">
        <f t="shared" si="3"/>
        <v>BBB</v>
      </c>
      <c r="L804" s="1779" t="str">
        <f t="shared" si="3"/>
        <v>BBB</v>
      </c>
      <c r="M804" s="1746" t="str">
        <f t="shared" si="3"/>
        <v>BBB</v>
      </c>
      <c r="N804" s="1747" t="str">
        <f t="shared" si="3"/>
        <v>BBB</v>
      </c>
      <c r="O804" s="1747" t="str">
        <f t="shared" si="3"/>
        <v>BBB</v>
      </c>
      <c r="P804" s="1779" t="str">
        <f t="shared" si="3"/>
        <v>BBB</v>
      </c>
      <c r="Q804" s="1747" t="str">
        <f t="shared" si="3"/>
        <v>BBB</v>
      </c>
      <c r="R804" s="1686" t="str">
        <f t="shared" si="5"/>
        <v>BBB</v>
      </c>
      <c r="S804" s="1422"/>
      <c r="T804" s="1422"/>
      <c r="U804" s="1422"/>
      <c r="V804" s="1422"/>
      <c r="W804" s="1422"/>
      <c r="Y804" s="2399"/>
      <c r="Z804" s="2398"/>
      <c r="AA804" s="2398"/>
      <c r="AB804" s="2398"/>
      <c r="AE804" s="2398"/>
      <c r="AF804" s="2399"/>
      <c r="AG804" s="2399"/>
      <c r="AH804" s="2398"/>
      <c r="AI804" s="2398"/>
      <c r="AJ804" s="2398"/>
      <c r="AK804" s="2398"/>
      <c r="AL804" s="2398"/>
      <c r="AM804" s="2398"/>
      <c r="AN804" s="2398"/>
      <c r="AO804" s="2398"/>
      <c r="AP804" s="2398"/>
      <c r="AQ804" s="2398"/>
      <c r="AR804" s="2398"/>
      <c r="AS804" s="2398"/>
      <c r="AT804" s="2398"/>
    </row>
    <row r="805" spans="1:64">
      <c r="A805" s="1115" t="s">
        <v>73</v>
      </c>
      <c r="B805" s="83" t="s">
        <v>283</v>
      </c>
      <c r="D805" s="1746" t="str">
        <f t="shared" si="4"/>
        <v>BBB</v>
      </c>
      <c r="E805" s="1746" t="str">
        <f t="shared" si="3"/>
        <v>BBB</v>
      </c>
      <c r="F805" s="1747" t="str">
        <f t="shared" si="3"/>
        <v>BBB</v>
      </c>
      <c r="G805" s="1747" t="str">
        <f t="shared" si="3"/>
        <v>BBB</v>
      </c>
      <c r="H805" s="1779" t="str">
        <f t="shared" si="3"/>
        <v>BBB</v>
      </c>
      <c r="I805" s="1746" t="str">
        <f t="shared" si="3"/>
        <v>BBB</v>
      </c>
      <c r="J805" s="1747" t="str">
        <f t="shared" si="3"/>
        <v>BBB</v>
      </c>
      <c r="K805" s="1747" t="str">
        <f t="shared" si="3"/>
        <v>BBB</v>
      </c>
      <c r="L805" s="1779" t="str">
        <f t="shared" si="3"/>
        <v>BBB</v>
      </c>
      <c r="M805" s="1746" t="str">
        <f t="shared" si="3"/>
        <v>BBB</v>
      </c>
      <c r="N805" s="1747" t="str">
        <f t="shared" si="3"/>
        <v>BBB</v>
      </c>
      <c r="O805" s="1747" t="str">
        <f t="shared" si="3"/>
        <v>BBB</v>
      </c>
      <c r="P805" s="1779" t="str">
        <f t="shared" si="3"/>
        <v>BBB</v>
      </c>
      <c r="Q805" s="1747" t="str">
        <f t="shared" si="3"/>
        <v>BBB</v>
      </c>
      <c r="R805" s="1686" t="str">
        <f t="shared" si="5"/>
        <v>BBB</v>
      </c>
      <c r="S805" s="1422"/>
      <c r="T805" s="1422"/>
      <c r="U805" s="1422"/>
      <c r="V805" s="1422"/>
      <c r="W805" s="1422"/>
      <c r="Y805" s="2399"/>
      <c r="Z805" s="2398"/>
      <c r="AA805" s="2398"/>
      <c r="AB805" s="2398"/>
      <c r="AE805" s="2398"/>
      <c r="AF805" s="2399"/>
      <c r="AG805" s="2399"/>
      <c r="AH805" s="2398"/>
      <c r="AI805" s="2398"/>
      <c r="AJ805" s="2398"/>
      <c r="AK805" s="2398"/>
      <c r="AL805" s="2398"/>
      <c r="AM805" s="2398"/>
      <c r="AN805" s="2398"/>
      <c r="AO805" s="2398"/>
      <c r="AP805" s="2398"/>
      <c r="AQ805" s="2398"/>
      <c r="AR805" s="2398"/>
      <c r="AS805" s="2398"/>
      <c r="AT805" s="2398"/>
    </row>
    <row r="806" spans="1:64" s="2354" customFormat="1">
      <c r="A806" s="1760" t="s">
        <v>19</v>
      </c>
      <c r="B806" s="1761" t="s">
        <v>285</v>
      </c>
      <c r="C806" s="2361"/>
      <c r="D806" s="1762" t="s">
        <v>68</v>
      </c>
      <c r="E806" s="1762" t="s">
        <v>68</v>
      </c>
      <c r="F806" s="1608" t="s">
        <v>68</v>
      </c>
      <c r="G806" s="1608" t="s">
        <v>68</v>
      </c>
      <c r="H806" s="1781" t="s">
        <v>68</v>
      </c>
      <c r="I806" s="1762" t="s">
        <v>68</v>
      </c>
      <c r="J806" s="1608" t="s">
        <v>68</v>
      </c>
      <c r="K806" s="1608" t="s">
        <v>68</v>
      </c>
      <c r="L806" s="1781" t="s">
        <v>68</v>
      </c>
      <c r="M806" s="1762" t="s">
        <v>68</v>
      </c>
      <c r="N806" s="1608" t="s">
        <v>68</v>
      </c>
      <c r="O806" s="1608" t="s">
        <v>68</v>
      </c>
      <c r="P806" s="1781" t="s">
        <v>68</v>
      </c>
      <c r="Q806" s="1608" t="s">
        <v>68</v>
      </c>
      <c r="R806" s="1608" t="s">
        <v>68</v>
      </c>
      <c r="S806" s="1598"/>
      <c r="T806" s="1598"/>
      <c r="U806" s="1598"/>
      <c r="V806" s="1598"/>
      <c r="W806" s="1598"/>
      <c r="X806" s="2361"/>
      <c r="Y806" s="2405"/>
      <c r="Z806" s="2404"/>
      <c r="AA806" s="2404"/>
      <c r="AB806" s="2404"/>
      <c r="AE806" s="2404"/>
      <c r="AF806" s="2405"/>
      <c r="AG806" s="2405"/>
      <c r="AH806" s="2404"/>
      <c r="AI806" s="2404"/>
      <c r="AJ806" s="2404"/>
      <c r="AK806" s="2404"/>
      <c r="AL806" s="2404"/>
      <c r="AM806" s="2404"/>
      <c r="AN806" s="2404"/>
      <c r="AO806" s="2404"/>
      <c r="AP806" s="2404"/>
      <c r="AQ806" s="2404"/>
      <c r="AR806" s="2404"/>
      <c r="AS806" s="2404"/>
      <c r="AT806" s="2404"/>
      <c r="BL806" s="2361"/>
    </row>
    <row r="807" spans="1:64">
      <c r="A807" s="1115" t="s">
        <v>19</v>
      </c>
      <c r="B807" s="1331" t="s">
        <v>286</v>
      </c>
      <c r="D807" s="80" t="s">
        <v>68</v>
      </c>
      <c r="E807" s="80" t="s">
        <v>68</v>
      </c>
      <c r="F807" s="1686" t="s">
        <v>68</v>
      </c>
      <c r="G807" s="1686" t="s">
        <v>68</v>
      </c>
      <c r="H807" s="1685" t="s">
        <v>68</v>
      </c>
      <c r="I807" s="80" t="s">
        <v>68</v>
      </c>
      <c r="J807" s="1686" t="s">
        <v>68</v>
      </c>
      <c r="K807" s="1686" t="s">
        <v>68</v>
      </c>
      <c r="L807" s="1685" t="s">
        <v>68</v>
      </c>
      <c r="M807" s="80" t="s">
        <v>68</v>
      </c>
      <c r="N807" s="1686" t="s">
        <v>68</v>
      </c>
      <c r="O807" s="1686" t="s">
        <v>68</v>
      </c>
      <c r="P807" s="1685" t="s">
        <v>68</v>
      </c>
      <c r="Q807" s="1686" t="s">
        <v>68</v>
      </c>
      <c r="R807" s="1686" t="str">
        <f t="shared" si="5"/>
        <v>BBB+</v>
      </c>
      <c r="S807" s="1422"/>
      <c r="T807" s="1422"/>
      <c r="U807" s="1422"/>
      <c r="V807" s="1422"/>
      <c r="W807" s="1422"/>
      <c r="Y807" s="2399"/>
      <c r="Z807" s="2398"/>
      <c r="AA807" s="2398"/>
      <c r="AB807" s="2398"/>
      <c r="AE807" s="2398"/>
      <c r="AF807" s="2399"/>
      <c r="AG807" s="2399"/>
      <c r="AH807" s="2398"/>
      <c r="AI807" s="2398"/>
      <c r="AJ807" s="2398"/>
      <c r="AK807" s="2398"/>
      <c r="AL807" s="2398"/>
      <c r="AM807" s="2398"/>
      <c r="AN807" s="2398"/>
      <c r="AO807" s="2398"/>
      <c r="AP807" s="2398"/>
      <c r="AQ807" s="2398"/>
      <c r="AR807" s="2398"/>
      <c r="AS807" s="2398"/>
      <c r="AT807" s="2398"/>
    </row>
    <row r="808" spans="1:64">
      <c r="A808" s="1115" t="s">
        <v>374</v>
      </c>
      <c r="B808" s="83" t="s">
        <v>42</v>
      </c>
      <c r="D808" s="1746" t="str">
        <f t="shared" si="4"/>
        <v>B-</v>
      </c>
      <c r="E808" s="1746" t="str">
        <f t="shared" si="3"/>
        <v>B-</v>
      </c>
      <c r="F808" s="1747" t="str">
        <f t="shared" si="3"/>
        <v>B-</v>
      </c>
      <c r="G808" s="1747" t="str">
        <f t="shared" si="3"/>
        <v>B-</v>
      </c>
      <c r="H808" s="1779" t="str">
        <f t="shared" si="3"/>
        <v>B-</v>
      </c>
      <c r="I808" s="1746" t="str">
        <f t="shared" si="3"/>
        <v>B-</v>
      </c>
      <c r="J808" s="1747" t="str">
        <f t="shared" si="3"/>
        <v>B-</v>
      </c>
      <c r="K808" s="1747" t="str">
        <f t="shared" si="3"/>
        <v>B-</v>
      </c>
      <c r="L808" s="1779" t="str">
        <f t="shared" si="3"/>
        <v>B-</v>
      </c>
      <c r="M808" s="1746" t="str">
        <f t="shared" si="3"/>
        <v>B-</v>
      </c>
      <c r="N808" s="1747" t="str">
        <f t="shared" si="3"/>
        <v>B-</v>
      </c>
      <c r="O808" s="1747" t="str">
        <f t="shared" si="3"/>
        <v>B-</v>
      </c>
      <c r="P808" s="1779" t="str">
        <f t="shared" si="3"/>
        <v>B-</v>
      </c>
      <c r="Q808" s="1747" t="str">
        <f t="shared" si="3"/>
        <v>B-</v>
      </c>
      <c r="R808" s="1686" t="str">
        <f t="shared" si="5"/>
        <v>B-</v>
      </c>
      <c r="S808" s="1422"/>
      <c r="T808" s="1422"/>
      <c r="U808" s="1422"/>
      <c r="V808" s="1422"/>
      <c r="W808" s="1422"/>
      <c r="Y808" s="2399"/>
      <c r="Z808" s="2398"/>
      <c r="AA808" s="2398"/>
      <c r="AB808" s="2398"/>
      <c r="AE808" s="2398"/>
      <c r="AF808" s="2399"/>
      <c r="AG808" s="2399"/>
      <c r="AH808" s="2398"/>
      <c r="AI808" s="2398"/>
      <c r="AJ808" s="2398"/>
      <c r="AK808" s="2398"/>
      <c r="AL808" s="2398"/>
      <c r="AM808" s="2398"/>
      <c r="AN808" s="2398"/>
      <c r="AO808" s="2398"/>
      <c r="AP808" s="2398"/>
      <c r="AQ808" s="2398"/>
      <c r="AR808" s="2398"/>
      <c r="AS808" s="2398"/>
      <c r="AT808" s="2398"/>
    </row>
    <row r="809" spans="1:64">
      <c r="A809" s="1115" t="s">
        <v>499</v>
      </c>
      <c r="B809" s="83" t="s">
        <v>284</v>
      </c>
      <c r="D809" s="1746" t="str">
        <f t="shared" si="4"/>
        <v>BBB-</v>
      </c>
      <c r="E809" s="1746" t="str">
        <f t="shared" si="3"/>
        <v>BBB-</v>
      </c>
      <c r="F809" s="1747" t="str">
        <f t="shared" si="3"/>
        <v>BBB-</v>
      </c>
      <c r="G809" s="1747" t="str">
        <f t="shared" si="3"/>
        <v>BBB-</v>
      </c>
      <c r="H809" s="1779" t="str">
        <f t="shared" si="3"/>
        <v>BBB-</v>
      </c>
      <c r="I809" s="1746" t="str">
        <f t="shared" si="3"/>
        <v>BBB-</v>
      </c>
      <c r="J809" s="1747" t="str">
        <f t="shared" si="3"/>
        <v>BBB-</v>
      </c>
      <c r="K809" s="1747" t="str">
        <f t="shared" si="3"/>
        <v>BBB-</v>
      </c>
      <c r="L809" s="1779" t="str">
        <f t="shared" si="3"/>
        <v>BBB-</v>
      </c>
      <c r="M809" s="1746" t="str">
        <f t="shared" si="3"/>
        <v>BBB-</v>
      </c>
      <c r="N809" s="1747" t="str">
        <f t="shared" si="3"/>
        <v>BBB-</v>
      </c>
      <c r="O809" s="1747" t="str">
        <f t="shared" si="3"/>
        <v>BBB-</v>
      </c>
      <c r="P809" s="1779" t="str">
        <f t="shared" si="3"/>
        <v>BBB-</v>
      </c>
      <c r="Q809" s="1747" t="str">
        <f t="shared" si="3"/>
        <v>BBB-</v>
      </c>
      <c r="R809" s="1686" t="str">
        <f t="shared" si="5"/>
        <v>BBB-</v>
      </c>
      <c r="S809" s="1422"/>
      <c r="T809" s="1422"/>
      <c r="U809" s="1422"/>
      <c r="V809" s="1422"/>
      <c r="W809" s="1422"/>
      <c r="Y809" s="2399"/>
      <c r="Z809" s="2398"/>
      <c r="AA809" s="2398"/>
      <c r="AB809" s="2398"/>
      <c r="AE809" s="2398"/>
      <c r="AF809" s="2399"/>
      <c r="AG809" s="2399"/>
      <c r="AH809" s="2398"/>
      <c r="AI809" s="2398"/>
      <c r="AJ809" s="2398"/>
      <c r="AK809" s="2398"/>
      <c r="AL809" s="2398"/>
      <c r="AM809" s="2398"/>
      <c r="AN809" s="2398"/>
      <c r="AO809" s="2398"/>
      <c r="AP809" s="2398"/>
      <c r="AQ809" s="2398"/>
      <c r="AR809" s="2398"/>
      <c r="AS809" s="2398"/>
      <c r="AT809" s="2398"/>
    </row>
    <row r="810" spans="1:64">
      <c r="A810" s="1115" t="s">
        <v>500</v>
      </c>
      <c r="B810" s="83" t="s">
        <v>279</v>
      </c>
      <c r="D810" s="1746" t="str">
        <f t="shared" si="4"/>
        <v>A-</v>
      </c>
      <c r="E810" s="1746" t="str">
        <f t="shared" si="3"/>
        <v>A-</v>
      </c>
      <c r="F810" s="1747" t="str">
        <f t="shared" si="3"/>
        <v>A-</v>
      </c>
      <c r="G810" s="1747" t="str">
        <f t="shared" si="3"/>
        <v>A-</v>
      </c>
      <c r="H810" s="1779" t="str">
        <f t="shared" si="3"/>
        <v>A-</v>
      </c>
      <c r="I810" s="1746" t="str">
        <f t="shared" si="3"/>
        <v>A-</v>
      </c>
      <c r="J810" s="1747" t="str">
        <f t="shared" si="3"/>
        <v>A-</v>
      </c>
      <c r="K810" s="1747" t="str">
        <f t="shared" si="3"/>
        <v>A-</v>
      </c>
      <c r="L810" s="1779" t="str">
        <f t="shared" si="3"/>
        <v>A-</v>
      </c>
      <c r="M810" s="1746" t="str">
        <f t="shared" si="3"/>
        <v>A-</v>
      </c>
      <c r="N810" s="1747" t="str">
        <f t="shared" si="3"/>
        <v>A-</v>
      </c>
      <c r="O810" s="1747" t="str">
        <f t="shared" si="3"/>
        <v>A-</v>
      </c>
      <c r="P810" s="1779" t="str">
        <f t="shared" si="3"/>
        <v>A-</v>
      </c>
      <c r="Q810" s="1747" t="str">
        <f t="shared" si="3"/>
        <v>A-</v>
      </c>
      <c r="R810" s="1686" t="str">
        <f t="shared" si="5"/>
        <v>A-</v>
      </c>
      <c r="S810" s="1422"/>
      <c r="T810" s="1422"/>
      <c r="U810" s="1422"/>
      <c r="V810" s="1422"/>
      <c r="W810" s="1422"/>
      <c r="Y810" s="2399"/>
      <c r="Z810" s="2398"/>
      <c r="AA810" s="2398"/>
      <c r="AB810" s="2398"/>
      <c r="AE810" s="2398"/>
      <c r="AF810" s="2399"/>
      <c r="AG810" s="2399"/>
      <c r="AH810" s="2398"/>
      <c r="AI810" s="2398"/>
      <c r="AJ810" s="2398"/>
      <c r="AK810" s="2398"/>
      <c r="AL810" s="2398"/>
      <c r="AM810" s="2398"/>
      <c r="AN810" s="2398"/>
      <c r="AO810" s="2398"/>
      <c r="AP810" s="2398"/>
      <c r="AQ810" s="2398"/>
      <c r="AR810" s="2398"/>
      <c r="AS810" s="2398"/>
      <c r="AT810" s="2398"/>
    </row>
    <row r="811" spans="1:64">
      <c r="A811" s="1115" t="s">
        <v>501</v>
      </c>
      <c r="B811" s="83" t="s">
        <v>44</v>
      </c>
      <c r="D811" s="1746" t="str">
        <f t="shared" si="4"/>
        <v>BBB-</v>
      </c>
      <c r="E811" s="1746" t="str">
        <f t="shared" si="3"/>
        <v>BBB-</v>
      </c>
      <c r="F811" s="1747" t="str">
        <f t="shared" si="3"/>
        <v>BBB-</v>
      </c>
      <c r="G811" s="1747" t="str">
        <f t="shared" si="3"/>
        <v>BBB-</v>
      </c>
      <c r="H811" s="1779" t="str">
        <f t="shared" si="3"/>
        <v>BBB-</v>
      </c>
      <c r="I811" s="1746" t="str">
        <f t="shared" si="3"/>
        <v>BBB-</v>
      </c>
      <c r="J811" s="1747" t="str">
        <f t="shared" si="3"/>
        <v>BBB-</v>
      </c>
      <c r="K811" s="1747" t="str">
        <f t="shared" si="3"/>
        <v>BBB-</v>
      </c>
      <c r="L811" s="1779" t="str">
        <f t="shared" si="3"/>
        <v>BBB-</v>
      </c>
      <c r="M811" s="1746" t="str">
        <f t="shared" si="3"/>
        <v>BBB-</v>
      </c>
      <c r="N811" s="1747" t="str">
        <f t="shared" si="3"/>
        <v>BBB-</v>
      </c>
      <c r="O811" s="1747" t="str">
        <f t="shared" si="3"/>
        <v>BBB-</v>
      </c>
      <c r="P811" s="1779" t="str">
        <f t="shared" si="3"/>
        <v>BBB-</v>
      </c>
      <c r="Q811" s="1747" t="str">
        <f t="shared" si="3"/>
        <v>BBB-</v>
      </c>
      <c r="R811" s="1686" t="str">
        <f t="shared" si="5"/>
        <v>BBB-</v>
      </c>
      <c r="S811" s="1422"/>
      <c r="T811" s="1422"/>
      <c r="U811" s="1422"/>
      <c r="V811" s="1422"/>
      <c r="W811" s="1422"/>
      <c r="Y811" s="2399"/>
      <c r="Z811" s="2398"/>
      <c r="AA811" s="2398"/>
      <c r="AB811" s="2398"/>
      <c r="AE811" s="2398"/>
      <c r="AF811" s="2399"/>
      <c r="AG811" s="2399"/>
      <c r="AH811" s="2398"/>
      <c r="AI811" s="2398"/>
      <c r="AJ811" s="2398"/>
      <c r="AK811" s="2398"/>
      <c r="AL811" s="2398"/>
      <c r="AM811" s="2398"/>
      <c r="AN811" s="2398"/>
      <c r="AO811" s="2398"/>
      <c r="AP811" s="2398"/>
      <c r="AQ811" s="2398"/>
      <c r="AR811" s="2398"/>
      <c r="AS811" s="2398"/>
      <c r="AT811" s="2398"/>
    </row>
    <row r="812" spans="1:64">
      <c r="A812" s="1115" t="s">
        <v>502</v>
      </c>
      <c r="B812" s="83" t="s">
        <v>287</v>
      </c>
      <c r="D812" s="80" t="s">
        <v>69</v>
      </c>
      <c r="E812" s="80" t="s">
        <v>69</v>
      </c>
      <c r="F812" s="1686" t="s">
        <v>69</v>
      </c>
      <c r="G812" s="1686" t="s">
        <v>69</v>
      </c>
      <c r="H812" s="1685" t="s">
        <v>69</v>
      </c>
      <c r="I812" s="80" t="s">
        <v>69</v>
      </c>
      <c r="J812" s="1686" t="s">
        <v>69</v>
      </c>
      <c r="K812" s="1686" t="s">
        <v>69</v>
      </c>
      <c r="L812" s="1685" t="s">
        <v>69</v>
      </c>
      <c r="M812" s="80" t="s">
        <v>69</v>
      </c>
      <c r="N812" s="1686" t="s">
        <v>69</v>
      </c>
      <c r="O812" s="1686" t="s">
        <v>69</v>
      </c>
      <c r="P812" s="1685" t="s">
        <v>69</v>
      </c>
      <c r="Q812" s="1686" t="s">
        <v>69</v>
      </c>
      <c r="R812" s="1686" t="s">
        <v>69</v>
      </c>
      <c r="S812" s="1422"/>
      <c r="T812" s="1422"/>
      <c r="U812" s="1422"/>
      <c r="V812" s="1422"/>
      <c r="W812" s="1422"/>
      <c r="Y812" s="2399"/>
      <c r="Z812" s="2398"/>
      <c r="AA812" s="2398"/>
      <c r="AB812" s="2398"/>
      <c r="AE812" s="2398"/>
      <c r="AF812" s="2399"/>
      <c r="AG812" s="2399"/>
      <c r="AH812" s="2398"/>
      <c r="AI812" s="2398"/>
      <c r="AJ812" s="2398"/>
      <c r="AK812" s="2398"/>
      <c r="AL812" s="2398"/>
      <c r="AM812" s="2398"/>
      <c r="AN812" s="2398"/>
      <c r="AO812" s="2398"/>
      <c r="AP812" s="2398"/>
      <c r="AQ812" s="2398"/>
      <c r="AR812" s="2398"/>
      <c r="AS812" s="2398"/>
      <c r="AT812" s="2398"/>
    </row>
    <row r="813" spans="1:64">
      <c r="A813" s="1115" t="s">
        <v>27</v>
      </c>
      <c r="B813" s="83" t="s">
        <v>54</v>
      </c>
      <c r="D813" s="1746" t="str">
        <f t="shared" si="4"/>
        <v>BBB-</v>
      </c>
      <c r="E813" s="1746" t="str">
        <f t="shared" si="3"/>
        <v>BBB-</v>
      </c>
      <c r="F813" s="1747" t="str">
        <f t="shared" si="3"/>
        <v>BBB-</v>
      </c>
      <c r="G813" s="1747" t="str">
        <f t="shared" si="3"/>
        <v>BBB-</v>
      </c>
      <c r="H813" s="1779" t="str">
        <f t="shared" si="3"/>
        <v>BBB-</v>
      </c>
      <c r="I813" s="1746" t="str">
        <f t="shared" si="3"/>
        <v>BBB-</v>
      </c>
      <c r="J813" s="1747" t="str">
        <f t="shared" si="3"/>
        <v>BBB-</v>
      </c>
      <c r="K813" s="1747" t="str">
        <f t="shared" si="3"/>
        <v>BBB-</v>
      </c>
      <c r="L813" s="1779" t="str">
        <f t="shared" si="3"/>
        <v>BBB-</v>
      </c>
      <c r="M813" s="1746" t="str">
        <f t="shared" si="3"/>
        <v>BBB-</v>
      </c>
      <c r="N813" s="1747" t="str">
        <f t="shared" si="3"/>
        <v>BBB-</v>
      </c>
      <c r="O813" s="1747" t="str">
        <f t="shared" si="3"/>
        <v>BBB-</v>
      </c>
      <c r="P813" s="1779" t="str">
        <f t="shared" si="3"/>
        <v>BBB-</v>
      </c>
      <c r="Q813" s="1747" t="str">
        <f t="shared" si="3"/>
        <v>BBB-</v>
      </c>
      <c r="R813" s="1686" t="str">
        <f t="shared" si="5"/>
        <v>BBB-</v>
      </c>
      <c r="S813" s="1422"/>
      <c r="T813" s="1422"/>
      <c r="U813" s="1422"/>
      <c r="V813" s="1422"/>
      <c r="W813" s="1422"/>
      <c r="Y813" s="2399"/>
      <c r="Z813" s="2398"/>
      <c r="AA813" s="2398"/>
      <c r="AB813" s="2398"/>
      <c r="AE813" s="2398"/>
      <c r="AF813" s="2399"/>
      <c r="AG813" s="2399"/>
      <c r="AH813" s="2398"/>
      <c r="AI813" s="2398"/>
      <c r="AJ813" s="2398"/>
      <c r="AK813" s="2398"/>
      <c r="AL813" s="2398"/>
      <c r="AM813" s="2398"/>
      <c r="AN813" s="2398"/>
      <c r="AO813" s="2398"/>
      <c r="AP813" s="2398"/>
      <c r="AQ813" s="2398"/>
      <c r="AR813" s="2398"/>
      <c r="AS813" s="2398"/>
      <c r="AT813" s="2398"/>
    </row>
    <row r="814" spans="1:64">
      <c r="A814" s="1115" t="s">
        <v>32</v>
      </c>
      <c r="B814" s="83" t="s">
        <v>50</v>
      </c>
      <c r="D814" s="1746" t="str">
        <f t="shared" si="4"/>
        <v>BBB</v>
      </c>
      <c r="E814" s="1746" t="str">
        <f t="shared" ref="E814:Q820" si="6">$R814</f>
        <v>BBB</v>
      </c>
      <c r="F814" s="1747" t="str">
        <f t="shared" si="6"/>
        <v>BBB</v>
      </c>
      <c r="G814" s="1747" t="str">
        <f t="shared" si="6"/>
        <v>BBB</v>
      </c>
      <c r="H814" s="1779" t="str">
        <f t="shared" si="6"/>
        <v>BBB</v>
      </c>
      <c r="I814" s="1746" t="str">
        <f t="shared" si="6"/>
        <v>BBB</v>
      </c>
      <c r="J814" s="1747" t="str">
        <f t="shared" si="6"/>
        <v>BBB</v>
      </c>
      <c r="K814" s="1747" t="str">
        <f t="shared" si="6"/>
        <v>BBB</v>
      </c>
      <c r="L814" s="1779" t="str">
        <f t="shared" si="6"/>
        <v>BBB</v>
      </c>
      <c r="M814" s="1746" t="str">
        <f t="shared" si="6"/>
        <v>BBB</v>
      </c>
      <c r="N814" s="1747" t="str">
        <f t="shared" si="6"/>
        <v>BBB</v>
      </c>
      <c r="O814" s="1747" t="str">
        <f t="shared" si="6"/>
        <v>BBB</v>
      </c>
      <c r="P814" s="1779" t="str">
        <f t="shared" si="6"/>
        <v>BBB</v>
      </c>
      <c r="Q814" s="1747" t="str">
        <f t="shared" si="6"/>
        <v>BBB</v>
      </c>
      <c r="R814" s="1686" t="str">
        <f t="shared" si="5"/>
        <v>BBB</v>
      </c>
      <c r="S814" s="1422"/>
      <c r="T814" s="1422"/>
      <c r="U814" s="1422"/>
      <c r="V814" s="1422"/>
      <c r="W814" s="1422"/>
      <c r="Y814" s="2399"/>
      <c r="Z814" s="2398"/>
      <c r="AA814" s="2398"/>
      <c r="AB814" s="2398"/>
      <c r="AE814" s="2398"/>
      <c r="AF814" s="2399"/>
      <c r="AG814" s="2399"/>
      <c r="AH814" s="2398"/>
      <c r="AI814" s="2398"/>
      <c r="AJ814" s="2398"/>
      <c r="AK814" s="2398"/>
      <c r="AL814" s="2398"/>
      <c r="AM814" s="2398"/>
      <c r="AN814" s="2398"/>
      <c r="AO814" s="2398"/>
      <c r="AP814" s="2398"/>
      <c r="AQ814" s="2398"/>
      <c r="AR814" s="2398"/>
      <c r="AS814" s="2398"/>
      <c r="AT814" s="2398"/>
    </row>
    <row r="815" spans="1:64">
      <c r="A815" s="1115" t="s">
        <v>32</v>
      </c>
      <c r="B815" s="83" t="s">
        <v>277</v>
      </c>
      <c r="D815" s="1746" t="str">
        <f t="shared" si="4"/>
        <v>A-</v>
      </c>
      <c r="E815" s="1746" t="str">
        <f t="shared" si="6"/>
        <v>A-</v>
      </c>
      <c r="F815" s="1747" t="str">
        <f t="shared" si="6"/>
        <v>A-</v>
      </c>
      <c r="G815" s="1747" t="str">
        <f t="shared" si="6"/>
        <v>A-</v>
      </c>
      <c r="H815" s="1779" t="str">
        <f t="shared" si="6"/>
        <v>A-</v>
      </c>
      <c r="I815" s="1746" t="str">
        <f t="shared" si="6"/>
        <v>A-</v>
      </c>
      <c r="J815" s="1747" t="str">
        <f t="shared" si="6"/>
        <v>A-</v>
      </c>
      <c r="K815" s="1747" t="str">
        <f t="shared" si="6"/>
        <v>A-</v>
      </c>
      <c r="L815" s="1779" t="str">
        <f t="shared" si="6"/>
        <v>A-</v>
      </c>
      <c r="M815" s="1746" t="str">
        <f t="shared" si="6"/>
        <v>A-</v>
      </c>
      <c r="N815" s="1747" t="str">
        <f t="shared" si="6"/>
        <v>A-</v>
      </c>
      <c r="O815" s="1747" t="str">
        <f t="shared" si="6"/>
        <v>A-</v>
      </c>
      <c r="P815" s="1779" t="str">
        <f t="shared" si="6"/>
        <v>A-</v>
      </c>
      <c r="Q815" s="1747" t="str">
        <f t="shared" si="6"/>
        <v>A-</v>
      </c>
      <c r="R815" s="1686" t="str">
        <f t="shared" si="5"/>
        <v>A-</v>
      </c>
      <c r="S815" s="1422"/>
      <c r="T815" s="1422"/>
      <c r="U815" s="1422"/>
      <c r="V815" s="1422"/>
      <c r="W815" s="1422"/>
      <c r="Y815" s="2399"/>
      <c r="Z815" s="2398"/>
      <c r="AA815" s="2398"/>
      <c r="AB815" s="2398"/>
      <c r="AE815" s="2398"/>
      <c r="AF815" s="2399"/>
      <c r="AG815" s="2399"/>
      <c r="AH815" s="2398"/>
      <c r="AI815" s="2398"/>
      <c r="AJ815" s="2398"/>
      <c r="AK815" s="2398"/>
      <c r="AL815" s="2398"/>
      <c r="AM815" s="2398"/>
      <c r="AN815" s="2398"/>
      <c r="AO815" s="2398"/>
      <c r="AP815" s="2398"/>
      <c r="AQ815" s="2398"/>
      <c r="AR815" s="2398"/>
      <c r="AS815" s="2398"/>
      <c r="AT815" s="2398"/>
    </row>
    <row r="816" spans="1:64">
      <c r="A816" s="1115" t="s">
        <v>503</v>
      </c>
      <c r="B816" s="83" t="s">
        <v>282</v>
      </c>
      <c r="D816" s="1746" t="str">
        <f t="shared" si="4"/>
        <v>A-</v>
      </c>
      <c r="E816" s="1746" t="str">
        <f t="shared" si="6"/>
        <v>A-</v>
      </c>
      <c r="F816" s="1747" t="str">
        <f t="shared" si="6"/>
        <v>A-</v>
      </c>
      <c r="G816" s="1747" t="str">
        <f t="shared" si="6"/>
        <v>A-</v>
      </c>
      <c r="H816" s="1779" t="str">
        <f t="shared" si="6"/>
        <v>A-</v>
      </c>
      <c r="I816" s="1746" t="str">
        <f t="shared" si="6"/>
        <v>A-</v>
      </c>
      <c r="J816" s="1747" t="str">
        <f t="shared" si="6"/>
        <v>A-</v>
      </c>
      <c r="K816" s="1747" t="str">
        <f t="shared" si="6"/>
        <v>A-</v>
      </c>
      <c r="L816" s="1779" t="str">
        <f t="shared" si="6"/>
        <v>A-</v>
      </c>
      <c r="M816" s="1746" t="str">
        <f t="shared" si="6"/>
        <v>A-</v>
      </c>
      <c r="N816" s="1747" t="str">
        <f t="shared" si="6"/>
        <v>A-</v>
      </c>
      <c r="O816" s="1747" t="str">
        <f t="shared" si="6"/>
        <v>A-</v>
      </c>
      <c r="P816" s="1779" t="str">
        <f t="shared" si="6"/>
        <v>A-</v>
      </c>
      <c r="Q816" s="1747" t="str">
        <f t="shared" si="6"/>
        <v>A-</v>
      </c>
      <c r="R816" s="1686" t="str">
        <f t="shared" si="5"/>
        <v>A-</v>
      </c>
      <c r="S816" s="1422"/>
      <c r="T816" s="1422"/>
      <c r="U816" s="1422"/>
      <c r="V816" s="1422"/>
      <c r="W816" s="1422"/>
      <c r="Y816" s="2399"/>
      <c r="Z816" s="2398"/>
      <c r="AA816" s="2398"/>
      <c r="AB816" s="2398"/>
      <c r="AE816" s="2398"/>
      <c r="AF816" s="2399"/>
      <c r="AG816" s="2399"/>
      <c r="AH816" s="2398"/>
      <c r="AI816" s="2398"/>
      <c r="AJ816" s="2398"/>
      <c r="AK816" s="2398"/>
      <c r="AL816" s="2398"/>
      <c r="AM816" s="2398"/>
      <c r="AN816" s="2398"/>
      <c r="AO816" s="2398"/>
      <c r="AP816" s="2398"/>
      <c r="AQ816" s="2398"/>
      <c r="AR816" s="2398"/>
      <c r="AS816" s="2398"/>
      <c r="AT816" s="2398"/>
    </row>
    <row r="817" spans="1:64" s="2354" customFormat="1">
      <c r="A817" s="1760" t="s">
        <v>503</v>
      </c>
      <c r="B817" s="1761" t="s">
        <v>280</v>
      </c>
      <c r="C817" s="2361"/>
      <c r="D817" s="1762" t="s">
        <v>68</v>
      </c>
      <c r="E817" s="1762" t="s">
        <v>68</v>
      </c>
      <c r="F817" s="1608" t="s">
        <v>68</v>
      </c>
      <c r="G817" s="1608" t="s">
        <v>68</v>
      </c>
      <c r="H817" s="1781" t="s">
        <v>68</v>
      </c>
      <c r="I817" s="1762" t="s">
        <v>68</v>
      </c>
      <c r="J817" s="1608" t="s">
        <v>69</v>
      </c>
      <c r="K817" s="1608" t="s">
        <v>69</v>
      </c>
      <c r="L817" s="1781" t="s">
        <v>69</v>
      </c>
      <c r="M817" s="1762" t="s">
        <v>69</v>
      </c>
      <c r="N817" s="1608" t="s">
        <v>70</v>
      </c>
      <c r="O817" s="1608" t="s">
        <v>70</v>
      </c>
      <c r="P817" s="1781" t="s">
        <v>70</v>
      </c>
      <c r="Q817" s="1608" t="s">
        <v>70</v>
      </c>
      <c r="R817" s="1608" t="s">
        <v>70</v>
      </c>
      <c r="S817" s="1598"/>
      <c r="T817" s="1598"/>
      <c r="U817" s="1598"/>
      <c r="V817" s="1598"/>
      <c r="W817" s="1598"/>
      <c r="X817" s="2361"/>
      <c r="Y817" s="2405"/>
      <c r="Z817" s="2404"/>
      <c r="AA817" s="2404"/>
      <c r="AB817" s="2404"/>
      <c r="AE817" s="2404"/>
      <c r="AF817" s="2405"/>
      <c r="AG817" s="2405"/>
      <c r="AH817" s="2404"/>
      <c r="AI817" s="2404"/>
      <c r="AJ817" s="2404"/>
      <c r="AK817" s="2404"/>
      <c r="AL817" s="2404"/>
      <c r="AM817" s="2404"/>
      <c r="AN817" s="2404"/>
      <c r="AO817" s="2404"/>
      <c r="AP817" s="2404"/>
      <c r="AQ817" s="2404"/>
      <c r="AR817" s="2404"/>
      <c r="AS817" s="2404"/>
      <c r="AT817" s="2404"/>
      <c r="BL817" s="2361"/>
    </row>
    <row r="818" spans="1:64">
      <c r="A818" s="1115" t="s">
        <v>504</v>
      </c>
      <c r="B818" s="83" t="s">
        <v>288</v>
      </c>
      <c r="D818" s="1746" t="str">
        <f t="shared" si="4"/>
        <v>A</v>
      </c>
      <c r="E818" s="1746" t="str">
        <f t="shared" si="6"/>
        <v>A</v>
      </c>
      <c r="F818" s="1747" t="str">
        <f t="shared" si="6"/>
        <v>A</v>
      </c>
      <c r="G818" s="1747" t="str">
        <f t="shared" si="6"/>
        <v>A</v>
      </c>
      <c r="H818" s="1779" t="str">
        <f t="shared" si="6"/>
        <v>A</v>
      </c>
      <c r="I818" s="1746" t="str">
        <f t="shared" si="6"/>
        <v>A</v>
      </c>
      <c r="J818" s="1747" t="str">
        <f t="shared" si="6"/>
        <v>A</v>
      </c>
      <c r="K818" s="1747" t="str">
        <f t="shared" si="6"/>
        <v>A</v>
      </c>
      <c r="L818" s="1779" t="str">
        <f t="shared" si="6"/>
        <v>A</v>
      </c>
      <c r="M818" s="1746" t="str">
        <f t="shared" si="6"/>
        <v>A</v>
      </c>
      <c r="N818" s="1747" t="str">
        <f t="shared" si="6"/>
        <v>A</v>
      </c>
      <c r="O818" s="1747" t="str">
        <f t="shared" si="6"/>
        <v>A</v>
      </c>
      <c r="P818" s="1779" t="str">
        <f t="shared" si="6"/>
        <v>A</v>
      </c>
      <c r="Q818" s="1747" t="str">
        <f t="shared" si="6"/>
        <v>A</v>
      </c>
      <c r="R818" s="1686" t="str">
        <f t="shared" si="5"/>
        <v>A</v>
      </c>
      <c r="S818" s="1422"/>
      <c r="T818" s="1422"/>
      <c r="U818" s="1422"/>
      <c r="V818" s="1422"/>
      <c r="W818" s="1422"/>
      <c r="Y818" s="2399"/>
      <c r="Z818" s="2398"/>
      <c r="AA818" s="2398"/>
      <c r="AB818" s="2398"/>
      <c r="AE818" s="2398"/>
      <c r="AF818" s="2399"/>
      <c r="AG818" s="2399"/>
      <c r="AH818" s="2398"/>
      <c r="AI818" s="2398"/>
      <c r="AJ818" s="2398"/>
      <c r="AK818" s="2398"/>
      <c r="AL818" s="2398"/>
      <c r="AM818" s="2398"/>
      <c r="AN818" s="2398"/>
      <c r="AO818" s="2398"/>
      <c r="AP818" s="2398"/>
      <c r="AQ818" s="2398"/>
      <c r="AR818" s="2398"/>
      <c r="AS818" s="2398"/>
      <c r="AT818" s="2398"/>
    </row>
    <row r="819" spans="1:64" s="2354" customFormat="1">
      <c r="A819" s="1760" t="s">
        <v>27</v>
      </c>
      <c r="B819" s="1761" t="s">
        <v>353</v>
      </c>
      <c r="C819" s="2361"/>
      <c r="D819" s="1762" t="s">
        <v>117</v>
      </c>
      <c r="E819" s="1762" t="s">
        <v>117</v>
      </c>
      <c r="F819" s="1608" t="s">
        <v>117</v>
      </c>
      <c r="G819" s="1608" t="s">
        <v>117</v>
      </c>
      <c r="H819" s="1781" t="s">
        <v>117</v>
      </c>
      <c r="I819" s="1762" t="s">
        <v>117</v>
      </c>
      <c r="J819" s="1608" t="s">
        <v>117</v>
      </c>
      <c r="K819" s="1608" t="s">
        <v>117</v>
      </c>
      <c r="L819" s="1781" t="s">
        <v>117</v>
      </c>
      <c r="M819" s="1762" t="s">
        <v>117</v>
      </c>
      <c r="N819" s="1608" t="s">
        <v>117</v>
      </c>
      <c r="O819" s="1608" t="s">
        <v>117</v>
      </c>
      <c r="P819" s="1781" t="s">
        <v>117</v>
      </c>
      <c r="Q819" s="1608" t="s">
        <v>117</v>
      </c>
      <c r="R819" s="1608" t="s">
        <v>117</v>
      </c>
      <c r="S819" s="1598"/>
      <c r="T819" s="1598"/>
      <c r="U819" s="1598"/>
      <c r="V819" s="1598"/>
      <c r="W819" s="1598"/>
      <c r="X819" s="2361"/>
      <c r="Y819" s="2405"/>
      <c r="Z819" s="2404"/>
      <c r="AA819" s="2404"/>
      <c r="AB819" s="2404"/>
      <c r="AE819" s="2404"/>
      <c r="AF819" s="2405"/>
      <c r="AG819" s="2405"/>
      <c r="AH819" s="2404"/>
      <c r="AI819" s="2404"/>
      <c r="AJ819" s="2404"/>
      <c r="AK819" s="2404"/>
      <c r="AL819" s="2404"/>
      <c r="AM819" s="2404"/>
      <c r="AN819" s="2404"/>
      <c r="AO819" s="2404"/>
      <c r="AP819" s="2404"/>
      <c r="AQ819" s="2404"/>
      <c r="AR819" s="2404"/>
      <c r="AS819" s="2404"/>
      <c r="AT819" s="2404"/>
      <c r="BL819" s="2361"/>
    </row>
    <row r="820" spans="1:64">
      <c r="A820" s="1116" t="s">
        <v>712</v>
      </c>
      <c r="B820" s="1429" t="s">
        <v>354</v>
      </c>
      <c r="D820" s="1748" t="str">
        <f t="shared" si="4"/>
        <v>BB+</v>
      </c>
      <c r="E820" s="1748" t="str">
        <f t="shared" si="6"/>
        <v>BB+</v>
      </c>
      <c r="F820" s="1749" t="str">
        <f t="shared" si="6"/>
        <v>BB+</v>
      </c>
      <c r="G820" s="1749" t="str">
        <f t="shared" si="6"/>
        <v>BB+</v>
      </c>
      <c r="H820" s="1782" t="str">
        <f t="shared" si="6"/>
        <v>BB+</v>
      </c>
      <c r="I820" s="1748" t="str">
        <f t="shared" si="6"/>
        <v>BB+</v>
      </c>
      <c r="J820" s="1749" t="str">
        <f t="shared" si="6"/>
        <v>BB+</v>
      </c>
      <c r="K820" s="1749" t="str">
        <f t="shared" si="6"/>
        <v>BB+</v>
      </c>
      <c r="L820" s="1782" t="str">
        <f t="shared" si="6"/>
        <v>BB+</v>
      </c>
      <c r="M820" s="1748" t="str">
        <f t="shared" si="6"/>
        <v>BB+</v>
      </c>
      <c r="N820" s="1749" t="str">
        <f t="shared" si="6"/>
        <v>BB+</v>
      </c>
      <c r="O820" s="1749" t="str">
        <f t="shared" si="6"/>
        <v>BB+</v>
      </c>
      <c r="P820" s="1782" t="str">
        <f t="shared" si="6"/>
        <v>BB+</v>
      </c>
      <c r="Q820" s="1749" t="str">
        <f t="shared" si="6"/>
        <v>BB+</v>
      </c>
      <c r="R820" s="90" t="str">
        <f t="shared" si="5"/>
        <v>BB+</v>
      </c>
      <c r="S820" s="1422"/>
      <c r="T820" s="1422"/>
      <c r="U820" s="1422"/>
      <c r="V820" s="1422"/>
      <c r="W820" s="1422"/>
      <c r="Y820" s="2399"/>
      <c r="Z820" s="2398"/>
      <c r="AA820" s="2398"/>
      <c r="AB820" s="2398"/>
      <c r="AE820" s="2398"/>
      <c r="AF820" s="2399"/>
      <c r="AG820" s="2399"/>
      <c r="AH820" s="2398"/>
      <c r="AI820" s="2398"/>
      <c r="AJ820" s="2398"/>
      <c r="AK820" s="2398"/>
      <c r="AL820" s="2398"/>
      <c r="AM820" s="2398"/>
      <c r="AN820" s="2398"/>
      <c r="AO820" s="2398"/>
      <c r="AP820" s="2398"/>
      <c r="AQ820" s="2398"/>
      <c r="AR820" s="2398"/>
      <c r="AS820" s="2398"/>
      <c r="AT820" s="2398"/>
    </row>
    <row r="821" spans="1:64">
      <c r="A821" s="1090"/>
      <c r="B821" s="1422"/>
      <c r="D821" s="1422"/>
      <c r="E821" s="1422"/>
      <c r="F821" s="1422"/>
      <c r="G821" s="1422"/>
      <c r="H821" s="1422"/>
      <c r="I821" s="1422"/>
      <c r="J821" s="1422"/>
      <c r="K821" s="1422"/>
      <c r="L821" s="1422"/>
      <c r="M821" s="1422"/>
      <c r="N821" s="1422"/>
      <c r="O821" s="1422"/>
      <c r="P821" s="1422"/>
      <c r="Q821" s="1422"/>
      <c r="R821" s="1422"/>
      <c r="S821" s="1422"/>
      <c r="T821" s="1422"/>
      <c r="U821" s="1422"/>
      <c r="V821" s="1422"/>
      <c r="W821" s="1422"/>
      <c r="Y821" s="2399"/>
      <c r="Z821" s="2398"/>
      <c r="AA821" s="2398"/>
      <c r="AB821" s="2398"/>
      <c r="AE821" s="2398"/>
      <c r="AF821" s="2399"/>
      <c r="AG821" s="2399"/>
      <c r="AH821" s="2398"/>
      <c r="AI821" s="2398"/>
      <c r="AJ821" s="2398"/>
      <c r="AK821" s="2398"/>
      <c r="AL821" s="2398"/>
      <c r="AM821" s="2398"/>
      <c r="AN821" s="2398"/>
      <c r="AO821" s="2398"/>
      <c r="AP821" s="2398"/>
      <c r="AQ821" s="2398"/>
      <c r="AR821" s="2398"/>
      <c r="AS821" s="2398"/>
      <c r="AT821" s="2398"/>
    </row>
    <row r="822" spans="1:64">
      <c r="A822" s="1090"/>
      <c r="B822" s="1422"/>
      <c r="C822" s="2329">
        <v>1</v>
      </c>
      <c r="D822" s="1783">
        <v>4</v>
      </c>
      <c r="E822" s="1783">
        <v>1</v>
      </c>
      <c r="F822" s="1783">
        <v>2</v>
      </c>
      <c r="G822" s="1783">
        <v>3</v>
      </c>
      <c r="H822" s="1783">
        <v>4</v>
      </c>
      <c r="I822" s="1783">
        <v>1</v>
      </c>
      <c r="J822" s="1783">
        <v>2</v>
      </c>
      <c r="K822" s="1783">
        <v>3</v>
      </c>
      <c r="L822" s="1783">
        <v>4</v>
      </c>
      <c r="M822" s="1783">
        <v>1</v>
      </c>
      <c r="N822" s="1783">
        <v>2</v>
      </c>
      <c r="O822" s="1783">
        <v>3</v>
      </c>
      <c r="P822" s="1783">
        <v>4</v>
      </c>
      <c r="Q822" s="1783">
        <v>1</v>
      </c>
      <c r="R822" s="1783">
        <v>2</v>
      </c>
      <c r="S822" s="1783">
        <v>3</v>
      </c>
      <c r="T822" s="1783">
        <v>4</v>
      </c>
      <c r="U822" s="1422"/>
      <c r="V822" s="1422"/>
      <c r="W822" s="1422"/>
      <c r="Y822" s="2399"/>
      <c r="Z822" s="2398"/>
      <c r="AA822" s="2398"/>
      <c r="AB822" s="2398"/>
      <c r="AE822" s="2398"/>
      <c r="AF822" s="2399"/>
      <c r="AG822" s="2399"/>
      <c r="AH822" s="2398"/>
      <c r="AI822" s="2398"/>
      <c r="AJ822" s="2398"/>
      <c r="AK822" s="2398"/>
      <c r="AL822" s="2398"/>
      <c r="AM822" s="2398"/>
      <c r="AN822" s="2398"/>
      <c r="AO822" s="2398"/>
      <c r="AP822" s="2398"/>
      <c r="AQ822" s="2398"/>
      <c r="AR822" s="2398"/>
      <c r="AS822" s="2398"/>
      <c r="AT822" s="2398"/>
    </row>
    <row r="823" spans="1:64">
      <c r="A823" s="1090"/>
      <c r="B823" s="1422"/>
      <c r="C823" s="2329">
        <v>2009</v>
      </c>
      <c r="D823" s="1783">
        <v>2009</v>
      </c>
      <c r="E823" s="1783">
        <v>2010</v>
      </c>
      <c r="F823" s="1783">
        <v>2010</v>
      </c>
      <c r="G823" s="1783">
        <v>2010</v>
      </c>
      <c r="H823" s="1783">
        <v>2010</v>
      </c>
      <c r="I823" s="1783">
        <v>2011</v>
      </c>
      <c r="J823" s="1783">
        <v>2011</v>
      </c>
      <c r="K823" s="1783">
        <v>2011</v>
      </c>
      <c r="L823" s="1783">
        <v>2011</v>
      </c>
      <c r="M823" s="1783">
        <v>2012</v>
      </c>
      <c r="N823" s="1783">
        <v>2012</v>
      </c>
      <c r="O823" s="1783">
        <v>2012</v>
      </c>
      <c r="P823" s="1783">
        <v>2012</v>
      </c>
      <c r="Q823" s="1783">
        <v>2013</v>
      </c>
      <c r="R823" s="1783">
        <v>2013</v>
      </c>
      <c r="S823" s="1783">
        <v>2013</v>
      </c>
      <c r="T823" s="1783">
        <v>2013</v>
      </c>
      <c r="U823" s="1422"/>
      <c r="V823" s="1422"/>
      <c r="W823" s="1422"/>
      <c r="Y823" s="2399"/>
      <c r="Z823" s="2398"/>
      <c r="AA823" s="2398"/>
      <c r="AB823" s="2398"/>
      <c r="AE823" s="2398"/>
      <c r="AF823" s="2399"/>
      <c r="AG823" s="2399"/>
      <c r="AH823" s="2398"/>
      <c r="AI823" s="2398"/>
      <c r="AJ823" s="2398"/>
      <c r="AK823" s="2398"/>
      <c r="AL823" s="2398"/>
      <c r="AM823" s="2398"/>
      <c r="AN823" s="2398"/>
      <c r="AO823" s="2398"/>
      <c r="AP823" s="2398"/>
      <c r="AQ823" s="2398"/>
      <c r="AR823" s="2398"/>
      <c r="AS823" s="2398"/>
      <c r="AT823" s="2398"/>
    </row>
    <row r="824" spans="1:64">
      <c r="A824" s="1090"/>
      <c r="B824" s="1422"/>
      <c r="D824" s="1422"/>
      <c r="E824" s="1422"/>
      <c r="F824" s="1422"/>
      <c r="G824" s="1422"/>
      <c r="H824" s="1422"/>
      <c r="I824" s="1422"/>
      <c r="J824" s="1422"/>
      <c r="K824" s="1422"/>
      <c r="L824" s="1422"/>
      <c r="M824" s="1422"/>
      <c r="N824" s="1422"/>
      <c r="O824" s="1422"/>
      <c r="P824" s="1422"/>
      <c r="Q824" s="1422"/>
      <c r="R824" s="1422"/>
      <c r="S824" s="1422"/>
      <c r="T824" s="1422"/>
      <c r="U824" s="1422"/>
      <c r="V824" s="1422"/>
      <c r="W824" s="1422"/>
      <c r="Y824" s="2399"/>
      <c r="Z824" s="2398"/>
      <c r="AA824" s="2398"/>
      <c r="AB824" s="2398"/>
      <c r="AE824" s="2398"/>
      <c r="AF824" s="2399"/>
      <c r="AG824" s="2399"/>
      <c r="AH824" s="2398"/>
      <c r="AI824" s="2398"/>
      <c r="AJ824" s="2398"/>
      <c r="AK824" s="2398"/>
      <c r="AL824" s="2398"/>
      <c r="AM824" s="2398"/>
      <c r="AN824" s="2398"/>
      <c r="AO824" s="2398"/>
      <c r="AP824" s="2398"/>
      <c r="AQ824" s="2398"/>
      <c r="AR824" s="2398"/>
      <c r="AS824" s="2398"/>
      <c r="AT824" s="2398"/>
    </row>
    <row r="825" spans="1:64" s="2329" customFormat="1">
      <c r="A825" s="2355"/>
      <c r="B825" s="2348"/>
    </row>
  </sheetData>
  <mergeCells count="315">
    <mergeCell ref="Y794:AB796"/>
    <mergeCell ref="D794:R795"/>
    <mergeCell ref="Y168:AB169"/>
    <mergeCell ref="D186:W187"/>
    <mergeCell ref="Y278:AB279"/>
    <mergeCell ref="K234:L234"/>
    <mergeCell ref="K235:L235"/>
    <mergeCell ref="K236:L236"/>
    <mergeCell ref="K237:L237"/>
    <mergeCell ref="F233:G233"/>
    <mergeCell ref="F234:G234"/>
    <mergeCell ref="F235:G235"/>
    <mergeCell ref="F236:G236"/>
    <mergeCell ref="F237:G237"/>
    <mergeCell ref="F238:G238"/>
    <mergeCell ref="F239:G239"/>
    <mergeCell ref="I216:M216"/>
    <mergeCell ref="I217:J217"/>
    <mergeCell ref="K217:L217"/>
    <mergeCell ref="I218:J218"/>
    <mergeCell ref="D191:W192"/>
    <mergeCell ref="D436:W436"/>
    <mergeCell ref="D446:W447"/>
    <mergeCell ref="Q495:W496"/>
    <mergeCell ref="AD299:AJ300"/>
    <mergeCell ref="R304:W307"/>
    <mergeCell ref="D303:P305"/>
    <mergeCell ref="D306:P307"/>
    <mergeCell ref="Y80:AB83"/>
    <mergeCell ref="D127:W128"/>
    <mergeCell ref="D141:W142"/>
    <mergeCell ref="D151:W152"/>
    <mergeCell ref="K225:L225"/>
    <mergeCell ref="K226:L226"/>
    <mergeCell ref="K227:L227"/>
    <mergeCell ref="K228:L228"/>
    <mergeCell ref="K229:L229"/>
    <mergeCell ref="K230:L230"/>
    <mergeCell ref="I232:J232"/>
    <mergeCell ref="I233:J233"/>
    <mergeCell ref="I234:J234"/>
    <mergeCell ref="I235:J235"/>
    <mergeCell ref="I236:J236"/>
    <mergeCell ref="I237:J237"/>
    <mergeCell ref="K231:L231"/>
    <mergeCell ref="K232:L232"/>
    <mergeCell ref="Y291:AB292"/>
    <mergeCell ref="D237:E237"/>
    <mergeCell ref="B370:B371"/>
    <mergeCell ref="D435:W435"/>
    <mergeCell ref="B635:B636"/>
    <mergeCell ref="B740:B741"/>
    <mergeCell ref="D680:W681"/>
    <mergeCell ref="D577:W578"/>
    <mergeCell ref="D594:W596"/>
    <mergeCell ref="D600:W601"/>
    <mergeCell ref="D602:W603"/>
    <mergeCell ref="D606:W609"/>
    <mergeCell ref="D610:W611"/>
    <mergeCell ref="D612:W613"/>
    <mergeCell ref="D656:W657"/>
    <mergeCell ref="D661:W663"/>
    <mergeCell ref="D658:W660"/>
    <mergeCell ref="D666:W667"/>
    <mergeCell ref="D668:W669"/>
    <mergeCell ref="D628:W629"/>
    <mergeCell ref="B582:B583"/>
    <mergeCell ref="Q493:W494"/>
    <mergeCell ref="D407:W409"/>
    <mergeCell ref="D573:R574"/>
    <mergeCell ref="S482:T482"/>
    <mergeCell ref="Q457:W464"/>
    <mergeCell ref="Q238:R238"/>
    <mergeCell ref="Q239:R239"/>
    <mergeCell ref="I228:J228"/>
    <mergeCell ref="I229:J229"/>
    <mergeCell ref="I230:J230"/>
    <mergeCell ref="O219:P219"/>
    <mergeCell ref="O220:P220"/>
    <mergeCell ref="I238:J238"/>
    <mergeCell ref="I239:J239"/>
    <mergeCell ref="Y42:AB43"/>
    <mergeCell ref="D130:W131"/>
    <mergeCell ref="K224:L224"/>
    <mergeCell ref="I219:J219"/>
    <mergeCell ref="I220:J220"/>
    <mergeCell ref="I221:J221"/>
    <mergeCell ref="O231:P231"/>
    <mergeCell ref="O232:P232"/>
    <mergeCell ref="O224:P224"/>
    <mergeCell ref="D232:E232"/>
    <mergeCell ref="D233:E233"/>
    <mergeCell ref="K233:L233"/>
    <mergeCell ref="O234:P234"/>
    <mergeCell ref="B746:B747"/>
    <mergeCell ref="Y493:AB494"/>
    <mergeCell ref="D195:W196"/>
    <mergeCell ref="Y200:AB201"/>
    <mergeCell ref="D533:W535"/>
    <mergeCell ref="D568:R569"/>
    <mergeCell ref="R570:W571"/>
    <mergeCell ref="B580:B581"/>
    <mergeCell ref="B557:B558"/>
    <mergeCell ref="D598:W599"/>
    <mergeCell ref="D727:Q727"/>
    <mergeCell ref="I231:J231"/>
    <mergeCell ref="D243:W244"/>
    <mergeCell ref="D216:H216"/>
    <mergeCell ref="F217:G217"/>
    <mergeCell ref="D217:E217"/>
    <mergeCell ref="D218:E218"/>
    <mergeCell ref="K218:L218"/>
    <mergeCell ref="K219:L219"/>
    <mergeCell ref="D224:E224"/>
    <mergeCell ref="Q234:R234"/>
    <mergeCell ref="D235:E235"/>
    <mergeCell ref="D236:E236"/>
    <mergeCell ref="D229:E229"/>
    <mergeCell ref="D230:E230"/>
    <mergeCell ref="D231:E231"/>
    <mergeCell ref="Q236:R236"/>
    <mergeCell ref="Q220:R220"/>
    <mergeCell ref="Q221:R221"/>
    <mergeCell ref="Q222:R222"/>
    <mergeCell ref="Q223:R223"/>
    <mergeCell ref="Q224:R224"/>
    <mergeCell ref="Q225:R225"/>
    <mergeCell ref="Q235:R235"/>
    <mergeCell ref="O225:P225"/>
    <mergeCell ref="O226:P226"/>
    <mergeCell ref="O227:P227"/>
    <mergeCell ref="F230:G230"/>
    <mergeCell ref="O235:P235"/>
    <mergeCell ref="F231:G231"/>
    <mergeCell ref="F232:G232"/>
    <mergeCell ref="O236:P236"/>
    <mergeCell ref="O221:P221"/>
    <mergeCell ref="O222:P222"/>
    <mergeCell ref="O223:P223"/>
    <mergeCell ref="D238:E238"/>
    <mergeCell ref="D239:E239"/>
    <mergeCell ref="F218:G218"/>
    <mergeCell ref="F219:G219"/>
    <mergeCell ref="F220:G220"/>
    <mergeCell ref="F221:G221"/>
    <mergeCell ref="F222:G222"/>
    <mergeCell ref="F223:G223"/>
    <mergeCell ref="F224:G224"/>
    <mergeCell ref="F225:G225"/>
    <mergeCell ref="F226:G226"/>
    <mergeCell ref="F227:G227"/>
    <mergeCell ref="F228:G228"/>
    <mergeCell ref="F229:G229"/>
    <mergeCell ref="D225:E225"/>
    <mergeCell ref="D226:E226"/>
    <mergeCell ref="D227:E227"/>
    <mergeCell ref="D228:E228"/>
    <mergeCell ref="D234:E234"/>
    <mergeCell ref="D219:E219"/>
    <mergeCell ref="D220:E220"/>
    <mergeCell ref="D221:E221"/>
    <mergeCell ref="D222:E222"/>
    <mergeCell ref="D223:E223"/>
    <mergeCell ref="Y560:AB561"/>
    <mergeCell ref="Y548:AB551"/>
    <mergeCell ref="D536:W537"/>
    <mergeCell ref="D541:W542"/>
    <mergeCell ref="D546:W547"/>
    <mergeCell ref="D548:W550"/>
    <mergeCell ref="D543:W545"/>
    <mergeCell ref="D342:W343"/>
    <mergeCell ref="D347:W348"/>
    <mergeCell ref="D349:W350"/>
    <mergeCell ref="D351:W353"/>
    <mergeCell ref="D360:W362"/>
    <mergeCell ref="D355:V356"/>
    <mergeCell ref="D364:W366"/>
    <mergeCell ref="D551:W552"/>
    <mergeCell ref="Y469:AB471"/>
    <mergeCell ref="Y396:AB397"/>
    <mergeCell ref="D557:W558"/>
    <mergeCell ref="Y487:AB488"/>
    <mergeCell ref="Y508:AB509"/>
    <mergeCell ref="Y483:AB484"/>
    <mergeCell ref="Y490:AB491"/>
    <mergeCell ref="D477:W479"/>
    <mergeCell ref="D508:W509"/>
    <mergeCell ref="Y198:AB199"/>
    <mergeCell ref="Q237:R237"/>
    <mergeCell ref="Y294:AB296"/>
    <mergeCell ref="P315:W316"/>
    <mergeCell ref="P317:W318"/>
    <mergeCell ref="P319:W320"/>
    <mergeCell ref="P324:W325"/>
    <mergeCell ref="K220:L220"/>
    <mergeCell ref="K221:L221"/>
    <mergeCell ref="Q232:R232"/>
    <mergeCell ref="Q233:R233"/>
    <mergeCell ref="O216:S216"/>
    <mergeCell ref="O217:P217"/>
    <mergeCell ref="O218:P218"/>
    <mergeCell ref="O228:P228"/>
    <mergeCell ref="O229:P229"/>
    <mergeCell ref="O230:P230"/>
    <mergeCell ref="Q217:R217"/>
    <mergeCell ref="Q218:R218"/>
    <mergeCell ref="Q219:R219"/>
    <mergeCell ref="Q226:R226"/>
    <mergeCell ref="O233:P233"/>
    <mergeCell ref="K238:L238"/>
    <mergeCell ref="K239:L239"/>
    <mergeCell ref="Y448:AB450"/>
    <mergeCell ref="Y464:AB466"/>
    <mergeCell ref="Y477:AB478"/>
    <mergeCell ref="Y402:AB403"/>
    <mergeCell ref="O448:W449"/>
    <mergeCell ref="D7:W8"/>
    <mergeCell ref="D33:W34"/>
    <mergeCell ref="D64:W65"/>
    <mergeCell ref="D11:W13"/>
    <mergeCell ref="E91:O92"/>
    <mergeCell ref="D49:W50"/>
    <mergeCell ref="D52:W53"/>
    <mergeCell ref="D62:W63"/>
    <mergeCell ref="D57:Q58"/>
    <mergeCell ref="D36:W39"/>
    <mergeCell ref="D46:W47"/>
    <mergeCell ref="D16:W17"/>
    <mergeCell ref="D20:W21"/>
    <mergeCell ref="D31:W32"/>
    <mergeCell ref="Q70:W73"/>
    <mergeCell ref="Q76:W79"/>
    <mergeCell ref="Q84:W85"/>
    <mergeCell ref="D136:W138"/>
    <mergeCell ref="D143:W144"/>
    <mergeCell ref="Q80:W81"/>
    <mergeCell ref="Q82:W83"/>
    <mergeCell ref="Q230:R230"/>
    <mergeCell ref="D133:W133"/>
    <mergeCell ref="I222:J222"/>
    <mergeCell ref="I223:J223"/>
    <mergeCell ref="I224:J224"/>
    <mergeCell ref="I225:J225"/>
    <mergeCell ref="I226:J226"/>
    <mergeCell ref="I227:J227"/>
    <mergeCell ref="D202:W203"/>
    <mergeCell ref="D204:W205"/>
    <mergeCell ref="U217:V217"/>
    <mergeCell ref="D206:W207"/>
    <mergeCell ref="D182:W184"/>
    <mergeCell ref="D198:W199"/>
    <mergeCell ref="K222:L222"/>
    <mergeCell ref="K223:L223"/>
    <mergeCell ref="AB542:AB543"/>
    <mergeCell ref="Y553:AB555"/>
    <mergeCell ref="D524:W526"/>
    <mergeCell ref="D527:W529"/>
    <mergeCell ref="Y149:AB150"/>
    <mergeCell ref="D322:I323"/>
    <mergeCell ref="D415:W416"/>
    <mergeCell ref="D417:W418"/>
    <mergeCell ref="D419:W420"/>
    <mergeCell ref="D159:N160"/>
    <mergeCell ref="P158:U159"/>
    <mergeCell ref="Q473:W475"/>
    <mergeCell ref="D150:W150"/>
    <mergeCell ref="Q227:R227"/>
    <mergeCell ref="Q228:R228"/>
    <mergeCell ref="Q229:R229"/>
    <mergeCell ref="O237:P237"/>
    <mergeCell ref="O238:P238"/>
    <mergeCell ref="O239:P239"/>
    <mergeCell ref="Q465:W472"/>
    <mergeCell ref="D337:W338"/>
    <mergeCell ref="Q231:R231"/>
    <mergeCell ref="Y166:AB166"/>
    <mergeCell ref="D530:W532"/>
    <mergeCell ref="D373:W374"/>
    <mergeCell ref="D720:Q721"/>
    <mergeCell ref="S727:W728"/>
    <mergeCell ref="D732:Q733"/>
    <mergeCell ref="D734:Q735"/>
    <mergeCell ref="D691:W693"/>
    <mergeCell ref="D694:W695"/>
    <mergeCell ref="D696:W697"/>
    <mergeCell ref="D698:W700"/>
    <mergeCell ref="D701:W703"/>
    <mergeCell ref="D704:W706"/>
    <mergeCell ref="D707:W709"/>
    <mergeCell ref="D710:W712"/>
    <mergeCell ref="S720:W721"/>
    <mergeCell ref="V583:W583"/>
    <mergeCell ref="Y696:AB698"/>
    <mergeCell ref="D746:W747"/>
    <mergeCell ref="D748:P750"/>
    <mergeCell ref="B342:B345"/>
    <mergeCell ref="D743:W744"/>
    <mergeCell ref="D740:W741"/>
    <mergeCell ref="B422:B424"/>
    <mergeCell ref="D433:W434"/>
    <mergeCell ref="D359:W359"/>
    <mergeCell ref="D375:W376"/>
    <mergeCell ref="D377:W378"/>
    <mergeCell ref="B430:B431"/>
    <mergeCell ref="B385:B386"/>
    <mergeCell ref="D687:W688"/>
    <mergeCell ref="D689:W690"/>
    <mergeCell ref="D614:W615"/>
    <mergeCell ref="D618:W619"/>
    <mergeCell ref="D620:W622"/>
    <mergeCell ref="D624:W625"/>
    <mergeCell ref="D626:W627"/>
    <mergeCell ref="D638:R639"/>
    <mergeCell ref="D644:W645"/>
    <mergeCell ref="D357:W358"/>
  </mergeCells>
  <hyperlinks>
    <hyperlink ref="Y93" r:id="rId1"/>
    <hyperlink ref="Y64" r:id="rId2"/>
    <hyperlink ref="D309" r:id="rId3" display="Stand-Alone Credit Profiles (SACP) : One Component Of A Rating"/>
    <hyperlink ref="Z310" r:id="rId4"/>
    <hyperlink ref="D630" r:id="rId5" display="Fitch 2014 Outlook: European Telecoms and Cable "/>
    <hyperlink ref="D499" r:id="rId6" display="Corporate Rating Methodology "/>
    <hyperlink ref="Y304" r:id="rId7"/>
    <hyperlink ref="D389" r:id="rId8"/>
    <hyperlink ref="Y85" r:id="rId9"/>
    <hyperlink ref="I445" r:id="rId10" display="Rating Methodology : Global Telecommunications Industry (pdf, Dec. 2010)"/>
    <hyperlink ref="D493" r:id="rId11" display="Rating Methodology : GRIs (pdf, July 2010)"/>
    <hyperlink ref="Y487" r:id="rId12" display="Rating Methodology : Global Pay TV - Cable and Direct to Home Satellite Operators (pdf, April 2013)"/>
    <hyperlink ref="Y163" r:id="rId13" display="Ebitda vs. CFO vs. FCF"/>
    <hyperlink ref="Y134" r:id="rId14"/>
    <hyperlink ref="Y490" r:id="rId15" display="Loss Given Default for Speculative-Grade Non-Financial Companies in the U.S., Canada and EMEA"/>
    <hyperlink ref="D291" r:id="rId16" display="General: Methodology: Business Risk/Financial Risk Matrix Expanded"/>
    <hyperlink ref="Y144" r:id="rId17" display="S&amp;P's Ratios And Adjustments"/>
    <hyperlink ref="D327" r:id="rId18" display="In Key Credit Factors For The Telecommunications And Cable Industry"/>
    <hyperlink ref="Y568" location="RATINGS!R402" display="GRE - Moderate govt support"/>
    <hyperlink ref="Y198:AB199" location="'(Bloom Data Not Used or NA)'!A1" display="'(Bloom Data Not Used or NA)'!A1"/>
  </hyperlinks>
  <pageMargins left="0.7" right="0.7" top="0.75" bottom="0.75" header="0.3" footer="0.3"/>
  <pageSetup paperSize="9" orientation="portrait" r:id="rId19"/>
  <drawing r:id="rId20"/>
  <legacyDrawing r:id="rId2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sheetPr>
  <dimension ref="A1:AH666"/>
  <sheetViews>
    <sheetView showGridLines="0" zoomScale="90" zoomScaleNormal="90" workbookViewId="0">
      <pane xSplit="2" ySplit="1" topLeftCell="C2" activePane="bottomRight" state="frozen"/>
      <selection pane="topRight" activeCell="C1" sqref="C1"/>
      <selection pane="bottomLeft" activeCell="A2" sqref="A2"/>
      <selection pane="bottomRight" activeCell="A106" sqref="A106"/>
    </sheetView>
  </sheetViews>
  <sheetFormatPr defaultColWidth="11.42578125" defaultRowHeight="12.75"/>
  <cols>
    <col min="1" max="1" width="11" style="2291" customWidth="1"/>
    <col min="2" max="2" width="10.5703125" style="2291" customWidth="1"/>
    <col min="3" max="3" width="10.28515625" style="2291" customWidth="1"/>
    <col min="4" max="4" width="11.5703125" style="2291" customWidth="1"/>
    <col min="5" max="5" width="12.28515625" style="2291" customWidth="1"/>
    <col min="6" max="6" width="11.42578125" style="2291" customWidth="1"/>
    <col min="7" max="7" width="9" style="2291" customWidth="1"/>
    <col min="8" max="8" width="8.7109375" style="2291" customWidth="1"/>
    <col min="9" max="9" width="11.42578125" style="2291" customWidth="1"/>
    <col min="10" max="25" width="8.7109375" style="2291" customWidth="1"/>
    <col min="26" max="26" width="4.42578125" style="2291" customWidth="1"/>
    <col min="27" max="27" width="11.5703125" style="2291"/>
    <col min="28" max="16384" width="11.42578125" style="2291"/>
  </cols>
  <sheetData>
    <row r="1" spans="1:27" ht="13.5" thickBot="1">
      <c r="A1" s="109" t="s">
        <v>772</v>
      </c>
      <c r="B1" s="109"/>
      <c r="C1" s="4520" t="s">
        <v>1449</v>
      </c>
      <c r="D1" s="4521"/>
      <c r="E1"/>
      <c r="F1"/>
      <c r="G1"/>
      <c r="H1"/>
      <c r="I1" s="105"/>
      <c r="J1" s="3"/>
      <c r="K1" s="2"/>
      <c r="L1" s="2"/>
      <c r="M1"/>
      <c r="N1" s="475" t="s">
        <v>2042</v>
      </c>
      <c r="O1"/>
      <c r="P1"/>
      <c r="Q1"/>
      <c r="R1"/>
      <c r="S1"/>
      <c r="T1"/>
      <c r="U1"/>
      <c r="V1"/>
      <c r="W1"/>
      <c r="X1"/>
      <c r="Y1" s="2826" t="s">
        <v>2016</v>
      </c>
      <c r="Z1" s="2292"/>
      <c r="AA1" s="2298"/>
    </row>
    <row r="2" spans="1:27">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row>
    <row r="3" spans="1:27" s="2339" customFormat="1">
      <c r="A3" s="568" t="s">
        <v>1634</v>
      </c>
      <c r="B3" s="568"/>
      <c r="C3" s="569"/>
      <c r="D3" s="569"/>
      <c r="E3" s="569"/>
      <c r="F3" s="573"/>
      <c r="G3" s="574"/>
      <c r="H3" s="575"/>
      <c r="I3" s="569"/>
      <c r="J3" s="569"/>
      <c r="K3" s="569"/>
      <c r="L3" s="569"/>
      <c r="M3" s="569"/>
      <c r="N3" s="569"/>
      <c r="O3" s="569"/>
      <c r="P3" s="576"/>
      <c r="Q3" s="576"/>
      <c r="R3" s="576"/>
    </row>
    <row r="4" spans="1:27">
      <c r="A4" s="465"/>
      <c r="B4" s="465"/>
      <c r="C4" s="563"/>
      <c r="D4" s="563"/>
      <c r="E4" s="1"/>
      <c r="F4" s="1"/>
      <c r="G4" s="1"/>
      <c r="H4" s="1"/>
      <c r="I4" s="1"/>
      <c r="J4" s="1"/>
      <c r="K4" s="1"/>
      <c r="L4" s="1"/>
      <c r="M4" s="1"/>
      <c r="N4" s="1"/>
      <c r="O4" s="1"/>
      <c r="P4" s="1"/>
      <c r="Q4" s="1"/>
      <c r="R4" s="3"/>
    </row>
    <row r="5" spans="1:27" ht="13.5" thickBot="1">
      <c r="A5" s="567"/>
      <c r="B5" s="108"/>
      <c r="C5" s="132" t="s">
        <v>37</v>
      </c>
      <c r="D5" s="133" t="s">
        <v>767</v>
      </c>
      <c r="E5" s="566" t="s">
        <v>768</v>
      </c>
      <c r="F5" s="132" t="s">
        <v>38</v>
      </c>
      <c r="G5" s="133" t="s">
        <v>767</v>
      </c>
      <c r="H5" s="566" t="s">
        <v>768</v>
      </c>
      <c r="I5" s="132" t="s">
        <v>769</v>
      </c>
      <c r="J5" s="133" t="s">
        <v>767</v>
      </c>
      <c r="K5" s="566" t="s">
        <v>768</v>
      </c>
      <c r="L5" s="132" t="s">
        <v>36</v>
      </c>
      <c r="M5" s="133" t="s">
        <v>767</v>
      </c>
      <c r="N5" s="566" t="s">
        <v>768</v>
      </c>
      <c r="O5" s="132" t="s">
        <v>770</v>
      </c>
      <c r="P5" s="133" t="s">
        <v>767</v>
      </c>
      <c r="Q5" s="566" t="s">
        <v>768</v>
      </c>
      <c r="R5" s="3"/>
    </row>
    <row r="6" spans="1:27">
      <c r="A6" s="2072" t="s">
        <v>773</v>
      </c>
      <c r="B6" s="570" t="s">
        <v>774</v>
      </c>
      <c r="C6" s="2716">
        <f>'GEARINGS, Eb&amp;E'!AA275</f>
        <v>0.42</v>
      </c>
      <c r="D6" s="2717">
        <f>'GEARINGS, Eb&amp;E'!AB275</f>
        <v>0.36</v>
      </c>
      <c r="E6" s="2718">
        <f>'GEARINGS, Eb&amp;E'!AC275</f>
        <v>0.45</v>
      </c>
      <c r="F6" s="2719">
        <f>'GEARINGS, Eb&amp;E'!AA277</f>
        <v>0.42</v>
      </c>
      <c r="G6" s="2717">
        <f>'GEARINGS, Eb&amp;E'!AB277</f>
        <v>0.39</v>
      </c>
      <c r="H6" s="2718">
        <f>'GEARINGS, Eb&amp;E'!AC277</f>
        <v>0.44</v>
      </c>
      <c r="I6" s="2720">
        <f>'GEARINGS, Eb&amp;E'!AA282</f>
        <v>0.42</v>
      </c>
      <c r="J6" s="2717">
        <f>'GEARINGS, Eb&amp;E'!AB282</f>
        <v>0.37</v>
      </c>
      <c r="K6" s="2717">
        <f>'GEARINGS, Eb&amp;E'!AC282</f>
        <v>0.47</v>
      </c>
      <c r="L6" s="2719">
        <f>'GEARINGS, Eb&amp;E'!AA276</f>
        <v>0.42</v>
      </c>
      <c r="M6" s="2717">
        <f>'GEARINGS, Eb&amp;E'!AB276</f>
        <v>0.36</v>
      </c>
      <c r="N6" s="2718">
        <f>'GEARINGS, Eb&amp;E'!AC276</f>
        <v>0.45</v>
      </c>
      <c r="O6" s="2720">
        <f>'GEARINGS, Eb&amp;E'!AA283</f>
        <v>0.42</v>
      </c>
      <c r="P6" s="2717">
        <f>'GEARINGS, Eb&amp;E'!AB283</f>
        <v>0.36</v>
      </c>
      <c r="Q6" s="2721">
        <f>'GEARINGS, Eb&amp;E'!AC283</f>
        <v>0.45</v>
      </c>
      <c r="R6" s="3"/>
    </row>
    <row r="7" spans="1:27">
      <c r="A7" s="2073" t="s">
        <v>775</v>
      </c>
      <c r="B7" s="2066" t="s">
        <v>774</v>
      </c>
      <c r="C7" s="2722">
        <f>'GEARINGS, Eb&amp;E'!AI275</f>
        <v>0.4</v>
      </c>
      <c r="D7" s="2723">
        <f>'GEARINGS, Eb&amp;E'!AJ275</f>
        <v>0.34</v>
      </c>
      <c r="E7" s="2724">
        <f>'GEARINGS, Eb&amp;E'!AK275</f>
        <v>0.43</v>
      </c>
      <c r="F7" s="2725">
        <f>'GEARINGS, Eb&amp;E'!AI277</f>
        <v>0.42</v>
      </c>
      <c r="G7" s="2723">
        <f>'GEARINGS, Eb&amp;E'!AJ277</f>
        <v>0.39</v>
      </c>
      <c r="H7" s="2724">
        <f>'GEARINGS, Eb&amp;E'!AK277</f>
        <v>0.44</v>
      </c>
      <c r="I7" s="2725">
        <f>'GEARINGS, Eb&amp;E'!AI282</f>
        <v>0.44</v>
      </c>
      <c r="J7" s="2723">
        <f>'GEARINGS, Eb&amp;E'!AJ282</f>
        <v>0.39</v>
      </c>
      <c r="K7" s="2723">
        <f>'GEARINGS, Eb&amp;E'!AK282</f>
        <v>0.49</v>
      </c>
      <c r="L7" s="2725">
        <f>'GEARINGS, Eb&amp;E'!AI276</f>
        <v>0.32</v>
      </c>
      <c r="M7" s="2723">
        <f>'GEARINGS, Eb&amp;E'!AJ276</f>
        <v>0.27</v>
      </c>
      <c r="N7" s="2724">
        <f>'GEARINGS, Eb&amp;E'!AK276</f>
        <v>0.36</v>
      </c>
      <c r="O7" s="2725">
        <f>'GEARINGS, Eb&amp;E'!AI283</f>
        <v>0.32</v>
      </c>
      <c r="P7" s="2723">
        <f>'GEARINGS, Eb&amp;E'!AJ283</f>
        <v>0.27</v>
      </c>
      <c r="Q7" s="2726">
        <f>'GEARINGS, Eb&amp;E'!AK283</f>
        <v>0.36</v>
      </c>
      <c r="R7" s="3"/>
    </row>
    <row r="8" spans="1:27">
      <c r="A8" s="2072" t="s">
        <v>776</v>
      </c>
      <c r="B8" s="570" t="s">
        <v>774</v>
      </c>
      <c r="C8" s="2065" t="str">
        <f>RATINGS!J764</f>
        <v>A-</v>
      </c>
      <c r="D8" s="133" t="str">
        <f>RATINGS!L764</f>
        <v>A</v>
      </c>
      <c r="E8" s="566" t="str">
        <f>RATINGS!M764</f>
        <v>BBB+</v>
      </c>
      <c r="F8" s="132" t="str">
        <f>RATINGS!E764</f>
        <v>BB-</v>
      </c>
      <c r="G8" s="133" t="str">
        <f>RATINGS!G764</f>
        <v>BB-</v>
      </c>
      <c r="H8" s="566" t="str">
        <f>RATINGS!H764</f>
        <v>B+</v>
      </c>
      <c r="I8" s="2063" t="str">
        <f>RATINGS!E768</f>
        <v>BBB</v>
      </c>
      <c r="J8" s="133" t="str">
        <f>RATINGS!G768</f>
        <v>BBB+</v>
      </c>
      <c r="K8" s="133" t="str">
        <f>RATINGS!H768</f>
        <v>BBB-</v>
      </c>
      <c r="L8" s="132" t="str">
        <f>RATINGS!O764</f>
        <v>BBB-</v>
      </c>
      <c r="M8" s="133" t="str">
        <f>RATINGS!Q764</f>
        <v>BBB</v>
      </c>
      <c r="N8" s="566" t="str">
        <f>RATINGS!R764</f>
        <v>BB+</v>
      </c>
      <c r="O8" s="2063" t="str">
        <f>RATINGS!O768</f>
        <v>BBB-</v>
      </c>
      <c r="P8" s="133" t="str">
        <f>RATINGS!Q768</f>
        <v>BBB</v>
      </c>
      <c r="Q8" s="2064" t="str">
        <f>RATINGS!R768</f>
        <v>BB+</v>
      </c>
      <c r="R8" s="3"/>
    </row>
    <row r="9" spans="1:27">
      <c r="A9" s="2073"/>
      <c r="B9" s="2066" t="s">
        <v>774</v>
      </c>
      <c r="C9" s="2067" t="str">
        <f>C8</f>
        <v>A-</v>
      </c>
      <c r="D9" s="2068" t="str">
        <f t="shared" ref="D9:Q9" si="0">D8</f>
        <v>A</v>
      </c>
      <c r="E9" s="2069" t="str">
        <f t="shared" si="0"/>
        <v>BBB+</v>
      </c>
      <c r="F9" s="2070" t="str">
        <f t="shared" si="0"/>
        <v>BB-</v>
      </c>
      <c r="G9" s="2068" t="str">
        <f t="shared" si="0"/>
        <v>BB-</v>
      </c>
      <c r="H9" s="2069" t="str">
        <f t="shared" si="0"/>
        <v>B+</v>
      </c>
      <c r="I9" s="2070" t="str">
        <f t="shared" si="0"/>
        <v>BBB</v>
      </c>
      <c r="J9" s="2068" t="str">
        <f t="shared" si="0"/>
        <v>BBB+</v>
      </c>
      <c r="K9" s="2068" t="str">
        <f t="shared" si="0"/>
        <v>BBB-</v>
      </c>
      <c r="L9" s="2070" t="str">
        <f t="shared" si="0"/>
        <v>BBB-</v>
      </c>
      <c r="M9" s="2068" t="str">
        <f t="shared" si="0"/>
        <v>BBB</v>
      </c>
      <c r="N9" s="2069" t="str">
        <f t="shared" si="0"/>
        <v>BB+</v>
      </c>
      <c r="O9" s="2070" t="str">
        <f t="shared" si="0"/>
        <v>BBB-</v>
      </c>
      <c r="P9" s="2068" t="str">
        <f t="shared" si="0"/>
        <v>BBB</v>
      </c>
      <c r="Q9" s="2071" t="str">
        <f t="shared" si="0"/>
        <v>BB+</v>
      </c>
      <c r="R9" s="3"/>
    </row>
    <row r="10" spans="1:27" ht="13.5" thickBot="1">
      <c r="A10" s="2074" t="s">
        <v>1630</v>
      </c>
      <c r="B10" s="571"/>
      <c r="C10" s="2757">
        <f>'GEARINGS, Eb&amp;E'!AA417</f>
        <v>0.27877504700623285</v>
      </c>
      <c r="D10" s="2758">
        <f>'GEARINGS, Eb&amp;E'!AM417</f>
        <v>0.25488004297712719</v>
      </c>
      <c r="E10" s="2759">
        <f>'GEARINGS, Eb&amp;E'!AN417</f>
        <v>0.29736005013998174</v>
      </c>
      <c r="F10" s="2760">
        <f>'GEARINGS, Eb&amp;E'!AA419</f>
        <v>0.17155387508075867</v>
      </c>
      <c r="G10" s="2758">
        <f>'GEARINGS, Eb&amp;E'!AM419</f>
        <v>0.16219639098544458</v>
      </c>
      <c r="H10" s="2759">
        <f>'GEARINGS, Eb&amp;E'!AN419</f>
        <v>0.17841603008398904</v>
      </c>
      <c r="I10" s="2761">
        <f>'GEARINGS, Eb&amp;E'!AA425</f>
        <v>0.27877504700623285</v>
      </c>
      <c r="J10" s="2758">
        <f>'GEARINGS, Eb&amp;E'!AM425</f>
        <v>0.25745458886578504</v>
      </c>
      <c r="K10" s="2759">
        <f>'GEARINGS, Eb&amp;E'!AN425</f>
        <v>0.30603092638763124</v>
      </c>
      <c r="L10" s="2760">
        <f>'GEARINGS, Eb&amp;E'!AA418</f>
        <v>0.4201492850448495</v>
      </c>
      <c r="M10" s="2758">
        <f>'GEARINGS, Eb&amp;E'!AM418</f>
        <v>0.38413648918386245</v>
      </c>
      <c r="N10" s="2759">
        <f>'GEARINGS, Eb&amp;E'!AN418</f>
        <v>0.44815923738117286</v>
      </c>
      <c r="O10" s="2761">
        <f>'GEARINGS, Eb&amp;E'!AA418</f>
        <v>0.4201492850448495</v>
      </c>
      <c r="P10" s="2758">
        <f>'GEARINGS, Eb&amp;E'!AM426</f>
        <v>0.38413648918386245</v>
      </c>
      <c r="Q10" s="2762">
        <f>'GEARINGS, Eb&amp;E'!AN426</f>
        <v>0.44815923738117286</v>
      </c>
      <c r="R10" s="3"/>
    </row>
    <row r="11" spans="1:27">
      <c r="A11" s="108"/>
      <c r="B11" s="108"/>
      <c r="C11" s="108"/>
      <c r="D11" s="572"/>
      <c r="E11" s="572"/>
      <c r="F11" s="108"/>
      <c r="G11" s="572"/>
      <c r="H11" s="572"/>
      <c r="I11" s="108"/>
      <c r="J11" s="572"/>
      <c r="K11" s="572"/>
      <c r="L11" s="108"/>
      <c r="M11" s="572"/>
      <c r="N11" s="572"/>
      <c r="O11" s="108"/>
      <c r="P11" s="572"/>
      <c r="Q11" s="572"/>
      <c r="R11" s="3"/>
    </row>
    <row r="12" spans="1:27">
      <c r="A12" s="2292"/>
      <c r="B12" s="2292"/>
      <c r="C12" s="2415"/>
      <c r="D12" s="2415"/>
      <c r="E12" s="2342"/>
      <c r="F12" s="2292"/>
      <c r="G12" s="2292"/>
      <c r="H12" s="2292"/>
      <c r="I12" s="2292"/>
      <c r="J12" s="2292"/>
      <c r="K12" s="2292"/>
      <c r="L12" s="2292"/>
      <c r="M12" s="2292"/>
      <c r="N12" s="2292"/>
      <c r="O12" s="2292"/>
      <c r="P12" s="2292"/>
      <c r="Q12" s="2292"/>
      <c r="R12" s="2292"/>
      <c r="S12" s="2292"/>
      <c r="T12" s="2292"/>
      <c r="U12" s="2292"/>
      <c r="V12" s="2292"/>
      <c r="W12" s="2292"/>
      <c r="X12" s="2292"/>
      <c r="Y12" s="2292"/>
      <c r="Z12" s="2292"/>
    </row>
    <row r="13" spans="1:27">
      <c r="A13" s="568" t="s">
        <v>779</v>
      </c>
      <c r="B13" s="568"/>
      <c r="C13" s="569"/>
      <c r="D13" s="569"/>
      <c r="E13" s="562"/>
      <c r="G13" s="1437" t="s">
        <v>1243</v>
      </c>
      <c r="H13" s="576"/>
      <c r="I13" s="576"/>
      <c r="J13" s="576"/>
      <c r="K13" s="576"/>
      <c r="L13" s="576"/>
      <c r="S13" s="2682"/>
      <c r="T13" s="2682"/>
      <c r="U13" s="2682"/>
      <c r="V13" s="2682"/>
      <c r="W13" s="2682"/>
      <c r="X13" s="2682"/>
      <c r="Y13" s="2682"/>
      <c r="Z13" s="2292"/>
    </row>
    <row r="14" spans="1:27" ht="13.5" thickBot="1">
      <c r="A14" s="77"/>
      <c r="B14" s="77"/>
      <c r="C14" s="565"/>
      <c r="D14" s="565"/>
      <c r="E14" s="564"/>
      <c r="G14" s="1"/>
      <c r="H14" s="1"/>
      <c r="I14" s="1"/>
      <c r="J14" s="1"/>
      <c r="K14" s="1"/>
      <c r="L14" s="3"/>
      <c r="S14" s="2682"/>
      <c r="T14" s="2682"/>
      <c r="U14" s="2682"/>
      <c r="V14" s="2682"/>
      <c r="W14" s="2682"/>
      <c r="X14" s="2682"/>
      <c r="Y14" s="2682"/>
      <c r="Z14" s="2292"/>
    </row>
    <row r="15" spans="1:27" ht="13.5" thickBot="1">
      <c r="A15" s="591" t="s">
        <v>1189</v>
      </c>
      <c r="B15" s="592"/>
      <c r="C15" s="577" t="s">
        <v>777</v>
      </c>
      <c r="D15" s="577" t="s">
        <v>810</v>
      </c>
      <c r="E15" s="4"/>
      <c r="G15" s="2034" t="s">
        <v>1635</v>
      </c>
      <c r="H15" s="2035"/>
      <c r="I15" s="2035"/>
      <c r="J15" s="2036" t="s">
        <v>1619</v>
      </c>
      <c r="K15" s="2037" t="s">
        <v>1618</v>
      </c>
      <c r="L15" s="3"/>
      <c r="S15" s="2682"/>
      <c r="T15" s="2682"/>
      <c r="U15" s="2682"/>
      <c r="V15" s="2682"/>
      <c r="W15" s="2682"/>
      <c r="X15" s="2682"/>
      <c r="Y15" s="2682"/>
      <c r="Z15" s="2292"/>
    </row>
    <row r="16" spans="1:27">
      <c r="A16" s="445" t="s">
        <v>52</v>
      </c>
      <c r="B16" s="586"/>
      <c r="C16" s="578">
        <f>PROFILES!E255</f>
        <v>0.61</v>
      </c>
      <c r="D16" s="579">
        <f>PROFILES!G255</f>
        <v>0.62983042679437373</v>
      </c>
      <c r="E16"/>
      <c r="G16" s="1670" t="s">
        <v>750</v>
      </c>
      <c r="H16" s="3"/>
      <c r="I16" s="3"/>
      <c r="J16" s="2038">
        <f>Ranking!C9/Ranking!C$9</f>
        <v>1</v>
      </c>
      <c r="K16" s="2039">
        <f>Ranking!G9/Ranking!G$9</f>
        <v>1</v>
      </c>
      <c r="L16" s="3"/>
      <c r="S16" s="2682"/>
      <c r="T16" s="2682"/>
      <c r="U16" s="2682"/>
      <c r="V16" s="2682"/>
      <c r="W16" s="2682"/>
      <c r="X16" s="2682"/>
      <c r="Y16" s="2682"/>
      <c r="Z16" s="2292"/>
    </row>
    <row r="17" spans="1:26">
      <c r="A17" s="34" t="s">
        <v>276</v>
      </c>
      <c r="B17" s="587"/>
      <c r="C17" s="580">
        <f>PROFILES!E256</f>
        <v>0.60910298289809772</v>
      </c>
      <c r="D17" s="581">
        <f>PROFILES!G256</f>
        <v>0.6207941242005639</v>
      </c>
      <c r="E17"/>
      <c r="G17" s="588" t="s">
        <v>751</v>
      </c>
      <c r="H17" s="3"/>
      <c r="I17" s="3"/>
      <c r="J17" s="2040">
        <f>Ranking!C10/Ranking!C$9</f>
        <v>0.27851966650768767</v>
      </c>
      <c r="K17" s="2041">
        <f>Ranking!G10/Ranking!G$9</f>
        <v>0.16482203014996988</v>
      </c>
      <c r="L17" s="3"/>
      <c r="S17" s="2682"/>
      <c r="T17" s="2682"/>
      <c r="U17" s="2682"/>
      <c r="V17" s="2682"/>
      <c r="W17" s="2682"/>
      <c r="X17" s="2682"/>
      <c r="Y17" s="2682"/>
      <c r="Z17" s="2292"/>
    </row>
    <row r="18" spans="1:26">
      <c r="A18" s="588" t="s">
        <v>750</v>
      </c>
      <c r="B18" s="589"/>
      <c r="C18" s="582">
        <f>PROFILES!E257</f>
        <v>0.37158673775730477</v>
      </c>
      <c r="D18" s="583">
        <f>PROFILES!G257</f>
        <v>0.36037883142173305</v>
      </c>
      <c r="E18"/>
      <c r="G18" s="1864" t="s">
        <v>286</v>
      </c>
      <c r="H18" s="1"/>
      <c r="I18" s="1"/>
      <c r="J18" s="2040">
        <f>Ranking!C16/Ranking!C9</f>
        <v>4.092853292601391</v>
      </c>
      <c r="K18" s="2041">
        <f>Ranking!G16/Ranking!G9</f>
        <v>3.2827054881755546</v>
      </c>
      <c r="L18" s="3"/>
      <c r="S18" s="2682"/>
      <c r="T18" s="2682"/>
      <c r="U18" s="2682"/>
      <c r="V18" s="2682"/>
      <c r="W18" s="2682"/>
      <c r="X18" s="2682"/>
      <c r="Y18" s="2682"/>
      <c r="Z18" s="2292"/>
    </row>
    <row r="19" spans="1:26">
      <c r="A19" s="588" t="s">
        <v>751</v>
      </c>
      <c r="B19" s="589"/>
      <c r="C19" s="582">
        <f>PROFILES!E258</f>
        <v>0.95644485424869818</v>
      </c>
      <c r="D19" s="583">
        <f>PROFILES!G258</f>
        <v>0.97265268915223335</v>
      </c>
      <c r="E19"/>
      <c r="G19" s="1864" t="s">
        <v>752</v>
      </c>
      <c r="H19" s="1"/>
      <c r="I19" s="1"/>
      <c r="J19" s="2040">
        <f>Ranking!C11/Ranking!C$9</f>
        <v>0.46496875967683954</v>
      </c>
      <c r="K19" s="2041">
        <f>Ranking!G11/Ranking!G$9</f>
        <v>0.69500255344135098</v>
      </c>
      <c r="L19" s="3"/>
      <c r="S19" s="2399"/>
      <c r="T19" s="2399"/>
      <c r="U19" s="2682"/>
      <c r="V19" s="2682"/>
      <c r="W19" s="2682"/>
      <c r="X19" s="2682"/>
      <c r="Y19" s="2682"/>
      <c r="Z19" s="2292"/>
    </row>
    <row r="20" spans="1:26" ht="13.5" thickBot="1">
      <c r="A20" s="588" t="s">
        <v>752</v>
      </c>
      <c r="B20" s="589"/>
      <c r="C20" s="582">
        <f>PROFILES!E259</f>
        <v>6.4385445236561381E-2</v>
      </c>
      <c r="D20" s="583">
        <f>PROFILES!G259</f>
        <v>0.15462918080465343</v>
      </c>
      <c r="E20"/>
      <c r="G20" s="2032" t="s">
        <v>44</v>
      </c>
      <c r="H20" s="2033"/>
      <c r="I20" s="2033"/>
      <c r="J20" s="2042">
        <f>Ranking!C20/Ranking!C9</f>
        <v>1.6062286079161434</v>
      </c>
      <c r="K20" s="2043">
        <f>Ranking!G20/Ranking!G9</f>
        <v>1.1705727487730917</v>
      </c>
      <c r="L20" s="3"/>
      <c r="S20" s="2887"/>
      <c r="T20" s="2887"/>
      <c r="U20" s="2682"/>
      <c r="V20" s="2682"/>
      <c r="W20" s="2682"/>
      <c r="X20" s="2682"/>
      <c r="Y20" s="2682"/>
      <c r="Z20" s="2292"/>
    </row>
    <row r="21" spans="1:26">
      <c r="A21" s="34" t="s">
        <v>39</v>
      </c>
      <c r="B21" s="587"/>
      <c r="C21" s="580">
        <f>PROFILES!E260</f>
        <v>0.31054928118178421</v>
      </c>
      <c r="D21" s="581">
        <f>PROFILES!G260</f>
        <v>0.28165979767703259</v>
      </c>
      <c r="E21"/>
      <c r="G21" s="3"/>
      <c r="H21" s="3"/>
      <c r="I21" s="3"/>
      <c r="J21" s="3"/>
      <c r="K21" s="3"/>
      <c r="L21" s="3"/>
      <c r="S21" s="2786"/>
      <c r="T21" s="2786"/>
      <c r="U21" s="2682"/>
      <c r="V21" s="2682"/>
      <c r="W21" s="2682"/>
      <c r="X21" s="2682"/>
      <c r="Y21" s="2682"/>
      <c r="Z21" s="2292"/>
    </row>
    <row r="22" spans="1:26">
      <c r="A22" s="34" t="s">
        <v>53</v>
      </c>
      <c r="B22" s="587"/>
      <c r="C22" s="580">
        <f>PROFILES!E261</f>
        <v>0.6158872479982318</v>
      </c>
      <c r="D22" s="581">
        <f>PROFILES!G261</f>
        <v>0.66127040038880336</v>
      </c>
      <c r="E22"/>
      <c r="F22" s="2359"/>
      <c r="G22" s="2359"/>
      <c r="H22" s="2359"/>
      <c r="I22" s="2359"/>
      <c r="J22" s="2359"/>
      <c r="K22" s="2359"/>
      <c r="L22" s="2359"/>
      <c r="S22" s="2888"/>
      <c r="T22" s="2888"/>
      <c r="U22" s="2561"/>
      <c r="V22" s="2561"/>
      <c r="W22" s="2561"/>
      <c r="X22" s="2561"/>
      <c r="Y22" s="2561"/>
      <c r="Z22" s="2292"/>
    </row>
    <row r="23" spans="1:26">
      <c r="A23" s="34" t="s">
        <v>283</v>
      </c>
      <c r="B23" s="587"/>
      <c r="C23" s="580">
        <f>PROFILES!E262</f>
        <v>0.62657499999999999</v>
      </c>
      <c r="D23" s="581">
        <f>PROFILES!G262</f>
        <v>0.64439999999999997</v>
      </c>
      <c r="E23"/>
      <c r="F23" s="2374"/>
      <c r="G23" s="2374"/>
      <c r="H23" s="2374"/>
      <c r="I23" s="2374"/>
      <c r="J23" s="2374"/>
      <c r="K23" s="2374"/>
      <c r="L23" s="2374"/>
      <c r="S23" s="2776"/>
      <c r="T23" s="2776"/>
      <c r="U23" s="2561"/>
      <c r="V23" s="2561"/>
      <c r="W23" s="2561"/>
      <c r="X23" s="2561"/>
      <c r="Y23" s="2561"/>
      <c r="Z23" s="2292"/>
    </row>
    <row r="24" spans="1:26">
      <c r="A24" s="34" t="s">
        <v>285</v>
      </c>
      <c r="B24" s="587"/>
      <c r="C24" s="580">
        <f>PROFILES!E263</f>
        <v>9.1630231095150338E-2</v>
      </c>
      <c r="D24" s="581">
        <f>PROFILES!G263</f>
        <v>0.34976819018989347</v>
      </c>
      <c r="E24"/>
      <c r="F24" s="2890"/>
      <c r="G24" s="2890"/>
      <c r="H24" s="2890"/>
      <c r="I24" s="2890"/>
      <c r="J24" s="2890"/>
      <c r="K24" s="2890"/>
      <c r="L24" s="2890"/>
      <c r="S24" s="2889"/>
      <c r="T24" s="2889"/>
      <c r="U24" s="2561"/>
      <c r="V24" s="2561"/>
      <c r="W24" s="2561"/>
      <c r="X24" s="2561"/>
      <c r="Y24" s="2561"/>
      <c r="Z24" s="2292"/>
    </row>
    <row r="25" spans="1:26">
      <c r="A25" s="34" t="s">
        <v>286</v>
      </c>
      <c r="B25" s="587"/>
      <c r="C25" s="580">
        <f>PROFILES!E264</f>
        <v>0.60741568747204655</v>
      </c>
      <c r="D25" s="581">
        <f>PROFILES!G264</f>
        <v>0.62738172243152124</v>
      </c>
      <c r="E25"/>
      <c r="F25" s="2292"/>
      <c r="G25" s="2292"/>
      <c r="H25" s="2292"/>
      <c r="I25" s="2292"/>
      <c r="J25" s="2292"/>
      <c r="K25" s="2292"/>
      <c r="L25" s="2292"/>
      <c r="S25" s="2561"/>
      <c r="T25" s="2561"/>
      <c r="U25" s="2561"/>
      <c r="V25" s="2561"/>
      <c r="W25" s="2561"/>
      <c r="X25" s="2561"/>
      <c r="Y25" s="2561"/>
      <c r="Z25" s="2292"/>
    </row>
    <row r="26" spans="1:26">
      <c r="A26" s="34" t="s">
        <v>42</v>
      </c>
      <c r="B26" s="587"/>
      <c r="C26" s="580">
        <f>PROFILES!E265</f>
        <v>0.56323171407839789</v>
      </c>
      <c r="D26" s="581">
        <f>PROFILES!G265</f>
        <v>0.53987730061349704</v>
      </c>
      <c r="E26"/>
      <c r="F26" s="2292"/>
      <c r="G26" s="2292"/>
      <c r="H26" s="2292"/>
      <c r="I26" s="2292"/>
      <c r="J26" s="2292"/>
      <c r="K26" s="2292"/>
      <c r="L26" s="2292"/>
      <c r="S26" s="2561"/>
      <c r="T26" s="2561"/>
      <c r="U26" s="2561"/>
      <c r="V26" s="2561"/>
      <c r="W26" s="2561"/>
      <c r="X26" s="2561"/>
      <c r="Y26" s="2561"/>
      <c r="Z26" s="2292"/>
    </row>
    <row r="27" spans="1:26">
      <c r="A27" s="34" t="s">
        <v>284</v>
      </c>
      <c r="B27" s="587"/>
      <c r="C27" s="580">
        <f>PROFILES!E266</f>
        <v>0.34534166666666666</v>
      </c>
      <c r="D27" s="581">
        <f>PROFILES!G266</f>
        <v>0.3626280111015483</v>
      </c>
      <c r="E27"/>
      <c r="F27" s="2292"/>
      <c r="G27" s="2292"/>
      <c r="H27" s="2292"/>
      <c r="I27" s="2292"/>
      <c r="J27" s="2292"/>
      <c r="K27" s="2292"/>
      <c r="L27" s="2292"/>
      <c r="M27" s="2292"/>
      <c r="N27" s="2292"/>
      <c r="O27" s="2292"/>
      <c r="P27" s="2292"/>
      <c r="Q27" s="2292"/>
      <c r="S27" s="2561"/>
      <c r="T27" s="2561"/>
      <c r="U27" s="2561"/>
      <c r="V27" s="2561"/>
      <c r="W27" s="2561"/>
      <c r="X27" s="2561"/>
      <c r="Y27" s="2561"/>
      <c r="Z27" s="2292"/>
    </row>
    <row r="28" spans="1:26">
      <c r="A28" s="34" t="s">
        <v>279</v>
      </c>
      <c r="B28" s="587"/>
      <c r="C28" s="580">
        <f>PROFILES!E267</f>
        <v>0.7344324868237998</v>
      </c>
      <c r="D28" s="581">
        <f>PROFILES!G267</f>
        <v>0.74956908795771016</v>
      </c>
      <c r="E28"/>
      <c r="F28" s="2292"/>
      <c r="G28" s="2292"/>
      <c r="H28" s="2292"/>
      <c r="I28" s="2292"/>
      <c r="J28" s="2292"/>
      <c r="K28" s="2292"/>
      <c r="L28" s="2292"/>
      <c r="M28" s="2292"/>
      <c r="N28" s="2292"/>
      <c r="O28" s="2292"/>
      <c r="P28" s="2292"/>
      <c r="Q28" s="2292"/>
      <c r="R28" s="2292"/>
      <c r="S28" s="2561"/>
      <c r="T28" s="2561"/>
      <c r="U28" s="2561"/>
      <c r="V28" s="2561"/>
      <c r="W28" s="2561"/>
      <c r="X28" s="2561"/>
      <c r="Y28" s="2561"/>
      <c r="Z28" s="2292"/>
    </row>
    <row r="29" spans="1:26">
      <c r="A29" s="34" t="s">
        <v>44</v>
      </c>
      <c r="B29" s="587"/>
      <c r="C29" s="580">
        <f>PROFILES!E268</f>
        <v>0.5805147103617575</v>
      </c>
      <c r="D29" s="581">
        <f>PROFILES!G268</f>
        <v>0.6264024463118032</v>
      </c>
      <c r="E29"/>
      <c r="F29" s="2292"/>
      <c r="G29" s="2292"/>
      <c r="H29" s="2292"/>
      <c r="I29" s="2292"/>
      <c r="J29" s="2292"/>
      <c r="K29" s="2292"/>
      <c r="L29" s="2292"/>
      <c r="M29" s="2292"/>
      <c r="N29" s="2292"/>
      <c r="O29" s="2292"/>
      <c r="P29" s="2292"/>
      <c r="Q29" s="2292"/>
      <c r="R29" s="2292"/>
      <c r="S29" s="2561"/>
      <c r="T29" s="2561"/>
      <c r="U29" s="2561"/>
      <c r="V29" s="2561"/>
      <c r="W29" s="2561"/>
      <c r="X29" s="2561"/>
      <c r="Y29" s="2561"/>
      <c r="Z29" s="2292"/>
    </row>
    <row r="30" spans="1:26">
      <c r="A30" s="34" t="s">
        <v>287</v>
      </c>
      <c r="B30" s="587"/>
      <c r="C30" s="580">
        <f>PROFILES!E269</f>
        <v>0.42290073595624156</v>
      </c>
      <c r="D30" s="581">
        <f>PROFILES!G269</f>
        <v>0.44946685046944856</v>
      </c>
      <c r="E30"/>
      <c r="F30" s="2292"/>
      <c r="G30" s="2292"/>
      <c r="H30" s="2292"/>
      <c r="I30" s="2292"/>
      <c r="J30" s="2292"/>
      <c r="K30" s="2292"/>
      <c r="L30" s="2292"/>
      <c r="M30" s="2292"/>
      <c r="N30" s="2292"/>
      <c r="O30" s="2292"/>
      <c r="P30" s="2292"/>
      <c r="Q30" s="2292"/>
      <c r="R30" s="2292"/>
      <c r="S30" s="2561"/>
      <c r="T30" s="2561"/>
      <c r="U30" s="2561"/>
      <c r="V30" s="2561"/>
      <c r="W30" s="2561"/>
      <c r="X30" s="2561"/>
      <c r="Y30" s="2561"/>
      <c r="Z30" s="2292"/>
    </row>
    <row r="31" spans="1:26">
      <c r="A31" s="34" t="s">
        <v>54</v>
      </c>
      <c r="B31" s="587"/>
      <c r="C31" s="580">
        <f>PROFILES!E270</f>
        <v>0.48460704112825509</v>
      </c>
      <c r="D31" s="581">
        <f>PROFILES!G270</f>
        <v>0.49497857034449522</v>
      </c>
      <c r="E31"/>
      <c r="F31" s="2292"/>
      <c r="G31" s="2292"/>
      <c r="H31" s="2292"/>
      <c r="I31" s="2292"/>
      <c r="J31" s="2292"/>
      <c r="K31" s="2292"/>
      <c r="L31" s="2292"/>
      <c r="M31" s="2292"/>
      <c r="N31" s="2292"/>
      <c r="O31" s="2292"/>
      <c r="P31" s="2292"/>
      <c r="Q31" s="2292"/>
      <c r="R31" s="2292"/>
      <c r="S31" s="2561"/>
      <c r="T31" s="2561"/>
      <c r="U31" s="2561"/>
      <c r="V31" s="2561"/>
      <c r="W31" s="2561"/>
      <c r="X31" s="2561"/>
      <c r="Y31" s="2561"/>
      <c r="Z31" s="2292"/>
    </row>
    <row r="32" spans="1:26">
      <c r="A32" s="34" t="s">
        <v>50</v>
      </c>
      <c r="B32" s="587"/>
      <c r="C32" s="580">
        <f>PROFILES!E271</f>
        <v>0</v>
      </c>
      <c r="D32" s="581">
        <f>PROFILES!G271</f>
        <v>0</v>
      </c>
      <c r="E32"/>
      <c r="F32" s="2292"/>
      <c r="G32" s="2292"/>
      <c r="H32" s="2292"/>
      <c r="I32" s="2292"/>
      <c r="J32" s="2292"/>
      <c r="K32" s="2292"/>
      <c r="L32" s="2292"/>
      <c r="M32" s="2292"/>
      <c r="N32" s="2292"/>
      <c r="O32" s="2292"/>
      <c r="P32" s="2292"/>
      <c r="Q32" s="2292"/>
      <c r="R32" s="2292"/>
      <c r="S32" s="2561"/>
      <c r="T32" s="2561"/>
      <c r="U32" s="2561"/>
      <c r="V32" s="2561"/>
      <c r="W32" s="2561"/>
      <c r="X32" s="2561"/>
      <c r="Y32" s="2561"/>
      <c r="Z32" s="2292"/>
    </row>
    <row r="33" spans="1:26">
      <c r="A33" s="34" t="s">
        <v>277</v>
      </c>
      <c r="B33" s="587"/>
      <c r="C33" s="580">
        <f>PROFILES!E272</f>
        <v>0.91487499999999988</v>
      </c>
      <c r="D33" s="581">
        <f>PROFILES!G272</f>
        <v>0.89481420237931208</v>
      </c>
      <c r="E33"/>
      <c r="F33" s="2292"/>
      <c r="G33" s="2292"/>
      <c r="H33" s="2292"/>
      <c r="I33" s="2292"/>
      <c r="J33" s="2292"/>
      <c r="K33" s="2292"/>
      <c r="L33" s="2292"/>
      <c r="M33" s="2292"/>
      <c r="N33" s="2292"/>
      <c r="O33" s="2292"/>
      <c r="P33" s="2292"/>
      <c r="Q33" s="2292"/>
      <c r="R33" s="2292"/>
      <c r="S33" s="2561"/>
      <c r="T33" s="2561"/>
      <c r="U33" s="2561"/>
      <c r="V33" s="2561"/>
      <c r="W33" s="2561"/>
      <c r="X33" s="2561"/>
      <c r="Y33" s="2561"/>
      <c r="Z33" s="2292"/>
    </row>
    <row r="34" spans="1:26">
      <c r="A34" s="34" t="s">
        <v>282</v>
      </c>
      <c r="B34" s="587"/>
      <c r="C34" s="580">
        <f>PROFILES!E273</f>
        <v>0.67984865616162071</v>
      </c>
      <c r="D34" s="581">
        <f>PROFILES!G273</f>
        <v>0.7167630057803468</v>
      </c>
      <c r="E34"/>
      <c r="F34" s="2292"/>
      <c r="G34" s="2292"/>
      <c r="H34" s="2292"/>
      <c r="I34" s="2292"/>
      <c r="J34" s="2292"/>
      <c r="K34" s="2292"/>
      <c r="L34" s="2292"/>
      <c r="M34" s="2292"/>
      <c r="N34" s="2292"/>
      <c r="O34" s="2292"/>
      <c r="P34" s="2292"/>
      <c r="Q34" s="2292"/>
      <c r="R34" s="2292"/>
      <c r="S34" s="2561"/>
      <c r="T34" s="2561"/>
      <c r="U34" s="2561"/>
      <c r="V34" s="2561"/>
      <c r="W34" s="2561"/>
      <c r="X34" s="2561"/>
      <c r="Y34" s="2561"/>
      <c r="Z34" s="2292"/>
    </row>
    <row r="35" spans="1:26">
      <c r="A35" s="34" t="s">
        <v>280</v>
      </c>
      <c r="B35" s="587"/>
      <c r="C35" s="580">
        <f>PROFILES!E274</f>
        <v>0.67083419702973635</v>
      </c>
      <c r="D35" s="581">
        <f>PROFILES!G274</f>
        <v>0.63639387890884902</v>
      </c>
      <c r="E35"/>
      <c r="F35" s="2292"/>
      <c r="G35" s="2292"/>
      <c r="H35" s="2292"/>
      <c r="I35" s="2292"/>
      <c r="J35" s="2292"/>
      <c r="K35" s="2292"/>
      <c r="L35" s="2292"/>
      <c r="M35" s="2292"/>
      <c r="N35" s="2292"/>
      <c r="O35" s="2292"/>
      <c r="P35" s="2292"/>
      <c r="Q35" s="2292"/>
      <c r="R35" s="2292"/>
      <c r="S35" s="2561"/>
      <c r="T35" s="2561"/>
      <c r="U35" s="2561"/>
      <c r="V35" s="2561"/>
      <c r="W35" s="2561"/>
      <c r="X35" s="2561"/>
      <c r="Y35" s="2561"/>
      <c r="Z35" s="2292"/>
    </row>
    <row r="36" spans="1:26">
      <c r="A36" s="34" t="s">
        <v>288</v>
      </c>
      <c r="B36" s="587"/>
      <c r="C36" s="580">
        <f>PROFILES!E275</f>
        <v>0.32615050588405037</v>
      </c>
      <c r="D36" s="581">
        <f>PROFILES!G275</f>
        <v>0.30985103942866765</v>
      </c>
      <c r="E36"/>
      <c r="F36" s="568" t="s">
        <v>779</v>
      </c>
      <c r="G36" s="562"/>
      <c r="H36" s="562"/>
      <c r="I36" s="562"/>
      <c r="J36" s="562"/>
      <c r="K36" s="562"/>
      <c r="L36" s="562"/>
      <c r="M36" s="562"/>
      <c r="N36" s="562"/>
      <c r="O36" s="562"/>
      <c r="P36" s="562"/>
      <c r="Q36" s="562"/>
      <c r="R36" s="562"/>
      <c r="S36" s="562"/>
      <c r="T36" s="562"/>
      <c r="U36" s="562"/>
      <c r="V36" s="562"/>
      <c r="W36" s="562"/>
      <c r="X36" s="562"/>
      <c r="Y36" s="562"/>
      <c r="Z36" s="2292"/>
    </row>
    <row r="37" spans="1:26" ht="13.5" thickBot="1">
      <c r="A37" s="34" t="s">
        <v>353</v>
      </c>
      <c r="B37" s="587"/>
      <c r="C37" s="580">
        <f>PROFILES!E276</f>
        <v>0.90539538726018864</v>
      </c>
      <c r="D37" s="581">
        <f>PROFILES!G276</f>
        <v>0.90138346931536006</v>
      </c>
      <c r="E37"/>
      <c r="F37"/>
      <c r="G37"/>
      <c r="H37"/>
      <c r="I37"/>
      <c r="J37"/>
      <c r="K37"/>
      <c r="L37"/>
      <c r="M37"/>
      <c r="N37"/>
      <c r="O37"/>
      <c r="P37"/>
      <c r="Q37"/>
      <c r="R37"/>
      <c r="S37" s="2875"/>
      <c r="T37" s="2875"/>
      <c r="U37" s="2875"/>
      <c r="V37" s="2875"/>
      <c r="W37" s="2875"/>
      <c r="X37" s="2875"/>
      <c r="Y37" s="2875"/>
      <c r="Z37" s="2292"/>
    </row>
    <row r="38" spans="1:26" ht="13.5" thickBot="1">
      <c r="A38" s="100" t="s">
        <v>354</v>
      </c>
      <c r="B38" s="590"/>
      <c r="C38" s="584"/>
      <c r="D38" s="585"/>
      <c r="E38"/>
      <c r="F38" s="1938" t="str">
        <f>PROFILES!H320</f>
        <v>TDC, KPN, TIT, TPS, SCM &amp; TKA among closest peers for Belgacom for the period.</v>
      </c>
      <c r="G38" s="1939"/>
      <c r="H38" s="1939"/>
      <c r="I38" s="1939"/>
      <c r="J38" s="1939"/>
      <c r="K38" s="1939"/>
      <c r="L38" s="1939"/>
      <c r="M38" s="1940"/>
      <c r="N38"/>
      <c r="O38"/>
      <c r="P38"/>
      <c r="Q38"/>
      <c r="R38"/>
      <c r="S38" s="2875"/>
      <c r="T38" s="2875"/>
      <c r="U38" s="2875"/>
      <c r="V38" s="2875"/>
      <c r="W38" s="2875"/>
      <c r="X38" s="2875"/>
      <c r="Y38" s="2875"/>
      <c r="Z38" s="2292"/>
    </row>
    <row r="39" spans="1:26">
      <c r="A39"/>
      <c r="B39"/>
      <c r="C39"/>
      <c r="D39"/>
      <c r="E39"/>
      <c r="F39"/>
      <c r="G39"/>
      <c r="H39"/>
      <c r="I39"/>
      <c r="J39"/>
      <c r="K39"/>
      <c r="L39"/>
      <c r="M39"/>
      <c r="N39"/>
      <c r="O39"/>
      <c r="P39"/>
      <c r="Q39"/>
      <c r="R39"/>
      <c r="S39" s="2875"/>
      <c r="T39" s="2875"/>
      <c r="U39" s="2875"/>
      <c r="V39" s="2875"/>
      <c r="W39" s="2875"/>
      <c r="X39" s="2875"/>
      <c r="Y39" s="2875"/>
      <c r="Z39" s="2292"/>
    </row>
    <row r="40" spans="1:26">
      <c r="A40" s="1343" t="s">
        <v>1487</v>
      </c>
      <c r="B40"/>
      <c r="C40" s="475" t="s">
        <v>1715</v>
      </c>
      <c r="D40" s="475"/>
      <c r="E40"/>
      <c r="F40"/>
      <c r="G40"/>
      <c r="H40"/>
      <c r="I40"/>
      <c r="J40"/>
      <c r="K40"/>
      <c r="L40"/>
      <c r="M40"/>
      <c r="N40"/>
      <c r="O40"/>
      <c r="P40"/>
      <c r="Q40"/>
      <c r="R40"/>
      <c r="S40"/>
      <c r="T40"/>
      <c r="U40"/>
      <c r="V40"/>
      <c r="W40"/>
      <c r="X40"/>
      <c r="Y40"/>
      <c r="Z40" s="2292"/>
    </row>
    <row r="41" spans="1:26" ht="13.5" thickBot="1">
      <c r="A41" s="593" t="s">
        <v>742</v>
      </c>
      <c r="B41" s="594"/>
      <c r="C41" s="595" t="s">
        <v>52</v>
      </c>
      <c r="D41" s="595" t="s">
        <v>276</v>
      </c>
      <c r="E41" s="596" t="s">
        <v>750</v>
      </c>
      <c r="F41" s="596" t="s">
        <v>751</v>
      </c>
      <c r="G41" s="596" t="s">
        <v>752</v>
      </c>
      <c r="H41" s="595" t="s">
        <v>39</v>
      </c>
      <c r="I41" s="595" t="s">
        <v>53</v>
      </c>
      <c r="J41" s="595" t="s">
        <v>283</v>
      </c>
      <c r="K41" s="595" t="s">
        <v>285</v>
      </c>
      <c r="L41" s="595" t="s">
        <v>286</v>
      </c>
      <c r="M41" s="595" t="s">
        <v>42</v>
      </c>
      <c r="N41" s="595" t="s">
        <v>284</v>
      </c>
      <c r="O41" s="595" t="s">
        <v>279</v>
      </c>
      <c r="P41" s="595" t="s">
        <v>44</v>
      </c>
      <c r="Q41" s="597" t="s">
        <v>287</v>
      </c>
      <c r="R41" s="597" t="s">
        <v>54</v>
      </c>
      <c r="S41" s="597" t="s">
        <v>50</v>
      </c>
      <c r="T41" s="597" t="s">
        <v>277</v>
      </c>
      <c r="U41" s="597" t="s">
        <v>282</v>
      </c>
      <c r="V41" s="597" t="s">
        <v>280</v>
      </c>
      <c r="W41" s="597" t="s">
        <v>288</v>
      </c>
      <c r="X41" s="597" t="s">
        <v>353</v>
      </c>
      <c r="Y41" s="597" t="s">
        <v>354</v>
      </c>
      <c r="Z41" s="2292"/>
    </row>
    <row r="42" spans="1:26">
      <c r="A42" s="608">
        <v>40178</v>
      </c>
      <c r="B42" s="609"/>
      <c r="C42" s="598">
        <v>1.4353308911517835</v>
      </c>
      <c r="D42" s="599">
        <v>0.73689138072732419</v>
      </c>
      <c r="E42" s="600">
        <v>0.25024787449025654</v>
      </c>
      <c r="F42" s="600">
        <v>0.21883295946711381</v>
      </c>
      <c r="G42" s="600">
        <v>1.0098047498524676</v>
      </c>
      <c r="H42" s="599">
        <v>0.84211656566631876</v>
      </c>
      <c r="I42" s="599">
        <v>0.57418004488236885</v>
      </c>
      <c r="J42" s="599">
        <v>0.31133239398826085</v>
      </c>
      <c r="K42" s="599">
        <v>0.14863555209046622</v>
      </c>
      <c r="L42" s="599">
        <v>0.83289615160295183</v>
      </c>
      <c r="M42" s="599">
        <v>0.89572080523073827</v>
      </c>
      <c r="N42" s="599">
        <v>1.779020485748499</v>
      </c>
      <c r="O42" s="599">
        <v>0.27543615187457104</v>
      </c>
      <c r="P42" s="601">
        <v>0.63924570752732102</v>
      </c>
      <c r="Q42" s="599">
        <v>0.21935078084741494</v>
      </c>
      <c r="R42" s="599">
        <v>0.84757726526954613</v>
      </c>
      <c r="S42" s="599">
        <v>1.6861629756165972</v>
      </c>
      <c r="T42" s="599">
        <v>0.46986139658463089</v>
      </c>
      <c r="U42" s="599">
        <v>0.24380186972871457</v>
      </c>
      <c r="V42" s="599">
        <v>0.14720104649067936</v>
      </c>
      <c r="W42" s="599">
        <v>0.49889703568332833</v>
      </c>
      <c r="X42" s="599">
        <v>0.64925467304296247</v>
      </c>
      <c r="Y42" s="602">
        <v>0.75430043765296584</v>
      </c>
      <c r="Z42" s="2292"/>
    </row>
    <row r="43" spans="1:26">
      <c r="A43" s="610">
        <v>40268</v>
      </c>
      <c r="B43" s="611"/>
      <c r="C43" s="603">
        <v>1.4221954816967486</v>
      </c>
      <c r="D43" s="604">
        <v>0.66852485832347264</v>
      </c>
      <c r="E43" s="605">
        <v>0.18536213944248128</v>
      </c>
      <c r="F43" s="605">
        <v>0.23935620659762077</v>
      </c>
      <c r="G43" s="605">
        <v>0.86093965744904821</v>
      </c>
      <c r="H43" s="604">
        <v>0.84365299503780822</v>
      </c>
      <c r="I43" s="604">
        <v>0.67688934910942067</v>
      </c>
      <c r="J43" s="604">
        <v>0.36611424508641549</v>
      </c>
      <c r="K43" s="604">
        <v>0.17419045125508262</v>
      </c>
      <c r="L43" s="604">
        <v>0.93929749757154979</v>
      </c>
      <c r="M43" s="604">
        <v>1.0004479538280329</v>
      </c>
      <c r="N43" s="604">
        <v>1.7947428499486509</v>
      </c>
      <c r="O43" s="604">
        <v>0.2393498207647701</v>
      </c>
      <c r="P43" s="604">
        <v>0.67152373511206342</v>
      </c>
      <c r="Q43" s="606">
        <v>0.18326979763172466</v>
      </c>
      <c r="R43" s="606">
        <v>0.84460120306580977</v>
      </c>
      <c r="S43" s="606">
        <v>1.6899659366714743</v>
      </c>
      <c r="T43" s="606">
        <v>0.47056247246458643</v>
      </c>
      <c r="U43" s="606">
        <v>0.23904685338721751</v>
      </c>
      <c r="V43" s="606">
        <v>0.15937996144495589</v>
      </c>
      <c r="W43" s="606">
        <v>0.48200093186542042</v>
      </c>
      <c r="X43" s="606">
        <v>0.7343691718843578</v>
      </c>
      <c r="Y43" s="607">
        <v>0.82754839580874084</v>
      </c>
      <c r="Z43" s="2292"/>
    </row>
    <row r="44" spans="1:26">
      <c r="A44" s="610">
        <v>40359</v>
      </c>
      <c r="B44" s="611"/>
      <c r="C44" s="603">
        <v>1.550426839718283</v>
      </c>
      <c r="D44" s="604">
        <v>0.79172574046909439</v>
      </c>
      <c r="E44" s="605">
        <v>0.2371104056528387</v>
      </c>
      <c r="F44" s="605">
        <v>0.26188359291879809</v>
      </c>
      <c r="G44" s="605">
        <v>0.86515817365505865</v>
      </c>
      <c r="H44" s="604">
        <v>0.92019308863673865</v>
      </c>
      <c r="I44" s="604">
        <v>0.84939578108193037</v>
      </c>
      <c r="J44" s="604">
        <v>0.3633695245287486</v>
      </c>
      <c r="K44" s="604">
        <v>0.20758691368354032</v>
      </c>
      <c r="L44" s="604">
        <v>1.0691220524860043</v>
      </c>
      <c r="M44" s="604">
        <v>1.5041795928070005</v>
      </c>
      <c r="N44" s="604">
        <v>2.1713531077652202</v>
      </c>
      <c r="O44" s="604">
        <v>0.26606410995527491</v>
      </c>
      <c r="P44" s="604">
        <v>0.81904644794922177</v>
      </c>
      <c r="Q44" s="606">
        <v>0.1790678070627382</v>
      </c>
      <c r="R44" s="606">
        <v>0.8937124663376893</v>
      </c>
      <c r="S44" s="606">
        <v>1.5335791069962126</v>
      </c>
      <c r="T44" s="606">
        <v>0.464611186908781</v>
      </c>
      <c r="U44" s="606">
        <v>0.27297034325266872</v>
      </c>
      <c r="V44" s="606">
        <v>0.17959900907117443</v>
      </c>
      <c r="W44" s="606">
        <v>0.54081379509239258</v>
      </c>
      <c r="X44" s="606">
        <v>0.85078007086064289</v>
      </c>
      <c r="Y44" s="607">
        <v>0.95456745725127423</v>
      </c>
      <c r="Z44" s="2292"/>
    </row>
    <row r="45" spans="1:26">
      <c r="A45" s="610">
        <v>40451</v>
      </c>
      <c r="B45" s="611"/>
      <c r="C45" s="603">
        <v>1.4260181999869967</v>
      </c>
      <c r="D45" s="604">
        <v>0.59663638423951515</v>
      </c>
      <c r="E45" s="605">
        <v>0.18635433819491123</v>
      </c>
      <c r="F45" s="605">
        <v>0.24559297310315117</v>
      </c>
      <c r="G45" s="605">
        <v>0.82486414807442265</v>
      </c>
      <c r="H45" s="604">
        <v>0.84326022748323548</v>
      </c>
      <c r="I45" s="604">
        <v>0.73829600587505961</v>
      </c>
      <c r="J45" s="604">
        <v>0.29565234455552819</v>
      </c>
      <c r="K45" s="604">
        <v>0.17837503420209674</v>
      </c>
      <c r="L45" s="604">
        <v>0.97186675462975647</v>
      </c>
      <c r="M45" s="604">
        <v>1.7490379904652795</v>
      </c>
      <c r="N45" s="604">
        <v>1.8939654521625124</v>
      </c>
      <c r="O45" s="604">
        <v>0.2037002844825555</v>
      </c>
      <c r="P45" s="604">
        <v>0.76663255115342976</v>
      </c>
      <c r="Q45" s="606">
        <v>0.1834006552881324</v>
      </c>
      <c r="R45" s="606">
        <v>0.12483216148034813</v>
      </c>
      <c r="S45" s="606">
        <v>1.4768715312865321</v>
      </c>
      <c r="T45" s="606">
        <v>0.45883343291602746</v>
      </c>
      <c r="U45" s="606">
        <v>0.23045993001985984</v>
      </c>
      <c r="V45" s="606">
        <v>0.11385997465250111</v>
      </c>
      <c r="W45" s="606">
        <v>0.48523855211489203</v>
      </c>
      <c r="X45" s="606">
        <v>0.87459280939629513</v>
      </c>
      <c r="Y45" s="607">
        <v>0.47206472657884763</v>
      </c>
      <c r="Z45" s="2292"/>
    </row>
    <row r="46" spans="1:26">
      <c r="A46" s="610">
        <v>40543</v>
      </c>
      <c r="B46" s="611"/>
      <c r="C46" s="603">
        <v>1.4364998128787911</v>
      </c>
      <c r="D46" s="604">
        <v>0.73870303716282781</v>
      </c>
      <c r="E46" s="605">
        <v>0.22752002270317084</v>
      </c>
      <c r="F46" s="605">
        <v>0.23093979632607184</v>
      </c>
      <c r="G46" s="605">
        <v>0.68510588352209834</v>
      </c>
      <c r="H46" s="604">
        <v>0.75303478530892609</v>
      </c>
      <c r="I46" s="604">
        <v>0.81679234077970664</v>
      </c>
      <c r="J46" s="604">
        <v>0.30539498201739218</v>
      </c>
      <c r="K46" s="604">
        <v>0.15548910473671795</v>
      </c>
      <c r="L46" s="604">
        <v>0.88285306016742993</v>
      </c>
      <c r="M46" s="604">
        <v>1.4254705392382319</v>
      </c>
      <c r="N46" s="604">
        <v>1.8823935019704841</v>
      </c>
      <c r="O46" s="604">
        <v>0.19840919953062697</v>
      </c>
      <c r="P46" s="604">
        <v>0.76623620329556186</v>
      </c>
      <c r="Q46" s="606">
        <v>0.17952930608143089</v>
      </c>
      <c r="R46" s="606">
        <v>0.30884526275740237</v>
      </c>
      <c r="S46" s="606">
        <v>1.0958352783266365</v>
      </c>
      <c r="T46" s="606">
        <v>0.43071280772424281</v>
      </c>
      <c r="U46" s="606">
        <v>0.23702861084558635</v>
      </c>
      <c r="V46" s="606">
        <v>0.10065897651607288</v>
      </c>
      <c r="W46" s="606">
        <v>0.4593032902275383</v>
      </c>
      <c r="X46" s="606">
        <v>0.94860987213186798</v>
      </c>
      <c r="Y46" s="607">
        <v>1.0250669336559239</v>
      </c>
      <c r="Z46" s="2292"/>
    </row>
    <row r="47" spans="1:26">
      <c r="A47" s="610">
        <v>40633</v>
      </c>
      <c r="B47" s="611"/>
      <c r="C47" s="603">
        <v>1.2445867991012294</v>
      </c>
      <c r="D47" s="604">
        <v>0.74795395221043892</v>
      </c>
      <c r="E47" s="605">
        <v>0.17796577272913486</v>
      </c>
      <c r="F47" s="605">
        <v>0.22595461999898547</v>
      </c>
      <c r="G47" s="605">
        <v>0.59128071894987022</v>
      </c>
      <c r="H47" s="604">
        <v>0.81593895839497443</v>
      </c>
      <c r="I47" s="604">
        <v>0.75056920725616838</v>
      </c>
      <c r="J47" s="604">
        <v>0.34125306951835449</v>
      </c>
      <c r="K47" s="604">
        <v>0.16201250273483445</v>
      </c>
      <c r="L47" s="604">
        <v>0.91748215422313695</v>
      </c>
      <c r="M47" s="604">
        <v>1.1451338238289197</v>
      </c>
      <c r="N47" s="604">
        <v>1.6022747261460433</v>
      </c>
      <c r="O47" s="604">
        <v>0.19582324816515739</v>
      </c>
      <c r="P47" s="604">
        <v>0.7172325713083969</v>
      </c>
      <c r="Q47" s="606">
        <v>0.16060351302013395</v>
      </c>
      <c r="R47" s="606">
        <v>1.0391760575044549</v>
      </c>
      <c r="S47" s="606">
        <v>1.0179860313393303</v>
      </c>
      <c r="T47" s="606">
        <v>0.40377740470171375</v>
      </c>
      <c r="U47" s="606">
        <v>0.22437017285769875</v>
      </c>
      <c r="V47" s="606">
        <v>7.7961342222613195E-2</v>
      </c>
      <c r="W47" s="606">
        <v>0.4460639750558138</v>
      </c>
      <c r="X47" s="606">
        <v>0.86942119826730524</v>
      </c>
      <c r="Y47" s="607">
        <v>1.0176955449522307</v>
      </c>
      <c r="Z47" s="2292"/>
    </row>
    <row r="48" spans="1:26">
      <c r="A48" s="610">
        <v>40724</v>
      </c>
      <c r="B48" s="611"/>
      <c r="C48" s="603">
        <v>1.2928749206954782</v>
      </c>
      <c r="D48" s="604">
        <v>0.93091011042245375</v>
      </c>
      <c r="E48" s="605">
        <v>0.23950220847699055</v>
      </c>
      <c r="F48" s="605">
        <v>0.22133776428852209</v>
      </c>
      <c r="G48" s="605">
        <v>0.58154688981992608</v>
      </c>
      <c r="H48" s="604">
        <v>0.72866916673781523</v>
      </c>
      <c r="I48" s="604">
        <v>0.80751082962001197</v>
      </c>
      <c r="J48" s="604">
        <v>0.40829334944564682</v>
      </c>
      <c r="K48" s="604">
        <v>0.16774273081083288</v>
      </c>
      <c r="L48" s="604">
        <v>0.9543270939176981</v>
      </c>
      <c r="M48" s="604">
        <v>1.3834252277685712</v>
      </c>
      <c r="N48" s="604">
        <v>1.8476720796595707</v>
      </c>
      <c r="O48" s="604">
        <v>0.23954078383616867</v>
      </c>
      <c r="P48" s="604">
        <v>0.90531706278664803</v>
      </c>
      <c r="Q48" s="606">
        <v>6.2789344717267603E-2</v>
      </c>
      <c r="R48" s="606">
        <v>1.4724286918436673</v>
      </c>
      <c r="S48" s="606">
        <v>0.92866686589324365</v>
      </c>
      <c r="T48" s="606">
        <v>0.40215697181336374</v>
      </c>
      <c r="U48" s="606">
        <v>0.37924054007576063</v>
      </c>
      <c r="V48" s="606">
        <v>0.31892676228435574</v>
      </c>
      <c r="W48" s="606">
        <v>0.51115030080250168</v>
      </c>
      <c r="X48" s="606">
        <v>0.84603223093113578</v>
      </c>
      <c r="Y48" s="607">
        <v>1.1156600687446578</v>
      </c>
      <c r="Z48" s="2292"/>
    </row>
    <row r="49" spans="1:26">
      <c r="A49" s="610">
        <v>40816</v>
      </c>
      <c r="B49" s="611"/>
      <c r="C49" s="603">
        <v>1.5685774273678457</v>
      </c>
      <c r="D49" s="604">
        <v>1.0514828387176673</v>
      </c>
      <c r="E49" s="605">
        <v>0.22512331350756351</v>
      </c>
      <c r="F49" s="605">
        <v>0.24447618655799022</v>
      </c>
      <c r="G49" s="605">
        <v>0.87010921054006918</v>
      </c>
      <c r="H49" s="604">
        <v>0.7624833965425023</v>
      </c>
      <c r="I49" s="604">
        <v>0.96010021367625598</v>
      </c>
      <c r="J49" s="604">
        <v>0.26609032366825586</v>
      </c>
      <c r="K49" s="604">
        <v>0.20479139995154541</v>
      </c>
      <c r="L49" s="604">
        <v>1.0255734018413571</v>
      </c>
      <c r="M49" s="604">
        <v>2.7897328039306646</v>
      </c>
      <c r="N49" s="604">
        <v>2.1715293848767288</v>
      </c>
      <c r="O49" s="604">
        <v>0.20641666965742314</v>
      </c>
      <c r="P49" s="604">
        <v>0.99656876067303668</v>
      </c>
      <c r="Q49" s="606">
        <v>0.13407711127170796</v>
      </c>
      <c r="R49" s="606">
        <v>1.7608953504538458</v>
      </c>
      <c r="S49" s="606">
        <v>1.1186846577180489</v>
      </c>
      <c r="T49" s="606">
        <v>0.40039767908666435</v>
      </c>
      <c r="U49" s="606">
        <v>0.37708437982469101</v>
      </c>
      <c r="V49" s="606">
        <v>0.289470990715534</v>
      </c>
      <c r="W49" s="606">
        <v>0.50179150923075688</v>
      </c>
      <c r="X49" s="606">
        <v>1.0139256415952984</v>
      </c>
      <c r="Y49" s="607">
        <v>1.1628251709809074</v>
      </c>
      <c r="Z49" s="2292"/>
    </row>
    <row r="50" spans="1:26">
      <c r="A50" s="610">
        <v>40908</v>
      </c>
      <c r="B50" s="611"/>
      <c r="C50" s="603">
        <v>1.4776082032995426</v>
      </c>
      <c r="D50" s="604">
        <v>0.83457400918330871</v>
      </c>
      <c r="E50" s="605">
        <v>0.24579504761808413</v>
      </c>
      <c r="F50" s="605">
        <v>0.27440927047563379</v>
      </c>
      <c r="G50" s="605">
        <v>0.78956322841910731</v>
      </c>
      <c r="H50" s="604">
        <v>0.7596911319495665</v>
      </c>
      <c r="I50" s="604">
        <v>1.1231815193292525</v>
      </c>
      <c r="J50" s="604">
        <v>0.37151849906725343</v>
      </c>
      <c r="K50" s="604">
        <v>0.23929564659966665</v>
      </c>
      <c r="L50" s="604">
        <v>1.1121314776947089</v>
      </c>
      <c r="M50" s="604">
        <v>2.8078764054564718</v>
      </c>
      <c r="N50" s="604">
        <v>2.155860414664124</v>
      </c>
      <c r="O50" s="604">
        <v>0.18906892063005462</v>
      </c>
      <c r="P50" s="604">
        <v>1.048217559030429</v>
      </c>
      <c r="Q50" s="606">
        <v>0.11402249017231224</v>
      </c>
      <c r="R50" s="606">
        <v>1.8686623201076022</v>
      </c>
      <c r="S50" s="606">
        <v>0.97835550473189536</v>
      </c>
      <c r="T50" s="606">
        <v>0.38293690434666139</v>
      </c>
      <c r="U50" s="606">
        <v>0.36390427600390368</v>
      </c>
      <c r="V50" s="606">
        <v>0.28313582081174365</v>
      </c>
      <c r="W50" s="606">
        <v>0.48651634645809033</v>
      </c>
      <c r="X50" s="606">
        <v>0.98677367603129529</v>
      </c>
      <c r="Y50" s="607">
        <v>1.1708408256574923</v>
      </c>
      <c r="Z50" s="2292"/>
    </row>
    <row r="51" spans="1:26">
      <c r="A51" s="610">
        <v>40999</v>
      </c>
      <c r="B51" s="611"/>
      <c r="C51" s="603">
        <v>1.3948879257405247</v>
      </c>
      <c r="D51" s="604">
        <v>0.87140411540149809</v>
      </c>
      <c r="E51" s="605">
        <v>0.205223966234448</v>
      </c>
      <c r="F51" s="605">
        <v>0.35430780101575221</v>
      </c>
      <c r="G51" s="605">
        <v>0.74121796052753874</v>
      </c>
      <c r="H51" s="604">
        <v>0.87530292585387726</v>
      </c>
      <c r="I51" s="604">
        <v>1.2266714669222101</v>
      </c>
      <c r="J51" s="604">
        <v>0.3143008819077201</v>
      </c>
      <c r="K51" s="604">
        <v>0.23225611380902522</v>
      </c>
      <c r="L51" s="604">
        <v>1.2312001906450707</v>
      </c>
      <c r="M51" s="604">
        <v>2.4607456288218645</v>
      </c>
      <c r="N51" s="604">
        <v>1.9865869392769591</v>
      </c>
      <c r="O51" s="604">
        <v>0.20248387132507051</v>
      </c>
      <c r="P51" s="604">
        <v>1.1888971233612622</v>
      </c>
      <c r="Q51" s="606">
        <v>0.21135717162352624</v>
      </c>
      <c r="R51" s="606">
        <v>1.9696005033190365</v>
      </c>
      <c r="S51" s="606">
        <v>0.89184271137647719</v>
      </c>
      <c r="T51" s="606">
        <v>0.36792898780122263</v>
      </c>
      <c r="U51" s="606">
        <v>0.41353921054532566</v>
      </c>
      <c r="V51" s="606">
        <v>0.28273314392136306</v>
      </c>
      <c r="W51" s="606">
        <v>0.47526600771354283</v>
      </c>
      <c r="X51" s="606">
        <v>1.0992775819758946</v>
      </c>
      <c r="Y51" s="607">
        <v>0.98980816537504868</v>
      </c>
      <c r="Z51" s="2292"/>
    </row>
    <row r="52" spans="1:26">
      <c r="A52" s="610">
        <v>41090</v>
      </c>
      <c r="B52" s="611"/>
      <c r="C52" s="603">
        <v>1.5319740331339313</v>
      </c>
      <c r="D52" s="604">
        <v>1.0071088002139288</v>
      </c>
      <c r="E52" s="605">
        <v>0.27897852816700225</v>
      </c>
      <c r="F52" s="605">
        <v>0.47394875443842399</v>
      </c>
      <c r="G52" s="605">
        <v>0.68759105219561656</v>
      </c>
      <c r="H52" s="604">
        <v>0.88290409683143534</v>
      </c>
      <c r="I52" s="604">
        <v>1.4934602377581869</v>
      </c>
      <c r="J52" s="604">
        <v>0.40997992303340675</v>
      </c>
      <c r="K52" s="604">
        <v>0.2263894909997336</v>
      </c>
      <c r="L52" s="604">
        <v>1.3706234847094692</v>
      </c>
      <c r="M52" s="604">
        <v>3.7898087500569511</v>
      </c>
      <c r="N52" s="604">
        <v>2.3080644395535086</v>
      </c>
      <c r="O52" s="604">
        <v>0.26118526466193287</v>
      </c>
      <c r="P52" s="604">
        <v>1.3709068594661011</v>
      </c>
      <c r="Q52" s="606">
        <v>0.21442432533481823</v>
      </c>
      <c r="R52" s="606">
        <v>2.6056275899263981</v>
      </c>
      <c r="S52" s="606">
        <v>0.95082877535150412</v>
      </c>
      <c r="T52" s="606">
        <v>0.33671146793778922</v>
      </c>
      <c r="U52" s="606">
        <v>0.42902256786451315</v>
      </c>
      <c r="V52" s="606">
        <v>0.46289671381835562</v>
      </c>
      <c r="W52" s="606">
        <v>0.47997287707435426</v>
      </c>
      <c r="X52" s="606">
        <v>1.0333395586021583</v>
      </c>
      <c r="Y52" s="607">
        <v>1.0400764622941663</v>
      </c>
      <c r="Z52" s="2292"/>
    </row>
    <row r="53" spans="1:26">
      <c r="A53" s="610">
        <v>41182</v>
      </c>
      <c r="B53" s="611"/>
      <c r="C53" s="603">
        <v>1.3358112038257617</v>
      </c>
      <c r="D53" s="604">
        <v>1.354386624000776</v>
      </c>
      <c r="E53" s="605">
        <v>0.23257945623174781</v>
      </c>
      <c r="F53" s="605">
        <v>0.54579341187515817</v>
      </c>
      <c r="G53" s="605">
        <v>0.77399917833630816</v>
      </c>
      <c r="H53" s="604">
        <v>0.86988985344672065</v>
      </c>
      <c r="I53" s="604">
        <v>1.4305436735474375</v>
      </c>
      <c r="J53" s="604">
        <v>0.35068127578958003</v>
      </c>
      <c r="K53" s="604">
        <v>0.20767238350493314</v>
      </c>
      <c r="L53" s="604">
        <v>1.5102308078471314</v>
      </c>
      <c r="M53" s="604">
        <v>2.4432036195119964</v>
      </c>
      <c r="N53" s="604">
        <v>2.2398034580332675</v>
      </c>
      <c r="O53" s="604">
        <v>0.23342813473712049</v>
      </c>
      <c r="P53" s="604">
        <v>1.754676769573092</v>
      </c>
      <c r="Q53" s="606">
        <v>0.27430491945727442</v>
      </c>
      <c r="R53" s="606">
        <v>2.2899328783409052</v>
      </c>
      <c r="S53" s="606">
        <v>0.84340939371429458</v>
      </c>
      <c r="T53" s="606">
        <v>0.30583401265956645</v>
      </c>
      <c r="U53" s="606">
        <v>0.38800936651370022</v>
      </c>
      <c r="V53" s="606">
        <v>0.3930518257608947</v>
      </c>
      <c r="W53" s="606">
        <v>0.47628622826617545</v>
      </c>
      <c r="X53" s="606">
        <v>0.92537121281834678</v>
      </c>
      <c r="Y53" s="607">
        <v>0.88227196376112038</v>
      </c>
      <c r="Z53" s="2292"/>
    </row>
    <row r="54" spans="1:26">
      <c r="A54" s="610">
        <v>41274</v>
      </c>
      <c r="B54" s="611"/>
      <c r="C54" s="603">
        <v>1.4277167320230617</v>
      </c>
      <c r="D54" s="604">
        <v>1.2916837543454758</v>
      </c>
      <c r="E54" s="605">
        <v>0.27694187325350006</v>
      </c>
      <c r="F54" s="605">
        <v>0.64598317827804319</v>
      </c>
      <c r="G54" s="605">
        <v>0.73307452108119331</v>
      </c>
      <c r="H54" s="604">
        <v>0.89129045777374927</v>
      </c>
      <c r="I54" s="604">
        <v>1.3805295920506238</v>
      </c>
      <c r="J54" s="604">
        <v>0.34748385931355136</v>
      </c>
      <c r="K54" s="604">
        <v>0.19137417374896731</v>
      </c>
      <c r="L54" s="604">
        <v>1.6841274181523569</v>
      </c>
      <c r="M54" s="604">
        <v>1.3479311569455394</v>
      </c>
      <c r="N54" s="604">
        <v>2.4478814124011592</v>
      </c>
      <c r="O54" s="604">
        <v>0.27983713025357004</v>
      </c>
      <c r="P54" s="604">
        <v>2.7411219764621686</v>
      </c>
      <c r="Q54" s="606">
        <v>0.33551054573496281</v>
      </c>
      <c r="R54" s="606">
        <v>2.5931648819886353</v>
      </c>
      <c r="S54" s="606">
        <v>0.78815939722149586</v>
      </c>
      <c r="T54" s="606">
        <v>0.34107630970847519</v>
      </c>
      <c r="U54" s="606">
        <v>0.35703095280027208</v>
      </c>
      <c r="V54" s="606">
        <v>0.38704176290213793</v>
      </c>
      <c r="W54" s="606">
        <v>0.43077100342297192</v>
      </c>
      <c r="X54" s="606">
        <v>0.87017109987581576</v>
      </c>
      <c r="Y54" s="607">
        <v>0.72010766569285256</v>
      </c>
      <c r="Z54" s="2292"/>
    </row>
    <row r="55" spans="1:26">
      <c r="A55" s="610">
        <v>41364</v>
      </c>
      <c r="B55" s="611"/>
      <c r="C55" s="603">
        <v>1.4766695542410482</v>
      </c>
      <c r="D55" s="604">
        <v>1.5867531491598423</v>
      </c>
      <c r="E55" s="605">
        <v>0.28258934408196806</v>
      </c>
      <c r="F55" s="605">
        <v>0.74493301944089252</v>
      </c>
      <c r="G55" s="605">
        <v>0.67978028832308623</v>
      </c>
      <c r="H55" s="604">
        <v>0.81626281227961672</v>
      </c>
      <c r="I55" s="604">
        <v>1.3316619996241057</v>
      </c>
      <c r="J55" s="604">
        <v>0.38746124209036659</v>
      </c>
      <c r="K55" s="604">
        <v>0.1665590744809394</v>
      </c>
      <c r="L55" s="604">
        <v>1.7840396628007362</v>
      </c>
      <c r="M55" s="604">
        <v>1.4044953794465365</v>
      </c>
      <c r="N55" s="604">
        <v>3.0645221972696159</v>
      </c>
      <c r="O55" s="604">
        <v>0.22557279458743068</v>
      </c>
      <c r="P55" s="604">
        <v>3.9588003524370663</v>
      </c>
      <c r="Q55" s="606">
        <v>0.60654334008047517</v>
      </c>
      <c r="R55" s="606">
        <v>2.39418667106326</v>
      </c>
      <c r="S55" s="606">
        <v>0.65656354100523684</v>
      </c>
      <c r="T55" s="606">
        <v>0.37330976921347186</v>
      </c>
      <c r="U55" s="606">
        <v>0.31789255218062606</v>
      </c>
      <c r="V55" s="606">
        <v>0.31765630472387318</v>
      </c>
      <c r="W55" s="606">
        <v>0.38030528314215301</v>
      </c>
      <c r="X55" s="606">
        <v>0.78576962198583256</v>
      </c>
      <c r="Y55" s="607">
        <v>0.89720817843128697</v>
      </c>
      <c r="Z55" s="2292"/>
    </row>
    <row r="56" spans="1:26">
      <c r="A56" s="610">
        <v>41455</v>
      </c>
      <c r="B56" s="611"/>
      <c r="C56" s="603">
        <v>1.4434918027375232</v>
      </c>
      <c r="D56" s="604">
        <v>1.6538669622140025</v>
      </c>
      <c r="E56" s="605">
        <v>0.40363413803173109</v>
      </c>
      <c r="F56" s="605">
        <v>0.86484786248949364</v>
      </c>
      <c r="G56" s="605">
        <v>0.93513368981490552</v>
      </c>
      <c r="H56" s="604">
        <v>0.78306978260100069</v>
      </c>
      <c r="I56" s="604">
        <v>1.3769796566718662</v>
      </c>
      <c r="J56" s="604">
        <v>0.47192627579013768</v>
      </c>
      <c r="K56" s="604">
        <v>0.14713563987481829</v>
      </c>
      <c r="L56" s="604">
        <v>1.8985032535055446</v>
      </c>
      <c r="M56" s="604">
        <v>0.79183651371359054</v>
      </c>
      <c r="N56" s="604">
        <v>3.1105080681940231</v>
      </c>
      <c r="O56" s="604">
        <v>0.24706563852497943</v>
      </c>
      <c r="P56" s="604">
        <v>1.7265685441288092</v>
      </c>
      <c r="Q56" s="606">
        <v>0.51970143304537764</v>
      </c>
      <c r="R56" s="606">
        <v>3.0107048010789441</v>
      </c>
      <c r="S56" s="606">
        <v>0.59780233808783556</v>
      </c>
      <c r="T56" s="606">
        <v>0.37330976921347186</v>
      </c>
      <c r="U56" s="606">
        <v>0.39445897122605489</v>
      </c>
      <c r="V56" s="606">
        <v>0.3940718629057372</v>
      </c>
      <c r="W56" s="606">
        <v>0.43600227654944312</v>
      </c>
      <c r="X56" s="606">
        <v>0.86941660922216346</v>
      </c>
      <c r="Y56" s="607">
        <v>0.66808457644130204</v>
      </c>
      <c r="Z56" s="2292"/>
    </row>
    <row r="57" spans="1:26">
      <c r="A57" s="1743"/>
      <c r="B57" s="1743"/>
      <c r="C57" s="604"/>
      <c r="D57" s="604"/>
      <c r="E57" s="604"/>
      <c r="F57" s="604"/>
      <c r="G57" s="604"/>
      <c r="H57" s="604"/>
      <c r="I57" s="604"/>
      <c r="J57" s="604"/>
      <c r="K57" s="604"/>
      <c r="L57" s="604"/>
      <c r="M57" s="604"/>
      <c r="N57" s="604"/>
      <c r="O57" s="604"/>
      <c r="P57" s="604"/>
      <c r="Q57" s="606"/>
      <c r="R57" s="606"/>
      <c r="S57" s="606"/>
      <c r="T57" s="606"/>
      <c r="U57" s="606"/>
      <c r="V57" s="606"/>
      <c r="W57" s="606"/>
      <c r="X57" s="606"/>
      <c r="Y57" s="606"/>
      <c r="Z57" s="2292"/>
    </row>
    <row r="58" spans="1:26">
      <c r="A58" s="1343" t="s">
        <v>1487</v>
      </c>
      <c r="B58"/>
      <c r="C58" s="475" t="s">
        <v>1715</v>
      </c>
      <c r="D58" s="475"/>
      <c r="E58"/>
      <c r="F58"/>
      <c r="G58"/>
      <c r="H58"/>
      <c r="I58"/>
      <c r="J58"/>
      <c r="K58"/>
      <c r="L58"/>
      <c r="M58"/>
      <c r="N58"/>
      <c r="O58"/>
      <c r="P58"/>
      <c r="Q58"/>
      <c r="R58"/>
      <c r="S58"/>
      <c r="T58"/>
      <c r="U58"/>
      <c r="V58"/>
      <c r="W58"/>
      <c r="X58"/>
      <c r="Y58"/>
      <c r="Z58" s="2292"/>
    </row>
    <row r="59" spans="1:26" ht="13.5" thickBot="1">
      <c r="A59" s="593" t="s">
        <v>741</v>
      </c>
      <c r="B59" s="594"/>
      <c r="C59" s="595" t="s">
        <v>52</v>
      </c>
      <c r="D59" s="595" t="s">
        <v>276</v>
      </c>
      <c r="E59" s="596" t="s">
        <v>750</v>
      </c>
      <c r="F59" s="596" t="s">
        <v>751</v>
      </c>
      <c r="G59" s="596" t="s">
        <v>752</v>
      </c>
      <c r="H59" s="595" t="s">
        <v>39</v>
      </c>
      <c r="I59" s="595" t="s">
        <v>53</v>
      </c>
      <c r="J59" s="595" t="s">
        <v>283</v>
      </c>
      <c r="K59" s="595" t="s">
        <v>285</v>
      </c>
      <c r="L59" s="595" t="s">
        <v>286</v>
      </c>
      <c r="M59" s="595" t="s">
        <v>42</v>
      </c>
      <c r="N59" s="595" t="s">
        <v>284</v>
      </c>
      <c r="O59" s="595" t="s">
        <v>279</v>
      </c>
      <c r="P59" s="595" t="s">
        <v>44</v>
      </c>
      <c r="Q59" s="597" t="s">
        <v>287</v>
      </c>
      <c r="R59" s="597" t="s">
        <v>54</v>
      </c>
      <c r="S59" s="597" t="s">
        <v>50</v>
      </c>
      <c r="T59" s="597" t="s">
        <v>277</v>
      </c>
      <c r="U59" s="597" t="s">
        <v>282</v>
      </c>
      <c r="V59" s="597" t="s">
        <v>280</v>
      </c>
      <c r="W59" s="597" t="s">
        <v>288</v>
      </c>
      <c r="X59" s="597" t="s">
        <v>353</v>
      </c>
      <c r="Y59" s="597" t="s">
        <v>354</v>
      </c>
      <c r="Z59" s="2292"/>
    </row>
    <row r="60" spans="1:26">
      <c r="A60" s="608">
        <v>40178</v>
      </c>
      <c r="B60" s="609"/>
      <c r="C60" s="598">
        <v>0.98417970782768804</v>
      </c>
      <c r="D60" s="599">
        <v>0.71427314314950685</v>
      </c>
      <c r="E60" s="600">
        <v>0.21701981100538817</v>
      </c>
      <c r="F60" s="600">
        <v>0.10016976121267313</v>
      </c>
      <c r="G60" s="600">
        <v>0.99840846543743611</v>
      </c>
      <c r="H60" s="599">
        <v>0.69445969306698496</v>
      </c>
      <c r="I60" s="599">
        <v>0.51449065307322694</v>
      </c>
      <c r="J60" s="599">
        <v>0.289288638232016</v>
      </c>
      <c r="K60" s="599">
        <v>0.14600621526193461</v>
      </c>
      <c r="L60" s="599">
        <v>0.7133751988263215</v>
      </c>
      <c r="M60" s="599">
        <v>0.89572080523073827</v>
      </c>
      <c r="N60" s="599">
        <v>1.7380066722148264</v>
      </c>
      <c r="O60" s="599">
        <v>0.20759023926951711</v>
      </c>
      <c r="P60" s="601">
        <v>0.55372785782089662</v>
      </c>
      <c r="Q60" s="599">
        <v>0.19620494360994459</v>
      </c>
      <c r="R60" s="599">
        <v>0.74636029262142722</v>
      </c>
      <c r="S60" s="599">
        <v>1.0904136047156092</v>
      </c>
      <c r="T60" s="599">
        <v>0.40501966742075035</v>
      </c>
      <c r="U60" s="599">
        <v>0.21193555914318188</v>
      </c>
      <c r="V60" s="599">
        <v>3.7564374194783277E-2</v>
      </c>
      <c r="W60" s="599">
        <v>0.46404985655227776</v>
      </c>
      <c r="X60" s="599">
        <v>0.43031850817305062</v>
      </c>
      <c r="Y60" s="602">
        <v>0.70318404034434789</v>
      </c>
      <c r="Z60" s="2292"/>
    </row>
    <row r="61" spans="1:26">
      <c r="A61" s="610">
        <v>40268</v>
      </c>
      <c r="B61" s="611"/>
      <c r="C61" s="603">
        <v>0.99348131071492929</v>
      </c>
      <c r="D61" s="604">
        <v>0.64734766584468884</v>
      </c>
      <c r="E61" s="605">
        <v>0.15586972011562419</v>
      </c>
      <c r="F61" s="605">
        <v>0.11121793475511355</v>
      </c>
      <c r="G61" s="605">
        <v>0.85005897139022013</v>
      </c>
      <c r="H61" s="604">
        <v>0.69655580473514778</v>
      </c>
      <c r="I61" s="604">
        <v>0.60474071600956003</v>
      </c>
      <c r="J61" s="604">
        <v>0.34359200490454145</v>
      </c>
      <c r="K61" s="604">
        <v>0.1719401824063467</v>
      </c>
      <c r="L61" s="604">
        <v>0.80792532848108778</v>
      </c>
      <c r="M61" s="604">
        <v>1.0004479538280329</v>
      </c>
      <c r="N61" s="604">
        <v>1.7549137096421026</v>
      </c>
      <c r="O61" s="604">
        <v>0.16981733500923554</v>
      </c>
      <c r="P61" s="604">
        <v>0.58732957201813563</v>
      </c>
      <c r="Q61" s="606">
        <v>0.16151775439459695</v>
      </c>
      <c r="R61" s="606">
        <v>0.76263996099996301</v>
      </c>
      <c r="S61" s="606">
        <v>1.0825427403132248</v>
      </c>
      <c r="T61" s="606">
        <v>0.40501966742075035</v>
      </c>
      <c r="U61" s="606">
        <v>0.20765554429768196</v>
      </c>
      <c r="V61" s="606">
        <v>6.171507381665127E-2</v>
      </c>
      <c r="W61" s="606">
        <v>0.44743975962847821</v>
      </c>
      <c r="X61" s="606">
        <v>0.4678241070206593</v>
      </c>
      <c r="Y61" s="607">
        <v>0.77035570393339703</v>
      </c>
      <c r="Z61" s="2292"/>
    </row>
    <row r="62" spans="1:26">
      <c r="A62" s="610">
        <v>40359</v>
      </c>
      <c r="B62" s="611"/>
      <c r="C62" s="603">
        <v>1.1398511266263349</v>
      </c>
      <c r="D62" s="604">
        <v>0.76837418932553025</v>
      </c>
      <c r="E62" s="605">
        <v>0.20576422101268799</v>
      </c>
      <c r="F62" s="605">
        <v>0.12334498618860748</v>
      </c>
      <c r="G62" s="605">
        <v>0.85318003045124824</v>
      </c>
      <c r="H62" s="604">
        <v>0.75770607919864474</v>
      </c>
      <c r="I62" s="604">
        <v>0.75975601365693057</v>
      </c>
      <c r="J62" s="604">
        <v>0.33971481020686578</v>
      </c>
      <c r="K62" s="604">
        <v>0.20583203045395818</v>
      </c>
      <c r="L62" s="604">
        <v>0.92328973846850082</v>
      </c>
      <c r="M62" s="604">
        <v>1.5041795928070005</v>
      </c>
      <c r="N62" s="604">
        <v>2.1270754174229194</v>
      </c>
      <c r="O62" s="604">
        <v>0.19690623673630128</v>
      </c>
      <c r="P62" s="604">
        <v>0.727785249074413</v>
      </c>
      <c r="Q62" s="606">
        <v>0.15544680852623388</v>
      </c>
      <c r="R62" s="606">
        <v>0.83082294206938134</v>
      </c>
      <c r="S62" s="606">
        <v>0.96456809188760995</v>
      </c>
      <c r="T62" s="606">
        <v>0.39934738659190844</v>
      </c>
      <c r="U62" s="606">
        <v>0.24188114961305343</v>
      </c>
      <c r="V62" s="606">
        <v>8.3351647264722759E-2</v>
      </c>
      <c r="W62" s="606">
        <v>0.50588933848820972</v>
      </c>
      <c r="X62" s="606">
        <v>0.53421686713638994</v>
      </c>
      <c r="Y62" s="607">
        <v>0.88025036358685516</v>
      </c>
      <c r="Z62" s="2292"/>
    </row>
    <row r="63" spans="1:26">
      <c r="A63" s="610">
        <v>40451</v>
      </c>
      <c r="B63" s="611"/>
      <c r="C63" s="603">
        <v>1.0615964839260699</v>
      </c>
      <c r="D63" s="604">
        <v>0.57784572286713165</v>
      </c>
      <c r="E63" s="605">
        <v>0.15792404693122084</v>
      </c>
      <c r="F63" s="605">
        <v>0.11046080226067022</v>
      </c>
      <c r="G63" s="605">
        <v>0.81369377131115672</v>
      </c>
      <c r="H63" s="604">
        <v>0.68835156696035926</v>
      </c>
      <c r="I63" s="604">
        <v>0.65740315239153302</v>
      </c>
      <c r="J63" s="604">
        <v>0.27613780739570803</v>
      </c>
      <c r="K63" s="604">
        <v>0.17757179808801998</v>
      </c>
      <c r="L63" s="604">
        <v>0.83248689455635583</v>
      </c>
      <c r="M63" s="604">
        <v>1.7490379904652795</v>
      </c>
      <c r="N63" s="604">
        <v>1.8568200815808145</v>
      </c>
      <c r="O63" s="604">
        <v>0.14042686856291156</v>
      </c>
      <c r="P63" s="604">
        <v>0.68279934346113491</v>
      </c>
      <c r="Q63" s="606">
        <v>0.16543847855163205</v>
      </c>
      <c r="R63" s="606">
        <v>8.9041031508732771E-2</v>
      </c>
      <c r="S63" s="606">
        <v>0.93064803480457947</v>
      </c>
      <c r="T63" s="606">
        <v>0.39384050191975684</v>
      </c>
      <c r="U63" s="606">
        <v>0.20258672106357095</v>
      </c>
      <c r="V63" s="606">
        <v>3.7852566371270921E-2</v>
      </c>
      <c r="W63" s="606">
        <v>0.45354472722716388</v>
      </c>
      <c r="X63" s="606">
        <v>0.54205409343477728</v>
      </c>
      <c r="Y63" s="607">
        <v>0.39082281746010195</v>
      </c>
      <c r="Z63" s="2292"/>
    </row>
    <row r="64" spans="1:26">
      <c r="A64" s="610">
        <v>40543</v>
      </c>
      <c r="B64" s="611"/>
      <c r="C64" s="603">
        <v>1.0873312323979629</v>
      </c>
      <c r="D64" s="604">
        <v>0.71954130925197612</v>
      </c>
      <c r="E64" s="605">
        <v>0.19338261527925202</v>
      </c>
      <c r="F64" s="605">
        <v>9.887166526889439E-2</v>
      </c>
      <c r="G64" s="605">
        <v>0.67527439381849741</v>
      </c>
      <c r="H64" s="604">
        <v>0.57649431208493929</v>
      </c>
      <c r="I64" s="604">
        <v>0.72303318185121868</v>
      </c>
      <c r="J64" s="604">
        <v>0.28689962290235832</v>
      </c>
      <c r="K64" s="604">
        <v>0.15543143272697152</v>
      </c>
      <c r="L64" s="604">
        <v>0.74937886052151093</v>
      </c>
      <c r="M64" s="604">
        <v>1.4254705392382319</v>
      </c>
      <c r="N64" s="604">
        <v>1.8452560882276241</v>
      </c>
      <c r="O64" s="604">
        <v>0.13475814866302402</v>
      </c>
      <c r="P64" s="604">
        <v>0.68212125314956273</v>
      </c>
      <c r="Q64" s="606">
        <v>0.16068779871449765</v>
      </c>
      <c r="R64" s="606">
        <v>0.2860831468753231</v>
      </c>
      <c r="S64" s="606">
        <v>0.68007423057978789</v>
      </c>
      <c r="T64" s="606">
        <v>0.36828803748329153</v>
      </c>
      <c r="U64" s="606">
        <v>0.20929102271222691</v>
      </c>
      <c r="V64" s="606">
        <v>2.7378167484697791E-2</v>
      </c>
      <c r="W64" s="606">
        <v>0.43049296591540598</v>
      </c>
      <c r="X64" s="606">
        <v>0.59930505468347339</v>
      </c>
      <c r="Y64" s="607">
        <v>0.9359339561954142</v>
      </c>
      <c r="Z64" s="2292"/>
    </row>
    <row r="65" spans="1:26">
      <c r="A65" s="610">
        <v>40633</v>
      </c>
      <c r="B65" s="611"/>
      <c r="C65" s="603">
        <v>0.93527108256100222</v>
      </c>
      <c r="D65" s="604">
        <v>0.7284454693428678</v>
      </c>
      <c r="E65" s="605">
        <v>0.14656511342922196</v>
      </c>
      <c r="F65" s="605">
        <v>0.10078607673162469</v>
      </c>
      <c r="G65" s="605">
        <v>0.58272418044850716</v>
      </c>
      <c r="H65" s="604">
        <v>0.61844890536873665</v>
      </c>
      <c r="I65" s="604">
        <v>0.65967536631639123</v>
      </c>
      <c r="J65" s="604">
        <v>0.31045504878555741</v>
      </c>
      <c r="K65" s="604">
        <v>0.14454162102314691</v>
      </c>
      <c r="L65" s="604">
        <v>0.78208288407858195</v>
      </c>
      <c r="M65" s="604">
        <v>1.1141561207866091</v>
      </c>
      <c r="N65" s="604">
        <v>1.5681988273530354</v>
      </c>
      <c r="O65" s="604">
        <v>0.13302357909056786</v>
      </c>
      <c r="P65" s="604">
        <v>0.63425504529311028</v>
      </c>
      <c r="Q65" s="606">
        <v>0.13940277621585975</v>
      </c>
      <c r="R65" s="606">
        <v>1.0174363679736369</v>
      </c>
      <c r="S65" s="606">
        <v>0.62702110364254304</v>
      </c>
      <c r="T65" s="606">
        <v>0.34514450680366437</v>
      </c>
      <c r="U65" s="606">
        <v>0.19642588735502564</v>
      </c>
      <c r="V65" s="606">
        <v>1.2069537848385698E-2</v>
      </c>
      <c r="W65" s="606">
        <v>0.41817500112217443</v>
      </c>
      <c r="X65" s="606">
        <v>0.5621953887381983</v>
      </c>
      <c r="Y65" s="607">
        <v>0.90870049305077549</v>
      </c>
      <c r="Z65" s="2292"/>
    </row>
    <row r="66" spans="1:26">
      <c r="A66" s="610">
        <v>40724</v>
      </c>
      <c r="B66" s="611"/>
      <c r="C66" s="603">
        <v>0.98197533860413877</v>
      </c>
      <c r="D66" s="604">
        <v>0.90806082500298058</v>
      </c>
      <c r="E66" s="605">
        <v>0.20628539200280735</v>
      </c>
      <c r="F66" s="605">
        <v>0.10255904541196192</v>
      </c>
      <c r="G66" s="605">
        <v>0.57305706934646394</v>
      </c>
      <c r="H66" s="604">
        <v>0.55010264554363408</v>
      </c>
      <c r="I66" s="604">
        <v>0.71024541528446594</v>
      </c>
      <c r="J66" s="604">
        <v>0.36546297899793978</v>
      </c>
      <c r="K66" s="604">
        <v>0.13497588476336175</v>
      </c>
      <c r="L66" s="604">
        <v>0.81687957190966931</v>
      </c>
      <c r="M66" s="604">
        <v>1.3074985396617089</v>
      </c>
      <c r="N66" s="604">
        <v>1.8080339124062212</v>
      </c>
      <c r="O66" s="604">
        <v>0.17739607388339207</v>
      </c>
      <c r="P66" s="604">
        <v>0.80067265636530915</v>
      </c>
      <c r="Q66" s="606">
        <v>3.6491245087439159E-2</v>
      </c>
      <c r="R66" s="606">
        <v>1.4478944081873544</v>
      </c>
      <c r="S66" s="606">
        <v>0.56360160727220798</v>
      </c>
      <c r="T66" s="606">
        <v>0.3419993269560746</v>
      </c>
      <c r="U66" s="606">
        <v>0.346577770851277</v>
      </c>
      <c r="V66" s="606">
        <v>0.2447457882491324</v>
      </c>
      <c r="W66" s="606">
        <v>0.4826324188271911</v>
      </c>
      <c r="X66" s="606">
        <v>0.54454672102361634</v>
      </c>
      <c r="Y66" s="607">
        <v>0.97292062624139886</v>
      </c>
      <c r="Z66" s="2292"/>
    </row>
    <row r="67" spans="1:26">
      <c r="A67" s="610">
        <v>40816</v>
      </c>
      <c r="B67" s="611"/>
      <c r="C67" s="603">
        <v>1.1896936765215209</v>
      </c>
      <c r="D67" s="604">
        <v>1.0249859556352805</v>
      </c>
      <c r="E67" s="605">
        <v>0.18904266665570013</v>
      </c>
      <c r="F67" s="605">
        <v>0.1124824003192514</v>
      </c>
      <c r="G67" s="605">
        <v>0.86024458086098921</v>
      </c>
      <c r="H67" s="604">
        <v>0.5793316428062748</v>
      </c>
      <c r="I67" s="604">
        <v>0.84404128309081594</v>
      </c>
      <c r="J67" s="604">
        <v>0.21774833127410506</v>
      </c>
      <c r="K67" s="604">
        <v>0.15741334415156744</v>
      </c>
      <c r="L67" s="604">
        <v>0.87729463864571344</v>
      </c>
      <c r="M67" s="604">
        <v>2.5608850141142909</v>
      </c>
      <c r="N67" s="604">
        <v>2.123847511470061</v>
      </c>
      <c r="O67" s="604">
        <v>0.14695414710916649</v>
      </c>
      <c r="P67" s="604">
        <v>0.88146905749329474</v>
      </c>
      <c r="Q67" s="606">
        <v>0.10516218534766321</v>
      </c>
      <c r="R67" s="606">
        <v>1.7320892120087228</v>
      </c>
      <c r="S67" s="606">
        <v>0.66860057729675504</v>
      </c>
      <c r="T67" s="606">
        <v>0.33858462705100117</v>
      </c>
      <c r="U67" s="606">
        <v>0.34407070300208065</v>
      </c>
      <c r="V67" s="606">
        <v>0.21890144756687505</v>
      </c>
      <c r="W67" s="606">
        <v>0.47328842342815702</v>
      </c>
      <c r="X67" s="606">
        <v>0.62450590206488754</v>
      </c>
      <c r="Y67" s="607">
        <v>0.98144428122990279</v>
      </c>
      <c r="Z67" s="2292"/>
    </row>
    <row r="68" spans="1:26">
      <c r="A68" s="610">
        <v>40908</v>
      </c>
      <c r="B68" s="611"/>
      <c r="C68" s="603">
        <v>1.1014789335967334</v>
      </c>
      <c r="D68" s="604">
        <v>0.81286302810589328</v>
      </c>
      <c r="E68" s="605">
        <v>0.20987537948027113</v>
      </c>
      <c r="F68" s="605">
        <v>0.12531977582070922</v>
      </c>
      <c r="G68" s="605">
        <v>0.78053726714633409</v>
      </c>
      <c r="H68" s="604">
        <v>0.57773531711652559</v>
      </c>
      <c r="I68" s="604">
        <v>0.99314647712611281</v>
      </c>
      <c r="J68" s="604">
        <v>0.31274437494657636</v>
      </c>
      <c r="K68" s="604">
        <v>0.17830984734166727</v>
      </c>
      <c r="L68" s="604">
        <v>0.95069369723029618</v>
      </c>
      <c r="M68" s="604">
        <v>2.4688426475689753</v>
      </c>
      <c r="N68" s="604">
        <v>2.1075628477263368</v>
      </c>
      <c r="O68" s="604">
        <v>0.13528397106724918</v>
      </c>
      <c r="P68" s="604">
        <v>0.91496228400639334</v>
      </c>
      <c r="Q68" s="606">
        <v>8.0768496776793555E-2</v>
      </c>
      <c r="R68" s="606">
        <v>1.8316316292194814</v>
      </c>
      <c r="S68" s="606">
        <v>0.56340233183749167</v>
      </c>
      <c r="T68" s="606">
        <v>0.32263615309142452</v>
      </c>
      <c r="U68" s="606">
        <v>0.33187656584426029</v>
      </c>
      <c r="V68" s="606">
        <v>0.22025609685362935</v>
      </c>
      <c r="W68" s="606">
        <v>0.45801303044901975</v>
      </c>
      <c r="X68" s="606">
        <v>0.62181543778801851</v>
      </c>
      <c r="Y68" s="607">
        <v>0.97525352989273062</v>
      </c>
      <c r="Z68" s="2292"/>
    </row>
    <row r="69" spans="1:26">
      <c r="A69" s="610">
        <v>40999</v>
      </c>
      <c r="B69" s="611"/>
      <c r="C69" s="603">
        <v>1.0268209219818318</v>
      </c>
      <c r="D69" s="604">
        <v>0.84862896802939491</v>
      </c>
      <c r="E69" s="605">
        <v>0.17158658678930566</v>
      </c>
      <c r="F69" s="605">
        <v>0.17608312371967302</v>
      </c>
      <c r="G69" s="605">
        <v>0.73287377398698939</v>
      </c>
      <c r="H69" s="604">
        <v>0.67365622713084516</v>
      </c>
      <c r="I69" s="604">
        <v>1.0828776757683531</v>
      </c>
      <c r="J69" s="604">
        <v>0.26824206152244484</v>
      </c>
      <c r="K69" s="604">
        <v>0.17522662929665092</v>
      </c>
      <c r="L69" s="604">
        <v>1.0487116289695591</v>
      </c>
      <c r="M69" s="604">
        <v>2.1429032367202003</v>
      </c>
      <c r="N69" s="604">
        <v>1.942836790714038</v>
      </c>
      <c r="O69" s="604">
        <v>0.15351740357157201</v>
      </c>
      <c r="P69" s="604">
        <v>1.0351313343842294</v>
      </c>
      <c r="Q69" s="606">
        <v>0.17856640772113438</v>
      </c>
      <c r="R69" s="606">
        <v>1.9331141942182588</v>
      </c>
      <c r="S69" s="606">
        <v>0.54711070281765983</v>
      </c>
      <c r="T69" s="606">
        <v>0.30699386055558647</v>
      </c>
      <c r="U69" s="606">
        <v>0.3812650959696921</v>
      </c>
      <c r="V69" s="606">
        <v>0.21469472329641573</v>
      </c>
      <c r="W69" s="606">
        <v>0.44671222080314266</v>
      </c>
      <c r="X69" s="606">
        <v>0.75873225637403452</v>
      </c>
      <c r="Y69" s="607">
        <v>0.79471045773516025</v>
      </c>
      <c r="Z69" s="2292"/>
    </row>
    <row r="70" spans="1:26">
      <c r="A70" s="610">
        <v>41090</v>
      </c>
      <c r="B70" s="611"/>
      <c r="C70" s="603">
        <v>1.1453992887330953</v>
      </c>
      <c r="D70" s="604">
        <v>0.98169584272923904</v>
      </c>
      <c r="E70" s="605">
        <v>0.24320340035769611</v>
      </c>
      <c r="F70" s="605">
        <v>0.25209672873221167</v>
      </c>
      <c r="G70" s="605">
        <v>0.68027867031394018</v>
      </c>
      <c r="H70" s="604">
        <v>0.68511586452762929</v>
      </c>
      <c r="I70" s="604">
        <v>1.3228068111185858</v>
      </c>
      <c r="J70" s="604">
        <v>0.36545609753107089</v>
      </c>
      <c r="K70" s="604">
        <v>0.17265712960869448</v>
      </c>
      <c r="L70" s="604">
        <v>1.1634855488502982</v>
      </c>
      <c r="M70" s="604">
        <v>3.264100161909488</v>
      </c>
      <c r="N70" s="604">
        <v>2.2595426754202665</v>
      </c>
      <c r="O70" s="604">
        <v>0.21231007809445962</v>
      </c>
      <c r="P70" s="604">
        <v>1.1982526202195876</v>
      </c>
      <c r="Q70" s="606">
        <v>0.17892816432354844</v>
      </c>
      <c r="R70" s="606">
        <v>2.5625912302655864</v>
      </c>
      <c r="S70" s="606">
        <v>0.58696432749500382</v>
      </c>
      <c r="T70" s="606">
        <v>0.27490348964840822</v>
      </c>
      <c r="U70" s="606">
        <v>0.39547045171112166</v>
      </c>
      <c r="V70" s="606">
        <v>0.371595449368048</v>
      </c>
      <c r="W70" s="606">
        <v>0.4519185227567411</v>
      </c>
      <c r="X70" s="606">
        <v>0.73412731786116003</v>
      </c>
      <c r="Y70" s="607">
        <v>0.80000413270831994</v>
      </c>
      <c r="Z70" s="2292"/>
    </row>
    <row r="71" spans="1:26">
      <c r="A71" s="610">
        <v>41182</v>
      </c>
      <c r="B71" s="611"/>
      <c r="C71" s="603">
        <v>0.98699543403104284</v>
      </c>
      <c r="D71" s="604">
        <v>1.3188437722695081</v>
      </c>
      <c r="E71" s="605">
        <v>0.19906571161631889</v>
      </c>
      <c r="F71" s="605">
        <v>0.28820127320261524</v>
      </c>
      <c r="G71" s="605">
        <v>0.76693704142263075</v>
      </c>
      <c r="H71" s="604">
        <v>0.68161023390554865</v>
      </c>
      <c r="I71" s="604">
        <v>1.2587727310031156</v>
      </c>
      <c r="J71" s="604">
        <v>0.31726346578726161</v>
      </c>
      <c r="K71" s="604">
        <v>0.15629841939681782</v>
      </c>
      <c r="L71" s="604">
        <v>1.2703959834341092</v>
      </c>
      <c r="M71" s="604">
        <v>2.0690052621483157</v>
      </c>
      <c r="N71" s="604">
        <v>2.1927018986660003</v>
      </c>
      <c r="O71" s="604">
        <v>0.19049483776493628</v>
      </c>
      <c r="P71" s="604">
        <v>1.5291653934880558</v>
      </c>
      <c r="Q71" s="606">
        <v>0.24117687689134285</v>
      </c>
      <c r="R71" s="606">
        <v>2.2513384555927218</v>
      </c>
      <c r="S71" s="606">
        <v>0.51819730040506795</v>
      </c>
      <c r="T71" s="606">
        <v>0.24316269163233536</v>
      </c>
      <c r="U71" s="606">
        <v>0.35688603565804183</v>
      </c>
      <c r="V71" s="606">
        <v>0.30480501879459238</v>
      </c>
      <c r="W71" s="606">
        <v>0.44726674972611419</v>
      </c>
      <c r="X71" s="606">
        <v>0.65970757270813196</v>
      </c>
      <c r="Y71" s="607">
        <v>0.67566397399736122</v>
      </c>
      <c r="Z71" s="2292"/>
    </row>
    <row r="72" spans="1:26">
      <c r="A72" s="610">
        <v>41274</v>
      </c>
      <c r="B72" s="611"/>
      <c r="C72" s="603">
        <v>1.0388813185461867</v>
      </c>
      <c r="D72" s="604">
        <v>1.2579220421764652</v>
      </c>
      <c r="E72" s="605">
        <v>0.23923605405891624</v>
      </c>
      <c r="F72" s="605">
        <v>0.33855026233597824</v>
      </c>
      <c r="G72" s="605">
        <v>0.72637190523911832</v>
      </c>
      <c r="H72" s="604">
        <v>0.69539551357733187</v>
      </c>
      <c r="I72" s="604">
        <v>1.2015070473213181</v>
      </c>
      <c r="J72" s="604">
        <v>0.31951574428498886</v>
      </c>
      <c r="K72" s="604">
        <v>0.14205382041461442</v>
      </c>
      <c r="L72" s="604">
        <v>1.4035649445068108</v>
      </c>
      <c r="M72" s="604">
        <v>1.1270650424619579</v>
      </c>
      <c r="N72" s="604">
        <v>2.395747890351823</v>
      </c>
      <c r="O72" s="604">
        <v>0.23834832776972428</v>
      </c>
      <c r="P72" s="604">
        <v>2.3705068344757425</v>
      </c>
      <c r="Q72" s="606">
        <v>0.29158271470976027</v>
      </c>
      <c r="R72" s="606">
        <v>2.5492258480629086</v>
      </c>
      <c r="S72" s="606">
        <v>0.46799231292260113</v>
      </c>
      <c r="T72" s="606">
        <v>0.27894821838525097</v>
      </c>
      <c r="U72" s="606">
        <v>0.32383297561859048</v>
      </c>
      <c r="V72" s="606">
        <v>0.29231900014080708</v>
      </c>
      <c r="W72" s="606">
        <v>0.40221713063103065</v>
      </c>
      <c r="X72" s="606">
        <v>0.64131040300948361</v>
      </c>
      <c r="Y72" s="607">
        <v>0.54249657013274155</v>
      </c>
      <c r="Z72" s="2292"/>
    </row>
    <row r="73" spans="1:26">
      <c r="A73" s="610">
        <v>41364</v>
      </c>
      <c r="B73" s="611"/>
      <c r="C73" s="603">
        <v>1.0741222129550052</v>
      </c>
      <c r="D73" s="604">
        <v>1.5488957110729042</v>
      </c>
      <c r="E73" s="605">
        <v>0.24193388462529991</v>
      </c>
      <c r="F73" s="605">
        <v>0.40805116939742408</v>
      </c>
      <c r="G73" s="605">
        <v>0.67360343876926054</v>
      </c>
      <c r="H73" s="604">
        <v>0.64075076113563456</v>
      </c>
      <c r="I73" s="604">
        <v>1.1595876107714975</v>
      </c>
      <c r="J73" s="604">
        <v>0.35517077890262694</v>
      </c>
      <c r="K73" s="604">
        <v>0.12324974327815348</v>
      </c>
      <c r="L73" s="604">
        <v>1.4844332440307897</v>
      </c>
      <c r="M73" s="604">
        <v>1.1658476657414634</v>
      </c>
      <c r="N73" s="604">
        <v>2.9998993381753292</v>
      </c>
      <c r="O73" s="604">
        <v>0.18948787359835673</v>
      </c>
      <c r="P73" s="604">
        <v>3.4339505605893024</v>
      </c>
      <c r="Q73" s="606">
        <v>0.525998007134311</v>
      </c>
      <c r="R73" s="606">
        <v>2.3555377207062596</v>
      </c>
      <c r="S73" s="606">
        <v>0.39065083538407908</v>
      </c>
      <c r="T73" s="606">
        <v>0.3128322730279135</v>
      </c>
      <c r="U73" s="606">
        <v>0.28645685906520724</v>
      </c>
      <c r="V73" s="606">
        <v>0.21892769985274577</v>
      </c>
      <c r="W73" s="606">
        <v>0.35470323790960606</v>
      </c>
      <c r="X73" s="606">
        <v>0.5840646457604376</v>
      </c>
      <c r="Y73" s="607">
        <v>0.69274144664357951</v>
      </c>
      <c r="Z73" s="2292"/>
    </row>
    <row r="74" spans="1:26">
      <c r="A74" s="610">
        <v>41455</v>
      </c>
      <c r="B74" s="611"/>
      <c r="C74" s="603">
        <v>1.0807213722175895</v>
      </c>
      <c r="D74" s="604">
        <v>1.6140248089884051</v>
      </c>
      <c r="E74" s="605">
        <v>0.35788687932116231</v>
      </c>
      <c r="F74" s="605">
        <v>0.49227758415530598</v>
      </c>
      <c r="G74" s="605">
        <v>0.92844096569470225</v>
      </c>
      <c r="H74" s="604">
        <v>0.61146752205292698</v>
      </c>
      <c r="I74" s="604">
        <v>1.1920869196003601</v>
      </c>
      <c r="J74" s="604">
        <v>0.44087984797596647</v>
      </c>
      <c r="K74" s="604">
        <v>0.1085312946979745</v>
      </c>
      <c r="L74" s="604">
        <v>1.5770793052846708</v>
      </c>
      <c r="M74" s="604">
        <v>0.60410031302297929</v>
      </c>
      <c r="N74" s="604">
        <v>3.0438279267031016</v>
      </c>
      <c r="O74" s="604">
        <v>0.20879284441945831</v>
      </c>
      <c r="P74" s="604">
        <v>1.4374750342641225</v>
      </c>
      <c r="Q74" s="606">
        <v>0.44822794426917006</v>
      </c>
      <c r="R74" s="606">
        <v>2.961121288870987</v>
      </c>
      <c r="S74" s="606">
        <v>0.35876286630922755</v>
      </c>
      <c r="T74" s="606">
        <v>0.3128322730279135</v>
      </c>
      <c r="U74" s="606">
        <v>0.36101047361258143</v>
      </c>
      <c r="V74" s="606">
        <v>0.25348505609678729</v>
      </c>
      <c r="W74" s="606">
        <v>0.40881560848751802</v>
      </c>
      <c r="X74" s="606">
        <v>0.65138868424995489</v>
      </c>
      <c r="Y74" s="607">
        <v>0.5049043823954501</v>
      </c>
      <c r="Z74" s="2292"/>
    </row>
    <row r="75" spans="1:26">
      <c r="A75" s="1743"/>
      <c r="B75" s="1743"/>
      <c r="C75" s="604"/>
      <c r="D75" s="604"/>
      <c r="E75" s="604"/>
      <c r="F75" s="604"/>
      <c r="G75" s="604"/>
      <c r="H75" s="604"/>
      <c r="I75" s="604"/>
      <c r="J75" s="604"/>
      <c r="K75" s="604"/>
      <c r="L75" s="604"/>
      <c r="M75" s="604"/>
      <c r="N75" s="604"/>
      <c r="O75" s="604"/>
      <c r="P75" s="604"/>
      <c r="Q75" s="606"/>
      <c r="R75" s="606"/>
      <c r="S75" s="606"/>
      <c r="T75" s="606"/>
      <c r="U75" s="606"/>
      <c r="V75" s="606"/>
      <c r="W75" s="606"/>
      <c r="X75" s="606"/>
      <c r="Y75" s="606"/>
      <c r="Z75" s="2292"/>
    </row>
    <row r="76" spans="1:26" ht="13.5" thickBot="1">
      <c r="A76"/>
      <c r="B76"/>
      <c r="C76"/>
      <c r="D76"/>
      <c r="E76"/>
      <c r="F76"/>
      <c r="G76"/>
      <c r="H76"/>
      <c r="I76"/>
      <c r="J76"/>
      <c r="K76"/>
      <c r="L76"/>
      <c r="M76"/>
      <c r="N76"/>
      <c r="O76"/>
      <c r="P76"/>
      <c r="Q76"/>
      <c r="R76"/>
      <c r="S76"/>
      <c r="T76"/>
      <c r="U76"/>
      <c r="V76"/>
      <c r="W76"/>
      <c r="X76"/>
      <c r="Y76"/>
      <c r="Z76" s="2292"/>
    </row>
    <row r="77" spans="1:26">
      <c r="A77" s="1765" t="s">
        <v>1448</v>
      </c>
      <c r="B77"/>
      <c r="C77" s="2341" t="s">
        <v>1852</v>
      </c>
      <c r="D77" s="1754"/>
      <c r="E77" s="1754"/>
      <c r="F77" s="1754"/>
      <c r="G77" s="1754"/>
      <c r="H77" s="1754"/>
      <c r="I77" s="1754"/>
      <c r="J77" s="1754"/>
      <c r="K77" s="1754"/>
      <c r="L77" s="1754"/>
      <c r="M77" s="1754"/>
      <c r="N77" s="1754"/>
      <c r="O77" s="1754"/>
      <c r="P77" s="1754"/>
      <c r="Q77" s="1754"/>
      <c r="R77" s="1754"/>
      <c r="S77" s="1754"/>
      <c r="T77" s="1754"/>
      <c r="U77" s="1754"/>
      <c r="V77" s="1754"/>
      <c r="W77" s="1754"/>
      <c r="X77" s="1754"/>
      <c r="Y77" s="1755"/>
      <c r="Z77" s="2292"/>
    </row>
    <row r="78" spans="1:26">
      <c r="A78" s="593" t="s">
        <v>1442</v>
      </c>
      <c r="B78" s="1751"/>
      <c r="C78" s="1788" t="s">
        <v>52</v>
      </c>
      <c r="D78" s="1789" t="s">
        <v>276</v>
      </c>
      <c r="E78" s="1790" t="s">
        <v>750</v>
      </c>
      <c r="F78" s="1791" t="s">
        <v>751</v>
      </c>
      <c r="G78" s="1790" t="s">
        <v>752</v>
      </c>
      <c r="H78" s="1789" t="s">
        <v>39</v>
      </c>
      <c r="I78" s="1789" t="s">
        <v>53</v>
      </c>
      <c r="J78" s="1789" t="s">
        <v>283</v>
      </c>
      <c r="K78" s="1792" t="s">
        <v>285</v>
      </c>
      <c r="L78" s="1789" t="s">
        <v>286</v>
      </c>
      <c r="M78" s="1789" t="s">
        <v>42</v>
      </c>
      <c r="N78" s="1789" t="s">
        <v>284</v>
      </c>
      <c r="O78" s="1789" t="s">
        <v>279</v>
      </c>
      <c r="P78" s="1789" t="s">
        <v>44</v>
      </c>
      <c r="Q78" s="1793" t="s">
        <v>287</v>
      </c>
      <c r="R78" s="1793" t="s">
        <v>54</v>
      </c>
      <c r="S78" s="1793" t="s">
        <v>50</v>
      </c>
      <c r="T78" s="1793" t="s">
        <v>277</v>
      </c>
      <c r="U78" s="1793" t="s">
        <v>282</v>
      </c>
      <c r="V78" s="1792" t="s">
        <v>280</v>
      </c>
      <c r="W78" s="1793" t="s">
        <v>288</v>
      </c>
      <c r="X78" s="1792" t="s">
        <v>353</v>
      </c>
      <c r="Y78" s="1794" t="s">
        <v>354</v>
      </c>
      <c r="Z78" s="2292"/>
    </row>
    <row r="79" spans="1:26">
      <c r="A79"/>
      <c r="B79"/>
      <c r="C79" s="1796">
        <v>1</v>
      </c>
      <c r="D79" s="1797">
        <v>2</v>
      </c>
      <c r="E79" s="1797">
        <v>3</v>
      </c>
      <c r="F79" s="1797">
        <v>4</v>
      </c>
      <c r="G79" s="1797">
        <v>5</v>
      </c>
      <c r="H79" s="1797">
        <v>6</v>
      </c>
      <c r="I79" s="1797">
        <v>7</v>
      </c>
      <c r="J79" s="1797">
        <v>8</v>
      </c>
      <c r="K79" s="1797">
        <v>9</v>
      </c>
      <c r="L79" s="1797">
        <v>10</v>
      </c>
      <c r="M79" s="1797">
        <v>11</v>
      </c>
      <c r="N79" s="1797">
        <v>12</v>
      </c>
      <c r="O79" s="1797">
        <v>13</v>
      </c>
      <c r="P79" s="1797">
        <v>14</v>
      </c>
      <c r="Q79" s="1797">
        <v>15</v>
      </c>
      <c r="R79" s="1797">
        <v>16</v>
      </c>
      <c r="S79" s="1797">
        <v>17</v>
      </c>
      <c r="T79" s="1797">
        <v>18</v>
      </c>
      <c r="U79" s="1797">
        <v>19</v>
      </c>
      <c r="V79" s="1797">
        <v>20</v>
      </c>
      <c r="W79" s="1797">
        <v>21</v>
      </c>
      <c r="X79" s="1797">
        <v>22</v>
      </c>
      <c r="Y79" s="1798">
        <v>23</v>
      </c>
      <c r="Z79" s="2292"/>
    </row>
    <row r="80" spans="1:26">
      <c r="A80" s="608">
        <v>40178</v>
      </c>
      <c r="B80" s="1752">
        <v>1</v>
      </c>
      <c r="C80" s="1768" t="str">
        <f>VLOOKUP(C$78,RATINGS!$B$798:$T$820,2+'OUTPUTS &amp; Inputs'!$B80,FALSE)</f>
        <v>BBB+</v>
      </c>
      <c r="D80" s="1769" t="str">
        <f>VLOOKUP(D$78,RATINGS!$B$798:$T$820,2+'OUTPUTS &amp; Inputs'!$B80,FALSE)</f>
        <v>BBB</v>
      </c>
      <c r="E80" s="1772" t="str">
        <f>VLOOKUP(E$78,RATINGS!$B$798:$T$820,2+'OUTPUTS &amp; Inputs'!$B80,FALSE)</f>
        <v>A</v>
      </c>
      <c r="F80" s="1766" t="str">
        <f>VLOOKUP(F$78,RATINGS!$B$798:$T$820,2+'OUTPUTS &amp; Inputs'!$B80,FALSE)</f>
        <v>BBB-</v>
      </c>
      <c r="G80" s="606" t="str">
        <f>VLOOKUP(G$78,RATINGS!$B$798:$T$820,2+'OUTPUTS &amp; Inputs'!$B80,FALSE)</f>
        <v>BB-</v>
      </c>
      <c r="H80" s="1769" t="str">
        <f>VLOOKUP(H$78,RATINGS!$B$798:$T$820,2+'OUTPUTS &amp; Inputs'!$B80,FALSE)</f>
        <v>BBB</v>
      </c>
      <c r="I80" s="1769" t="str">
        <f>VLOOKUP(I$78,RATINGS!$B$798:$T$820,2+'OUTPUTS &amp; Inputs'!$B80,FALSE)</f>
        <v>BBB</v>
      </c>
      <c r="J80" s="1769" t="str">
        <f>VLOOKUP(J$78,RATINGS!$B$798:$T$820,2+'OUTPUTS &amp; Inputs'!$B80,FALSE)</f>
        <v>BBB</v>
      </c>
      <c r="K80" s="1766" t="str">
        <f>VLOOKUP(K$78,RATINGS!$B$798:$T$820,2+'OUTPUTS &amp; Inputs'!$B80,FALSE)</f>
        <v>A-</v>
      </c>
      <c r="L80" s="606" t="str">
        <f>VLOOKUP(L$78,RATINGS!$B$798:$T$820,2+'OUTPUTS &amp; Inputs'!$B80,FALSE)</f>
        <v>A-</v>
      </c>
      <c r="M80" s="606" t="str">
        <f>VLOOKUP(M$78,RATINGS!$B$798:$T$820,2+'OUTPUTS &amp; Inputs'!$B80,FALSE)</f>
        <v>B-</v>
      </c>
      <c r="N80" s="1769" t="str">
        <f>VLOOKUP(N$78,RATINGS!$B$798:$T$820,2+'OUTPUTS &amp; Inputs'!$B80,FALSE)</f>
        <v>BBB-</v>
      </c>
      <c r="O80" s="1769" t="str">
        <f>VLOOKUP(O$78,RATINGS!$B$798:$T$820,2+'OUTPUTS &amp; Inputs'!$B80,FALSE)</f>
        <v>A-</v>
      </c>
      <c r="P80" s="1769" t="str">
        <f>VLOOKUP(P$78,RATINGS!$B$798:$T$820,2+'OUTPUTS &amp; Inputs'!$B80,FALSE)</f>
        <v>BBB-</v>
      </c>
      <c r="Q80" s="606" t="str">
        <f>VLOOKUP(Q$78,RATINGS!$B$798:$T$820,2+'OUTPUTS &amp; Inputs'!$B80,FALSE)</f>
        <v>BBB+</v>
      </c>
      <c r="R80" s="1769" t="str">
        <f>VLOOKUP(R$78,RATINGS!$B$798:$T$820,2+'OUTPUTS &amp; Inputs'!$B80,FALSE)</f>
        <v>BBB-</v>
      </c>
      <c r="S80" s="1769" t="str">
        <f>VLOOKUP(S$78,RATINGS!$B$798:$T$820,2+'OUTPUTS &amp; Inputs'!$B80,FALSE)</f>
        <v>BBB</v>
      </c>
      <c r="T80" s="1769" t="str">
        <f>VLOOKUP(T$78,RATINGS!$B$798:$T$820,2+'OUTPUTS &amp; Inputs'!$B80,FALSE)</f>
        <v>A-</v>
      </c>
      <c r="U80" s="1769" t="str">
        <f>VLOOKUP(U$78,RATINGS!$B$798:$T$820,2+'OUTPUTS &amp; Inputs'!$B80,FALSE)</f>
        <v>A-</v>
      </c>
      <c r="V80" s="1766" t="str">
        <f>VLOOKUP(V$78,RATINGS!$B$798:$T$820,2+'OUTPUTS &amp; Inputs'!$B80,FALSE)</f>
        <v>A-</v>
      </c>
      <c r="W80" s="1769" t="str">
        <f>VLOOKUP(W$78,RATINGS!$B$798:$T$820,2+'OUTPUTS &amp; Inputs'!$B80,FALSE)</f>
        <v>A</v>
      </c>
      <c r="X80" s="1766" t="str">
        <f>VLOOKUP(X$78,RATINGS!$B$798:$T$820,2+'OUTPUTS &amp; Inputs'!$B80,FALSE)</f>
        <v>BB</v>
      </c>
      <c r="Y80" s="1795" t="str">
        <f>VLOOKUP(Y$78,RATINGS!$B$798:$T$820,2+'OUTPUTS &amp; Inputs'!$B80,FALSE)</f>
        <v>BB+</v>
      </c>
      <c r="Z80" s="2292"/>
    </row>
    <row r="81" spans="1:26">
      <c r="A81" s="610">
        <v>40268</v>
      </c>
      <c r="B81" s="1753">
        <v>2</v>
      </c>
      <c r="C81" s="1770" t="str">
        <f>VLOOKUP(C$78,RATINGS!$B$798:$T$820,2+'OUTPUTS &amp; Inputs'!$B81,FALSE)</f>
        <v>BBB+</v>
      </c>
      <c r="D81" s="1771" t="str">
        <f>VLOOKUP(D$78,RATINGS!$B$798:$T$820,2+'OUTPUTS &amp; Inputs'!$B81,FALSE)</f>
        <v>BBB</v>
      </c>
      <c r="E81" s="1773" t="str">
        <f>VLOOKUP(E$78,RATINGS!$B$798:$T$820,2+'OUTPUTS &amp; Inputs'!$B81,FALSE)</f>
        <v>A</v>
      </c>
      <c r="F81" s="1767" t="str">
        <f>VLOOKUP(F$78,RATINGS!$B$798:$T$820,2+'OUTPUTS &amp; Inputs'!$B81,FALSE)</f>
        <v>BBB-</v>
      </c>
      <c r="G81" s="604" t="str">
        <f>VLOOKUP(G$78,RATINGS!$B$798:$T$820,2+'OUTPUTS &amp; Inputs'!$B81,FALSE)</f>
        <v>BB-</v>
      </c>
      <c r="H81" s="1771" t="str">
        <f>VLOOKUP(H$78,RATINGS!$B$798:$T$820,2+'OUTPUTS &amp; Inputs'!$B81,FALSE)</f>
        <v>BBB</v>
      </c>
      <c r="I81" s="1771" t="str">
        <f>VLOOKUP(I$78,RATINGS!$B$798:$T$820,2+'OUTPUTS &amp; Inputs'!$B81,FALSE)</f>
        <v>BBB</v>
      </c>
      <c r="J81" s="1771" t="str">
        <f>VLOOKUP(J$78,RATINGS!$B$798:$T$820,2+'OUTPUTS &amp; Inputs'!$B81,FALSE)</f>
        <v>BBB</v>
      </c>
      <c r="K81" s="1767" t="str">
        <f>VLOOKUP(K$78,RATINGS!$B$798:$T$820,2+'OUTPUTS &amp; Inputs'!$B81,FALSE)</f>
        <v>A-</v>
      </c>
      <c r="L81" s="604" t="str">
        <f>VLOOKUP(L$78,RATINGS!$B$798:$T$820,2+'OUTPUTS &amp; Inputs'!$B81,FALSE)</f>
        <v>A-</v>
      </c>
      <c r="M81" s="604" t="str">
        <f>VLOOKUP(M$78,RATINGS!$B$798:$T$820,2+'OUTPUTS &amp; Inputs'!$B81,FALSE)</f>
        <v>B-</v>
      </c>
      <c r="N81" s="1771" t="str">
        <f>VLOOKUP(N$78,RATINGS!$B$798:$T$820,2+'OUTPUTS &amp; Inputs'!$B81,FALSE)</f>
        <v>BBB-</v>
      </c>
      <c r="O81" s="1771" t="str">
        <f>VLOOKUP(O$78,RATINGS!$B$798:$T$820,2+'OUTPUTS &amp; Inputs'!$B81,FALSE)</f>
        <v>A-</v>
      </c>
      <c r="P81" s="1771" t="str">
        <f>VLOOKUP(P$78,RATINGS!$B$798:$T$820,2+'OUTPUTS &amp; Inputs'!$B81,FALSE)</f>
        <v>BBB-</v>
      </c>
      <c r="Q81" s="604" t="str">
        <f>VLOOKUP(Q$78,RATINGS!$B$798:$T$820,2+'OUTPUTS &amp; Inputs'!$B81,FALSE)</f>
        <v>BBB+</v>
      </c>
      <c r="R81" s="1771" t="str">
        <f>VLOOKUP(R$78,RATINGS!$B$798:$T$820,2+'OUTPUTS &amp; Inputs'!$B81,FALSE)</f>
        <v>BBB-</v>
      </c>
      <c r="S81" s="1771" t="str">
        <f>VLOOKUP(S$78,RATINGS!$B$798:$T$820,2+'OUTPUTS &amp; Inputs'!$B81,FALSE)</f>
        <v>BBB</v>
      </c>
      <c r="T81" s="1771" t="str">
        <f>VLOOKUP(T$78,RATINGS!$B$798:$T$820,2+'OUTPUTS &amp; Inputs'!$B81,FALSE)</f>
        <v>A-</v>
      </c>
      <c r="U81" s="1771" t="str">
        <f>VLOOKUP(U$78,RATINGS!$B$798:$T$820,2+'OUTPUTS &amp; Inputs'!$B81,FALSE)</f>
        <v>A-</v>
      </c>
      <c r="V81" s="1767" t="str">
        <f>VLOOKUP(V$78,RATINGS!$B$798:$T$820,2+'OUTPUTS &amp; Inputs'!$B81,FALSE)</f>
        <v>A-</v>
      </c>
      <c r="W81" s="1771" t="str">
        <f>VLOOKUP(W$78,RATINGS!$B$798:$T$820,2+'OUTPUTS &amp; Inputs'!$B81,FALSE)</f>
        <v>A</v>
      </c>
      <c r="X81" s="1767" t="str">
        <f>VLOOKUP(X$78,RATINGS!$B$798:$T$820,2+'OUTPUTS &amp; Inputs'!$B81,FALSE)</f>
        <v>BB</v>
      </c>
      <c r="Y81" s="1774" t="str">
        <f>VLOOKUP(Y$78,RATINGS!$B$798:$T$820,2+'OUTPUTS &amp; Inputs'!$B81,FALSE)</f>
        <v>BB+</v>
      </c>
      <c r="Z81" s="2292"/>
    </row>
    <row r="82" spans="1:26">
      <c r="A82" s="610">
        <v>40359</v>
      </c>
      <c r="B82" s="1753">
        <v>3</v>
      </c>
      <c r="C82" s="1770" t="str">
        <f>VLOOKUP(C$78,RATINGS!$B$798:$T$820,2+'OUTPUTS &amp; Inputs'!$B82,FALSE)</f>
        <v>BBB+</v>
      </c>
      <c r="D82" s="1771" t="str">
        <f>VLOOKUP(D$78,RATINGS!$B$798:$T$820,2+'OUTPUTS &amp; Inputs'!$B82,FALSE)</f>
        <v>BBB</v>
      </c>
      <c r="E82" s="1773" t="str">
        <f>VLOOKUP(E$78,RATINGS!$B$798:$T$820,2+'OUTPUTS &amp; Inputs'!$B82,FALSE)</f>
        <v>A</v>
      </c>
      <c r="F82" s="1767" t="str">
        <f>VLOOKUP(F$78,RATINGS!$B$798:$T$820,2+'OUTPUTS &amp; Inputs'!$B82,FALSE)</f>
        <v>BBB-</v>
      </c>
      <c r="G82" s="604" t="str">
        <f>VLOOKUP(G$78,RATINGS!$B$798:$T$820,2+'OUTPUTS &amp; Inputs'!$B82,FALSE)</f>
        <v>BB-</v>
      </c>
      <c r="H82" s="1771" t="str">
        <f>VLOOKUP(H$78,RATINGS!$B$798:$T$820,2+'OUTPUTS &amp; Inputs'!$B82,FALSE)</f>
        <v>BBB</v>
      </c>
      <c r="I82" s="1771" t="str">
        <f>VLOOKUP(I$78,RATINGS!$B$798:$T$820,2+'OUTPUTS &amp; Inputs'!$B82,FALSE)</f>
        <v>BBB</v>
      </c>
      <c r="J82" s="1771" t="str">
        <f>VLOOKUP(J$78,RATINGS!$B$798:$T$820,2+'OUTPUTS &amp; Inputs'!$B82,FALSE)</f>
        <v>BBB</v>
      </c>
      <c r="K82" s="1767" t="str">
        <f>VLOOKUP(K$78,RATINGS!$B$798:$T$820,2+'OUTPUTS &amp; Inputs'!$B82,FALSE)</f>
        <v>A-</v>
      </c>
      <c r="L82" s="604" t="str">
        <f>VLOOKUP(L$78,RATINGS!$B$798:$T$820,2+'OUTPUTS &amp; Inputs'!$B82,FALSE)</f>
        <v>A-</v>
      </c>
      <c r="M82" s="604" t="str">
        <f>VLOOKUP(M$78,RATINGS!$B$798:$T$820,2+'OUTPUTS &amp; Inputs'!$B82,FALSE)</f>
        <v>B-</v>
      </c>
      <c r="N82" s="1771" t="str">
        <f>VLOOKUP(N$78,RATINGS!$B$798:$T$820,2+'OUTPUTS &amp; Inputs'!$B82,FALSE)</f>
        <v>BBB-</v>
      </c>
      <c r="O82" s="1771" t="str">
        <f>VLOOKUP(O$78,RATINGS!$B$798:$T$820,2+'OUTPUTS &amp; Inputs'!$B82,FALSE)</f>
        <v>A-</v>
      </c>
      <c r="P82" s="1771" t="str">
        <f>VLOOKUP(P$78,RATINGS!$B$798:$T$820,2+'OUTPUTS &amp; Inputs'!$B82,FALSE)</f>
        <v>BBB-</v>
      </c>
      <c r="Q82" s="604" t="str">
        <f>VLOOKUP(Q$78,RATINGS!$B$798:$T$820,2+'OUTPUTS &amp; Inputs'!$B82,FALSE)</f>
        <v>BBB+</v>
      </c>
      <c r="R82" s="1771" t="str">
        <f>VLOOKUP(R$78,RATINGS!$B$798:$T$820,2+'OUTPUTS &amp; Inputs'!$B82,FALSE)</f>
        <v>BBB-</v>
      </c>
      <c r="S82" s="1771" t="str">
        <f>VLOOKUP(S$78,RATINGS!$B$798:$T$820,2+'OUTPUTS &amp; Inputs'!$B82,FALSE)</f>
        <v>BBB</v>
      </c>
      <c r="T82" s="1771" t="str">
        <f>VLOOKUP(T$78,RATINGS!$B$798:$T$820,2+'OUTPUTS &amp; Inputs'!$B82,FALSE)</f>
        <v>A-</v>
      </c>
      <c r="U82" s="1771" t="str">
        <f>VLOOKUP(U$78,RATINGS!$B$798:$T$820,2+'OUTPUTS &amp; Inputs'!$B82,FALSE)</f>
        <v>A-</v>
      </c>
      <c r="V82" s="1767" t="str">
        <f>VLOOKUP(V$78,RATINGS!$B$798:$T$820,2+'OUTPUTS &amp; Inputs'!$B82,FALSE)</f>
        <v>A-</v>
      </c>
      <c r="W82" s="1771" t="str">
        <f>VLOOKUP(W$78,RATINGS!$B$798:$T$820,2+'OUTPUTS &amp; Inputs'!$B82,FALSE)</f>
        <v>A</v>
      </c>
      <c r="X82" s="1767" t="str">
        <f>VLOOKUP(X$78,RATINGS!$B$798:$T$820,2+'OUTPUTS &amp; Inputs'!$B82,FALSE)</f>
        <v>BB</v>
      </c>
      <c r="Y82" s="1774" t="str">
        <f>VLOOKUP(Y$78,RATINGS!$B$798:$T$820,2+'OUTPUTS &amp; Inputs'!$B82,FALSE)</f>
        <v>BB+</v>
      </c>
      <c r="Z82" s="2292"/>
    </row>
    <row r="83" spans="1:26">
      <c r="A83" s="610">
        <v>40451</v>
      </c>
      <c r="B83" s="1753">
        <v>4</v>
      </c>
      <c r="C83" s="1770" t="str">
        <f>VLOOKUP(C$78,RATINGS!$B$798:$T$820,2+'OUTPUTS &amp; Inputs'!$B83,FALSE)</f>
        <v>BBB+</v>
      </c>
      <c r="D83" s="1771" t="str">
        <f>VLOOKUP(D$78,RATINGS!$B$798:$T$820,2+'OUTPUTS &amp; Inputs'!$B83,FALSE)</f>
        <v>BBB</v>
      </c>
      <c r="E83" s="1773" t="str">
        <f>VLOOKUP(E$78,RATINGS!$B$798:$T$820,2+'OUTPUTS &amp; Inputs'!$B83,FALSE)</f>
        <v>A</v>
      </c>
      <c r="F83" s="1767" t="str">
        <f>VLOOKUP(F$78,RATINGS!$B$798:$T$820,2+'OUTPUTS &amp; Inputs'!$B83,FALSE)</f>
        <v>BBB-</v>
      </c>
      <c r="G83" s="604" t="str">
        <f>VLOOKUP(G$78,RATINGS!$B$798:$T$820,2+'OUTPUTS &amp; Inputs'!$B83,FALSE)</f>
        <v>BB-</v>
      </c>
      <c r="H83" s="1771" t="str">
        <f>VLOOKUP(H$78,RATINGS!$B$798:$T$820,2+'OUTPUTS &amp; Inputs'!$B83,FALSE)</f>
        <v>BBB</v>
      </c>
      <c r="I83" s="1771" t="str">
        <f>VLOOKUP(I$78,RATINGS!$B$798:$T$820,2+'OUTPUTS &amp; Inputs'!$B83,FALSE)</f>
        <v>BBB</v>
      </c>
      <c r="J83" s="1771" t="str">
        <f>VLOOKUP(J$78,RATINGS!$B$798:$T$820,2+'OUTPUTS &amp; Inputs'!$B83,FALSE)</f>
        <v>BBB</v>
      </c>
      <c r="K83" s="1767" t="str">
        <f>VLOOKUP(K$78,RATINGS!$B$798:$T$820,2+'OUTPUTS &amp; Inputs'!$B83,FALSE)</f>
        <v>A-</v>
      </c>
      <c r="L83" s="604" t="str">
        <f>VLOOKUP(L$78,RATINGS!$B$798:$T$820,2+'OUTPUTS &amp; Inputs'!$B83,FALSE)</f>
        <v>A-</v>
      </c>
      <c r="M83" s="604" t="str">
        <f>VLOOKUP(M$78,RATINGS!$B$798:$T$820,2+'OUTPUTS &amp; Inputs'!$B83,FALSE)</f>
        <v>B-</v>
      </c>
      <c r="N83" s="1771" t="str">
        <f>VLOOKUP(N$78,RATINGS!$B$798:$T$820,2+'OUTPUTS &amp; Inputs'!$B83,FALSE)</f>
        <v>BBB-</v>
      </c>
      <c r="O83" s="1771" t="str">
        <f>VLOOKUP(O$78,RATINGS!$B$798:$T$820,2+'OUTPUTS &amp; Inputs'!$B83,FALSE)</f>
        <v>A-</v>
      </c>
      <c r="P83" s="1771" t="str">
        <f>VLOOKUP(P$78,RATINGS!$B$798:$T$820,2+'OUTPUTS &amp; Inputs'!$B83,FALSE)</f>
        <v>BBB-</v>
      </c>
      <c r="Q83" s="604" t="str">
        <f>VLOOKUP(Q$78,RATINGS!$B$798:$T$820,2+'OUTPUTS &amp; Inputs'!$B83,FALSE)</f>
        <v>BBB+</v>
      </c>
      <c r="R83" s="1771" t="str">
        <f>VLOOKUP(R$78,RATINGS!$B$798:$T$820,2+'OUTPUTS &amp; Inputs'!$B83,FALSE)</f>
        <v>BBB-</v>
      </c>
      <c r="S83" s="1771" t="str">
        <f>VLOOKUP(S$78,RATINGS!$B$798:$T$820,2+'OUTPUTS &amp; Inputs'!$B83,FALSE)</f>
        <v>BBB</v>
      </c>
      <c r="T83" s="1771" t="str">
        <f>VLOOKUP(T$78,RATINGS!$B$798:$T$820,2+'OUTPUTS &amp; Inputs'!$B83,FALSE)</f>
        <v>A-</v>
      </c>
      <c r="U83" s="1771" t="str">
        <f>VLOOKUP(U$78,RATINGS!$B$798:$T$820,2+'OUTPUTS &amp; Inputs'!$B83,FALSE)</f>
        <v>A-</v>
      </c>
      <c r="V83" s="1767" t="str">
        <f>VLOOKUP(V$78,RATINGS!$B$798:$T$820,2+'OUTPUTS &amp; Inputs'!$B83,FALSE)</f>
        <v>A-</v>
      </c>
      <c r="W83" s="1771" t="str">
        <f>VLOOKUP(W$78,RATINGS!$B$798:$T$820,2+'OUTPUTS &amp; Inputs'!$B83,FALSE)</f>
        <v>A</v>
      </c>
      <c r="X83" s="1767" t="str">
        <f>VLOOKUP(X$78,RATINGS!$B$798:$T$820,2+'OUTPUTS &amp; Inputs'!$B83,FALSE)</f>
        <v>BB</v>
      </c>
      <c r="Y83" s="1774" t="str">
        <f>VLOOKUP(Y$78,RATINGS!$B$798:$T$820,2+'OUTPUTS &amp; Inputs'!$B83,FALSE)</f>
        <v>BB+</v>
      </c>
      <c r="Z83" s="2292"/>
    </row>
    <row r="84" spans="1:26">
      <c r="A84" s="610">
        <v>40543</v>
      </c>
      <c r="B84" s="1753">
        <v>5</v>
      </c>
      <c r="C84" s="1770" t="str">
        <f>VLOOKUP(C$78,RATINGS!$B$798:$T$820,2+'OUTPUTS &amp; Inputs'!$B84,FALSE)</f>
        <v>BBB+</v>
      </c>
      <c r="D84" s="1771" t="str">
        <f>VLOOKUP(D$78,RATINGS!$B$798:$T$820,2+'OUTPUTS &amp; Inputs'!$B84,FALSE)</f>
        <v>BBB</v>
      </c>
      <c r="E84" s="1773" t="str">
        <f>VLOOKUP(E$78,RATINGS!$B$798:$T$820,2+'OUTPUTS &amp; Inputs'!$B84,FALSE)</f>
        <v>A</v>
      </c>
      <c r="F84" s="1767" t="str">
        <f>VLOOKUP(F$78,RATINGS!$B$798:$T$820,2+'OUTPUTS &amp; Inputs'!$B84,FALSE)</f>
        <v>BBB-</v>
      </c>
      <c r="G84" s="604" t="str">
        <f>VLOOKUP(G$78,RATINGS!$B$798:$T$820,2+'OUTPUTS &amp; Inputs'!$B84,FALSE)</f>
        <v>BB-</v>
      </c>
      <c r="H84" s="1771" t="str">
        <f>VLOOKUP(H$78,RATINGS!$B$798:$T$820,2+'OUTPUTS &amp; Inputs'!$B84,FALSE)</f>
        <v>BBB</v>
      </c>
      <c r="I84" s="1771" t="str">
        <f>VLOOKUP(I$78,RATINGS!$B$798:$T$820,2+'OUTPUTS &amp; Inputs'!$B84,FALSE)</f>
        <v>BBB</v>
      </c>
      <c r="J84" s="1771" t="str">
        <f>VLOOKUP(J$78,RATINGS!$B$798:$T$820,2+'OUTPUTS &amp; Inputs'!$B84,FALSE)</f>
        <v>BBB</v>
      </c>
      <c r="K84" s="1767" t="str">
        <f>VLOOKUP(K$78,RATINGS!$B$798:$T$820,2+'OUTPUTS &amp; Inputs'!$B84,FALSE)</f>
        <v>A-</v>
      </c>
      <c r="L84" s="604" t="str">
        <f>VLOOKUP(L$78,RATINGS!$B$798:$T$820,2+'OUTPUTS &amp; Inputs'!$B84,FALSE)</f>
        <v>A-</v>
      </c>
      <c r="M84" s="604" t="str">
        <f>VLOOKUP(M$78,RATINGS!$B$798:$T$820,2+'OUTPUTS &amp; Inputs'!$B84,FALSE)</f>
        <v>B-</v>
      </c>
      <c r="N84" s="1771" t="str">
        <f>VLOOKUP(N$78,RATINGS!$B$798:$T$820,2+'OUTPUTS &amp; Inputs'!$B84,FALSE)</f>
        <v>BBB-</v>
      </c>
      <c r="O84" s="1771" t="str">
        <f>VLOOKUP(O$78,RATINGS!$B$798:$T$820,2+'OUTPUTS &amp; Inputs'!$B84,FALSE)</f>
        <v>A-</v>
      </c>
      <c r="P84" s="1771" t="str">
        <f>VLOOKUP(P$78,RATINGS!$B$798:$T$820,2+'OUTPUTS &amp; Inputs'!$B84,FALSE)</f>
        <v>BBB-</v>
      </c>
      <c r="Q84" s="604" t="str">
        <f>VLOOKUP(Q$78,RATINGS!$B$798:$T$820,2+'OUTPUTS &amp; Inputs'!$B84,FALSE)</f>
        <v>BBB+</v>
      </c>
      <c r="R84" s="1771" t="str">
        <f>VLOOKUP(R$78,RATINGS!$B$798:$T$820,2+'OUTPUTS &amp; Inputs'!$B84,FALSE)</f>
        <v>BBB-</v>
      </c>
      <c r="S84" s="1771" t="str">
        <f>VLOOKUP(S$78,RATINGS!$B$798:$T$820,2+'OUTPUTS &amp; Inputs'!$B84,FALSE)</f>
        <v>BBB</v>
      </c>
      <c r="T84" s="1771" t="str">
        <f>VLOOKUP(T$78,RATINGS!$B$798:$T$820,2+'OUTPUTS &amp; Inputs'!$B84,FALSE)</f>
        <v>A-</v>
      </c>
      <c r="U84" s="1771" t="str">
        <f>VLOOKUP(U$78,RATINGS!$B$798:$T$820,2+'OUTPUTS &amp; Inputs'!$B84,FALSE)</f>
        <v>A-</v>
      </c>
      <c r="V84" s="1767" t="str">
        <f>VLOOKUP(V$78,RATINGS!$B$798:$T$820,2+'OUTPUTS &amp; Inputs'!$B84,FALSE)</f>
        <v>A-</v>
      </c>
      <c r="W84" s="1771" t="str">
        <f>VLOOKUP(W$78,RATINGS!$B$798:$T$820,2+'OUTPUTS &amp; Inputs'!$B84,FALSE)</f>
        <v>A</v>
      </c>
      <c r="X84" s="1767" t="str">
        <f>VLOOKUP(X$78,RATINGS!$B$798:$T$820,2+'OUTPUTS &amp; Inputs'!$B84,FALSE)</f>
        <v>BB</v>
      </c>
      <c r="Y84" s="1774" t="str">
        <f>VLOOKUP(Y$78,RATINGS!$B$798:$T$820,2+'OUTPUTS &amp; Inputs'!$B84,FALSE)</f>
        <v>BB+</v>
      </c>
      <c r="Z84" s="2292"/>
    </row>
    <row r="85" spans="1:26">
      <c r="A85" s="610">
        <v>40633</v>
      </c>
      <c r="B85" s="1753">
        <v>6</v>
      </c>
      <c r="C85" s="1770" t="str">
        <f>VLOOKUP(C$78,RATINGS!$B$798:$T$820,2+'OUTPUTS &amp; Inputs'!$B85,FALSE)</f>
        <v>BBB+</v>
      </c>
      <c r="D85" s="1771" t="str">
        <f>VLOOKUP(D$78,RATINGS!$B$798:$T$820,2+'OUTPUTS &amp; Inputs'!$B85,FALSE)</f>
        <v>BBB</v>
      </c>
      <c r="E85" s="1773" t="str">
        <f>VLOOKUP(E$78,RATINGS!$B$798:$T$820,2+'OUTPUTS &amp; Inputs'!$B85,FALSE)</f>
        <v>A</v>
      </c>
      <c r="F85" s="1767" t="str">
        <f>VLOOKUP(F$78,RATINGS!$B$798:$T$820,2+'OUTPUTS &amp; Inputs'!$B85,FALSE)</f>
        <v>BBB-</v>
      </c>
      <c r="G85" s="604" t="str">
        <f>VLOOKUP(G$78,RATINGS!$B$798:$T$820,2+'OUTPUTS &amp; Inputs'!$B85,FALSE)</f>
        <v>BB-</v>
      </c>
      <c r="H85" s="1771" t="str">
        <f>VLOOKUP(H$78,RATINGS!$B$798:$T$820,2+'OUTPUTS &amp; Inputs'!$B85,FALSE)</f>
        <v>BBB</v>
      </c>
      <c r="I85" s="1771" t="str">
        <f>VLOOKUP(I$78,RATINGS!$B$798:$T$820,2+'OUTPUTS &amp; Inputs'!$B85,FALSE)</f>
        <v>BBB</v>
      </c>
      <c r="J85" s="1771" t="str">
        <f>VLOOKUP(J$78,RATINGS!$B$798:$T$820,2+'OUTPUTS &amp; Inputs'!$B85,FALSE)</f>
        <v>BBB</v>
      </c>
      <c r="K85" s="1767" t="str">
        <f>VLOOKUP(K$78,RATINGS!$B$798:$T$820,2+'OUTPUTS &amp; Inputs'!$B85,FALSE)</f>
        <v>A-</v>
      </c>
      <c r="L85" s="604" t="str">
        <f>VLOOKUP(L$78,RATINGS!$B$798:$T$820,2+'OUTPUTS &amp; Inputs'!$B85,FALSE)</f>
        <v>A-</v>
      </c>
      <c r="M85" s="604" t="str">
        <f>VLOOKUP(M$78,RATINGS!$B$798:$T$820,2+'OUTPUTS &amp; Inputs'!$B85,FALSE)</f>
        <v>B-</v>
      </c>
      <c r="N85" s="1771" t="str">
        <f>VLOOKUP(N$78,RATINGS!$B$798:$T$820,2+'OUTPUTS &amp; Inputs'!$B85,FALSE)</f>
        <v>BBB-</v>
      </c>
      <c r="O85" s="1771" t="str">
        <f>VLOOKUP(O$78,RATINGS!$B$798:$T$820,2+'OUTPUTS &amp; Inputs'!$B85,FALSE)</f>
        <v>A-</v>
      </c>
      <c r="P85" s="1771" t="str">
        <f>VLOOKUP(P$78,RATINGS!$B$798:$T$820,2+'OUTPUTS &amp; Inputs'!$B85,FALSE)</f>
        <v>BBB-</v>
      </c>
      <c r="Q85" s="604" t="str">
        <f>VLOOKUP(Q$78,RATINGS!$B$798:$T$820,2+'OUTPUTS &amp; Inputs'!$B85,FALSE)</f>
        <v>BBB+</v>
      </c>
      <c r="R85" s="1771" t="str">
        <f>VLOOKUP(R$78,RATINGS!$B$798:$T$820,2+'OUTPUTS &amp; Inputs'!$B85,FALSE)</f>
        <v>BBB-</v>
      </c>
      <c r="S85" s="1771" t="str">
        <f>VLOOKUP(S$78,RATINGS!$B$798:$T$820,2+'OUTPUTS &amp; Inputs'!$B85,FALSE)</f>
        <v>BBB</v>
      </c>
      <c r="T85" s="1771" t="str">
        <f>VLOOKUP(T$78,RATINGS!$B$798:$T$820,2+'OUTPUTS &amp; Inputs'!$B85,FALSE)</f>
        <v>A-</v>
      </c>
      <c r="U85" s="1771" t="str">
        <f>VLOOKUP(U$78,RATINGS!$B$798:$T$820,2+'OUTPUTS &amp; Inputs'!$B85,FALSE)</f>
        <v>A-</v>
      </c>
      <c r="V85" s="1767" t="str">
        <f>VLOOKUP(V$78,RATINGS!$B$798:$T$820,2+'OUTPUTS &amp; Inputs'!$B85,FALSE)</f>
        <v>A-</v>
      </c>
      <c r="W85" s="1771" t="str">
        <f>VLOOKUP(W$78,RATINGS!$B$798:$T$820,2+'OUTPUTS &amp; Inputs'!$B85,FALSE)</f>
        <v>A</v>
      </c>
      <c r="X85" s="1767" t="str">
        <f>VLOOKUP(X$78,RATINGS!$B$798:$T$820,2+'OUTPUTS &amp; Inputs'!$B85,FALSE)</f>
        <v>BB</v>
      </c>
      <c r="Y85" s="1774" t="str">
        <f>VLOOKUP(Y$78,RATINGS!$B$798:$T$820,2+'OUTPUTS &amp; Inputs'!$B85,FALSE)</f>
        <v>BB+</v>
      </c>
      <c r="Z85" s="2292"/>
    </row>
    <row r="86" spans="1:26">
      <c r="A86" s="610">
        <v>40724</v>
      </c>
      <c r="B86" s="1753">
        <v>7</v>
      </c>
      <c r="C86" s="1770" t="str">
        <f>VLOOKUP(C$78,RATINGS!$B$798:$T$820,2+'OUTPUTS &amp; Inputs'!$B86,FALSE)</f>
        <v>BBB+</v>
      </c>
      <c r="D86" s="1771" t="str">
        <f>VLOOKUP(D$78,RATINGS!$B$798:$T$820,2+'OUTPUTS &amp; Inputs'!$B86,FALSE)</f>
        <v>BBB</v>
      </c>
      <c r="E86" s="1773" t="str">
        <f>VLOOKUP(E$78,RATINGS!$B$798:$T$820,2+'OUTPUTS &amp; Inputs'!$B86,FALSE)</f>
        <v>A</v>
      </c>
      <c r="F86" s="1767" t="str">
        <f>VLOOKUP(F$78,RATINGS!$B$798:$T$820,2+'OUTPUTS &amp; Inputs'!$B86,FALSE)</f>
        <v>BBB-</v>
      </c>
      <c r="G86" s="604" t="str">
        <f>VLOOKUP(G$78,RATINGS!$B$798:$T$820,2+'OUTPUTS &amp; Inputs'!$B86,FALSE)</f>
        <v>BB-</v>
      </c>
      <c r="H86" s="1771" t="str">
        <f>VLOOKUP(H$78,RATINGS!$B$798:$T$820,2+'OUTPUTS &amp; Inputs'!$B86,FALSE)</f>
        <v>BBB</v>
      </c>
      <c r="I86" s="1771" t="str">
        <f>VLOOKUP(I$78,RATINGS!$B$798:$T$820,2+'OUTPUTS &amp; Inputs'!$B86,FALSE)</f>
        <v>BBB</v>
      </c>
      <c r="J86" s="1771" t="str">
        <f>VLOOKUP(J$78,RATINGS!$B$798:$T$820,2+'OUTPUTS &amp; Inputs'!$B86,FALSE)</f>
        <v>BBB</v>
      </c>
      <c r="K86" s="1767" t="str">
        <f>VLOOKUP(K$78,RATINGS!$B$798:$T$820,2+'OUTPUTS &amp; Inputs'!$B86,FALSE)</f>
        <v>A-</v>
      </c>
      <c r="L86" s="604" t="str">
        <f>VLOOKUP(L$78,RATINGS!$B$798:$T$820,2+'OUTPUTS &amp; Inputs'!$B86,FALSE)</f>
        <v>A-</v>
      </c>
      <c r="M86" s="604" t="str">
        <f>VLOOKUP(M$78,RATINGS!$B$798:$T$820,2+'OUTPUTS &amp; Inputs'!$B86,FALSE)</f>
        <v>B-</v>
      </c>
      <c r="N86" s="1771" t="str">
        <f>VLOOKUP(N$78,RATINGS!$B$798:$T$820,2+'OUTPUTS &amp; Inputs'!$B86,FALSE)</f>
        <v>BBB-</v>
      </c>
      <c r="O86" s="1771" t="str">
        <f>VLOOKUP(O$78,RATINGS!$B$798:$T$820,2+'OUTPUTS &amp; Inputs'!$B86,FALSE)</f>
        <v>A-</v>
      </c>
      <c r="P86" s="1771" t="str">
        <f>VLOOKUP(P$78,RATINGS!$B$798:$T$820,2+'OUTPUTS &amp; Inputs'!$B86,FALSE)</f>
        <v>BBB-</v>
      </c>
      <c r="Q86" s="604" t="str">
        <f>VLOOKUP(Q$78,RATINGS!$B$798:$T$820,2+'OUTPUTS &amp; Inputs'!$B86,FALSE)</f>
        <v>BBB+</v>
      </c>
      <c r="R86" s="1771" t="str">
        <f>VLOOKUP(R$78,RATINGS!$B$798:$T$820,2+'OUTPUTS &amp; Inputs'!$B86,FALSE)</f>
        <v>BBB-</v>
      </c>
      <c r="S86" s="1771" t="str">
        <f>VLOOKUP(S$78,RATINGS!$B$798:$T$820,2+'OUTPUTS &amp; Inputs'!$B86,FALSE)</f>
        <v>BBB</v>
      </c>
      <c r="T86" s="1771" t="str">
        <f>VLOOKUP(T$78,RATINGS!$B$798:$T$820,2+'OUTPUTS &amp; Inputs'!$B86,FALSE)</f>
        <v>A-</v>
      </c>
      <c r="U86" s="1771" t="str">
        <f>VLOOKUP(U$78,RATINGS!$B$798:$T$820,2+'OUTPUTS &amp; Inputs'!$B86,FALSE)</f>
        <v>A-</v>
      </c>
      <c r="V86" s="1767" t="str">
        <f>VLOOKUP(V$78,RATINGS!$B$798:$T$820,2+'OUTPUTS &amp; Inputs'!$B86,FALSE)</f>
        <v>BBB+</v>
      </c>
      <c r="W86" s="1771" t="str">
        <f>VLOOKUP(W$78,RATINGS!$B$798:$T$820,2+'OUTPUTS &amp; Inputs'!$B86,FALSE)</f>
        <v>A</v>
      </c>
      <c r="X86" s="1767" t="str">
        <f>VLOOKUP(X$78,RATINGS!$B$798:$T$820,2+'OUTPUTS &amp; Inputs'!$B86,FALSE)</f>
        <v>BB</v>
      </c>
      <c r="Y86" s="1774" t="str">
        <f>VLOOKUP(Y$78,RATINGS!$B$798:$T$820,2+'OUTPUTS &amp; Inputs'!$B86,FALSE)</f>
        <v>BB+</v>
      </c>
      <c r="Z86" s="2292"/>
    </row>
    <row r="87" spans="1:26">
      <c r="A87" s="610">
        <v>40816</v>
      </c>
      <c r="B87" s="1753">
        <v>8</v>
      </c>
      <c r="C87" s="1770" t="str">
        <f>VLOOKUP(C$78,RATINGS!$B$798:$T$820,2+'OUTPUTS &amp; Inputs'!$B87,FALSE)</f>
        <v>BBB+</v>
      </c>
      <c r="D87" s="1771" t="str">
        <f>VLOOKUP(D$78,RATINGS!$B$798:$T$820,2+'OUTPUTS &amp; Inputs'!$B87,FALSE)</f>
        <v>BBB</v>
      </c>
      <c r="E87" s="1773" t="str">
        <f>VLOOKUP(E$78,RATINGS!$B$798:$T$820,2+'OUTPUTS &amp; Inputs'!$B87,FALSE)</f>
        <v>A</v>
      </c>
      <c r="F87" s="1767" t="str">
        <f>VLOOKUP(F$78,RATINGS!$B$798:$T$820,2+'OUTPUTS &amp; Inputs'!$B87,FALSE)</f>
        <v>BBB-</v>
      </c>
      <c r="G87" s="604" t="str">
        <f>VLOOKUP(G$78,RATINGS!$B$798:$T$820,2+'OUTPUTS &amp; Inputs'!$B87,FALSE)</f>
        <v>BB-</v>
      </c>
      <c r="H87" s="1771" t="str">
        <f>VLOOKUP(H$78,RATINGS!$B$798:$T$820,2+'OUTPUTS &amp; Inputs'!$B87,FALSE)</f>
        <v>BBB</v>
      </c>
      <c r="I87" s="1771" t="str">
        <f>VLOOKUP(I$78,RATINGS!$B$798:$T$820,2+'OUTPUTS &amp; Inputs'!$B87,FALSE)</f>
        <v>BBB</v>
      </c>
      <c r="J87" s="1771" t="str">
        <f>VLOOKUP(J$78,RATINGS!$B$798:$T$820,2+'OUTPUTS &amp; Inputs'!$B87,FALSE)</f>
        <v>BBB</v>
      </c>
      <c r="K87" s="1767" t="str">
        <f>VLOOKUP(K$78,RATINGS!$B$798:$T$820,2+'OUTPUTS &amp; Inputs'!$B87,FALSE)</f>
        <v>A-</v>
      </c>
      <c r="L87" s="604" t="str">
        <f>VLOOKUP(L$78,RATINGS!$B$798:$T$820,2+'OUTPUTS &amp; Inputs'!$B87,FALSE)</f>
        <v>A-</v>
      </c>
      <c r="M87" s="604" t="str">
        <f>VLOOKUP(M$78,RATINGS!$B$798:$T$820,2+'OUTPUTS &amp; Inputs'!$B87,FALSE)</f>
        <v>B-</v>
      </c>
      <c r="N87" s="1771" t="str">
        <f>VLOOKUP(N$78,RATINGS!$B$798:$T$820,2+'OUTPUTS &amp; Inputs'!$B87,FALSE)</f>
        <v>BBB-</v>
      </c>
      <c r="O87" s="1771" t="str">
        <f>VLOOKUP(O$78,RATINGS!$B$798:$T$820,2+'OUTPUTS &amp; Inputs'!$B87,FALSE)</f>
        <v>A-</v>
      </c>
      <c r="P87" s="1771" t="str">
        <f>VLOOKUP(P$78,RATINGS!$B$798:$T$820,2+'OUTPUTS &amp; Inputs'!$B87,FALSE)</f>
        <v>BBB-</v>
      </c>
      <c r="Q87" s="604" t="str">
        <f>VLOOKUP(Q$78,RATINGS!$B$798:$T$820,2+'OUTPUTS &amp; Inputs'!$B87,FALSE)</f>
        <v>BBB+</v>
      </c>
      <c r="R87" s="1771" t="str">
        <f>VLOOKUP(R$78,RATINGS!$B$798:$T$820,2+'OUTPUTS &amp; Inputs'!$B87,FALSE)</f>
        <v>BBB-</v>
      </c>
      <c r="S87" s="1771" t="str">
        <f>VLOOKUP(S$78,RATINGS!$B$798:$T$820,2+'OUTPUTS &amp; Inputs'!$B87,FALSE)</f>
        <v>BBB</v>
      </c>
      <c r="T87" s="1771" t="str">
        <f>VLOOKUP(T$78,RATINGS!$B$798:$T$820,2+'OUTPUTS &amp; Inputs'!$B87,FALSE)</f>
        <v>A-</v>
      </c>
      <c r="U87" s="1771" t="str">
        <f>VLOOKUP(U$78,RATINGS!$B$798:$T$820,2+'OUTPUTS &amp; Inputs'!$B87,FALSE)</f>
        <v>A-</v>
      </c>
      <c r="V87" s="1767" t="str">
        <f>VLOOKUP(V$78,RATINGS!$B$798:$T$820,2+'OUTPUTS &amp; Inputs'!$B87,FALSE)</f>
        <v>BBB+</v>
      </c>
      <c r="W87" s="1771" t="str">
        <f>VLOOKUP(W$78,RATINGS!$B$798:$T$820,2+'OUTPUTS &amp; Inputs'!$B87,FALSE)</f>
        <v>A</v>
      </c>
      <c r="X87" s="1767" t="str">
        <f>VLOOKUP(X$78,RATINGS!$B$798:$T$820,2+'OUTPUTS &amp; Inputs'!$B87,FALSE)</f>
        <v>BB</v>
      </c>
      <c r="Y87" s="1774" t="str">
        <f>VLOOKUP(Y$78,RATINGS!$B$798:$T$820,2+'OUTPUTS &amp; Inputs'!$B87,FALSE)</f>
        <v>BB+</v>
      </c>
      <c r="Z87" s="2292"/>
    </row>
    <row r="88" spans="1:26">
      <c r="A88" s="610">
        <v>40908</v>
      </c>
      <c r="B88" s="1753">
        <v>9</v>
      </c>
      <c r="C88" s="1770" t="str">
        <f>VLOOKUP(C$78,RATINGS!$B$798:$T$820,2+'OUTPUTS &amp; Inputs'!$B88,FALSE)</f>
        <v>BBB+</v>
      </c>
      <c r="D88" s="1771" t="str">
        <f>VLOOKUP(D$78,RATINGS!$B$798:$T$820,2+'OUTPUTS &amp; Inputs'!$B88,FALSE)</f>
        <v>BBB</v>
      </c>
      <c r="E88" s="604" t="str">
        <f>VLOOKUP(E$78,RATINGS!$B$798:$T$820,2+'OUTPUTS &amp; Inputs'!$B88,FALSE)</f>
        <v>A</v>
      </c>
      <c r="F88" s="1767" t="str">
        <f>VLOOKUP(F$78,RATINGS!$B$798:$T$820,2+'OUTPUTS &amp; Inputs'!$B88,FALSE)</f>
        <v>BBB-</v>
      </c>
      <c r="G88" s="604" t="str">
        <f>VLOOKUP(G$78,RATINGS!$B$798:$T$820,2+'OUTPUTS &amp; Inputs'!$B88,FALSE)</f>
        <v>BB-</v>
      </c>
      <c r="H88" s="1771" t="str">
        <f>VLOOKUP(H$78,RATINGS!$B$798:$T$820,2+'OUTPUTS &amp; Inputs'!$B88,FALSE)</f>
        <v>BBB</v>
      </c>
      <c r="I88" s="1771" t="str">
        <f>VLOOKUP(I$78,RATINGS!$B$798:$T$820,2+'OUTPUTS &amp; Inputs'!$B88,FALSE)</f>
        <v>BBB</v>
      </c>
      <c r="J88" s="1771" t="str">
        <f>VLOOKUP(J$78,RATINGS!$B$798:$T$820,2+'OUTPUTS &amp; Inputs'!$B88,FALSE)</f>
        <v>BBB</v>
      </c>
      <c r="K88" s="1767" t="str">
        <f>VLOOKUP(K$78,RATINGS!$B$798:$T$820,2+'OUTPUTS &amp; Inputs'!$B88,FALSE)</f>
        <v>A-</v>
      </c>
      <c r="L88" s="604" t="str">
        <f>VLOOKUP(L$78,RATINGS!$B$798:$T$820,2+'OUTPUTS &amp; Inputs'!$B88,FALSE)</f>
        <v>A-</v>
      </c>
      <c r="M88" s="604" t="str">
        <f>VLOOKUP(M$78,RATINGS!$B$798:$T$820,2+'OUTPUTS &amp; Inputs'!$B88,FALSE)</f>
        <v>B-</v>
      </c>
      <c r="N88" s="1771" t="str">
        <f>VLOOKUP(N$78,RATINGS!$B$798:$T$820,2+'OUTPUTS &amp; Inputs'!$B88,FALSE)</f>
        <v>BBB-</v>
      </c>
      <c r="O88" s="1771" t="str">
        <f>VLOOKUP(O$78,RATINGS!$B$798:$T$820,2+'OUTPUTS &amp; Inputs'!$B88,FALSE)</f>
        <v>A-</v>
      </c>
      <c r="P88" s="1771" t="str">
        <f>VLOOKUP(P$78,RATINGS!$B$798:$T$820,2+'OUTPUTS &amp; Inputs'!$B88,FALSE)</f>
        <v>BBB-</v>
      </c>
      <c r="Q88" s="604" t="str">
        <f>VLOOKUP(Q$78,RATINGS!$B$798:$T$820,2+'OUTPUTS &amp; Inputs'!$B88,FALSE)</f>
        <v>BBB+</v>
      </c>
      <c r="R88" s="1771" t="str">
        <f>VLOOKUP(R$78,RATINGS!$B$798:$T$820,2+'OUTPUTS &amp; Inputs'!$B88,FALSE)</f>
        <v>BBB-</v>
      </c>
      <c r="S88" s="1771" t="str">
        <f>VLOOKUP(S$78,RATINGS!$B$798:$T$820,2+'OUTPUTS &amp; Inputs'!$B88,FALSE)</f>
        <v>BBB</v>
      </c>
      <c r="T88" s="1771" t="str">
        <f>VLOOKUP(T$78,RATINGS!$B$798:$T$820,2+'OUTPUTS &amp; Inputs'!$B88,FALSE)</f>
        <v>A-</v>
      </c>
      <c r="U88" s="1771" t="str">
        <f>VLOOKUP(U$78,RATINGS!$B$798:$T$820,2+'OUTPUTS &amp; Inputs'!$B88,FALSE)</f>
        <v>A-</v>
      </c>
      <c r="V88" s="1767" t="str">
        <f>VLOOKUP(V$78,RATINGS!$B$798:$T$820,2+'OUTPUTS &amp; Inputs'!$B88,FALSE)</f>
        <v>BBB+</v>
      </c>
      <c r="W88" s="1771" t="str">
        <f>VLOOKUP(W$78,RATINGS!$B$798:$T$820,2+'OUTPUTS &amp; Inputs'!$B88,FALSE)</f>
        <v>A</v>
      </c>
      <c r="X88" s="1767" t="str">
        <f>VLOOKUP(X$78,RATINGS!$B$798:$T$820,2+'OUTPUTS &amp; Inputs'!$B88,FALSE)</f>
        <v>BB</v>
      </c>
      <c r="Y88" s="1774" t="str">
        <f>VLOOKUP(Y$78,RATINGS!$B$798:$T$820,2+'OUTPUTS &amp; Inputs'!$B88,FALSE)</f>
        <v>BB+</v>
      </c>
      <c r="Z88" s="2292"/>
    </row>
    <row r="89" spans="1:26">
      <c r="A89" s="610">
        <v>40999</v>
      </c>
      <c r="B89" s="1753">
        <v>10</v>
      </c>
      <c r="C89" s="1770" t="str">
        <f>VLOOKUP(C$78,RATINGS!$B$798:$T$820,2+'OUTPUTS &amp; Inputs'!$B89,FALSE)</f>
        <v>BBB+</v>
      </c>
      <c r="D89" s="1771" t="str">
        <f>VLOOKUP(D$78,RATINGS!$B$798:$T$820,2+'OUTPUTS &amp; Inputs'!$B89,FALSE)</f>
        <v>BBB</v>
      </c>
      <c r="E89" s="604" t="str">
        <f>VLOOKUP(E$78,RATINGS!$B$798:$T$820,2+'OUTPUTS &amp; Inputs'!$B89,FALSE)</f>
        <v>A</v>
      </c>
      <c r="F89" s="1767" t="str">
        <f>VLOOKUP(F$78,RATINGS!$B$798:$T$820,2+'OUTPUTS &amp; Inputs'!$B89,FALSE)</f>
        <v>BBB-</v>
      </c>
      <c r="G89" s="604" t="str">
        <f>VLOOKUP(G$78,RATINGS!$B$798:$T$820,2+'OUTPUTS &amp; Inputs'!$B89,FALSE)</f>
        <v>BB-</v>
      </c>
      <c r="H89" s="1771" t="str">
        <f>VLOOKUP(H$78,RATINGS!$B$798:$T$820,2+'OUTPUTS &amp; Inputs'!$B89,FALSE)</f>
        <v>BBB</v>
      </c>
      <c r="I89" s="1771" t="str">
        <f>VLOOKUP(I$78,RATINGS!$B$798:$T$820,2+'OUTPUTS &amp; Inputs'!$B89,FALSE)</f>
        <v>BBB</v>
      </c>
      <c r="J89" s="1771" t="str">
        <f>VLOOKUP(J$78,RATINGS!$B$798:$T$820,2+'OUTPUTS &amp; Inputs'!$B89,FALSE)</f>
        <v>BBB</v>
      </c>
      <c r="K89" s="1767" t="str">
        <f>VLOOKUP(K$78,RATINGS!$B$798:$T$820,2+'OUTPUTS &amp; Inputs'!$B89,FALSE)</f>
        <v>A-</v>
      </c>
      <c r="L89" s="604" t="str">
        <f>VLOOKUP(L$78,RATINGS!$B$798:$T$820,2+'OUTPUTS &amp; Inputs'!$B89,FALSE)</f>
        <v>A-</v>
      </c>
      <c r="M89" s="604" t="str">
        <f>VLOOKUP(M$78,RATINGS!$B$798:$T$820,2+'OUTPUTS &amp; Inputs'!$B89,FALSE)</f>
        <v>B-</v>
      </c>
      <c r="N89" s="1771" t="str">
        <f>VLOOKUP(N$78,RATINGS!$B$798:$T$820,2+'OUTPUTS &amp; Inputs'!$B89,FALSE)</f>
        <v>BBB-</v>
      </c>
      <c r="O89" s="1771" t="str">
        <f>VLOOKUP(O$78,RATINGS!$B$798:$T$820,2+'OUTPUTS &amp; Inputs'!$B89,FALSE)</f>
        <v>A-</v>
      </c>
      <c r="P89" s="1771" t="str">
        <f>VLOOKUP(P$78,RATINGS!$B$798:$T$820,2+'OUTPUTS &amp; Inputs'!$B89,FALSE)</f>
        <v>BBB-</v>
      </c>
      <c r="Q89" s="604" t="str">
        <f>VLOOKUP(Q$78,RATINGS!$B$798:$T$820,2+'OUTPUTS &amp; Inputs'!$B89,FALSE)</f>
        <v>BBB+</v>
      </c>
      <c r="R89" s="1771" t="str">
        <f>VLOOKUP(R$78,RATINGS!$B$798:$T$820,2+'OUTPUTS &amp; Inputs'!$B89,FALSE)</f>
        <v>BBB-</v>
      </c>
      <c r="S89" s="1771" t="str">
        <f>VLOOKUP(S$78,RATINGS!$B$798:$T$820,2+'OUTPUTS &amp; Inputs'!$B89,FALSE)</f>
        <v>BBB</v>
      </c>
      <c r="T89" s="1771" t="str">
        <f>VLOOKUP(T$78,RATINGS!$B$798:$T$820,2+'OUTPUTS &amp; Inputs'!$B89,FALSE)</f>
        <v>A-</v>
      </c>
      <c r="U89" s="1771" t="str">
        <f>VLOOKUP(U$78,RATINGS!$B$798:$T$820,2+'OUTPUTS &amp; Inputs'!$B89,FALSE)</f>
        <v>A-</v>
      </c>
      <c r="V89" s="1767" t="str">
        <f>VLOOKUP(V$78,RATINGS!$B$798:$T$820,2+'OUTPUTS &amp; Inputs'!$B89,FALSE)</f>
        <v>BBB+</v>
      </c>
      <c r="W89" s="1771" t="str">
        <f>VLOOKUP(W$78,RATINGS!$B$798:$T$820,2+'OUTPUTS &amp; Inputs'!$B89,FALSE)</f>
        <v>A</v>
      </c>
      <c r="X89" s="1767" t="str">
        <f>VLOOKUP(X$78,RATINGS!$B$798:$T$820,2+'OUTPUTS &amp; Inputs'!$B89,FALSE)</f>
        <v>BB</v>
      </c>
      <c r="Y89" s="1774" t="str">
        <f>VLOOKUP(Y$78,RATINGS!$B$798:$T$820,2+'OUTPUTS &amp; Inputs'!$B89,FALSE)</f>
        <v>BB+</v>
      </c>
      <c r="Z89" s="2292"/>
    </row>
    <row r="90" spans="1:26">
      <c r="A90" s="610">
        <v>41090</v>
      </c>
      <c r="B90" s="1753">
        <v>11</v>
      </c>
      <c r="C90" s="1770" t="str">
        <f>VLOOKUP(C$78,RATINGS!$B$798:$T$820,2+'OUTPUTS &amp; Inputs'!$B90,FALSE)</f>
        <v>BBB+</v>
      </c>
      <c r="D90" s="1771" t="str">
        <f>VLOOKUP(D$78,RATINGS!$B$798:$T$820,2+'OUTPUTS &amp; Inputs'!$B90,FALSE)</f>
        <v>BBB</v>
      </c>
      <c r="E90" s="604" t="str">
        <f>VLOOKUP(E$78,RATINGS!$B$798:$T$820,2+'OUTPUTS &amp; Inputs'!$B90,FALSE)</f>
        <v>A</v>
      </c>
      <c r="F90" s="1767" t="str">
        <f>VLOOKUP(F$78,RATINGS!$B$798:$T$820,2+'OUTPUTS &amp; Inputs'!$B90,FALSE)</f>
        <v>BB+</v>
      </c>
      <c r="G90" s="604" t="str">
        <f>VLOOKUP(G$78,RATINGS!$B$798:$T$820,2+'OUTPUTS &amp; Inputs'!$B90,FALSE)</f>
        <v>BB-</v>
      </c>
      <c r="H90" s="1771" t="str">
        <f>VLOOKUP(H$78,RATINGS!$B$798:$T$820,2+'OUTPUTS &amp; Inputs'!$B90,FALSE)</f>
        <v>BBB</v>
      </c>
      <c r="I90" s="1771" t="str">
        <f>VLOOKUP(I$78,RATINGS!$B$798:$T$820,2+'OUTPUTS &amp; Inputs'!$B90,FALSE)</f>
        <v>BBB</v>
      </c>
      <c r="J90" s="1771" t="str">
        <f>VLOOKUP(J$78,RATINGS!$B$798:$T$820,2+'OUTPUTS &amp; Inputs'!$B90,FALSE)</f>
        <v>BBB</v>
      </c>
      <c r="K90" s="1767" t="str">
        <f>VLOOKUP(K$78,RATINGS!$B$798:$T$820,2+'OUTPUTS &amp; Inputs'!$B90,FALSE)</f>
        <v>A-</v>
      </c>
      <c r="L90" s="604" t="str">
        <f>VLOOKUP(L$78,RATINGS!$B$798:$T$820,2+'OUTPUTS &amp; Inputs'!$B90,FALSE)</f>
        <v>A-</v>
      </c>
      <c r="M90" s="604" t="str">
        <f>VLOOKUP(M$78,RATINGS!$B$798:$T$820,2+'OUTPUTS &amp; Inputs'!$B90,FALSE)</f>
        <v>B-</v>
      </c>
      <c r="N90" s="1771" t="str">
        <f>VLOOKUP(N$78,RATINGS!$B$798:$T$820,2+'OUTPUTS &amp; Inputs'!$B90,FALSE)</f>
        <v>BBB-</v>
      </c>
      <c r="O90" s="1771" t="str">
        <f>VLOOKUP(O$78,RATINGS!$B$798:$T$820,2+'OUTPUTS &amp; Inputs'!$B90,FALSE)</f>
        <v>A-</v>
      </c>
      <c r="P90" s="1771" t="str">
        <f>VLOOKUP(P$78,RATINGS!$B$798:$T$820,2+'OUTPUTS &amp; Inputs'!$B90,FALSE)</f>
        <v>BBB-</v>
      </c>
      <c r="Q90" s="604" t="str">
        <f>VLOOKUP(Q$78,RATINGS!$B$798:$T$820,2+'OUTPUTS &amp; Inputs'!$B90,FALSE)</f>
        <v>BBB+</v>
      </c>
      <c r="R90" s="1771" t="str">
        <f>VLOOKUP(R$78,RATINGS!$B$798:$T$820,2+'OUTPUTS &amp; Inputs'!$B90,FALSE)</f>
        <v>BBB-</v>
      </c>
      <c r="S90" s="1771" t="str">
        <f>VLOOKUP(S$78,RATINGS!$B$798:$T$820,2+'OUTPUTS &amp; Inputs'!$B90,FALSE)</f>
        <v>BBB</v>
      </c>
      <c r="T90" s="1771" t="str">
        <f>VLOOKUP(T$78,RATINGS!$B$798:$T$820,2+'OUTPUTS &amp; Inputs'!$B90,FALSE)</f>
        <v>A-</v>
      </c>
      <c r="U90" s="1771" t="str">
        <f>VLOOKUP(U$78,RATINGS!$B$798:$T$820,2+'OUTPUTS &amp; Inputs'!$B90,FALSE)</f>
        <v>A-</v>
      </c>
      <c r="V90" s="1767" t="str">
        <f>VLOOKUP(V$78,RATINGS!$B$798:$T$820,2+'OUTPUTS &amp; Inputs'!$B90,FALSE)</f>
        <v>BBB</v>
      </c>
      <c r="W90" s="1771" t="str">
        <f>VLOOKUP(W$78,RATINGS!$B$798:$T$820,2+'OUTPUTS &amp; Inputs'!$B90,FALSE)</f>
        <v>A</v>
      </c>
      <c r="X90" s="1767" t="str">
        <f>VLOOKUP(X$78,RATINGS!$B$798:$T$820,2+'OUTPUTS &amp; Inputs'!$B90,FALSE)</f>
        <v>BB</v>
      </c>
      <c r="Y90" s="1774" t="str">
        <f>VLOOKUP(Y$78,RATINGS!$B$798:$T$820,2+'OUTPUTS &amp; Inputs'!$B90,FALSE)</f>
        <v>BB+</v>
      </c>
      <c r="Z90" s="2292"/>
    </row>
    <row r="91" spans="1:26">
      <c r="A91" s="610">
        <v>41182</v>
      </c>
      <c r="B91" s="1753">
        <v>12</v>
      </c>
      <c r="C91" s="1770" t="str">
        <f>VLOOKUP(C$78,RATINGS!$B$798:$T$820,2+'OUTPUTS &amp; Inputs'!$B91,FALSE)</f>
        <v>BBB+</v>
      </c>
      <c r="D91" s="1771" t="str">
        <f>VLOOKUP(D$78,RATINGS!$B$798:$T$820,2+'OUTPUTS &amp; Inputs'!$B91,FALSE)</f>
        <v>BBB</v>
      </c>
      <c r="E91" s="604" t="str">
        <f>VLOOKUP(E$78,RATINGS!$B$798:$T$820,2+'OUTPUTS &amp; Inputs'!$B91,FALSE)</f>
        <v>A</v>
      </c>
      <c r="F91" s="1767" t="str">
        <f>VLOOKUP(F$78,RATINGS!$B$798:$T$820,2+'OUTPUTS &amp; Inputs'!$B91,FALSE)</f>
        <v>BB+</v>
      </c>
      <c r="G91" s="604" t="str">
        <f>VLOOKUP(G$78,RATINGS!$B$798:$T$820,2+'OUTPUTS &amp; Inputs'!$B91,FALSE)</f>
        <v>B+</v>
      </c>
      <c r="H91" s="1771" t="str">
        <f>VLOOKUP(H$78,RATINGS!$B$798:$T$820,2+'OUTPUTS &amp; Inputs'!$B91,FALSE)</f>
        <v>BBB</v>
      </c>
      <c r="I91" s="1771" t="str">
        <f>VLOOKUP(I$78,RATINGS!$B$798:$T$820,2+'OUTPUTS &amp; Inputs'!$B91,FALSE)</f>
        <v>BBB</v>
      </c>
      <c r="J91" s="1771" t="str">
        <f>VLOOKUP(J$78,RATINGS!$B$798:$T$820,2+'OUTPUTS &amp; Inputs'!$B91,FALSE)</f>
        <v>BBB</v>
      </c>
      <c r="K91" s="1767" t="str">
        <f>VLOOKUP(K$78,RATINGS!$B$798:$T$820,2+'OUTPUTS &amp; Inputs'!$B91,FALSE)</f>
        <v>A-</v>
      </c>
      <c r="L91" s="604" t="str">
        <f>VLOOKUP(L$78,RATINGS!$B$798:$T$820,2+'OUTPUTS &amp; Inputs'!$B91,FALSE)</f>
        <v>A-</v>
      </c>
      <c r="M91" s="604" t="str">
        <f>VLOOKUP(M$78,RATINGS!$B$798:$T$820,2+'OUTPUTS &amp; Inputs'!$B91,FALSE)</f>
        <v>B-</v>
      </c>
      <c r="N91" s="1771" t="str">
        <f>VLOOKUP(N$78,RATINGS!$B$798:$T$820,2+'OUTPUTS &amp; Inputs'!$B91,FALSE)</f>
        <v>BBB-</v>
      </c>
      <c r="O91" s="1771" t="str">
        <f>VLOOKUP(O$78,RATINGS!$B$798:$T$820,2+'OUTPUTS &amp; Inputs'!$B91,FALSE)</f>
        <v>A-</v>
      </c>
      <c r="P91" s="1771" t="str">
        <f>VLOOKUP(P$78,RATINGS!$B$798:$T$820,2+'OUTPUTS &amp; Inputs'!$B91,FALSE)</f>
        <v>BBB-</v>
      </c>
      <c r="Q91" s="604" t="str">
        <f>VLOOKUP(Q$78,RATINGS!$B$798:$T$820,2+'OUTPUTS &amp; Inputs'!$B91,FALSE)</f>
        <v>BBB+</v>
      </c>
      <c r="R91" s="1771" t="str">
        <f>VLOOKUP(R$78,RATINGS!$B$798:$T$820,2+'OUTPUTS &amp; Inputs'!$B91,FALSE)</f>
        <v>BBB-</v>
      </c>
      <c r="S91" s="1771" t="str">
        <f>VLOOKUP(S$78,RATINGS!$B$798:$T$820,2+'OUTPUTS &amp; Inputs'!$B91,FALSE)</f>
        <v>BBB</v>
      </c>
      <c r="T91" s="1771" t="str">
        <f>VLOOKUP(T$78,RATINGS!$B$798:$T$820,2+'OUTPUTS &amp; Inputs'!$B91,FALSE)</f>
        <v>A-</v>
      </c>
      <c r="U91" s="1771" t="str">
        <f>VLOOKUP(U$78,RATINGS!$B$798:$T$820,2+'OUTPUTS &amp; Inputs'!$B91,FALSE)</f>
        <v>A-</v>
      </c>
      <c r="V91" s="1767" t="str">
        <f>VLOOKUP(V$78,RATINGS!$B$798:$T$820,2+'OUTPUTS &amp; Inputs'!$B91,FALSE)</f>
        <v>BBB</v>
      </c>
      <c r="W91" s="1771" t="str">
        <f>VLOOKUP(W$78,RATINGS!$B$798:$T$820,2+'OUTPUTS &amp; Inputs'!$B91,FALSE)</f>
        <v>A</v>
      </c>
      <c r="X91" s="1767" t="str">
        <f>VLOOKUP(X$78,RATINGS!$B$798:$T$820,2+'OUTPUTS &amp; Inputs'!$B91,FALSE)</f>
        <v>BB</v>
      </c>
      <c r="Y91" s="1774" t="str">
        <f>VLOOKUP(Y$78,RATINGS!$B$798:$T$820,2+'OUTPUTS &amp; Inputs'!$B91,FALSE)</f>
        <v>BB+</v>
      </c>
      <c r="Z91" s="2292"/>
    </row>
    <row r="92" spans="1:26">
      <c r="A92" s="610">
        <v>41274</v>
      </c>
      <c r="B92" s="1753">
        <v>13</v>
      </c>
      <c r="C92" s="1770" t="str">
        <f>VLOOKUP(C$78,RATINGS!$B$798:$T$820,2+'OUTPUTS &amp; Inputs'!$B92,FALSE)</f>
        <v>BBB+</v>
      </c>
      <c r="D92" s="1771" t="str">
        <f>VLOOKUP(D$78,RATINGS!$B$798:$T$820,2+'OUTPUTS &amp; Inputs'!$B92,FALSE)</f>
        <v>BBB</v>
      </c>
      <c r="E92" s="604" t="str">
        <f>VLOOKUP(E$78,RATINGS!$B$798:$T$820,2+'OUTPUTS &amp; Inputs'!$B92,FALSE)</f>
        <v>A</v>
      </c>
      <c r="F92" s="1767" t="str">
        <f>VLOOKUP(F$78,RATINGS!$B$798:$T$820,2+'OUTPUTS &amp; Inputs'!$B92,FALSE)</f>
        <v>BB+</v>
      </c>
      <c r="G92" s="604" t="str">
        <f>VLOOKUP(G$78,RATINGS!$B$798:$T$820,2+'OUTPUTS &amp; Inputs'!$B92,FALSE)</f>
        <v>B+</v>
      </c>
      <c r="H92" s="1771" t="str">
        <f>VLOOKUP(H$78,RATINGS!$B$798:$T$820,2+'OUTPUTS &amp; Inputs'!$B92,FALSE)</f>
        <v>BBB</v>
      </c>
      <c r="I92" s="1771" t="str">
        <f>VLOOKUP(I$78,RATINGS!$B$798:$T$820,2+'OUTPUTS &amp; Inputs'!$B92,FALSE)</f>
        <v>BBB</v>
      </c>
      <c r="J92" s="1771" t="str">
        <f>VLOOKUP(J$78,RATINGS!$B$798:$T$820,2+'OUTPUTS &amp; Inputs'!$B92,FALSE)</f>
        <v>BBB</v>
      </c>
      <c r="K92" s="1767" t="str">
        <f>VLOOKUP(K$78,RATINGS!$B$798:$T$820,2+'OUTPUTS &amp; Inputs'!$B92,FALSE)</f>
        <v>A-</v>
      </c>
      <c r="L92" s="604" t="str">
        <f>VLOOKUP(L$78,RATINGS!$B$798:$T$820,2+'OUTPUTS &amp; Inputs'!$B92,FALSE)</f>
        <v>A-</v>
      </c>
      <c r="M92" s="604" t="str">
        <f>VLOOKUP(M$78,RATINGS!$B$798:$T$820,2+'OUTPUTS &amp; Inputs'!$B92,FALSE)</f>
        <v>B-</v>
      </c>
      <c r="N92" s="1771" t="str">
        <f>VLOOKUP(N$78,RATINGS!$B$798:$T$820,2+'OUTPUTS &amp; Inputs'!$B92,FALSE)</f>
        <v>BBB-</v>
      </c>
      <c r="O92" s="1771" t="str">
        <f>VLOOKUP(O$78,RATINGS!$B$798:$T$820,2+'OUTPUTS &amp; Inputs'!$B92,FALSE)</f>
        <v>A-</v>
      </c>
      <c r="P92" s="1771" t="str">
        <f>VLOOKUP(P$78,RATINGS!$B$798:$T$820,2+'OUTPUTS &amp; Inputs'!$B92,FALSE)</f>
        <v>BBB-</v>
      </c>
      <c r="Q92" s="604" t="str">
        <f>VLOOKUP(Q$78,RATINGS!$B$798:$T$820,2+'OUTPUTS &amp; Inputs'!$B92,FALSE)</f>
        <v>BBB+</v>
      </c>
      <c r="R92" s="1771" t="str">
        <f>VLOOKUP(R$78,RATINGS!$B$798:$T$820,2+'OUTPUTS &amp; Inputs'!$B92,FALSE)</f>
        <v>BBB-</v>
      </c>
      <c r="S92" s="1771" t="str">
        <f>VLOOKUP(S$78,RATINGS!$B$798:$T$820,2+'OUTPUTS &amp; Inputs'!$B92,FALSE)</f>
        <v>BBB</v>
      </c>
      <c r="T92" s="1771" t="str">
        <f>VLOOKUP(T$78,RATINGS!$B$798:$T$820,2+'OUTPUTS &amp; Inputs'!$B92,FALSE)</f>
        <v>A-</v>
      </c>
      <c r="U92" s="1771" t="str">
        <f>VLOOKUP(U$78,RATINGS!$B$798:$T$820,2+'OUTPUTS &amp; Inputs'!$B92,FALSE)</f>
        <v>A-</v>
      </c>
      <c r="V92" s="1767" t="str">
        <f>VLOOKUP(V$78,RATINGS!$B$798:$T$820,2+'OUTPUTS &amp; Inputs'!$B92,FALSE)</f>
        <v>BBB</v>
      </c>
      <c r="W92" s="1771" t="str">
        <f>VLOOKUP(W$78,RATINGS!$B$798:$T$820,2+'OUTPUTS &amp; Inputs'!$B92,FALSE)</f>
        <v>A</v>
      </c>
      <c r="X92" s="1767" t="str">
        <f>VLOOKUP(X$78,RATINGS!$B$798:$T$820,2+'OUTPUTS &amp; Inputs'!$B92,FALSE)</f>
        <v>BB</v>
      </c>
      <c r="Y92" s="1774" t="str">
        <f>VLOOKUP(Y$78,RATINGS!$B$798:$T$820,2+'OUTPUTS &amp; Inputs'!$B92,FALSE)</f>
        <v>BB+</v>
      </c>
      <c r="Z92" s="2292"/>
    </row>
    <row r="93" spans="1:26">
      <c r="A93" s="610">
        <v>41364</v>
      </c>
      <c r="B93" s="1753">
        <v>14</v>
      </c>
      <c r="C93" s="1770" t="str">
        <f>VLOOKUP(C$78,RATINGS!$B$798:$T$820,2+'OUTPUTS &amp; Inputs'!$B93,FALSE)</f>
        <v>BBB+</v>
      </c>
      <c r="D93" s="1771" t="str">
        <f>VLOOKUP(D$78,RATINGS!$B$798:$T$820,2+'OUTPUTS &amp; Inputs'!$B93,FALSE)</f>
        <v>BBB</v>
      </c>
      <c r="E93" s="604" t="str">
        <f>VLOOKUP(E$78,RATINGS!$B$798:$T$820,2+'OUTPUTS &amp; Inputs'!$B93,FALSE)</f>
        <v>A</v>
      </c>
      <c r="F93" s="1767" t="str">
        <f>VLOOKUP(F$78,RATINGS!$B$798:$T$820,2+'OUTPUTS &amp; Inputs'!$B93,FALSE)</f>
        <v>BB+</v>
      </c>
      <c r="G93" s="604" t="str">
        <f>VLOOKUP(G$78,RATINGS!$B$798:$T$820,2+'OUTPUTS &amp; Inputs'!$B93,FALSE)</f>
        <v>B+</v>
      </c>
      <c r="H93" s="1771" t="str">
        <f>VLOOKUP(H$78,RATINGS!$B$798:$T$820,2+'OUTPUTS &amp; Inputs'!$B93,FALSE)</f>
        <v>BBB</v>
      </c>
      <c r="I93" s="1771" t="str">
        <f>VLOOKUP(I$78,RATINGS!$B$798:$T$820,2+'OUTPUTS &amp; Inputs'!$B93,FALSE)</f>
        <v>BBB</v>
      </c>
      <c r="J93" s="1771" t="str">
        <f>VLOOKUP(J$78,RATINGS!$B$798:$T$820,2+'OUTPUTS &amp; Inputs'!$B93,FALSE)</f>
        <v>BBB</v>
      </c>
      <c r="K93" s="1767" t="str">
        <f>VLOOKUP(K$78,RATINGS!$B$798:$T$820,2+'OUTPUTS &amp; Inputs'!$B93,FALSE)</f>
        <v>A-</v>
      </c>
      <c r="L93" s="604" t="str">
        <f>VLOOKUP(L$78,RATINGS!$B$798:$T$820,2+'OUTPUTS &amp; Inputs'!$B93,FALSE)</f>
        <v>A-</v>
      </c>
      <c r="M93" s="604" t="str">
        <f>VLOOKUP(M$78,RATINGS!$B$798:$T$820,2+'OUTPUTS &amp; Inputs'!$B93,FALSE)</f>
        <v>B-</v>
      </c>
      <c r="N93" s="1771" t="str">
        <f>VLOOKUP(N$78,RATINGS!$B$798:$T$820,2+'OUTPUTS &amp; Inputs'!$B93,FALSE)</f>
        <v>BBB-</v>
      </c>
      <c r="O93" s="1771" t="str">
        <f>VLOOKUP(O$78,RATINGS!$B$798:$T$820,2+'OUTPUTS &amp; Inputs'!$B93,FALSE)</f>
        <v>A-</v>
      </c>
      <c r="P93" s="1771" t="str">
        <f>VLOOKUP(P$78,RATINGS!$B$798:$T$820,2+'OUTPUTS &amp; Inputs'!$B93,FALSE)</f>
        <v>BBB-</v>
      </c>
      <c r="Q93" s="604" t="str">
        <f>VLOOKUP(Q$78,RATINGS!$B$798:$T$820,2+'OUTPUTS &amp; Inputs'!$B93,FALSE)</f>
        <v>BBB+</v>
      </c>
      <c r="R93" s="1771" t="str">
        <f>VLOOKUP(R$78,RATINGS!$B$798:$T$820,2+'OUTPUTS &amp; Inputs'!$B93,FALSE)</f>
        <v>BBB-</v>
      </c>
      <c r="S93" s="1771" t="str">
        <f>VLOOKUP(S$78,RATINGS!$B$798:$T$820,2+'OUTPUTS &amp; Inputs'!$B93,FALSE)</f>
        <v>BBB</v>
      </c>
      <c r="T93" s="1771" t="str">
        <f>VLOOKUP(T$78,RATINGS!$B$798:$T$820,2+'OUTPUTS &amp; Inputs'!$B93,FALSE)</f>
        <v>A-</v>
      </c>
      <c r="U93" s="1771" t="str">
        <f>VLOOKUP(U$78,RATINGS!$B$798:$T$820,2+'OUTPUTS &amp; Inputs'!$B93,FALSE)</f>
        <v>A-</v>
      </c>
      <c r="V93" s="1767" t="str">
        <f>VLOOKUP(V$78,RATINGS!$B$798:$T$820,2+'OUTPUTS &amp; Inputs'!$B93,FALSE)</f>
        <v>BBB</v>
      </c>
      <c r="W93" s="1771" t="str">
        <f>VLOOKUP(W$78,RATINGS!$B$798:$T$820,2+'OUTPUTS &amp; Inputs'!$B93,FALSE)</f>
        <v>A</v>
      </c>
      <c r="X93" s="1767" t="str">
        <f>VLOOKUP(X$78,RATINGS!$B$798:$T$820,2+'OUTPUTS &amp; Inputs'!$B93,FALSE)</f>
        <v>BB</v>
      </c>
      <c r="Y93" s="1774" t="str">
        <f>VLOOKUP(Y$78,RATINGS!$B$798:$T$820,2+'OUTPUTS &amp; Inputs'!$B93,FALSE)</f>
        <v>BB+</v>
      </c>
      <c r="Z93" s="2292"/>
    </row>
    <row r="94" spans="1:26">
      <c r="A94" s="610">
        <v>41455</v>
      </c>
      <c r="B94" s="1753">
        <v>15</v>
      </c>
      <c r="C94" s="603" t="str">
        <f>VLOOKUP(C$78,RATINGS!$B$798:$T$820,2+'OUTPUTS &amp; Inputs'!$B94,FALSE)</f>
        <v>BBB+</v>
      </c>
      <c r="D94" s="604" t="str">
        <f>VLOOKUP(D$78,RATINGS!$B$798:$T$820,2+'OUTPUTS &amp; Inputs'!$B94,FALSE)</f>
        <v>BBB</v>
      </c>
      <c r="E94" s="604" t="str">
        <f>VLOOKUP(E$78,RATINGS!$B$798:$T$820,2+'OUTPUTS &amp; Inputs'!$B94,FALSE)</f>
        <v>A</v>
      </c>
      <c r="F94" s="1767" t="str">
        <f>VLOOKUP(F$78,RATINGS!$B$798:$T$820,2+'OUTPUTS &amp; Inputs'!$B94,FALSE)</f>
        <v>BB+</v>
      </c>
      <c r="G94" s="604" t="str">
        <f>VLOOKUP(G$78,RATINGS!$B$798:$T$820,2+'OUTPUTS &amp; Inputs'!$B94,FALSE)</f>
        <v>B+</v>
      </c>
      <c r="H94" s="604" t="str">
        <f>VLOOKUP(H$78,RATINGS!$B$798:$T$820,2+'OUTPUTS &amp; Inputs'!$B94,FALSE)</f>
        <v>BBB</v>
      </c>
      <c r="I94" s="604" t="str">
        <f>VLOOKUP(I$78,RATINGS!$B$798:$T$820,2+'OUTPUTS &amp; Inputs'!$B94,FALSE)</f>
        <v>BBB</v>
      </c>
      <c r="J94" s="604" t="str">
        <f>VLOOKUP(J$78,RATINGS!$B$798:$T$820,2+'OUTPUTS &amp; Inputs'!$B94,FALSE)</f>
        <v>BBB</v>
      </c>
      <c r="K94" s="1767" t="str">
        <f>VLOOKUP(K$78,RATINGS!$B$798:$T$820,2+'OUTPUTS &amp; Inputs'!$B94,FALSE)</f>
        <v>A-</v>
      </c>
      <c r="L94" s="604" t="str">
        <f>VLOOKUP(L$78,RATINGS!$B$798:$T$820,2+'OUTPUTS &amp; Inputs'!$B94,FALSE)</f>
        <v>BBB+</v>
      </c>
      <c r="M94" s="604" t="str">
        <f>VLOOKUP(M$78,RATINGS!$B$798:$T$820,2+'OUTPUTS &amp; Inputs'!$B94,FALSE)</f>
        <v>B-</v>
      </c>
      <c r="N94" s="604" t="str">
        <f>VLOOKUP(N$78,RATINGS!$B$798:$T$820,2+'OUTPUTS &amp; Inputs'!$B94,FALSE)</f>
        <v>BBB-</v>
      </c>
      <c r="O94" s="604" t="str">
        <f>VLOOKUP(O$78,RATINGS!$B$798:$T$820,2+'OUTPUTS &amp; Inputs'!$B94,FALSE)</f>
        <v>A-</v>
      </c>
      <c r="P94" s="604" t="str">
        <f>VLOOKUP(P$78,RATINGS!$B$798:$T$820,2+'OUTPUTS &amp; Inputs'!$B94,FALSE)</f>
        <v>BBB-</v>
      </c>
      <c r="Q94" s="604" t="str">
        <f>VLOOKUP(Q$78,RATINGS!$B$798:$T$820,2+'OUTPUTS &amp; Inputs'!$B94,FALSE)</f>
        <v>BBB+</v>
      </c>
      <c r="R94" s="604" t="str">
        <f>VLOOKUP(R$78,RATINGS!$B$798:$T$820,2+'OUTPUTS &amp; Inputs'!$B94,FALSE)</f>
        <v>BBB-</v>
      </c>
      <c r="S94" s="604" t="str">
        <f>VLOOKUP(S$78,RATINGS!$B$798:$T$820,2+'OUTPUTS &amp; Inputs'!$B94,FALSE)</f>
        <v>BBB</v>
      </c>
      <c r="T94" s="604" t="str">
        <f>VLOOKUP(T$78,RATINGS!$B$798:$T$820,2+'OUTPUTS &amp; Inputs'!$B94,FALSE)</f>
        <v>A-</v>
      </c>
      <c r="U94" s="604" t="str">
        <f>VLOOKUP(U$78,RATINGS!$B$798:$T$820,2+'OUTPUTS &amp; Inputs'!$B94,FALSE)</f>
        <v>A-</v>
      </c>
      <c r="V94" s="1767" t="str">
        <f>VLOOKUP(V$78,RATINGS!$B$798:$T$820,2+'OUTPUTS &amp; Inputs'!$B94,FALSE)</f>
        <v>BBB</v>
      </c>
      <c r="W94" s="604" t="str">
        <f>VLOOKUP(W$78,RATINGS!$B$798:$T$820,2+'OUTPUTS &amp; Inputs'!$B94,FALSE)</f>
        <v>A</v>
      </c>
      <c r="X94" s="1767" t="str">
        <f>VLOOKUP(X$78,RATINGS!$B$798:$T$820,2+'OUTPUTS &amp; Inputs'!$B94,FALSE)</f>
        <v>BB</v>
      </c>
      <c r="Y94" s="1750" t="str">
        <f>VLOOKUP(Y$78,RATINGS!$B$798:$T$820,2+'OUTPUTS &amp; Inputs'!$B94,FALSE)</f>
        <v>BB+</v>
      </c>
      <c r="Z94" s="2292"/>
    </row>
    <row r="95" spans="1:26">
      <c r="A95"/>
      <c r="B95"/>
      <c r="C95"/>
      <c r="D95"/>
      <c r="E95"/>
      <c r="F95"/>
      <c r="G95"/>
      <c r="H95"/>
      <c r="I95"/>
      <c r="J95"/>
      <c r="K95"/>
      <c r="L95"/>
      <c r="M95"/>
      <c r="N95"/>
      <c r="O95"/>
      <c r="P95"/>
      <c r="Q95"/>
      <c r="R95"/>
      <c r="S95"/>
      <c r="T95"/>
      <c r="U95"/>
      <c r="V95"/>
      <c r="W95"/>
      <c r="X95"/>
      <c r="Y95"/>
      <c r="Z95" s="2292"/>
    </row>
    <row r="96" spans="1:26" s="2682" customFormat="1">
      <c r="A96" s="2561"/>
      <c r="B96" s="2561"/>
      <c r="C96" s="2561"/>
      <c r="D96" s="2561"/>
      <c r="E96" s="2561"/>
      <c r="F96" s="2561"/>
      <c r="G96" s="2561"/>
      <c r="H96" s="2561"/>
      <c r="I96" s="2561"/>
      <c r="J96" s="2561"/>
      <c r="K96" s="2561"/>
      <c r="L96" s="2561"/>
      <c r="M96" s="2561"/>
      <c r="N96" s="2561"/>
      <c r="O96" s="2561"/>
      <c r="P96" s="2561"/>
      <c r="Q96" s="2561"/>
      <c r="R96" s="2561"/>
      <c r="S96" s="2561"/>
      <c r="T96" s="2561"/>
      <c r="U96" s="2561"/>
      <c r="V96" s="2561"/>
      <c r="W96" s="2561"/>
      <c r="X96" s="2561"/>
      <c r="Y96" s="2561"/>
      <c r="Z96" s="2561"/>
    </row>
    <row r="97" spans="1:26">
      <c r="A97" s="2416" t="s">
        <v>976</v>
      </c>
      <c r="B97" s="2416"/>
      <c r="C97" s="2416"/>
      <c r="D97" s="2417"/>
      <c r="E97" s="2417"/>
      <c r="F97" s="2417"/>
      <c r="G97" s="2417"/>
      <c r="H97" s="2417"/>
      <c r="I97" s="2417"/>
      <c r="J97" s="2417"/>
      <c r="K97" s="2417"/>
      <c r="L97" s="2417"/>
      <c r="N97" s="2416" t="s">
        <v>976</v>
      </c>
      <c r="O97" s="2417"/>
      <c r="P97" s="2417"/>
      <c r="Q97" s="2417"/>
      <c r="U97" s="2292"/>
      <c r="V97" s="2292"/>
      <c r="W97" s="2292"/>
      <c r="X97" s="2292"/>
      <c r="Y97" s="2292"/>
      <c r="Z97" s="2292"/>
    </row>
    <row r="98" spans="1:26" s="2340" customFormat="1" ht="13.5" thickBot="1">
      <c r="A98"/>
      <c r="B98"/>
      <c r="C98"/>
      <c r="D98"/>
      <c r="E98"/>
      <c r="F98"/>
      <c r="G98"/>
      <c r="H98"/>
      <c r="I98"/>
      <c r="J98"/>
      <c r="K98" s="962"/>
      <c r="L98" s="2891"/>
      <c r="N98" s="962"/>
      <c r="O98" s="962"/>
      <c r="P98" s="962"/>
      <c r="Q98" s="2891"/>
      <c r="U98" s="2414"/>
      <c r="V98" s="2414"/>
      <c r="W98" s="2414"/>
      <c r="X98" s="2414"/>
      <c r="Y98" s="2414"/>
      <c r="Z98" s="2414"/>
    </row>
    <row r="99" spans="1:26" ht="13.5" thickBot="1">
      <c r="A99" s="958" t="s">
        <v>970</v>
      </c>
      <c r="B99" s="959"/>
      <c r="C99" s="525">
        <v>3</v>
      </c>
      <c r="D99" s="526">
        <v>4</v>
      </c>
      <c r="E99" s="527">
        <v>5</v>
      </c>
      <c r="F99" s="526">
        <v>6</v>
      </c>
      <c r="G99" s="526">
        <v>7</v>
      </c>
      <c r="H99" s="527">
        <v>8</v>
      </c>
      <c r="I99" s="526">
        <v>9</v>
      </c>
      <c r="J99" s="528">
        <v>10</v>
      </c>
      <c r="K99"/>
      <c r="L99" s="3"/>
      <c r="N99" s="1818" t="s">
        <v>1462</v>
      </c>
      <c r="O99" s="1819"/>
      <c r="P99" s="1"/>
      <c r="Q99" s="3"/>
      <c r="U99" s="2292"/>
      <c r="V99" s="2292"/>
      <c r="W99" s="2292"/>
      <c r="X99" s="2292"/>
      <c r="Y99" s="2292"/>
      <c r="Z99" s="2292"/>
    </row>
    <row r="100" spans="1:26">
      <c r="A100" s="950" t="s">
        <v>67</v>
      </c>
      <c r="B100" s="587"/>
      <c r="C100" s="529">
        <v>2.6006999999999998</v>
      </c>
      <c r="D100" s="530">
        <v>3.0310999999999999</v>
      </c>
      <c r="E100" s="531">
        <v>3.4615</v>
      </c>
      <c r="F100" s="530">
        <v>3.6745666666666668</v>
      </c>
      <c r="G100" s="530">
        <v>3.8876333333333331</v>
      </c>
      <c r="H100" s="532">
        <v>4.1006999999999998</v>
      </c>
      <c r="I100" s="530">
        <v>4.3128500000000001</v>
      </c>
      <c r="J100" s="533">
        <v>4.5250000000000004</v>
      </c>
      <c r="K100"/>
      <c r="L100" s="3"/>
      <c r="N100" s="1810">
        <v>2014</v>
      </c>
      <c r="O100" s="1811">
        <v>2.6680071428571432</v>
      </c>
      <c r="P100" s="1"/>
      <c r="Q100" s="3"/>
      <c r="U100" s="2292"/>
      <c r="V100" s="2292"/>
      <c r="W100" s="2292"/>
      <c r="X100" s="2292"/>
      <c r="Y100" s="2292"/>
      <c r="Z100" s="2292"/>
    </row>
    <row r="101" spans="1:26">
      <c r="A101" s="951" t="s">
        <v>68</v>
      </c>
      <c r="B101" s="587"/>
      <c r="C101" s="534">
        <v>2.7525499999999998</v>
      </c>
      <c r="D101" s="535">
        <v>3.1616749999999998</v>
      </c>
      <c r="E101" s="535">
        <v>3.5708000000000002</v>
      </c>
      <c r="F101" s="535">
        <v>3.8125166666666668</v>
      </c>
      <c r="G101" s="535">
        <v>4.0542333333333334</v>
      </c>
      <c r="H101" s="536">
        <v>4.2959499999999995</v>
      </c>
      <c r="I101" s="535">
        <v>4.4652250000000002</v>
      </c>
      <c r="J101" s="537">
        <v>4.6345000000000001</v>
      </c>
      <c r="K101"/>
      <c r="L101" s="3"/>
      <c r="N101" s="1812">
        <v>2015</v>
      </c>
      <c r="O101" s="1813">
        <v>2.7015615384615383</v>
      </c>
      <c r="P101" s="1"/>
      <c r="Q101" s="3"/>
      <c r="U101" s="2292"/>
      <c r="V101" s="2292"/>
      <c r="W101" s="2292"/>
      <c r="X101" s="2292"/>
      <c r="Y101" s="2292"/>
      <c r="Z101" s="2292"/>
    </row>
    <row r="102" spans="1:26">
      <c r="A102" s="950" t="s">
        <v>69</v>
      </c>
      <c r="B102" s="587"/>
      <c r="C102" s="538">
        <v>2.9043999999999999</v>
      </c>
      <c r="D102" s="535">
        <v>3.2922500000000001</v>
      </c>
      <c r="E102" s="539">
        <v>3.6800999999999999</v>
      </c>
      <c r="F102" s="535">
        <v>3.9504666666666668</v>
      </c>
      <c r="G102" s="535">
        <v>4.2208333333333332</v>
      </c>
      <c r="H102" s="540">
        <v>4.4912000000000001</v>
      </c>
      <c r="I102" s="535">
        <v>4.6175999999999995</v>
      </c>
      <c r="J102" s="541">
        <v>4.7439999999999998</v>
      </c>
      <c r="K102"/>
      <c r="L102" s="3"/>
      <c r="N102" s="1814">
        <v>2016</v>
      </c>
      <c r="O102" s="1815">
        <v>1.4401562500000002</v>
      </c>
      <c r="P102" s="1"/>
      <c r="Q102" s="3"/>
      <c r="U102" s="2292"/>
      <c r="V102" s="2292"/>
      <c r="W102" s="2292"/>
      <c r="X102" s="2292"/>
      <c r="Y102" s="2292"/>
      <c r="Z102" s="2292"/>
    </row>
    <row r="103" spans="1:26" ht="13.5" thickBot="1">
      <c r="A103" s="950" t="s">
        <v>70</v>
      </c>
      <c r="B103" s="587"/>
      <c r="C103" s="538">
        <v>3.2193999999999998</v>
      </c>
      <c r="D103" s="535">
        <v>3.6592500000000001</v>
      </c>
      <c r="E103" s="539">
        <v>4.0991</v>
      </c>
      <c r="F103" s="535">
        <v>4.3667999999999996</v>
      </c>
      <c r="G103" s="535">
        <v>4.6345000000000001</v>
      </c>
      <c r="H103" s="540">
        <v>4.9021999999999997</v>
      </c>
      <c r="I103" s="535">
        <v>4.9926499999999994</v>
      </c>
      <c r="J103" s="541">
        <v>5.0831</v>
      </c>
      <c r="K103"/>
      <c r="L103" s="3"/>
      <c r="N103" s="1816" t="s">
        <v>505</v>
      </c>
      <c r="O103" s="1817">
        <v>2.2699083104395608</v>
      </c>
      <c r="P103" s="1"/>
      <c r="Q103" s="3"/>
      <c r="U103" s="2292"/>
      <c r="V103" s="2292"/>
      <c r="W103" s="2292"/>
      <c r="X103" s="2292"/>
      <c r="Y103" s="2292"/>
      <c r="Z103" s="2292"/>
    </row>
    <row r="104" spans="1:26">
      <c r="A104" s="952" t="s">
        <v>71</v>
      </c>
      <c r="B104" s="587"/>
      <c r="C104" s="538">
        <v>3.3774999999999999</v>
      </c>
      <c r="D104" s="535">
        <v>3.8537499999999998</v>
      </c>
      <c r="E104" s="539">
        <v>4.33</v>
      </c>
      <c r="F104" s="535">
        <v>4.7004666666666663</v>
      </c>
      <c r="G104" s="535">
        <v>5.0709333333333335</v>
      </c>
      <c r="H104" s="540">
        <v>5.4413999999999998</v>
      </c>
      <c r="I104" s="535">
        <v>5.5159000000000002</v>
      </c>
      <c r="J104" s="541">
        <v>5.5903999999999998</v>
      </c>
      <c r="K104"/>
      <c r="L104" s="3"/>
      <c r="N104"/>
      <c r="O104"/>
      <c r="P104" s="1"/>
      <c r="Q104" s="3"/>
      <c r="U104" s="2292"/>
      <c r="V104" s="2292"/>
      <c r="W104" s="2292"/>
      <c r="X104" s="2292"/>
      <c r="Y104" s="2292"/>
      <c r="Z104" s="2292"/>
    </row>
    <row r="105" spans="1:26">
      <c r="A105" s="951" t="s">
        <v>330</v>
      </c>
      <c r="B105" s="587"/>
      <c r="C105" s="534">
        <v>4.2245499999999998</v>
      </c>
      <c r="D105" s="535">
        <v>4.8033000000000001</v>
      </c>
      <c r="E105" s="535">
        <v>5.3820499999999996</v>
      </c>
      <c r="F105" s="535">
        <v>5.8281333333333336</v>
      </c>
      <c r="G105" s="535">
        <v>6.2742166666666668</v>
      </c>
      <c r="H105" s="536">
        <v>6.7202999999999999</v>
      </c>
      <c r="I105" s="535">
        <v>6.7680499999999997</v>
      </c>
      <c r="J105" s="537">
        <v>6.8157999999999994</v>
      </c>
      <c r="K105"/>
      <c r="L105" s="1"/>
      <c r="N105" s="2561"/>
      <c r="O105" s="2561"/>
      <c r="U105" s="2292"/>
      <c r="V105" s="2292"/>
      <c r="W105" s="2292"/>
      <c r="X105" s="2292"/>
      <c r="Y105" s="2292"/>
      <c r="Z105" s="2292"/>
    </row>
    <row r="106" spans="1:26">
      <c r="A106" s="950" t="s">
        <v>117</v>
      </c>
      <c r="B106" s="587"/>
      <c r="C106" s="538">
        <v>5.0716000000000001</v>
      </c>
      <c r="D106" s="535">
        <v>5.7528500000000005</v>
      </c>
      <c r="E106" s="539">
        <v>6.4340999999999999</v>
      </c>
      <c r="F106" s="535">
        <v>6.9558</v>
      </c>
      <c r="G106" s="535">
        <v>7.4775</v>
      </c>
      <c r="H106" s="540">
        <v>7.9992000000000001</v>
      </c>
      <c r="I106" s="535">
        <v>8.0201999999999991</v>
      </c>
      <c r="J106" s="541">
        <v>8.0411999999999999</v>
      </c>
      <c r="K106"/>
      <c r="L106" s="1"/>
      <c r="N106" s="2416" t="s">
        <v>975</v>
      </c>
      <c r="O106" s="2416"/>
      <c r="P106" s="2416"/>
      <c r="Q106" s="2416"/>
      <c r="U106" s="2292"/>
      <c r="V106" s="2292"/>
      <c r="W106" s="2292"/>
      <c r="X106" s="2292"/>
      <c r="Y106" s="2292"/>
      <c r="Z106" s="2292"/>
    </row>
    <row r="107" spans="1:26">
      <c r="A107" s="953" t="s">
        <v>329</v>
      </c>
      <c r="B107" s="587"/>
      <c r="C107" s="542">
        <v>5.9186500000000004</v>
      </c>
      <c r="D107" s="535">
        <v>6.7024000000000008</v>
      </c>
      <c r="E107" s="543">
        <v>7.4861500000000003</v>
      </c>
      <c r="F107" s="535">
        <v>8.0834666666666664</v>
      </c>
      <c r="G107" s="535">
        <v>8.6807833333333342</v>
      </c>
      <c r="H107" s="544">
        <v>9.2781000000000002</v>
      </c>
      <c r="I107" s="535">
        <v>8.3239575902335456</v>
      </c>
      <c r="J107" s="545">
        <v>9.2666000000000004</v>
      </c>
      <c r="K107"/>
      <c r="L107" s="1"/>
      <c r="N107"/>
      <c r="O107"/>
      <c r="P107"/>
      <c r="Q107" s="1"/>
      <c r="U107" s="2292"/>
      <c r="V107" s="2292"/>
      <c r="W107" s="2292"/>
      <c r="X107" s="2292"/>
      <c r="Y107" s="2292"/>
      <c r="Z107" s="2292"/>
    </row>
    <row r="108" spans="1:26" ht="13.5" thickBot="1">
      <c r="A108" s="953" t="s">
        <v>109</v>
      </c>
      <c r="B108" s="587"/>
      <c r="C108" s="542">
        <v>6.7657000000000007</v>
      </c>
      <c r="D108" s="535">
        <v>7.6519500000000003</v>
      </c>
      <c r="E108" s="543">
        <v>8.5381999999999998</v>
      </c>
      <c r="F108" s="535">
        <v>9.2111333333333327</v>
      </c>
      <c r="G108" s="535">
        <v>9.8840666666666674</v>
      </c>
      <c r="H108" s="544">
        <v>10.557</v>
      </c>
      <c r="I108" s="535">
        <v>8.6277151804670922</v>
      </c>
      <c r="J108" s="545">
        <v>10.492000000000001</v>
      </c>
      <c r="K108"/>
      <c r="L108" s="1"/>
      <c r="N108" s="615"/>
      <c r="O108" s="626" t="s">
        <v>777</v>
      </c>
      <c r="P108" s="616" t="s">
        <v>778</v>
      </c>
      <c r="Q108" s="1"/>
      <c r="U108" s="2292"/>
      <c r="V108" s="2292"/>
      <c r="W108" s="2292"/>
      <c r="X108" s="2292"/>
      <c r="Y108" s="2292"/>
      <c r="Z108" s="2292"/>
    </row>
    <row r="109" spans="1:26">
      <c r="A109" s="954" t="s">
        <v>331</v>
      </c>
      <c r="B109" s="587"/>
      <c r="C109" s="542">
        <v>7.443340000000001</v>
      </c>
      <c r="D109" s="535">
        <v>8.4115900000000003</v>
      </c>
      <c r="E109" s="543">
        <v>9.3798399999999997</v>
      </c>
      <c r="F109" s="535">
        <v>10.113266666666666</v>
      </c>
      <c r="G109" s="535">
        <v>10.846693333333334</v>
      </c>
      <c r="H109" s="544">
        <v>11.580120000000001</v>
      </c>
      <c r="I109" s="535">
        <v>11.526220000000002</v>
      </c>
      <c r="J109" s="545">
        <v>11.472320000000002</v>
      </c>
      <c r="K109"/>
      <c r="L109" s="1"/>
      <c r="N109" s="617" t="s">
        <v>481</v>
      </c>
      <c r="O109" s="618"/>
      <c r="P109" s="612">
        <v>-4.470625286303239E-2</v>
      </c>
      <c r="Q109" s="1"/>
      <c r="U109" s="2292"/>
      <c r="V109" s="2292"/>
      <c r="W109" s="2292"/>
      <c r="X109" s="2292"/>
      <c r="Y109" s="2292"/>
      <c r="Z109" s="2292"/>
    </row>
    <row r="110" spans="1:26">
      <c r="A110" s="955" t="s">
        <v>112</v>
      </c>
      <c r="B110" s="587"/>
      <c r="C110" s="546">
        <v>7.9854520000000013</v>
      </c>
      <c r="D110" s="547">
        <v>9.0193019999999997</v>
      </c>
      <c r="E110" s="548">
        <v>10.053151999999999</v>
      </c>
      <c r="F110" s="547">
        <v>10.834973333333332</v>
      </c>
      <c r="G110" s="547">
        <v>11.616794666666667</v>
      </c>
      <c r="H110" s="549">
        <v>12.398616000000001</v>
      </c>
      <c r="I110" s="547">
        <v>12.327596000000002</v>
      </c>
      <c r="J110" s="550">
        <v>12.256576000000003</v>
      </c>
      <c r="K110"/>
      <c r="L110" s="1"/>
      <c r="N110" s="619" t="s">
        <v>485</v>
      </c>
      <c r="O110" s="620"/>
      <c r="P110" s="613">
        <v>-0.3727157311583888</v>
      </c>
      <c r="Q110" s="1"/>
      <c r="S110" s="2292"/>
      <c r="T110" s="2292"/>
      <c r="U110" s="2292"/>
      <c r="V110" s="2292"/>
      <c r="W110" s="2292"/>
      <c r="X110" s="2292"/>
      <c r="Y110" s="2292"/>
      <c r="Z110" s="2292"/>
    </row>
    <row r="111" spans="1:26">
      <c r="A111" s="958" t="s">
        <v>971</v>
      </c>
      <c r="B111" s="959"/>
      <c r="C111" s="551">
        <v>3</v>
      </c>
      <c r="D111" s="194">
        <v>4</v>
      </c>
      <c r="E111" s="193">
        <v>5</v>
      </c>
      <c r="F111" s="194">
        <v>6</v>
      </c>
      <c r="G111" s="194">
        <v>7</v>
      </c>
      <c r="H111" s="193">
        <v>8</v>
      </c>
      <c r="I111" s="194">
        <v>9</v>
      </c>
      <c r="J111" s="552">
        <v>10</v>
      </c>
      <c r="K111"/>
      <c r="L111" s="1"/>
      <c r="N111" s="619" t="s">
        <v>487</v>
      </c>
      <c r="O111" s="620"/>
      <c r="P111" s="613">
        <v>-0.27415919560156515</v>
      </c>
      <c r="Q111" s="1"/>
      <c r="S111" s="2292"/>
      <c r="T111" s="2292"/>
      <c r="U111" s="2292"/>
      <c r="V111" s="2292"/>
      <c r="W111" s="2292"/>
      <c r="X111" s="2292"/>
      <c r="Y111" s="2292"/>
      <c r="Z111" s="2292"/>
    </row>
    <row r="112" spans="1:26">
      <c r="A112" s="950" t="s">
        <v>67</v>
      </c>
      <c r="B112" s="587"/>
      <c r="C112" s="529">
        <v>2.2086999999999999</v>
      </c>
      <c r="D112" s="530">
        <v>2.6264500000000002</v>
      </c>
      <c r="E112" s="531">
        <v>3.0442</v>
      </c>
      <c r="F112" s="530">
        <v>3.2697666666666665</v>
      </c>
      <c r="G112" s="530">
        <v>3.4953333333333334</v>
      </c>
      <c r="H112" s="532">
        <v>3.7208999999999999</v>
      </c>
      <c r="I112" s="530">
        <v>3.8762999999999996</v>
      </c>
      <c r="J112" s="533">
        <v>4.0316999999999998</v>
      </c>
      <c r="K112"/>
      <c r="L112" s="1"/>
      <c r="N112" s="619" t="s">
        <v>489</v>
      </c>
      <c r="O112" s="620"/>
      <c r="P112" s="613">
        <v>0.2084448816446475</v>
      </c>
      <c r="Q112" s="1"/>
      <c r="S112" s="2292"/>
      <c r="T112" s="2292"/>
      <c r="U112" s="2292"/>
      <c r="V112" s="2292"/>
      <c r="W112" s="2292"/>
      <c r="X112" s="2292"/>
      <c r="Y112" s="2292"/>
      <c r="Z112" s="2292"/>
    </row>
    <row r="113" spans="1:26">
      <c r="A113" s="951" t="s">
        <v>68</v>
      </c>
      <c r="B113" s="587"/>
      <c r="C113" s="534">
        <v>2.3807</v>
      </c>
      <c r="D113" s="535">
        <v>2.8003749999999998</v>
      </c>
      <c r="E113" s="535">
        <v>3.2200500000000001</v>
      </c>
      <c r="F113" s="535">
        <v>3.4429333333333334</v>
      </c>
      <c r="G113" s="535">
        <v>3.6658166666666667</v>
      </c>
      <c r="H113" s="536">
        <v>3.8887</v>
      </c>
      <c r="I113" s="535">
        <v>4.0272249999999996</v>
      </c>
      <c r="J113" s="537">
        <v>4.1657500000000001</v>
      </c>
      <c r="K113"/>
      <c r="L113" s="1"/>
      <c r="N113" s="621" t="s">
        <v>493</v>
      </c>
      <c r="O113" s="622"/>
      <c r="P113" s="613">
        <v>-0.3106488614963191</v>
      </c>
      <c r="Q113" s="1"/>
      <c r="S113" s="2292"/>
      <c r="T113" s="2292"/>
      <c r="U113" s="2292"/>
      <c r="V113" s="2292"/>
      <c r="W113" s="2292"/>
      <c r="X113" s="2292"/>
      <c r="Y113" s="2292"/>
      <c r="Z113" s="2292"/>
    </row>
    <row r="114" spans="1:26">
      <c r="A114" s="950" t="s">
        <v>69</v>
      </c>
      <c r="B114" s="587"/>
      <c r="C114" s="538">
        <v>2.5526999999999997</v>
      </c>
      <c r="D114" s="535">
        <v>2.9742999999999999</v>
      </c>
      <c r="E114" s="539">
        <v>3.3959000000000001</v>
      </c>
      <c r="F114" s="535">
        <v>3.6160999999999999</v>
      </c>
      <c r="G114" s="535">
        <v>3.8363</v>
      </c>
      <c r="H114" s="540">
        <v>4.0564999999999998</v>
      </c>
      <c r="I114" s="535">
        <v>4.1781500000000005</v>
      </c>
      <c r="J114" s="541">
        <v>4.2998000000000003</v>
      </c>
      <c r="K114"/>
      <c r="L114" s="1"/>
      <c r="N114" s="623" t="s">
        <v>319</v>
      </c>
      <c r="O114" s="618"/>
      <c r="P114" s="613">
        <v>5.8721709974853362E-2</v>
      </c>
      <c r="Q114" s="1"/>
      <c r="S114" s="2292"/>
      <c r="T114" s="2292"/>
      <c r="U114" s="2292"/>
      <c r="V114" s="2292"/>
      <c r="W114" s="2292"/>
      <c r="X114" s="2292"/>
      <c r="Y114" s="2292"/>
      <c r="Z114" s="2292"/>
    </row>
    <row r="115" spans="1:26">
      <c r="A115" s="950" t="s">
        <v>70</v>
      </c>
      <c r="B115" s="587"/>
      <c r="C115" s="538">
        <v>2.6638999999999999</v>
      </c>
      <c r="D115" s="535">
        <v>3.0922499999999999</v>
      </c>
      <c r="E115" s="539">
        <v>3.5206</v>
      </c>
      <c r="F115" s="535">
        <v>3.7473000000000001</v>
      </c>
      <c r="G115" s="535">
        <v>3.9740000000000002</v>
      </c>
      <c r="H115" s="540">
        <v>4.2007000000000003</v>
      </c>
      <c r="I115" s="535">
        <v>4.2973499999999998</v>
      </c>
      <c r="J115" s="541">
        <v>4.3940000000000001</v>
      </c>
      <c r="K115"/>
      <c r="L115" s="1"/>
      <c r="N115" s="624" t="s">
        <v>714</v>
      </c>
      <c r="O115" s="620"/>
      <c r="P115" s="613">
        <v>6.7822063479178421E-2</v>
      </c>
      <c r="Q115" s="1"/>
      <c r="S115" s="2292"/>
      <c r="T115" s="2292"/>
      <c r="U115" s="2292"/>
      <c r="V115" s="2292"/>
      <c r="W115" s="2292"/>
      <c r="X115" s="2292"/>
      <c r="Y115" s="2292"/>
      <c r="Z115" s="2292"/>
    </row>
    <row r="116" spans="1:26">
      <c r="A116" s="952" t="s">
        <v>71</v>
      </c>
      <c r="B116" s="587"/>
      <c r="C116" s="538">
        <v>3.1474000000000002</v>
      </c>
      <c r="D116" s="535">
        <v>3.6794000000000002</v>
      </c>
      <c r="E116" s="539">
        <v>4.2114000000000003</v>
      </c>
      <c r="F116" s="535">
        <v>4.4847333333333337</v>
      </c>
      <c r="G116" s="535">
        <v>4.7580666666666662</v>
      </c>
      <c r="H116" s="540">
        <v>5.0313999999999997</v>
      </c>
      <c r="I116" s="535">
        <v>5.0970999999999993</v>
      </c>
      <c r="J116" s="541">
        <v>5.1627999999999998</v>
      </c>
      <c r="K116"/>
      <c r="L116" s="1"/>
      <c r="N116" s="624" t="s">
        <v>65</v>
      </c>
      <c r="O116" s="620"/>
      <c r="P116" s="613">
        <v>0.1597197757400679</v>
      </c>
      <c r="Q116" s="1"/>
      <c r="S116" s="2292"/>
      <c r="T116" s="2292"/>
      <c r="U116" s="2292"/>
      <c r="V116" s="2292"/>
      <c r="W116" s="2292"/>
      <c r="X116" s="2292"/>
      <c r="Y116" s="2292"/>
      <c r="Z116" s="2292"/>
    </row>
    <row r="117" spans="1:26" ht="13.5" thickBot="1">
      <c r="A117" s="951" t="s">
        <v>330</v>
      </c>
      <c r="B117" s="587"/>
      <c r="C117" s="534">
        <v>3.2775500000000002</v>
      </c>
      <c r="D117" s="535">
        <v>3.9935749999999999</v>
      </c>
      <c r="E117" s="535">
        <v>4.7096</v>
      </c>
      <c r="F117" s="535">
        <v>5.0823666666666671</v>
      </c>
      <c r="G117" s="535">
        <v>5.4551333333333325</v>
      </c>
      <c r="H117" s="536">
        <v>5.8278999999999996</v>
      </c>
      <c r="I117" s="535">
        <v>5.9238749999999998</v>
      </c>
      <c r="J117" s="537">
        <v>6.0198499999999999</v>
      </c>
      <c r="K117"/>
      <c r="L117" s="1"/>
      <c r="N117" s="625" t="s">
        <v>715</v>
      </c>
      <c r="O117" s="622"/>
      <c r="P117" s="614">
        <v>0.35356636626584159</v>
      </c>
      <c r="Q117" s="1"/>
      <c r="S117" s="2292"/>
      <c r="T117" s="2292"/>
      <c r="U117" s="2292"/>
      <c r="V117" s="2292"/>
      <c r="W117" s="2292"/>
      <c r="X117" s="2292"/>
      <c r="Y117" s="2292"/>
      <c r="Z117" s="2292"/>
    </row>
    <row r="118" spans="1:26">
      <c r="A118" s="950" t="s">
        <v>117</v>
      </c>
      <c r="B118" s="587"/>
      <c r="C118" s="538">
        <v>3.4077000000000002</v>
      </c>
      <c r="D118" s="535">
        <v>4.3077500000000004</v>
      </c>
      <c r="E118" s="539">
        <v>5.2077999999999998</v>
      </c>
      <c r="F118" s="535">
        <v>5.68</v>
      </c>
      <c r="G118" s="535">
        <v>6.1521999999999997</v>
      </c>
      <c r="H118" s="540">
        <v>6.6243999999999996</v>
      </c>
      <c r="I118" s="535">
        <v>6.7506500000000003</v>
      </c>
      <c r="J118" s="541">
        <v>6.8769</v>
      </c>
      <c r="K118"/>
      <c r="L118" s="1"/>
      <c r="N118"/>
      <c r="O118"/>
      <c r="P118"/>
      <c r="Q118" s="1"/>
      <c r="S118" s="2292"/>
      <c r="T118" s="2292"/>
      <c r="U118" s="2292"/>
      <c r="V118" s="2292"/>
      <c r="W118" s="2292"/>
      <c r="X118" s="2292"/>
      <c r="Y118" s="2292"/>
      <c r="Z118" s="2292"/>
    </row>
    <row r="119" spans="1:26">
      <c r="A119" s="953" t="s">
        <v>329</v>
      </c>
      <c r="B119" s="587"/>
      <c r="C119" s="542">
        <v>3.5378500000000002</v>
      </c>
      <c r="D119" s="535">
        <v>4.6219250000000001</v>
      </c>
      <c r="E119" s="543">
        <v>5.7059999999999995</v>
      </c>
      <c r="F119" s="535">
        <v>6.2776333333333332</v>
      </c>
      <c r="G119" s="535">
        <v>6.8492666666666659</v>
      </c>
      <c r="H119" s="544">
        <v>7.4208999999999996</v>
      </c>
      <c r="I119" s="535">
        <v>7.0544075902335459</v>
      </c>
      <c r="J119" s="545">
        <v>7.7339500000000001</v>
      </c>
      <c r="K119"/>
      <c r="L119" s="1"/>
      <c r="M119" s="2561"/>
      <c r="N119" s="2561"/>
      <c r="O119" s="2292"/>
      <c r="P119" s="2292"/>
      <c r="Q119" s="2292"/>
      <c r="R119" s="2292"/>
      <c r="S119" s="2292"/>
      <c r="T119" s="2292"/>
      <c r="U119" s="2292"/>
      <c r="V119" s="2292"/>
      <c r="W119" s="2292"/>
      <c r="X119" s="2292"/>
      <c r="Y119" s="2292"/>
      <c r="Z119" s="2292"/>
    </row>
    <row r="120" spans="1:26">
      <c r="A120" s="953" t="s">
        <v>109</v>
      </c>
      <c r="B120" s="587"/>
      <c r="C120" s="542">
        <v>3.6680000000000001</v>
      </c>
      <c r="D120" s="535">
        <v>4.9360999999999997</v>
      </c>
      <c r="E120" s="543">
        <v>6.2041999999999993</v>
      </c>
      <c r="F120" s="535">
        <v>6.8752666666666657</v>
      </c>
      <c r="G120" s="535">
        <v>7.5463333333333331</v>
      </c>
      <c r="H120" s="544">
        <v>8.2173999999999996</v>
      </c>
      <c r="I120" s="535">
        <v>7.3581651804670916</v>
      </c>
      <c r="J120" s="545">
        <v>8.5910000000000011</v>
      </c>
      <c r="K120"/>
      <c r="L120" s="1"/>
      <c r="M120" s="2561"/>
      <c r="N120" s="2561"/>
      <c r="O120" s="2292"/>
      <c r="P120" s="2292"/>
      <c r="Q120" s="2292"/>
      <c r="R120" s="2292"/>
      <c r="S120" s="2292"/>
      <c r="T120" s="2292"/>
      <c r="U120" s="2292"/>
      <c r="V120" s="2292"/>
      <c r="W120" s="2292"/>
      <c r="X120" s="2292"/>
      <c r="Y120" s="2292"/>
      <c r="Z120" s="2292"/>
    </row>
    <row r="121" spans="1:26">
      <c r="A121" s="954" t="s">
        <v>331</v>
      </c>
      <c r="B121" s="587"/>
      <c r="C121" s="542">
        <v>3.7721200000000001</v>
      </c>
      <c r="D121" s="535">
        <v>5.1874399999999996</v>
      </c>
      <c r="E121" s="543">
        <v>6.6027599999999991</v>
      </c>
      <c r="F121" s="535">
        <v>7.3533733333333329</v>
      </c>
      <c r="G121" s="535">
        <v>8.1039866666666658</v>
      </c>
      <c r="H121" s="544">
        <v>8.8545999999999996</v>
      </c>
      <c r="I121" s="535">
        <v>9.0656200000000009</v>
      </c>
      <c r="J121" s="545">
        <v>9.2766400000000022</v>
      </c>
      <c r="K121"/>
      <c r="L121" s="1"/>
      <c r="M121" s="2561"/>
      <c r="N121" s="2561"/>
      <c r="O121" s="2292"/>
      <c r="P121" s="2292"/>
      <c r="Q121" s="2292"/>
      <c r="R121" s="2292"/>
      <c r="S121" s="2292"/>
      <c r="T121" s="2292"/>
      <c r="U121" s="2292"/>
      <c r="V121" s="2292"/>
      <c r="W121" s="2292"/>
      <c r="X121" s="2292"/>
      <c r="Y121" s="2292"/>
      <c r="Z121" s="2292"/>
    </row>
    <row r="122" spans="1:26">
      <c r="A122" s="955" t="s">
        <v>112</v>
      </c>
      <c r="B122" s="587"/>
      <c r="C122" s="546">
        <v>3.855416</v>
      </c>
      <c r="D122" s="547">
        <v>5.3885119999999995</v>
      </c>
      <c r="E122" s="548">
        <v>6.9216079999999991</v>
      </c>
      <c r="F122" s="547">
        <v>7.7358586666666662</v>
      </c>
      <c r="G122" s="547">
        <v>8.5501093333333333</v>
      </c>
      <c r="H122" s="549">
        <v>9.3643599999999996</v>
      </c>
      <c r="I122" s="547">
        <v>9.5947560000000003</v>
      </c>
      <c r="J122" s="550">
        <v>9.8251520000000028</v>
      </c>
      <c r="K122"/>
      <c r="L122" s="1"/>
      <c r="M122" s="2561"/>
      <c r="N122" s="2561"/>
      <c r="O122" s="2292"/>
      <c r="P122" s="2292"/>
      <c r="Q122" s="2292"/>
      <c r="R122" s="2292"/>
      <c r="S122" s="2292"/>
      <c r="T122" s="2292"/>
      <c r="U122" s="2292"/>
      <c r="V122" s="2292"/>
      <c r="W122" s="2292"/>
      <c r="X122" s="2292"/>
      <c r="Y122" s="2292"/>
      <c r="Z122" s="2292"/>
    </row>
    <row r="123" spans="1:26">
      <c r="A123" s="958" t="s">
        <v>972</v>
      </c>
      <c r="B123" s="959"/>
      <c r="C123" s="551">
        <v>3</v>
      </c>
      <c r="D123" s="194">
        <v>4</v>
      </c>
      <c r="E123" s="193">
        <v>5</v>
      </c>
      <c r="F123" s="194">
        <v>6</v>
      </c>
      <c r="G123" s="194">
        <v>7</v>
      </c>
      <c r="H123" s="193">
        <v>8</v>
      </c>
      <c r="I123" s="194">
        <v>9</v>
      </c>
      <c r="J123" s="552">
        <v>10</v>
      </c>
      <c r="K123"/>
      <c r="L123" s="1"/>
      <c r="M123" s="2561"/>
      <c r="N123" s="2561"/>
      <c r="O123" s="2292"/>
      <c r="P123" s="2292"/>
      <c r="Q123" s="2292"/>
      <c r="R123" s="2292"/>
      <c r="S123" s="2292"/>
      <c r="T123" s="2292"/>
      <c r="U123" s="2292"/>
      <c r="V123" s="2292"/>
      <c r="W123" s="2292"/>
      <c r="X123" s="2292"/>
      <c r="Y123" s="2292"/>
      <c r="Z123" s="2292"/>
    </row>
    <row r="124" spans="1:26">
      <c r="A124" s="950" t="s">
        <v>67</v>
      </c>
      <c r="B124" s="587"/>
      <c r="C124" s="529">
        <v>1.9253</v>
      </c>
      <c r="D124" s="530">
        <v>2.1547999999999998</v>
      </c>
      <c r="E124" s="531">
        <v>2.3843000000000001</v>
      </c>
      <c r="F124" s="530">
        <v>2.6815666666666669</v>
      </c>
      <c r="G124" s="530">
        <v>2.9788333333333332</v>
      </c>
      <c r="H124" s="532">
        <v>3.2761</v>
      </c>
      <c r="I124" s="530">
        <v>3.37195</v>
      </c>
      <c r="J124" s="533">
        <v>3.4678</v>
      </c>
      <c r="K124"/>
      <c r="L124" s="1"/>
      <c r="M124" s="2561"/>
      <c r="N124" s="2561"/>
      <c r="O124" s="2292"/>
      <c r="P124" s="2292"/>
      <c r="Q124" s="2292"/>
      <c r="R124" s="2292"/>
      <c r="S124" s="2292"/>
      <c r="T124" s="2292"/>
      <c r="U124" s="2292"/>
      <c r="V124" s="2292"/>
      <c r="W124" s="2292"/>
      <c r="X124" s="2292"/>
      <c r="Y124" s="2292"/>
      <c r="Z124" s="2292"/>
    </row>
    <row r="125" spans="1:26">
      <c r="A125" s="951" t="s">
        <v>68</v>
      </c>
      <c r="B125" s="587"/>
      <c r="C125" s="534">
        <v>2.2683499999999999</v>
      </c>
      <c r="D125" s="535">
        <v>2.5891250000000001</v>
      </c>
      <c r="E125" s="535">
        <v>2.9099000000000004</v>
      </c>
      <c r="F125" s="535">
        <v>3.1443833333333338</v>
      </c>
      <c r="G125" s="535">
        <v>3.3788666666666667</v>
      </c>
      <c r="H125" s="536">
        <v>3.6133500000000001</v>
      </c>
      <c r="I125" s="535">
        <v>3.7482250000000001</v>
      </c>
      <c r="J125" s="537">
        <v>3.8830999999999998</v>
      </c>
      <c r="K125"/>
      <c r="L125" s="1"/>
      <c r="M125" s="2561"/>
      <c r="N125" s="2561"/>
      <c r="O125" s="2292"/>
      <c r="P125" s="2292"/>
      <c r="Q125" s="2292"/>
      <c r="R125" s="2292"/>
      <c r="S125" s="2292"/>
      <c r="T125" s="2292"/>
      <c r="U125" s="2292"/>
      <c r="V125" s="2292"/>
      <c r="W125" s="2292"/>
      <c r="X125" s="2292"/>
      <c r="Y125" s="2292"/>
      <c r="Z125" s="2292"/>
    </row>
    <row r="126" spans="1:26">
      <c r="A126" s="950" t="s">
        <v>69</v>
      </c>
      <c r="B126" s="587"/>
      <c r="C126" s="538">
        <v>2.6114000000000002</v>
      </c>
      <c r="D126" s="535">
        <v>3.0234500000000004</v>
      </c>
      <c r="E126" s="539">
        <v>3.4355000000000002</v>
      </c>
      <c r="F126" s="535">
        <v>3.6072000000000002</v>
      </c>
      <c r="G126" s="535">
        <v>3.7789000000000001</v>
      </c>
      <c r="H126" s="540">
        <v>3.9506000000000001</v>
      </c>
      <c r="I126" s="535">
        <v>4.1245000000000003</v>
      </c>
      <c r="J126" s="541">
        <v>4.2984</v>
      </c>
      <c r="K126"/>
      <c r="L126" s="1"/>
      <c r="M126" s="2561"/>
      <c r="N126" s="2561"/>
      <c r="O126" s="2292"/>
      <c r="P126" s="2292"/>
      <c r="Q126" s="2292"/>
      <c r="R126" s="2292"/>
      <c r="S126" s="2292"/>
      <c r="T126" s="2292"/>
      <c r="U126" s="2292"/>
      <c r="V126" s="2292"/>
      <c r="W126" s="2292"/>
      <c r="X126" s="2292"/>
      <c r="Y126" s="2292"/>
      <c r="Z126" s="2292"/>
    </row>
    <row r="127" spans="1:26">
      <c r="A127" s="950" t="s">
        <v>70</v>
      </c>
      <c r="B127" s="587"/>
      <c r="C127" s="538">
        <v>3.0844999999999998</v>
      </c>
      <c r="D127" s="535">
        <v>3.5324999999999998</v>
      </c>
      <c r="E127" s="539">
        <v>3.9805000000000001</v>
      </c>
      <c r="F127" s="535">
        <v>4.0835333333333335</v>
      </c>
      <c r="G127" s="535">
        <v>4.1865666666666668</v>
      </c>
      <c r="H127" s="540">
        <v>4.2896000000000001</v>
      </c>
      <c r="I127" s="535">
        <v>4.3565500000000004</v>
      </c>
      <c r="J127" s="541">
        <v>4.4234999999999998</v>
      </c>
      <c r="K127"/>
      <c r="L127" s="1"/>
      <c r="M127" s="2561"/>
      <c r="N127" s="2561"/>
      <c r="O127" s="2292"/>
      <c r="P127" s="2292"/>
      <c r="Q127" s="2292"/>
      <c r="R127" s="2292"/>
      <c r="S127" s="2292"/>
      <c r="T127" s="2292"/>
      <c r="U127" s="2292"/>
      <c r="V127" s="2292"/>
      <c r="W127" s="2292"/>
      <c r="X127" s="2292"/>
      <c r="Y127" s="2292"/>
      <c r="Z127" s="2292"/>
    </row>
    <row r="128" spans="1:26">
      <c r="A128" s="952" t="s">
        <v>71</v>
      </c>
      <c r="B128" s="587"/>
      <c r="C128" s="538">
        <v>3.5865999999999998</v>
      </c>
      <c r="D128" s="535">
        <v>4.1591000000000005</v>
      </c>
      <c r="E128" s="539">
        <v>4.7316000000000003</v>
      </c>
      <c r="F128" s="535">
        <v>5.0021000000000004</v>
      </c>
      <c r="G128" s="535">
        <v>5.2725999999999997</v>
      </c>
      <c r="H128" s="540">
        <v>5.5430999999999999</v>
      </c>
      <c r="I128" s="535">
        <v>5.6033499999999998</v>
      </c>
      <c r="J128" s="541">
        <v>5.6635999999999997</v>
      </c>
      <c r="K128"/>
      <c r="L128" s="1"/>
      <c r="M128" s="2561"/>
      <c r="N128" s="2561"/>
      <c r="O128" s="2292"/>
      <c r="P128" s="2292"/>
      <c r="Q128" s="2292"/>
      <c r="R128" s="2292"/>
      <c r="S128" s="2292"/>
      <c r="T128" s="2292"/>
      <c r="U128" s="2292"/>
      <c r="V128" s="2292"/>
      <c r="W128" s="2292"/>
      <c r="X128" s="2292"/>
      <c r="Y128" s="2292"/>
      <c r="Z128" s="2292"/>
    </row>
    <row r="129" spans="1:26">
      <c r="A129" s="951" t="s">
        <v>330</v>
      </c>
      <c r="B129" s="587"/>
      <c r="C129" s="534">
        <v>4.4410499999999997</v>
      </c>
      <c r="D129" s="535">
        <v>5.0649250000000006</v>
      </c>
      <c r="E129" s="535">
        <v>5.6888000000000005</v>
      </c>
      <c r="F129" s="535">
        <v>6.0148166666666665</v>
      </c>
      <c r="G129" s="535">
        <v>6.3408333333333324</v>
      </c>
      <c r="H129" s="536">
        <v>6.6668500000000002</v>
      </c>
      <c r="I129" s="535">
        <v>6.7198250000000002</v>
      </c>
      <c r="J129" s="537">
        <v>6.7728000000000002</v>
      </c>
      <c r="K129"/>
      <c r="L129" s="1"/>
      <c r="M129" s="2561"/>
      <c r="N129" s="2561"/>
      <c r="O129" s="2292"/>
      <c r="P129" s="2292"/>
      <c r="Q129" s="2292"/>
      <c r="R129" s="2292"/>
      <c r="S129" s="2292"/>
      <c r="T129" s="2292"/>
      <c r="U129" s="2292"/>
      <c r="V129" s="2292"/>
      <c r="W129" s="2292"/>
      <c r="X129" s="2292"/>
      <c r="Y129" s="2292"/>
      <c r="Z129" s="2292"/>
    </row>
    <row r="130" spans="1:26">
      <c r="A130" s="950" t="s">
        <v>117</v>
      </c>
      <c r="B130" s="587"/>
      <c r="C130" s="538">
        <v>5.2954999999999997</v>
      </c>
      <c r="D130" s="535">
        <v>5.9707499999999998</v>
      </c>
      <c r="E130" s="539">
        <v>6.6459999999999999</v>
      </c>
      <c r="F130" s="535">
        <v>7.0275333333333334</v>
      </c>
      <c r="G130" s="535">
        <v>7.409066666666666</v>
      </c>
      <c r="H130" s="540">
        <v>7.7905999999999995</v>
      </c>
      <c r="I130" s="535">
        <v>7.8362999999999996</v>
      </c>
      <c r="J130" s="541">
        <v>7.8819999999999997</v>
      </c>
      <c r="K130"/>
      <c r="L130" s="1"/>
      <c r="M130" s="2561"/>
      <c r="N130" s="2561"/>
      <c r="O130" s="2292"/>
      <c r="P130" s="2292"/>
      <c r="Q130" s="2292"/>
      <c r="R130" s="2292"/>
      <c r="S130" s="2292"/>
      <c r="T130" s="2292"/>
      <c r="U130" s="2292"/>
      <c r="V130" s="2292"/>
      <c r="W130" s="2292"/>
      <c r="X130" s="2292"/>
      <c r="Y130" s="2292"/>
      <c r="Z130" s="2292"/>
    </row>
    <row r="131" spans="1:26">
      <c r="A131" s="953" t="s">
        <v>329</v>
      </c>
      <c r="B131" s="587"/>
      <c r="C131" s="542">
        <v>6.1499499999999996</v>
      </c>
      <c r="D131" s="535">
        <v>6.876574999999999</v>
      </c>
      <c r="E131" s="543">
        <v>7.6031999999999993</v>
      </c>
      <c r="F131" s="535">
        <v>8.0402499999999986</v>
      </c>
      <c r="G131" s="535">
        <v>8.4772999999999996</v>
      </c>
      <c r="H131" s="544">
        <v>8.9143499999999989</v>
      </c>
      <c r="I131" s="535">
        <v>8.1400575902335461</v>
      </c>
      <c r="J131" s="545">
        <v>8.9911999999999992</v>
      </c>
      <c r="K131"/>
      <c r="L131" s="1"/>
      <c r="M131" s="2561"/>
      <c r="N131" s="2561"/>
      <c r="O131" s="2292"/>
      <c r="P131" s="2292"/>
      <c r="Q131" s="2292"/>
      <c r="R131" s="2292"/>
      <c r="S131" s="2292"/>
      <c r="T131" s="2292"/>
      <c r="U131" s="2292"/>
      <c r="V131" s="2292"/>
      <c r="W131" s="2292"/>
      <c r="X131" s="2292"/>
      <c r="Y131" s="2292"/>
      <c r="Z131" s="2292"/>
    </row>
    <row r="132" spans="1:26">
      <c r="A132" s="953" t="s">
        <v>109</v>
      </c>
      <c r="B132" s="587"/>
      <c r="C132" s="542">
        <v>7.0043999999999995</v>
      </c>
      <c r="D132" s="535">
        <v>7.7823999999999991</v>
      </c>
      <c r="E132" s="543">
        <v>8.5603999999999978</v>
      </c>
      <c r="F132" s="535">
        <v>9.0529666666666646</v>
      </c>
      <c r="G132" s="535">
        <v>9.5455333333333314</v>
      </c>
      <c r="H132" s="544">
        <v>10.038099999999998</v>
      </c>
      <c r="I132" s="535">
        <v>8.4438151804670927</v>
      </c>
      <c r="J132" s="545">
        <v>10.100399999999999</v>
      </c>
      <c r="K132"/>
      <c r="L132" s="1"/>
      <c r="M132" s="2561"/>
      <c r="N132" s="2561"/>
      <c r="O132" s="2292"/>
      <c r="P132" s="2292"/>
      <c r="Q132" s="2292"/>
      <c r="R132" s="2292"/>
      <c r="S132" s="2292"/>
      <c r="T132" s="2292"/>
      <c r="U132" s="2292"/>
      <c r="V132" s="2292"/>
      <c r="W132" s="2292"/>
      <c r="X132" s="2292"/>
      <c r="Y132" s="2292"/>
      <c r="Z132" s="2292"/>
    </row>
    <row r="133" spans="1:26">
      <c r="A133" s="954" t="s">
        <v>331</v>
      </c>
      <c r="B133" s="587"/>
      <c r="C133" s="542">
        <v>7.6879599999999995</v>
      </c>
      <c r="D133" s="535">
        <v>8.5070599999999974</v>
      </c>
      <c r="E133" s="543">
        <v>9.3261599999999962</v>
      </c>
      <c r="F133" s="535">
        <v>9.863139999999996</v>
      </c>
      <c r="G133" s="535">
        <v>10.400119999999998</v>
      </c>
      <c r="H133" s="544">
        <v>10.937099999999997</v>
      </c>
      <c r="I133" s="535">
        <v>10.962429999999998</v>
      </c>
      <c r="J133" s="545">
        <v>10.987759999999998</v>
      </c>
      <c r="K133"/>
      <c r="L133" s="1"/>
      <c r="M133" s="2561"/>
      <c r="N133" s="2561"/>
      <c r="O133" s="2292"/>
      <c r="P133" s="2292"/>
      <c r="Q133" s="2292"/>
      <c r="R133" s="2292"/>
      <c r="S133" s="2292"/>
      <c r="T133" s="2292"/>
      <c r="U133" s="2292"/>
      <c r="V133" s="2292"/>
      <c r="W133" s="2292"/>
      <c r="X133" s="2292"/>
      <c r="Y133" s="2292"/>
      <c r="Z133" s="2292"/>
    </row>
    <row r="134" spans="1:26">
      <c r="A134" s="955" t="s">
        <v>112</v>
      </c>
      <c r="B134" s="587"/>
      <c r="C134" s="546">
        <v>8.2348079999999992</v>
      </c>
      <c r="D134" s="547">
        <v>9.0867879999999968</v>
      </c>
      <c r="E134" s="548">
        <v>9.9387679999999943</v>
      </c>
      <c r="F134" s="547">
        <v>10.511278666666662</v>
      </c>
      <c r="G134" s="547">
        <v>11.083789333333328</v>
      </c>
      <c r="H134" s="549">
        <v>11.656299999999996</v>
      </c>
      <c r="I134" s="547">
        <v>11.676973999999998</v>
      </c>
      <c r="J134" s="550">
        <v>11.697647999999997</v>
      </c>
      <c r="K134"/>
      <c r="L134" s="1"/>
      <c r="M134" s="2561"/>
      <c r="N134" s="2561"/>
      <c r="O134" s="2292"/>
      <c r="P134" s="2292"/>
      <c r="Q134" s="2292"/>
      <c r="R134" s="2292"/>
      <c r="S134" s="2292"/>
      <c r="T134" s="2292"/>
      <c r="U134" s="2292"/>
      <c r="V134" s="2292"/>
      <c r="W134" s="2292"/>
      <c r="X134" s="2292"/>
      <c r="Y134" s="2292"/>
      <c r="Z134" s="2292"/>
    </row>
    <row r="135" spans="1:26">
      <c r="A135" s="958" t="s">
        <v>973</v>
      </c>
      <c r="B135" s="959"/>
      <c r="C135" s="551">
        <v>3</v>
      </c>
      <c r="D135" s="194">
        <v>4</v>
      </c>
      <c r="E135" s="193">
        <v>5</v>
      </c>
      <c r="F135" s="194">
        <v>6</v>
      </c>
      <c r="G135" s="194">
        <v>7</v>
      </c>
      <c r="H135" s="193">
        <v>8</v>
      </c>
      <c r="I135" s="194">
        <v>9</v>
      </c>
      <c r="J135" s="552">
        <v>10</v>
      </c>
      <c r="K135"/>
      <c r="L135" s="1"/>
      <c r="M135" s="2561"/>
      <c r="N135" s="2561"/>
      <c r="O135" s="2292"/>
      <c r="P135" s="2292"/>
      <c r="Q135" s="2292"/>
      <c r="R135" s="2292"/>
      <c r="S135" s="2292"/>
      <c r="T135" s="2292"/>
      <c r="U135" s="2292"/>
      <c r="V135" s="2292"/>
      <c r="W135" s="2292"/>
      <c r="X135" s="2292"/>
      <c r="Y135" s="2292"/>
      <c r="Z135" s="2292"/>
    </row>
    <row r="136" spans="1:26">
      <c r="A136" s="950" t="s">
        <v>67</v>
      </c>
      <c r="B136" s="2"/>
      <c r="C136" s="529">
        <v>0.74229999999999996</v>
      </c>
      <c r="D136" s="530">
        <v>0.94055</v>
      </c>
      <c r="E136" s="531">
        <v>1.1388</v>
      </c>
      <c r="F136" s="530">
        <v>1.3980333333333335</v>
      </c>
      <c r="G136" s="530">
        <v>1.6572666666666667</v>
      </c>
      <c r="H136" s="532">
        <v>1.9165000000000001</v>
      </c>
      <c r="I136" s="530">
        <v>2.1565500000000002</v>
      </c>
      <c r="J136" s="533">
        <v>2.3965999999999998</v>
      </c>
      <c r="K136"/>
      <c r="L136" s="1"/>
      <c r="M136" s="2561"/>
      <c r="N136" s="2561"/>
      <c r="O136" s="2292"/>
      <c r="P136" s="2292"/>
      <c r="Q136" s="2292"/>
      <c r="R136" s="2292"/>
      <c r="S136" s="2292"/>
      <c r="T136" s="2292"/>
      <c r="U136" s="2292"/>
      <c r="V136" s="2292"/>
      <c r="W136" s="2292"/>
      <c r="X136" s="2292"/>
      <c r="Y136" s="2292"/>
      <c r="Z136" s="2292"/>
    </row>
    <row r="137" spans="1:26">
      <c r="A137" s="951" t="s">
        <v>68</v>
      </c>
      <c r="B137" s="2"/>
      <c r="C137" s="534">
        <v>0.87229999999999996</v>
      </c>
      <c r="D137" s="535">
        <v>1.1142000000000001</v>
      </c>
      <c r="E137" s="535">
        <v>1.3561000000000001</v>
      </c>
      <c r="F137" s="535">
        <v>1.5951</v>
      </c>
      <c r="G137" s="535">
        <v>1.8340999999999998</v>
      </c>
      <c r="H137" s="536">
        <v>2.0731000000000002</v>
      </c>
      <c r="I137" s="535">
        <v>2.2617250000000002</v>
      </c>
      <c r="J137" s="537">
        <v>2.4503500000000003</v>
      </c>
      <c r="K137"/>
      <c r="L137" s="1"/>
      <c r="M137" s="2561"/>
      <c r="N137" s="2561"/>
      <c r="O137" s="2292"/>
      <c r="P137" s="2292"/>
      <c r="Q137" s="2292"/>
      <c r="R137" s="2292"/>
      <c r="S137" s="2292"/>
      <c r="T137" s="2292"/>
      <c r="U137" s="2292"/>
      <c r="V137" s="2292"/>
      <c r="W137" s="2292"/>
      <c r="X137" s="2292"/>
      <c r="Y137" s="2292"/>
      <c r="Z137" s="2292"/>
    </row>
    <row r="138" spans="1:26">
      <c r="A138" s="950" t="s">
        <v>69</v>
      </c>
      <c r="B138" s="2"/>
      <c r="C138" s="538">
        <v>1.0023</v>
      </c>
      <c r="D138" s="535">
        <v>1.2878499999999999</v>
      </c>
      <c r="E138" s="539">
        <v>1.5733999999999999</v>
      </c>
      <c r="F138" s="535">
        <v>1.7921666666666665</v>
      </c>
      <c r="G138" s="535">
        <v>2.010933333333333</v>
      </c>
      <c r="H138" s="540">
        <v>2.2296999999999998</v>
      </c>
      <c r="I138" s="535">
        <v>2.3669000000000002</v>
      </c>
      <c r="J138" s="541">
        <v>2.5041000000000002</v>
      </c>
      <c r="K138"/>
      <c r="L138" s="1"/>
      <c r="M138" s="2561"/>
      <c r="N138" s="2561"/>
      <c r="O138" s="2292"/>
      <c r="P138" s="2292"/>
      <c r="Q138" s="2292"/>
      <c r="R138" s="2292"/>
      <c r="S138" s="2292"/>
      <c r="T138" s="2292"/>
      <c r="U138" s="2292"/>
      <c r="V138" s="2292"/>
      <c r="W138" s="2292"/>
      <c r="X138" s="2292"/>
      <c r="Y138" s="2292"/>
      <c r="Z138" s="2292"/>
    </row>
    <row r="139" spans="1:26">
      <c r="A139" s="950" t="s">
        <v>70</v>
      </c>
      <c r="B139" s="2"/>
      <c r="C139" s="538">
        <v>1.2836000000000001</v>
      </c>
      <c r="D139" s="535">
        <v>1.6460500000000002</v>
      </c>
      <c r="E139" s="539">
        <v>2.0085000000000002</v>
      </c>
      <c r="F139" s="535">
        <v>2.1865333333333337</v>
      </c>
      <c r="G139" s="535">
        <v>2.3645666666666667</v>
      </c>
      <c r="H139" s="540">
        <v>2.5426000000000002</v>
      </c>
      <c r="I139" s="535">
        <v>2.8070500000000003</v>
      </c>
      <c r="J139" s="541">
        <v>3.0714999999999999</v>
      </c>
      <c r="K139"/>
      <c r="L139" s="1"/>
      <c r="M139" s="2561"/>
      <c r="N139" s="2561"/>
      <c r="O139" s="2292"/>
      <c r="P139" s="2292"/>
      <c r="Q139" s="2292"/>
      <c r="R139" s="2292"/>
      <c r="S139" s="2292"/>
      <c r="T139" s="2292"/>
      <c r="U139" s="2292"/>
      <c r="V139" s="2292"/>
      <c r="W139" s="2292"/>
      <c r="X139" s="2292"/>
      <c r="Y139" s="2292"/>
      <c r="Z139" s="2292"/>
    </row>
    <row r="140" spans="1:26">
      <c r="A140" s="952" t="s">
        <v>71</v>
      </c>
      <c r="B140" s="2"/>
      <c r="C140" s="538">
        <v>1.5377000000000001</v>
      </c>
      <c r="D140" s="535">
        <v>1.9192</v>
      </c>
      <c r="E140" s="539">
        <v>2.3007</v>
      </c>
      <c r="F140" s="535">
        <v>2.5570333333333335</v>
      </c>
      <c r="G140" s="535">
        <v>2.8133666666666666</v>
      </c>
      <c r="H140" s="540">
        <v>3.0697000000000001</v>
      </c>
      <c r="I140" s="535">
        <v>3.22315</v>
      </c>
      <c r="J140" s="541">
        <v>3.3765999999999998</v>
      </c>
      <c r="K140"/>
      <c r="L140" s="1"/>
      <c r="M140" s="2561"/>
      <c r="N140" s="2561"/>
      <c r="O140" s="2292"/>
      <c r="P140" s="2292"/>
      <c r="Q140" s="2292"/>
      <c r="R140" s="2292"/>
      <c r="S140" s="2292"/>
      <c r="T140" s="2292"/>
      <c r="U140" s="2292"/>
      <c r="V140" s="2292"/>
      <c r="W140" s="2292"/>
      <c r="X140" s="2292"/>
      <c r="Y140" s="2292"/>
      <c r="Z140" s="2292"/>
    </row>
    <row r="141" spans="1:26">
      <c r="A141" s="951" t="s">
        <v>330</v>
      </c>
      <c r="B141" s="2"/>
      <c r="C141" s="534">
        <v>2.0912000000000002</v>
      </c>
      <c r="D141" s="535">
        <v>2.59795</v>
      </c>
      <c r="E141" s="535">
        <v>3.1047000000000002</v>
      </c>
      <c r="F141" s="535">
        <v>3.4010499999999997</v>
      </c>
      <c r="G141" s="535">
        <v>3.6974</v>
      </c>
      <c r="H141" s="536">
        <v>3.9937499999999999</v>
      </c>
      <c r="I141" s="535">
        <v>4.1211000000000002</v>
      </c>
      <c r="J141" s="537">
        <v>4.2484500000000001</v>
      </c>
      <c r="K141"/>
      <c r="L141" s="1"/>
      <c r="M141" s="2561"/>
      <c r="N141" s="2561"/>
      <c r="O141" s="2292"/>
      <c r="P141" s="2292"/>
      <c r="Q141" s="2292"/>
      <c r="R141" s="2292"/>
      <c r="S141" s="2292"/>
      <c r="T141" s="2292"/>
      <c r="U141" s="2292"/>
      <c r="V141" s="2292"/>
      <c r="W141" s="2292"/>
      <c r="X141" s="2292"/>
      <c r="Y141" s="2292"/>
      <c r="Z141" s="2292"/>
    </row>
    <row r="142" spans="1:26">
      <c r="A142" s="950" t="s">
        <v>117</v>
      </c>
      <c r="B142" s="2"/>
      <c r="C142" s="538">
        <v>2.6447000000000003</v>
      </c>
      <c r="D142" s="535">
        <v>3.2766999999999999</v>
      </c>
      <c r="E142" s="539">
        <v>3.9087000000000001</v>
      </c>
      <c r="F142" s="535">
        <v>4.2450666666666663</v>
      </c>
      <c r="G142" s="535">
        <v>4.581433333333333</v>
      </c>
      <c r="H142" s="540">
        <v>4.9177999999999997</v>
      </c>
      <c r="I142" s="535">
        <v>5.01905</v>
      </c>
      <c r="J142" s="541">
        <v>5.1203000000000003</v>
      </c>
      <c r="K142"/>
      <c r="L142" s="1"/>
      <c r="M142" s="2561"/>
      <c r="N142" s="2561"/>
      <c r="O142" s="2292"/>
      <c r="P142" s="2292"/>
      <c r="Q142" s="2292"/>
      <c r="R142" s="2292"/>
      <c r="S142" s="2292"/>
      <c r="T142" s="2292"/>
      <c r="U142" s="2292"/>
      <c r="V142" s="2292"/>
      <c r="W142" s="2292"/>
      <c r="X142" s="2292"/>
      <c r="Y142" s="2292"/>
      <c r="Z142" s="2292"/>
    </row>
    <row r="143" spans="1:26">
      <c r="A143" s="953" t="s">
        <v>329</v>
      </c>
      <c r="B143" s="2"/>
      <c r="C143" s="542">
        <v>3.1982000000000004</v>
      </c>
      <c r="D143" s="535">
        <v>3.9554499999999999</v>
      </c>
      <c r="E143" s="543">
        <v>4.7126999999999999</v>
      </c>
      <c r="F143" s="535">
        <v>5.089083333333333</v>
      </c>
      <c r="G143" s="535">
        <v>5.465466666666666</v>
      </c>
      <c r="H143" s="544">
        <v>5.8418499999999991</v>
      </c>
      <c r="I143" s="535">
        <v>5.3228075902335457</v>
      </c>
      <c r="J143" s="545">
        <v>5.9921500000000005</v>
      </c>
      <c r="K143"/>
      <c r="L143" s="1"/>
      <c r="M143" s="2561"/>
      <c r="N143" s="2561"/>
      <c r="O143" s="2292"/>
      <c r="P143" s="2292"/>
      <c r="Q143" s="2292"/>
      <c r="R143" s="2292"/>
      <c r="S143" s="2292"/>
      <c r="T143" s="2292"/>
      <c r="U143" s="2292"/>
      <c r="V143" s="2292"/>
      <c r="W143" s="2292"/>
      <c r="X143" s="2292"/>
      <c r="Y143" s="2292"/>
      <c r="Z143" s="2292"/>
    </row>
    <row r="144" spans="1:26">
      <c r="A144" s="953" t="s">
        <v>109</v>
      </c>
      <c r="B144" s="2"/>
      <c r="C144" s="542">
        <v>3.7517000000000005</v>
      </c>
      <c r="D144" s="535">
        <v>4.6341999999999999</v>
      </c>
      <c r="E144" s="543">
        <v>5.5167000000000002</v>
      </c>
      <c r="F144" s="535">
        <v>5.9330999999999996</v>
      </c>
      <c r="G144" s="535">
        <v>6.349499999999999</v>
      </c>
      <c r="H144" s="544">
        <v>6.7658999999999985</v>
      </c>
      <c r="I144" s="535">
        <v>5.6265651804670913</v>
      </c>
      <c r="J144" s="545">
        <v>6.8640000000000008</v>
      </c>
      <c r="K144"/>
      <c r="L144" s="1"/>
      <c r="M144" s="2561"/>
      <c r="N144" s="2561"/>
      <c r="O144" s="2292"/>
      <c r="P144" s="2292"/>
      <c r="Q144" s="2292"/>
      <c r="R144" s="2292"/>
      <c r="S144" s="2292"/>
      <c r="T144" s="2292"/>
      <c r="U144" s="2292"/>
      <c r="V144" s="2292"/>
      <c r="W144" s="2292"/>
      <c r="X144" s="2292"/>
      <c r="Y144" s="2292"/>
      <c r="Z144" s="2292"/>
    </row>
    <row r="145" spans="1:26">
      <c r="A145" s="954" t="s">
        <v>331</v>
      </c>
      <c r="B145" s="2"/>
      <c r="C145" s="542">
        <v>4.1945000000000006</v>
      </c>
      <c r="D145" s="535">
        <v>5.1772000000000009</v>
      </c>
      <c r="E145" s="543">
        <v>6.1599000000000004</v>
      </c>
      <c r="F145" s="535">
        <v>6.6083133333333333</v>
      </c>
      <c r="G145" s="535">
        <v>7.0567266666666653</v>
      </c>
      <c r="H145" s="544">
        <v>7.5051399999999981</v>
      </c>
      <c r="I145" s="535">
        <v>7.5333100000000002</v>
      </c>
      <c r="J145" s="545">
        <v>7.5614800000000013</v>
      </c>
      <c r="K145"/>
      <c r="L145" s="1"/>
      <c r="M145" s="2561"/>
      <c r="N145" s="2561"/>
      <c r="O145" s="2292"/>
      <c r="P145" s="2292"/>
      <c r="Q145" s="2292"/>
      <c r="R145" s="2292"/>
      <c r="S145" s="2292"/>
      <c r="T145" s="2292"/>
      <c r="U145" s="2292"/>
      <c r="V145" s="2292"/>
      <c r="W145" s="2292"/>
      <c r="X145" s="2292"/>
      <c r="Y145" s="2292"/>
      <c r="Z145" s="2292"/>
    </row>
    <row r="146" spans="1:26" ht="13.5" thickBot="1">
      <c r="A146" s="955" t="s">
        <v>112</v>
      </c>
      <c r="B146" s="135"/>
      <c r="C146" s="553">
        <v>4.5487400000000004</v>
      </c>
      <c r="D146" s="554">
        <v>5.611600000000001</v>
      </c>
      <c r="E146" s="555">
        <v>6.6744600000000007</v>
      </c>
      <c r="F146" s="554">
        <v>7.1484839999999998</v>
      </c>
      <c r="G146" s="554">
        <v>7.622507999999999</v>
      </c>
      <c r="H146" s="556">
        <v>8.0965319999999981</v>
      </c>
      <c r="I146" s="554">
        <v>8.1079980000000003</v>
      </c>
      <c r="J146" s="557">
        <v>8.1194640000000025</v>
      </c>
      <c r="K146"/>
      <c r="L146" s="1"/>
      <c r="M146" s="2561"/>
      <c r="N146" s="2561"/>
      <c r="O146" s="2292"/>
      <c r="P146" s="2292"/>
      <c r="Q146" s="2292"/>
      <c r="R146" s="2292"/>
      <c r="S146" s="2292"/>
      <c r="T146" s="2292"/>
      <c r="U146" s="2292"/>
      <c r="V146" s="2292"/>
      <c r="W146" s="2292"/>
      <c r="X146" s="2292"/>
      <c r="Y146" s="2292"/>
      <c r="Z146" s="2292"/>
    </row>
    <row r="147" spans="1:26">
      <c r="A147"/>
      <c r="B147"/>
      <c r="C147"/>
      <c r="D147"/>
      <c r="E147"/>
      <c r="F147"/>
      <c r="G147"/>
      <c r="H147"/>
      <c r="I147"/>
      <c r="J147"/>
      <c r="K147"/>
      <c r="L147" s="1"/>
      <c r="M147" s="2561"/>
      <c r="N147" s="2561"/>
      <c r="O147" s="2292"/>
      <c r="P147" s="2292"/>
      <c r="Q147" s="2292"/>
      <c r="R147" s="2292"/>
      <c r="S147" s="2292"/>
      <c r="T147" s="2292"/>
      <c r="U147" s="2292"/>
      <c r="V147" s="2292"/>
      <c r="W147" s="2292"/>
      <c r="X147" s="2292"/>
      <c r="Y147" s="2292"/>
      <c r="Z147" s="2292"/>
    </row>
    <row r="148" spans="1:26">
      <c r="A148" s="2292"/>
      <c r="B148" s="2292"/>
      <c r="C148" s="2292"/>
      <c r="D148" s="2292"/>
      <c r="E148" s="2292"/>
      <c r="F148" s="2292"/>
      <c r="G148" s="2292"/>
      <c r="H148" s="2292"/>
      <c r="I148" s="2292"/>
      <c r="J148" s="2292"/>
      <c r="K148" s="2292"/>
      <c r="L148" s="2292"/>
      <c r="M148" s="2292"/>
      <c r="N148" s="2292"/>
      <c r="O148" s="2292"/>
      <c r="P148" s="2292"/>
      <c r="Q148" s="2292"/>
      <c r="R148" s="2292"/>
      <c r="S148" s="2292"/>
      <c r="T148" s="2292"/>
      <c r="U148" s="2292"/>
      <c r="V148" s="2292"/>
      <c r="W148" s="2292"/>
      <c r="X148" s="2292"/>
      <c r="Y148" s="2292"/>
      <c r="Z148" s="2292"/>
    </row>
    <row r="149" spans="1:26">
      <c r="A149" s="2292"/>
      <c r="B149" s="2292"/>
      <c r="C149" s="2292"/>
      <c r="D149" s="2292"/>
      <c r="E149" s="2292"/>
      <c r="F149" s="2292"/>
      <c r="G149" s="2292"/>
      <c r="H149" s="2292"/>
      <c r="I149" s="2292"/>
      <c r="J149" s="2292"/>
      <c r="K149" s="2292"/>
      <c r="L149" s="2292"/>
      <c r="M149" s="2292"/>
      <c r="N149" s="2292"/>
      <c r="O149" s="2292"/>
      <c r="P149" s="2292"/>
      <c r="Q149" s="2292"/>
      <c r="R149" s="2292"/>
      <c r="S149" s="2292"/>
      <c r="T149" s="2292"/>
      <c r="U149" s="2292"/>
      <c r="V149" s="2292"/>
      <c r="W149" s="2292"/>
      <c r="X149" s="2292"/>
      <c r="Y149" s="2292"/>
      <c r="Z149" s="2292"/>
    </row>
    <row r="150" spans="1:26">
      <c r="A150" s="960" t="s">
        <v>974</v>
      </c>
      <c r="B150" s="961"/>
      <c r="C150" s="2168"/>
      <c r="D150" s="569"/>
      <c r="E150" s="569"/>
      <c r="F150" s="569"/>
      <c r="G150" s="569"/>
      <c r="H150" s="569"/>
      <c r="I150" s="569"/>
      <c r="J150" s="569"/>
      <c r="K150" s="569"/>
      <c r="L150" s="569"/>
      <c r="M150" s="2877"/>
      <c r="N150" s="2878" t="s">
        <v>2014</v>
      </c>
      <c r="O150" s="2878"/>
      <c r="P150" s="2878"/>
      <c r="Q150" s="2879"/>
      <c r="R150" s="2879"/>
      <c r="S150" s="2879"/>
      <c r="T150" s="2880"/>
      <c r="U150" s="2880"/>
      <c r="V150" s="2880"/>
      <c r="W150" s="2880"/>
      <c r="X150" s="2880"/>
      <c r="Y150" s="2880"/>
      <c r="Z150" s="2292"/>
    </row>
    <row r="151" spans="1:26">
      <c r="A151"/>
      <c r="B151"/>
      <c r="C151"/>
      <c r="D151"/>
      <c r="E151"/>
      <c r="F151"/>
      <c r="G151"/>
      <c r="H151"/>
      <c r="I151"/>
      <c r="J151"/>
      <c r="K151"/>
      <c r="L151" s="2875"/>
      <c r="M151" s="2561"/>
      <c r="N151" s="2873"/>
      <c r="O151"/>
      <c r="P151"/>
      <c r="Q151"/>
      <c r="R151"/>
      <c r="S151"/>
      <c r="T151"/>
      <c r="U151"/>
      <c r="V151"/>
      <c r="W151"/>
      <c r="X151"/>
      <c r="Y151" s="2875"/>
      <c r="Z151" s="2292"/>
    </row>
    <row r="152" spans="1:26">
      <c r="A152" s="2292"/>
      <c r="B152" s="2292"/>
      <c r="C152" s="2292"/>
      <c r="D152" s="2292"/>
      <c r="E152" s="2292"/>
      <c r="F152" s="2292"/>
      <c r="G152" s="2292"/>
      <c r="H152" s="2292"/>
      <c r="I152" s="2292"/>
      <c r="J152" s="2292"/>
      <c r="K152" s="2292"/>
      <c r="M152" s="2292"/>
      <c r="N152" s="2292"/>
      <c r="O152" s="2292"/>
      <c r="P152" s="2292"/>
      <c r="Q152" s="2292"/>
      <c r="R152" s="2292"/>
      <c r="S152" s="2292"/>
      <c r="T152" s="2292"/>
      <c r="U152" s="2292"/>
      <c r="V152" s="2292"/>
      <c r="W152" s="2292"/>
      <c r="X152" s="2292"/>
      <c r="Y152" s="2292"/>
      <c r="Z152" s="2292"/>
    </row>
    <row r="153" spans="1:26">
      <c r="A153" s="964" t="s">
        <v>2004</v>
      </c>
      <c r="B153" s="964"/>
      <c r="C153" s="2913"/>
      <c r="D153" s="2913"/>
      <c r="E153" s="2913"/>
      <c r="F153" s="2913"/>
      <c r="G153" s="2913"/>
      <c r="H153" s="2913"/>
      <c r="I153" s="2913"/>
      <c r="J153" s="963"/>
      <c r="K153" s="963"/>
      <c r="L153" s="2913"/>
      <c r="M153" s="2561"/>
      <c r="N153" s="1"/>
      <c r="O153" s="1"/>
      <c r="P153" s="1"/>
      <c r="Q153" s="1"/>
      <c r="R153" s="1"/>
      <c r="S153" s="1"/>
      <c r="T153" s="1"/>
      <c r="U153" s="1"/>
      <c r="V153" s="1"/>
      <c r="W153" s="1"/>
      <c r="X153" s="1"/>
      <c r="Y153" s="1"/>
      <c r="Z153" s="2292"/>
    </row>
    <row r="154" spans="1:26">
      <c r="A154" s="2873"/>
      <c r="B154" s="2873"/>
      <c r="C154" s="2873"/>
      <c r="D154" s="2873"/>
      <c r="E154" s="2873"/>
      <c r="F154" s="2873"/>
      <c r="G154" s="2873"/>
      <c r="H154" s="2873"/>
      <c r="I154" s="2873"/>
      <c r="J154" s="2873"/>
      <c r="K154" s="2873"/>
      <c r="L154" s="3"/>
      <c r="M154" s="2561"/>
      <c r="N154" s="1"/>
      <c r="O154" s="1"/>
      <c r="P154" s="1"/>
      <c r="Q154" s="1"/>
      <c r="R154" s="1"/>
      <c r="S154" s="1"/>
      <c r="T154" s="1"/>
      <c r="U154" s="1"/>
      <c r="V154" s="1"/>
      <c r="W154" s="1"/>
      <c r="X154" s="1"/>
      <c r="Y154" s="1"/>
      <c r="Z154" s="2292"/>
    </row>
    <row r="155" spans="1:26">
      <c r="A155" s="975" t="s">
        <v>2006</v>
      </c>
      <c r="B155" s="975"/>
      <c r="C155" s="3"/>
      <c r="D155" s="983" t="s">
        <v>2005</v>
      </c>
      <c r="E155" s="2873"/>
      <c r="F155" s="2873"/>
      <c r="G155" s="2873"/>
      <c r="H155" s="2873"/>
      <c r="I155" s="2873"/>
      <c r="J155" s="2873"/>
      <c r="K155" s="2873"/>
      <c r="L155" s="3"/>
      <c r="M155" s="2561"/>
      <c r="N155" s="1"/>
      <c r="O155" s="1"/>
      <c r="P155" s="1"/>
      <c r="Q155" s="1"/>
      <c r="R155" s="1"/>
      <c r="S155" s="1"/>
      <c r="T155" s="1"/>
      <c r="U155" s="1"/>
      <c r="V155" s="1"/>
      <c r="W155" s="1"/>
      <c r="X155" s="1"/>
      <c r="Y155" s="1"/>
      <c r="Z155" s="2292"/>
    </row>
    <row r="156" spans="1:26">
      <c r="A156" s="2873"/>
      <c r="B156" s="2873"/>
      <c r="C156" s="2873"/>
      <c r="D156" s="2873"/>
      <c r="E156" s="2873"/>
      <c r="F156" s="2873"/>
      <c r="G156" s="2873"/>
      <c r="H156" s="2873"/>
      <c r="I156" s="2873"/>
      <c r="J156" s="2873"/>
      <c r="K156" s="2873"/>
      <c r="L156" s="3"/>
      <c r="M156" s="2561"/>
      <c r="N156" s="2873"/>
      <c r="O156" s="2873"/>
      <c r="P156" s="2873"/>
      <c r="Q156" s="2873"/>
      <c r="R156" s="2873"/>
      <c r="S156" s="2873"/>
      <c r="T156" s="2873"/>
      <c r="U156" s="2873"/>
      <c r="V156" s="2873"/>
      <c r="W156" s="2873"/>
      <c r="X156" s="2873"/>
      <c r="Y156" s="1"/>
      <c r="Z156" s="2292"/>
    </row>
    <row r="157" spans="1:26">
      <c r="A157" s="2873"/>
      <c r="B157" s="2873"/>
      <c r="C157" s="2873"/>
      <c r="D157" s="2873"/>
      <c r="E157" s="2873"/>
      <c r="F157" s="2873"/>
      <c r="G157" s="2873"/>
      <c r="H157" s="2873"/>
      <c r="I157" s="2873"/>
      <c r="J157" s="2873"/>
      <c r="K157" s="2873"/>
      <c r="L157" s="3"/>
      <c r="M157" s="2561"/>
      <c r="N157" s="2873"/>
      <c r="O157" s="2873"/>
      <c r="P157" s="2873"/>
      <c r="Q157" s="2873"/>
      <c r="R157" s="2873"/>
      <c r="S157" s="2873"/>
      <c r="T157" s="2873"/>
      <c r="U157" s="2873"/>
      <c r="V157" s="2873"/>
      <c r="W157" s="2873"/>
      <c r="X157" s="2873"/>
      <c r="Y157" s="1"/>
      <c r="Z157" s="2292"/>
    </row>
    <row r="158" spans="1:26">
      <c r="A158" s="2873"/>
      <c r="B158" s="2873"/>
      <c r="C158" s="2873"/>
      <c r="D158" s="2873"/>
      <c r="E158" s="2873"/>
      <c r="F158" s="2873"/>
      <c r="G158" s="2873"/>
      <c r="H158" s="2873"/>
      <c r="I158" s="2873"/>
      <c r="J158" s="2873"/>
      <c r="K158" s="2873"/>
      <c r="L158" s="3"/>
      <c r="M158" s="2886" t="s">
        <v>2015</v>
      </c>
      <c r="N158" s="2873"/>
      <c r="O158" s="2873"/>
      <c r="P158" s="2873"/>
      <c r="Q158" s="2873"/>
      <c r="R158" s="2873"/>
      <c r="S158" s="2873"/>
      <c r="T158" s="2873"/>
      <c r="U158" s="2873"/>
      <c r="V158" s="2873"/>
      <c r="W158" s="2873"/>
      <c r="X158" s="2873"/>
      <c r="Y158" s="1"/>
      <c r="Z158" s="2292"/>
    </row>
    <row r="159" spans="1:26">
      <c r="A159" s="2873"/>
      <c r="B159" s="2873"/>
      <c r="C159" s="2873"/>
      <c r="D159" s="2873"/>
      <c r="E159" s="2873"/>
      <c r="F159" s="2873"/>
      <c r="G159" s="2873"/>
      <c r="H159" s="2873"/>
      <c r="I159" s="2873"/>
      <c r="J159" s="2873"/>
      <c r="K159" s="2873"/>
      <c r="L159" s="3"/>
      <c r="M159" s="2561"/>
      <c r="N159" s="2873"/>
      <c r="O159" s="2873"/>
      <c r="P159" s="2873"/>
      <c r="Q159" s="2873"/>
      <c r="R159" s="2873"/>
      <c r="S159" s="2873"/>
      <c r="T159" s="2873"/>
      <c r="U159" s="2873"/>
      <c r="V159" s="2873"/>
      <c r="W159" s="2873"/>
      <c r="X159" s="2873"/>
      <c r="Y159" s="1"/>
      <c r="Z159" s="2292"/>
    </row>
    <row r="160" spans="1:26">
      <c r="A160" s="2873"/>
      <c r="B160" s="2873"/>
      <c r="C160" s="2873"/>
      <c r="D160" s="2873"/>
      <c r="E160" s="2873"/>
      <c r="F160" s="2873"/>
      <c r="G160" s="2873"/>
      <c r="H160" s="2873"/>
      <c r="I160" s="2873"/>
      <c r="J160" s="2873"/>
      <c r="K160" s="2873"/>
      <c r="L160" s="3"/>
      <c r="M160" s="2561"/>
      <c r="N160" s="2873"/>
      <c r="O160" s="2873"/>
      <c r="P160" s="2873"/>
      <c r="Q160" s="2873"/>
      <c r="R160" s="2873"/>
      <c r="S160" s="2873"/>
      <c r="T160" s="2873"/>
      <c r="U160" s="2873"/>
      <c r="V160" s="2873"/>
      <c r="W160" s="2873"/>
      <c r="X160" s="2873"/>
      <c r="Y160" s="1"/>
      <c r="Z160" s="2292"/>
    </row>
    <row r="161" spans="1:26">
      <c r="A161" s="2873"/>
      <c r="B161" s="2873"/>
      <c r="C161" s="2873"/>
      <c r="D161" s="2873"/>
      <c r="E161" s="2873"/>
      <c r="F161" s="2873"/>
      <c r="G161" s="2873"/>
      <c r="H161" s="2873"/>
      <c r="I161" s="2873"/>
      <c r="J161" s="2873"/>
      <c r="K161" s="2873"/>
      <c r="L161" s="3"/>
      <c r="M161" s="2561"/>
      <c r="N161" s="2873"/>
      <c r="O161" s="2873"/>
      <c r="P161" s="2873"/>
      <c r="Q161" s="2873"/>
      <c r="R161" s="2873"/>
      <c r="S161" s="2873"/>
      <c r="T161" s="2873"/>
      <c r="U161" s="2873"/>
      <c r="V161" s="2873"/>
      <c r="W161" s="2873"/>
      <c r="X161" s="2873"/>
      <c r="Y161" s="1"/>
      <c r="Z161" s="2292"/>
    </row>
    <row r="162" spans="1:26">
      <c r="A162" s="2873"/>
      <c r="B162" s="2873"/>
      <c r="C162" s="2873"/>
      <c r="D162" s="2873"/>
      <c r="E162" s="2873"/>
      <c r="F162" s="2873"/>
      <c r="G162" s="2873"/>
      <c r="H162" s="2873"/>
      <c r="I162" s="2873"/>
      <c r="J162" s="2873"/>
      <c r="K162" s="2873"/>
      <c r="L162" s="3"/>
      <c r="M162" s="2561"/>
      <c r="N162" s="2873"/>
      <c r="O162" s="2873"/>
      <c r="P162" s="2873"/>
      <c r="Q162" s="2873"/>
      <c r="R162" s="2873"/>
      <c r="S162" s="2873"/>
      <c r="T162" s="2873"/>
      <c r="U162" s="2873"/>
      <c r="V162" s="2873"/>
      <c r="W162" s="2873"/>
      <c r="X162" s="2873"/>
      <c r="Y162" s="1"/>
      <c r="Z162" s="2292"/>
    </row>
    <row r="163" spans="1:26">
      <c r="A163" s="2873"/>
      <c r="B163" s="2873"/>
      <c r="C163" s="2873"/>
      <c r="D163" s="2873"/>
      <c r="E163" s="2873"/>
      <c r="F163" s="2873"/>
      <c r="G163" s="2873"/>
      <c r="H163" s="2873"/>
      <c r="I163" s="2873"/>
      <c r="J163" s="2873"/>
      <c r="K163" s="2873"/>
      <c r="L163" s="3"/>
      <c r="M163" s="2561"/>
      <c r="N163" s="2873"/>
      <c r="O163" s="2873"/>
      <c r="P163" s="2873"/>
      <c r="Q163" s="2873"/>
      <c r="R163" s="2873"/>
      <c r="S163" s="2873"/>
      <c r="T163" s="2873"/>
      <c r="U163" s="2873"/>
      <c r="V163" s="2873"/>
      <c r="W163" s="2873"/>
      <c r="X163" s="2873"/>
      <c r="Y163" s="1"/>
      <c r="Z163" s="2292"/>
    </row>
    <row r="164" spans="1:26">
      <c r="A164" s="2873"/>
      <c r="B164" s="2873"/>
      <c r="C164" s="2873"/>
      <c r="D164" s="2873"/>
      <c r="E164" s="2873"/>
      <c r="F164" s="2873"/>
      <c r="G164" s="2873"/>
      <c r="H164" s="2873"/>
      <c r="I164" s="2873"/>
      <c r="J164" s="2873"/>
      <c r="K164" s="2873"/>
      <c r="L164" s="3"/>
      <c r="M164" s="2561"/>
      <c r="N164" s="2873"/>
      <c r="O164" s="2873"/>
      <c r="P164" s="2873"/>
      <c r="Q164" s="2873"/>
      <c r="R164" s="2873"/>
      <c r="S164" s="2873"/>
      <c r="T164" s="2873"/>
      <c r="U164" s="2873"/>
      <c r="V164" s="2873"/>
      <c r="W164" s="2873"/>
      <c r="X164" s="2873"/>
      <c r="Y164" s="1"/>
      <c r="Z164" s="2292"/>
    </row>
    <row r="165" spans="1:26">
      <c r="A165" s="2873"/>
      <c r="B165" s="2873"/>
      <c r="C165" s="2873"/>
      <c r="D165" s="2873"/>
      <c r="E165" s="2873"/>
      <c r="F165" s="2873"/>
      <c r="G165" s="2873"/>
      <c r="H165" s="2873"/>
      <c r="I165" s="2873"/>
      <c r="J165" s="2873"/>
      <c r="K165" s="2873"/>
      <c r="L165" s="3"/>
      <c r="M165" s="2561"/>
      <c r="N165" s="2873"/>
      <c r="O165" s="2873"/>
      <c r="P165" s="2873"/>
      <c r="Q165" s="2873"/>
      <c r="R165" s="2873"/>
      <c r="S165" s="2873"/>
      <c r="T165" s="2873"/>
      <c r="U165" s="2873"/>
      <c r="V165" s="2873"/>
      <c r="W165" s="2873"/>
      <c r="X165" s="2873"/>
      <c r="Y165" s="1"/>
      <c r="Z165" s="2292"/>
    </row>
    <row r="166" spans="1:26">
      <c r="A166" s="2873"/>
      <c r="B166" s="2873"/>
      <c r="C166" s="2873"/>
      <c r="D166" s="2873"/>
      <c r="E166" s="2873"/>
      <c r="F166" s="2873"/>
      <c r="G166" s="2873"/>
      <c r="H166" s="2873"/>
      <c r="I166" s="2873"/>
      <c r="J166" s="2873"/>
      <c r="K166" s="2873"/>
      <c r="L166" s="3"/>
      <c r="M166" s="2561"/>
      <c r="N166" s="2873"/>
      <c r="O166" s="2873"/>
      <c r="P166" s="2873"/>
      <c r="Q166" s="2873"/>
      <c r="R166" s="2873"/>
      <c r="S166" s="2873"/>
      <c r="T166" s="2873"/>
      <c r="U166" s="2873"/>
      <c r="V166" s="2873"/>
      <c r="W166" s="2873"/>
      <c r="X166" s="2873"/>
      <c r="Y166" s="1"/>
      <c r="Z166" s="2292"/>
    </row>
    <row r="167" spans="1:26">
      <c r="A167" s="2873"/>
      <c r="B167" s="2873"/>
      <c r="C167" s="2873"/>
      <c r="D167" s="2873"/>
      <c r="E167" s="2873"/>
      <c r="F167" s="2873"/>
      <c r="G167" s="2873"/>
      <c r="H167" s="2873"/>
      <c r="I167" s="2873"/>
      <c r="J167" s="2873"/>
      <c r="K167" s="2873"/>
      <c r="L167" s="3"/>
      <c r="M167" s="2561"/>
      <c r="N167" s="2873"/>
      <c r="O167" s="2873"/>
      <c r="P167" s="2873"/>
      <c r="Q167" s="2873"/>
      <c r="R167" s="2873"/>
      <c r="S167" s="2873"/>
      <c r="T167" s="2873"/>
      <c r="U167" s="2873"/>
      <c r="V167" s="2873"/>
      <c r="W167" s="2873"/>
      <c r="X167" s="2873"/>
      <c r="Y167" s="1"/>
      <c r="Z167" s="2292"/>
    </row>
    <row r="168" spans="1:26">
      <c r="A168" s="2873"/>
      <c r="B168" s="2873"/>
      <c r="C168" s="2873"/>
      <c r="D168" s="2873"/>
      <c r="E168" s="2873"/>
      <c r="F168" s="2873"/>
      <c r="G168" s="2873"/>
      <c r="H168" s="2873"/>
      <c r="I168" s="2873"/>
      <c r="J168" s="2873"/>
      <c r="K168" s="2873"/>
      <c r="L168" s="3"/>
      <c r="M168" s="2561"/>
      <c r="N168" s="2873"/>
      <c r="O168" s="2873"/>
      <c r="P168" s="2873"/>
      <c r="Q168" s="2873"/>
      <c r="R168" s="2873"/>
      <c r="S168" s="2873"/>
      <c r="T168" s="2873"/>
      <c r="U168" s="2873"/>
      <c r="V168" s="2873"/>
      <c r="W168" s="2873"/>
      <c r="X168" s="2873"/>
      <c r="Y168" s="1"/>
      <c r="Z168" s="2292"/>
    </row>
    <row r="169" spans="1:26">
      <c r="A169" s="2873"/>
      <c r="B169" s="2873"/>
      <c r="C169" s="2873"/>
      <c r="D169" s="2873"/>
      <c r="E169" s="2873"/>
      <c r="F169" s="2873"/>
      <c r="G169" s="2873"/>
      <c r="H169" s="2873"/>
      <c r="I169" s="2873"/>
      <c r="J169" s="2873"/>
      <c r="K169" s="2873"/>
      <c r="L169" s="3"/>
      <c r="M169" s="2561"/>
      <c r="N169" s="2873"/>
      <c r="O169" s="2873"/>
      <c r="P169" s="2873"/>
      <c r="Q169" s="2873"/>
      <c r="R169" s="2873"/>
      <c r="S169" s="2873"/>
      <c r="T169" s="2873"/>
      <c r="U169" s="2873"/>
      <c r="V169" s="2873"/>
      <c r="W169" s="2873"/>
      <c r="X169" s="2873"/>
      <c r="Y169" s="1"/>
      <c r="Z169" s="2292"/>
    </row>
    <row r="170" spans="1:26">
      <c r="A170" s="2873"/>
      <c r="B170" s="2873"/>
      <c r="C170" s="2873"/>
      <c r="D170" s="2873"/>
      <c r="E170" s="2873"/>
      <c r="F170" s="2873"/>
      <c r="G170" s="2873"/>
      <c r="H170" s="2873"/>
      <c r="I170" s="2873"/>
      <c r="J170" s="2873"/>
      <c r="K170" s="2873"/>
      <c r="L170" s="3"/>
      <c r="M170" s="2561"/>
      <c r="N170" s="2873"/>
      <c r="O170" s="2873"/>
      <c r="P170" s="2873"/>
      <c r="Q170" s="2873"/>
      <c r="R170" s="2873"/>
      <c r="S170" s="2873"/>
      <c r="T170" s="2873"/>
      <c r="U170" s="2873"/>
      <c r="V170" s="2873"/>
      <c r="W170" s="2873"/>
      <c r="X170" s="2873"/>
      <c r="Y170" s="1"/>
      <c r="Z170" s="2292"/>
    </row>
    <row r="171" spans="1:26">
      <c r="A171" s="2873"/>
      <c r="B171" s="2873"/>
      <c r="C171" s="2873"/>
      <c r="D171" s="2873"/>
      <c r="E171" s="2873"/>
      <c r="F171" s="2873"/>
      <c r="G171" s="2873"/>
      <c r="H171" s="2873"/>
      <c r="I171" s="2873"/>
      <c r="J171" s="2873"/>
      <c r="K171" s="2873"/>
      <c r="L171" s="3"/>
      <c r="M171" s="2561"/>
      <c r="N171" s="2873"/>
      <c r="O171" s="2873"/>
      <c r="P171" s="2873"/>
      <c r="Q171" s="2873"/>
      <c r="R171" s="2873"/>
      <c r="S171" s="2873"/>
      <c r="T171" s="2873"/>
      <c r="U171" s="2873"/>
      <c r="V171" s="2873"/>
      <c r="W171" s="2873"/>
      <c r="X171" s="2873"/>
      <c r="Y171" s="1"/>
      <c r="Z171" s="2292"/>
    </row>
    <row r="172" spans="1:26">
      <c r="A172" s="2873"/>
      <c r="B172" s="2873"/>
      <c r="C172" s="2873"/>
      <c r="D172" s="2873"/>
      <c r="E172" s="2873"/>
      <c r="F172" s="2873"/>
      <c r="G172" s="2873"/>
      <c r="H172" s="2873"/>
      <c r="I172" s="2873"/>
      <c r="J172" s="2873"/>
      <c r="K172" s="2873"/>
      <c r="L172" s="3"/>
      <c r="M172" s="2561"/>
      <c r="N172" s="2873"/>
      <c r="O172" s="2873"/>
      <c r="P172" s="2873"/>
      <c r="Q172" s="2873"/>
      <c r="R172" s="2873"/>
      <c r="S172" s="2873"/>
      <c r="T172" s="2873"/>
      <c r="U172" s="2873"/>
      <c r="V172" s="2873"/>
      <c r="W172" s="2873"/>
      <c r="X172" s="2873"/>
      <c r="Y172" s="1"/>
      <c r="Z172" s="2292"/>
    </row>
    <row r="173" spans="1:26">
      <c r="A173" s="2873"/>
      <c r="B173" s="2873"/>
      <c r="C173" s="2873"/>
      <c r="D173" s="2873"/>
      <c r="E173" s="2873"/>
      <c r="F173" s="2873"/>
      <c r="G173" s="2873"/>
      <c r="H173" s="2873"/>
      <c r="I173" s="2873"/>
      <c r="J173" s="2873"/>
      <c r="K173" s="2873"/>
      <c r="L173" s="3"/>
      <c r="M173" s="2561"/>
      <c r="N173" s="2873"/>
      <c r="O173" s="2873"/>
      <c r="P173" s="2873"/>
      <c r="Q173" s="2873"/>
      <c r="R173" s="2873"/>
      <c r="S173" s="2873"/>
      <c r="T173" s="2873"/>
      <c r="U173" s="2873"/>
      <c r="V173" s="2873"/>
      <c r="W173" s="2873"/>
      <c r="X173" s="2873"/>
      <c r="Y173" s="1"/>
      <c r="Z173" s="2292"/>
    </row>
    <row r="174" spans="1:26">
      <c r="A174" s="2873"/>
      <c r="B174" s="2873"/>
      <c r="C174" s="2873"/>
      <c r="D174" s="2873"/>
      <c r="E174" s="2873"/>
      <c r="F174" s="2873"/>
      <c r="G174" s="2873"/>
      <c r="H174" s="2873"/>
      <c r="I174" s="2873"/>
      <c r="J174" s="2873"/>
      <c r="K174" s="2873"/>
      <c r="L174" s="3"/>
      <c r="M174" s="2561"/>
      <c r="N174" s="2873"/>
      <c r="O174" s="2873"/>
      <c r="P174" s="2873"/>
      <c r="Q174" s="2873"/>
      <c r="R174" s="2873"/>
      <c r="S174" s="2873"/>
      <c r="T174" s="2873"/>
      <c r="U174" s="2873"/>
      <c r="V174" s="2873"/>
      <c r="W174" s="2873"/>
      <c r="X174" s="2873"/>
      <c r="Y174" s="1"/>
      <c r="Z174" s="2292"/>
    </row>
    <row r="175" spans="1:26">
      <c r="A175" s="2873"/>
      <c r="B175" s="2873"/>
      <c r="C175" s="2873"/>
      <c r="D175" s="2873"/>
      <c r="E175" s="2873"/>
      <c r="F175" s="2873"/>
      <c r="G175" s="2873"/>
      <c r="H175" s="2873"/>
      <c r="I175" s="2873"/>
      <c r="J175" s="2873"/>
      <c r="K175" s="2873"/>
      <c r="L175" s="3"/>
      <c r="M175" s="2561"/>
      <c r="N175" s="2873"/>
      <c r="O175" s="2873"/>
      <c r="P175" s="2873"/>
      <c r="Q175" s="2873"/>
      <c r="R175" s="2873"/>
      <c r="S175" s="2873"/>
      <c r="T175" s="2873"/>
      <c r="U175" s="2873"/>
      <c r="V175" s="2873"/>
      <c r="W175" s="2873"/>
      <c r="X175" s="2873"/>
      <c r="Y175" s="1"/>
      <c r="Z175" s="2292"/>
    </row>
    <row r="176" spans="1:26">
      <c r="A176" s="2873"/>
      <c r="B176" s="2873"/>
      <c r="C176" s="2873"/>
      <c r="D176" s="2873"/>
      <c r="E176" s="2873"/>
      <c r="F176" s="2873"/>
      <c r="G176" s="2873"/>
      <c r="H176" s="2873"/>
      <c r="I176" s="2873"/>
      <c r="J176" s="2873"/>
      <c r="K176" s="2873"/>
      <c r="L176" s="3"/>
      <c r="M176" s="2561"/>
      <c r="N176" s="2873"/>
      <c r="O176" s="2873"/>
      <c r="P176" s="2873"/>
      <c r="Q176" s="2873"/>
      <c r="R176" s="2873"/>
      <c r="S176" s="2873"/>
      <c r="T176" s="2873"/>
      <c r="U176" s="2873"/>
      <c r="V176" s="2873"/>
      <c r="W176" s="2873"/>
      <c r="X176" s="2873"/>
      <c r="Y176" s="1"/>
      <c r="Z176" s="2292"/>
    </row>
    <row r="177" spans="1:26">
      <c r="A177" s="2873"/>
      <c r="B177" s="2873"/>
      <c r="C177" s="2873"/>
      <c r="D177" s="2873"/>
      <c r="E177" s="2873"/>
      <c r="F177" s="2873"/>
      <c r="G177" s="2873"/>
      <c r="H177" s="2873"/>
      <c r="I177" s="2873"/>
      <c r="J177" s="2873"/>
      <c r="K177" s="2873"/>
      <c r="L177" s="3"/>
      <c r="M177" s="2561"/>
      <c r="N177" s="2873"/>
      <c r="O177" s="2873"/>
      <c r="P177" s="2873"/>
      <c r="Q177" s="2873"/>
      <c r="R177" s="2873"/>
      <c r="S177" s="2873"/>
      <c r="T177" s="2873"/>
      <c r="U177" s="2873"/>
      <c r="V177" s="2873"/>
      <c r="W177" s="2873"/>
      <c r="X177" s="2873"/>
      <c r="Y177" s="1"/>
      <c r="Z177" s="2292"/>
    </row>
    <row r="178" spans="1:26">
      <c r="A178" s="2873"/>
      <c r="B178" s="2873"/>
      <c r="C178" s="2873"/>
      <c r="D178" s="2873"/>
      <c r="E178" s="2873"/>
      <c r="F178" s="2873"/>
      <c r="G178" s="2873"/>
      <c r="H178" s="2873"/>
      <c r="I178" s="2873"/>
      <c r="J178" s="2873"/>
      <c r="K178" s="2873"/>
      <c r="L178" s="3"/>
      <c r="M178" s="2561"/>
      <c r="N178" s="2873"/>
      <c r="O178" s="2873"/>
      <c r="P178" s="2873"/>
      <c r="Q178" s="2873"/>
      <c r="R178" s="2873"/>
      <c r="S178" s="2873"/>
      <c r="T178" s="2873"/>
      <c r="U178" s="2873"/>
      <c r="V178" s="2873"/>
      <c r="W178" s="2873"/>
      <c r="X178" s="2873"/>
      <c r="Y178" s="1"/>
      <c r="Z178" s="2292"/>
    </row>
    <row r="179" spans="1:26">
      <c r="A179" s="2873"/>
      <c r="B179" s="2873"/>
      <c r="C179" s="2873"/>
      <c r="D179" s="2873"/>
      <c r="E179" s="2873"/>
      <c r="F179" s="2873"/>
      <c r="G179" s="2873"/>
      <c r="H179" s="2873"/>
      <c r="I179" s="2873"/>
      <c r="J179" s="2873"/>
      <c r="K179" s="2873"/>
      <c r="L179" s="3"/>
      <c r="M179" s="2561"/>
      <c r="N179" s="2873"/>
      <c r="O179" s="2873"/>
      <c r="P179" s="2873"/>
      <c r="Q179" s="2873"/>
      <c r="R179" s="2873"/>
      <c r="S179" s="2873"/>
      <c r="T179" s="2873"/>
      <c r="U179" s="2873"/>
      <c r="V179" s="2873"/>
      <c r="W179" s="2873"/>
      <c r="X179" s="2873"/>
      <c r="Y179" s="1"/>
      <c r="Z179" s="2292"/>
    </row>
    <row r="180" spans="1:26">
      <c r="A180" s="2873"/>
      <c r="B180" s="2873"/>
      <c r="C180" s="2873"/>
      <c r="D180" s="2873"/>
      <c r="E180" s="2873"/>
      <c r="F180" s="2873"/>
      <c r="G180" s="2873"/>
      <c r="H180" s="2873"/>
      <c r="I180" s="2873"/>
      <c r="J180" s="2873"/>
      <c r="K180" s="2873"/>
      <c r="L180" s="3"/>
      <c r="M180" s="2561"/>
      <c r="N180" s="2873"/>
      <c r="O180" s="2873"/>
      <c r="P180" s="2873"/>
      <c r="Q180" s="2873"/>
      <c r="R180" s="2873"/>
      <c r="S180" s="2873"/>
      <c r="T180" s="2873"/>
      <c r="U180" s="2873"/>
      <c r="V180" s="2873"/>
      <c r="W180" s="2873"/>
      <c r="X180" s="2873"/>
      <c r="Y180" s="1"/>
      <c r="Z180" s="2292"/>
    </row>
    <row r="181" spans="1:26">
      <c r="A181" s="2873"/>
      <c r="B181" s="2873"/>
      <c r="C181" s="2873"/>
      <c r="D181" s="2873"/>
      <c r="E181" s="2873"/>
      <c r="F181" s="2873"/>
      <c r="G181" s="2873"/>
      <c r="H181" s="2873"/>
      <c r="I181" s="2873"/>
      <c r="J181" s="2873"/>
      <c r="K181" s="2873"/>
      <c r="L181" s="3"/>
      <c r="M181" s="2561"/>
      <c r="N181" s="2873"/>
      <c r="O181" s="2873"/>
      <c r="P181" s="2873"/>
      <c r="Q181" s="2873"/>
      <c r="R181" s="2873"/>
      <c r="S181" s="2873"/>
      <c r="T181" s="2873"/>
      <c r="U181" s="2873"/>
      <c r="V181" s="2873"/>
      <c r="W181" s="2873"/>
      <c r="X181" s="2873"/>
      <c r="Y181" s="1"/>
      <c r="Z181" s="2292"/>
    </row>
    <row r="182" spans="1:26">
      <c r="A182" s="2873"/>
      <c r="B182" s="2873"/>
      <c r="C182" s="2873"/>
      <c r="D182" s="2873"/>
      <c r="E182" s="2873"/>
      <c r="F182" s="2873"/>
      <c r="G182" s="2873"/>
      <c r="H182" s="2873"/>
      <c r="I182" s="2873"/>
      <c r="J182" s="2873"/>
      <c r="K182" s="2873"/>
      <c r="L182" s="3"/>
      <c r="M182" s="2561"/>
      <c r="N182" s="2873"/>
      <c r="O182" s="2873"/>
      <c r="P182" s="2873"/>
      <c r="Q182" s="2873"/>
      <c r="R182" s="2873"/>
      <c r="S182" s="2873"/>
      <c r="T182" s="2873"/>
      <c r="U182" s="2873"/>
      <c r="V182" s="2873"/>
      <c r="W182" s="2873"/>
      <c r="X182" s="2873"/>
      <c r="Y182" s="1"/>
      <c r="Z182" s="2292"/>
    </row>
    <row r="183" spans="1:26">
      <c r="A183" s="2873"/>
      <c r="B183" s="2873"/>
      <c r="C183" s="2873"/>
      <c r="D183" s="2873"/>
      <c r="E183" s="2873"/>
      <c r="F183" s="2873"/>
      <c r="G183" s="2873"/>
      <c r="H183" s="2873"/>
      <c r="I183" s="2873"/>
      <c r="J183" s="2873"/>
      <c r="K183" s="2873"/>
      <c r="L183" s="3"/>
      <c r="M183" s="2561"/>
      <c r="N183" s="2873"/>
      <c r="O183" s="2873"/>
      <c r="P183" s="2873"/>
      <c r="Q183" s="2873"/>
      <c r="R183" s="2873"/>
      <c r="S183" s="2873"/>
      <c r="T183" s="2873"/>
      <c r="U183" s="2873"/>
      <c r="V183" s="2873"/>
      <c r="W183" s="2873"/>
      <c r="X183" s="2873"/>
      <c r="Y183" s="1"/>
      <c r="Z183" s="2292"/>
    </row>
    <row r="184" spans="1:26">
      <c r="A184" s="2873"/>
      <c r="B184" s="2873"/>
      <c r="C184" s="2873"/>
      <c r="D184" s="2873"/>
      <c r="E184" s="2873"/>
      <c r="F184" s="2873"/>
      <c r="G184" s="2873"/>
      <c r="H184" s="2873"/>
      <c r="I184" s="2873"/>
      <c r="J184" s="2873"/>
      <c r="K184" s="2873"/>
      <c r="L184" s="3"/>
      <c r="M184" s="2561"/>
      <c r="N184" s="2873"/>
      <c r="O184" s="2873"/>
      <c r="P184" s="2873"/>
      <c r="Q184" s="2873"/>
      <c r="R184" s="2873"/>
      <c r="S184" s="2873"/>
      <c r="T184" s="2873"/>
      <c r="U184" s="2873"/>
      <c r="V184" s="2873"/>
      <c r="W184" s="2873"/>
      <c r="X184" s="2873"/>
      <c r="Y184" s="1"/>
      <c r="Z184" s="2292"/>
    </row>
    <row r="185" spans="1:26">
      <c r="A185" s="2873"/>
      <c r="B185" s="2873"/>
      <c r="C185" s="2873"/>
      <c r="D185" s="2873"/>
      <c r="E185" s="2873"/>
      <c r="F185" s="2873"/>
      <c r="G185" s="2873"/>
      <c r="H185" s="2873"/>
      <c r="I185" s="2873"/>
      <c r="J185" s="2873"/>
      <c r="K185" s="2873"/>
      <c r="L185" s="3"/>
      <c r="M185" s="2561"/>
      <c r="N185" s="2873"/>
      <c r="O185" s="2873"/>
      <c r="P185" s="2873"/>
      <c r="Q185" s="2873"/>
      <c r="R185" s="2873"/>
      <c r="S185" s="2873"/>
      <c r="T185" s="2873"/>
      <c r="U185" s="2873"/>
      <c r="V185" s="2873"/>
      <c r="W185" s="2873"/>
      <c r="X185" s="2873"/>
      <c r="Y185" s="1"/>
      <c r="Z185" s="2292"/>
    </row>
    <row r="186" spans="1:26">
      <c r="A186" s="2561"/>
      <c r="B186" s="2561"/>
      <c r="C186" s="2561"/>
      <c r="D186" s="2561"/>
      <c r="E186" s="2561"/>
      <c r="F186" s="2561"/>
      <c r="G186" s="2561"/>
      <c r="H186" s="2561"/>
      <c r="I186" s="2561"/>
      <c r="J186" s="2561"/>
      <c r="K186" s="2561"/>
      <c r="L186" s="2561"/>
      <c r="M186" s="2561"/>
      <c r="N186" s="2561"/>
      <c r="O186" s="2561"/>
      <c r="P186" s="2561"/>
      <c r="Q186" s="2561"/>
      <c r="R186" s="2561"/>
      <c r="S186" s="2561"/>
      <c r="T186" s="2561"/>
      <c r="U186" s="2561"/>
      <c r="V186" s="2561"/>
      <c r="W186" s="2561"/>
      <c r="X186" s="2561"/>
      <c r="Y186" s="2292"/>
      <c r="Z186" s="2292"/>
    </row>
    <row r="187" spans="1:26">
      <c r="A187" s="964" t="s">
        <v>2028</v>
      </c>
      <c r="B187" s="964"/>
      <c r="C187" s="963"/>
      <c r="D187" s="963"/>
      <c r="E187" s="963"/>
      <c r="F187" s="963"/>
      <c r="G187" s="963"/>
      <c r="H187" s="963"/>
      <c r="I187" s="963"/>
      <c r="J187" s="963"/>
      <c r="K187" s="963"/>
      <c r="L187" s="963"/>
      <c r="M187" s="2561"/>
      <c r="N187" s="2561"/>
      <c r="O187" s="2561"/>
      <c r="P187" s="2561"/>
      <c r="Q187" s="2561"/>
      <c r="R187" s="2561"/>
      <c r="S187" s="2561"/>
      <c r="T187" s="2561"/>
      <c r="U187" s="2561"/>
      <c r="V187" s="2561"/>
      <c r="W187" s="2561"/>
      <c r="X187" s="2561"/>
      <c r="Y187" s="2292"/>
      <c r="Z187" s="2292"/>
    </row>
    <row r="188" spans="1:26">
      <c r="A188"/>
      <c r="B188"/>
      <c r="C188"/>
      <c r="D188"/>
      <c r="E188"/>
      <c r="F188"/>
      <c r="G188"/>
      <c r="H188"/>
      <c r="I188"/>
      <c r="J188"/>
      <c r="K188"/>
      <c r="L188" s="1"/>
      <c r="M188" s="2561"/>
      <c r="N188" s="2561"/>
      <c r="O188" s="2561"/>
      <c r="P188" s="2561"/>
      <c r="Q188" s="2561"/>
      <c r="R188" s="2561"/>
      <c r="S188" s="2561"/>
      <c r="T188" s="2882"/>
      <c r="U188" s="2882"/>
      <c r="V188" s="2882"/>
      <c r="W188" s="2882"/>
      <c r="X188" s="2882"/>
      <c r="Y188" s="2292"/>
      <c r="Z188" s="2292"/>
    </row>
    <row r="189" spans="1:26">
      <c r="A189" s="975" t="s">
        <v>1691</v>
      </c>
      <c r="B189" s="975"/>
      <c r="C189"/>
      <c r="D189" s="983" t="s">
        <v>1692</v>
      </c>
      <c r="E189" s="983"/>
      <c r="F189"/>
      <c r="G189"/>
      <c r="H189"/>
      <c r="I189"/>
      <c r="J189"/>
      <c r="K189"/>
      <c r="L189" s="1"/>
      <c r="M189" s="2561"/>
      <c r="N189" s="2561"/>
      <c r="O189" s="2561"/>
      <c r="P189" s="2561"/>
      <c r="Q189" s="2561"/>
      <c r="R189" s="2561"/>
      <c r="S189" s="2561"/>
      <c r="T189" s="2882"/>
      <c r="U189" s="2882"/>
      <c r="V189" s="2882"/>
      <c r="W189" s="2882"/>
      <c r="X189" s="2882"/>
      <c r="Y189" s="2292"/>
      <c r="Z189" s="2292"/>
    </row>
    <row r="190" spans="1:26">
      <c r="A190" s="2130"/>
      <c r="B190" s="2130"/>
      <c r="C190"/>
      <c r="D190"/>
      <c r="E190"/>
      <c r="F190"/>
      <c r="G190"/>
      <c r="H190"/>
      <c r="I190"/>
      <c r="J190"/>
      <c r="K190"/>
      <c r="L190" s="1"/>
      <c r="M190" s="2561"/>
      <c r="N190" s="2561"/>
      <c r="O190" s="2561"/>
      <c r="P190" s="2561"/>
      <c r="Q190" s="2561"/>
      <c r="R190" s="2561"/>
      <c r="S190" s="2561"/>
      <c r="T190" s="2882"/>
      <c r="U190" s="2882"/>
      <c r="V190" s="2882"/>
      <c r="W190" s="2882"/>
      <c r="X190" s="2882"/>
      <c r="Y190" s="2561"/>
      <c r="Z190" s="2292"/>
    </row>
    <row r="191" spans="1:26" ht="13.5" thickBot="1">
      <c r="A191" s="2130"/>
      <c r="B191" s="2130"/>
      <c r="C191" s="3"/>
      <c r="D191" s="2926" t="s">
        <v>100</v>
      </c>
      <c r="E191" s="2926" t="s">
        <v>981</v>
      </c>
      <c r="F191" s="2926" t="s">
        <v>982</v>
      </c>
      <c r="G191" s="2926" t="s">
        <v>758</v>
      </c>
      <c r="H191" s="2935" t="s">
        <v>785</v>
      </c>
      <c r="I191" s="2936" t="s">
        <v>1621</v>
      </c>
      <c r="J191" s="2935" t="s">
        <v>1622</v>
      </c>
      <c r="K191" s="2935" t="s">
        <v>983</v>
      </c>
      <c r="L191" s="3"/>
      <c r="M191" s="2561"/>
      <c r="N191" s="2561"/>
      <c r="O191" s="2581"/>
      <c r="P191" s="2561"/>
      <c r="Q191" s="2561"/>
      <c r="R191" s="2561"/>
      <c r="S191" s="2561"/>
      <c r="T191" s="2882"/>
      <c r="U191" s="2882"/>
      <c r="V191" s="2882"/>
      <c r="W191" s="2882"/>
      <c r="X191" s="2882"/>
      <c r="Y191" s="2561"/>
      <c r="Z191" s="2292"/>
    </row>
    <row r="192" spans="1:26">
      <c r="A192" s="2130"/>
      <c r="B192" s="2130"/>
      <c r="C192" s="3"/>
      <c r="D192" s="1808" t="s">
        <v>20</v>
      </c>
      <c r="E192" s="1808" t="s">
        <v>751</v>
      </c>
      <c r="F192" s="1808" t="s">
        <v>275</v>
      </c>
      <c r="G192" s="2933">
        <f>VLOOKUP(F192,PROFILES!$B$255:$E$276,4,FALSE)</f>
        <v>0.95644485424869818</v>
      </c>
      <c r="H192" s="2934" t="s">
        <v>55</v>
      </c>
      <c r="I192" s="2934" t="s">
        <v>55</v>
      </c>
      <c r="J192" s="2934" t="s">
        <v>55</v>
      </c>
      <c r="K192" s="2934" t="s">
        <v>55</v>
      </c>
      <c r="L192" s="1"/>
      <c r="M192" s="2561"/>
      <c r="N192" s="2561"/>
      <c r="O192" s="2561"/>
      <c r="P192" s="2561"/>
      <c r="Q192" s="2561"/>
      <c r="R192" s="2561"/>
      <c r="S192" s="2561"/>
      <c r="T192" s="2882"/>
      <c r="U192" s="2882"/>
      <c r="V192" s="2882"/>
      <c r="W192" s="2882"/>
      <c r="X192" s="2882"/>
      <c r="Y192" s="2561"/>
      <c r="Z192" s="2292"/>
    </row>
    <row r="193" spans="1:26">
      <c r="A193" s="2130"/>
      <c r="B193" s="2130"/>
      <c r="C193" s="3"/>
      <c r="D193" s="74" t="s">
        <v>79</v>
      </c>
      <c r="E193" s="74" t="s">
        <v>49</v>
      </c>
      <c r="F193" s="74" t="s">
        <v>277</v>
      </c>
      <c r="G193" s="966">
        <f>VLOOKUP(F193,PROFILES!$B$255:$E$276,4,FALSE)</f>
        <v>0.91487499999999988</v>
      </c>
      <c r="H193" s="977" t="s">
        <v>55</v>
      </c>
      <c r="I193" s="977" t="s">
        <v>55</v>
      </c>
      <c r="J193" s="977" t="s">
        <v>55</v>
      </c>
      <c r="K193" s="977" t="s">
        <v>55</v>
      </c>
      <c r="L193" s="1"/>
      <c r="M193" s="2561"/>
      <c r="N193" s="2561"/>
      <c r="O193" s="2561"/>
      <c r="P193" s="2561"/>
      <c r="Q193" s="2561"/>
      <c r="R193" s="2561"/>
      <c r="S193" s="2561"/>
      <c r="T193" s="2882"/>
      <c r="U193" s="2882"/>
      <c r="V193" s="2882"/>
      <c r="W193" s="2882"/>
      <c r="X193" s="2882"/>
      <c r="Y193" s="2561"/>
      <c r="Z193" s="2292"/>
    </row>
    <row r="194" spans="1:26">
      <c r="A194" s="2130"/>
      <c r="B194" s="2130"/>
      <c r="C194" s="3"/>
      <c r="D194" s="74" t="s">
        <v>27</v>
      </c>
      <c r="E194" s="74" t="s">
        <v>649</v>
      </c>
      <c r="F194" s="74" t="s">
        <v>353</v>
      </c>
      <c r="G194" s="966">
        <f>VLOOKUP(F194,PROFILES!$B$255:$E$276,4,FALSE)</f>
        <v>0.90539538726018864</v>
      </c>
      <c r="H194" s="977" t="s">
        <v>55</v>
      </c>
      <c r="I194" s="977" t="s">
        <v>55</v>
      </c>
      <c r="J194" s="500"/>
      <c r="K194" s="500"/>
      <c r="L194" s="1"/>
      <c r="M194" s="2561"/>
      <c r="N194" s="2561"/>
      <c r="O194" s="2561"/>
      <c r="P194" s="2561"/>
      <c r="Q194" s="2561"/>
      <c r="R194" s="2561"/>
      <c r="S194" s="2561"/>
      <c r="T194" s="2882"/>
      <c r="U194" s="2882"/>
      <c r="V194" s="2882"/>
      <c r="W194" s="2882"/>
      <c r="X194" s="2882"/>
      <c r="Y194" s="2561"/>
      <c r="Z194" s="2292"/>
    </row>
    <row r="195" spans="1:26">
      <c r="A195" s="2130"/>
      <c r="B195" s="2130"/>
      <c r="C195" s="3"/>
      <c r="D195" s="74" t="s">
        <v>31</v>
      </c>
      <c r="E195" s="74" t="s">
        <v>43</v>
      </c>
      <c r="F195" s="74" t="s">
        <v>279</v>
      </c>
      <c r="G195" s="966">
        <f>VLOOKUP(F195,PROFILES!$B$255:$E$276,4,FALSE)</f>
        <v>0.7344324868237998</v>
      </c>
      <c r="H195" s="977" t="s">
        <v>55</v>
      </c>
      <c r="I195" s="977" t="s">
        <v>55</v>
      </c>
      <c r="J195" s="977" t="s">
        <v>55</v>
      </c>
      <c r="K195" s="977" t="s">
        <v>55</v>
      </c>
      <c r="L195" s="1"/>
      <c r="M195" s="2561"/>
      <c r="N195" s="2561"/>
      <c r="O195" s="2561"/>
      <c r="P195" s="2561"/>
      <c r="Q195" s="2561"/>
      <c r="R195" s="2561"/>
      <c r="S195" s="2561"/>
      <c r="T195" s="2882"/>
      <c r="U195" s="2882"/>
      <c r="V195" s="2882"/>
      <c r="W195" s="2882"/>
      <c r="X195" s="2882"/>
      <c r="Y195" s="2561"/>
      <c r="Z195" s="2292"/>
    </row>
    <row r="196" spans="1:26">
      <c r="A196" s="2130"/>
      <c r="B196" s="2130"/>
      <c r="C196" s="3"/>
      <c r="D196" s="74" t="s">
        <v>29</v>
      </c>
      <c r="E196" s="74" t="s">
        <v>46</v>
      </c>
      <c r="F196" s="74" t="s">
        <v>282</v>
      </c>
      <c r="G196" s="966">
        <f>VLOOKUP(F196,PROFILES!$B$255:$E$276,4,FALSE)</f>
        <v>0.67984865616162071</v>
      </c>
      <c r="H196" s="855" t="s">
        <v>55</v>
      </c>
      <c r="I196" s="162"/>
      <c r="J196" s="977" t="s">
        <v>55</v>
      </c>
      <c r="K196" s="977" t="s">
        <v>55</v>
      </c>
      <c r="L196" s="1"/>
      <c r="M196" s="2561"/>
      <c r="N196" s="2561"/>
      <c r="O196" s="2561"/>
      <c r="P196" s="2561"/>
      <c r="Q196" s="2561"/>
      <c r="R196" s="2561"/>
      <c r="S196" s="2561"/>
      <c r="T196" s="2882"/>
      <c r="U196" s="2882"/>
      <c r="V196" s="2882"/>
      <c r="W196" s="2882"/>
      <c r="X196" s="2882"/>
      <c r="Y196" s="2561"/>
      <c r="Z196" s="2292"/>
    </row>
    <row r="197" spans="1:26">
      <c r="A197" s="2130"/>
      <c r="B197" s="2130"/>
      <c r="C197" s="3"/>
      <c r="D197" s="74" t="s">
        <v>29</v>
      </c>
      <c r="E197" s="74" t="s">
        <v>47</v>
      </c>
      <c r="F197" s="74" t="s">
        <v>280</v>
      </c>
      <c r="G197" s="966">
        <f>VLOOKUP(F197,PROFILES!$B$255:$E$276,4,FALSE)</f>
        <v>0.67083419702973635</v>
      </c>
      <c r="H197" s="855" t="s">
        <v>55</v>
      </c>
      <c r="I197" s="967"/>
      <c r="J197" s="162"/>
      <c r="K197" s="977" t="s">
        <v>55</v>
      </c>
      <c r="L197" s="1"/>
      <c r="M197" s="2561"/>
      <c r="N197" s="2561"/>
      <c r="O197" s="2561"/>
      <c r="P197" s="2561"/>
      <c r="Q197" s="2561"/>
      <c r="R197" s="2561"/>
      <c r="S197" s="2561"/>
      <c r="T197" s="2882"/>
      <c r="U197" s="2882"/>
      <c r="V197" s="2882"/>
      <c r="W197" s="2882"/>
      <c r="X197" s="2882"/>
      <c r="Y197" s="2561"/>
      <c r="Z197" s="2292"/>
    </row>
    <row r="198" spans="1:26">
      <c r="A198" s="2130"/>
      <c r="B198" s="2130"/>
      <c r="C198" s="3"/>
      <c r="D198" s="843" t="s">
        <v>1626</v>
      </c>
      <c r="E198" s="843" t="s">
        <v>124</v>
      </c>
      <c r="F198" s="843" t="s">
        <v>283</v>
      </c>
      <c r="G198" s="968">
        <f>VLOOKUP(F198,PROFILES!$B$255:$E$276,4,FALSE)</f>
        <v>0.62657499999999999</v>
      </c>
      <c r="H198" s="162"/>
      <c r="I198" s="848"/>
      <c r="J198" s="848"/>
      <c r="K198" s="2044" t="s">
        <v>1620</v>
      </c>
      <c r="L198" s="1"/>
      <c r="M198" s="2561"/>
      <c r="N198" s="2561"/>
      <c r="O198" s="2561"/>
      <c r="P198" s="2561"/>
      <c r="Q198" s="2561"/>
      <c r="R198" s="2561"/>
      <c r="S198" s="2561"/>
      <c r="T198" s="2882"/>
      <c r="U198" s="2882"/>
      <c r="V198" s="2882"/>
      <c r="W198" s="2882"/>
      <c r="X198" s="2882"/>
      <c r="Y198" s="2561"/>
      <c r="Z198" s="2292"/>
    </row>
    <row r="199" spans="1:26">
      <c r="A199" s="2130"/>
      <c r="B199" s="2130"/>
      <c r="C199" s="3"/>
      <c r="D199" s="969" t="s">
        <v>28</v>
      </c>
      <c r="E199" s="74" t="s">
        <v>40</v>
      </c>
      <c r="F199" s="74" t="s">
        <v>53</v>
      </c>
      <c r="G199" s="966">
        <f>VLOOKUP(F199,PROFILES!$B$255:$E$276,4,FALSE)</f>
        <v>0.6158872479982318</v>
      </c>
      <c r="H199" s="967"/>
      <c r="I199" s="162"/>
      <c r="J199" s="2045" t="s">
        <v>1620</v>
      </c>
      <c r="K199" s="2044" t="s">
        <v>1620</v>
      </c>
      <c r="L199" s="1"/>
      <c r="M199" s="2561"/>
      <c r="N199" s="2561"/>
      <c r="O199" s="2561"/>
      <c r="P199" s="2561"/>
      <c r="Q199" s="2561"/>
      <c r="R199" s="2561"/>
      <c r="S199" s="2561"/>
      <c r="T199" s="2882"/>
      <c r="U199" s="2882"/>
      <c r="V199" s="2882"/>
      <c r="W199" s="2882"/>
      <c r="X199" s="2882"/>
      <c r="Y199" s="2561"/>
      <c r="Z199" s="2292"/>
    </row>
    <row r="200" spans="1:26">
      <c r="A200" s="2130"/>
      <c r="B200" s="2130"/>
      <c r="C200" s="3"/>
      <c r="D200" s="74" t="s">
        <v>23</v>
      </c>
      <c r="E200" s="74" t="s">
        <v>52</v>
      </c>
      <c r="F200" s="74" t="s">
        <v>52</v>
      </c>
      <c r="G200" s="970">
        <f>VLOOKUP(F200,PROFILES!$B$255:$E$276,4,FALSE)</f>
        <v>0.61</v>
      </c>
      <c r="H200" s="162"/>
      <c r="I200" s="162"/>
      <c r="J200" s="977" t="s">
        <v>1620</v>
      </c>
      <c r="K200" s="2047" t="s">
        <v>55</v>
      </c>
      <c r="L200" s="1"/>
      <c r="M200" s="2561"/>
      <c r="N200" s="2561"/>
      <c r="O200" s="2561"/>
      <c r="P200" s="2561"/>
      <c r="Q200" s="2561"/>
      <c r="R200" s="2561"/>
      <c r="S200" s="2561"/>
      <c r="T200" s="2882"/>
      <c r="U200" s="2882"/>
      <c r="V200" s="2882"/>
      <c r="W200" s="2882"/>
      <c r="X200" s="2882"/>
      <c r="Y200" s="2561"/>
      <c r="Z200" s="2292"/>
    </row>
    <row r="201" spans="1:26">
      <c r="A201" s="2130"/>
      <c r="B201" s="2130"/>
      <c r="C201" s="3"/>
      <c r="D201" s="843" t="s">
        <v>21</v>
      </c>
      <c r="E201" s="843" t="s">
        <v>2020</v>
      </c>
      <c r="F201" s="843" t="s">
        <v>276</v>
      </c>
      <c r="G201" s="968">
        <f>VLOOKUP(F201,PROFILES!$B$255:$E$276,4,FALSE)</f>
        <v>0.60910298289809772</v>
      </c>
      <c r="H201" s="848"/>
      <c r="I201" s="848"/>
      <c r="J201" s="981" t="s">
        <v>1620</v>
      </c>
      <c r="K201" s="406" t="s">
        <v>1620</v>
      </c>
      <c r="L201" s="1"/>
      <c r="M201" s="2561"/>
      <c r="N201" s="2561"/>
      <c r="O201" s="2561"/>
      <c r="P201" s="2561"/>
      <c r="Q201" s="2561"/>
      <c r="R201" s="2561"/>
      <c r="S201" s="2561"/>
      <c r="T201" s="2882"/>
      <c r="U201" s="2882"/>
      <c r="V201" s="2882"/>
      <c r="W201" s="2882"/>
      <c r="X201" s="2882"/>
      <c r="Y201" s="2561"/>
      <c r="Z201" s="2292"/>
    </row>
    <row r="202" spans="1:26">
      <c r="A202" s="2130"/>
      <c r="B202" s="2130"/>
      <c r="C202" s="3"/>
      <c r="D202" s="74" t="s">
        <v>19</v>
      </c>
      <c r="E202" s="74" t="s">
        <v>115</v>
      </c>
      <c r="F202" s="74" t="s">
        <v>286</v>
      </c>
      <c r="G202" s="966">
        <f>VLOOKUP(F202,PROFILES!$B$255:$E$276,4,FALSE)</f>
        <v>0.60741568747204655</v>
      </c>
      <c r="H202" s="162"/>
      <c r="I202" s="162"/>
      <c r="J202" s="977" t="s">
        <v>1620</v>
      </c>
      <c r="K202" s="2045" t="s">
        <v>1620</v>
      </c>
      <c r="L202" s="1"/>
      <c r="M202" s="2561"/>
      <c r="N202" s="2561"/>
      <c r="O202" s="2561"/>
      <c r="P202" s="2561"/>
      <c r="Q202" s="2561"/>
      <c r="R202" s="2561"/>
      <c r="S202" s="2561"/>
      <c r="T202" s="2882"/>
      <c r="U202" s="2882"/>
      <c r="V202" s="2882"/>
      <c r="W202" s="2882"/>
      <c r="X202" s="2882"/>
      <c r="Y202" s="2561"/>
      <c r="Z202" s="2292"/>
    </row>
    <row r="203" spans="1:26">
      <c r="A203" s="2130"/>
      <c r="B203" s="2130"/>
      <c r="C203" s="3"/>
      <c r="D203" s="74" t="s">
        <v>26</v>
      </c>
      <c r="E203" s="74" t="s">
        <v>44</v>
      </c>
      <c r="F203" s="74" t="s">
        <v>44</v>
      </c>
      <c r="G203" s="971">
        <f>VLOOKUP(F203,PROFILES!$B$255:$E$276,4,FALSE)</f>
        <v>0.5805147103617575</v>
      </c>
      <c r="H203" s="162"/>
      <c r="I203" s="162"/>
      <c r="J203" s="977" t="s">
        <v>1620</v>
      </c>
      <c r="K203" s="2045" t="s">
        <v>1620</v>
      </c>
      <c r="L203" s="1"/>
      <c r="M203" s="2561"/>
      <c r="N203" s="2561"/>
      <c r="O203" s="2561"/>
      <c r="P203" s="2561"/>
      <c r="Q203" s="2561"/>
      <c r="R203" s="2561"/>
      <c r="S203" s="2561"/>
      <c r="T203" s="2882"/>
      <c r="U203" s="2882"/>
      <c r="V203" s="2882"/>
      <c r="W203" s="2882"/>
      <c r="X203" s="2882"/>
      <c r="Y203" s="2561"/>
      <c r="Z203" s="2292"/>
    </row>
    <row r="204" spans="1:26">
      <c r="A204" s="2130"/>
      <c r="B204" s="2130"/>
      <c r="C204" s="3"/>
      <c r="D204" s="74" t="s">
        <v>24</v>
      </c>
      <c r="E204" s="74" t="s">
        <v>108</v>
      </c>
      <c r="F204" s="74" t="s">
        <v>42</v>
      </c>
      <c r="G204" s="966">
        <f>VLOOKUP(F204,PROFILES!$B$255:$E$276,4,FALSE)</f>
        <v>0.56323171407839789</v>
      </c>
      <c r="H204" s="162"/>
      <c r="I204" s="162"/>
      <c r="J204" s="500"/>
      <c r="K204" s="2045" t="s">
        <v>1620</v>
      </c>
      <c r="L204" s="1"/>
      <c r="M204" s="2561"/>
      <c r="N204" s="2561"/>
      <c r="O204" s="2561"/>
      <c r="P204" s="2561"/>
      <c r="Q204" s="2561"/>
      <c r="R204" s="2561"/>
      <c r="S204" s="2561"/>
      <c r="T204" s="2882"/>
      <c r="U204" s="2882"/>
      <c r="V204" s="2882"/>
      <c r="W204" s="2882"/>
      <c r="X204" s="2882"/>
      <c r="Y204" s="2561"/>
      <c r="Z204" s="2292"/>
    </row>
    <row r="205" spans="1:26">
      <c r="A205" s="2130"/>
      <c r="B205" s="2130"/>
      <c r="C205" s="3"/>
      <c r="D205" s="843" t="s">
        <v>27</v>
      </c>
      <c r="E205" s="843" t="s">
        <v>2017</v>
      </c>
      <c r="F205" s="843" t="s">
        <v>54</v>
      </c>
      <c r="G205" s="972">
        <f>VLOOKUP(F205,PROFILES!$B$255:$E$276,4,FALSE)</f>
        <v>0.48460704112825509</v>
      </c>
      <c r="H205" s="848"/>
      <c r="I205" s="848"/>
      <c r="J205" s="2045" t="s">
        <v>1620</v>
      </c>
      <c r="K205" s="2045" t="s">
        <v>1620</v>
      </c>
      <c r="L205" s="1"/>
      <c r="M205" s="2561"/>
      <c r="N205" s="2561"/>
      <c r="O205" s="2561"/>
      <c r="P205" s="2561"/>
      <c r="Q205" s="2561"/>
      <c r="R205" s="2561"/>
      <c r="S205" s="2561"/>
      <c r="T205" s="2882"/>
      <c r="U205" s="2882"/>
      <c r="V205" s="2882"/>
      <c r="W205" s="2882"/>
      <c r="X205" s="2882"/>
      <c r="Y205" s="2561"/>
      <c r="Z205" s="2292"/>
    </row>
    <row r="206" spans="1:26">
      <c r="A206" s="2130"/>
      <c r="B206" s="2130"/>
      <c r="C206" s="3"/>
      <c r="D206" s="74" t="s">
        <v>75</v>
      </c>
      <c r="E206" s="74" t="s">
        <v>2019</v>
      </c>
      <c r="F206" s="74" t="s">
        <v>287</v>
      </c>
      <c r="G206" s="966">
        <f>VLOOKUP(F206,PROFILES!$B$255:$E$276,4,FALSE)</f>
        <v>0.42290073595624156</v>
      </c>
      <c r="H206" s="162"/>
      <c r="I206" s="162"/>
      <c r="J206" s="500"/>
      <c r="K206" s="500"/>
      <c r="L206" s="1"/>
      <c r="M206" s="2561"/>
      <c r="N206" s="2561"/>
      <c r="O206" s="2561"/>
      <c r="P206" s="2561"/>
      <c r="Q206" s="2561"/>
      <c r="R206" s="2561"/>
      <c r="S206" s="2561"/>
      <c r="T206" s="2882"/>
      <c r="U206" s="2882"/>
      <c r="V206" s="2882"/>
      <c r="W206" s="2882"/>
      <c r="X206" s="2882"/>
      <c r="Y206" s="2561"/>
      <c r="Z206" s="2292"/>
    </row>
    <row r="207" spans="1:26">
      <c r="A207" s="2130"/>
      <c r="B207" s="2130"/>
      <c r="C207" s="3"/>
      <c r="D207" s="653" t="s">
        <v>20</v>
      </c>
      <c r="E207" s="653" t="s">
        <v>750</v>
      </c>
      <c r="F207" s="653" t="s">
        <v>278</v>
      </c>
      <c r="G207" s="965">
        <f>VLOOKUP(F207,PROFILES!$B$255:$E$276,4,FALSE)</f>
        <v>0.37158673775730477</v>
      </c>
      <c r="H207" s="973"/>
      <c r="I207" s="973"/>
      <c r="J207" s="2046" t="s">
        <v>1620</v>
      </c>
      <c r="K207" s="2046" t="s">
        <v>1620</v>
      </c>
      <c r="L207" s="1"/>
      <c r="M207" s="2561"/>
      <c r="N207" s="2561"/>
      <c r="O207" s="2561"/>
      <c r="P207" s="2561"/>
      <c r="Q207" s="2561"/>
      <c r="R207" s="2561"/>
      <c r="S207" s="2561"/>
      <c r="T207" s="2882"/>
      <c r="U207" s="2882"/>
      <c r="V207" s="2882"/>
      <c r="W207" s="2882"/>
      <c r="X207" s="2882"/>
      <c r="Y207" s="2561"/>
      <c r="Z207" s="2292"/>
    </row>
    <row r="208" spans="1:26">
      <c r="A208" s="2130"/>
      <c r="B208" s="2130"/>
      <c r="C208" s="3"/>
      <c r="D208" s="843" t="s">
        <v>25</v>
      </c>
      <c r="E208" s="843" t="s">
        <v>2018</v>
      </c>
      <c r="F208" s="843" t="s">
        <v>284</v>
      </c>
      <c r="G208" s="968">
        <f>VLOOKUP(F208,PROFILES!$B$255:$E$276,4,FALSE)</f>
        <v>0.34534166666666666</v>
      </c>
      <c r="H208" s="978" t="s">
        <v>1623</v>
      </c>
      <c r="I208" s="848"/>
      <c r="J208" s="855" t="s">
        <v>1620</v>
      </c>
      <c r="K208" s="855" t="s">
        <v>1620</v>
      </c>
      <c r="L208" s="1"/>
      <c r="M208" s="2561"/>
      <c r="N208" s="2561"/>
      <c r="O208" s="2561"/>
      <c r="P208" s="2561"/>
      <c r="Q208" s="2561"/>
      <c r="R208" s="2561"/>
      <c r="S208" s="2561"/>
      <c r="T208" s="2882"/>
      <c r="U208" s="2882"/>
      <c r="V208" s="2882"/>
      <c r="W208" s="2882"/>
      <c r="X208" s="2882"/>
      <c r="Y208" s="2561"/>
      <c r="Z208" s="2292"/>
    </row>
    <row r="209" spans="1:26">
      <c r="A209" s="2130"/>
      <c r="B209" s="2130"/>
      <c r="C209" s="3"/>
      <c r="D209" s="74" t="s">
        <v>30</v>
      </c>
      <c r="E209" s="74" t="s">
        <v>48</v>
      </c>
      <c r="F209" s="74" t="s">
        <v>288</v>
      </c>
      <c r="G209" s="966">
        <f>VLOOKUP(F209,PROFILES!$B$255:$E$276,4,FALSE)</f>
        <v>0.32615050588405037</v>
      </c>
      <c r="H209" s="979" t="s">
        <v>1624</v>
      </c>
      <c r="I209" s="162"/>
      <c r="J209" s="977" t="s">
        <v>1620</v>
      </c>
      <c r="K209" s="2045" t="s">
        <v>1620</v>
      </c>
      <c r="L209" s="1"/>
      <c r="M209" s="2561"/>
      <c r="N209" s="2561"/>
      <c r="O209" s="2561"/>
      <c r="P209" s="2561"/>
      <c r="Q209" s="2561"/>
      <c r="R209" s="2561"/>
      <c r="S209" s="2561"/>
      <c r="T209" s="2882"/>
      <c r="U209" s="2882"/>
      <c r="V209" s="2882"/>
      <c r="W209" s="2882"/>
      <c r="X209" s="2882"/>
      <c r="Y209" s="2561"/>
      <c r="Z209" s="2292"/>
    </row>
    <row r="210" spans="1:26">
      <c r="A210" s="2130"/>
      <c r="B210" s="2130"/>
      <c r="C210" s="3"/>
      <c r="D210" s="74" t="s">
        <v>22</v>
      </c>
      <c r="E210" s="74" t="s">
        <v>39</v>
      </c>
      <c r="F210" s="74" t="s">
        <v>39</v>
      </c>
      <c r="G210" s="966">
        <f>VLOOKUP(F210,PROFILES!$B$255:$E$276,4,FALSE)</f>
        <v>0.31054928118178421</v>
      </c>
      <c r="H210" s="980" t="s">
        <v>1625</v>
      </c>
      <c r="I210" s="2045" t="s">
        <v>1620</v>
      </c>
      <c r="J210" s="500"/>
      <c r="K210" s="2045" t="s">
        <v>1620</v>
      </c>
      <c r="L210" s="1"/>
      <c r="M210" s="2561"/>
      <c r="N210" s="2561"/>
      <c r="O210" s="2561"/>
      <c r="P210" s="2561"/>
      <c r="Q210" s="2561"/>
      <c r="R210" s="2561"/>
      <c r="S210" s="2561"/>
      <c r="T210" s="2882"/>
      <c r="U210" s="2882"/>
      <c r="V210" s="2882"/>
      <c r="W210" s="2882"/>
      <c r="X210" s="2882"/>
      <c r="Y210" s="2561"/>
      <c r="Z210" s="2292"/>
    </row>
    <row r="211" spans="1:26">
      <c r="A211" s="2130"/>
      <c r="B211" s="2130"/>
      <c r="C211" s="3"/>
      <c r="D211" s="74" t="s">
        <v>19</v>
      </c>
      <c r="E211" s="74" t="s">
        <v>41</v>
      </c>
      <c r="F211" s="74" t="s">
        <v>285</v>
      </c>
      <c r="G211" s="966">
        <f>VLOOKUP(F211,PROFILES!$B$255:$E$276,4,FALSE)</f>
        <v>9.1630231095150338E-2</v>
      </c>
      <c r="H211" s="2045" t="s">
        <v>1620</v>
      </c>
      <c r="I211" s="2045" t="s">
        <v>1620</v>
      </c>
      <c r="J211" s="500"/>
      <c r="K211" s="500"/>
      <c r="L211" s="1"/>
      <c r="M211" s="2561"/>
      <c r="N211" s="2561"/>
      <c r="O211" s="2561"/>
      <c r="P211" s="2561"/>
      <c r="Q211" s="2561"/>
      <c r="R211" s="2561"/>
      <c r="S211" s="2561"/>
      <c r="T211" s="2882"/>
      <c r="U211" s="2882"/>
      <c r="V211" s="2882"/>
      <c r="W211" s="2882"/>
      <c r="X211" s="2882"/>
      <c r="Y211" s="2561"/>
      <c r="Z211" s="2292"/>
    </row>
    <row r="212" spans="1:26">
      <c r="A212" s="2130"/>
      <c r="B212" s="2130"/>
      <c r="C212" s="3"/>
      <c r="D212" s="653" t="s">
        <v>979</v>
      </c>
      <c r="E212" s="653" t="s">
        <v>752</v>
      </c>
      <c r="F212" s="653" t="s">
        <v>281</v>
      </c>
      <c r="G212" s="965">
        <f>VLOOKUP(F212,PROFILES!$B$255:$E$276,4,FALSE)</f>
        <v>6.4385445236561381E-2</v>
      </c>
      <c r="H212" s="2046" t="s">
        <v>1620</v>
      </c>
      <c r="I212" s="976"/>
      <c r="J212" s="982"/>
      <c r="K212" s="982"/>
      <c r="L212" s="1"/>
      <c r="M212" s="2561"/>
      <c r="N212" s="2561"/>
      <c r="O212" s="2561"/>
      <c r="P212" s="2561"/>
      <c r="Q212" s="2561"/>
      <c r="R212" s="2561"/>
      <c r="S212" s="2561"/>
      <c r="T212" s="2882"/>
      <c r="U212" s="2882"/>
      <c r="V212" s="2882"/>
      <c r="W212" s="2882"/>
      <c r="X212" s="2882"/>
      <c r="Y212" s="2561"/>
      <c r="Z212" s="2292"/>
    </row>
    <row r="213" spans="1:26">
      <c r="A213" s="2130"/>
      <c r="B213" s="2130"/>
      <c r="C213" s="3"/>
      <c r="D213" s="74" t="s">
        <v>79</v>
      </c>
      <c r="E213" s="74" t="s">
        <v>50</v>
      </c>
      <c r="F213" s="74" t="s">
        <v>50</v>
      </c>
      <c r="G213" s="966">
        <f>VLOOKUP(F213,PROFILES!$B$255:$E$276,4,FALSE)</f>
        <v>0</v>
      </c>
      <c r="H213" s="2045" t="s">
        <v>1620</v>
      </c>
      <c r="I213" s="2045" t="s">
        <v>1620</v>
      </c>
      <c r="J213" s="2045" t="s">
        <v>1620</v>
      </c>
      <c r="K213" s="2045" t="s">
        <v>1620</v>
      </c>
      <c r="L213" s="1"/>
      <c r="M213" s="2561"/>
      <c r="N213" s="2561"/>
      <c r="O213" s="2561"/>
      <c r="P213" s="2561"/>
      <c r="Q213" s="2561"/>
      <c r="R213" s="2561"/>
      <c r="S213" s="2561"/>
      <c r="T213" s="2882"/>
      <c r="U213" s="2882"/>
      <c r="V213" s="2882"/>
      <c r="W213" s="2882"/>
      <c r="X213" s="2882"/>
      <c r="Y213" s="2561"/>
      <c r="Z213" s="2292"/>
    </row>
    <row r="214" spans="1:26">
      <c r="A214" s="2130"/>
      <c r="B214" s="2130"/>
      <c r="C214"/>
      <c r="D214"/>
      <c r="E214"/>
      <c r="F214"/>
      <c r="G214"/>
      <c r="H214"/>
      <c r="I214"/>
      <c r="J214"/>
      <c r="K214"/>
      <c r="L214" s="1"/>
      <c r="M214" s="2561"/>
      <c r="N214" s="2561"/>
      <c r="O214" s="2561"/>
      <c r="P214" s="2561"/>
      <c r="Q214" s="2561"/>
      <c r="R214" s="2561"/>
      <c r="S214" s="2561"/>
      <c r="T214" s="2882"/>
      <c r="U214" s="2882"/>
      <c r="V214" s="2882"/>
      <c r="W214" s="2882"/>
      <c r="X214" s="2882"/>
      <c r="Y214" s="2561"/>
      <c r="Z214" s="2292"/>
    </row>
    <row r="215" spans="1:26">
      <c r="A215" s="2130"/>
      <c r="B215" s="2130"/>
      <c r="C215" s="2130"/>
      <c r="D215" s="2130"/>
      <c r="E215" s="2130"/>
      <c r="F215" s="2130"/>
      <c r="G215" s="2130"/>
      <c r="H215" s="2130"/>
      <c r="I215" s="2130"/>
      <c r="J215" s="1"/>
      <c r="K215" s="1"/>
      <c r="L215" s="1"/>
      <c r="M215" s="2561"/>
      <c r="N215" s="2561"/>
      <c r="O215" s="2561"/>
      <c r="P215" s="2561"/>
      <c r="Q215" s="2561"/>
      <c r="R215" s="2561"/>
      <c r="S215" s="2561"/>
      <c r="T215" s="2882"/>
      <c r="U215" s="2882"/>
      <c r="V215" s="2882"/>
      <c r="W215" s="2882"/>
      <c r="X215" s="2882"/>
      <c r="Y215" s="2292"/>
      <c r="Z215" s="2292"/>
    </row>
    <row r="216" spans="1:26">
      <c r="A216" s="975" t="s">
        <v>2007</v>
      </c>
      <c r="B216" s="975"/>
      <c r="C216" s="3"/>
      <c r="D216" s="983" t="s">
        <v>1693</v>
      </c>
      <c r="E216"/>
      <c r="F216" s="2"/>
      <c r="G216" s="2"/>
      <c r="H216"/>
      <c r="I216"/>
      <c r="J216" s="3"/>
      <c r="K216" s="3"/>
      <c r="L216" s="3"/>
      <c r="M216" s="2682"/>
      <c r="N216" s="2682"/>
      <c r="O216" s="2682"/>
      <c r="P216" s="2682"/>
      <c r="Q216" s="2682"/>
      <c r="R216" s="2682"/>
      <c r="S216" s="2682"/>
      <c r="T216" s="2561"/>
      <c r="U216" s="2882"/>
      <c r="V216" s="2882"/>
      <c r="W216" s="2882"/>
      <c r="X216" s="2882"/>
      <c r="Y216" s="2292"/>
      <c r="Z216" s="2292"/>
    </row>
    <row r="217" spans="1:26">
      <c r="A217"/>
      <c r="B217"/>
      <c r="C217"/>
      <c r="D217"/>
      <c r="E217"/>
      <c r="F217" s="2"/>
      <c r="G217" s="2"/>
      <c r="H217"/>
      <c r="I217"/>
      <c r="J217" s="3"/>
      <c r="K217" s="3"/>
      <c r="L217" s="3"/>
      <c r="M217" s="2682"/>
      <c r="N217" s="2682"/>
      <c r="O217" s="2682"/>
      <c r="P217" s="2682"/>
      <c r="Q217" s="2682"/>
      <c r="R217" s="2682"/>
      <c r="S217" s="2682"/>
      <c r="T217" s="2882"/>
      <c r="U217" s="2882"/>
      <c r="V217" s="2882"/>
      <c r="W217" s="2882"/>
      <c r="X217" s="2882"/>
      <c r="Y217" s="2292"/>
      <c r="Z217" s="2292"/>
    </row>
    <row r="218" spans="1:26" ht="13.5" thickBot="1">
      <c r="A218"/>
      <c r="B218"/>
      <c r="C218" s="3"/>
      <c r="D218" s="2926" t="s">
        <v>100</v>
      </c>
      <c r="E218" s="2926" t="s">
        <v>981</v>
      </c>
      <c r="F218" s="2926" t="s">
        <v>982</v>
      </c>
      <c r="G218" s="2926" t="s">
        <v>1029</v>
      </c>
      <c r="H218" s="2926" t="s">
        <v>1031</v>
      </c>
      <c r="I218" s="2926" t="s">
        <v>2022</v>
      </c>
      <c r="J218" s="3"/>
      <c r="K218" s="3"/>
      <c r="L218" s="3"/>
      <c r="M218" s="2682"/>
      <c r="N218" s="2682"/>
      <c r="O218" s="2682"/>
      <c r="P218" s="2682"/>
      <c r="Q218" s="2682"/>
      <c r="R218" s="2682"/>
      <c r="S218" s="2682"/>
      <c r="T218" s="2882"/>
      <c r="U218" s="2561"/>
      <c r="V218" s="2561"/>
      <c r="W218" s="2882"/>
      <c r="X218" s="2882"/>
      <c r="Y218" s="2292"/>
      <c r="Z218" s="2292"/>
    </row>
    <row r="219" spans="1:26">
      <c r="A219"/>
      <c r="B219"/>
      <c r="C219" s="3"/>
      <c r="D219" s="106" t="s">
        <v>79</v>
      </c>
      <c r="E219" s="106" t="s">
        <v>49</v>
      </c>
      <c r="F219" s="106" t="s">
        <v>277</v>
      </c>
      <c r="G219" s="460">
        <f>Ranking!C41</f>
        <v>103061.53572524291</v>
      </c>
      <c r="H219" s="461">
        <f>Ranking!D41</f>
        <v>0.26406875054982143</v>
      </c>
      <c r="I219" s="1101"/>
      <c r="J219" s="3"/>
      <c r="K219" s="3"/>
      <c r="L219" s="3"/>
      <c r="M219" s="2682"/>
      <c r="N219" s="2682"/>
      <c r="O219" s="2682"/>
      <c r="P219" s="2682"/>
      <c r="Q219" s="2682"/>
      <c r="R219" s="2682"/>
      <c r="S219" s="2682"/>
      <c r="T219" s="2882"/>
      <c r="U219" s="2561"/>
      <c r="V219" s="2561"/>
      <c r="W219" s="2882"/>
      <c r="X219" s="2882"/>
      <c r="Y219" s="2292"/>
      <c r="Z219" s="2292"/>
    </row>
    <row r="220" spans="1:26">
      <c r="A220"/>
      <c r="B220"/>
      <c r="C220" s="3"/>
      <c r="D220" s="969" t="s">
        <v>28</v>
      </c>
      <c r="E220" s="74" t="s">
        <v>40</v>
      </c>
      <c r="F220" s="74" t="s">
        <v>53</v>
      </c>
      <c r="G220" s="1102">
        <f>Ranking!C42</f>
        <v>60036.853628571422</v>
      </c>
      <c r="H220" s="1103">
        <f>Ranking!D42</f>
        <v>0.15382903828354536</v>
      </c>
      <c r="I220" s="1101"/>
      <c r="J220" s="3"/>
      <c r="K220" s="3"/>
      <c r="L220" s="3"/>
      <c r="M220" s="2682"/>
      <c r="N220" s="2682"/>
      <c r="O220" s="2682"/>
      <c r="P220" s="2682"/>
      <c r="Q220" s="2682"/>
      <c r="R220" s="2682"/>
      <c r="S220" s="2682"/>
      <c r="T220" s="2882"/>
      <c r="U220" s="2561"/>
      <c r="V220" s="2561"/>
      <c r="W220" s="2882"/>
      <c r="X220" s="2882"/>
      <c r="Y220" s="2292"/>
      <c r="Z220" s="2292"/>
    </row>
    <row r="221" spans="1:26">
      <c r="A221"/>
      <c r="B221"/>
      <c r="C221" s="3"/>
      <c r="D221" s="74" t="s">
        <v>23</v>
      </c>
      <c r="E221" s="74" t="s">
        <v>52</v>
      </c>
      <c r="F221" s="74" t="s">
        <v>52</v>
      </c>
      <c r="G221" s="1102">
        <f>Ranking!C43</f>
        <v>40464.923042857146</v>
      </c>
      <c r="H221" s="1103">
        <f>Ranking!D43</f>
        <v>0.1036809862557167</v>
      </c>
      <c r="I221" s="1101"/>
      <c r="J221" s="3"/>
      <c r="K221" s="3"/>
      <c r="L221" s="3"/>
      <c r="M221" s="2682"/>
      <c r="N221" s="2682"/>
      <c r="O221" s="2682"/>
      <c r="P221" s="2682"/>
      <c r="Q221" s="2682"/>
      <c r="R221" s="2682"/>
      <c r="S221" s="2682"/>
      <c r="T221" s="2882"/>
      <c r="U221" s="2561"/>
      <c r="V221" s="2561"/>
      <c r="W221" s="2882"/>
      <c r="X221" s="2882"/>
      <c r="Y221" s="2292"/>
      <c r="Z221" s="2292"/>
    </row>
    <row r="222" spans="1:26">
      <c r="A222"/>
      <c r="B222"/>
      <c r="C222" s="3"/>
      <c r="D222" s="74" t="s">
        <v>19</v>
      </c>
      <c r="E222" s="74" t="s">
        <v>115</v>
      </c>
      <c r="F222" s="74" t="s">
        <v>286</v>
      </c>
      <c r="G222" s="1102">
        <f>Ranking!C44</f>
        <v>31174.883771428573</v>
      </c>
      <c r="H222" s="1103">
        <f>Ranking!D44</f>
        <v>7.9877643469276421E-2</v>
      </c>
      <c r="I222" s="1101"/>
      <c r="J222" s="3"/>
      <c r="K222" s="3"/>
      <c r="L222" s="3"/>
      <c r="M222" s="2682"/>
      <c r="N222" s="2682"/>
      <c r="O222" s="2682"/>
      <c r="P222" s="2682"/>
      <c r="Q222" s="2682"/>
      <c r="R222" s="2682"/>
      <c r="S222" s="2682"/>
      <c r="T222" s="2882"/>
      <c r="U222" s="2561"/>
      <c r="V222" s="2561"/>
      <c r="W222" s="2882"/>
      <c r="X222" s="2882"/>
      <c r="Y222" s="2292"/>
      <c r="Z222" s="2292"/>
    </row>
    <row r="223" spans="1:26">
      <c r="A223"/>
      <c r="B223"/>
      <c r="C223" s="3"/>
      <c r="D223" s="74" t="s">
        <v>29</v>
      </c>
      <c r="E223" s="74" t="s">
        <v>46</v>
      </c>
      <c r="F223" s="74" t="s">
        <v>282</v>
      </c>
      <c r="G223" s="1102">
        <f>Ranking!C45</f>
        <v>22949.481858519866</v>
      </c>
      <c r="H223" s="1103">
        <f>Ranking!D45</f>
        <v>5.8802160840116385E-2</v>
      </c>
      <c r="I223" s="1101"/>
      <c r="J223" s="3"/>
      <c r="K223" s="3"/>
      <c r="L223" s="3"/>
      <c r="M223" s="2682"/>
      <c r="N223" s="2682"/>
      <c r="O223" s="2682"/>
      <c r="P223" s="2682"/>
      <c r="Q223" s="2682"/>
      <c r="R223" s="2682"/>
      <c r="S223" s="2682"/>
      <c r="T223" s="2882"/>
      <c r="U223" s="2561"/>
      <c r="V223" s="2561"/>
      <c r="W223" s="2882"/>
      <c r="X223" s="2882"/>
      <c r="Y223" s="2292"/>
      <c r="Z223" s="2292"/>
    </row>
    <row r="224" spans="1:26">
      <c r="A224"/>
      <c r="B224"/>
      <c r="C224" s="3"/>
      <c r="D224" s="74" t="s">
        <v>31</v>
      </c>
      <c r="E224" s="74" t="s">
        <v>43</v>
      </c>
      <c r="F224" s="74" t="s">
        <v>279</v>
      </c>
      <c r="G224" s="1102">
        <f>Ranking!C46</f>
        <v>20617.292984255655</v>
      </c>
      <c r="H224" s="1103">
        <f>Ranking!D46</f>
        <v>5.2826525044090682E-2</v>
      </c>
      <c r="I224" s="1101"/>
      <c r="J224" s="3"/>
      <c r="K224" s="3"/>
      <c r="L224" s="3"/>
      <c r="M224" s="2682"/>
      <c r="N224" s="2682"/>
      <c r="O224" s="2682"/>
      <c r="P224" s="2682"/>
      <c r="Q224" s="2682"/>
      <c r="R224" s="2682"/>
      <c r="S224" s="2682"/>
      <c r="T224" s="2882"/>
      <c r="U224" s="2561"/>
      <c r="V224" s="2561"/>
      <c r="W224" s="2882"/>
      <c r="X224" s="2882"/>
      <c r="Y224" s="2292"/>
      <c r="Z224" s="2292"/>
    </row>
    <row r="225" spans="1:26">
      <c r="A225"/>
      <c r="B225"/>
      <c r="C225" s="3"/>
      <c r="D225" s="74" t="s">
        <v>79</v>
      </c>
      <c r="E225" s="74" t="s">
        <v>50</v>
      </c>
      <c r="F225" s="74" t="s">
        <v>50</v>
      </c>
      <c r="G225" s="1102">
        <f>Ranking!C47</f>
        <v>19515.355899391296</v>
      </c>
      <c r="H225" s="1103">
        <f>Ranking!D47</f>
        <v>5.0003093905237848E-2</v>
      </c>
      <c r="I225" s="1101"/>
      <c r="J225" s="3"/>
      <c r="K225" s="3"/>
      <c r="L225" s="3"/>
      <c r="M225" s="2682"/>
      <c r="N225" s="2682"/>
      <c r="O225" s="2682"/>
      <c r="P225" s="2682"/>
      <c r="Q225" s="2682"/>
      <c r="R225" s="2682"/>
      <c r="S225" s="2682"/>
      <c r="T225" s="2882"/>
      <c r="U225" s="2561"/>
      <c r="V225" s="2561"/>
      <c r="W225" s="2882"/>
      <c r="X225" s="2882"/>
      <c r="Y225" s="2292"/>
      <c r="Z225" s="2292"/>
    </row>
    <row r="226" spans="1:26">
      <c r="A226"/>
      <c r="B226"/>
      <c r="C226" s="3"/>
      <c r="D226" s="74"/>
      <c r="E226" s="74" t="s">
        <v>1035</v>
      </c>
      <c r="F226" s="74"/>
      <c r="G226" s="1102">
        <f>Ranking!C4</f>
        <v>17740.134909883913</v>
      </c>
      <c r="H226" s="1103"/>
      <c r="I226" s="1101"/>
      <c r="J226" s="1"/>
      <c r="K226" s="1"/>
      <c r="L226" s="1"/>
      <c r="M226" s="2561"/>
      <c r="N226" s="2561"/>
      <c r="O226" s="2561"/>
      <c r="P226" s="2561"/>
      <c r="Q226" s="2561"/>
      <c r="R226" s="2561"/>
      <c r="S226" s="2561"/>
      <c r="T226" s="2882"/>
      <c r="U226" s="2561"/>
      <c r="V226" s="2561"/>
      <c r="W226" s="2882"/>
      <c r="X226" s="2882"/>
      <c r="Y226" s="2292"/>
      <c r="Z226" s="2292"/>
    </row>
    <row r="227" spans="1:26">
      <c r="A227"/>
      <c r="B227"/>
      <c r="C227" s="3"/>
      <c r="D227" s="74" t="s">
        <v>30</v>
      </c>
      <c r="E227" s="74" t="s">
        <v>48</v>
      </c>
      <c r="F227" s="74" t="s">
        <v>288</v>
      </c>
      <c r="G227" s="1102">
        <f>Ranking!C48</f>
        <v>16250.837973523972</v>
      </c>
      <c r="H227" s="1103">
        <f>Ranking!D48</f>
        <v>4.1638604052015776E-2</v>
      </c>
      <c r="I227" s="1101"/>
      <c r="J227" s="3"/>
      <c r="K227" s="1"/>
      <c r="L227" s="1"/>
      <c r="M227" s="2561"/>
      <c r="N227" s="2561"/>
      <c r="O227" s="2561"/>
      <c r="P227" s="2561"/>
      <c r="Q227" s="2561"/>
      <c r="R227" s="2561"/>
      <c r="S227" s="2561"/>
      <c r="T227" s="2882"/>
      <c r="U227" s="2561"/>
      <c r="V227" s="2561"/>
      <c r="W227" s="2882"/>
      <c r="X227" s="2882"/>
      <c r="Y227" s="2292"/>
      <c r="Z227" s="2292"/>
    </row>
    <row r="228" spans="1:26">
      <c r="A228"/>
      <c r="B228"/>
      <c r="C228" s="3"/>
      <c r="D228" s="74" t="s">
        <v>978</v>
      </c>
      <c r="E228" s="74" t="s">
        <v>2018</v>
      </c>
      <c r="F228" s="74" t="s">
        <v>284</v>
      </c>
      <c r="G228" s="1102">
        <f>Ranking!C49</f>
        <v>15596.516285714286</v>
      </c>
      <c r="H228" s="1103">
        <f>Ranking!D49</f>
        <v>3.9962072557101963E-2</v>
      </c>
      <c r="I228" s="1101"/>
      <c r="J228" s="3"/>
      <c r="K228" s="1"/>
      <c r="L228" s="3"/>
      <c r="M228" s="2561"/>
      <c r="N228" s="2561"/>
      <c r="O228" s="2561"/>
      <c r="P228" s="2561"/>
      <c r="Q228" s="2561"/>
      <c r="R228" s="2561"/>
      <c r="S228" s="2561"/>
      <c r="T228" s="2882"/>
      <c r="U228" s="2561"/>
      <c r="V228" s="2561"/>
      <c r="W228" s="2882"/>
      <c r="X228" s="2882"/>
      <c r="Y228" s="2292"/>
      <c r="Z228" s="2292"/>
    </row>
    <row r="229" spans="1:26">
      <c r="A229"/>
      <c r="B229"/>
      <c r="C229" s="3"/>
      <c r="D229" s="74" t="s">
        <v>26</v>
      </c>
      <c r="E229" s="74" t="s">
        <v>44</v>
      </c>
      <c r="F229" s="74" t="s">
        <v>44</v>
      </c>
      <c r="G229" s="1102">
        <f>Ranking!C50</f>
        <v>12234.494271428572</v>
      </c>
      <c r="H229" s="1103">
        <f>Ranking!D50</f>
        <v>3.1347753486597643E-2</v>
      </c>
      <c r="I229" s="1101"/>
      <c r="J229"/>
      <c r="K229"/>
      <c r="L229" s="1"/>
      <c r="M229" s="2561"/>
      <c r="N229" s="2561"/>
      <c r="O229" s="2561"/>
      <c r="P229" s="2561"/>
      <c r="Q229" s="2561"/>
      <c r="R229" s="2561"/>
      <c r="S229" s="2561"/>
      <c r="T229" s="2882"/>
      <c r="U229" s="2561"/>
      <c r="V229" s="2561"/>
      <c r="W229" s="2882"/>
      <c r="X229" s="2882"/>
      <c r="Y229" s="2292"/>
      <c r="Z229" s="2292"/>
    </row>
    <row r="230" spans="1:26">
      <c r="A230"/>
      <c r="B230"/>
      <c r="C230" s="3"/>
      <c r="D230" s="653" t="s">
        <v>20</v>
      </c>
      <c r="E230" s="653" t="s">
        <v>750</v>
      </c>
      <c r="F230" s="653" t="s">
        <v>278</v>
      </c>
      <c r="G230" s="1105">
        <f>Ranking!C51</f>
        <v>7616.907214285714</v>
      </c>
      <c r="H230" s="1106">
        <f>Ranking!D51</f>
        <v>1.9516371039653539E-2</v>
      </c>
      <c r="I230" s="1106">
        <f>Ranking!H9</f>
        <v>1.6132952736323161E-2</v>
      </c>
      <c r="J230"/>
      <c r="K230"/>
      <c r="L230" s="1"/>
      <c r="M230" s="2561"/>
      <c r="N230" s="2561"/>
      <c r="O230" s="2561"/>
      <c r="P230" s="2561"/>
      <c r="Q230" s="2561"/>
      <c r="R230" s="2561"/>
      <c r="S230" s="2561"/>
      <c r="T230" s="2882"/>
      <c r="U230" s="2561"/>
      <c r="V230" s="2561"/>
      <c r="W230" s="2882"/>
      <c r="X230" s="2882"/>
      <c r="Y230" s="2292"/>
      <c r="Z230" s="2292"/>
    </row>
    <row r="231" spans="1:26">
      <c r="A231"/>
      <c r="B231"/>
      <c r="C231" s="3"/>
      <c r="D231" s="74"/>
      <c r="E231" s="1148" t="s">
        <v>1062</v>
      </c>
      <c r="F231" s="1148"/>
      <c r="G231" s="1152">
        <f>Ranking!C5</f>
        <v>6809.8359425385843</v>
      </c>
      <c r="H231" s="1149"/>
      <c r="I231" s="1150"/>
      <c r="J231"/>
      <c r="K231"/>
      <c r="L231" s="1"/>
      <c r="M231" s="2561"/>
      <c r="N231" s="2561"/>
      <c r="O231" s="2561"/>
      <c r="P231" s="2561"/>
      <c r="Q231" s="2561"/>
      <c r="R231" s="2561"/>
      <c r="S231" s="2561"/>
      <c r="T231" s="2882"/>
      <c r="U231" s="2561"/>
      <c r="V231" s="2561"/>
      <c r="W231" s="2882"/>
      <c r="X231" s="2882"/>
      <c r="Y231" s="2292"/>
      <c r="Z231" s="2292"/>
    </row>
    <row r="232" spans="1:26">
      <c r="A232"/>
      <c r="B232"/>
      <c r="C232" s="3"/>
      <c r="D232" s="74" t="s">
        <v>19</v>
      </c>
      <c r="E232" s="74" t="s">
        <v>1030</v>
      </c>
      <c r="F232" s="74" t="s">
        <v>285</v>
      </c>
      <c r="G232" s="1102">
        <f>Ranking!C52</f>
        <v>6002.7646707914537</v>
      </c>
      <c r="H232" s="1104">
        <f>Ranking!D52</f>
        <v>1.538054479108892E-2</v>
      </c>
      <c r="I232" s="1101"/>
      <c r="J232"/>
      <c r="K232"/>
      <c r="L232" s="1"/>
      <c r="M232" s="2561"/>
      <c r="N232" s="2561"/>
      <c r="O232" s="2561"/>
      <c r="P232" s="2561"/>
      <c r="Q232" s="2561"/>
      <c r="R232" s="2561"/>
      <c r="S232" s="2561"/>
      <c r="T232" s="2882"/>
      <c r="U232" s="2561"/>
      <c r="V232" s="2561"/>
      <c r="W232" s="2882"/>
      <c r="X232" s="2882"/>
      <c r="Y232" s="2292"/>
      <c r="Z232" s="2292"/>
    </row>
    <row r="233" spans="1:26">
      <c r="A233"/>
      <c r="B233"/>
      <c r="C233" s="3"/>
      <c r="D233" s="74" t="s">
        <v>29</v>
      </c>
      <c r="E233" s="74" t="s">
        <v>47</v>
      </c>
      <c r="F233" s="74" t="s">
        <v>280</v>
      </c>
      <c r="G233" s="1102">
        <f>Ranking!C53</f>
        <v>5769.8566757446433</v>
      </c>
      <c r="H233" s="1104">
        <f>Ranking!D53</f>
        <v>1.4783777793466828E-2</v>
      </c>
      <c r="I233" s="1101"/>
      <c r="J233"/>
      <c r="K233"/>
      <c r="L233" s="1"/>
      <c r="M233" s="2561"/>
      <c r="N233" s="2561"/>
      <c r="O233" s="2561"/>
      <c r="P233" s="2561"/>
      <c r="Q233" s="2561"/>
      <c r="R233" s="2561"/>
      <c r="S233" s="2561"/>
      <c r="T233" s="2882"/>
      <c r="U233" s="2561"/>
      <c r="V233" s="2561"/>
      <c r="W233" s="2882"/>
      <c r="X233" s="2882"/>
      <c r="Y233" s="2292"/>
      <c r="Z233" s="2292"/>
    </row>
    <row r="234" spans="1:26">
      <c r="A234"/>
      <c r="B234"/>
      <c r="C234" s="3"/>
      <c r="D234" s="74" t="s">
        <v>22</v>
      </c>
      <c r="E234" s="74" t="s">
        <v>39</v>
      </c>
      <c r="F234" s="74" t="s">
        <v>39</v>
      </c>
      <c r="G234" s="1102">
        <f>Ranking!C54</f>
        <v>5059.5155870714543</v>
      </c>
      <c r="H234" s="1104">
        <f>Ranking!D54</f>
        <v>1.2963710952524294E-2</v>
      </c>
      <c r="I234" s="1101"/>
      <c r="J234"/>
      <c r="K234"/>
      <c r="L234" s="1"/>
      <c r="M234" s="2561"/>
      <c r="N234" s="2561"/>
      <c r="O234" s="2561"/>
      <c r="P234" s="2561"/>
      <c r="Q234" s="2561"/>
      <c r="R234" s="2561"/>
      <c r="S234" s="2561"/>
      <c r="T234" s="2882"/>
      <c r="U234" s="2561"/>
      <c r="V234" s="2561"/>
      <c r="W234" s="2882"/>
      <c r="X234" s="2882"/>
      <c r="Y234" s="2292"/>
      <c r="Z234" s="2292"/>
    </row>
    <row r="235" spans="1:26">
      <c r="A235"/>
      <c r="B235"/>
      <c r="C235" s="3"/>
      <c r="D235" s="74" t="s">
        <v>27</v>
      </c>
      <c r="E235" s="74" t="s">
        <v>2017</v>
      </c>
      <c r="F235" s="74" t="s">
        <v>54</v>
      </c>
      <c r="G235" s="1102">
        <f>Ranking!C55</f>
        <v>4745.1447857142857</v>
      </c>
      <c r="H235" s="1104">
        <f>Ranking!D55</f>
        <v>1.2158216408516635E-2</v>
      </c>
      <c r="I235" s="1101"/>
      <c r="J235"/>
      <c r="K235"/>
      <c r="L235" s="1"/>
      <c r="M235" s="2561"/>
      <c r="N235" s="2561"/>
      <c r="O235" s="2561"/>
      <c r="P235" s="2561"/>
      <c r="Q235" s="2561"/>
      <c r="R235" s="2561"/>
      <c r="S235" s="2561"/>
      <c r="T235" s="2882"/>
      <c r="U235" s="2561"/>
      <c r="V235" s="2561"/>
      <c r="W235" s="2882"/>
      <c r="X235" s="2882"/>
      <c r="Y235" s="2292"/>
      <c r="Z235" s="2292"/>
    </row>
    <row r="236" spans="1:26">
      <c r="A236"/>
      <c r="B236"/>
      <c r="C236" s="3"/>
      <c r="D236" s="74" t="s">
        <v>75</v>
      </c>
      <c r="E236" s="74" t="s">
        <v>2019</v>
      </c>
      <c r="F236" s="74" t="s">
        <v>287</v>
      </c>
      <c r="G236" s="1102">
        <f>Ranking!C56</f>
        <v>4580.8423286191064</v>
      </c>
      <c r="H236" s="1104">
        <f>Ranking!D56</f>
        <v>1.1737233504933111E-2</v>
      </c>
      <c r="I236" s="1101"/>
      <c r="J236"/>
      <c r="K236"/>
      <c r="L236" s="1"/>
      <c r="M236" s="2561"/>
      <c r="N236" s="2561"/>
      <c r="O236" s="2561"/>
      <c r="P236" s="2561"/>
      <c r="Q236" s="2561"/>
      <c r="R236" s="2561"/>
      <c r="S236" s="2561"/>
      <c r="T236" s="2882"/>
      <c r="U236" s="2561"/>
      <c r="V236" s="2561"/>
      <c r="W236" s="2882"/>
      <c r="X236" s="2882"/>
      <c r="Y236" s="2292"/>
      <c r="Z236" s="2292"/>
    </row>
    <row r="237" spans="1:26">
      <c r="A237"/>
      <c r="B237"/>
      <c r="C237" s="3"/>
      <c r="D237" s="74" t="s">
        <v>21</v>
      </c>
      <c r="E237" s="74" t="s">
        <v>2020</v>
      </c>
      <c r="F237" s="74" t="s">
        <v>276</v>
      </c>
      <c r="G237" s="1102">
        <f>Ranking!C57</f>
        <v>3544.0522571428578</v>
      </c>
      <c r="H237" s="1104">
        <f>Ranking!D57</f>
        <v>9.0807248780183369E-3</v>
      </c>
      <c r="I237" s="1101"/>
      <c r="J237"/>
      <c r="K237"/>
      <c r="L237" s="1"/>
      <c r="M237" s="2561"/>
      <c r="N237" s="2561"/>
      <c r="O237" s="2581"/>
      <c r="P237" s="2561"/>
      <c r="Q237" s="2561"/>
      <c r="R237" s="2561"/>
      <c r="S237" s="2561"/>
      <c r="T237" s="2882"/>
      <c r="U237" s="2561"/>
      <c r="V237" s="2561"/>
      <c r="W237" s="2882"/>
      <c r="X237" s="2882"/>
      <c r="Y237" s="2292"/>
      <c r="Z237" s="2292"/>
    </row>
    <row r="238" spans="1:26">
      <c r="A238"/>
      <c r="B238"/>
      <c r="C238" s="3"/>
      <c r="D238" s="653" t="s">
        <v>979</v>
      </c>
      <c r="E238" s="653" t="s">
        <v>752</v>
      </c>
      <c r="F238" s="653" t="s">
        <v>281</v>
      </c>
      <c r="G238" s="1105">
        <f>Ranking!C58</f>
        <v>3541.6238999999996</v>
      </c>
      <c r="H238" s="1106">
        <f>Ranking!D58</f>
        <v>9.0745028357006995E-3</v>
      </c>
      <c r="I238" s="1106">
        <f>Ranking!H11</f>
        <v>1.1212443346293226E-2</v>
      </c>
      <c r="J238"/>
      <c r="K238"/>
      <c r="L238" s="1"/>
      <c r="M238" s="2561"/>
      <c r="N238" s="2561"/>
      <c r="O238" s="2561"/>
      <c r="P238" s="2561"/>
      <c r="Q238" s="2561"/>
      <c r="R238" s="2561"/>
      <c r="S238" s="2561"/>
      <c r="T238" s="2882"/>
      <c r="U238" s="2561"/>
      <c r="V238" s="2561"/>
      <c r="W238" s="2882"/>
      <c r="X238" s="2882"/>
      <c r="Y238" s="2292"/>
      <c r="Z238" s="2292"/>
    </row>
    <row r="239" spans="1:26">
      <c r="A239"/>
      <c r="B239"/>
      <c r="C239" s="3"/>
      <c r="D239" s="74" t="s">
        <v>73</v>
      </c>
      <c r="E239" s="74" t="s">
        <v>124</v>
      </c>
      <c r="F239" s="74" t="s">
        <v>283</v>
      </c>
      <c r="G239" s="1102">
        <f>Ranking!C59</f>
        <v>2461.5190857142857</v>
      </c>
      <c r="H239" s="1104">
        <f>Ranking!D59</f>
        <v>6.3070112903421734E-3</v>
      </c>
      <c r="I239" s="1101"/>
      <c r="J239"/>
      <c r="K239"/>
      <c r="L239" s="1"/>
      <c r="M239" s="2561"/>
      <c r="N239" s="2561"/>
      <c r="O239" s="2561"/>
      <c r="P239" s="2561"/>
      <c r="Q239" s="2561"/>
      <c r="R239" s="2561"/>
      <c r="S239" s="2561"/>
      <c r="T239" s="2882"/>
      <c r="U239" s="2561"/>
      <c r="V239" s="2561"/>
      <c r="W239" s="2882"/>
      <c r="X239" s="2882"/>
      <c r="Y239" s="2292"/>
      <c r="Z239" s="2292"/>
    </row>
    <row r="240" spans="1:26">
      <c r="A240"/>
      <c r="B240"/>
      <c r="C240" s="3"/>
      <c r="D240" s="74" t="s">
        <v>24</v>
      </c>
      <c r="E240" s="74" t="s">
        <v>108</v>
      </c>
      <c r="F240" s="74" t="s">
        <v>42</v>
      </c>
      <c r="G240" s="1102">
        <f>Ranking!C60</f>
        <v>2432.5463571428577</v>
      </c>
      <c r="H240" s="1104">
        <f>Ranking!D60</f>
        <v>6.2327761047315808E-3</v>
      </c>
      <c r="I240" s="1101"/>
      <c r="J240"/>
      <c r="K240"/>
      <c r="L240" s="1"/>
      <c r="M240" s="2561"/>
      <c r="N240" s="2561"/>
      <c r="O240" s="2561"/>
      <c r="P240" s="2561"/>
      <c r="Q240" s="2561"/>
      <c r="R240" s="2561"/>
      <c r="S240" s="2561"/>
      <c r="T240" s="2882"/>
      <c r="U240" s="2882"/>
      <c r="V240" s="2882"/>
      <c r="W240" s="2882"/>
      <c r="X240" s="2882"/>
      <c r="Y240" s="2292"/>
      <c r="Z240" s="2292"/>
    </row>
    <row r="241" spans="1:26">
      <c r="A241"/>
      <c r="B241"/>
      <c r="C241" s="3"/>
      <c r="D241" s="653" t="s">
        <v>20</v>
      </c>
      <c r="E241" s="653" t="s">
        <v>751</v>
      </c>
      <c r="F241" s="653" t="s">
        <v>275</v>
      </c>
      <c r="G241" s="1105">
        <f>Ranking!C61</f>
        <v>2121.4584571428572</v>
      </c>
      <c r="H241" s="1106">
        <f>Ranking!D61</f>
        <v>5.4356931534045982E-3</v>
      </c>
      <c r="I241" s="1106">
        <f>Ranking!H10</f>
        <v>2.6590660223142948E-3</v>
      </c>
      <c r="J241"/>
      <c r="K241"/>
      <c r="L241" s="1"/>
      <c r="M241" s="2561"/>
      <c r="N241" s="2561"/>
      <c r="O241" s="2561"/>
      <c r="P241" s="2561"/>
      <c r="Q241" s="2561"/>
      <c r="R241" s="2561"/>
      <c r="S241" s="2561"/>
      <c r="T241" s="2882"/>
      <c r="U241" s="2883"/>
      <c r="V241" s="2882"/>
      <c r="W241" s="2882"/>
      <c r="X241" s="2882"/>
      <c r="Y241" s="2292"/>
      <c r="Z241" s="2292"/>
    </row>
    <row r="242" spans="1:26">
      <c r="A242"/>
      <c r="B242"/>
      <c r="C242" s="3"/>
      <c r="D242" s="74" t="s">
        <v>27</v>
      </c>
      <c r="E242" s="74" t="s">
        <v>649</v>
      </c>
      <c r="F242" s="74" t="s">
        <v>353</v>
      </c>
      <c r="G242" s="1102">
        <f>Ranking!C62</f>
        <v>504.56125714285719</v>
      </c>
      <c r="H242" s="1104">
        <f>Ranking!D62</f>
        <v>1.292808804099037E-3</v>
      </c>
      <c r="I242" s="1101"/>
      <c r="J242"/>
      <c r="K242"/>
      <c r="L242" s="1"/>
      <c r="M242" s="2561"/>
      <c r="N242" s="2561"/>
      <c r="O242" s="2561"/>
      <c r="P242" s="2561"/>
      <c r="Q242" s="2561"/>
      <c r="R242" s="2561"/>
      <c r="S242" s="2561"/>
      <c r="T242" s="2882"/>
      <c r="U242" s="2883"/>
      <c r="V242" s="2882"/>
      <c r="W242" s="2882"/>
      <c r="X242" s="2882"/>
      <c r="Y242" s="2292"/>
      <c r="Z242" s="2292"/>
    </row>
    <row r="243" spans="1:26">
      <c r="A243" s="2130"/>
      <c r="B243" s="2130"/>
      <c r="C243" s="2130"/>
      <c r="D243" s="2130"/>
      <c r="E243" s="2130"/>
      <c r="F243" s="2130"/>
      <c r="G243" s="2049"/>
      <c r="H243" s="2049"/>
      <c r="I243" s="2130"/>
      <c r="J243" s="2130"/>
      <c r="K243" s="2130"/>
      <c r="L243" s="1"/>
      <c r="M243" s="2561"/>
      <c r="N243" s="2561"/>
      <c r="O243" s="2561"/>
      <c r="P243" s="2561"/>
      <c r="Q243" s="2561"/>
      <c r="R243" s="2561"/>
      <c r="S243" s="2561"/>
      <c r="T243" s="2882"/>
      <c r="U243" s="2883"/>
      <c r="V243" s="2882"/>
      <c r="W243" s="2882"/>
      <c r="X243" s="2882"/>
      <c r="Y243" s="2292"/>
      <c r="Z243" s="2292"/>
    </row>
    <row r="244" spans="1:26">
      <c r="A244" s="2875"/>
      <c r="B244" s="2875"/>
      <c r="C244" s="2875"/>
      <c r="D244" s="2875"/>
      <c r="E244" s="2875"/>
      <c r="F244" s="2875"/>
      <c r="G244" s="2049"/>
      <c r="H244" s="2049"/>
      <c r="I244" s="2875"/>
      <c r="J244" s="2875"/>
      <c r="K244" s="2875"/>
      <c r="L244" s="1"/>
      <c r="M244" s="2561"/>
      <c r="N244" s="2561"/>
      <c r="O244" s="2561"/>
      <c r="P244" s="2561"/>
      <c r="Q244" s="2561"/>
      <c r="R244" s="2561"/>
      <c r="S244" s="2561"/>
      <c r="T244" s="2882"/>
      <c r="U244" s="2883"/>
      <c r="V244" s="2882"/>
      <c r="W244" s="2882"/>
      <c r="X244" s="2882"/>
      <c r="Y244" s="2292"/>
      <c r="Z244" s="2292"/>
    </row>
    <row r="245" spans="1:26">
      <c r="A245" s="2130"/>
      <c r="B245" s="2130"/>
      <c r="C245" s="3"/>
      <c r="D245" s="2166" t="s">
        <v>1694</v>
      </c>
      <c r="E245" s="2166"/>
      <c r="F245" s="2166"/>
      <c r="G245" s="2166"/>
      <c r="H245" s="2166"/>
      <c r="I245"/>
      <c r="J245"/>
      <c r="K245" s="2130"/>
      <c r="L245" s="1"/>
      <c r="M245" s="2561"/>
      <c r="N245" s="2561"/>
      <c r="O245" s="2561"/>
      <c r="P245" s="2561"/>
      <c r="Q245" s="2561"/>
      <c r="R245" s="2561"/>
      <c r="S245" s="2561"/>
      <c r="T245" s="2882"/>
      <c r="U245" s="2883"/>
      <c r="V245" s="2882"/>
      <c r="W245" s="2882"/>
      <c r="X245" s="2882"/>
      <c r="Y245" s="2292"/>
      <c r="Z245" s="2292"/>
    </row>
    <row r="246" spans="1:26">
      <c r="A246" s="2875"/>
      <c r="B246" s="2875"/>
      <c r="C246" s="1"/>
      <c r="D246"/>
      <c r="E246"/>
      <c r="F246"/>
      <c r="G246"/>
      <c r="H246"/>
      <c r="I246"/>
      <c r="J246"/>
      <c r="K246" s="2875"/>
      <c r="L246" s="1"/>
      <c r="M246" s="2561"/>
      <c r="N246" s="2561"/>
      <c r="O246" s="2561"/>
      <c r="P246" s="2561"/>
      <c r="Q246" s="2561"/>
      <c r="R246" s="2561"/>
      <c r="S246" s="2561"/>
      <c r="T246" s="2882"/>
      <c r="U246" s="2883"/>
      <c r="V246" s="2882"/>
      <c r="W246" s="2882"/>
      <c r="X246" s="2882"/>
      <c r="Y246" s="2292"/>
      <c r="Z246" s="2292"/>
    </row>
    <row r="247" spans="1:26">
      <c r="A247" s="2875"/>
      <c r="B247" s="2875"/>
      <c r="C247" s="3"/>
      <c r="D247" s="2050" t="s">
        <v>285</v>
      </c>
      <c r="E247" s="2051">
        <f>PROFILES!L8</f>
        <v>1.7468659495150733</v>
      </c>
      <c r="F247"/>
      <c r="G247" s="2050" t="s">
        <v>283</v>
      </c>
      <c r="H247" s="2051">
        <f>PROFILES!L15</f>
        <v>6.738754525599433E-2</v>
      </c>
      <c r="I247"/>
      <c r="J247" s="2050" t="s">
        <v>53</v>
      </c>
      <c r="K247" s="2051">
        <f>PROFILES!L22</f>
        <v>-0.3618479655094986</v>
      </c>
      <c r="L247" s="1"/>
      <c r="M247" s="2561"/>
      <c r="N247" s="2561"/>
      <c r="O247" s="2561"/>
      <c r="P247" s="2561"/>
      <c r="Q247" s="2561"/>
      <c r="R247" s="2561"/>
      <c r="S247" s="2561"/>
      <c r="T247" s="2882"/>
      <c r="U247" s="2883"/>
      <c r="V247" s="2882"/>
      <c r="W247" s="2882"/>
      <c r="X247" s="2882"/>
      <c r="Y247" s="2292"/>
      <c r="Z247" s="2292"/>
    </row>
    <row r="248" spans="1:26">
      <c r="A248" s="2875"/>
      <c r="B248" s="2875"/>
      <c r="C248" s="3"/>
      <c r="D248" s="2050" t="s">
        <v>50</v>
      </c>
      <c r="E248" s="2051">
        <f>PROFILES!L9</f>
        <v>1.1994936816856254</v>
      </c>
      <c r="F248"/>
      <c r="G248" s="2050" t="s">
        <v>42</v>
      </c>
      <c r="H248" s="2051">
        <f>PROFILES!L16</f>
        <v>-3.2258071946582277E-2</v>
      </c>
      <c r="I248"/>
      <c r="J248" s="2050" t="s">
        <v>284</v>
      </c>
      <c r="K248" s="2051">
        <f>PROFILES!L23</f>
        <v>-0.41209116095583281</v>
      </c>
      <c r="L248" s="1"/>
      <c r="M248" s="2561"/>
      <c r="N248" s="2561"/>
      <c r="O248" s="2561"/>
      <c r="P248" s="2561"/>
      <c r="Q248" s="2561"/>
      <c r="R248" s="2561"/>
      <c r="S248" s="2561"/>
      <c r="T248" s="2882"/>
      <c r="U248" s="2883"/>
      <c r="V248" s="2882"/>
      <c r="W248" s="2882"/>
      <c r="X248" s="2882"/>
      <c r="Y248" s="2292"/>
      <c r="Z248" s="2292"/>
    </row>
    <row r="249" spans="1:26">
      <c r="A249" s="2875"/>
      <c r="B249" s="2875"/>
      <c r="C249" s="3"/>
      <c r="D249" s="2052" t="s">
        <v>752</v>
      </c>
      <c r="E249" s="2054">
        <f>PROFILES!L10</f>
        <v>0.67327297771392325</v>
      </c>
      <c r="F249"/>
      <c r="G249" s="2050" t="s">
        <v>52</v>
      </c>
      <c r="H249" s="2051">
        <f>PROFILES!L17</f>
        <v>-6.1458653761923776E-2</v>
      </c>
      <c r="I249"/>
      <c r="J249" s="2050" t="s">
        <v>276</v>
      </c>
      <c r="K249" s="2051">
        <f>PROFILES!L24</f>
        <v>-0.4675424361384804</v>
      </c>
      <c r="L249" s="1"/>
      <c r="M249" s="2561"/>
      <c r="N249" s="2561"/>
      <c r="O249" s="2561"/>
      <c r="P249" s="2561"/>
      <c r="Q249" s="2561"/>
      <c r="R249" s="2561"/>
      <c r="S249" s="2561"/>
      <c r="T249" s="2882"/>
      <c r="U249" s="2883"/>
      <c r="V249" s="2882"/>
      <c r="W249" s="2882"/>
      <c r="X249" s="2882"/>
      <c r="Y249" s="2292"/>
      <c r="Z249" s="2292"/>
    </row>
    <row r="250" spans="1:26">
      <c r="A250" s="2875"/>
      <c r="B250" s="2875"/>
      <c r="C250" s="3"/>
      <c r="D250" s="2050" t="s">
        <v>279</v>
      </c>
      <c r="E250" s="2051">
        <f>PROFILES!L11</f>
        <v>0.37985561177970401</v>
      </c>
      <c r="F250"/>
      <c r="G250" s="2050" t="s">
        <v>282</v>
      </c>
      <c r="H250" s="2051">
        <f>PROFILES!L18</f>
        <v>-8.3288171902550459E-2</v>
      </c>
      <c r="I250"/>
      <c r="J250" s="2053" t="s">
        <v>286</v>
      </c>
      <c r="K250" s="2051">
        <f>PROFILES!L25</f>
        <v>-0.49416922878378883</v>
      </c>
      <c r="L250" s="1"/>
      <c r="M250" s="2561"/>
      <c r="N250" s="2561"/>
      <c r="O250" s="2561"/>
      <c r="P250" s="2561"/>
      <c r="Q250" s="2561"/>
      <c r="R250" s="2561"/>
      <c r="S250" s="2561"/>
      <c r="T250" s="2882"/>
      <c r="U250" s="2883"/>
      <c r="V250" s="2882"/>
      <c r="W250" s="2882"/>
      <c r="X250" s="2882"/>
      <c r="Y250" s="2292"/>
      <c r="Z250" s="2292"/>
    </row>
    <row r="251" spans="1:26">
      <c r="A251" s="2875"/>
      <c r="B251" s="2875"/>
      <c r="C251" s="3"/>
      <c r="D251" s="2050" t="s">
        <v>288</v>
      </c>
      <c r="E251" s="2051">
        <f>PROFILES!L12</f>
        <v>0.20894195471198634</v>
      </c>
      <c r="F251"/>
      <c r="G251" s="2050" t="s">
        <v>39</v>
      </c>
      <c r="H251" s="2051">
        <f>PROFILES!L19</f>
        <v>-0.13366823909704381</v>
      </c>
      <c r="I251"/>
      <c r="J251" s="2050" t="s">
        <v>287</v>
      </c>
      <c r="K251" s="2051">
        <f>PROFILES!L26</f>
        <v>-0.49577837871365099</v>
      </c>
      <c r="L251" s="1"/>
      <c r="M251" s="2561"/>
      <c r="N251" s="2561"/>
      <c r="O251" s="2561"/>
      <c r="P251" s="2561"/>
      <c r="Q251" s="2561"/>
      <c r="R251" s="2561"/>
      <c r="S251" s="2561"/>
      <c r="T251" s="2882"/>
      <c r="U251" s="2883"/>
      <c r="V251" s="2882"/>
      <c r="W251" s="2882"/>
      <c r="X251" s="2882"/>
      <c r="Y251" s="2292"/>
      <c r="Z251" s="2292"/>
    </row>
    <row r="252" spans="1:26">
      <c r="A252" s="2875"/>
      <c r="B252" s="2875"/>
      <c r="C252" s="3"/>
      <c r="D252" s="2050" t="s">
        <v>353</v>
      </c>
      <c r="E252" s="2051">
        <f>PROFILES!L13</f>
        <v>0.11241291049139049</v>
      </c>
      <c r="F252"/>
      <c r="G252" s="2050" t="s">
        <v>280</v>
      </c>
      <c r="H252" s="2051">
        <f>PROFILES!L20</f>
        <v>-0.24705029723080094</v>
      </c>
      <c r="I252"/>
      <c r="J252" s="2050" t="s">
        <v>44</v>
      </c>
      <c r="K252" s="2051">
        <f>PROFILES!L27</f>
        <v>-0.59766521701552</v>
      </c>
      <c r="L252" s="1"/>
      <c r="M252" s="2561"/>
      <c r="N252" s="2561"/>
      <c r="O252" s="2561"/>
      <c r="P252" s="2561"/>
      <c r="Q252" s="2561"/>
      <c r="R252" s="2561"/>
      <c r="S252" s="2561"/>
      <c r="T252" s="2882"/>
      <c r="U252" s="2883"/>
      <c r="V252" s="2882"/>
      <c r="W252" s="2882"/>
      <c r="X252" s="2882"/>
      <c r="Y252" s="2292"/>
      <c r="Z252" s="2292"/>
    </row>
    <row r="253" spans="1:26">
      <c r="A253" s="2875"/>
      <c r="B253" s="2875"/>
      <c r="C253" s="3"/>
      <c r="D253" s="2050" t="s">
        <v>277</v>
      </c>
      <c r="E253" s="2051">
        <f>PROFILES!L14</f>
        <v>7.5306160052783275E-2</v>
      </c>
      <c r="F253"/>
      <c r="G253" s="2052" t="s">
        <v>750</v>
      </c>
      <c r="H253" s="2054">
        <f>PROFILES!L21</f>
        <v>-0.33365525120929096</v>
      </c>
      <c r="I253"/>
      <c r="J253" s="2052" t="s">
        <v>751</v>
      </c>
      <c r="K253" s="2054">
        <f>PROFILES!L28</f>
        <v>-0.63331383871554725</v>
      </c>
      <c r="L253" s="1"/>
      <c r="M253" s="2561"/>
      <c r="N253" s="2561"/>
      <c r="O253" s="2561"/>
      <c r="P253" s="2561"/>
      <c r="Q253" s="2561"/>
      <c r="R253" s="2561"/>
      <c r="S253" s="2561"/>
      <c r="T253" s="2882"/>
      <c r="U253" s="2883"/>
      <c r="V253" s="2882"/>
      <c r="W253" s="2882"/>
      <c r="X253" s="2882"/>
      <c r="Y253" s="2292"/>
      <c r="Z253" s="2292"/>
    </row>
    <row r="254" spans="1:26">
      <c r="A254" s="2875"/>
      <c r="B254" s="2875"/>
      <c r="C254" s="3"/>
      <c r="D254"/>
      <c r="E254"/>
      <c r="F254"/>
      <c r="G254"/>
      <c r="H254"/>
      <c r="I254"/>
      <c r="J254" s="2050" t="s">
        <v>54</v>
      </c>
      <c r="K254" s="2051">
        <f>PROFILES!L29</f>
        <v>-0.63447330491761056</v>
      </c>
      <c r="L254" s="1"/>
      <c r="M254" s="2561"/>
      <c r="N254" s="2561"/>
      <c r="O254" s="2561"/>
      <c r="P254" s="2561"/>
      <c r="Q254" s="2561"/>
      <c r="R254" s="2561"/>
      <c r="S254" s="2561"/>
      <c r="T254" s="2882"/>
      <c r="U254" s="2883"/>
      <c r="V254" s="2882"/>
      <c r="W254" s="2882"/>
      <c r="X254" s="2882"/>
      <c r="Y254" s="2292"/>
      <c r="Z254" s="2292"/>
    </row>
    <row r="255" spans="1:26">
      <c r="A255" s="2875"/>
      <c r="B255" s="2875"/>
      <c r="C255" s="2875"/>
      <c r="D255" s="2875"/>
      <c r="E255" s="2875"/>
      <c r="F255" s="2875"/>
      <c r="G255" s="2049"/>
      <c r="H255" s="2049"/>
      <c r="I255" s="2875"/>
      <c r="J255" s="2875"/>
      <c r="K255" s="2875"/>
      <c r="L255" s="1"/>
      <c r="M255" s="2561"/>
      <c r="N255" s="2561"/>
      <c r="O255" s="2561"/>
      <c r="P255" s="2561"/>
      <c r="Q255" s="2561"/>
      <c r="R255" s="2561"/>
      <c r="S255" s="2561"/>
      <c r="T255" s="2882"/>
      <c r="U255" s="2883"/>
      <c r="V255" s="2882"/>
      <c r="W255" s="2882"/>
      <c r="X255" s="2882"/>
      <c r="Y255" s="2292"/>
      <c r="Z255" s="2292"/>
    </row>
    <row r="256" spans="1:26">
      <c r="A256" s="2875"/>
      <c r="B256" s="2875"/>
      <c r="C256" s="3"/>
      <c r="D256" s="983" t="s">
        <v>1695</v>
      </c>
      <c r="E256" s="2875"/>
      <c r="F256" s="2875"/>
      <c r="G256" s="2049"/>
      <c r="H256" s="2049"/>
      <c r="I256" s="2875"/>
      <c r="J256" s="2875"/>
      <c r="K256" s="2875"/>
      <c r="L256" s="1"/>
      <c r="M256" s="2561"/>
      <c r="N256" s="2561"/>
      <c r="O256" s="2561"/>
      <c r="P256" s="2561"/>
      <c r="Q256" s="2561"/>
      <c r="R256" s="2561"/>
      <c r="S256" s="2561"/>
      <c r="T256" s="2882"/>
      <c r="U256" s="2883"/>
      <c r="V256" s="2882"/>
      <c r="W256" s="2882"/>
      <c r="X256" s="2882"/>
      <c r="Y256" s="2292"/>
      <c r="Z256" s="2292"/>
    </row>
    <row r="257" spans="1:26">
      <c r="A257" s="2875"/>
      <c r="B257" s="2875"/>
      <c r="C257" s="2875"/>
      <c r="D257" s="2875"/>
      <c r="E257" s="2875"/>
      <c r="F257" s="2875"/>
      <c r="G257" s="2049"/>
      <c r="H257" s="2049"/>
      <c r="I257" s="2875"/>
      <c r="J257" s="2875"/>
      <c r="K257" s="2875"/>
      <c r="L257" s="1"/>
      <c r="M257" s="2561"/>
      <c r="N257" s="2561"/>
      <c r="O257" s="2561"/>
      <c r="P257" s="2561"/>
      <c r="Q257" s="2561"/>
      <c r="R257" s="2561"/>
      <c r="S257" s="2561"/>
      <c r="T257" s="2882"/>
      <c r="U257" s="2883"/>
      <c r="V257" s="2882"/>
      <c r="W257" s="2882"/>
      <c r="X257" s="2882"/>
      <c r="Y257" s="2292"/>
      <c r="Z257" s="2292"/>
    </row>
    <row r="258" spans="1:26">
      <c r="A258" s="2895"/>
      <c r="B258" s="2875"/>
      <c r="C258" s="2875"/>
      <c r="D258" s="2875"/>
      <c r="E258" s="2875"/>
      <c r="F258" s="2875"/>
      <c r="G258" s="2049"/>
      <c r="H258" s="2049"/>
      <c r="I258" s="2875"/>
      <c r="J258" s="2875"/>
      <c r="K258" s="2875"/>
      <c r="L258" s="1"/>
      <c r="M258" s="2561"/>
      <c r="N258" s="2561"/>
      <c r="O258" s="2561"/>
      <c r="P258" s="2561"/>
      <c r="Q258" s="2561"/>
      <c r="R258" s="2561"/>
      <c r="S258" s="2561"/>
      <c r="T258" s="2882"/>
      <c r="U258" s="2883"/>
      <c r="V258" s="2882"/>
      <c r="W258" s="2882"/>
      <c r="X258" s="2882"/>
      <c r="Y258" s="2292"/>
      <c r="Z258" s="2292"/>
    </row>
    <row r="259" spans="1:26">
      <c r="A259" s="2875"/>
      <c r="B259" s="2875"/>
      <c r="C259" s="2875"/>
      <c r="D259" s="2875"/>
      <c r="E259" s="2875"/>
      <c r="F259" s="2875"/>
      <c r="G259" s="2049"/>
      <c r="H259" s="2049"/>
      <c r="I259" s="2875"/>
      <c r="J259" s="2875"/>
      <c r="K259" s="2875"/>
      <c r="L259" s="1"/>
      <c r="M259" s="2561"/>
      <c r="N259" s="2561"/>
      <c r="O259" s="2561"/>
      <c r="P259" s="2561"/>
      <c r="Q259" s="2561"/>
      <c r="R259" s="2561"/>
      <c r="S259" s="2561"/>
      <c r="T259" s="2882"/>
      <c r="U259" s="2883"/>
      <c r="V259" s="2882"/>
      <c r="W259" s="2882"/>
      <c r="X259" s="2882"/>
      <c r="Y259" s="2292"/>
      <c r="Z259" s="2292"/>
    </row>
    <row r="260" spans="1:26">
      <c r="A260" s="2875"/>
      <c r="B260" s="2875"/>
      <c r="C260" s="2875"/>
      <c r="D260" s="2875"/>
      <c r="E260" s="2875"/>
      <c r="F260" s="2875"/>
      <c r="G260" s="2049"/>
      <c r="H260" s="2049"/>
      <c r="I260" s="2875"/>
      <c r="J260" s="2875"/>
      <c r="K260" s="2875"/>
      <c r="L260" s="1"/>
      <c r="M260" s="2561"/>
      <c r="N260" s="2561"/>
      <c r="O260" s="2561"/>
      <c r="P260" s="2561"/>
      <c r="Q260" s="2561"/>
      <c r="R260" s="2561"/>
      <c r="S260" s="2561"/>
      <c r="T260" s="2882"/>
      <c r="U260" s="2883"/>
      <c r="V260" s="2882"/>
      <c r="W260" s="2882"/>
      <c r="X260" s="2882"/>
      <c r="Y260" s="2292"/>
      <c r="Z260" s="2292"/>
    </row>
    <row r="261" spans="1:26">
      <c r="A261" s="2875"/>
      <c r="B261" s="2875"/>
      <c r="C261" s="2875"/>
      <c r="D261" s="2875"/>
      <c r="E261" s="2875"/>
      <c r="F261" s="2875"/>
      <c r="G261" s="2049"/>
      <c r="H261" s="2049"/>
      <c r="I261" s="2875"/>
      <c r="J261" s="2875"/>
      <c r="K261" s="2875"/>
      <c r="L261" s="1"/>
      <c r="M261" s="2561"/>
      <c r="N261" s="2561"/>
      <c r="O261" s="2561"/>
      <c r="P261" s="2561"/>
      <c r="Q261" s="2561"/>
      <c r="R261" s="2561"/>
      <c r="S261" s="2561"/>
      <c r="T261" s="2882"/>
      <c r="U261" s="2883"/>
      <c r="V261" s="2882"/>
      <c r="W261" s="2882"/>
      <c r="X261" s="2882"/>
      <c r="Y261" s="2292"/>
      <c r="Z261" s="2292"/>
    </row>
    <row r="262" spans="1:26">
      <c r="A262" s="2875"/>
      <c r="B262" s="2875"/>
      <c r="C262" s="2875"/>
      <c r="D262" s="2875"/>
      <c r="E262" s="2875"/>
      <c r="F262" s="2875"/>
      <c r="G262" s="2049"/>
      <c r="H262" s="2049"/>
      <c r="I262" s="2875"/>
      <c r="J262" s="2875"/>
      <c r="K262" s="2875"/>
      <c r="L262" s="1"/>
      <c r="M262" s="2561"/>
      <c r="N262" s="2561"/>
      <c r="O262" s="2561"/>
      <c r="P262" s="2561"/>
      <c r="Q262" s="2561"/>
      <c r="R262" s="2561"/>
      <c r="S262" s="2561"/>
      <c r="T262" s="2882"/>
      <c r="U262" s="2883"/>
      <c r="V262" s="2882"/>
      <c r="W262" s="2882"/>
      <c r="X262" s="2882"/>
      <c r="Y262" s="2292"/>
      <c r="Z262" s="2292"/>
    </row>
    <row r="263" spans="1:26">
      <c r="A263" s="2875"/>
      <c r="B263" s="2875"/>
      <c r="C263" s="2875"/>
      <c r="D263" s="2875"/>
      <c r="E263" s="2875"/>
      <c r="F263" s="2875"/>
      <c r="G263" s="2049"/>
      <c r="H263" s="2049"/>
      <c r="I263" s="2875"/>
      <c r="J263" s="2875"/>
      <c r="K263" s="2875"/>
      <c r="L263" s="1"/>
      <c r="M263" s="2561"/>
      <c r="N263" s="2561"/>
      <c r="O263" s="2561"/>
      <c r="P263" s="2561"/>
      <c r="Q263" s="2561"/>
      <c r="R263" s="2561"/>
      <c r="S263" s="2561"/>
      <c r="T263" s="2882"/>
      <c r="U263" s="2883"/>
      <c r="V263" s="2882"/>
      <c r="W263" s="2882"/>
      <c r="X263" s="2882"/>
      <c r="Y263" s="2292"/>
      <c r="Z263" s="2292"/>
    </row>
    <row r="264" spans="1:26">
      <c r="A264" s="2875"/>
      <c r="B264" s="2875"/>
      <c r="C264" s="2875"/>
      <c r="D264" s="2875"/>
      <c r="E264" s="2875"/>
      <c r="F264" s="2875"/>
      <c r="G264" s="2049"/>
      <c r="H264" s="2049"/>
      <c r="I264" s="2875"/>
      <c r="J264" s="2875"/>
      <c r="K264" s="2875"/>
      <c r="L264" s="1"/>
      <c r="M264" s="2561"/>
      <c r="N264" s="2561"/>
      <c r="O264" s="2561"/>
      <c r="P264" s="2561"/>
      <c r="Q264" s="2561"/>
      <c r="R264" s="2561"/>
      <c r="S264" s="2561"/>
      <c r="T264" s="2882"/>
      <c r="U264" s="2883"/>
      <c r="V264" s="2882"/>
      <c r="W264" s="2882"/>
      <c r="X264" s="2882"/>
      <c r="Y264" s="2292"/>
      <c r="Z264" s="2292"/>
    </row>
    <row r="265" spans="1:26">
      <c r="A265" s="2875"/>
      <c r="B265" s="2875"/>
      <c r="C265" s="2875"/>
      <c r="D265" s="2875"/>
      <c r="E265" s="2875"/>
      <c r="F265" s="2875"/>
      <c r="G265" s="2049"/>
      <c r="H265" s="2049"/>
      <c r="I265" s="2875"/>
      <c r="J265" s="2875"/>
      <c r="K265" s="2875"/>
      <c r="L265" s="1"/>
      <c r="M265" s="2561"/>
      <c r="N265" s="2561"/>
      <c r="O265" s="2561"/>
      <c r="P265" s="2561"/>
      <c r="Q265" s="2561"/>
      <c r="R265" s="2561"/>
      <c r="S265" s="2561"/>
      <c r="T265" s="2882"/>
      <c r="U265" s="2883"/>
      <c r="V265" s="2882"/>
      <c r="W265" s="2882"/>
      <c r="X265" s="2882"/>
      <c r="Y265" s="2292"/>
      <c r="Z265" s="2292"/>
    </row>
    <row r="266" spans="1:26">
      <c r="A266" s="2875"/>
      <c r="B266" s="2875"/>
      <c r="C266" s="2875"/>
      <c r="D266" s="2875"/>
      <c r="E266" s="2875"/>
      <c r="F266" s="2875"/>
      <c r="G266" s="2049"/>
      <c r="H266" s="2049"/>
      <c r="I266" s="2875"/>
      <c r="J266" s="2875"/>
      <c r="K266" s="2875"/>
      <c r="L266" s="1"/>
      <c r="M266" s="2561"/>
      <c r="N266" s="2561"/>
      <c r="O266" s="2561"/>
      <c r="P266" s="2561"/>
      <c r="Q266" s="2561"/>
      <c r="R266" s="2561"/>
      <c r="S266" s="2561"/>
      <c r="T266" s="2882"/>
      <c r="U266" s="2883"/>
      <c r="V266" s="2882"/>
      <c r="W266" s="2882"/>
      <c r="X266" s="2882"/>
      <c r="Y266" s="2292"/>
      <c r="Z266" s="2292"/>
    </row>
    <row r="267" spans="1:26">
      <c r="A267" s="2875"/>
      <c r="B267" s="2875"/>
      <c r="C267" s="2875"/>
      <c r="D267" s="2875"/>
      <c r="E267" s="2875"/>
      <c r="F267" s="2875"/>
      <c r="G267" s="2049"/>
      <c r="H267" s="2049"/>
      <c r="I267" s="2875"/>
      <c r="J267" s="2875"/>
      <c r="K267" s="2875"/>
      <c r="L267" s="1"/>
      <c r="M267" s="2561"/>
      <c r="N267" s="2561"/>
      <c r="O267" s="2561"/>
      <c r="P267" s="2561"/>
      <c r="Q267" s="2561"/>
      <c r="R267" s="2561"/>
      <c r="S267" s="2561"/>
      <c r="T267" s="2882"/>
      <c r="U267" s="2883"/>
      <c r="V267" s="2882"/>
      <c r="W267" s="2882"/>
      <c r="X267" s="2882"/>
      <c r="Y267" s="2292"/>
      <c r="Z267" s="2292"/>
    </row>
    <row r="268" spans="1:26">
      <c r="A268" s="2875"/>
      <c r="B268" s="2875"/>
      <c r="C268" s="2875"/>
      <c r="D268" s="2875"/>
      <c r="E268" s="2875"/>
      <c r="F268" s="2875"/>
      <c r="G268" s="2049"/>
      <c r="H268" s="2049"/>
      <c r="I268" s="2875"/>
      <c r="J268" s="2875"/>
      <c r="K268" s="2875"/>
      <c r="L268" s="1"/>
      <c r="M268" s="2561"/>
      <c r="N268" s="2561"/>
      <c r="O268" s="2561"/>
      <c r="P268" s="2561"/>
      <c r="Q268" s="2561"/>
      <c r="R268" s="2561"/>
      <c r="S268" s="2561"/>
      <c r="T268" s="2882"/>
      <c r="U268" s="2883"/>
      <c r="V268" s="2882"/>
      <c r="W268" s="2882"/>
      <c r="X268" s="2882"/>
      <c r="Y268" s="2292"/>
      <c r="Z268" s="2292"/>
    </row>
    <row r="269" spans="1:26">
      <c r="A269" s="2875"/>
      <c r="B269" s="2875"/>
      <c r="C269" s="2875"/>
      <c r="D269" s="2875"/>
      <c r="E269" s="2875"/>
      <c r="F269" s="2875"/>
      <c r="G269" s="2049"/>
      <c r="H269" s="2049"/>
      <c r="I269" s="2875"/>
      <c r="J269" s="2875"/>
      <c r="K269" s="2875"/>
      <c r="L269" s="1"/>
      <c r="M269" s="2561"/>
      <c r="N269" s="2561"/>
      <c r="O269" s="2561"/>
      <c r="P269" s="2561"/>
      <c r="Q269" s="2561"/>
      <c r="R269" s="2561"/>
      <c r="S269" s="2561"/>
      <c r="T269" s="2882"/>
      <c r="U269" s="2883"/>
      <c r="V269" s="2882"/>
      <c r="W269" s="2882"/>
      <c r="X269" s="2882"/>
      <c r="Y269" s="2292"/>
      <c r="Z269" s="2292"/>
    </row>
    <row r="270" spans="1:26">
      <c r="A270" s="2875"/>
      <c r="B270" s="2875"/>
      <c r="C270" s="2875"/>
      <c r="D270" s="2875"/>
      <c r="E270" s="2875"/>
      <c r="F270" s="2875"/>
      <c r="G270" s="2049"/>
      <c r="H270" s="2049"/>
      <c r="I270" s="2875"/>
      <c r="J270" s="2875"/>
      <c r="K270" s="2875"/>
      <c r="L270" s="1"/>
      <c r="M270" s="2561"/>
      <c r="N270" s="2561"/>
      <c r="O270" s="2561"/>
      <c r="P270" s="2561"/>
      <c r="Q270" s="2561"/>
      <c r="R270" s="2561"/>
      <c r="S270" s="2561"/>
      <c r="T270" s="2882"/>
      <c r="U270" s="2883"/>
      <c r="V270" s="2882"/>
      <c r="W270" s="2882"/>
      <c r="X270" s="2882"/>
      <c r="Y270" s="2292"/>
      <c r="Z270" s="2292"/>
    </row>
    <row r="271" spans="1:26">
      <c r="A271" s="2875"/>
      <c r="B271" s="2875"/>
      <c r="C271" s="2875"/>
      <c r="D271" s="2875"/>
      <c r="E271" s="2875"/>
      <c r="F271" s="2875"/>
      <c r="G271" s="2049"/>
      <c r="H271" s="2049"/>
      <c r="I271" s="2875"/>
      <c r="J271" s="2875"/>
      <c r="K271" s="2875"/>
      <c r="L271" s="1"/>
      <c r="M271" s="2561"/>
      <c r="N271" s="2561"/>
      <c r="O271" s="2561"/>
      <c r="P271" s="2561"/>
      <c r="Q271" s="2561"/>
      <c r="R271" s="2561"/>
      <c r="S271" s="2561"/>
      <c r="T271" s="2882"/>
      <c r="U271" s="2883"/>
      <c r="V271" s="2882"/>
      <c r="W271" s="2882"/>
      <c r="X271" s="2882"/>
      <c r="Y271" s="2292"/>
      <c r="Z271" s="2292"/>
    </row>
    <row r="272" spans="1:26">
      <c r="A272" s="2875"/>
      <c r="B272" s="2875"/>
      <c r="C272" s="2875"/>
      <c r="D272" s="2875"/>
      <c r="E272" s="2875"/>
      <c r="F272" s="2875"/>
      <c r="G272" s="2049"/>
      <c r="H272" s="2049"/>
      <c r="I272" s="2875"/>
      <c r="J272" s="2875"/>
      <c r="K272" s="2875"/>
      <c r="L272" s="1"/>
      <c r="M272" s="2561"/>
      <c r="N272" s="2561"/>
      <c r="O272" s="2561"/>
      <c r="P272" s="2561"/>
      <c r="Q272" s="2561"/>
      <c r="R272" s="2561"/>
      <c r="S272" s="2561"/>
      <c r="T272" s="2882"/>
      <c r="U272" s="2883"/>
      <c r="V272" s="2882"/>
      <c r="W272" s="2882"/>
      <c r="X272" s="2882"/>
      <c r="Y272" s="2292"/>
      <c r="Z272" s="2292"/>
    </row>
    <row r="273" spans="1:26">
      <c r="A273" s="2875"/>
      <c r="B273" s="2875"/>
      <c r="C273" s="2875"/>
      <c r="D273" s="2875"/>
      <c r="E273" s="2875"/>
      <c r="F273" s="2875"/>
      <c r="G273" s="2049"/>
      <c r="H273" s="2049"/>
      <c r="I273" s="2875"/>
      <c r="J273" s="2875"/>
      <c r="K273" s="2875"/>
      <c r="L273" s="1"/>
      <c r="M273" s="2561"/>
      <c r="N273" s="2561"/>
      <c r="O273" s="2561"/>
      <c r="P273" s="2561"/>
      <c r="Q273" s="2561"/>
      <c r="R273" s="2561"/>
      <c r="S273" s="2561"/>
      <c r="T273" s="2882"/>
      <c r="U273" s="2883"/>
      <c r="V273" s="2882"/>
      <c r="W273" s="2882"/>
      <c r="X273" s="2882"/>
      <c r="Y273" s="2292"/>
      <c r="Z273" s="2292"/>
    </row>
    <row r="274" spans="1:26">
      <c r="A274" s="2875"/>
      <c r="B274" s="2875"/>
      <c r="C274" s="2875"/>
      <c r="D274" s="2875"/>
      <c r="E274" s="2875"/>
      <c r="F274" s="2875"/>
      <c r="G274" s="2049"/>
      <c r="H274" s="2049"/>
      <c r="I274" s="2875"/>
      <c r="J274" s="2875"/>
      <c r="K274" s="2875"/>
      <c r="L274" s="1"/>
      <c r="M274" s="2561"/>
      <c r="N274" s="2561"/>
      <c r="O274" s="2561"/>
      <c r="P274" s="2561"/>
      <c r="Q274" s="2561"/>
      <c r="R274" s="2561"/>
      <c r="S274" s="2561"/>
      <c r="T274" s="2882"/>
      <c r="U274" s="2883"/>
      <c r="V274" s="2882"/>
      <c r="W274" s="2882"/>
      <c r="X274" s="2882"/>
      <c r="Y274" s="2292"/>
      <c r="Z274" s="2292"/>
    </row>
    <row r="275" spans="1:26">
      <c r="A275" s="2875"/>
      <c r="B275" s="2875"/>
      <c r="C275" s="2875"/>
      <c r="D275" s="2875"/>
      <c r="E275" s="2875"/>
      <c r="F275" s="2875"/>
      <c r="G275" s="2049"/>
      <c r="H275" s="2049"/>
      <c r="I275" s="2875"/>
      <c r="J275" s="2875"/>
      <c r="K275" s="2875"/>
      <c r="L275" s="1"/>
      <c r="M275" s="2561"/>
      <c r="N275" s="2561"/>
      <c r="O275" s="2561"/>
      <c r="P275" s="2561"/>
      <c r="Q275" s="2561"/>
      <c r="R275" s="2561"/>
      <c r="S275" s="2561"/>
      <c r="T275" s="2882"/>
      <c r="U275" s="2883"/>
      <c r="V275" s="2882"/>
      <c r="W275" s="2882"/>
      <c r="X275" s="2882"/>
      <c r="Y275" s="2292"/>
      <c r="Z275" s="2292"/>
    </row>
    <row r="276" spans="1:26">
      <c r="A276" s="2875"/>
      <c r="B276" s="2875"/>
      <c r="C276" s="2875"/>
      <c r="D276" s="2875"/>
      <c r="E276" s="2875"/>
      <c r="F276" s="2875"/>
      <c r="G276" s="2049"/>
      <c r="H276" s="2049"/>
      <c r="I276" s="2875"/>
      <c r="J276" s="2875"/>
      <c r="K276" s="2875"/>
      <c r="L276" s="1"/>
      <c r="M276" s="2561"/>
      <c r="N276" s="2561"/>
      <c r="O276" s="2561"/>
      <c r="P276" s="2561"/>
      <c r="Q276" s="2561"/>
      <c r="R276" s="2561"/>
      <c r="S276" s="2561"/>
      <c r="T276" s="2882"/>
      <c r="U276" s="2883"/>
      <c r="V276" s="2882"/>
      <c r="W276" s="2882"/>
      <c r="X276" s="2882"/>
      <c r="Y276" s="2292"/>
      <c r="Z276" s="2292"/>
    </row>
    <row r="277" spans="1:26">
      <c r="A277" s="2875"/>
      <c r="B277" s="2875"/>
      <c r="C277" s="2875"/>
      <c r="D277" s="2875"/>
      <c r="E277" s="2875"/>
      <c r="F277" s="2875"/>
      <c r="G277" s="2049"/>
      <c r="H277" s="2049"/>
      <c r="I277" s="2875"/>
      <c r="J277" s="2875"/>
      <c r="K277" s="2915" t="s">
        <v>2043</v>
      </c>
      <c r="L277" s="1"/>
      <c r="M277" s="2561"/>
      <c r="N277" s="2561"/>
      <c r="O277" s="2561"/>
      <c r="P277" s="2561"/>
      <c r="Q277" s="2561"/>
      <c r="R277" s="2561"/>
      <c r="S277" s="2561"/>
      <c r="T277" s="2882"/>
      <c r="U277" s="2883"/>
      <c r="V277" s="2882"/>
      <c r="W277" s="2882"/>
      <c r="X277" s="2882"/>
      <c r="Y277" s="2292"/>
      <c r="Z277" s="2292"/>
    </row>
    <row r="278" spans="1:26">
      <c r="A278" s="2875"/>
      <c r="B278" s="2875"/>
      <c r="C278" s="2875"/>
      <c r="D278" s="2875"/>
      <c r="E278" s="2875"/>
      <c r="F278" s="2875"/>
      <c r="G278" s="2049"/>
      <c r="H278" s="2049"/>
      <c r="I278" s="2875"/>
      <c r="J278" s="2875"/>
      <c r="K278" s="2875"/>
      <c r="L278" s="1"/>
      <c r="Z278" s="2292"/>
    </row>
    <row r="279" spans="1:26">
      <c r="A279" s="975" t="s">
        <v>2012</v>
      </c>
      <c r="B279" s="975"/>
      <c r="C279"/>
      <c r="D279" s="983" t="s">
        <v>2009</v>
      </c>
      <c r="E279"/>
      <c r="F279"/>
      <c r="G279"/>
      <c r="H279"/>
      <c r="I279"/>
      <c r="J279"/>
      <c r="K279"/>
      <c r="L279" s="3"/>
      <c r="M279" s="2561"/>
      <c r="N279" s="3"/>
      <c r="O279" s="2875"/>
      <c r="P279" s="2875"/>
      <c r="Q279" s="2875"/>
      <c r="R279" s="2875"/>
      <c r="S279" s="2875"/>
      <c r="T279" s="2875"/>
      <c r="U279" s="2884"/>
      <c r="V279" s="2885"/>
      <c r="W279" s="2884"/>
      <c r="X279" s="2884"/>
      <c r="Y279" s="1"/>
      <c r="Z279" s="2292"/>
    </row>
    <row r="280" spans="1:26">
      <c r="A280"/>
      <c r="B280"/>
      <c r="C280"/>
      <c r="D280"/>
      <c r="E280"/>
      <c r="F280"/>
      <c r="G280"/>
      <c r="H280"/>
      <c r="I280"/>
      <c r="J280"/>
      <c r="K280"/>
      <c r="L280" s="1"/>
      <c r="M280" s="2954" t="s">
        <v>2049</v>
      </c>
      <c r="N280" s="3"/>
      <c r="O280" s="1344" t="s">
        <v>1698</v>
      </c>
      <c r="P280"/>
      <c r="Q280" s="1344"/>
      <c r="R280" s="1343"/>
      <c r="S280" s="1343"/>
      <c r="T280"/>
      <c r="U280" s="3"/>
      <c r="V280" s="3"/>
      <c r="W280" s="3"/>
      <c r="X280" s="3"/>
      <c r="Y280" s="1"/>
      <c r="Z280" s="2292"/>
    </row>
    <row r="281" spans="1:26">
      <c r="A281"/>
      <c r="B281"/>
      <c r="C281"/>
      <c r="D281"/>
      <c r="E281"/>
      <c r="F281"/>
      <c r="G281"/>
      <c r="H281"/>
      <c r="I281"/>
      <c r="J281"/>
      <c r="K281"/>
      <c r="L281" s="1"/>
      <c r="M281" s="2561"/>
      <c r="N281" s="3"/>
      <c r="O281" s="1343"/>
      <c r="P281" s="1343"/>
      <c r="Q281" s="1343"/>
      <c r="R281" s="1343"/>
      <c r="S281" s="1343"/>
      <c r="T281"/>
      <c r="U281" s="3"/>
      <c r="V281" s="3"/>
      <c r="W281" s="3"/>
      <c r="X281" s="3"/>
      <c r="Y281" s="1"/>
      <c r="Z281" s="2292"/>
    </row>
    <row r="282" spans="1:26">
      <c r="A282"/>
      <c r="B282"/>
      <c r="C282"/>
      <c r="D282"/>
      <c r="E282"/>
      <c r="F282"/>
      <c r="G282"/>
      <c r="H282"/>
      <c r="I282"/>
      <c r="J282"/>
      <c r="K282"/>
      <c r="L282" s="1"/>
      <c r="M282" s="2682"/>
      <c r="N282" s="3"/>
      <c r="O282" s="1345" t="s">
        <v>1052</v>
      </c>
      <c r="P282" s="1346"/>
      <c r="Q282" s="1345" t="s">
        <v>1059</v>
      </c>
      <c r="R282" s="1345" t="s">
        <v>1054</v>
      </c>
      <c r="S282" s="1345" t="s">
        <v>129</v>
      </c>
      <c r="T282"/>
      <c r="U282" s="3"/>
      <c r="V282" s="3"/>
      <c r="W282" s="3"/>
      <c r="X282" s="3"/>
      <c r="Y282" s="1"/>
      <c r="Z282" s="2292"/>
    </row>
    <row r="283" spans="1:26">
      <c r="A283"/>
      <c r="B283"/>
      <c r="C283"/>
      <c r="D283"/>
      <c r="E283"/>
      <c r="F283"/>
      <c r="G283"/>
      <c r="H283"/>
      <c r="I283"/>
      <c r="J283"/>
      <c r="K283"/>
      <c r="L283" s="1"/>
      <c r="M283" s="2682"/>
      <c r="N283" s="3"/>
      <c r="O283" s="1346" t="s">
        <v>1053</v>
      </c>
      <c r="P283" s="1346"/>
      <c r="Q283" s="1347">
        <f>CALCULATIONS!I35</f>
        <v>0.27952653994864374</v>
      </c>
      <c r="R283" s="1347">
        <f>Ranking!D31</f>
        <v>0.31407184445505926</v>
      </c>
      <c r="S283" s="1347">
        <f>Ranking!H31</f>
        <v>0.37442963096553966</v>
      </c>
      <c r="T283"/>
      <c r="U283" s="3"/>
      <c r="V283" s="3"/>
      <c r="W283" s="3"/>
      <c r="X283" s="3"/>
      <c r="Y283" s="1"/>
      <c r="Z283" s="2292"/>
    </row>
    <row r="284" spans="1:26">
      <c r="A284"/>
      <c r="B284"/>
      <c r="C284"/>
      <c r="D284"/>
      <c r="E284"/>
      <c r="F284"/>
      <c r="G284"/>
      <c r="H284"/>
      <c r="I284"/>
      <c r="J284"/>
      <c r="K284"/>
      <c r="L284" s="1"/>
      <c r="M284" s="2682"/>
      <c r="N284" s="3"/>
      <c r="O284" s="1348" t="s">
        <v>1055</v>
      </c>
      <c r="P284" s="1348"/>
      <c r="Q284" s="1349">
        <f>CALCULATIONS!I37</f>
        <v>0.53697955242011663</v>
      </c>
      <c r="R284" s="1349">
        <f>Ranking!D33</f>
        <v>0.48280336077918012</v>
      </c>
      <c r="S284" s="1349">
        <f>Ranking!H33</f>
        <v>0.40418184360723208</v>
      </c>
      <c r="T284"/>
      <c r="U284" s="3"/>
      <c r="V284" s="3"/>
      <c r="W284" s="3"/>
      <c r="X284" s="3"/>
      <c r="Y284" s="1"/>
      <c r="Z284" s="2292"/>
    </row>
    <row r="285" spans="1:26">
      <c r="A285"/>
      <c r="B285"/>
      <c r="C285"/>
      <c r="D285"/>
      <c r="E285"/>
      <c r="F285"/>
      <c r="G285"/>
      <c r="H285"/>
      <c r="I285"/>
      <c r="J285"/>
      <c r="K285"/>
      <c r="L285" s="1"/>
      <c r="M285" s="2682"/>
      <c r="N285" s="3"/>
      <c r="O285" s="1350" t="s">
        <v>1060</v>
      </c>
      <c r="P285" s="1350"/>
      <c r="Q285" s="1351">
        <f>CALCULATIONS!I36</f>
        <v>0.34525555168845334</v>
      </c>
      <c r="R285" s="1351">
        <f>Ranking!D32</f>
        <v>0.31681610608711819</v>
      </c>
      <c r="S285" s="1351">
        <f>Ranking!H32</f>
        <v>0.27372212694371556</v>
      </c>
      <c r="T285"/>
      <c r="U285" s="3"/>
      <c r="V285" s="3"/>
      <c r="W285" s="3"/>
      <c r="X285" s="3"/>
      <c r="Y285" s="1"/>
      <c r="Z285" s="2292"/>
    </row>
    <row r="286" spans="1:26">
      <c r="A286"/>
      <c r="B286"/>
      <c r="C286"/>
      <c r="D286"/>
      <c r="E286"/>
      <c r="F286"/>
      <c r="G286"/>
      <c r="H286"/>
      <c r="I286"/>
      <c r="J286"/>
      <c r="K286"/>
      <c r="L286" s="1"/>
      <c r="M286" s="2682"/>
      <c r="N286" s="3"/>
      <c r="O286" s="1352" t="s">
        <v>1072</v>
      </c>
      <c r="P286" s="1352"/>
      <c r="Q286" s="1353">
        <f>Q284-Q285</f>
        <v>0.19172400073166329</v>
      </c>
      <c r="R286" s="1353">
        <f>R284-R285</f>
        <v>0.16598725469206194</v>
      </c>
      <c r="S286" s="1353">
        <f>S284-S285</f>
        <v>0.13045971666351652</v>
      </c>
      <c r="T286"/>
      <c r="U286" s="3"/>
      <c r="V286" s="3"/>
      <c r="W286" s="3"/>
      <c r="X286" s="3"/>
      <c r="Y286" s="1"/>
      <c r="Z286" s="2292"/>
    </row>
    <row r="287" spans="1:26">
      <c r="A287"/>
      <c r="B287"/>
      <c r="C287"/>
      <c r="D287"/>
      <c r="E287"/>
      <c r="F287"/>
      <c r="G287"/>
      <c r="H287"/>
      <c r="I287"/>
      <c r="J287"/>
      <c r="K287"/>
      <c r="L287" s="1"/>
      <c r="M287" s="2682"/>
      <c r="N287" s="3"/>
      <c r="O287" s="1346" t="s">
        <v>1056</v>
      </c>
      <c r="P287" s="1346"/>
      <c r="Q287" s="1347">
        <f>CALCULATIONS!I38</f>
        <v>0.17126973935781939</v>
      </c>
      <c r="R287" s="1347">
        <f>Ranking!D34</f>
        <v>0.18732178997255614</v>
      </c>
      <c r="S287" s="1347">
        <f>Ranking!H34</f>
        <v>0.20595894468600945</v>
      </c>
      <c r="T287"/>
      <c r="U287" s="3"/>
      <c r="V287" s="3"/>
      <c r="W287" s="3"/>
      <c r="X287" s="3"/>
      <c r="Y287" s="1"/>
      <c r="Z287" s="2292"/>
    </row>
    <row r="288" spans="1:26">
      <c r="A288"/>
      <c r="B288"/>
      <c r="C288"/>
      <c r="D288"/>
      <c r="E288"/>
      <c r="F288"/>
      <c r="G288"/>
      <c r="H288"/>
      <c r="I288"/>
      <c r="J288"/>
      <c r="K288"/>
      <c r="L288" s="1"/>
      <c r="M288" s="2682"/>
      <c r="N288" s="3"/>
      <c r="O288" s="1346" t="s">
        <v>1057</v>
      </c>
      <c r="P288" s="1346"/>
      <c r="Q288" s="1354">
        <f>CALCULATIONS!I39</f>
        <v>1.3812469748063693E-2</v>
      </c>
      <c r="R288" s="1355">
        <f>Ranking!D35</f>
        <v>1.5803004793204335E-2</v>
      </c>
      <c r="S288" s="1355">
        <f>Ranking!H35</f>
        <v>1.5429580741219064E-2</v>
      </c>
      <c r="T288"/>
      <c r="U288" s="3"/>
      <c r="V288" s="3"/>
      <c r="W288" s="3"/>
      <c r="X288" s="3"/>
      <c r="Y288" s="1"/>
      <c r="Z288" s="2292"/>
    </row>
    <row r="289" spans="1:34">
      <c r="A289"/>
      <c r="B289"/>
      <c r="C289"/>
      <c r="D289"/>
      <c r="E289"/>
      <c r="F289"/>
      <c r="G289"/>
      <c r="H289"/>
      <c r="I289"/>
      <c r="J289"/>
      <c r="K289"/>
      <c r="L289" s="1"/>
      <c r="M289" s="2561"/>
      <c r="N289" s="3"/>
      <c r="O289"/>
      <c r="P289"/>
      <c r="Q289"/>
      <c r="R289"/>
      <c r="S289"/>
      <c r="T289"/>
      <c r="U289" s="3"/>
      <c r="V289" s="3"/>
      <c r="W289" s="3"/>
      <c r="X289" s="3"/>
      <c r="Y289" s="1"/>
      <c r="Z289" s="2292"/>
    </row>
    <row r="290" spans="1:34">
      <c r="A290"/>
      <c r="B290"/>
      <c r="C290"/>
      <c r="D290"/>
      <c r="E290"/>
      <c r="F290"/>
      <c r="G290"/>
      <c r="H290"/>
      <c r="I290"/>
      <c r="J290"/>
      <c r="K290"/>
      <c r="L290" s="3"/>
      <c r="M290" s="2561"/>
      <c r="N290" s="3"/>
      <c r="O290"/>
      <c r="P290"/>
      <c r="Q290"/>
      <c r="R290"/>
      <c r="S290"/>
      <c r="T290"/>
      <c r="U290"/>
      <c r="V290"/>
      <c r="W290"/>
      <c r="X290" s="1"/>
      <c r="Y290" s="1"/>
      <c r="Z290" s="2292"/>
      <c r="AH290" s="2298"/>
    </row>
    <row r="291" spans="1:34">
      <c r="A291"/>
      <c r="B291"/>
      <c r="C291"/>
      <c r="D291"/>
      <c r="E291"/>
      <c r="F291"/>
      <c r="G291"/>
      <c r="H291"/>
      <c r="I291"/>
      <c r="J291"/>
      <c r="K291"/>
      <c r="L291" s="1"/>
      <c r="M291" s="2954" t="s">
        <v>2049</v>
      </c>
      <c r="N291" s="3"/>
      <c r="O291" s="1344" t="s">
        <v>1700</v>
      </c>
      <c r="P291" s="3"/>
      <c r="Q291" s="1343"/>
      <c r="R291" s="1343"/>
      <c r="S291" s="1343"/>
      <c r="T291"/>
      <c r="U291"/>
      <c r="V291"/>
      <c r="W291"/>
      <c r="X291" s="1"/>
      <c r="Y291" s="1"/>
      <c r="Z291" s="2292"/>
    </row>
    <row r="292" spans="1:34">
      <c r="A292"/>
      <c r="B292"/>
      <c r="C292"/>
      <c r="D292"/>
      <c r="E292"/>
      <c r="F292"/>
      <c r="G292"/>
      <c r="H292"/>
      <c r="I292"/>
      <c r="J292"/>
      <c r="K292"/>
      <c r="L292" s="1"/>
      <c r="M292" s="2892"/>
      <c r="N292" s="3"/>
      <c r="O292" s="1343"/>
      <c r="P292" s="1343"/>
      <c r="Q292" s="1343"/>
      <c r="R292" s="1343"/>
      <c r="S292" s="1343"/>
      <c r="T292"/>
      <c r="U292"/>
      <c r="V292"/>
      <c r="W292"/>
      <c r="X292" s="1"/>
      <c r="Y292" s="1"/>
      <c r="Z292" s="2292"/>
    </row>
    <row r="293" spans="1:34">
      <c r="A293"/>
      <c r="B293"/>
      <c r="C293"/>
      <c r="D293"/>
      <c r="E293"/>
      <c r="F293"/>
      <c r="G293"/>
      <c r="H293"/>
      <c r="I293"/>
      <c r="J293"/>
      <c r="K293"/>
      <c r="L293" s="1"/>
      <c r="M293" s="2682"/>
      <c r="N293" s="3"/>
      <c r="O293" s="2144" t="s">
        <v>752</v>
      </c>
      <c r="P293" s="2145">
        <f>Ranking!K116</f>
        <v>8.5213348378460623</v>
      </c>
      <c r="Q293"/>
      <c r="R293" s="644" t="s">
        <v>39</v>
      </c>
      <c r="S293" s="1388">
        <f>Ranking!K124</f>
        <v>6.1343182706324946</v>
      </c>
      <c r="T293"/>
      <c r="U293" s="2144" t="s">
        <v>750</v>
      </c>
      <c r="V293" s="2145">
        <f>Ranking!K130</f>
        <v>4.7469851722287064</v>
      </c>
      <c r="W293"/>
      <c r="X293" s="1"/>
      <c r="Y293" s="1"/>
      <c r="Z293" s="2292"/>
    </row>
    <row r="294" spans="1:34">
      <c r="A294"/>
      <c r="B294"/>
      <c r="C294"/>
      <c r="D294"/>
      <c r="E294"/>
      <c r="F294"/>
      <c r="G294"/>
      <c r="H294"/>
      <c r="I294"/>
      <c r="J294"/>
      <c r="K294"/>
      <c r="L294" s="1"/>
      <c r="M294" s="2682"/>
      <c r="N294" s="3"/>
      <c r="O294" s="644" t="s">
        <v>285</v>
      </c>
      <c r="P294" s="1388">
        <f>Ranking!K117</f>
        <v>7.8090133066846761</v>
      </c>
      <c r="Q294"/>
      <c r="R294" s="644" t="s">
        <v>279</v>
      </c>
      <c r="S294" s="1388">
        <f>Ranking!K125</f>
        <v>5.7229254321128114</v>
      </c>
      <c r="T294"/>
      <c r="U294" s="644" t="s">
        <v>286</v>
      </c>
      <c r="V294" s="1388">
        <f>Ranking!K131</f>
        <v>4.913128503955539</v>
      </c>
      <c r="W294"/>
      <c r="X294" s="1"/>
      <c r="Y294" s="1"/>
      <c r="Z294" s="2292"/>
    </row>
    <row r="295" spans="1:34">
      <c r="A295"/>
      <c r="B295"/>
      <c r="C295"/>
      <c r="D295"/>
      <c r="E295"/>
      <c r="F295"/>
      <c r="G295"/>
      <c r="H295"/>
      <c r="I295"/>
      <c r="J295"/>
      <c r="K295"/>
      <c r="L295" s="1"/>
      <c r="M295" s="2682"/>
      <c r="N295" s="3"/>
      <c r="O295" s="644" t="s">
        <v>282</v>
      </c>
      <c r="P295" s="1388">
        <f>Ranking!K118</f>
        <v>7.5628972253366413</v>
      </c>
      <c r="Q295"/>
      <c r="R295" s="224" t="s">
        <v>1036</v>
      </c>
      <c r="S295" s="2146">
        <f>Ranking!K4</f>
        <v>5.7260094819520324</v>
      </c>
      <c r="T295"/>
      <c r="U295" s="644" t="s">
        <v>50</v>
      </c>
      <c r="V295" s="1388">
        <f>Ranking!K132</f>
        <v>4.7123747267525307</v>
      </c>
      <c r="W295"/>
      <c r="X295" s="1"/>
      <c r="Y295" s="1"/>
      <c r="Z295" s="2292"/>
    </row>
    <row r="296" spans="1:34">
      <c r="A296"/>
      <c r="B296"/>
      <c r="C296"/>
      <c r="D296"/>
      <c r="E296"/>
      <c r="F296"/>
      <c r="G296"/>
      <c r="H296"/>
      <c r="I296"/>
      <c r="J296"/>
      <c r="K296"/>
      <c r="L296" s="1"/>
      <c r="M296" s="2682"/>
      <c r="N296" s="3"/>
      <c r="O296" s="644" t="s">
        <v>277</v>
      </c>
      <c r="P296" s="1388">
        <f>Ranking!K119</f>
        <v>7.534246564629953</v>
      </c>
      <c r="Q296"/>
      <c r="R296" s="644" t="s">
        <v>53</v>
      </c>
      <c r="S296" s="1388">
        <f>Ranking!K126</f>
        <v>5.7304428558288603</v>
      </c>
      <c r="T296"/>
      <c r="U296" s="644" t="s">
        <v>284</v>
      </c>
      <c r="V296" s="1388">
        <f>Ranking!K133</f>
        <v>4.6475023511824993</v>
      </c>
      <c r="W296"/>
      <c r="X296" s="1"/>
      <c r="Y296" s="1"/>
      <c r="Z296" s="2292"/>
    </row>
    <row r="297" spans="1:34">
      <c r="A297"/>
      <c r="B297"/>
      <c r="C297"/>
      <c r="D297"/>
      <c r="E297"/>
      <c r="F297"/>
      <c r="G297"/>
      <c r="H297"/>
      <c r="I297"/>
      <c r="J297"/>
      <c r="K297"/>
      <c r="L297" s="1"/>
      <c r="M297" s="2682"/>
      <c r="N297" s="3"/>
      <c r="O297" s="644" t="s">
        <v>288</v>
      </c>
      <c r="P297" s="1388">
        <f>Ranking!K120</f>
        <v>6.7450557383311427</v>
      </c>
      <c r="Q297"/>
      <c r="R297" s="2147" t="s">
        <v>1063</v>
      </c>
      <c r="S297" s="2148">
        <f>Ranking!K5</f>
        <v>5.3787450104472683</v>
      </c>
      <c r="T297"/>
      <c r="U297" s="644" t="s">
        <v>276</v>
      </c>
      <c r="V297" s="1388">
        <f>Ranking!K134</f>
        <v>4.4246190982470868</v>
      </c>
      <c r="W297"/>
      <c r="X297" s="1"/>
      <c r="Y297" s="1"/>
      <c r="Z297" s="2292"/>
    </row>
    <row r="298" spans="1:34">
      <c r="A298"/>
      <c r="B298"/>
      <c r="C298"/>
      <c r="D298"/>
      <c r="E298"/>
      <c r="F298"/>
      <c r="G298"/>
      <c r="H298"/>
      <c r="I298"/>
      <c r="J298"/>
      <c r="K298"/>
      <c r="L298" s="1"/>
      <c r="M298" s="2682"/>
      <c r="N298" s="3"/>
      <c r="O298" s="644" t="s">
        <v>283</v>
      </c>
      <c r="P298" s="1388">
        <f>Ranking!K121</f>
        <v>6.6917014692746157</v>
      </c>
      <c r="Q298"/>
      <c r="R298" s="644" t="s">
        <v>52</v>
      </c>
      <c r="S298" s="1388">
        <f>Ranking!K127</f>
        <v>4.9157277486128619</v>
      </c>
      <c r="T298"/>
      <c r="U298" s="644" t="s">
        <v>287</v>
      </c>
      <c r="V298" s="1388">
        <f>Ranking!K135</f>
        <v>4.3531629475873661</v>
      </c>
      <c r="W298"/>
      <c r="X298" s="1"/>
      <c r="Y298" s="1"/>
      <c r="Z298" s="2292"/>
    </row>
    <row r="299" spans="1:34">
      <c r="A299"/>
      <c r="B299"/>
      <c r="C299"/>
      <c r="D299"/>
      <c r="E299"/>
      <c r="F299"/>
      <c r="G299"/>
      <c r="H299"/>
      <c r="I299"/>
      <c r="J299"/>
      <c r="K299"/>
      <c r="L299" s="1"/>
      <c r="M299" s="2682"/>
      <c r="N299" s="3"/>
      <c r="O299" s="644" t="s">
        <v>280</v>
      </c>
      <c r="P299" s="1388">
        <f>Ranking!K122</f>
        <v>6.5589809256196414</v>
      </c>
      <c r="Q299"/>
      <c r="R299" s="2144" t="s">
        <v>751</v>
      </c>
      <c r="S299" s="2145">
        <f>Ranking!K128</f>
        <v>4.988018554669714</v>
      </c>
      <c r="T299"/>
      <c r="U299" s="644" t="s">
        <v>353</v>
      </c>
      <c r="V299" s="1388">
        <f>Ranking!K136</f>
        <v>4.0370208841188875</v>
      </c>
      <c r="W299"/>
      <c r="X299" s="1"/>
      <c r="Y299" s="1"/>
      <c r="Z299" s="2292"/>
    </row>
    <row r="300" spans="1:34">
      <c r="A300"/>
      <c r="B300"/>
      <c r="C300"/>
      <c r="D300"/>
      <c r="E300"/>
      <c r="F300"/>
      <c r="G300"/>
      <c r="H300"/>
      <c r="I300"/>
      <c r="J300"/>
      <c r="K300"/>
      <c r="L300" s="1"/>
      <c r="M300" s="2682"/>
      <c r="N300" s="3"/>
      <c r="O300" s="644" t="s">
        <v>54</v>
      </c>
      <c r="P300" s="1388">
        <f>Ranking!K123</f>
        <v>6.3422811159545107</v>
      </c>
      <c r="Q300"/>
      <c r="R300" s="644" t="s">
        <v>44</v>
      </c>
      <c r="S300" s="1388">
        <f>Ranking!K129</f>
        <v>5.0345645887817243</v>
      </c>
      <c r="T300"/>
      <c r="U300" s="644" t="s">
        <v>42</v>
      </c>
      <c r="V300" s="1388">
        <f>Ranking!K137</f>
        <v>3.8459062845563983</v>
      </c>
      <c r="W300"/>
      <c r="X300" s="1"/>
      <c r="Y300" s="1"/>
      <c r="Z300" s="2292"/>
    </row>
    <row r="301" spans="1:34">
      <c r="A301"/>
      <c r="B301"/>
      <c r="C301"/>
      <c r="D301"/>
      <c r="E301"/>
      <c r="F301"/>
      <c r="G301"/>
      <c r="H301"/>
      <c r="I301"/>
      <c r="J301"/>
      <c r="K301"/>
      <c r="L301" s="1"/>
      <c r="M301" s="2561"/>
      <c r="N301" s="3"/>
      <c r="O301"/>
      <c r="P301"/>
      <c r="Q301"/>
      <c r="R301"/>
      <c r="S301"/>
      <c r="T301"/>
      <c r="U301"/>
      <c r="V301"/>
      <c r="W301"/>
      <c r="X301" s="1"/>
      <c r="Y301" s="1"/>
      <c r="Z301" s="2292"/>
    </row>
    <row r="302" spans="1:34">
      <c r="A302"/>
      <c r="B302"/>
      <c r="C302"/>
      <c r="D302"/>
      <c r="E302"/>
      <c r="F302"/>
      <c r="G302"/>
      <c r="H302"/>
      <c r="I302"/>
      <c r="J302"/>
      <c r="K302"/>
      <c r="L302" s="1"/>
      <c r="M302" s="2292"/>
      <c r="N302" s="1"/>
      <c r="O302" s="1"/>
      <c r="P302" s="1"/>
      <c r="Q302" s="1"/>
      <c r="R302" s="1"/>
      <c r="S302" s="1"/>
      <c r="T302" s="1"/>
      <c r="U302" s="1"/>
      <c r="V302" s="1"/>
      <c r="W302" s="1"/>
      <c r="X302" s="1"/>
      <c r="Y302" s="1"/>
      <c r="Z302" s="2292"/>
    </row>
    <row r="303" spans="1:34">
      <c r="A303" s="975" t="s">
        <v>2008</v>
      </c>
      <c r="B303" s="975"/>
      <c r="C303" s="1"/>
      <c r="D303" s="983" t="s">
        <v>2010</v>
      </c>
      <c r="E303"/>
      <c r="F303"/>
      <c r="G303"/>
      <c r="H303"/>
      <c r="I303"/>
      <c r="J303"/>
      <c r="K303"/>
      <c r="L303" s="1"/>
      <c r="M303" s="2292"/>
      <c r="N303" s="2292"/>
      <c r="O303" s="2292"/>
      <c r="P303" s="2292"/>
      <c r="Q303" s="2292"/>
      <c r="R303" s="2292"/>
      <c r="S303" s="2292"/>
      <c r="T303" s="2292"/>
      <c r="U303" s="2292"/>
      <c r="V303" s="2292"/>
      <c r="W303" s="2292"/>
      <c r="X303" s="2561"/>
      <c r="Y303" s="2292"/>
      <c r="Z303" s="2292"/>
    </row>
    <row r="304" spans="1:34">
      <c r="A304"/>
      <c r="B304"/>
      <c r="C304" s="3"/>
      <c r="D304"/>
      <c r="E304"/>
      <c r="F304"/>
      <c r="G304"/>
      <c r="H304"/>
      <c r="I304"/>
      <c r="J304"/>
      <c r="K304"/>
      <c r="L304" s="1"/>
      <c r="M304" s="2292"/>
      <c r="N304" s="2292"/>
      <c r="O304" s="2292"/>
      <c r="P304" s="2292"/>
      <c r="Q304" s="2292"/>
      <c r="R304" s="2292"/>
      <c r="S304" s="2292"/>
      <c r="T304" s="2292"/>
      <c r="U304" s="2292"/>
      <c r="V304" s="2292"/>
      <c r="W304" s="2292"/>
      <c r="X304" s="2561"/>
      <c r="Y304" s="2292"/>
      <c r="Z304" s="2292"/>
    </row>
    <row r="305" spans="1:26">
      <c r="A305"/>
      <c r="B305"/>
      <c r="C305" s="3"/>
      <c r="D305"/>
      <c r="E305" s="2138" t="s">
        <v>1696</v>
      </c>
      <c r="F305" s="2138" t="s">
        <v>1037</v>
      </c>
      <c r="G305" s="2138" t="s">
        <v>758</v>
      </c>
      <c r="H305" s="2138" t="s">
        <v>1173</v>
      </c>
      <c r="I305" s="1857" t="s">
        <v>1125</v>
      </c>
      <c r="J305"/>
      <c r="K305"/>
      <c r="L305" s="1"/>
      <c r="M305" s="2292"/>
      <c r="N305" s="2292"/>
      <c r="O305" s="2292"/>
      <c r="P305" s="2292"/>
      <c r="Q305" s="2292"/>
      <c r="R305" s="2292"/>
      <c r="S305" s="2292"/>
      <c r="T305" s="2292"/>
      <c r="U305" s="2292"/>
      <c r="V305" s="2292"/>
      <c r="W305" s="2292"/>
      <c r="X305" s="2561"/>
      <c r="Y305" s="2292"/>
      <c r="Z305" s="2292"/>
    </row>
    <row r="306" spans="1:26" ht="13.5" thickBot="1">
      <c r="A306"/>
      <c r="B306"/>
      <c r="C306" s="3"/>
      <c r="D306" s="2941"/>
      <c r="E306" s="2706" t="s">
        <v>1697</v>
      </c>
      <c r="F306" s="2942">
        <f>PROFILES!E311</f>
        <v>0.6</v>
      </c>
      <c r="G306" s="2942">
        <f>PROFILES!F311</f>
        <v>0.3</v>
      </c>
      <c r="H306" s="2942">
        <f>PROFILES!D311</f>
        <v>0.10000000000000009</v>
      </c>
      <c r="I306" s="2706" t="s">
        <v>301</v>
      </c>
      <c r="J306"/>
      <c r="K306"/>
      <c r="L306" s="1"/>
      <c r="M306" s="2292"/>
      <c r="N306" s="2292"/>
      <c r="O306" s="2292"/>
      <c r="P306" s="2292"/>
      <c r="Q306" s="2292"/>
      <c r="R306" s="2292"/>
      <c r="S306" s="2292"/>
      <c r="T306" s="2292"/>
      <c r="U306" s="2292"/>
      <c r="V306" s="2292"/>
      <c r="W306" s="2292"/>
      <c r="X306" s="2561"/>
      <c r="Y306" s="2292"/>
      <c r="Z306" s="2292"/>
    </row>
    <row r="307" spans="1:26">
      <c r="A307"/>
      <c r="B307"/>
      <c r="C307" s="3"/>
      <c r="D307" s="2937" t="s">
        <v>20</v>
      </c>
      <c r="E307" s="2938" t="s">
        <v>750</v>
      </c>
      <c r="F307" s="2939">
        <f>VLOOKUP($E307,PROFILES!$V$313:$AA$325,5,FALSE)</f>
        <v>0</v>
      </c>
      <c r="G307" s="2939">
        <f>VLOOKUP($E307,PROFILES!$V$313:$AA$325,3,FALSE)</f>
        <v>0</v>
      </c>
      <c r="H307" s="2939">
        <f>VLOOKUP($E307,PROFILES!$V$313:$AA$325,4,FALSE)</f>
        <v>0</v>
      </c>
      <c r="I307" s="2940">
        <f>VLOOKUP($E307,PROFILES!$V$313:$AA$325,6,FALSE)</f>
        <v>0</v>
      </c>
      <c r="J307"/>
      <c r="K307"/>
      <c r="L307" s="1"/>
      <c r="M307" s="2292"/>
      <c r="N307" s="2292"/>
      <c r="O307" s="2292"/>
      <c r="P307" s="2292"/>
      <c r="Q307" s="2292"/>
      <c r="R307" s="2292"/>
      <c r="S307" s="2292"/>
      <c r="T307" s="2292"/>
      <c r="U307" s="2292"/>
      <c r="V307" s="2292"/>
      <c r="W307" s="2292"/>
      <c r="X307" s="2561"/>
      <c r="Y307" s="2292"/>
      <c r="Z307" s="2292"/>
    </row>
    <row r="308" spans="1:26">
      <c r="A308"/>
      <c r="B308"/>
      <c r="C308" s="3"/>
      <c r="D308" s="2140" t="s">
        <v>75</v>
      </c>
      <c r="E308" s="2139" t="s">
        <v>287</v>
      </c>
      <c r="F308" s="1154">
        <f>VLOOKUP($E308,PROFILES!$V$313:$AA$325,5,FALSE)</f>
        <v>9.0468064114072932E-2</v>
      </c>
      <c r="G308" s="1154">
        <f>VLOOKUP($E308,PROFILES!$V$313:$AA$325,3,FALSE)</f>
        <v>0.13809426705764616</v>
      </c>
      <c r="H308" s="1154">
        <f>VLOOKUP($E308,PROFILES!$V$313:$AA$325,4,FALSE)</f>
        <v>0.66277436939896339</v>
      </c>
      <c r="I308" s="1153">
        <f>VLOOKUP($E308,PROFILES!$V$313:$AA$325,6,FALSE)</f>
        <v>0.23357798874509716</v>
      </c>
      <c r="J308"/>
      <c r="K308"/>
      <c r="L308" s="1"/>
      <c r="M308" s="2292"/>
      <c r="N308" s="2292"/>
      <c r="O308" s="2292"/>
      <c r="P308" s="2292"/>
      <c r="Q308" s="2292"/>
      <c r="R308" s="2292"/>
      <c r="S308" s="2292"/>
      <c r="T308" s="2292"/>
      <c r="U308" s="2292"/>
      <c r="V308" s="2292"/>
      <c r="W308" s="2292"/>
      <c r="X308" s="2561"/>
      <c r="Y308" s="2292"/>
      <c r="Z308" s="2292"/>
    </row>
    <row r="309" spans="1:26">
      <c r="A309"/>
      <c r="B309"/>
      <c r="C309" s="3"/>
      <c r="D309" s="2140" t="s">
        <v>22</v>
      </c>
      <c r="E309" s="2139" t="s">
        <v>39</v>
      </c>
      <c r="F309" s="1154">
        <f>VLOOKUP($E309,PROFILES!$V$313:$AA$325,5,FALSE)</f>
        <v>0.2922556207927729</v>
      </c>
      <c r="G309" s="1154">
        <f>VLOOKUP($E309,PROFILES!$V$313:$AA$325,3,FALSE)</f>
        <v>0.19654676495545154</v>
      </c>
      <c r="H309" s="1154">
        <f>VLOOKUP($E309,PROFILES!$V$313:$AA$325,4,FALSE)</f>
        <v>0.50546175482671596</v>
      </c>
      <c r="I309" s="1153">
        <f>VLOOKUP($E309,PROFILES!$V$313:$AA$325,6,FALSE)</f>
        <v>0.29729843009099094</v>
      </c>
      <c r="J309"/>
      <c r="K309"/>
      <c r="L309" s="1"/>
      <c r="M309" s="2292"/>
      <c r="N309" s="2292"/>
      <c r="O309" s="2292"/>
      <c r="P309" s="2292"/>
      <c r="Q309" s="2292"/>
      <c r="R309" s="2292"/>
      <c r="S309" s="2292"/>
      <c r="T309" s="2292"/>
      <c r="U309" s="2292"/>
      <c r="V309" s="2292"/>
      <c r="W309" s="2292"/>
      <c r="X309" s="2561"/>
      <c r="Y309" s="2292"/>
      <c r="Z309" s="2292"/>
    </row>
    <row r="310" spans="1:26">
      <c r="A310" s="146"/>
      <c r="B310" s="1"/>
      <c r="C310" s="3"/>
      <c r="D310" s="2140" t="s">
        <v>25</v>
      </c>
      <c r="E310" s="2139" t="s">
        <v>284</v>
      </c>
      <c r="F310" s="1154">
        <f>VLOOKUP($E310,PROFILES!$V$313:$AA$325,5,FALSE)</f>
        <v>2.1405652655752894E-2</v>
      </c>
      <c r="G310" s="1154">
        <f>VLOOKUP($E310,PROFILES!$V$313:$AA$325,3,FALSE)</f>
        <v>7.5997406695701653E-2</v>
      </c>
      <c r="H310" s="1154">
        <f>VLOOKUP($E310,PROFILES!$V$313:$AA$325,4,FALSE)</f>
        <v>1.0476179959843281</v>
      </c>
      <c r="I310" s="1153">
        <f>VLOOKUP($E310,PROFILES!$V$313:$AA$325,6,FALSE)</f>
        <v>0.33430218287910546</v>
      </c>
      <c r="J310"/>
      <c r="K310"/>
      <c r="L310" s="1"/>
      <c r="M310" s="2292"/>
      <c r="N310" s="2292"/>
      <c r="O310" s="2292"/>
      <c r="P310" s="2292"/>
      <c r="Q310" s="2292"/>
      <c r="R310" s="2292"/>
      <c r="S310" s="2292"/>
      <c r="T310" s="2292"/>
      <c r="U310" s="2292"/>
      <c r="V310" s="2292"/>
      <c r="W310" s="2292"/>
      <c r="X310" s="2561"/>
      <c r="Y310" s="2292"/>
      <c r="Z310" s="2292"/>
    </row>
    <row r="311" spans="1:26">
      <c r="A311"/>
      <c r="B311"/>
      <c r="C311" s="3"/>
      <c r="D311" s="162" t="s">
        <v>27</v>
      </c>
      <c r="E311" s="74" t="s">
        <v>54</v>
      </c>
      <c r="F311" s="1154">
        <f>VLOOKUP($E311,PROFILES!$V$313:$AA$325,5,FALSE)</f>
        <v>0.33606507832777033</v>
      </c>
      <c r="G311" s="1154">
        <f>VLOOKUP($E311,PROFILES!$V$313:$AA$325,3,FALSE)</f>
        <v>0.30415591270312636</v>
      </c>
      <c r="H311" s="1154">
        <f>VLOOKUP($E311,PROFILES!$V$313:$AA$325,4,FALSE)</f>
        <v>0.60520016949053801</v>
      </c>
      <c r="I311" s="1153">
        <f>VLOOKUP($E311,PROFILES!$V$313:$AA$325,6,FALSE)</f>
        <v>0.36351590392676003</v>
      </c>
      <c r="J311"/>
      <c r="K311"/>
      <c r="L311" s="1"/>
      <c r="M311" s="2292"/>
      <c r="N311" s="2292"/>
      <c r="O311" s="2292"/>
      <c r="P311" s="2292"/>
      <c r="Q311" s="2292"/>
      <c r="R311" s="2292"/>
      <c r="S311" s="2292"/>
      <c r="T311" s="2292"/>
      <c r="U311" s="2292"/>
      <c r="V311" s="2292"/>
      <c r="W311" s="2292"/>
      <c r="X311" s="2561"/>
      <c r="Y311" s="2292"/>
      <c r="Z311" s="2292"/>
    </row>
    <row r="312" spans="1:26">
      <c r="A312"/>
      <c r="B312"/>
      <c r="C312" s="3"/>
      <c r="D312" s="2140" t="s">
        <v>26</v>
      </c>
      <c r="E312" s="2139" t="s">
        <v>44</v>
      </c>
      <c r="F312" s="1154">
        <f>VLOOKUP($E312,PROFILES!$V$313:$AA$325,5,FALSE)</f>
        <v>6.0581486168409304E-2</v>
      </c>
      <c r="G312" s="1154">
        <f>VLOOKUP($E312,PROFILES!$V$313:$AA$325,3,FALSE)</f>
        <v>0.56225895968577411</v>
      </c>
      <c r="H312" s="1154">
        <f>VLOOKUP($E312,PROFILES!$V$313:$AA$325,4,FALSE)</f>
        <v>0.60622860791614341</v>
      </c>
      <c r="I312" s="1153">
        <f>VLOOKUP($E312,PROFILES!$V$313:$AA$325,6,FALSE)</f>
        <v>0.36577851728812222</v>
      </c>
      <c r="J312"/>
      <c r="K312"/>
      <c r="L312" s="1"/>
      <c r="M312" s="2292"/>
      <c r="N312" s="2292"/>
      <c r="O312" s="2292"/>
      <c r="P312" s="2292"/>
      <c r="Q312" s="2292"/>
      <c r="R312" s="2292"/>
      <c r="S312" s="2292"/>
      <c r="T312" s="2292"/>
      <c r="U312" s="2292"/>
      <c r="V312" s="2292"/>
      <c r="W312" s="2292"/>
      <c r="X312" s="2561"/>
      <c r="Y312" s="2292"/>
      <c r="Z312" s="2292"/>
    </row>
    <row r="313" spans="1:26">
      <c r="A313"/>
      <c r="B313"/>
      <c r="C313" s="3"/>
      <c r="D313" s="2140" t="s">
        <v>30</v>
      </c>
      <c r="E313" s="2139" t="s">
        <v>288</v>
      </c>
      <c r="F313" s="1154">
        <f>VLOOKUP($E313,PROFILES!$V$313:$AA$325,5,FALSE)</f>
        <v>0.42091358906949017</v>
      </c>
      <c r="G313" s="1154">
        <f>VLOOKUP($E313,PROFILES!$V$313:$AA$325,3,FALSE)</f>
        <v>0.13931062823311224</v>
      </c>
      <c r="H313" s="1154">
        <f>VLOOKUP($E313,PROFILES!$V$313:$AA$325,4,FALSE)</f>
        <v>1.1335218503180777</v>
      </c>
      <c r="I313" s="1153">
        <f>VLOOKUP($E313,PROFILES!$V$313:$AA$325,6,FALSE)</f>
        <v>0.49052050266475006</v>
      </c>
      <c r="J313"/>
      <c r="K313"/>
      <c r="L313" s="1"/>
      <c r="M313" s="2292"/>
      <c r="N313" s="2292"/>
      <c r="O313" s="2292"/>
      <c r="P313" s="2292"/>
      <c r="Q313" s="2292"/>
      <c r="R313" s="2292"/>
      <c r="S313" s="2292"/>
      <c r="T313" s="2292"/>
      <c r="U313" s="2292"/>
      <c r="V313" s="2292"/>
      <c r="W313" s="2292"/>
      <c r="X313" s="2561"/>
      <c r="Y313" s="2292"/>
      <c r="Z313" s="2292"/>
    </row>
    <row r="314" spans="1:26">
      <c r="A314"/>
      <c r="B314"/>
      <c r="C314" s="3"/>
      <c r="D314" s="2140" t="s">
        <v>21</v>
      </c>
      <c r="E314" s="2139" t="s">
        <v>276</v>
      </c>
      <c r="F314" s="1154">
        <f>VLOOKUP($E314,PROFILES!$V$313:$AA$325,5,FALSE)</f>
        <v>7.2857361690033873E-2</v>
      </c>
      <c r="G314" s="1154">
        <f>VLOOKUP($E314,PROFILES!$V$313:$AA$325,3,FALSE)</f>
        <v>0.63919462404474303</v>
      </c>
      <c r="H314" s="1154">
        <f>VLOOKUP($E314,PROFILES!$V$313:$AA$325,4,FALSE)</f>
        <v>1.1492084940153529</v>
      </c>
      <c r="I314" s="1153">
        <f>VLOOKUP($E314,PROFILES!$V$313:$AA$325,6,FALSE)</f>
        <v>0.50776359025187423</v>
      </c>
      <c r="J314"/>
      <c r="K314"/>
      <c r="L314" s="1"/>
      <c r="M314" s="2292"/>
      <c r="N314" s="2292"/>
      <c r="O314" s="2292"/>
      <c r="P314" s="2292"/>
      <c r="Q314" s="2292"/>
      <c r="R314" s="2292"/>
      <c r="S314" s="2292"/>
      <c r="T314" s="2292"/>
      <c r="U314" s="2292"/>
      <c r="V314" s="2292"/>
      <c r="W314" s="2292"/>
      <c r="X314" s="2561"/>
      <c r="Y314" s="2292"/>
      <c r="Z314" s="2292"/>
    </row>
    <row r="315" spans="1:26">
      <c r="A315"/>
      <c r="B315"/>
      <c r="C315" s="3"/>
      <c r="D315" s="644" t="s">
        <v>24</v>
      </c>
      <c r="E315" s="644" t="s">
        <v>42</v>
      </c>
      <c r="F315" s="1388">
        <f>VLOOKUP($E315,PROFILES!$V$313:$AA$325,5,FALSE)</f>
        <v>0.23429559146843393</v>
      </c>
      <c r="G315" s="1388">
        <f>VLOOKUP($E315,PROFILES!$V$313:$AA$325,3,FALSE)</f>
        <v>0.51574762188165768</v>
      </c>
      <c r="H315" s="1388">
        <f>VLOOKUP($E315,PROFILES!$V$313:$AA$325,4,FALSE)</f>
        <v>2.1312485338335492</v>
      </c>
      <c r="I315" s="1388">
        <f>VLOOKUP($E315,PROFILES!$V$313:$AA$325,6,FALSE)</f>
        <v>0.75296571545367674</v>
      </c>
      <c r="J315"/>
      <c r="K315"/>
      <c r="L315" s="1"/>
      <c r="M315" s="2292"/>
      <c r="N315" s="2292"/>
      <c r="O315" s="2292"/>
      <c r="P315" s="2292"/>
      <c r="Q315" s="2292"/>
      <c r="R315" s="2292"/>
      <c r="S315" s="2292"/>
      <c r="T315" s="2292"/>
      <c r="U315" s="2292"/>
      <c r="V315" s="2292"/>
      <c r="W315" s="2292"/>
      <c r="X315" s="2561"/>
      <c r="Y315" s="2292"/>
      <c r="Z315" s="2292"/>
    </row>
    <row r="316" spans="1:26">
      <c r="A316"/>
      <c r="B316"/>
      <c r="C316" s="3"/>
      <c r="D316" s="2141" t="s">
        <v>73</v>
      </c>
      <c r="E316" s="644" t="s">
        <v>283</v>
      </c>
      <c r="F316" s="1388">
        <f>VLOOKUP($E316,PROFILES!$V$313:$AA$325,5,FALSE)</f>
        <v>0.40967397758541257</v>
      </c>
      <c r="G316" s="1388">
        <f>VLOOKUP($E316,PROFILES!$V$313:$AA$325,3,FALSE)</f>
        <v>0.68621464743781102</v>
      </c>
      <c r="H316" s="1388">
        <f>VLOOKUP($E316,PROFILES!$V$313:$AA$325,4,FALSE)</f>
        <v>2.0943929130963586</v>
      </c>
      <c r="I316" s="1388">
        <f>VLOOKUP($E316,PROFILES!$V$313:$AA$325,6,FALSE)</f>
        <v>0.82499393385447206</v>
      </c>
      <c r="J316"/>
      <c r="K316"/>
      <c r="L316" s="1"/>
      <c r="M316" s="2292"/>
      <c r="N316" s="2292"/>
      <c r="O316" s="2292"/>
      <c r="P316" s="2292"/>
      <c r="Q316" s="2292"/>
      <c r="R316" s="2292"/>
      <c r="S316" s="2292"/>
      <c r="T316" s="2292"/>
      <c r="U316" s="2292"/>
      <c r="V316" s="2292"/>
      <c r="W316" s="2292"/>
      <c r="X316" s="2561"/>
      <c r="Y316" s="2292"/>
      <c r="Z316" s="2292"/>
    </row>
    <row r="317" spans="1:26">
      <c r="A317"/>
      <c r="B317"/>
      <c r="C317" s="3"/>
      <c r="D317" s="644" t="s">
        <v>19</v>
      </c>
      <c r="E317" s="644" t="s">
        <v>286</v>
      </c>
      <c r="F317" s="1388">
        <f>VLOOKUP($E317,PROFILES!$V$313:$AA$325,5,FALSE)</f>
        <v>-3.3816199106754707E-2</v>
      </c>
      <c r="G317" s="1388">
        <f>VLOOKUP($E317,PROFILES!$V$313:$AA$325,3,FALSE)</f>
        <v>0.63465383920340357</v>
      </c>
      <c r="H317" s="1388">
        <f>VLOOKUP($E317,PROFILES!$V$313:$AA$325,4,FALSE)</f>
        <v>3.092853292601391</v>
      </c>
      <c r="I317" s="1388">
        <f>VLOOKUP($E317,PROFILES!$V$313:$AA$325,6,FALSE)</f>
        <v>1.0383139789261386</v>
      </c>
      <c r="J317"/>
      <c r="K317"/>
      <c r="L317" s="1"/>
      <c r="M317" s="2292"/>
      <c r="N317" s="2292"/>
      <c r="O317" s="2292"/>
      <c r="P317" s="2292"/>
      <c r="Q317" s="2292"/>
      <c r="R317" s="2292"/>
      <c r="S317" s="2292"/>
      <c r="T317" s="2292"/>
      <c r="U317" s="2292"/>
      <c r="V317" s="2292"/>
      <c r="W317" s="2292"/>
      <c r="X317" s="2561"/>
      <c r="Y317" s="2292"/>
      <c r="Z317" s="2292"/>
    </row>
    <row r="318" spans="1:26">
      <c r="A318"/>
      <c r="B318"/>
      <c r="C318" s="3"/>
      <c r="D318" s="644" t="s">
        <v>23</v>
      </c>
      <c r="E318" s="644" t="s">
        <v>52</v>
      </c>
      <c r="F318" s="1388">
        <f>VLOOKUP($E318,PROFILES!$V$313:$AA$325,5,FALSE)</f>
        <v>3.5547314824438514E-2</v>
      </c>
      <c r="G318" s="1388">
        <f>VLOOKUP($E318,PROFILES!$V$313:$AA$325,3,FALSE)</f>
        <v>0.6416086421211582</v>
      </c>
      <c r="H318" s="1388">
        <f>VLOOKUP($E318,PROFILES!$V$313:$AA$325,4,FALSE)</f>
        <v>4.31251358385515</v>
      </c>
      <c r="I318" s="1388">
        <f>VLOOKUP($E318,PROFILES!$V$313:$AA$325,6,FALSE)</f>
        <v>1.4085574191141887</v>
      </c>
      <c r="J318"/>
      <c r="K318"/>
      <c r="L318" s="1"/>
      <c r="M318" s="2292"/>
      <c r="N318" s="2292"/>
      <c r="O318" s="2292"/>
      <c r="P318" s="2292"/>
      <c r="Q318" s="2292"/>
      <c r="R318" s="2292"/>
      <c r="S318" s="2292"/>
      <c r="T318" s="2292"/>
      <c r="U318" s="2292"/>
      <c r="V318" s="2292"/>
      <c r="W318" s="2292"/>
      <c r="X318" s="2561"/>
      <c r="Y318" s="2292"/>
      <c r="Z318" s="2292"/>
    </row>
    <row r="319" spans="1:26">
      <c r="A319"/>
      <c r="B319"/>
      <c r="C319" s="3"/>
      <c r="D319" s="644" t="s">
        <v>28</v>
      </c>
      <c r="E319" s="644" t="s">
        <v>53</v>
      </c>
      <c r="F319" s="1388">
        <f>VLOOKUP($E319,PROFILES!$V$313:$AA$325,5,FALSE)</f>
        <v>0.20717521709435238</v>
      </c>
      <c r="G319" s="1388">
        <f>VLOOKUP($E319,PROFILES!$V$313:$AA$325,3,FALSE)</f>
        <v>0.6574521785018268</v>
      </c>
      <c r="H319" s="1388">
        <f>VLOOKUP($E319,PROFILES!$V$313:$AA$325,4,FALSE)</f>
        <v>6.8820513286509115</v>
      </c>
      <c r="I319" s="1388">
        <f>VLOOKUP($E319,PROFILES!$V$313:$AA$325,6,FALSE)</f>
        <v>2.2117163022120345</v>
      </c>
      <c r="J319"/>
      <c r="K319"/>
      <c r="L319" s="1"/>
      <c r="M319" s="2292"/>
      <c r="N319" s="2292"/>
      <c r="O319" s="2292"/>
      <c r="P319" s="2292"/>
      <c r="Q319" s="2292"/>
      <c r="R319" s="2292"/>
      <c r="S319" s="2292"/>
      <c r="T319" s="2292"/>
      <c r="U319" s="2292"/>
      <c r="V319" s="2292"/>
      <c r="W319" s="2292"/>
      <c r="X319" s="2561"/>
      <c r="Y319" s="2292"/>
      <c r="Z319" s="2292"/>
    </row>
    <row r="320" spans="1:26">
      <c r="A320"/>
      <c r="B320"/>
      <c r="C320"/>
      <c r="D320"/>
      <c r="E320"/>
      <c r="F320"/>
      <c r="G320"/>
      <c r="H320"/>
      <c r="I320"/>
      <c r="J320"/>
      <c r="K320"/>
      <c r="L320" s="1"/>
      <c r="M320" s="2292"/>
      <c r="N320" s="2292"/>
      <c r="O320" s="2292"/>
      <c r="P320" s="2292"/>
      <c r="Q320" s="2292"/>
      <c r="R320" s="2292"/>
      <c r="S320" s="2292"/>
      <c r="T320" s="2292"/>
      <c r="U320" s="2292"/>
      <c r="V320" s="2292"/>
      <c r="W320" s="2292"/>
      <c r="X320" s="2561"/>
      <c r="Y320" s="2292"/>
      <c r="Z320" s="2292"/>
    </row>
    <row r="321" spans="1:26">
      <c r="A321" s="2894"/>
      <c r="B321" s="2894"/>
      <c r="C321" s="2894"/>
      <c r="D321" s="2894"/>
      <c r="E321" s="2894"/>
      <c r="F321" s="2894"/>
      <c r="G321" s="2894"/>
      <c r="H321" s="2894"/>
      <c r="I321" s="2894"/>
      <c r="J321" s="2894"/>
      <c r="K321" s="2894"/>
      <c r="L321" s="1"/>
      <c r="M321" s="2292"/>
      <c r="N321" s="2292"/>
      <c r="O321" s="2292"/>
      <c r="P321" s="2292"/>
      <c r="Q321" s="2292"/>
      <c r="R321" s="2292"/>
      <c r="S321" s="2292"/>
      <c r="T321" s="2292"/>
      <c r="U321" s="2292"/>
      <c r="V321" s="2292"/>
      <c r="W321" s="2292"/>
      <c r="X321" s="2561"/>
      <c r="Y321" s="2292"/>
      <c r="Z321" s="2292"/>
    </row>
    <row r="322" spans="1:26">
      <c r="A322" s="975" t="s">
        <v>2011</v>
      </c>
      <c r="B322" s="975"/>
      <c r="C322" s="2894"/>
      <c r="D322" s="2894"/>
      <c r="E322" s="2894"/>
      <c r="F322" s="2894"/>
      <c r="G322" s="2894"/>
      <c r="H322" s="2894"/>
      <c r="I322" s="2894"/>
      <c r="J322" s="2894"/>
      <c r="K322" s="2894"/>
      <c r="L322" s="1"/>
      <c r="M322" s="2292"/>
      <c r="N322" s="2292"/>
      <c r="O322" s="2292"/>
      <c r="P322" s="2292"/>
      <c r="Q322" s="2292"/>
      <c r="R322" s="2292"/>
      <c r="S322" s="2292"/>
      <c r="T322" s="2292"/>
      <c r="U322" s="2292"/>
      <c r="V322" s="2292"/>
      <c r="W322" s="2292"/>
      <c r="X322" s="2561"/>
      <c r="Y322" s="2292"/>
      <c r="Z322" s="2292"/>
    </row>
    <row r="323" spans="1:26">
      <c r="A323"/>
      <c r="B323"/>
      <c r="C323"/>
      <c r="D323"/>
      <c r="E323"/>
      <c r="F323"/>
      <c r="G323"/>
      <c r="H323"/>
      <c r="I323"/>
      <c r="J323"/>
      <c r="K323"/>
      <c r="L323" s="1"/>
      <c r="M323" s="2292"/>
      <c r="N323" s="2342"/>
      <c r="O323" s="2292"/>
      <c r="P323" s="2292"/>
      <c r="Q323" s="2292"/>
      <c r="R323" s="2292"/>
      <c r="S323" s="2292"/>
      <c r="T323" s="2292"/>
      <c r="U323" s="2292"/>
      <c r="V323" s="2292"/>
      <c r="W323" s="2292"/>
      <c r="X323" s="2561"/>
      <c r="Y323" s="2292"/>
      <c r="Z323" s="2292"/>
    </row>
    <row r="324" spans="1:26">
      <c r="A324" s="2914" t="s">
        <v>2041</v>
      </c>
      <c r="B324" s="2914"/>
      <c r="C324"/>
      <c r="D324" s="983" t="s">
        <v>2013</v>
      </c>
      <c r="E324"/>
      <c r="F324"/>
      <c r="G324"/>
      <c r="H324"/>
      <c r="I324"/>
      <c r="J324"/>
      <c r="K324"/>
      <c r="L324" s="1"/>
      <c r="M324" s="2292"/>
      <c r="O324" s="2292"/>
      <c r="P324" s="2292"/>
      <c r="Q324" s="2292"/>
      <c r="R324" s="2292"/>
      <c r="S324" s="2292"/>
      <c r="T324" s="2292"/>
      <c r="U324" s="2292"/>
      <c r="V324" s="2292"/>
      <c r="W324" s="2292"/>
      <c r="X324" s="2561"/>
      <c r="Y324" s="2292"/>
      <c r="Z324" s="2292"/>
    </row>
    <row r="325" spans="1:26">
      <c r="A325" s="2559"/>
      <c r="B325" s="2559"/>
      <c r="C325"/>
      <c r="D325"/>
      <c r="E325"/>
      <c r="F325"/>
      <c r="G325"/>
      <c r="H325"/>
      <c r="I325"/>
      <c r="J325"/>
      <c r="K325"/>
      <c r="L325" s="1"/>
      <c r="M325" s="2561"/>
      <c r="N325"/>
      <c r="O325"/>
      <c r="P325"/>
      <c r="Q325"/>
      <c r="R325"/>
      <c r="S325"/>
      <c r="T325"/>
      <c r="U325"/>
      <c r="V325"/>
      <c r="W325"/>
      <c r="X325" s="1"/>
      <c r="Y325" s="1"/>
      <c r="Z325" s="2292"/>
    </row>
    <row r="326" spans="1:26">
      <c r="A326" s="2559"/>
      <c r="B326" s="2559"/>
      <c r="C326"/>
      <c r="D326"/>
      <c r="E326"/>
      <c r="F326"/>
      <c r="G326"/>
      <c r="H326"/>
      <c r="I326"/>
      <c r="J326"/>
      <c r="K326"/>
      <c r="L326" s="1"/>
      <c r="M326" s="2886" t="s">
        <v>2015</v>
      </c>
      <c r="N326"/>
      <c r="O326"/>
      <c r="P326"/>
      <c r="Q326"/>
      <c r="R326"/>
      <c r="S326"/>
      <c r="T326"/>
      <c r="U326"/>
      <c r="V326"/>
      <c r="W326"/>
      <c r="X326" s="1"/>
      <c r="Y326" s="1"/>
      <c r="Z326" s="2292"/>
    </row>
    <row r="327" spans="1:26">
      <c r="A327" s="2559"/>
      <c r="B327" s="2559"/>
      <c r="C327"/>
      <c r="D327"/>
      <c r="E327"/>
      <c r="F327"/>
      <c r="G327"/>
      <c r="H327"/>
      <c r="I327"/>
      <c r="J327"/>
      <c r="K327"/>
      <c r="L327" s="1"/>
      <c r="M327" s="2561"/>
      <c r="N327"/>
      <c r="O327"/>
      <c r="P327"/>
      <c r="Q327"/>
      <c r="R327"/>
      <c r="S327"/>
      <c r="T327"/>
      <c r="U327"/>
      <c r="V327"/>
      <c r="W327"/>
      <c r="X327" s="1"/>
      <c r="Y327" s="1"/>
      <c r="Z327" s="2292"/>
    </row>
    <row r="328" spans="1:26">
      <c r="A328" s="2559"/>
      <c r="B328" s="2559"/>
      <c r="C328"/>
      <c r="D328"/>
      <c r="E328"/>
      <c r="F328"/>
      <c r="G328"/>
      <c r="H328"/>
      <c r="I328"/>
      <c r="J328"/>
      <c r="K328"/>
      <c r="L328" s="1"/>
      <c r="M328" s="2561"/>
      <c r="N328"/>
      <c r="O328"/>
      <c r="P328"/>
      <c r="Q328"/>
      <c r="R328"/>
      <c r="S328"/>
      <c r="T328"/>
      <c r="U328"/>
      <c r="V328"/>
      <c r="W328"/>
      <c r="X328" s="1"/>
      <c r="Y328" s="1"/>
      <c r="Z328" s="2292"/>
    </row>
    <row r="329" spans="1:26">
      <c r="A329" s="2559"/>
      <c r="B329" s="2559"/>
      <c r="C329"/>
      <c r="D329"/>
      <c r="E329"/>
      <c r="F329"/>
      <c r="G329"/>
      <c r="H329"/>
      <c r="I329"/>
      <c r="J329"/>
      <c r="K329"/>
      <c r="L329" s="1"/>
      <c r="M329" s="2561"/>
      <c r="N329"/>
      <c r="O329"/>
      <c r="P329"/>
      <c r="Q329"/>
      <c r="R329"/>
      <c r="S329"/>
      <c r="T329"/>
      <c r="U329"/>
      <c r="V329"/>
      <c r="W329"/>
      <c r="X329" s="1"/>
      <c r="Y329" s="1"/>
      <c r="Z329" s="2292"/>
    </row>
    <row r="330" spans="1:26">
      <c r="A330" s="2559"/>
      <c r="B330" s="2559"/>
      <c r="C330"/>
      <c r="D330"/>
      <c r="E330"/>
      <c r="F330"/>
      <c r="G330"/>
      <c r="H330"/>
      <c r="I330"/>
      <c r="J330"/>
      <c r="K330"/>
      <c r="L330" s="1"/>
      <c r="M330" s="2561"/>
      <c r="N330"/>
      <c r="O330"/>
      <c r="P330"/>
      <c r="Q330"/>
      <c r="R330"/>
      <c r="S330"/>
      <c r="T330"/>
      <c r="U330"/>
      <c r="V330"/>
      <c r="W330"/>
      <c r="X330" s="1"/>
      <c r="Y330" s="1"/>
      <c r="Z330" s="2292"/>
    </row>
    <row r="331" spans="1:26">
      <c r="A331" s="2559"/>
      <c r="B331" s="2559"/>
      <c r="C331"/>
      <c r="D331"/>
      <c r="E331"/>
      <c r="F331"/>
      <c r="G331"/>
      <c r="H331"/>
      <c r="I331"/>
      <c r="J331"/>
      <c r="K331"/>
      <c r="L331" s="1"/>
      <c r="M331" s="2561"/>
      <c r="N331"/>
      <c r="O331"/>
      <c r="P331"/>
      <c r="Q331"/>
      <c r="R331"/>
      <c r="S331"/>
      <c r="T331"/>
      <c r="U331"/>
      <c r="V331"/>
      <c r="W331"/>
      <c r="X331" s="1"/>
      <c r="Y331" s="1"/>
      <c r="Z331" s="2292"/>
    </row>
    <row r="332" spans="1:26">
      <c r="A332" s="2559"/>
      <c r="B332" s="2559"/>
      <c r="C332"/>
      <c r="D332"/>
      <c r="E332"/>
      <c r="F332"/>
      <c r="G332"/>
      <c r="H332"/>
      <c r="I332"/>
      <c r="J332"/>
      <c r="K332"/>
      <c r="L332" s="1"/>
      <c r="M332" s="2561"/>
      <c r="N332"/>
      <c r="O332"/>
      <c r="P332"/>
      <c r="Q332"/>
      <c r="R332"/>
      <c r="S332"/>
      <c r="T332"/>
      <c r="U332"/>
      <c r="V332"/>
      <c r="W332"/>
      <c r="X332" s="1"/>
      <c r="Y332" s="1"/>
      <c r="Z332" s="2292"/>
    </row>
    <row r="333" spans="1:26">
      <c r="A333" s="2559"/>
      <c r="B333" s="2559"/>
      <c r="C333"/>
      <c r="D333"/>
      <c r="E333"/>
      <c r="F333"/>
      <c r="G333"/>
      <c r="H333"/>
      <c r="I333"/>
      <c r="J333"/>
      <c r="K333"/>
      <c r="L333" s="1"/>
      <c r="M333" s="2561"/>
      <c r="N333"/>
      <c r="O333"/>
      <c r="P333"/>
      <c r="Q333"/>
      <c r="R333"/>
      <c r="S333"/>
      <c r="T333"/>
      <c r="U333"/>
      <c r="V333"/>
      <c r="W333"/>
      <c r="X333" s="1"/>
      <c r="Y333" s="1"/>
      <c r="Z333" s="2292"/>
    </row>
    <row r="334" spans="1:26">
      <c r="A334" s="2559"/>
      <c r="B334" s="2559"/>
      <c r="C334"/>
      <c r="D334"/>
      <c r="E334"/>
      <c r="F334"/>
      <c r="G334"/>
      <c r="H334"/>
      <c r="I334"/>
      <c r="J334"/>
      <c r="K334"/>
      <c r="L334" s="1"/>
      <c r="M334" s="2561"/>
      <c r="N334"/>
      <c r="O334"/>
      <c r="P334"/>
      <c r="Q334"/>
      <c r="R334"/>
      <c r="S334"/>
      <c r="T334"/>
      <c r="U334"/>
      <c r="V334"/>
      <c r="W334"/>
      <c r="X334" s="1"/>
      <c r="Y334" s="1"/>
      <c r="Z334" s="2292"/>
    </row>
    <row r="335" spans="1:26">
      <c r="A335" s="2559"/>
      <c r="B335" s="2559"/>
      <c r="C335"/>
      <c r="D335"/>
      <c r="E335"/>
      <c r="F335"/>
      <c r="G335"/>
      <c r="H335"/>
      <c r="I335"/>
      <c r="J335"/>
      <c r="K335"/>
      <c r="L335" s="1"/>
      <c r="M335" s="2561"/>
      <c r="N335"/>
      <c r="O335"/>
      <c r="P335"/>
      <c r="Q335"/>
      <c r="R335"/>
      <c r="S335"/>
      <c r="T335"/>
      <c r="U335"/>
      <c r="V335"/>
      <c r="W335"/>
      <c r="X335" s="1"/>
      <c r="Y335" s="1"/>
      <c r="Z335" s="2292"/>
    </row>
    <row r="336" spans="1:26">
      <c r="A336" s="2559"/>
      <c r="B336" s="2559"/>
      <c r="C336"/>
      <c r="D336"/>
      <c r="E336"/>
      <c r="F336"/>
      <c r="G336"/>
      <c r="H336"/>
      <c r="I336"/>
      <c r="J336"/>
      <c r="K336"/>
      <c r="L336" s="1"/>
      <c r="M336" s="2561"/>
      <c r="N336"/>
      <c r="O336"/>
      <c r="P336"/>
      <c r="Q336"/>
      <c r="R336"/>
      <c r="S336"/>
      <c r="T336"/>
      <c r="U336"/>
      <c r="V336"/>
      <c r="W336"/>
      <c r="X336" s="1"/>
      <c r="Y336" s="1"/>
      <c r="Z336" s="2292"/>
    </row>
    <row r="337" spans="1:26">
      <c r="A337" s="2559"/>
      <c r="B337" s="2559"/>
      <c r="C337"/>
      <c r="D337"/>
      <c r="E337"/>
      <c r="F337"/>
      <c r="G337"/>
      <c r="H337"/>
      <c r="I337"/>
      <c r="J337"/>
      <c r="K337"/>
      <c r="L337" s="1"/>
      <c r="M337" s="2561"/>
      <c r="N337"/>
      <c r="O337"/>
      <c r="P337"/>
      <c r="Q337"/>
      <c r="R337"/>
      <c r="S337"/>
      <c r="T337"/>
      <c r="U337"/>
      <c r="V337"/>
      <c r="W337"/>
      <c r="X337" s="1"/>
      <c r="Y337" s="1"/>
      <c r="Z337" s="2292"/>
    </row>
    <row r="338" spans="1:26">
      <c r="A338" s="2559"/>
      <c r="B338" s="2559"/>
      <c r="C338"/>
      <c r="D338"/>
      <c r="E338"/>
      <c r="F338"/>
      <c r="G338"/>
      <c r="H338"/>
      <c r="I338"/>
      <c r="J338"/>
      <c r="K338"/>
      <c r="L338" s="1"/>
      <c r="M338" s="2561"/>
      <c r="N338"/>
      <c r="O338"/>
      <c r="P338"/>
      <c r="Q338"/>
      <c r="R338"/>
      <c r="S338"/>
      <c r="T338"/>
      <c r="U338"/>
      <c r="V338"/>
      <c r="W338"/>
      <c r="X338" s="1"/>
      <c r="Y338" s="1"/>
      <c r="Z338" s="2292"/>
    </row>
    <row r="339" spans="1:26">
      <c r="A339" s="2559"/>
      <c r="B339" s="2559"/>
      <c r="C339"/>
      <c r="D339"/>
      <c r="E339"/>
      <c r="F339"/>
      <c r="G339"/>
      <c r="H339"/>
      <c r="I339"/>
      <c r="J339"/>
      <c r="K339"/>
      <c r="L339" s="1"/>
      <c r="M339" s="2561"/>
      <c r="N339"/>
      <c r="O339"/>
      <c r="P339"/>
      <c r="Q339"/>
      <c r="R339"/>
      <c r="S339"/>
      <c r="T339"/>
      <c r="U339"/>
      <c r="V339"/>
      <c r="W339"/>
      <c r="X339" s="1"/>
      <c r="Y339" s="1"/>
      <c r="Z339" s="2292"/>
    </row>
    <row r="340" spans="1:26">
      <c r="A340" s="2559"/>
      <c r="B340" s="2559"/>
      <c r="C340"/>
      <c r="D340"/>
      <c r="E340"/>
      <c r="F340"/>
      <c r="G340"/>
      <c r="H340"/>
      <c r="I340"/>
      <c r="J340"/>
      <c r="K340"/>
      <c r="L340" s="1"/>
      <c r="M340" s="2561"/>
      <c r="N340"/>
      <c r="O340"/>
      <c r="P340"/>
      <c r="Q340"/>
      <c r="R340"/>
      <c r="S340"/>
      <c r="T340"/>
      <c r="U340"/>
      <c r="V340"/>
      <c r="W340"/>
      <c r="X340" s="1"/>
      <c r="Y340" s="1"/>
      <c r="Z340" s="2292"/>
    </row>
    <row r="341" spans="1:26">
      <c r="A341" s="2559"/>
      <c r="B341" s="2559"/>
      <c r="C341"/>
      <c r="D341"/>
      <c r="E341"/>
      <c r="F341"/>
      <c r="G341"/>
      <c r="H341"/>
      <c r="I341"/>
      <c r="J341"/>
      <c r="K341"/>
      <c r="L341" s="1"/>
      <c r="M341" s="2561"/>
      <c r="N341"/>
      <c r="O341"/>
      <c r="P341"/>
      <c r="Q341"/>
      <c r="R341"/>
      <c r="S341"/>
      <c r="T341"/>
      <c r="U341"/>
      <c r="V341"/>
      <c r="W341"/>
      <c r="X341" s="1"/>
      <c r="Y341" s="1"/>
      <c r="Z341" s="2292"/>
    </row>
    <row r="342" spans="1:26">
      <c r="A342" s="146"/>
      <c r="B342" s="146"/>
      <c r="C342"/>
      <c r="D342"/>
      <c r="E342"/>
      <c r="F342"/>
      <c r="G342"/>
      <c r="H342"/>
      <c r="I342"/>
      <c r="J342"/>
      <c r="K342"/>
      <c r="L342"/>
      <c r="M342" s="2561"/>
      <c r="N342"/>
      <c r="O342"/>
      <c r="P342"/>
      <c r="Q342"/>
      <c r="R342"/>
      <c r="S342"/>
      <c r="T342"/>
      <c r="U342"/>
      <c r="V342"/>
      <c r="W342"/>
      <c r="X342" s="1"/>
      <c r="Y342" s="1"/>
      <c r="Z342" s="2292"/>
    </row>
    <row r="343" spans="1:26">
      <c r="A343" s="2857"/>
      <c r="B343" s="2857"/>
      <c r="C343" s="2857"/>
      <c r="D343" s="983" t="s">
        <v>2021</v>
      </c>
      <c r="E343" s="2857"/>
      <c r="F343" s="2857"/>
      <c r="G343" s="2857"/>
      <c r="H343" s="2857"/>
      <c r="I343" s="2857"/>
      <c r="J343" s="2857"/>
      <c r="K343" s="2857"/>
      <c r="L343" s="2857"/>
      <c r="M343" s="2561"/>
      <c r="N343" s="2857"/>
      <c r="O343" s="2857"/>
      <c r="P343" s="2857"/>
      <c r="Q343" s="2857"/>
      <c r="R343" s="2857"/>
      <c r="S343" s="2857"/>
      <c r="T343" s="2857"/>
      <c r="U343" s="2857"/>
      <c r="V343" s="2857"/>
      <c r="W343" s="2857"/>
      <c r="X343" s="1"/>
      <c r="Y343" s="1"/>
      <c r="Z343" s="2292"/>
    </row>
    <row r="344" spans="1:26">
      <c r="A344" s="2857"/>
      <c r="B344" s="2857"/>
      <c r="C344" s="2857"/>
      <c r="D344" s="2857"/>
      <c r="E344" s="2857"/>
      <c r="F344" s="2857"/>
      <c r="G344" s="2857"/>
      <c r="H344" s="2857"/>
      <c r="I344" s="2857"/>
      <c r="J344" s="2857"/>
      <c r="K344" s="2857"/>
      <c r="L344" s="2857"/>
      <c r="M344" s="2561"/>
      <c r="N344" s="2857"/>
      <c r="O344" s="2857"/>
      <c r="P344" s="2857"/>
      <c r="Q344" s="2857"/>
      <c r="R344" s="2857"/>
      <c r="S344" s="2857"/>
      <c r="T344" s="2857"/>
      <c r="U344" s="2857"/>
      <c r="V344" s="2857"/>
      <c r="W344" s="2857"/>
      <c r="X344" s="1"/>
      <c r="Y344" s="1"/>
      <c r="Z344" s="2292"/>
    </row>
    <row r="345" spans="1:26">
      <c r="A345" s="2857"/>
      <c r="B345" s="2857"/>
      <c r="C345" s="2857"/>
      <c r="D345" s="2857"/>
      <c r="E345" s="2857"/>
      <c r="F345" s="2857"/>
      <c r="G345" s="2857"/>
      <c r="H345" s="2857"/>
      <c r="I345" s="2857"/>
      <c r="J345" s="2857"/>
      <c r="K345" s="2857"/>
      <c r="L345" s="2857"/>
      <c r="M345" s="2886" t="s">
        <v>2015</v>
      </c>
      <c r="N345" s="2857"/>
      <c r="O345" s="2857"/>
      <c r="P345" s="2857"/>
      <c r="Q345" s="2857"/>
      <c r="R345" s="2857"/>
      <c r="S345" s="2857"/>
      <c r="T345" s="2857"/>
      <c r="U345" s="2857"/>
      <c r="V345" s="2857"/>
      <c r="W345" s="2857"/>
      <c r="X345" s="1"/>
      <c r="Y345" s="1"/>
      <c r="Z345" s="2292"/>
    </row>
    <row r="346" spans="1:26">
      <c r="A346" s="2857"/>
      <c r="B346" s="2857"/>
      <c r="C346" s="2857"/>
      <c r="D346" s="2857"/>
      <c r="E346" s="2857"/>
      <c r="F346" s="2857"/>
      <c r="G346" s="2857"/>
      <c r="H346" s="2857"/>
      <c r="I346" s="2857"/>
      <c r="J346" s="2857"/>
      <c r="K346" s="2857"/>
      <c r="L346" s="2857"/>
      <c r="M346" s="2561"/>
      <c r="N346" s="2857"/>
      <c r="O346" s="2857"/>
      <c r="P346" s="2857"/>
      <c r="Q346" s="2857"/>
      <c r="R346" s="2857"/>
      <c r="S346" s="2857"/>
      <c r="T346" s="2857"/>
      <c r="U346" s="2857"/>
      <c r="V346" s="2857"/>
      <c r="W346" s="2857"/>
      <c r="X346" s="1"/>
      <c r="Y346" s="1"/>
      <c r="Z346" s="2292"/>
    </row>
    <row r="347" spans="1:26">
      <c r="A347" s="2857"/>
      <c r="B347" s="2857"/>
      <c r="C347" s="2857"/>
      <c r="D347" s="2857"/>
      <c r="E347" s="2857"/>
      <c r="F347" s="2857"/>
      <c r="G347" s="2857"/>
      <c r="H347" s="2857"/>
      <c r="I347" s="2857"/>
      <c r="J347" s="2857"/>
      <c r="K347" s="2857"/>
      <c r="L347" s="2857"/>
      <c r="M347" s="2561"/>
      <c r="N347" s="2857"/>
      <c r="O347" s="2857"/>
      <c r="P347" s="2857"/>
      <c r="Q347" s="2857"/>
      <c r="R347" s="2857"/>
      <c r="S347" s="2857"/>
      <c r="T347" s="2857"/>
      <c r="U347" s="2857"/>
      <c r="V347" s="2857"/>
      <c r="W347" s="2857"/>
      <c r="X347" s="1"/>
      <c r="Y347" s="1"/>
      <c r="Z347" s="2292"/>
    </row>
    <row r="348" spans="1:26">
      <c r="A348" s="2857"/>
      <c r="B348" s="2857"/>
      <c r="C348" s="2857"/>
      <c r="D348" s="2857"/>
      <c r="E348" s="2857"/>
      <c r="F348" s="2857"/>
      <c r="G348" s="2857"/>
      <c r="H348" s="2857"/>
      <c r="I348" s="2857"/>
      <c r="J348" s="2857"/>
      <c r="K348" s="2857"/>
      <c r="L348" s="2857"/>
      <c r="M348" s="2561"/>
      <c r="N348" s="2857"/>
      <c r="O348" s="2857"/>
      <c r="P348" s="2857"/>
      <c r="Q348" s="2857"/>
      <c r="R348" s="2857"/>
      <c r="S348" s="2857"/>
      <c r="T348" s="2857"/>
      <c r="U348" s="2857"/>
      <c r="V348" s="2857"/>
      <c r="W348" s="2857"/>
      <c r="X348" s="1"/>
      <c r="Y348" s="1"/>
      <c r="Z348" s="2292"/>
    </row>
    <row r="349" spans="1:26">
      <c r="A349" s="2857"/>
      <c r="B349" s="2857"/>
      <c r="C349" s="2857"/>
      <c r="D349" s="2857"/>
      <c r="E349" s="2857"/>
      <c r="F349" s="2857"/>
      <c r="G349" s="2857"/>
      <c r="H349" s="2857"/>
      <c r="I349" s="2857"/>
      <c r="J349" s="2857"/>
      <c r="K349" s="2857"/>
      <c r="L349" s="2857"/>
      <c r="M349" s="2561"/>
      <c r="N349" s="2857"/>
      <c r="O349" s="2857"/>
      <c r="P349" s="2857"/>
      <c r="Q349" s="2857"/>
      <c r="R349" s="2857"/>
      <c r="S349" s="2857"/>
      <c r="T349" s="2857"/>
      <c r="U349" s="2857"/>
      <c r="V349" s="2857"/>
      <c r="W349" s="2857"/>
      <c r="X349" s="1"/>
      <c r="Y349" s="1"/>
      <c r="Z349" s="2292"/>
    </row>
    <row r="350" spans="1:26">
      <c r="A350" s="2857"/>
      <c r="B350" s="2857"/>
      <c r="C350" s="2857"/>
      <c r="D350" s="2857"/>
      <c r="E350" s="2857"/>
      <c r="F350" s="2857"/>
      <c r="G350" s="2857"/>
      <c r="H350" s="2857"/>
      <c r="I350" s="2857"/>
      <c r="J350" s="2857"/>
      <c r="K350" s="2857"/>
      <c r="L350" s="2857"/>
      <c r="M350" s="2561"/>
      <c r="N350" s="2857"/>
      <c r="O350" s="2857"/>
      <c r="P350" s="2857"/>
      <c r="Q350" s="2857"/>
      <c r="R350" s="2857"/>
      <c r="S350" s="2857"/>
      <c r="T350" s="2857"/>
      <c r="U350" s="2857"/>
      <c r="V350" s="2857"/>
      <c r="W350" s="2857"/>
      <c r="X350" s="1"/>
      <c r="Y350" s="1"/>
      <c r="Z350" s="2292"/>
    </row>
    <row r="351" spans="1:26">
      <c r="A351" s="2857"/>
      <c r="B351" s="2857"/>
      <c r="C351" s="2857"/>
      <c r="D351" s="2857"/>
      <c r="E351" s="2857"/>
      <c r="F351" s="2857"/>
      <c r="G351" s="2857"/>
      <c r="H351" s="2857"/>
      <c r="I351" s="2857"/>
      <c r="J351" s="2857"/>
      <c r="K351" s="2857"/>
      <c r="L351" s="2857"/>
      <c r="M351" s="2561"/>
      <c r="N351" s="2857"/>
      <c r="O351" s="2857"/>
      <c r="P351" s="2857"/>
      <c r="Q351" s="2857"/>
      <c r="R351" s="2857"/>
      <c r="S351" s="2857"/>
      <c r="T351" s="2857"/>
      <c r="U351" s="2857"/>
      <c r="V351" s="2857"/>
      <c r="W351" s="2857"/>
      <c r="X351" s="1"/>
      <c r="Y351" s="1"/>
      <c r="Z351" s="2292"/>
    </row>
    <row r="352" spans="1:26">
      <c r="A352" s="2857"/>
      <c r="B352" s="2857"/>
      <c r="C352" s="2857"/>
      <c r="D352" s="2857"/>
      <c r="E352" s="2857"/>
      <c r="F352" s="2857"/>
      <c r="G352" s="2857"/>
      <c r="H352" s="2857"/>
      <c r="I352" s="2857"/>
      <c r="J352" s="2857"/>
      <c r="K352" s="2857"/>
      <c r="L352" s="2857"/>
      <c r="M352" s="2561"/>
      <c r="N352" s="2857"/>
      <c r="O352" s="2857"/>
      <c r="P352" s="2857"/>
      <c r="Q352" s="2857"/>
      <c r="R352" s="2857"/>
      <c r="S352" s="2857"/>
      <c r="T352" s="2857"/>
      <c r="U352" s="2857"/>
      <c r="V352" s="2857"/>
      <c r="W352" s="2857"/>
      <c r="X352" s="1"/>
      <c r="Y352" s="1"/>
      <c r="Z352" s="2292"/>
    </row>
    <row r="353" spans="1:26">
      <c r="A353" s="2857"/>
      <c r="B353" s="2857"/>
      <c r="C353" s="2857"/>
      <c r="D353" s="2857"/>
      <c r="E353" s="2857"/>
      <c r="F353" s="2857"/>
      <c r="G353" s="2857"/>
      <c r="H353" s="2857"/>
      <c r="I353" s="2857"/>
      <c r="J353" s="2857"/>
      <c r="K353" s="2857"/>
      <c r="L353" s="2857"/>
      <c r="M353" s="2561"/>
      <c r="N353" s="2857"/>
      <c r="O353" s="2857"/>
      <c r="P353" s="2857"/>
      <c r="Q353" s="2857"/>
      <c r="R353" s="2857"/>
      <c r="S353" s="2857"/>
      <c r="T353" s="2857"/>
      <c r="U353" s="2857"/>
      <c r="V353" s="2857"/>
      <c r="W353" s="2857"/>
      <c r="X353" s="1"/>
      <c r="Y353" s="1"/>
      <c r="Z353" s="2292"/>
    </row>
    <row r="354" spans="1:26">
      <c r="A354" s="2857"/>
      <c r="B354" s="2857"/>
      <c r="C354" s="2857"/>
      <c r="D354" s="2857"/>
      <c r="E354" s="2857"/>
      <c r="F354" s="2857"/>
      <c r="G354" s="2857"/>
      <c r="H354" s="2857"/>
      <c r="I354" s="2857"/>
      <c r="J354" s="2857"/>
      <c r="K354" s="2857"/>
      <c r="L354" s="2857"/>
      <c r="M354" s="2561"/>
      <c r="N354" s="2857"/>
      <c r="O354" s="2857"/>
      <c r="P354" s="2857"/>
      <c r="Q354" s="2857"/>
      <c r="R354" s="2857"/>
      <c r="S354" s="2857"/>
      <c r="T354" s="2857"/>
      <c r="U354" s="2857"/>
      <c r="V354" s="2857"/>
      <c r="W354" s="2857"/>
      <c r="X354" s="1"/>
      <c r="Y354" s="1"/>
      <c r="Z354" s="2292"/>
    </row>
    <row r="355" spans="1:26">
      <c r="A355" s="2857"/>
      <c r="B355" s="2857"/>
      <c r="C355" s="2857"/>
      <c r="D355" s="2857"/>
      <c r="E355" s="2857"/>
      <c r="F355" s="2857"/>
      <c r="G355" s="2857"/>
      <c r="H355" s="2857"/>
      <c r="I355" s="2857"/>
      <c r="J355" s="2857"/>
      <c r="K355" s="2857"/>
      <c r="L355" s="2857"/>
      <c r="M355" s="2561"/>
      <c r="N355" s="2857"/>
      <c r="O355" s="2857"/>
      <c r="P355" s="2857"/>
      <c r="Q355" s="2857"/>
      <c r="R355" s="2857"/>
      <c r="S355" s="2857"/>
      <c r="T355" s="2857"/>
      <c r="U355" s="2857"/>
      <c r="V355" s="2857"/>
      <c r="W355" s="2857"/>
      <c r="X355" s="1"/>
      <c r="Y355" s="1"/>
      <c r="Z355" s="2292"/>
    </row>
    <row r="356" spans="1:26">
      <c r="A356" s="2857"/>
      <c r="B356" s="2857"/>
      <c r="C356" s="2857"/>
      <c r="D356" s="2857"/>
      <c r="E356" s="2857"/>
      <c r="F356" s="2857"/>
      <c r="G356" s="2857"/>
      <c r="H356" s="2857"/>
      <c r="I356" s="2857"/>
      <c r="J356" s="2857"/>
      <c r="K356" s="2857"/>
      <c r="L356" s="2857"/>
      <c r="M356" s="2561"/>
      <c r="N356" s="2857"/>
      <c r="O356" s="2857"/>
      <c r="P356" s="2857"/>
      <c r="Q356" s="2857"/>
      <c r="R356" s="2857"/>
      <c r="S356" s="2857"/>
      <c r="T356" s="2857"/>
      <c r="U356" s="2857"/>
      <c r="V356" s="2857"/>
      <c r="W356" s="2857"/>
      <c r="X356" s="1"/>
      <c r="Y356" s="1"/>
      <c r="Z356" s="2292"/>
    </row>
    <row r="357" spans="1:26">
      <c r="A357" s="2857"/>
      <c r="B357" s="2857"/>
      <c r="C357" s="2857"/>
      <c r="D357" s="2857"/>
      <c r="E357" s="2857"/>
      <c r="F357" s="2857"/>
      <c r="G357" s="2857"/>
      <c r="H357" s="2857"/>
      <c r="I357" s="2857"/>
      <c r="J357" s="2857"/>
      <c r="K357" s="2857"/>
      <c r="L357" s="2857"/>
      <c r="M357" s="2561"/>
      <c r="N357" s="1"/>
      <c r="O357" s="1"/>
      <c r="P357" s="1"/>
      <c r="Q357" s="1"/>
      <c r="R357" s="1"/>
      <c r="S357" s="1"/>
      <c r="T357" s="1"/>
      <c r="U357" s="1"/>
      <c r="V357" s="1"/>
      <c r="W357" s="1"/>
      <c r="X357" s="1"/>
      <c r="Y357" s="1"/>
      <c r="Z357" s="2292"/>
    </row>
    <row r="358" spans="1:26">
      <c r="A358" s="2914" t="s">
        <v>2055</v>
      </c>
      <c r="B358" s="2914"/>
      <c r="C358" s="2857"/>
      <c r="D358" s="983" t="s">
        <v>2023</v>
      </c>
      <c r="E358" s="2857"/>
      <c r="F358" s="2857"/>
      <c r="G358" s="2857"/>
      <c r="H358" s="2857"/>
      <c r="I358" s="2857"/>
      <c r="J358" s="2857"/>
      <c r="K358" s="2857"/>
      <c r="L358" s="2857"/>
      <c r="M358" s="2561"/>
      <c r="N358" s="2561"/>
      <c r="O358" s="2561"/>
      <c r="P358" s="2561"/>
      <c r="Q358" s="2561"/>
      <c r="R358" s="2561"/>
      <c r="S358" s="2561"/>
      <c r="T358" s="2561"/>
      <c r="U358" s="2561"/>
      <c r="V358" s="2561"/>
      <c r="W358" s="2561"/>
      <c r="X358" s="2561"/>
      <c r="Y358" s="2561"/>
      <c r="Z358" s="2292"/>
    </row>
    <row r="359" spans="1:26">
      <c r="A359" s="2857"/>
      <c r="B359" s="2857"/>
      <c r="C359" s="2857"/>
      <c r="D359" s="2857"/>
      <c r="E359" s="2857"/>
      <c r="F359" s="2857"/>
      <c r="G359" s="2857"/>
      <c r="H359" s="2857"/>
      <c r="I359" s="2857"/>
      <c r="J359" s="2857"/>
      <c r="K359" s="2857"/>
      <c r="L359" s="2857"/>
      <c r="M359" s="2561"/>
      <c r="N359" s="2561"/>
      <c r="O359" s="2561"/>
      <c r="P359" s="2561"/>
      <c r="Q359" s="2561"/>
      <c r="R359" s="2561"/>
      <c r="S359" s="2561"/>
      <c r="T359" s="2561"/>
      <c r="U359" s="2561"/>
      <c r="V359" s="2561"/>
      <c r="W359" s="2561"/>
      <c r="X359" s="2561"/>
      <c r="Y359" s="2561"/>
      <c r="Z359" s="2292"/>
    </row>
    <row r="360" spans="1:26">
      <c r="A360" s="2857"/>
      <c r="B360" s="2857"/>
      <c r="C360" s="2857"/>
      <c r="D360" s="4519"/>
      <c r="E360" s="4519"/>
      <c r="F360" s="4519"/>
      <c r="G360" s="1777" t="s">
        <v>37</v>
      </c>
      <c r="H360" s="1777" t="s">
        <v>36</v>
      </c>
      <c r="I360" s="1777" t="s">
        <v>38</v>
      </c>
      <c r="J360" s="2857"/>
      <c r="K360" s="2857"/>
      <c r="L360" s="2857"/>
      <c r="M360" s="2561"/>
      <c r="N360" s="2561"/>
      <c r="O360" s="2561"/>
      <c r="P360" s="2561"/>
      <c r="Q360" s="2561"/>
      <c r="R360" s="2561"/>
      <c r="S360" s="2561"/>
      <c r="T360" s="2561"/>
      <c r="U360" s="2561"/>
      <c r="V360" s="2561"/>
      <c r="W360" s="2561"/>
      <c r="X360" s="2561"/>
      <c r="Y360" s="2561"/>
      <c r="Z360" s="2292"/>
    </row>
    <row r="361" spans="1:26">
      <c r="A361"/>
      <c r="B361"/>
      <c r="C361"/>
      <c r="D361" s="4523" t="s">
        <v>2024</v>
      </c>
      <c r="E361" s="4523"/>
      <c r="F361" s="4523"/>
      <c r="G361" s="15" t="str">
        <f>CONCATENATE(ROUND(PROFILES!F420,1),"x")</f>
        <v>5,5x</v>
      </c>
      <c r="H361" s="15" t="str">
        <f>CONCATENATE(ROUND(PROFILES!G420,1),"x")</f>
        <v>5,1x</v>
      </c>
      <c r="I361" s="15" t="str">
        <f>CONCATENATE(ROUND(PROFILES!E420,1),"x")</f>
        <v>9,2x</v>
      </c>
      <c r="J361"/>
      <c r="K361" s="77"/>
      <c r="L361"/>
      <c r="M361" s="2561"/>
      <c r="N361" s="2561"/>
      <c r="O361" s="2561"/>
      <c r="P361" s="2561"/>
      <c r="Q361" s="2561"/>
      <c r="R361" s="2561"/>
      <c r="S361" s="2561"/>
      <c r="T361" s="2561"/>
      <c r="U361" s="2561"/>
      <c r="V361" s="2561"/>
      <c r="W361" s="2561"/>
      <c r="X361" s="2561"/>
      <c r="Y361" s="2561"/>
      <c r="Z361" s="2292"/>
    </row>
    <row r="362" spans="1:26">
      <c r="A362" s="2875"/>
      <c r="B362" s="2875"/>
      <c r="C362" s="2875"/>
      <c r="D362" s="4510" t="s">
        <v>2025</v>
      </c>
      <c r="E362" s="4510"/>
      <c r="F362" s="4510"/>
      <c r="G362" s="2893" t="str">
        <f>CONCATENATE(ROUND(PROFILES!F404,1),"x")</f>
        <v>0x</v>
      </c>
      <c r="H362" s="2893" t="str">
        <f>CONCATENATE(ROUND(PROFILES!G404,1),"x")</f>
        <v>0,3x</v>
      </c>
      <c r="I362" s="2893" t="str">
        <f>CONCATENATE(PROFILES!E404,"x")</f>
        <v>0x</v>
      </c>
      <c r="J362" s="2875"/>
      <c r="K362" s="77"/>
      <c r="L362" s="2875"/>
      <c r="M362" s="2561"/>
      <c r="N362" s="2561"/>
      <c r="O362" s="2561"/>
      <c r="P362" s="2561"/>
      <c r="Q362" s="2561"/>
      <c r="R362" s="2561"/>
      <c r="S362" s="2561"/>
      <c r="T362" s="2561"/>
      <c r="U362" s="2561"/>
      <c r="V362" s="2561"/>
      <c r="W362" s="2561"/>
      <c r="X362" s="2561"/>
      <c r="Y362" s="2561"/>
      <c r="Z362" s="2292"/>
    </row>
    <row r="363" spans="1:26">
      <c r="A363" s="2875"/>
      <c r="B363" s="2875"/>
      <c r="C363" s="2875"/>
      <c r="D363" s="4522" t="s">
        <v>2026</v>
      </c>
      <c r="E363" s="4522"/>
      <c r="F363" s="4522"/>
      <c r="G363" s="1154" t="str">
        <f>CONCATENATE(ROUND(PROFILES!F423,1),"x")</f>
        <v>5,5x</v>
      </c>
      <c r="H363" s="1154" t="str">
        <f>CONCATENATE(ROUND(PROFILES!G423,1),"x")</f>
        <v>5,4x</v>
      </c>
      <c r="I363" s="1154" t="str">
        <f>CONCATENATE(ROUND(PROFILES!E420,1),"x")</f>
        <v>9,2x</v>
      </c>
      <c r="J363" s="2875"/>
      <c r="K363" s="77"/>
      <c r="L363" s="2875"/>
      <c r="M363" s="2561"/>
      <c r="N363" s="2561"/>
      <c r="O363" s="2561"/>
      <c r="P363" s="2561"/>
      <c r="Q363" s="2561"/>
      <c r="R363" s="2561"/>
      <c r="S363" s="2561"/>
      <c r="T363" s="2561"/>
      <c r="U363" s="2561"/>
      <c r="V363" s="2561"/>
      <c r="W363" s="2561"/>
      <c r="X363" s="2561"/>
      <c r="Y363" s="2561"/>
      <c r="Z363" s="2292"/>
    </row>
    <row r="364" spans="1:26">
      <c r="A364" s="2875"/>
      <c r="B364" s="2875"/>
      <c r="C364" s="2875"/>
      <c r="D364" s="2875"/>
      <c r="E364" s="2875"/>
      <c r="F364" s="2875"/>
      <c r="G364" s="2875"/>
      <c r="H364" s="2875"/>
      <c r="I364" s="2875"/>
      <c r="J364" s="2875"/>
      <c r="K364" s="77"/>
      <c r="L364" s="2875"/>
      <c r="M364" s="2561"/>
      <c r="N364" s="2561"/>
      <c r="O364" s="2561"/>
      <c r="P364" s="2561"/>
      <c r="Q364" s="2561"/>
      <c r="R364" s="2561"/>
      <c r="S364" s="2561"/>
      <c r="T364" s="2561"/>
      <c r="U364" s="2561"/>
      <c r="V364" s="2561"/>
      <c r="W364" s="2561"/>
      <c r="X364" s="2561"/>
      <c r="Y364" s="2561"/>
      <c r="Z364" s="2292"/>
    </row>
    <row r="365" spans="1:26">
      <c r="A365" s="2894"/>
      <c r="B365" s="2894"/>
      <c r="C365" s="2894"/>
      <c r="D365" s="2894"/>
      <c r="E365" s="2894"/>
      <c r="F365" s="2894"/>
      <c r="G365" s="2894"/>
      <c r="H365" s="2894"/>
      <c r="I365" s="2894"/>
      <c r="J365" s="2894"/>
      <c r="K365" s="77"/>
      <c r="L365" s="2894"/>
      <c r="M365" s="2561"/>
      <c r="N365" s="2561"/>
      <c r="O365" s="2561"/>
      <c r="P365" s="2561"/>
      <c r="Q365" s="2561"/>
      <c r="R365" s="2561"/>
      <c r="S365" s="2561"/>
      <c r="T365" s="2561"/>
      <c r="U365" s="2561"/>
      <c r="V365" s="2561"/>
      <c r="W365" s="2561"/>
      <c r="X365" s="2561"/>
      <c r="Y365" s="2561"/>
      <c r="Z365" s="2292"/>
    </row>
    <row r="366" spans="1:26">
      <c r="A366" s="2914" t="s">
        <v>2056</v>
      </c>
      <c r="B366" s="2914"/>
      <c r="C366" s="2875"/>
      <c r="D366" s="983" t="s">
        <v>2027</v>
      </c>
      <c r="E366" s="2875"/>
      <c r="F366" s="2875"/>
      <c r="G366" s="2875"/>
      <c r="H366" s="2875"/>
      <c r="I366" s="2875"/>
      <c r="J366" s="2875"/>
      <c r="K366" s="77"/>
      <c r="L366" s="2875"/>
      <c r="M366" s="2561"/>
      <c r="N366" s="2561"/>
      <c r="O366" s="2561"/>
      <c r="P366" s="2561"/>
      <c r="Q366" s="2561"/>
      <c r="R366" s="2561"/>
      <c r="S366" s="2561"/>
      <c r="T366" s="2561"/>
      <c r="U366" s="2561"/>
      <c r="V366" s="2561"/>
      <c r="W366" s="2561"/>
      <c r="X366" s="2561"/>
      <c r="Y366" s="2561"/>
      <c r="Z366" s="2292"/>
    </row>
    <row r="367" spans="1:26">
      <c r="A367" s="2875"/>
      <c r="B367" s="2875"/>
      <c r="C367" s="2875"/>
      <c r="D367" s="2875"/>
      <c r="E367" s="2875"/>
      <c r="F367" s="2875"/>
      <c r="G367" s="2875"/>
      <c r="H367" s="2875"/>
      <c r="I367" s="2875"/>
      <c r="J367" s="2875"/>
      <c r="K367" s="77"/>
      <c r="L367" s="2875"/>
      <c r="M367" s="2561"/>
      <c r="N367" s="2561"/>
      <c r="O367" s="2561"/>
      <c r="P367" s="2561"/>
      <c r="Q367" s="2561"/>
      <c r="R367" s="2561"/>
      <c r="S367" s="2561"/>
      <c r="T367" s="2561"/>
      <c r="U367" s="2561"/>
      <c r="V367" s="2561"/>
      <c r="W367" s="2561"/>
      <c r="X367" s="2561"/>
      <c r="Y367" s="2561"/>
      <c r="Z367" s="2292"/>
    </row>
    <row r="368" spans="1:26" ht="13.5" thickBot="1">
      <c r="A368" s="2875"/>
      <c r="B368" s="2875"/>
      <c r="C368" s="2875"/>
      <c r="D368" s="2930"/>
      <c r="E368" s="2926" t="s">
        <v>1196</v>
      </c>
      <c r="F368" s="2706" t="s">
        <v>38</v>
      </c>
      <c r="G368" s="2706" t="s">
        <v>37</v>
      </c>
      <c r="H368" s="2931" t="s">
        <v>36</v>
      </c>
      <c r="I368" s="2932" t="s">
        <v>770</v>
      </c>
      <c r="J368" s="2875"/>
      <c r="K368" s="77"/>
      <c r="L368" s="2875"/>
      <c r="M368" s="2561"/>
      <c r="N368" s="2561"/>
      <c r="O368" s="2561"/>
      <c r="P368" s="2561"/>
      <c r="Q368" s="2561"/>
      <c r="R368" s="2561"/>
      <c r="S368" s="2561"/>
      <c r="T368" s="2561"/>
      <c r="U368" s="2561"/>
      <c r="V368" s="2561"/>
      <c r="W368" s="2561"/>
      <c r="X368" s="2561"/>
      <c r="Y368" s="2561"/>
      <c r="Z368" s="2292"/>
    </row>
    <row r="369" spans="1:26" ht="13.5" thickBot="1">
      <c r="A369" s="2875"/>
      <c r="B369" s="2875"/>
      <c r="C369" s="2875"/>
      <c r="D369" s="2926" t="s">
        <v>1087</v>
      </c>
      <c r="E369" s="2927" t="str">
        <f>CONCATENATE(ROUND(PROFILES!D435,1),"x")</f>
        <v>5,5x</v>
      </c>
      <c r="F369" s="2928" t="str">
        <f>CONCATENATE(ROUND(PROFILES!E435,1),"x")</f>
        <v>9x</v>
      </c>
      <c r="G369" s="2928" t="str">
        <f>CONCATENATE(ROUND(PROFILES!F435,1),"x")</f>
        <v>5,5x</v>
      </c>
      <c r="H369" s="2928" t="str">
        <f>CONCATENATE(ROUND(PROFILES!G435,1),"x")</f>
        <v>5,5x</v>
      </c>
      <c r="I369" s="2929" t="str">
        <f>CONCATENATE(ROUND(PROFILES!H435,1),"x")</f>
        <v>5,5x</v>
      </c>
      <c r="J369" s="2875"/>
      <c r="K369" s="77"/>
      <c r="L369" s="2875"/>
      <c r="M369" s="2561"/>
      <c r="N369" s="2561"/>
      <c r="O369" s="2561"/>
      <c r="P369" s="2561"/>
      <c r="Q369" s="2561"/>
      <c r="R369" s="2561"/>
      <c r="S369" s="2561"/>
      <c r="T369" s="2561"/>
      <c r="U369" s="2561"/>
      <c r="V369" s="2561"/>
      <c r="W369" s="2561"/>
      <c r="X369" s="2561"/>
      <c r="Y369" s="2561"/>
      <c r="Z369" s="2292"/>
    </row>
    <row r="370" spans="1:26">
      <c r="A370" s="2875"/>
      <c r="B370" s="2875"/>
      <c r="C370" s="2875"/>
      <c r="D370" s="2875"/>
      <c r="E370" s="2875"/>
      <c r="F370" s="2875"/>
      <c r="G370" s="2875"/>
      <c r="H370" s="2875"/>
      <c r="I370" s="2875"/>
      <c r="J370" s="2875"/>
      <c r="K370" s="77"/>
      <c r="L370" s="2875"/>
      <c r="M370" s="2561"/>
      <c r="N370" s="2561"/>
      <c r="O370" s="2561"/>
      <c r="P370" s="2561"/>
      <c r="Q370" s="2561"/>
      <c r="R370" s="2561"/>
      <c r="S370" s="2561"/>
      <c r="T370" s="2561"/>
      <c r="U370" s="2561"/>
      <c r="V370" s="2561"/>
      <c r="W370" s="2561"/>
      <c r="X370" s="2561"/>
      <c r="Y370" s="2561"/>
      <c r="Z370" s="2292"/>
    </row>
    <row r="371" spans="1:26">
      <c r="A371" s="2561"/>
      <c r="B371" s="2561"/>
      <c r="C371" s="2561"/>
      <c r="D371" s="2561"/>
      <c r="E371" s="2561"/>
      <c r="F371" s="2561"/>
      <c r="G371" s="2561"/>
      <c r="H371" s="2561"/>
      <c r="I371" s="2561"/>
      <c r="J371" s="2561"/>
      <c r="K371" s="2497"/>
      <c r="L371" s="2561"/>
      <c r="M371" s="2561"/>
      <c r="N371" s="2561"/>
      <c r="O371" s="2561"/>
      <c r="P371" s="2561"/>
      <c r="Q371" s="2561"/>
      <c r="R371" s="2561"/>
      <c r="S371" s="2561"/>
      <c r="T371" s="2561"/>
      <c r="U371" s="2561"/>
      <c r="V371" s="2561"/>
      <c r="W371" s="2561"/>
      <c r="X371" s="2561"/>
      <c r="Y371" s="2561"/>
      <c r="Z371" s="2292"/>
    </row>
    <row r="372" spans="1:26">
      <c r="A372" s="964" t="s">
        <v>2029</v>
      </c>
      <c r="B372" s="964"/>
      <c r="C372" s="963"/>
      <c r="D372" s="963"/>
      <c r="E372" s="963"/>
      <c r="F372" s="963"/>
      <c r="G372" s="963"/>
      <c r="H372" s="963"/>
      <c r="I372" s="963"/>
      <c r="J372" s="963"/>
      <c r="K372" s="963"/>
      <c r="L372" s="963"/>
      <c r="M372" s="2561"/>
      <c r="N372" s="1"/>
      <c r="O372" s="1"/>
      <c r="P372" s="1"/>
      <c r="Q372" s="1"/>
      <c r="R372" s="1"/>
      <c r="S372" s="1"/>
      <c r="T372" s="1"/>
      <c r="U372" s="1"/>
      <c r="V372" s="1"/>
      <c r="W372" s="1"/>
      <c r="X372" s="1"/>
      <c r="Y372" s="1"/>
      <c r="Z372" s="2292"/>
    </row>
    <row r="373" spans="1:26">
      <c r="A373"/>
      <c r="B373"/>
      <c r="C373"/>
      <c r="D373"/>
      <c r="E373"/>
      <c r="F373"/>
      <c r="G373"/>
      <c r="H373"/>
      <c r="I373"/>
      <c r="J373"/>
      <c r="K373"/>
      <c r="L373"/>
      <c r="M373" s="2561"/>
      <c r="N373" s="1"/>
      <c r="O373" s="1"/>
      <c r="P373" s="1"/>
      <c r="Q373" s="1"/>
      <c r="R373" s="1"/>
      <c r="S373" s="1"/>
      <c r="T373" s="1"/>
      <c r="U373" s="1"/>
      <c r="V373" s="1"/>
      <c r="W373" s="1"/>
      <c r="X373" s="1"/>
      <c r="Y373" s="1"/>
      <c r="Z373" s="2292"/>
    </row>
    <row r="374" spans="1:26">
      <c r="A374" s="975" t="s">
        <v>37</v>
      </c>
      <c r="B374" s="1389"/>
      <c r="C374"/>
      <c r="D374" s="1217" t="s">
        <v>2030</v>
      </c>
      <c r="E374"/>
      <c r="F374"/>
      <c r="G374"/>
      <c r="H374"/>
      <c r="I374"/>
      <c r="J374"/>
      <c r="K374"/>
      <c r="L374"/>
      <c r="M374" s="2561"/>
      <c r="N374" s="3"/>
      <c r="O374" s="3"/>
      <c r="P374" s="3"/>
      <c r="Q374" s="3"/>
      <c r="R374" s="3"/>
      <c r="S374" s="3"/>
      <c r="T374" s="1"/>
      <c r="U374" s="1"/>
      <c r="V374" s="1"/>
      <c r="W374" s="1"/>
      <c r="X374" s="1"/>
      <c r="Y374" s="1"/>
      <c r="Z374" s="2292"/>
    </row>
    <row r="375" spans="1:26">
      <c r="A375"/>
      <c r="B375"/>
      <c r="C375"/>
      <c r="D375"/>
      <c r="E375"/>
      <c r="F375"/>
      <c r="G375"/>
      <c r="H375"/>
      <c r="I375"/>
      <c r="J375"/>
      <c r="K375"/>
      <c r="L375"/>
      <c r="M375" s="2561"/>
      <c r="N375" s="3"/>
      <c r="O375" s="3"/>
      <c r="P375" s="3"/>
      <c r="Q375" s="3"/>
      <c r="R375" s="3"/>
      <c r="S375" s="3"/>
      <c r="T375"/>
      <c r="U375"/>
      <c r="V375"/>
      <c r="W375"/>
      <c r="X375"/>
      <c r="Y375" s="1"/>
      <c r="Z375" s="2292"/>
    </row>
    <row r="376" spans="1:26">
      <c r="A376"/>
      <c r="B376"/>
      <c r="C376"/>
      <c r="D376"/>
      <c r="E376"/>
      <c r="F376"/>
      <c r="G376"/>
      <c r="H376"/>
      <c r="I376"/>
      <c r="J376"/>
      <c r="K376"/>
      <c r="L376"/>
      <c r="M376" s="2886" t="s">
        <v>2015</v>
      </c>
      <c r="N376" s="3"/>
      <c r="O376" s="3"/>
      <c r="P376" s="3"/>
      <c r="Q376" s="3"/>
      <c r="R376" s="3"/>
      <c r="S376" s="3"/>
      <c r="T376"/>
      <c r="U376"/>
      <c r="V376"/>
      <c r="W376"/>
      <c r="X376"/>
      <c r="Y376" s="1"/>
      <c r="Z376" s="2292"/>
    </row>
    <row r="377" spans="1:26">
      <c r="A377"/>
      <c r="B377"/>
      <c r="C377"/>
      <c r="D377"/>
      <c r="E377"/>
      <c r="F377"/>
      <c r="G377"/>
      <c r="H377"/>
      <c r="I377"/>
      <c r="J377"/>
      <c r="K377"/>
      <c r="L377"/>
      <c r="N377" s="3"/>
      <c r="O377" s="3"/>
      <c r="P377" s="3"/>
      <c r="Q377" s="3"/>
      <c r="R377" s="3"/>
      <c r="S377" s="3"/>
      <c r="T377"/>
      <c r="U377"/>
      <c r="V377"/>
      <c r="W377"/>
      <c r="X377"/>
      <c r="Y377" s="1"/>
      <c r="Z377" s="2292"/>
    </row>
    <row r="378" spans="1:26">
      <c r="A378"/>
      <c r="B378"/>
      <c r="C378"/>
      <c r="D378"/>
      <c r="E378"/>
      <c r="F378"/>
      <c r="G378"/>
      <c r="H378"/>
      <c r="I378"/>
      <c r="J378"/>
      <c r="K378"/>
      <c r="L378"/>
      <c r="M378" s="2561"/>
      <c r="N378" s="3"/>
      <c r="O378" s="3"/>
      <c r="P378" s="3"/>
      <c r="Q378" s="3"/>
      <c r="R378" s="3"/>
      <c r="S378" s="3"/>
      <c r="T378"/>
      <c r="U378"/>
      <c r="V378"/>
      <c r="W378"/>
      <c r="X378"/>
      <c r="Y378" s="1"/>
      <c r="Z378" s="2292"/>
    </row>
    <row r="379" spans="1:26">
      <c r="A379"/>
      <c r="B379"/>
      <c r="C379"/>
      <c r="D379"/>
      <c r="E379"/>
      <c r="F379"/>
      <c r="G379"/>
      <c r="H379"/>
      <c r="I379"/>
      <c r="J379"/>
      <c r="K379"/>
      <c r="L379"/>
      <c r="M379" s="2561"/>
      <c r="N379" s="3"/>
      <c r="O379" s="3"/>
      <c r="P379" s="3"/>
      <c r="Q379" s="3"/>
      <c r="R379" s="3"/>
      <c r="S379" s="3"/>
      <c r="T379"/>
      <c r="U379"/>
      <c r="V379"/>
      <c r="W379"/>
      <c r="X379"/>
      <c r="Y379" s="1"/>
      <c r="Z379" s="2292"/>
    </row>
    <row r="380" spans="1:26">
      <c r="A380"/>
      <c r="B380"/>
      <c r="C380"/>
      <c r="D380"/>
      <c r="E380"/>
      <c r="F380"/>
      <c r="G380"/>
      <c r="H380"/>
      <c r="I380"/>
      <c r="J380"/>
      <c r="K380"/>
      <c r="L380"/>
      <c r="M380" s="2561"/>
      <c r="N380" s="3"/>
      <c r="O380" s="3"/>
      <c r="P380" s="3"/>
      <c r="Q380" s="3"/>
      <c r="R380" s="3"/>
      <c r="S380" s="3"/>
      <c r="T380"/>
      <c r="U380"/>
      <c r="V380"/>
      <c r="W380"/>
      <c r="X380"/>
      <c r="Y380" s="1"/>
      <c r="Z380" s="2292"/>
    </row>
    <row r="381" spans="1:26">
      <c r="A381"/>
      <c r="B381"/>
      <c r="C381"/>
      <c r="D381"/>
      <c r="E381"/>
      <c r="F381"/>
      <c r="G381"/>
      <c r="H381"/>
      <c r="I381"/>
      <c r="J381"/>
      <c r="K381"/>
      <c r="L381"/>
      <c r="M381" s="2561"/>
      <c r="N381" s="3"/>
      <c r="O381" s="3"/>
      <c r="P381" s="3"/>
      <c r="Q381" s="3"/>
      <c r="R381" s="3"/>
      <c r="S381" s="3"/>
      <c r="T381"/>
      <c r="U381"/>
      <c r="V381"/>
      <c r="W381"/>
      <c r="X381"/>
      <c r="Y381" s="1"/>
      <c r="Z381" s="2292"/>
    </row>
    <row r="382" spans="1:26">
      <c r="A382"/>
      <c r="B382"/>
      <c r="C382"/>
      <c r="D382"/>
      <c r="E382"/>
      <c r="F382"/>
      <c r="G382"/>
      <c r="H382"/>
      <c r="I382"/>
      <c r="J382"/>
      <c r="K382"/>
      <c r="L382"/>
      <c r="M382" s="2561"/>
      <c r="N382" s="3"/>
      <c r="O382" s="3"/>
      <c r="P382" s="3"/>
      <c r="Q382" s="3"/>
      <c r="R382" s="3"/>
      <c r="S382" s="3"/>
      <c r="T382"/>
      <c r="U382"/>
      <c r="V382"/>
      <c r="W382"/>
      <c r="X382"/>
      <c r="Y382" s="1"/>
      <c r="Z382" s="2292"/>
    </row>
    <row r="383" spans="1:26">
      <c r="A383"/>
      <c r="B383"/>
      <c r="C383"/>
      <c r="D383"/>
      <c r="E383"/>
      <c r="F383"/>
      <c r="G383"/>
      <c r="H383"/>
      <c r="I383"/>
      <c r="J383"/>
      <c r="K383"/>
      <c r="L383"/>
      <c r="M383" s="2561"/>
      <c r="N383" s="3"/>
      <c r="O383" s="3"/>
      <c r="P383" s="3"/>
      <c r="Q383" s="3"/>
      <c r="R383" s="3"/>
      <c r="S383" s="3"/>
      <c r="T383"/>
      <c r="U383"/>
      <c r="V383"/>
      <c r="W383"/>
      <c r="X383"/>
      <c r="Y383" s="1"/>
      <c r="Z383" s="2292"/>
    </row>
    <row r="384" spans="1:26">
      <c r="A384"/>
      <c r="B384"/>
      <c r="C384"/>
      <c r="D384"/>
      <c r="E384"/>
      <c r="F384"/>
      <c r="G384"/>
      <c r="H384"/>
      <c r="I384"/>
      <c r="J384"/>
      <c r="K384"/>
      <c r="L384"/>
      <c r="M384" s="2561"/>
      <c r="N384" s="3"/>
      <c r="O384" s="3"/>
      <c r="P384" s="3"/>
      <c r="Q384" s="3"/>
      <c r="R384" s="3"/>
      <c r="S384" s="3"/>
      <c r="T384"/>
      <c r="U384"/>
      <c r="V384"/>
      <c r="W384"/>
      <c r="X384"/>
      <c r="Y384" s="1"/>
      <c r="Z384" s="2292"/>
    </row>
    <row r="385" spans="1:26">
      <c r="A385"/>
      <c r="B385"/>
      <c r="C385"/>
      <c r="D385"/>
      <c r="E385"/>
      <c r="F385"/>
      <c r="G385"/>
      <c r="H385"/>
      <c r="I385"/>
      <c r="J385"/>
      <c r="K385"/>
      <c r="L385"/>
      <c r="M385" s="2561"/>
      <c r="N385"/>
      <c r="O385"/>
      <c r="P385"/>
      <c r="Q385"/>
      <c r="R385"/>
      <c r="S385"/>
      <c r="T385"/>
      <c r="U385"/>
      <c r="V385"/>
      <c r="W385"/>
      <c r="X385"/>
      <c r="Y385" s="1"/>
      <c r="Z385" s="2292"/>
    </row>
    <row r="386" spans="1:26">
      <c r="A386" s="2860"/>
      <c r="B386" s="2860"/>
      <c r="C386" s="2860"/>
      <c r="D386" s="2860"/>
      <c r="E386" s="2860"/>
      <c r="F386" s="2860"/>
      <c r="G386" s="2860"/>
      <c r="H386" s="2860"/>
      <c r="I386" s="2860"/>
      <c r="J386" s="2860"/>
      <c r="K386" s="2860"/>
      <c r="L386" s="2860"/>
      <c r="M386" s="2561"/>
      <c r="N386" s="2860"/>
      <c r="O386" s="2860"/>
      <c r="P386" s="2860"/>
      <c r="Q386" s="2860"/>
      <c r="R386" s="2860"/>
      <c r="S386" s="2860"/>
      <c r="T386" s="2860"/>
      <c r="U386" s="2860"/>
      <c r="V386" s="2860"/>
      <c r="W386" s="2860"/>
      <c r="X386" s="2860"/>
      <c r="Y386" s="1"/>
      <c r="Z386" s="2292"/>
    </row>
    <row r="387" spans="1:26">
      <c r="A387" s="2860"/>
      <c r="B387" s="2860"/>
      <c r="C387" s="2860"/>
      <c r="D387" s="2860"/>
      <c r="E387" s="2860"/>
      <c r="F387" s="2860"/>
      <c r="G387" s="2860"/>
      <c r="H387" s="2860"/>
      <c r="I387" s="2860"/>
      <c r="J387" s="2860"/>
      <c r="K387" s="2860"/>
      <c r="L387" s="2860"/>
      <c r="M387" s="2561"/>
      <c r="N387" s="2860"/>
      <c r="O387" s="2860"/>
      <c r="P387" s="2860"/>
      <c r="Q387" s="2860"/>
      <c r="R387" s="2860"/>
      <c r="S387" s="2860"/>
      <c r="T387" s="2860"/>
      <c r="U387" s="2860"/>
      <c r="V387" s="2860"/>
      <c r="W387" s="2860"/>
      <c r="X387" s="2860"/>
      <c r="Y387" s="1"/>
      <c r="Z387" s="2292"/>
    </row>
    <row r="388" spans="1:26">
      <c r="A388" s="2860"/>
      <c r="B388" s="2860"/>
      <c r="C388" s="2860"/>
      <c r="D388" s="2860"/>
      <c r="E388" s="2860"/>
      <c r="F388" s="2860"/>
      <c r="G388" s="2860"/>
      <c r="H388" s="2860"/>
      <c r="I388" s="2860"/>
      <c r="J388" s="2860"/>
      <c r="K388" s="2860"/>
      <c r="L388" s="2860"/>
      <c r="M388" s="2561"/>
      <c r="N388" s="2860"/>
      <c r="O388" s="2860"/>
      <c r="P388" s="2860"/>
      <c r="Q388" s="2860"/>
      <c r="R388" s="2860"/>
      <c r="S388" s="2860"/>
      <c r="T388" s="2860"/>
      <c r="U388" s="2860"/>
      <c r="V388" s="2860"/>
      <c r="W388" s="2860"/>
      <c r="X388" s="2860"/>
      <c r="Y388" s="1"/>
      <c r="Z388" s="2292"/>
    </row>
    <row r="389" spans="1:26">
      <c r="A389" s="2860"/>
      <c r="B389" s="2860"/>
      <c r="C389" s="2860"/>
      <c r="D389" s="2860"/>
      <c r="E389" s="2860"/>
      <c r="F389" s="2860"/>
      <c r="G389" s="2860"/>
      <c r="H389" s="2860"/>
      <c r="I389" s="2860"/>
      <c r="J389" s="2860"/>
      <c r="K389" s="2860"/>
      <c r="L389" s="2860"/>
      <c r="M389" s="2561"/>
      <c r="N389" s="2860"/>
      <c r="O389" s="2860"/>
      <c r="P389" s="2860"/>
      <c r="Q389" s="2860"/>
      <c r="R389" s="2860"/>
      <c r="S389" s="2860"/>
      <c r="T389" s="2860"/>
      <c r="U389" s="2860"/>
      <c r="V389" s="2860"/>
      <c r="W389" s="2860"/>
      <c r="X389" s="2860"/>
      <c r="Y389" s="1"/>
      <c r="Z389" s="2292"/>
    </row>
    <row r="390" spans="1:26">
      <c r="A390" s="2860"/>
      <c r="B390" s="2860"/>
      <c r="C390" s="2860"/>
      <c r="D390" s="2860"/>
      <c r="E390" s="2860"/>
      <c r="F390" s="2860"/>
      <c r="G390" s="2860"/>
      <c r="H390" s="2860"/>
      <c r="I390" s="2860"/>
      <c r="J390" s="2860"/>
      <c r="K390" s="2860"/>
      <c r="L390" s="2860"/>
      <c r="M390" s="2561"/>
      <c r="N390" s="2860"/>
      <c r="O390" s="2860"/>
      <c r="P390" s="2860"/>
      <c r="Q390" s="2860"/>
      <c r="R390" s="2860"/>
      <c r="S390" s="2860"/>
      <c r="T390" s="2860"/>
      <c r="U390" s="2860"/>
      <c r="V390" s="2860"/>
      <c r="W390" s="2860"/>
      <c r="X390" s="2860"/>
      <c r="Y390" s="1"/>
      <c r="Z390" s="2292"/>
    </row>
    <row r="391" spans="1:26">
      <c r="A391" s="2860"/>
      <c r="B391" s="2860"/>
      <c r="C391" s="2860"/>
      <c r="D391" s="2860"/>
      <c r="E391" s="2860"/>
      <c r="F391" s="2860"/>
      <c r="G391" s="2860"/>
      <c r="H391" s="2860"/>
      <c r="I391" s="2860"/>
      <c r="J391" s="2860"/>
      <c r="K391" s="2860"/>
      <c r="L391" s="2860"/>
      <c r="M391" s="2561"/>
      <c r="N391" s="2860"/>
      <c r="O391" s="2860"/>
      <c r="P391" s="2860"/>
      <c r="Q391" s="2860"/>
      <c r="R391" s="2860"/>
      <c r="S391" s="2860"/>
      <c r="T391" s="2860"/>
      <c r="U391" s="2860"/>
      <c r="V391" s="2860"/>
      <c r="W391" s="2860"/>
      <c r="X391" s="2860"/>
      <c r="Y391" s="1"/>
      <c r="Z391" s="2292"/>
    </row>
    <row r="392" spans="1:26">
      <c r="A392" s="3"/>
      <c r="B392" s="3"/>
      <c r="C392" s="2860"/>
      <c r="D392" s="1217" t="s">
        <v>2031</v>
      </c>
      <c r="E392" s="3"/>
      <c r="F392" s="3"/>
      <c r="G392" s="3"/>
      <c r="H392" s="3"/>
      <c r="I392" s="1"/>
      <c r="J392" s="2860"/>
      <c r="K392" s="2860"/>
      <c r="L392" s="2860"/>
      <c r="M392" s="2561"/>
      <c r="N392" s="2860"/>
      <c r="O392" s="2860"/>
      <c r="P392" s="2860"/>
      <c r="Q392" s="2860"/>
      <c r="R392" s="2860"/>
      <c r="S392" s="2860"/>
      <c r="T392" s="2860"/>
      <c r="U392" s="2860"/>
      <c r="V392" s="2860"/>
      <c r="W392" s="2860"/>
      <c r="X392" s="2860"/>
      <c r="Y392" s="1"/>
      <c r="Z392" s="2292"/>
    </row>
    <row r="393" spans="1:26">
      <c r="A393" s="2860"/>
      <c r="B393" s="2860"/>
      <c r="C393" s="2860"/>
      <c r="D393" s="3"/>
      <c r="E393" s="3"/>
      <c r="F393" s="3"/>
      <c r="G393" s="3"/>
      <c r="H393" s="3"/>
      <c r="I393" s="1"/>
      <c r="J393" s="2860"/>
      <c r="K393" s="2860"/>
      <c r="L393" s="2860"/>
      <c r="M393" s="2561"/>
      <c r="N393" s="2860"/>
      <c r="O393" s="2860"/>
      <c r="P393" s="2860"/>
      <c r="Q393" s="2860"/>
      <c r="R393" s="2860"/>
      <c r="S393" s="2860"/>
      <c r="T393" s="2860"/>
      <c r="U393" s="2860"/>
      <c r="V393" s="2860"/>
      <c r="W393" s="2860"/>
      <c r="X393" s="2860"/>
      <c r="Y393" s="1"/>
      <c r="Z393" s="2292"/>
    </row>
    <row r="394" spans="1:26">
      <c r="A394" s="2860"/>
      <c r="B394" s="2860"/>
      <c r="C394" s="2860"/>
      <c r="D394" s="3"/>
      <c r="E394" s="3"/>
      <c r="F394" s="3"/>
      <c r="G394" s="3"/>
      <c r="H394" s="3"/>
      <c r="I394" s="1"/>
      <c r="J394" s="2860"/>
      <c r="K394" s="2860"/>
      <c r="L394" s="2860"/>
      <c r="M394" s="2886" t="s">
        <v>2015</v>
      </c>
      <c r="N394" s="2860"/>
      <c r="O394" s="2860"/>
      <c r="P394" s="2860"/>
      <c r="Q394" s="2860"/>
      <c r="R394" s="2860"/>
      <c r="S394" s="2860"/>
      <c r="T394" s="2860"/>
      <c r="U394" s="2860"/>
      <c r="V394" s="2860"/>
      <c r="W394" s="2860"/>
      <c r="X394" s="2860"/>
      <c r="Y394" s="1"/>
      <c r="Z394" s="2292"/>
    </row>
    <row r="395" spans="1:26">
      <c r="A395" s="2860"/>
      <c r="B395" s="2860"/>
      <c r="C395" s="2860"/>
      <c r="D395" s="3"/>
      <c r="E395" s="3"/>
      <c r="F395" s="3"/>
      <c r="G395" s="3"/>
      <c r="H395" s="3"/>
      <c r="I395" s="1"/>
      <c r="J395" s="2860"/>
      <c r="K395" s="2860"/>
      <c r="L395" s="2860"/>
      <c r="M395" s="2561"/>
      <c r="N395" s="2860"/>
      <c r="O395" s="2860"/>
      <c r="P395" s="2860"/>
      <c r="Q395" s="2860"/>
      <c r="R395" s="2860"/>
      <c r="S395" s="2860"/>
      <c r="T395" s="2860"/>
      <c r="U395" s="2860"/>
      <c r="V395" s="2860"/>
      <c r="W395" s="2860"/>
      <c r="X395" s="2860"/>
      <c r="Y395" s="1"/>
      <c r="Z395" s="2292"/>
    </row>
    <row r="396" spans="1:26">
      <c r="A396" s="2860"/>
      <c r="B396" s="2860"/>
      <c r="C396" s="2860"/>
      <c r="D396" s="3"/>
      <c r="E396" s="3"/>
      <c r="F396" s="3"/>
      <c r="G396" s="3"/>
      <c r="H396" s="3"/>
      <c r="I396" s="1"/>
      <c r="J396" s="2860"/>
      <c r="K396" s="2860"/>
      <c r="L396" s="2860"/>
      <c r="M396" s="2561"/>
      <c r="N396" s="2860"/>
      <c r="O396" s="2860"/>
      <c r="P396" s="2860"/>
      <c r="Q396" s="2860"/>
      <c r="R396" s="2860"/>
      <c r="S396" s="2860"/>
      <c r="T396" s="2860"/>
      <c r="U396" s="2860"/>
      <c r="V396" s="2860"/>
      <c r="W396" s="2860"/>
      <c r="X396" s="2860"/>
      <c r="Y396" s="1"/>
      <c r="Z396" s="2292"/>
    </row>
    <row r="397" spans="1:26">
      <c r="A397" s="2860"/>
      <c r="B397" s="2860"/>
      <c r="C397" s="2860"/>
      <c r="D397" s="3"/>
      <c r="E397" s="3"/>
      <c r="F397" s="3"/>
      <c r="G397" s="3"/>
      <c r="H397" s="3"/>
      <c r="I397" s="1"/>
      <c r="J397" s="2860"/>
      <c r="K397" s="2860"/>
      <c r="L397" s="2860"/>
      <c r="M397" s="2561"/>
      <c r="N397" s="2860"/>
      <c r="O397" s="2860"/>
      <c r="P397" s="2860"/>
      <c r="Q397" s="2860"/>
      <c r="R397" s="2860"/>
      <c r="S397" s="2860"/>
      <c r="T397" s="2860"/>
      <c r="U397" s="2860"/>
      <c r="V397" s="2860"/>
      <c r="W397" s="2860"/>
      <c r="X397" s="2860"/>
      <c r="Y397" s="1"/>
      <c r="Z397" s="2292"/>
    </row>
    <row r="398" spans="1:26">
      <c r="A398" s="2860"/>
      <c r="B398" s="2860"/>
      <c r="C398" s="2860"/>
      <c r="D398" s="3"/>
      <c r="E398" s="3"/>
      <c r="F398" s="3"/>
      <c r="G398" s="3"/>
      <c r="H398" s="3"/>
      <c r="I398" s="1"/>
      <c r="J398" s="2860"/>
      <c r="K398" s="2860"/>
      <c r="L398" s="2860"/>
      <c r="M398" s="2561"/>
      <c r="N398" s="2860"/>
      <c r="O398" s="2860"/>
      <c r="P398" s="2860"/>
      <c r="Q398" s="2860"/>
      <c r="R398" s="2860"/>
      <c r="S398" s="2860"/>
      <c r="T398" s="2860"/>
      <c r="U398" s="2860"/>
      <c r="V398" s="2860"/>
      <c r="W398" s="2860"/>
      <c r="X398" s="2860"/>
      <c r="Y398" s="1"/>
      <c r="Z398" s="2292"/>
    </row>
    <row r="399" spans="1:26">
      <c r="A399" s="2860"/>
      <c r="B399" s="2860"/>
      <c r="C399" s="2860"/>
      <c r="D399" s="3"/>
      <c r="E399" s="3"/>
      <c r="F399" s="3"/>
      <c r="G399" s="3"/>
      <c r="H399" s="3"/>
      <c r="I399" s="1"/>
      <c r="J399" s="2860"/>
      <c r="K399" s="2860"/>
      <c r="L399" s="2860"/>
      <c r="M399" s="2561"/>
      <c r="N399" s="2860"/>
      <c r="O399" s="2860"/>
      <c r="P399" s="2860"/>
      <c r="Q399" s="2860"/>
      <c r="R399" s="2860"/>
      <c r="S399" s="2860"/>
      <c r="T399" s="2860"/>
      <c r="U399" s="2860"/>
      <c r="V399" s="2860"/>
      <c r="W399" s="2860"/>
      <c r="X399" s="2860"/>
      <c r="Y399" s="1"/>
      <c r="Z399" s="2292"/>
    </row>
    <row r="400" spans="1:26">
      <c r="A400" s="2860"/>
      <c r="B400" s="2860"/>
      <c r="C400" s="2860"/>
      <c r="D400" s="3"/>
      <c r="E400" s="3"/>
      <c r="F400" s="3"/>
      <c r="G400" s="3"/>
      <c r="H400" s="3"/>
      <c r="I400" s="1"/>
      <c r="J400" s="2860"/>
      <c r="K400" s="2860"/>
      <c r="L400" s="2860"/>
      <c r="M400" s="2561"/>
      <c r="N400" s="2860"/>
      <c r="O400" s="2860"/>
      <c r="P400" s="2860"/>
      <c r="Q400" s="2860"/>
      <c r="R400" s="2860"/>
      <c r="S400" s="2860"/>
      <c r="T400" s="2860"/>
      <c r="U400" s="2860"/>
      <c r="V400" s="2860"/>
      <c r="W400" s="2860"/>
      <c r="X400" s="2860"/>
      <c r="Y400" s="1"/>
      <c r="Z400" s="2292"/>
    </row>
    <row r="401" spans="1:26">
      <c r="A401" s="2860"/>
      <c r="B401" s="2860"/>
      <c r="C401" s="2860"/>
      <c r="D401" s="3"/>
      <c r="E401" s="3"/>
      <c r="F401" s="3"/>
      <c r="G401" s="3"/>
      <c r="H401" s="3"/>
      <c r="I401" s="1"/>
      <c r="J401" s="2860"/>
      <c r="K401" s="2860"/>
      <c r="L401" s="2860"/>
      <c r="M401" s="2561"/>
      <c r="N401" s="2860"/>
      <c r="O401" s="2860"/>
      <c r="P401" s="2860"/>
      <c r="Q401" s="2860"/>
      <c r="R401" s="2860"/>
      <c r="S401" s="2860"/>
      <c r="T401" s="2860"/>
      <c r="U401" s="2860"/>
      <c r="V401" s="2860"/>
      <c r="W401" s="2860"/>
      <c r="X401" s="2860"/>
      <c r="Y401" s="1"/>
      <c r="Z401" s="2292"/>
    </row>
    <row r="402" spans="1:26">
      <c r="A402" s="2860"/>
      <c r="B402" s="2860"/>
      <c r="C402" s="2860"/>
      <c r="D402" s="3"/>
      <c r="E402" s="3"/>
      <c r="F402" s="3"/>
      <c r="G402" s="3"/>
      <c r="H402" s="3"/>
      <c r="I402" s="1"/>
      <c r="J402" s="2860"/>
      <c r="K402" s="2860"/>
      <c r="L402" s="2860"/>
      <c r="M402" s="2561"/>
      <c r="N402" s="2860"/>
      <c r="O402" s="2860"/>
      <c r="P402" s="2860"/>
      <c r="Q402" s="2860"/>
      <c r="R402" s="2860"/>
      <c r="S402" s="2860"/>
      <c r="T402" s="2860"/>
      <c r="U402" s="2860"/>
      <c r="V402" s="2860"/>
      <c r="W402" s="2860"/>
      <c r="X402" s="2860"/>
      <c r="Y402" s="1"/>
      <c r="Z402" s="2292"/>
    </row>
    <row r="403" spans="1:26">
      <c r="A403" s="2860"/>
      <c r="B403" s="2860"/>
      <c r="C403" s="2860"/>
      <c r="D403" s="2860"/>
      <c r="E403" s="2860"/>
      <c r="F403" s="2860"/>
      <c r="G403" s="2860"/>
      <c r="H403" s="2860"/>
      <c r="I403" s="2860"/>
      <c r="J403" s="2860"/>
      <c r="K403" s="2860"/>
      <c r="L403" s="2860"/>
      <c r="M403" s="2561"/>
      <c r="N403" s="2860"/>
      <c r="O403" s="2860"/>
      <c r="P403" s="2860"/>
      <c r="Q403" s="2860"/>
      <c r="R403" s="2860"/>
      <c r="S403" s="2860"/>
      <c r="T403" s="2860"/>
      <c r="U403" s="2860"/>
      <c r="V403" s="2860"/>
      <c r="W403" s="2860"/>
      <c r="X403" s="2860"/>
      <c r="Y403" s="1"/>
      <c r="Z403" s="2292"/>
    </row>
    <row r="404" spans="1:26">
      <c r="A404" s="2860"/>
      <c r="B404" s="2860"/>
      <c r="C404" s="2860"/>
      <c r="D404" s="2860"/>
      <c r="E404" s="2860"/>
      <c r="F404" s="2860"/>
      <c r="G404" s="2860"/>
      <c r="H404" s="2860"/>
      <c r="I404" s="2860"/>
      <c r="J404" s="2860"/>
      <c r="K404" s="2860"/>
      <c r="L404" s="2860"/>
      <c r="M404" s="2561"/>
      <c r="N404" s="2860"/>
      <c r="O404" s="2860"/>
      <c r="P404" s="2860"/>
      <c r="Q404" s="2860"/>
      <c r="R404" s="2860"/>
      <c r="S404" s="2860"/>
      <c r="T404" s="2860"/>
      <c r="U404" s="2860"/>
      <c r="V404" s="2860"/>
      <c r="W404" s="2860"/>
      <c r="X404" s="2860"/>
      <c r="Y404" s="1"/>
      <c r="Z404" s="2292"/>
    </row>
    <row r="405" spans="1:26">
      <c r="A405" s="2860"/>
      <c r="B405" s="2860"/>
      <c r="C405" s="2860"/>
      <c r="D405" s="2860"/>
      <c r="E405" s="2860"/>
      <c r="F405" s="2860"/>
      <c r="G405" s="2860"/>
      <c r="H405" s="2860"/>
      <c r="I405" s="2860"/>
      <c r="J405" s="2860"/>
      <c r="K405" s="2860"/>
      <c r="L405" s="2860"/>
      <c r="M405" s="2561"/>
      <c r="N405" s="2860"/>
      <c r="O405" s="2860"/>
      <c r="P405" s="2860"/>
      <c r="Q405" s="2860"/>
      <c r="R405" s="2860"/>
      <c r="S405" s="2860"/>
      <c r="T405" s="2860"/>
      <c r="U405" s="2860"/>
      <c r="V405" s="2860"/>
      <c r="W405" s="2860"/>
      <c r="X405" s="2860"/>
      <c r="Y405" s="1"/>
      <c r="Z405" s="2292"/>
    </row>
    <row r="406" spans="1:26">
      <c r="A406" s="2860"/>
      <c r="B406" s="2860"/>
      <c r="C406" s="2860"/>
      <c r="D406" s="2860"/>
      <c r="E406" s="2860"/>
      <c r="F406" s="2860"/>
      <c r="G406" s="2860"/>
      <c r="H406" s="2860"/>
      <c r="I406" s="2860"/>
      <c r="J406" s="2860"/>
      <c r="K406" s="2860"/>
      <c r="L406" s="2860"/>
      <c r="M406" s="2561"/>
      <c r="N406" s="2860"/>
      <c r="O406" s="2860"/>
      <c r="P406" s="2860"/>
      <c r="Q406" s="2860"/>
      <c r="R406" s="2860"/>
      <c r="S406" s="2860"/>
      <c r="T406" s="2860"/>
      <c r="U406" s="2860"/>
      <c r="V406" s="2860"/>
      <c r="W406" s="2860"/>
      <c r="X406" s="2860"/>
      <c r="Y406" s="1"/>
      <c r="Z406" s="2292"/>
    </row>
    <row r="407" spans="1:26">
      <c r="A407" s="2860"/>
      <c r="B407" s="2860"/>
      <c r="C407" s="2860"/>
      <c r="D407" s="2860"/>
      <c r="E407" s="2860"/>
      <c r="F407" s="2860"/>
      <c r="G407" s="2860"/>
      <c r="H407" s="2860"/>
      <c r="I407" s="2860"/>
      <c r="J407" s="2860"/>
      <c r="K407" s="2860"/>
      <c r="L407" s="2860"/>
      <c r="M407" s="2561"/>
      <c r="N407" s="2860"/>
      <c r="O407" s="2860"/>
      <c r="P407" s="2860"/>
      <c r="Q407" s="2860"/>
      <c r="R407" s="2860"/>
      <c r="S407" s="2860"/>
      <c r="T407" s="2860"/>
      <c r="U407" s="2860"/>
      <c r="V407" s="2860"/>
      <c r="W407" s="2860"/>
      <c r="X407" s="2860"/>
      <c r="Y407" s="1"/>
      <c r="Z407" s="2292"/>
    </row>
    <row r="408" spans="1:26">
      <c r="A408" s="2860"/>
      <c r="B408" s="2860"/>
      <c r="C408" s="2860"/>
      <c r="D408" s="2860"/>
      <c r="E408" s="2860"/>
      <c r="F408" s="2860"/>
      <c r="G408" s="2860"/>
      <c r="H408" s="2860"/>
      <c r="I408" s="2860"/>
      <c r="J408" s="2860"/>
      <c r="K408" s="2860"/>
      <c r="L408" s="2860"/>
      <c r="M408" s="2561"/>
      <c r="N408" s="1"/>
      <c r="O408" s="1"/>
      <c r="P408" s="1"/>
      <c r="Q408" s="1"/>
      <c r="R408" s="1"/>
      <c r="S408" s="1"/>
      <c r="T408" s="1"/>
      <c r="U408" s="1"/>
      <c r="V408" s="1"/>
      <c r="W408" s="1"/>
      <c r="X408" s="1"/>
      <c r="Y408" s="1"/>
      <c r="Z408" s="2292"/>
    </row>
    <row r="409" spans="1:26">
      <c r="A409" s="2860"/>
      <c r="B409" s="2860"/>
      <c r="C409" s="2860"/>
      <c r="D409" s="2860"/>
      <c r="E409" s="2860"/>
      <c r="F409" s="2860"/>
      <c r="G409" s="2860"/>
      <c r="H409" s="2860"/>
      <c r="I409" s="2860"/>
      <c r="J409" s="2860"/>
      <c r="K409" s="2860"/>
      <c r="L409" s="2860"/>
      <c r="N409" s="2682"/>
      <c r="O409" s="2682"/>
      <c r="P409" s="2682"/>
      <c r="Q409" s="2682"/>
      <c r="R409" s="2682"/>
      <c r="S409" s="2682"/>
      <c r="T409" s="2682"/>
      <c r="U409" s="2682"/>
      <c r="V409" s="2682"/>
      <c r="W409" s="2682"/>
      <c r="X409" s="2682"/>
      <c r="Y409" s="2682"/>
      <c r="Z409" s="2292"/>
    </row>
    <row r="410" spans="1:26">
      <c r="A410" s="975" t="s">
        <v>36</v>
      </c>
      <c r="B410" s="1389"/>
      <c r="C410" s="2860"/>
      <c r="D410" s="1217" t="s">
        <v>2033</v>
      </c>
      <c r="E410" s="2860"/>
      <c r="F410" s="2860"/>
      <c r="G410" s="2860"/>
      <c r="H410" s="2860"/>
      <c r="I410" s="2860"/>
      <c r="J410" s="2860"/>
      <c r="K410" s="2860"/>
      <c r="L410" s="2860"/>
      <c r="N410" s="3"/>
      <c r="O410" s="3"/>
      <c r="P410" s="3"/>
      <c r="Q410" s="3"/>
      <c r="R410" s="3"/>
      <c r="S410" s="3"/>
      <c r="T410" s="3"/>
      <c r="U410" s="3"/>
      <c r="V410" s="3"/>
      <c r="W410" s="3"/>
      <c r="X410" s="3"/>
      <c r="Y410" s="3"/>
      <c r="Z410" s="2292"/>
    </row>
    <row r="411" spans="1:26">
      <c r="A411" s="2860"/>
      <c r="B411" s="2860"/>
      <c r="C411" s="2860"/>
      <c r="D411" s="2860"/>
      <c r="E411" s="2860"/>
      <c r="F411" s="2860"/>
      <c r="G411" s="2860"/>
      <c r="H411" s="2860"/>
      <c r="I411" s="2860"/>
      <c r="J411" s="2860"/>
      <c r="K411" s="2860"/>
      <c r="L411" s="2860"/>
      <c r="M411" s="2954" t="s">
        <v>2049</v>
      </c>
      <c r="N411" s="2860"/>
      <c r="O411" s="2896" t="s">
        <v>1701</v>
      </c>
      <c r="P411" s="475"/>
      <c r="Q411" s="475"/>
      <c r="R411" s="475"/>
      <c r="S411" s="475"/>
      <c r="T411" s="2860"/>
      <c r="U411" s="2860"/>
      <c r="V411" s="2860"/>
      <c r="W411" s="2860"/>
      <c r="X411" s="2860"/>
      <c r="Y411" s="1"/>
      <c r="Z411" s="2292"/>
    </row>
    <row r="412" spans="1:26">
      <c r="A412" s="2860"/>
      <c r="B412" s="2860"/>
      <c r="C412" s="2860"/>
      <c r="D412" s="2860"/>
      <c r="E412" s="2860"/>
      <c r="F412" s="2860"/>
      <c r="G412" s="2860"/>
      <c r="H412" s="2860"/>
      <c r="I412" s="2860"/>
      <c r="J412" s="2860"/>
      <c r="K412" s="2860"/>
      <c r="L412" s="2860"/>
      <c r="M412" s="2561"/>
      <c r="N412" s="2860"/>
      <c r="O412" s="475"/>
      <c r="P412" s="475"/>
      <c r="Q412" s="475"/>
      <c r="R412" s="475"/>
      <c r="S412" s="475"/>
      <c r="T412" s="2860"/>
      <c r="U412" s="2860"/>
      <c r="V412" s="2860"/>
      <c r="W412" s="2860"/>
      <c r="X412" s="2860"/>
      <c r="Y412" s="1"/>
      <c r="Z412" s="2292"/>
    </row>
    <row r="413" spans="1:26">
      <c r="A413" s="2860"/>
      <c r="B413" s="2860"/>
      <c r="C413" s="2860"/>
      <c r="D413" s="2860"/>
      <c r="E413" s="2860"/>
      <c r="F413" s="2860"/>
      <c r="G413" s="2860"/>
      <c r="H413" s="2860"/>
      <c r="I413" s="2860"/>
      <c r="J413" s="2860"/>
      <c r="K413" s="2860"/>
      <c r="L413" s="2860"/>
      <c r="M413" s="2561"/>
      <c r="N413" s="2860"/>
      <c r="O413" s="475"/>
      <c r="P413" s="2897"/>
      <c r="Q413" s="2897" t="s">
        <v>2032</v>
      </c>
      <c r="R413" s="2897" t="s">
        <v>1702</v>
      </c>
      <c r="S413" s="2897" t="s">
        <v>1703</v>
      </c>
      <c r="T413" s="2860"/>
      <c r="U413" s="2860"/>
      <c r="V413" s="2860"/>
      <c r="W413" s="2860"/>
      <c r="X413" s="2860"/>
      <c r="Y413" s="1"/>
      <c r="Z413" s="2292"/>
    </row>
    <row r="414" spans="1:26">
      <c r="A414" s="2860"/>
      <c r="B414" s="2860"/>
      <c r="C414" s="2860"/>
      <c r="D414" s="2860"/>
      <c r="E414" s="2860"/>
      <c r="F414" s="2860"/>
      <c r="G414" s="2860"/>
      <c r="H414" s="2860"/>
      <c r="I414" s="2860"/>
      <c r="J414" s="2860"/>
      <c r="K414" s="2860"/>
      <c r="L414" s="2860"/>
      <c r="M414" s="2561"/>
      <c r="N414" s="2860"/>
      <c r="O414" s="475"/>
      <c r="P414" s="2898" t="s">
        <v>287</v>
      </c>
      <c r="Q414" s="2899">
        <f>'GEARINGS, Eb&amp;E'!AJ326</f>
        <v>0.18570292678335293</v>
      </c>
      <c r="R414" s="2899">
        <f>'GEARINGS, Eb&amp;E'!AK326</f>
        <v>0.34197601038246805</v>
      </c>
      <c r="S414" s="2900">
        <f>'GEARINGS, Eb&amp;E'!AL326/'GEARINGS, Eb&amp;E'!$AL$333</f>
        <v>0.18435336601370564</v>
      </c>
      <c r="T414" s="2860"/>
      <c r="U414" s="2860"/>
      <c r="V414" s="2860"/>
      <c r="W414" s="2860"/>
      <c r="X414" s="2860"/>
      <c r="Y414" s="1"/>
      <c r="Z414" s="2292"/>
    </row>
    <row r="415" spans="1:26">
      <c r="A415" s="2860"/>
      <c r="B415" s="2860"/>
      <c r="C415" s="2860"/>
      <c r="D415" s="2860"/>
      <c r="E415" s="2860"/>
      <c r="F415" s="2860"/>
      <c r="G415" s="2860"/>
      <c r="H415" s="2860"/>
      <c r="I415" s="2860"/>
      <c r="J415" s="2860"/>
      <c r="K415" s="2860"/>
      <c r="L415" s="2860"/>
      <c r="M415" s="2561"/>
      <c r="N415" s="2860"/>
      <c r="O415" s="475"/>
      <c r="P415" s="1549" t="s">
        <v>39</v>
      </c>
      <c r="Q415" s="2901">
        <f>'GEARINGS, Eb&amp;E'!AJ327</f>
        <v>0.45093517146474416</v>
      </c>
      <c r="R415" s="2901">
        <f>'GEARINGS, Eb&amp;E'!AK327</f>
        <v>0.43916945384982109</v>
      </c>
      <c r="S415" s="2902">
        <f>'GEARINGS, Eb&amp;E'!AL327/'GEARINGS, Eb&amp;E'!$AL$333</f>
        <v>0.17529833474756093</v>
      </c>
      <c r="T415" s="2860"/>
      <c r="U415" s="2860"/>
      <c r="V415" s="2860"/>
      <c r="W415" s="2860"/>
      <c r="X415" s="2860"/>
      <c r="Y415" s="1"/>
      <c r="Z415" s="2292"/>
    </row>
    <row r="416" spans="1:26">
      <c r="A416" s="2860"/>
      <c r="B416" s="2860"/>
      <c r="C416" s="2860"/>
      <c r="D416" s="2860"/>
      <c r="E416" s="2860"/>
      <c r="F416" s="2860"/>
      <c r="G416" s="2860"/>
      <c r="H416" s="2860"/>
      <c r="I416" s="2860"/>
      <c r="J416" s="2860"/>
      <c r="K416" s="2860"/>
      <c r="L416" s="2860"/>
      <c r="M416" s="2561"/>
      <c r="N416" s="2860"/>
      <c r="O416" s="475"/>
      <c r="P416" s="1549" t="s">
        <v>284</v>
      </c>
      <c r="Q416" s="2901">
        <f>'GEARINGS, Eb&amp;E'!AJ328</f>
        <v>0.68457317243488636</v>
      </c>
      <c r="R416" s="2901">
        <f>'GEARINGS, Eb&amp;E'!AK328</f>
        <v>0.75672107111582532</v>
      </c>
      <c r="S416" s="2902">
        <f>'GEARINGS, Eb&amp;E'!AL328/'GEARINGS, Eb&amp;E'!$AL$333</f>
        <v>0.17043684510421031</v>
      </c>
      <c r="T416" s="2860"/>
      <c r="U416" s="2860"/>
      <c r="V416" s="2860"/>
      <c r="W416" s="2860"/>
      <c r="X416" s="2860"/>
      <c r="Y416" s="1"/>
      <c r="Z416" s="2292"/>
    </row>
    <row r="417" spans="1:26">
      <c r="A417" s="2860"/>
      <c r="B417" s="2860"/>
      <c r="C417" s="2860"/>
      <c r="D417" s="2860"/>
      <c r="E417" s="2860"/>
      <c r="F417" s="2860"/>
      <c r="G417" s="2860"/>
      <c r="H417" s="2860"/>
      <c r="I417" s="2860"/>
      <c r="J417" s="2860"/>
      <c r="K417" s="2860"/>
      <c r="L417" s="2860"/>
      <c r="M417" s="2561"/>
      <c r="N417" s="2860"/>
      <c r="O417" s="475"/>
      <c r="P417" s="1549" t="s">
        <v>44</v>
      </c>
      <c r="Q417" s="2901">
        <f>'GEARINGS, Eb&amp;E'!AJ329</f>
        <v>0.5495689942142129</v>
      </c>
      <c r="R417" s="2901">
        <f>'GEARINGS, Eb&amp;E'!AK329</f>
        <v>0.63323863537070213</v>
      </c>
      <c r="S417" s="2902">
        <f>'GEARINGS, Eb&amp;E'!AL329/'GEARINGS, Eb&amp;E'!$AL$333</f>
        <v>0.16650888236046318</v>
      </c>
      <c r="T417" s="2860"/>
      <c r="U417" s="2860"/>
      <c r="V417" s="2860"/>
      <c r="W417" s="2860"/>
      <c r="X417" s="2860"/>
      <c r="Y417" s="1"/>
      <c r="Z417" s="2292"/>
    </row>
    <row r="418" spans="1:26">
      <c r="A418" s="2860"/>
      <c r="B418" s="2860"/>
      <c r="C418" s="2860"/>
      <c r="D418" s="2860"/>
      <c r="E418" s="2860"/>
      <c r="F418" s="2860"/>
      <c r="G418" s="2860"/>
      <c r="H418" s="2860"/>
      <c r="I418" s="2860"/>
      <c r="J418" s="2860"/>
      <c r="K418" s="2860"/>
      <c r="L418" s="2860"/>
      <c r="M418" s="2561"/>
      <c r="N418" s="2860"/>
      <c r="O418" s="475"/>
      <c r="P418" s="1549" t="s">
        <v>288</v>
      </c>
      <c r="Q418" s="2901">
        <f>'GEARINGS, Eb&amp;E'!AJ330</f>
        <v>0.31922230141848357</v>
      </c>
      <c r="R418" s="2901">
        <f>'GEARINGS, Eb&amp;E'!AK330</f>
        <v>0.30362227391248225</v>
      </c>
      <c r="S418" s="2902">
        <f>'GEARINGS, Eb&amp;E'!AL330/'GEARINGS, Eb&amp;E'!$AL$333</f>
        <v>0.152573717744241</v>
      </c>
      <c r="T418" s="2860"/>
      <c r="U418" s="2860"/>
      <c r="V418" s="2860"/>
      <c r="W418" s="2860"/>
      <c r="X418" s="2860"/>
      <c r="Y418" s="1"/>
      <c r="Z418" s="2292"/>
    </row>
    <row r="419" spans="1:26">
      <c r="A419" s="2860"/>
      <c r="B419" s="2860"/>
      <c r="C419" s="2860"/>
      <c r="D419" s="2860"/>
      <c r="E419" s="2860"/>
      <c r="F419" s="2860"/>
      <c r="G419" s="2860"/>
      <c r="H419" s="2860"/>
      <c r="I419" s="2860"/>
      <c r="J419" s="2860"/>
      <c r="K419" s="2860"/>
      <c r="L419" s="2860"/>
      <c r="M419" s="2561"/>
      <c r="N419" s="2860"/>
      <c r="O419" s="475"/>
      <c r="P419" s="2903" t="s">
        <v>276</v>
      </c>
      <c r="Q419" s="2904">
        <f>'GEARINGS, Eb&amp;E'!AJ331</f>
        <v>0.49698573886957192</v>
      </c>
      <c r="R419" s="2904">
        <f>'GEARINGS, Eb&amp;E'!AK331</f>
        <v>0.62319136029119382</v>
      </c>
      <c r="S419" s="2905">
        <f>'GEARINGS, Eb&amp;E'!AL331/'GEARINGS, Eb&amp;E'!$AL$333</f>
        <v>0.15082885402981899</v>
      </c>
      <c r="T419" s="2860"/>
      <c r="U419" s="2860"/>
      <c r="V419" s="2860"/>
      <c r="W419" s="2860"/>
      <c r="X419" s="2860"/>
      <c r="Y419" s="1"/>
      <c r="Z419" s="2292"/>
    </row>
    <row r="420" spans="1:26">
      <c r="A420" s="2881"/>
      <c r="B420" s="2881"/>
      <c r="C420" s="2881"/>
      <c r="D420" s="2881"/>
      <c r="E420" s="2881"/>
      <c r="F420" s="2881"/>
      <c r="G420" s="2881"/>
      <c r="H420" s="2881"/>
      <c r="I420" s="2881"/>
      <c r="J420" s="2881"/>
      <c r="K420" s="2881"/>
      <c r="L420" s="2881"/>
      <c r="M420" s="2561"/>
      <c r="N420" s="2860"/>
      <c r="O420" s="475"/>
      <c r="P420" s="2906" t="s">
        <v>1036</v>
      </c>
      <c r="Q420" s="2907">
        <f>AVERAGE(Q414:Q419)</f>
        <v>0.44783138419754193</v>
      </c>
      <c r="R420" s="2907">
        <f>AVERAGE(R414:R419)</f>
        <v>0.51631980082041551</v>
      </c>
      <c r="S420" s="2908"/>
      <c r="T420" s="2860"/>
      <c r="U420" s="2860"/>
      <c r="V420" s="2860"/>
      <c r="W420" s="2860"/>
      <c r="X420" s="2860"/>
      <c r="Y420" s="1"/>
      <c r="Z420" s="2292"/>
    </row>
    <row r="421" spans="1:26">
      <c r="A421" s="2881"/>
      <c r="B421" s="2881"/>
      <c r="C421" s="2881"/>
      <c r="D421" s="2881"/>
      <c r="E421" s="2881"/>
      <c r="F421" s="2881"/>
      <c r="G421" s="2881"/>
      <c r="H421" s="2881"/>
      <c r="I421" s="2881"/>
      <c r="J421" s="2881"/>
      <c r="K421" s="2881"/>
      <c r="L421" s="2881"/>
      <c r="M421" s="2561"/>
      <c r="N421" s="2881"/>
      <c r="O421" s="475"/>
      <c r="P421" s="2909" t="s">
        <v>1195</v>
      </c>
      <c r="Q421" s="2905">
        <f>SUMPRODUCT(Q414:Q419,$S$414:$S$419)</f>
        <v>0.4451324778044895</v>
      </c>
      <c r="R421" s="2905">
        <f>SUMPRODUCT(R414:R419,$S$414:$S$419)</f>
        <v>0.51476312980450833</v>
      </c>
      <c r="S421" s="1173"/>
      <c r="T421" s="2881"/>
      <c r="U421" s="2881"/>
      <c r="V421" s="2881"/>
      <c r="W421" s="2881"/>
      <c r="X421" s="2881"/>
      <c r="Y421" s="1"/>
      <c r="Z421" s="2292"/>
    </row>
    <row r="422" spans="1:26">
      <c r="A422" s="2881"/>
      <c r="B422" s="2881"/>
      <c r="C422" s="2881"/>
      <c r="D422" s="2881"/>
      <c r="E422" s="2881"/>
      <c r="F422" s="2881"/>
      <c r="G422" s="2881"/>
      <c r="H422" s="2881"/>
      <c r="I422" s="2881"/>
      <c r="J422" s="2881"/>
      <c r="K422" s="2881"/>
      <c r="L422" s="2881"/>
      <c r="M422" s="2561"/>
      <c r="N422" s="2881"/>
      <c r="O422" s="3"/>
      <c r="P422" s="3"/>
      <c r="Q422" s="3"/>
      <c r="R422" s="3"/>
      <c r="S422" s="3"/>
      <c r="T422" s="2881"/>
      <c r="U422" s="2881"/>
      <c r="V422" s="2881"/>
      <c r="W422" s="2881"/>
      <c r="X422" s="2881"/>
      <c r="Y422" s="1"/>
      <c r="Z422" s="2292"/>
    </row>
    <row r="423" spans="1:26">
      <c r="A423" s="2881"/>
      <c r="B423" s="2881"/>
      <c r="C423" s="2881"/>
      <c r="D423" s="2881"/>
      <c r="E423" s="2881"/>
      <c r="F423" s="2881"/>
      <c r="G423" s="2881"/>
      <c r="H423" s="2881"/>
      <c r="I423" s="2881"/>
      <c r="J423" s="2881"/>
      <c r="K423" s="2881"/>
      <c r="L423" s="2881"/>
      <c r="M423" s="2561"/>
      <c r="N423" s="1"/>
      <c r="O423" s="3"/>
      <c r="P423" s="3"/>
      <c r="Q423" s="3"/>
      <c r="R423" s="3"/>
      <c r="S423" s="3"/>
      <c r="T423" s="1"/>
      <c r="U423" s="1"/>
      <c r="V423" s="1"/>
      <c r="W423" s="1"/>
      <c r="X423" s="1"/>
      <c r="Y423" s="1"/>
      <c r="Z423" s="2292"/>
    </row>
    <row r="424" spans="1:26">
      <c r="A424" s="2881"/>
      <c r="B424" s="2881"/>
      <c r="C424" s="2881"/>
      <c r="D424" s="2881"/>
      <c r="E424" s="2881"/>
      <c r="F424" s="2881"/>
      <c r="G424" s="2881"/>
      <c r="H424" s="2881"/>
      <c r="I424" s="2881"/>
      <c r="J424" s="2881"/>
      <c r="K424" s="2881"/>
      <c r="L424" s="2881"/>
      <c r="M424" s="2561"/>
      <c r="N424" s="2561"/>
      <c r="O424" s="2682"/>
      <c r="P424" s="2682"/>
      <c r="Q424" s="2682"/>
      <c r="R424" s="2682"/>
      <c r="S424" s="2682"/>
      <c r="T424" s="2561"/>
      <c r="U424" s="2561"/>
      <c r="V424" s="2561"/>
      <c r="W424" s="2561"/>
      <c r="X424" s="2561"/>
      <c r="Y424" s="2561"/>
      <c r="Z424" s="2292"/>
    </row>
    <row r="425" spans="1:26">
      <c r="A425" s="2881"/>
      <c r="B425" s="2881"/>
      <c r="C425" s="2881"/>
      <c r="D425" s="2881"/>
      <c r="E425" s="2881"/>
      <c r="F425" s="2881"/>
      <c r="G425" s="2881"/>
      <c r="H425" s="2881"/>
      <c r="I425" s="2881"/>
      <c r="J425" s="2881"/>
      <c r="K425" s="2881"/>
      <c r="L425" s="2881"/>
      <c r="M425" s="2561"/>
      <c r="N425" s="2561"/>
      <c r="O425" s="2682"/>
      <c r="P425" s="2682"/>
      <c r="Q425" s="2682"/>
      <c r="R425" s="2682"/>
      <c r="S425" s="2682"/>
      <c r="T425" s="2561"/>
      <c r="U425" s="2561"/>
      <c r="V425" s="2561"/>
      <c r="W425" s="2561"/>
      <c r="X425" s="2561"/>
      <c r="Y425" s="2561"/>
      <c r="Z425" s="2292"/>
    </row>
    <row r="426" spans="1:26">
      <c r="A426" s="2881"/>
      <c r="B426" s="2881"/>
      <c r="C426" s="2881"/>
      <c r="D426" s="2881"/>
      <c r="E426" s="2881"/>
      <c r="F426" s="2881"/>
      <c r="G426" s="2881"/>
      <c r="H426" s="2881"/>
      <c r="I426" s="2881"/>
      <c r="J426" s="2881"/>
      <c r="K426" s="2881"/>
      <c r="L426" s="2881"/>
      <c r="M426" s="2561"/>
      <c r="N426" s="2561"/>
      <c r="O426" s="2682"/>
      <c r="P426" s="2682"/>
      <c r="Q426" s="2682"/>
      <c r="R426" s="2682"/>
      <c r="S426" s="2682"/>
      <c r="T426" s="2561"/>
      <c r="U426" s="2561"/>
      <c r="V426" s="2561"/>
      <c r="W426" s="2561"/>
      <c r="X426" s="2561"/>
      <c r="Y426" s="2561"/>
      <c r="Z426" s="2292"/>
    </row>
    <row r="427" spans="1:26">
      <c r="A427" s="2881"/>
      <c r="B427" s="2881"/>
      <c r="C427" s="2881"/>
      <c r="D427" s="1217" t="s">
        <v>2034</v>
      </c>
      <c r="E427" s="2881"/>
      <c r="F427" s="2881"/>
      <c r="G427" s="2881"/>
      <c r="H427" s="2881"/>
      <c r="I427" s="2881"/>
      <c r="J427" s="2881"/>
      <c r="K427" s="2881"/>
      <c r="L427" s="2881"/>
      <c r="M427" s="2561"/>
      <c r="N427" s="2881"/>
      <c r="O427" s="3"/>
      <c r="P427" s="3"/>
      <c r="Q427" s="3"/>
      <c r="R427" s="3"/>
      <c r="S427" s="3"/>
      <c r="T427" s="2881"/>
      <c r="U427" s="2881"/>
      <c r="V427" s="2881"/>
      <c r="W427" s="2881"/>
      <c r="X427" s="2881"/>
      <c r="Y427" s="1"/>
      <c r="Z427" s="2292"/>
    </row>
    <row r="428" spans="1:26">
      <c r="A428" s="2881"/>
      <c r="B428" s="2881"/>
      <c r="C428" s="2881"/>
      <c r="D428" s="2881"/>
      <c r="E428" s="2881"/>
      <c r="F428" s="2881"/>
      <c r="G428" s="2881"/>
      <c r="H428" s="2881"/>
      <c r="I428" s="2881"/>
      <c r="J428" s="2881"/>
      <c r="K428" s="2881"/>
      <c r="L428" s="2881"/>
      <c r="N428" s="2881"/>
      <c r="O428" s="2881"/>
      <c r="P428" s="2881"/>
      <c r="Q428" s="2881"/>
      <c r="R428" s="2881"/>
      <c r="S428" s="2881"/>
      <c r="T428" s="2881"/>
      <c r="U428" s="2881"/>
      <c r="V428" s="2881"/>
      <c r="W428" s="2881"/>
      <c r="X428" s="2881"/>
      <c r="Y428" s="1"/>
      <c r="Z428" s="2292"/>
    </row>
    <row r="429" spans="1:26">
      <c r="A429" s="2881"/>
      <c r="B429" s="2881"/>
      <c r="C429" s="2881"/>
      <c r="D429" s="2881"/>
      <c r="E429" s="2881"/>
      <c r="F429" s="2881"/>
      <c r="G429" s="2881"/>
      <c r="H429" s="2881"/>
      <c r="I429" s="2881"/>
      <c r="J429" s="2881"/>
      <c r="K429" s="2881"/>
      <c r="L429" s="2881"/>
      <c r="M429" s="2886" t="s">
        <v>2015</v>
      </c>
      <c r="N429" s="2881"/>
      <c r="O429" s="2881"/>
      <c r="P429" s="2881"/>
      <c r="Q429" s="2881"/>
      <c r="R429" s="2881"/>
      <c r="S429" s="2881"/>
      <c r="T429" s="2881"/>
      <c r="U429" s="2881"/>
      <c r="V429" s="2881"/>
      <c r="W429" s="2881"/>
      <c r="X429" s="2881"/>
      <c r="Y429" s="1"/>
      <c r="Z429" s="2292"/>
    </row>
    <row r="430" spans="1:26">
      <c r="A430" s="2881"/>
      <c r="B430" s="2881"/>
      <c r="C430" s="2881"/>
      <c r="D430" s="2881"/>
      <c r="E430" s="2881"/>
      <c r="F430" s="2881"/>
      <c r="G430" s="2881"/>
      <c r="H430" s="2881"/>
      <c r="I430" s="2881"/>
      <c r="J430" s="2881"/>
      <c r="K430" s="2881"/>
      <c r="L430" s="2881"/>
      <c r="M430" s="2561"/>
      <c r="N430" s="2881"/>
      <c r="O430" s="2881"/>
      <c r="P430" s="2881"/>
      <c r="Q430" s="2881"/>
      <c r="R430" s="2881"/>
      <c r="S430" s="2881"/>
      <c r="T430" s="2881"/>
      <c r="U430" s="2881"/>
      <c r="V430" s="2881"/>
      <c r="W430" s="2881"/>
      <c r="X430" s="2881"/>
      <c r="Y430" s="1"/>
      <c r="Z430" s="2292"/>
    </row>
    <row r="431" spans="1:26">
      <c r="A431" s="2881"/>
      <c r="B431" s="2881"/>
      <c r="C431" s="2881"/>
      <c r="D431" s="2881"/>
      <c r="E431" s="2881"/>
      <c r="F431" s="2881"/>
      <c r="G431" s="2881"/>
      <c r="H431" s="2881"/>
      <c r="I431" s="2881"/>
      <c r="J431" s="2881"/>
      <c r="K431" s="2881"/>
      <c r="L431" s="2881"/>
      <c r="M431" s="2561"/>
      <c r="N431" s="2881"/>
      <c r="O431" s="2881"/>
      <c r="P431" s="2881"/>
      <c r="Q431" s="2881"/>
      <c r="R431" s="2881"/>
      <c r="S431" s="2881"/>
      <c r="T431" s="2881"/>
      <c r="U431" s="2881"/>
      <c r="V431" s="2881"/>
      <c r="W431" s="2881"/>
      <c r="X431" s="2881"/>
      <c r="Y431" s="1"/>
      <c r="Z431" s="2292"/>
    </row>
    <row r="432" spans="1:26">
      <c r="A432" s="2860"/>
      <c r="B432" s="2860"/>
      <c r="C432" s="2860"/>
      <c r="D432" s="2860"/>
      <c r="E432" s="2860"/>
      <c r="F432" s="2860"/>
      <c r="G432" s="2860"/>
      <c r="H432" s="2860"/>
      <c r="I432" s="2860"/>
      <c r="J432" s="2860"/>
      <c r="K432" s="2860"/>
      <c r="L432" s="2860"/>
      <c r="M432" s="2561"/>
      <c r="N432" s="2860"/>
      <c r="O432" s="2860"/>
      <c r="P432" s="2860"/>
      <c r="Q432" s="2860"/>
      <c r="R432" s="2860"/>
      <c r="S432" s="2860"/>
      <c r="T432" s="2860"/>
      <c r="U432" s="2860"/>
      <c r="V432" s="2860"/>
      <c r="W432" s="2860"/>
      <c r="X432" s="2860"/>
      <c r="Y432" s="1"/>
      <c r="Z432" s="2292"/>
    </row>
    <row r="433" spans="1:26">
      <c r="A433" s="2860"/>
      <c r="B433" s="2860"/>
      <c r="C433" s="2860"/>
      <c r="D433" s="2860"/>
      <c r="E433" s="2860"/>
      <c r="F433" s="2860"/>
      <c r="G433" s="2860"/>
      <c r="H433" s="2860"/>
      <c r="I433" s="2860"/>
      <c r="J433" s="2860"/>
      <c r="K433" s="2860"/>
      <c r="L433" s="2860"/>
      <c r="M433" s="2561"/>
      <c r="N433" s="2860"/>
      <c r="O433" s="2860"/>
      <c r="P433" s="2860"/>
      <c r="Q433" s="2860"/>
      <c r="R433" s="2860"/>
      <c r="S433" s="2860"/>
      <c r="T433" s="2860"/>
      <c r="U433" s="2860"/>
      <c r="V433" s="2860"/>
      <c r="W433" s="2860"/>
      <c r="X433" s="2860"/>
      <c r="Y433" s="1"/>
      <c r="Z433" s="2292"/>
    </row>
    <row r="434" spans="1:26">
      <c r="A434" s="2860"/>
      <c r="B434" s="2860"/>
      <c r="C434" s="2860"/>
      <c r="D434" s="2860"/>
      <c r="E434" s="2860"/>
      <c r="F434" s="2860"/>
      <c r="G434" s="2860"/>
      <c r="H434" s="2860"/>
      <c r="I434" s="2860"/>
      <c r="J434" s="2860"/>
      <c r="K434" s="2860"/>
      <c r="L434" s="2860"/>
      <c r="M434" s="2561"/>
      <c r="N434" s="2860"/>
      <c r="O434" s="2860"/>
      <c r="P434" s="2860"/>
      <c r="Q434" s="2860"/>
      <c r="R434" s="2860"/>
      <c r="S434" s="2860"/>
      <c r="T434" s="2860"/>
      <c r="U434" s="2860"/>
      <c r="V434" s="2860"/>
      <c r="W434" s="2860"/>
      <c r="X434" s="2860"/>
      <c r="Y434" s="1"/>
      <c r="Z434" s="2292"/>
    </row>
    <row r="435" spans="1:26">
      <c r="A435" s="2860"/>
      <c r="B435" s="2860"/>
      <c r="C435" s="2860"/>
      <c r="D435" s="2860"/>
      <c r="E435" s="2860"/>
      <c r="F435" s="2860"/>
      <c r="G435" s="2860"/>
      <c r="H435" s="2860"/>
      <c r="I435" s="2860"/>
      <c r="J435" s="2860"/>
      <c r="K435" s="2860"/>
      <c r="L435" s="2860"/>
      <c r="M435" s="2561"/>
      <c r="N435" s="2860"/>
      <c r="O435" s="2860"/>
      <c r="P435" s="2860"/>
      <c r="Q435" s="2860"/>
      <c r="R435" s="2860"/>
      <c r="S435" s="2860"/>
      <c r="T435" s="2860"/>
      <c r="U435" s="2860"/>
      <c r="V435" s="2860"/>
      <c r="W435" s="2860"/>
      <c r="X435" s="2860"/>
      <c r="Y435" s="1"/>
      <c r="Z435" s="2292"/>
    </row>
    <row r="436" spans="1:26">
      <c r="A436" s="2860"/>
      <c r="B436" s="2860"/>
      <c r="C436" s="2860"/>
      <c r="D436" s="2860"/>
      <c r="E436" s="2860"/>
      <c r="F436" s="2860"/>
      <c r="G436" s="2860"/>
      <c r="H436" s="2860"/>
      <c r="I436" s="2860"/>
      <c r="J436" s="2860"/>
      <c r="K436" s="2860"/>
      <c r="L436" s="2860"/>
      <c r="M436" s="2561"/>
      <c r="N436" s="2860"/>
      <c r="O436" s="2860"/>
      <c r="P436" s="2860"/>
      <c r="Q436" s="2860"/>
      <c r="R436" s="2860"/>
      <c r="S436" s="2860"/>
      <c r="T436" s="2860"/>
      <c r="U436" s="2860"/>
      <c r="V436" s="2860"/>
      <c r="W436" s="2860"/>
      <c r="X436" s="2860"/>
      <c r="Y436" s="1"/>
      <c r="Z436" s="2292"/>
    </row>
    <row r="437" spans="1:26">
      <c r="A437" s="2860"/>
      <c r="B437" s="2860"/>
      <c r="C437" s="2860"/>
      <c r="D437" s="2860"/>
      <c r="E437" s="2860"/>
      <c r="F437" s="2860"/>
      <c r="G437" s="2860"/>
      <c r="H437" s="2860"/>
      <c r="I437" s="2860"/>
      <c r="J437" s="2860"/>
      <c r="K437" s="2860"/>
      <c r="L437" s="2860"/>
      <c r="M437" s="2561"/>
      <c r="N437" s="2860"/>
      <c r="O437" s="2860"/>
      <c r="P437" s="2860"/>
      <c r="Q437" s="2860"/>
      <c r="R437" s="2860"/>
      <c r="S437" s="2860"/>
      <c r="T437" s="2860"/>
      <c r="U437" s="2860"/>
      <c r="V437" s="2860"/>
      <c r="W437" s="2860"/>
      <c r="X437" s="2860"/>
      <c r="Y437" s="1"/>
      <c r="Z437" s="2292"/>
    </row>
    <row r="438" spans="1:26">
      <c r="A438" s="2860"/>
      <c r="B438" s="2860"/>
      <c r="C438" s="2860"/>
      <c r="D438" s="2860"/>
      <c r="E438" s="2860"/>
      <c r="F438" s="2860"/>
      <c r="G438" s="2860"/>
      <c r="H438" s="2860"/>
      <c r="I438" s="2860"/>
      <c r="J438" s="2860"/>
      <c r="K438" s="2860"/>
      <c r="L438" s="2860"/>
      <c r="M438" s="2561"/>
      <c r="N438" s="2860"/>
      <c r="O438" s="2860"/>
      <c r="P438" s="2860"/>
      <c r="Q438" s="2860"/>
      <c r="R438" s="2860"/>
      <c r="S438" s="2860"/>
      <c r="T438" s="2860"/>
      <c r="U438" s="2860"/>
      <c r="V438" s="2860"/>
      <c r="W438" s="2860"/>
      <c r="X438" s="2860"/>
      <c r="Y438" s="1"/>
      <c r="Z438" s="2292"/>
    </row>
    <row r="439" spans="1:26">
      <c r="A439" s="2860"/>
      <c r="B439" s="2860"/>
      <c r="C439" s="2860"/>
      <c r="D439" s="2860"/>
      <c r="E439" s="2860"/>
      <c r="F439" s="2860"/>
      <c r="G439" s="2860"/>
      <c r="H439" s="2860"/>
      <c r="I439" s="2860"/>
      <c r="J439" s="2860"/>
      <c r="K439" s="2860"/>
      <c r="L439" s="2860"/>
      <c r="M439" s="2561"/>
      <c r="N439" s="2860"/>
      <c r="O439" s="2860"/>
      <c r="P439" s="2860"/>
      <c r="Q439" s="2860"/>
      <c r="R439" s="2860"/>
      <c r="S439" s="2860"/>
      <c r="T439" s="2860"/>
      <c r="U439" s="2860"/>
      <c r="V439" s="2860"/>
      <c r="W439" s="2860"/>
      <c r="X439" s="2860"/>
      <c r="Y439" s="1"/>
      <c r="Z439" s="2292"/>
    </row>
    <row r="440" spans="1:26">
      <c r="A440" s="2860"/>
      <c r="B440" s="2860"/>
      <c r="C440" s="2860"/>
      <c r="D440" s="2860"/>
      <c r="E440" s="2860"/>
      <c r="F440" s="2860"/>
      <c r="G440" s="2860"/>
      <c r="H440" s="2860"/>
      <c r="I440" s="2860"/>
      <c r="J440" s="2860"/>
      <c r="K440" s="2860"/>
      <c r="L440" s="2860"/>
      <c r="M440" s="2561"/>
      <c r="N440" s="2860"/>
      <c r="O440" s="2860"/>
      <c r="P440" s="2860"/>
      <c r="Q440" s="2860"/>
      <c r="R440" s="2860"/>
      <c r="S440" s="2860"/>
      <c r="T440" s="2860"/>
      <c r="U440" s="2860"/>
      <c r="V440" s="2860"/>
      <c r="W440" s="2860"/>
      <c r="X440" s="2860"/>
      <c r="Y440" s="1"/>
      <c r="Z440" s="2292"/>
    </row>
    <row r="441" spans="1:26">
      <c r="A441" s="2860"/>
      <c r="B441" s="2860"/>
      <c r="C441" s="2860"/>
      <c r="D441" s="2860"/>
      <c r="E441" s="2860"/>
      <c r="F441" s="2860"/>
      <c r="G441" s="2860"/>
      <c r="H441" s="2860"/>
      <c r="I441" s="2860"/>
      <c r="J441" s="2860"/>
      <c r="K441" s="2860"/>
      <c r="L441" s="2860"/>
      <c r="M441" s="2561"/>
      <c r="N441" s="2860"/>
      <c r="O441" s="2860"/>
      <c r="P441" s="2860"/>
      <c r="Q441" s="2860"/>
      <c r="R441" s="2860"/>
      <c r="S441" s="2860"/>
      <c r="T441" s="2860"/>
      <c r="U441" s="2860"/>
      <c r="V441" s="2860"/>
      <c r="W441" s="2860"/>
      <c r="X441" s="2860"/>
      <c r="Y441" s="1"/>
      <c r="Z441" s="2292"/>
    </row>
    <row r="442" spans="1:26">
      <c r="A442" s="2860"/>
      <c r="B442" s="2860"/>
      <c r="C442" s="2860"/>
      <c r="D442" s="2860"/>
      <c r="E442" s="2860"/>
      <c r="F442" s="2860"/>
      <c r="G442" s="2860"/>
      <c r="H442" s="2860"/>
      <c r="I442" s="2860"/>
      <c r="J442" s="2860"/>
      <c r="K442" s="2860"/>
      <c r="L442" s="2860"/>
      <c r="M442" s="2561"/>
      <c r="N442" s="2860"/>
      <c r="O442" s="2860"/>
      <c r="P442" s="2860"/>
      <c r="Q442" s="2860"/>
      <c r="R442" s="2860"/>
      <c r="S442" s="2860"/>
      <c r="T442" s="2860"/>
      <c r="U442" s="2860"/>
      <c r="V442" s="2860"/>
      <c r="W442" s="2860"/>
      <c r="X442" s="2860"/>
      <c r="Y442" s="1"/>
      <c r="Z442" s="2292"/>
    </row>
    <row r="443" spans="1:26">
      <c r="A443" s="2860"/>
      <c r="B443" s="2860"/>
      <c r="C443" s="2860"/>
      <c r="D443" s="2860"/>
      <c r="E443" s="2860"/>
      <c r="F443" s="2860"/>
      <c r="G443" s="2860"/>
      <c r="H443" s="2860"/>
      <c r="I443" s="2860"/>
      <c r="J443" s="2860"/>
      <c r="K443" s="2860"/>
      <c r="L443" s="2860"/>
      <c r="M443" s="2561"/>
      <c r="N443" s="1"/>
      <c r="O443" s="1"/>
      <c r="P443" s="1"/>
      <c r="Q443" s="1"/>
      <c r="R443" s="1"/>
      <c r="S443" s="1"/>
      <c r="T443" s="1"/>
      <c r="U443" s="1"/>
      <c r="V443" s="1"/>
      <c r="W443" s="1"/>
      <c r="X443" s="1"/>
      <c r="Y443" s="1"/>
      <c r="Z443" s="2292"/>
    </row>
    <row r="444" spans="1:26">
      <c r="A444" s="2860"/>
      <c r="B444" s="2860"/>
      <c r="C444" s="2860"/>
      <c r="D444" s="2860"/>
      <c r="E444" s="2860"/>
      <c r="F444" s="2860"/>
      <c r="G444" s="2860"/>
      <c r="H444" s="2860"/>
      <c r="I444" s="2860"/>
      <c r="J444" s="2860"/>
      <c r="K444" s="2860"/>
      <c r="L444" s="2860"/>
      <c r="M444" s="2561"/>
      <c r="N444" s="2561"/>
      <c r="O444" s="2561"/>
      <c r="P444" s="2561"/>
      <c r="Q444" s="2561"/>
      <c r="R444" s="2561"/>
      <c r="S444" s="2561"/>
      <c r="T444" s="2561"/>
      <c r="U444" s="2561"/>
      <c r="V444" s="2561"/>
      <c r="W444" s="2561"/>
      <c r="X444" s="2561"/>
      <c r="Y444" s="2561"/>
      <c r="Z444" s="2292"/>
    </row>
    <row r="445" spans="1:26">
      <c r="A445" s="975" t="s">
        <v>38</v>
      </c>
      <c r="B445" s="1389"/>
      <c r="C445" s="2860"/>
      <c r="D445" s="1217" t="s">
        <v>2035</v>
      </c>
      <c r="E445" s="2860"/>
      <c r="F445" s="2860"/>
      <c r="G445" s="2860"/>
      <c r="H445" s="2860"/>
      <c r="I445" s="2860"/>
      <c r="J445" s="2860"/>
      <c r="K445" s="2860"/>
      <c r="L445" s="2860"/>
      <c r="Z445" s="2292"/>
    </row>
    <row r="446" spans="1:26">
      <c r="A446" s="2860"/>
      <c r="B446" s="2860"/>
      <c r="C446" s="2860"/>
      <c r="D446" s="2860"/>
      <c r="E446" s="2860"/>
      <c r="F446" s="2860"/>
      <c r="G446" s="2860"/>
      <c r="H446" s="2860"/>
      <c r="I446" s="2860"/>
      <c r="J446" s="2860"/>
      <c r="K446" s="2860"/>
      <c r="L446" s="2860"/>
      <c r="Z446" s="2292"/>
    </row>
    <row r="447" spans="1:26">
      <c r="A447" s="2860"/>
      <c r="B447" s="2860"/>
      <c r="C447" s="2860"/>
      <c r="D447" s="2860"/>
      <c r="E447" s="2860"/>
      <c r="F447" s="2860"/>
      <c r="G447" s="2860"/>
      <c r="H447" s="2860"/>
      <c r="I447" s="2860"/>
      <c r="J447" s="2860"/>
      <c r="K447" s="2860"/>
      <c r="L447" s="2860"/>
      <c r="Z447" s="2292"/>
    </row>
    <row r="448" spans="1:26">
      <c r="A448" s="2860"/>
      <c r="B448" s="2860"/>
      <c r="C448" s="2860"/>
      <c r="D448" s="2860"/>
      <c r="E448" s="2860"/>
      <c r="F448" s="2860"/>
      <c r="G448" s="2860"/>
      <c r="H448" s="2860"/>
      <c r="I448" s="2860"/>
      <c r="J448" s="2860"/>
      <c r="K448" s="2860"/>
      <c r="L448" s="2860"/>
      <c r="Z448" s="2292"/>
    </row>
    <row r="449" spans="1:26">
      <c r="A449" s="2860"/>
      <c r="B449" s="2860"/>
      <c r="C449" s="2860"/>
      <c r="D449" s="2860"/>
      <c r="E449" s="2860"/>
      <c r="F449" s="2860"/>
      <c r="G449" s="2860"/>
      <c r="H449" s="2860"/>
      <c r="I449" s="2860"/>
      <c r="J449" s="2860"/>
      <c r="K449" s="2860"/>
      <c r="L449" s="2860"/>
      <c r="Z449" s="2292"/>
    </row>
    <row r="450" spans="1:26">
      <c r="A450" s="2860"/>
      <c r="B450" s="2860"/>
      <c r="C450" s="2860"/>
      <c r="D450" s="2860"/>
      <c r="E450" s="2860"/>
      <c r="F450" s="2860"/>
      <c r="G450" s="2860"/>
      <c r="H450" s="2860"/>
      <c r="I450" s="2860"/>
      <c r="J450" s="2860"/>
      <c r="K450" s="2860"/>
      <c r="L450" s="2860"/>
      <c r="Z450" s="2292"/>
    </row>
    <row r="451" spans="1:26">
      <c r="A451" s="2860"/>
      <c r="B451" s="2860"/>
      <c r="C451" s="2860"/>
      <c r="D451" s="2860"/>
      <c r="E451" s="2860"/>
      <c r="F451" s="2860"/>
      <c r="G451" s="2860"/>
      <c r="H451" s="2860"/>
      <c r="I451" s="2860"/>
      <c r="J451" s="2860"/>
      <c r="K451" s="2860"/>
      <c r="L451" s="2860"/>
      <c r="Z451" s="2292"/>
    </row>
    <row r="452" spans="1:26">
      <c r="A452" s="2860"/>
      <c r="B452" s="2860"/>
      <c r="C452" s="2860"/>
      <c r="D452" s="2860"/>
      <c r="E452" s="2860"/>
      <c r="F452" s="2860"/>
      <c r="G452" s="2860"/>
      <c r="H452" s="2860"/>
      <c r="I452" s="2860"/>
      <c r="J452" s="2860"/>
      <c r="K452" s="2860"/>
      <c r="L452" s="2860"/>
      <c r="Z452" s="2292"/>
    </row>
    <row r="453" spans="1:26">
      <c r="A453" s="2860"/>
      <c r="B453" s="2860"/>
      <c r="C453" s="2860"/>
      <c r="D453" s="2860"/>
      <c r="E453" s="2860"/>
      <c r="F453" s="2860"/>
      <c r="G453" s="2860"/>
      <c r="H453" s="2860"/>
      <c r="I453" s="2860"/>
      <c r="J453" s="2860"/>
      <c r="K453" s="2860"/>
      <c r="L453" s="2860"/>
      <c r="Z453" s="2292"/>
    </row>
    <row r="454" spans="1:26">
      <c r="A454" s="2860"/>
      <c r="B454" s="2860"/>
      <c r="C454" s="2860"/>
      <c r="D454" s="2860"/>
      <c r="E454" s="2860"/>
      <c r="F454" s="2860"/>
      <c r="G454" s="2860"/>
      <c r="H454" s="2860"/>
      <c r="I454" s="2860"/>
      <c r="J454" s="2860"/>
      <c r="K454" s="2860"/>
      <c r="L454" s="2860"/>
      <c r="Z454" s="2292"/>
    </row>
    <row r="455" spans="1:26">
      <c r="A455" s="2860"/>
      <c r="B455" s="2860"/>
      <c r="C455" s="2860"/>
      <c r="D455" s="2860"/>
      <c r="E455" s="2860"/>
      <c r="F455" s="2860"/>
      <c r="G455" s="2860"/>
      <c r="H455" s="2860"/>
      <c r="I455" s="2860"/>
      <c r="J455" s="2860"/>
      <c r="K455" s="2860"/>
      <c r="L455" s="2860"/>
      <c r="Z455" s="2292"/>
    </row>
    <row r="456" spans="1:26">
      <c r="A456" s="2860"/>
      <c r="B456" s="2860"/>
      <c r="C456" s="2860"/>
      <c r="D456" s="2860"/>
      <c r="E456" s="2860"/>
      <c r="F456" s="2860"/>
      <c r="G456" s="2860"/>
      <c r="H456" s="2860"/>
      <c r="I456" s="2860"/>
      <c r="J456" s="2860"/>
      <c r="K456" s="2860"/>
      <c r="L456" s="2860"/>
      <c r="Z456" s="2292"/>
    </row>
    <row r="457" spans="1:26">
      <c r="A457" s="2860"/>
      <c r="B457" s="2860"/>
      <c r="C457" s="2860"/>
      <c r="D457" s="2860"/>
      <c r="E457" s="2860"/>
      <c r="F457" s="2860"/>
      <c r="G457" s="2860"/>
      <c r="H457" s="2860"/>
      <c r="I457" s="2860"/>
      <c r="J457" s="2860"/>
      <c r="K457" s="2860"/>
      <c r="L457" s="2860"/>
      <c r="Z457" s="2292"/>
    </row>
    <row r="458" spans="1:26">
      <c r="A458" s="2860"/>
      <c r="B458" s="2860"/>
      <c r="C458" s="2860"/>
      <c r="D458" s="2860"/>
      <c r="E458" s="2860"/>
      <c r="F458" s="2860"/>
      <c r="G458" s="2860"/>
      <c r="H458" s="2860"/>
      <c r="I458" s="2860"/>
      <c r="J458" s="2860"/>
      <c r="K458" s="2860"/>
      <c r="L458" s="2860"/>
      <c r="Z458" s="2292"/>
    </row>
    <row r="459" spans="1:26">
      <c r="A459" s="2860"/>
      <c r="B459" s="2860"/>
      <c r="C459" s="2860"/>
      <c r="D459" s="2860"/>
      <c r="E459" s="2860"/>
      <c r="F459" s="2860"/>
      <c r="G459" s="2860"/>
      <c r="H459" s="2860"/>
      <c r="I459" s="2860"/>
      <c r="J459" s="2860"/>
      <c r="K459" s="2860"/>
      <c r="L459" s="2860"/>
      <c r="Z459" s="2292"/>
    </row>
    <row r="460" spans="1:26">
      <c r="A460" s="2860"/>
      <c r="B460" s="2860"/>
      <c r="C460" s="2860"/>
      <c r="D460" s="2860"/>
      <c r="E460" s="2860"/>
      <c r="F460" s="2860"/>
      <c r="G460" s="2860"/>
      <c r="H460" s="2860"/>
      <c r="I460" s="2860"/>
      <c r="J460" s="2860"/>
      <c r="K460" s="2860"/>
      <c r="L460" s="2860"/>
      <c r="Z460" s="2292"/>
    </row>
    <row r="461" spans="1:26">
      <c r="A461" s="2860"/>
      <c r="B461" s="2860"/>
      <c r="C461" s="2860"/>
      <c r="D461" s="2860"/>
      <c r="E461" s="2860"/>
      <c r="F461" s="2860"/>
      <c r="G461" s="2860"/>
      <c r="H461" s="2860"/>
      <c r="I461" s="2860"/>
      <c r="J461" s="2860"/>
      <c r="K461" s="2860"/>
      <c r="L461" s="2860"/>
      <c r="Z461" s="2292"/>
    </row>
    <row r="462" spans="1:26">
      <c r="A462" s="2860"/>
      <c r="B462" s="2860"/>
      <c r="C462" s="2860"/>
      <c r="D462" s="1217" t="s">
        <v>2036</v>
      </c>
      <c r="E462" s="2860"/>
      <c r="F462" s="2860"/>
      <c r="G462" s="2860"/>
      <c r="H462" s="2860"/>
      <c r="I462" s="2860"/>
      <c r="J462" s="2860"/>
      <c r="K462" s="2860"/>
      <c r="L462" s="2860"/>
      <c r="M462" s="2561"/>
      <c r="N462" s="2860"/>
      <c r="O462" s="2860"/>
      <c r="P462" s="2860"/>
      <c r="Q462" s="2860"/>
      <c r="R462" s="2860"/>
      <c r="S462" s="2860"/>
      <c r="T462" s="2860"/>
      <c r="U462" s="2860"/>
      <c r="V462" s="2860"/>
      <c r="W462" s="2860"/>
      <c r="X462" s="2860"/>
      <c r="Y462" s="1"/>
      <c r="Z462" s="2292"/>
    </row>
    <row r="463" spans="1:26">
      <c r="A463" s="2860"/>
      <c r="B463" s="2860"/>
      <c r="C463" s="2860"/>
      <c r="D463" s="2860"/>
      <c r="E463" s="2860"/>
      <c r="F463" s="2860"/>
      <c r="G463" s="2860"/>
      <c r="H463" s="2860"/>
      <c r="I463" s="2860"/>
      <c r="J463" s="2860"/>
      <c r="K463" s="2860"/>
      <c r="L463" s="2860"/>
      <c r="M463" s="2561"/>
      <c r="N463" s="2860"/>
      <c r="O463" s="2860"/>
      <c r="P463" s="2860"/>
      <c r="Q463" s="2860"/>
      <c r="R463" s="2860"/>
      <c r="S463" s="2860"/>
      <c r="T463" s="2860"/>
      <c r="U463" s="2860"/>
      <c r="V463" s="2860"/>
      <c r="W463" s="2860"/>
      <c r="X463" s="2860"/>
      <c r="Y463" s="1"/>
      <c r="Z463" s="2292"/>
    </row>
    <row r="464" spans="1:26">
      <c r="A464" s="2860"/>
      <c r="B464" s="2860"/>
      <c r="C464" s="2860"/>
      <c r="D464" s="2860"/>
      <c r="E464" s="2860"/>
      <c r="F464" s="2860"/>
      <c r="G464" s="2860"/>
      <c r="H464" s="2860"/>
      <c r="I464" s="2860"/>
      <c r="J464" s="2860"/>
      <c r="K464" s="2860"/>
      <c r="L464" s="2860"/>
      <c r="M464" s="2886" t="s">
        <v>2015</v>
      </c>
      <c r="N464" s="2860"/>
      <c r="O464" s="2860"/>
      <c r="P464" s="2860"/>
      <c r="Q464" s="2860"/>
      <c r="R464" s="2860"/>
      <c r="S464" s="2860"/>
      <c r="T464" s="2860"/>
      <c r="U464" s="2860"/>
      <c r="V464" s="2860"/>
      <c r="W464" s="2860"/>
      <c r="X464" s="2860"/>
      <c r="Y464" s="1"/>
      <c r="Z464" s="2292"/>
    </row>
    <row r="465" spans="1:26">
      <c r="A465" s="2860"/>
      <c r="B465" s="2860"/>
      <c r="C465" s="2860"/>
      <c r="D465" s="2860"/>
      <c r="E465" s="2860"/>
      <c r="F465" s="2860"/>
      <c r="G465" s="2860"/>
      <c r="H465" s="2860"/>
      <c r="I465" s="2860"/>
      <c r="J465" s="2860"/>
      <c r="K465" s="2860"/>
      <c r="L465" s="2860"/>
      <c r="M465" s="2561"/>
      <c r="N465" s="2860"/>
      <c r="O465" s="2860"/>
      <c r="P465" s="2860"/>
      <c r="Q465" s="2860"/>
      <c r="R465" s="2860"/>
      <c r="S465" s="2860"/>
      <c r="T465" s="2860"/>
      <c r="U465" s="2860"/>
      <c r="V465" s="2860"/>
      <c r="W465" s="2860"/>
      <c r="X465" s="2860"/>
      <c r="Y465" s="1"/>
      <c r="Z465" s="2292"/>
    </row>
    <row r="466" spans="1:26">
      <c r="A466" s="2860"/>
      <c r="B466" s="2860"/>
      <c r="C466" s="2860"/>
      <c r="D466" s="2860"/>
      <c r="E466" s="2860"/>
      <c r="F466" s="2860"/>
      <c r="G466" s="2860"/>
      <c r="H466" s="2860"/>
      <c r="I466" s="2860"/>
      <c r="J466" s="2860"/>
      <c r="K466" s="2860"/>
      <c r="L466" s="2860"/>
      <c r="M466" s="2561"/>
      <c r="N466" s="2860"/>
      <c r="O466" s="2860"/>
      <c r="P466" s="2860"/>
      <c r="Q466" s="2860"/>
      <c r="R466" s="2860"/>
      <c r="S466" s="2860"/>
      <c r="T466" s="2860"/>
      <c r="U466" s="2860"/>
      <c r="V466" s="2860"/>
      <c r="W466" s="2860"/>
      <c r="X466" s="2860"/>
      <c r="Y466" s="1"/>
      <c r="Z466" s="2292"/>
    </row>
    <row r="467" spans="1:26">
      <c r="A467" s="2860"/>
      <c r="B467" s="2860"/>
      <c r="C467" s="2860"/>
      <c r="D467" s="2860"/>
      <c r="E467" s="2860"/>
      <c r="F467" s="2860"/>
      <c r="G467" s="2860"/>
      <c r="H467" s="2860"/>
      <c r="I467" s="2860"/>
      <c r="J467" s="2860"/>
      <c r="K467" s="2860"/>
      <c r="L467" s="2860"/>
      <c r="M467" s="2561"/>
      <c r="N467" s="2860"/>
      <c r="O467" s="2860"/>
      <c r="P467" s="2860"/>
      <c r="Q467" s="2860"/>
      <c r="R467" s="2860"/>
      <c r="S467" s="2860"/>
      <c r="T467" s="2860"/>
      <c r="U467" s="2860"/>
      <c r="V467" s="2860"/>
      <c r="W467" s="2860"/>
      <c r="X467" s="2860"/>
      <c r="Y467" s="1"/>
      <c r="Z467" s="2292"/>
    </row>
    <row r="468" spans="1:26">
      <c r="A468" s="2860"/>
      <c r="B468" s="2860"/>
      <c r="C468" s="2860"/>
      <c r="D468" s="2860"/>
      <c r="E468" s="2860"/>
      <c r="F468" s="2860"/>
      <c r="G468" s="2860"/>
      <c r="H468" s="2860"/>
      <c r="I468" s="2860"/>
      <c r="J468" s="2860"/>
      <c r="K468" s="2860"/>
      <c r="L468" s="2860"/>
      <c r="M468" s="2561"/>
      <c r="N468" s="2860"/>
      <c r="O468" s="2860"/>
      <c r="P468" s="2860"/>
      <c r="Q468" s="2860"/>
      <c r="R468" s="2860"/>
      <c r="S468" s="2860"/>
      <c r="T468" s="2860"/>
      <c r="U468" s="2860"/>
      <c r="V468" s="2860"/>
      <c r="W468" s="2860"/>
      <c r="X468" s="2860"/>
      <c r="Y468" s="1"/>
      <c r="Z468" s="2292"/>
    </row>
    <row r="469" spans="1:26">
      <c r="A469" s="2860"/>
      <c r="B469" s="2860"/>
      <c r="C469" s="2860"/>
      <c r="D469" s="2860"/>
      <c r="E469" s="2860"/>
      <c r="F469" s="2860"/>
      <c r="G469" s="2860"/>
      <c r="H469" s="2860"/>
      <c r="I469" s="2860"/>
      <c r="J469" s="2860"/>
      <c r="K469" s="2860"/>
      <c r="L469" s="2860"/>
      <c r="M469" s="2561"/>
      <c r="N469" s="2860"/>
      <c r="O469" s="2860"/>
      <c r="P469" s="2860"/>
      <c r="Q469" s="2860"/>
      <c r="R469" s="2860"/>
      <c r="S469" s="2860"/>
      <c r="T469" s="2860"/>
      <c r="U469" s="2860"/>
      <c r="V469" s="2860"/>
      <c r="W469" s="2860"/>
      <c r="X469" s="2860"/>
      <c r="Y469" s="1"/>
      <c r="Z469" s="2292"/>
    </row>
    <row r="470" spans="1:26">
      <c r="A470" s="2860"/>
      <c r="B470" s="2860"/>
      <c r="C470" s="2860"/>
      <c r="D470" s="2860"/>
      <c r="E470" s="2860"/>
      <c r="F470" s="2860"/>
      <c r="G470" s="2860"/>
      <c r="H470" s="2860"/>
      <c r="I470" s="2860"/>
      <c r="J470" s="2860"/>
      <c r="K470" s="2860"/>
      <c r="L470" s="2860"/>
      <c r="M470" s="2561"/>
      <c r="N470" s="2860"/>
      <c r="O470" s="2860"/>
      <c r="P470" s="2860"/>
      <c r="Q470" s="2860"/>
      <c r="R470" s="2860"/>
      <c r="S470" s="2860"/>
      <c r="T470" s="2860"/>
      <c r="U470" s="2860"/>
      <c r="V470" s="2860"/>
      <c r="W470" s="2860"/>
      <c r="X470" s="2860"/>
      <c r="Y470" s="1"/>
      <c r="Z470" s="2292"/>
    </row>
    <row r="471" spans="1:26">
      <c r="A471" s="2860"/>
      <c r="B471" s="2860"/>
      <c r="C471" s="2860"/>
      <c r="D471" s="2860"/>
      <c r="E471" s="2860"/>
      <c r="F471" s="2860"/>
      <c r="G471" s="2860"/>
      <c r="H471" s="2860"/>
      <c r="I471" s="2860"/>
      <c r="J471" s="2860"/>
      <c r="K471" s="2860"/>
      <c r="L471" s="2860"/>
      <c r="M471" s="2561"/>
      <c r="N471" s="2860"/>
      <c r="O471" s="2860"/>
      <c r="P471" s="2860"/>
      <c r="Q471" s="2860"/>
      <c r="R471" s="2860"/>
      <c r="S471" s="2860"/>
      <c r="T471" s="2860"/>
      <c r="U471" s="2860"/>
      <c r="V471" s="2860"/>
      <c r="W471" s="2860"/>
      <c r="X471" s="2860"/>
      <c r="Y471" s="1"/>
      <c r="Z471" s="2292"/>
    </row>
    <row r="472" spans="1:26">
      <c r="A472" s="2860"/>
      <c r="B472" s="2860"/>
      <c r="C472" s="2860"/>
      <c r="D472" s="2860"/>
      <c r="E472" s="2860"/>
      <c r="F472" s="2860"/>
      <c r="G472" s="2860"/>
      <c r="H472" s="2860"/>
      <c r="I472" s="2860"/>
      <c r="J472" s="2860"/>
      <c r="K472" s="2860"/>
      <c r="L472" s="2860"/>
      <c r="M472" s="2561"/>
      <c r="N472" s="2860"/>
      <c r="O472" s="2860"/>
      <c r="P472" s="2860"/>
      <c r="Q472" s="2860"/>
      <c r="R472" s="2860"/>
      <c r="S472" s="2860"/>
      <c r="T472" s="2860"/>
      <c r="U472" s="2860"/>
      <c r="V472" s="2860"/>
      <c r="W472" s="2860"/>
      <c r="X472" s="2860"/>
      <c r="Y472" s="1"/>
      <c r="Z472" s="2292"/>
    </row>
    <row r="473" spans="1:26">
      <c r="A473" s="2860"/>
      <c r="B473" s="2860"/>
      <c r="C473" s="2860"/>
      <c r="D473" s="2860"/>
      <c r="E473" s="2860"/>
      <c r="F473" s="2860"/>
      <c r="G473" s="2860"/>
      <c r="H473" s="2860"/>
      <c r="I473" s="2860"/>
      <c r="J473" s="2860"/>
      <c r="K473" s="2860"/>
      <c r="L473" s="2860"/>
      <c r="M473" s="2561"/>
      <c r="N473" s="2860"/>
      <c r="O473" s="2860"/>
      <c r="P473" s="2860"/>
      <c r="Q473" s="2860"/>
      <c r="R473" s="2860"/>
      <c r="S473" s="2860"/>
      <c r="T473" s="2860"/>
      <c r="U473" s="2860"/>
      <c r="V473" s="2860"/>
      <c r="W473" s="2860"/>
      <c r="X473" s="2860"/>
      <c r="Y473" s="1"/>
      <c r="Z473" s="2292"/>
    </row>
    <row r="474" spans="1:26">
      <c r="A474" s="2860"/>
      <c r="B474" s="2860"/>
      <c r="C474" s="2860"/>
      <c r="D474" s="2860"/>
      <c r="E474" s="2860"/>
      <c r="F474" s="2860"/>
      <c r="G474" s="2860"/>
      <c r="H474" s="2860"/>
      <c r="I474" s="2860"/>
      <c r="J474" s="2860"/>
      <c r="K474" s="2860"/>
      <c r="L474" s="2860"/>
      <c r="M474" s="2561"/>
      <c r="N474" s="2860"/>
      <c r="O474" s="2860"/>
      <c r="P474" s="2860"/>
      <c r="Q474" s="2860"/>
      <c r="R474" s="2860"/>
      <c r="S474" s="2860"/>
      <c r="T474" s="2860"/>
      <c r="U474" s="2860"/>
      <c r="V474" s="2860"/>
      <c r="W474" s="2860"/>
      <c r="X474" s="2860"/>
      <c r="Y474" s="1"/>
      <c r="Z474" s="2292"/>
    </row>
    <row r="475" spans="1:26">
      <c r="A475" s="2860"/>
      <c r="B475" s="2860"/>
      <c r="C475" s="2860"/>
      <c r="D475" s="2860"/>
      <c r="E475" s="2860"/>
      <c r="F475" s="2860"/>
      <c r="G475" s="2860"/>
      <c r="H475" s="2860"/>
      <c r="I475" s="2860"/>
      <c r="J475" s="2860"/>
      <c r="K475" s="2860"/>
      <c r="L475" s="2860"/>
      <c r="M475" s="2561"/>
      <c r="N475" s="2860"/>
      <c r="O475" s="2860"/>
      <c r="P475" s="2860"/>
      <c r="Q475" s="2860"/>
      <c r="R475" s="2860"/>
      <c r="S475" s="2860"/>
      <c r="T475" s="2860"/>
      <c r="U475" s="2860"/>
      <c r="V475" s="2860"/>
      <c r="W475" s="2860"/>
      <c r="X475" s="2860"/>
      <c r="Y475" s="1"/>
      <c r="Z475" s="2292"/>
    </row>
    <row r="476" spans="1:26">
      <c r="A476" s="2860"/>
      <c r="B476" s="2860"/>
      <c r="C476" s="2860"/>
      <c r="D476" s="2860"/>
      <c r="E476" s="2860"/>
      <c r="F476" s="2860"/>
      <c r="G476" s="2860"/>
      <c r="H476" s="2860"/>
      <c r="I476" s="2860"/>
      <c r="J476" s="2860"/>
      <c r="K476" s="2860"/>
      <c r="L476" s="2860"/>
      <c r="M476" s="2561"/>
      <c r="N476" s="2860"/>
      <c r="O476" s="2860"/>
      <c r="P476" s="2860"/>
      <c r="Q476" s="2860"/>
      <c r="R476" s="2860"/>
      <c r="S476" s="2860"/>
      <c r="T476" s="2860"/>
      <c r="U476" s="2860"/>
      <c r="V476" s="2860"/>
      <c r="W476" s="2860"/>
      <c r="X476" s="2860"/>
      <c r="Y476" s="1"/>
      <c r="Z476" s="2292"/>
    </row>
    <row r="477" spans="1:26">
      <c r="A477" s="2860"/>
      <c r="B477" s="2860"/>
      <c r="C477" s="2860"/>
      <c r="D477" s="2860"/>
      <c r="E477" s="2860"/>
      <c r="F477" s="2860"/>
      <c r="G477" s="2860"/>
      <c r="H477" s="2860"/>
      <c r="I477" s="2860"/>
      <c r="J477" s="2860"/>
      <c r="K477" s="2860"/>
      <c r="L477" s="2860"/>
      <c r="M477" s="2561"/>
      <c r="N477" s="2860"/>
      <c r="O477" s="2860"/>
      <c r="P477" s="2860"/>
      <c r="Q477" s="2860"/>
      <c r="R477" s="2860"/>
      <c r="S477" s="2860"/>
      <c r="T477" s="2860"/>
      <c r="U477" s="2860"/>
      <c r="V477" s="2860"/>
      <c r="W477" s="2860"/>
      <c r="X477" s="2860"/>
      <c r="Y477" s="1"/>
      <c r="Z477" s="2292"/>
    </row>
    <row r="478" spans="1:26">
      <c r="A478" s="2860"/>
      <c r="B478" s="2860"/>
      <c r="C478" s="2860"/>
      <c r="D478" s="2860"/>
      <c r="E478" s="2860"/>
      <c r="F478" s="2860"/>
      <c r="G478" s="2860"/>
      <c r="H478" s="2860"/>
      <c r="I478" s="2860"/>
      <c r="J478" s="2860"/>
      <c r="K478" s="2860"/>
      <c r="L478" s="2860"/>
      <c r="M478" s="2561"/>
      <c r="N478" s="2860"/>
      <c r="O478" s="2860"/>
      <c r="P478" s="2860"/>
      <c r="Q478" s="2860"/>
      <c r="R478" s="2860"/>
      <c r="S478" s="2860"/>
      <c r="T478" s="2860"/>
      <c r="U478" s="2860"/>
      <c r="V478" s="2860"/>
      <c r="W478" s="2860"/>
      <c r="X478" s="2860"/>
      <c r="Y478" s="1"/>
      <c r="Z478" s="2292"/>
    </row>
    <row r="479" spans="1:26">
      <c r="A479" s="2894"/>
      <c r="B479" s="2894"/>
      <c r="C479" s="2894"/>
      <c r="D479" s="2894"/>
      <c r="E479" s="2894"/>
      <c r="F479" s="2894"/>
      <c r="G479" s="2894"/>
      <c r="H479" s="2894"/>
      <c r="I479" s="2894"/>
      <c r="J479" s="2894"/>
      <c r="K479" s="2894"/>
      <c r="L479" s="2894"/>
      <c r="M479" s="2561"/>
      <c r="N479" s="2561"/>
      <c r="O479" s="2561"/>
      <c r="P479" s="2561"/>
      <c r="Q479" s="2561"/>
      <c r="R479" s="2561"/>
      <c r="S479" s="2561"/>
      <c r="T479" s="2561"/>
      <c r="U479" s="2561"/>
      <c r="V479" s="2561"/>
      <c r="W479" s="2561"/>
      <c r="X479" s="2561"/>
      <c r="Y479" s="2561"/>
      <c r="Z479" s="2292"/>
    </row>
    <row r="480" spans="1:26">
      <c r="A480" s="2860"/>
      <c r="B480" s="2860"/>
      <c r="C480" s="2860"/>
      <c r="D480" s="2860"/>
      <c r="E480" s="2860"/>
      <c r="F480" s="2860"/>
      <c r="G480" s="2860"/>
      <c r="H480" s="2860"/>
      <c r="I480" s="2860"/>
      <c r="J480" s="2860"/>
      <c r="K480" s="2860"/>
      <c r="L480" s="2860"/>
      <c r="Z480" s="2292"/>
    </row>
    <row r="481" spans="1:25">
      <c r="A481" s="2914" t="s">
        <v>2046</v>
      </c>
      <c r="B481" s="2916"/>
      <c r="C481" s="2130"/>
      <c r="D481" s="2910" t="s">
        <v>2037</v>
      </c>
      <c r="E481" s="3"/>
      <c r="F481" s="2130"/>
      <c r="G481" s="2130"/>
      <c r="H481" s="2130"/>
      <c r="I481" s="2130"/>
      <c r="J481" s="2130"/>
      <c r="K481" s="2130"/>
      <c r="L481" s="2130"/>
      <c r="N481" s="1"/>
      <c r="O481" s="3"/>
      <c r="P481" s="1"/>
      <c r="Q481" s="1"/>
      <c r="R481" s="1"/>
      <c r="S481" s="1"/>
      <c r="T481" s="1"/>
      <c r="U481" s="1"/>
      <c r="V481" s="1"/>
      <c r="W481" s="1"/>
      <c r="X481" s="1"/>
      <c r="Y481" s="1"/>
    </row>
    <row r="482" spans="1:25">
      <c r="A482" s="2130"/>
      <c r="B482" s="2130"/>
      <c r="C482" s="2130"/>
      <c r="D482" s="2130"/>
      <c r="E482" s="2130"/>
      <c r="F482" s="2130"/>
      <c r="G482" s="2130"/>
      <c r="H482" s="2130"/>
      <c r="I482" s="2130"/>
      <c r="J482" s="2130"/>
      <c r="K482" s="2130"/>
      <c r="L482" s="2130"/>
      <c r="M482" s="2954" t="s">
        <v>2049</v>
      </c>
      <c r="N482" s="1"/>
      <c r="O482" s="2896" t="s">
        <v>1699</v>
      </c>
      <c r="P482" s="1"/>
      <c r="Q482" s="1"/>
      <c r="R482" s="1"/>
      <c r="S482" s="1"/>
      <c r="T482" s="1"/>
      <c r="U482" s="1"/>
      <c r="V482" s="1"/>
      <c r="W482" s="1"/>
      <c r="X482" s="1"/>
      <c r="Y482" s="1"/>
    </row>
    <row r="483" spans="1:25" ht="13.5" thickBot="1">
      <c r="A483" s="3"/>
      <c r="B483" s="3"/>
      <c r="C483" s="1"/>
      <c r="D483" s="4524"/>
      <c r="E483" s="4524"/>
      <c r="F483" s="2920" t="s">
        <v>1196</v>
      </c>
      <c r="G483" s="2921" t="s">
        <v>38</v>
      </c>
      <c r="H483" s="2921" t="s">
        <v>37</v>
      </c>
      <c r="I483" s="2948" t="s">
        <v>36</v>
      </c>
      <c r="J483" s="2943" t="s">
        <v>770</v>
      </c>
      <c r="K483" s="2130"/>
      <c r="L483" s="2130"/>
      <c r="M483" s="2561"/>
      <c r="N483" s="1"/>
      <c r="O483" s="1"/>
      <c r="P483" s="1"/>
      <c r="Q483" s="1"/>
      <c r="R483" s="1"/>
      <c r="S483" s="1"/>
      <c r="T483" s="1"/>
      <c r="U483" s="1"/>
      <c r="V483" s="1"/>
      <c r="W483" s="1"/>
      <c r="X483" s="1"/>
      <c r="Y483" s="1"/>
    </row>
    <row r="484" spans="1:25">
      <c r="A484" s="1"/>
      <c r="B484" s="1"/>
      <c r="C484" s="1"/>
      <c r="D484" s="4516" t="s">
        <v>1088</v>
      </c>
      <c r="E484" s="4516"/>
      <c r="F484" s="2924" t="str">
        <f>CONCATENATE(ROUND('GEARINGS, Eb&amp;E'!AA288,1),"x")</f>
        <v>2,3x</v>
      </c>
      <c r="G484" s="2925" t="str">
        <f>CONCATENATE(ROUND('GEARINGS, Eb&amp;E'!AA271,1),"x")</f>
        <v>3,8x</v>
      </c>
      <c r="H484" s="2925" t="str">
        <f>CONCATENATE(ROUND('GEARINGS, Eb&amp;E'!AA269,1),"x")</f>
        <v>2,3x</v>
      </c>
      <c r="I484" s="2949" t="str">
        <f>CONCATENATE(ROUND('GEARINGS, Eb&amp;E'!AA270,1),"x")</f>
        <v>2,3x</v>
      </c>
      <c r="J484" s="2944" t="str">
        <f>CONCATENATE(ROUND('GEARINGS, Eb&amp;E'!AA289,1),"x")</f>
        <v>2,3x</v>
      </c>
      <c r="K484" s="2130"/>
      <c r="L484" s="2130"/>
      <c r="M484" s="2561"/>
      <c r="N484" s="1"/>
      <c r="O484" s="1"/>
      <c r="P484" s="1"/>
      <c r="Q484" s="1"/>
      <c r="R484" s="1"/>
      <c r="S484" s="1"/>
      <c r="T484" s="1"/>
      <c r="U484" s="1"/>
      <c r="V484" s="1"/>
      <c r="W484" s="1"/>
      <c r="X484" s="1"/>
      <c r="Y484" s="1"/>
    </row>
    <row r="485" spans="1:25" ht="13.5" thickBot="1">
      <c r="A485" s="1"/>
      <c r="B485" s="1"/>
      <c r="C485" s="1"/>
      <c r="D485" s="4517" t="s">
        <v>2039</v>
      </c>
      <c r="E485" s="4517"/>
      <c r="F485" s="2922">
        <f>I6</f>
        <v>0.42</v>
      </c>
      <c r="G485" s="2923">
        <f>F6</f>
        <v>0.42</v>
      </c>
      <c r="H485" s="2923">
        <f>C6</f>
        <v>0.42</v>
      </c>
      <c r="I485" s="2950">
        <f>L6</f>
        <v>0.42</v>
      </c>
      <c r="J485" s="2945">
        <f>O6</f>
        <v>0.42</v>
      </c>
      <c r="K485" s="2130"/>
      <c r="L485" s="2130"/>
      <c r="M485" s="2561"/>
      <c r="N485" s="1"/>
      <c r="O485" s="1"/>
      <c r="P485" s="1"/>
      <c r="Q485" s="1"/>
      <c r="R485" s="1"/>
      <c r="S485" s="1"/>
      <c r="T485" s="1"/>
      <c r="U485" s="1"/>
      <c r="V485" s="1"/>
      <c r="W485" s="1"/>
      <c r="X485" s="1"/>
      <c r="Y485" s="1"/>
    </row>
    <row r="486" spans="1:25">
      <c r="A486" s="1"/>
      <c r="B486" s="1"/>
      <c r="C486" s="3"/>
      <c r="D486" s="4518" t="s">
        <v>2038</v>
      </c>
      <c r="E486" s="4518"/>
      <c r="F486" s="2911">
        <f>'GEARINGS, Eb&amp;E'!AF282</f>
        <v>0.4</v>
      </c>
      <c r="G486" s="2912"/>
      <c r="H486" s="2912">
        <f>'GEARINGS, Eb&amp;E'!AF275</f>
        <v>0.32</v>
      </c>
      <c r="I486" s="2947">
        <f>'GEARINGS, Eb&amp;E'!AF276</f>
        <v>0.25</v>
      </c>
      <c r="J486" s="2946">
        <f>'GEARINGS, Eb&amp;E'!AF283</f>
        <v>0.25</v>
      </c>
      <c r="K486" s="3370"/>
      <c r="L486" s="3370"/>
      <c r="M486" s="2561"/>
      <c r="N486" s="1"/>
      <c r="O486" s="1"/>
      <c r="P486" s="1"/>
      <c r="Q486" s="1"/>
      <c r="R486" s="1"/>
      <c r="S486" s="1"/>
      <c r="T486" s="1"/>
      <c r="U486" s="1"/>
      <c r="V486" s="1"/>
      <c r="W486" s="1"/>
      <c r="X486" s="1"/>
      <c r="Y486" s="1"/>
    </row>
    <row r="487" spans="1:25">
      <c r="A487" s="1"/>
      <c r="B487" s="1"/>
      <c r="C487" s="3"/>
      <c r="D487" s="3"/>
      <c r="E487" s="3"/>
      <c r="F487" s="3"/>
      <c r="G487" s="3"/>
      <c r="H487" s="3"/>
      <c r="I487" s="1"/>
      <c r="J487" s="3"/>
      <c r="K487" s="3370"/>
      <c r="L487" s="3370"/>
      <c r="M487" s="2561"/>
      <c r="N487" s="1"/>
      <c r="O487" s="1"/>
      <c r="P487" s="1"/>
      <c r="Q487" s="1"/>
      <c r="R487" s="1"/>
      <c r="S487" s="1"/>
      <c r="T487" s="1"/>
      <c r="U487" s="1"/>
      <c r="V487" s="1"/>
      <c r="W487" s="1"/>
      <c r="X487" s="1"/>
      <c r="Y487" s="1"/>
    </row>
    <row r="488" spans="1:25">
      <c r="A488" s="1"/>
      <c r="B488" s="1"/>
      <c r="C488" s="3"/>
      <c r="D488" s="3"/>
      <c r="E488" s="3"/>
      <c r="F488" s="3"/>
      <c r="G488" s="3"/>
      <c r="H488" s="3"/>
      <c r="I488" s="1"/>
      <c r="J488"/>
      <c r="K488"/>
      <c r="L488"/>
      <c r="M488" s="2561"/>
      <c r="N488" s="1"/>
      <c r="O488" s="1"/>
      <c r="P488" s="1"/>
      <c r="Q488" s="1"/>
      <c r="R488" s="1"/>
      <c r="S488" s="1"/>
      <c r="T488" s="1"/>
      <c r="U488" s="1"/>
      <c r="V488" s="1"/>
      <c r="W488" s="1"/>
      <c r="X488" s="1"/>
      <c r="Y488" s="1"/>
    </row>
    <row r="489" spans="1:25">
      <c r="A489" s="1"/>
      <c r="B489" s="1"/>
      <c r="C489" s="3"/>
      <c r="D489" s="1344" t="s">
        <v>1705</v>
      </c>
      <c r="E489" s="3"/>
      <c r="F489" s="3"/>
      <c r="G489" s="3"/>
      <c r="H489" s="3"/>
      <c r="I489" s="1"/>
      <c r="J489" s="2976" t="s">
        <v>2064</v>
      </c>
      <c r="K489"/>
      <c r="L489"/>
      <c r="M489" s="2561"/>
      <c r="N489" s="1"/>
      <c r="O489" s="1"/>
      <c r="P489" s="1"/>
      <c r="Q489" s="1"/>
      <c r="R489" s="1"/>
      <c r="S489" s="1"/>
      <c r="T489" s="1"/>
      <c r="U489" s="1"/>
      <c r="V489" s="1"/>
      <c r="W489" s="1"/>
      <c r="X489" s="1"/>
      <c r="Y489" s="1"/>
    </row>
    <row r="490" spans="1:25">
      <c r="A490" s="1"/>
      <c r="B490" s="1"/>
      <c r="C490" s="3"/>
      <c r="D490" s="1343"/>
      <c r="E490" s="3"/>
      <c r="F490" s="3"/>
      <c r="G490" s="3"/>
      <c r="H490" s="3"/>
      <c r="I490" s="1"/>
      <c r="J490"/>
      <c r="K490"/>
      <c r="L490"/>
      <c r="M490" s="2561"/>
      <c r="N490" s="1"/>
      <c r="O490" s="1"/>
      <c r="P490" s="1"/>
      <c r="Q490" s="1"/>
      <c r="R490" s="1"/>
      <c r="S490" s="1"/>
      <c r="T490" s="1"/>
      <c r="U490" s="1"/>
      <c r="V490" s="1"/>
      <c r="W490" s="1"/>
      <c r="X490" s="1"/>
      <c r="Y490" s="1"/>
    </row>
    <row r="491" spans="1:25">
      <c r="A491" s="1"/>
      <c r="B491" s="1"/>
      <c r="C491" s="3"/>
      <c r="D491" s="1343"/>
      <c r="E491" s="3"/>
      <c r="F491" s="3"/>
      <c r="G491" s="3"/>
      <c r="H491" s="3"/>
      <c r="I491" s="1"/>
      <c r="J491"/>
      <c r="K491"/>
      <c r="L491"/>
      <c r="M491" s="2561"/>
      <c r="N491" s="1"/>
      <c r="O491" s="1"/>
      <c r="P491" s="1"/>
      <c r="Q491" s="1"/>
      <c r="R491" s="1"/>
      <c r="S491" s="1"/>
      <c r="T491" s="1"/>
      <c r="U491" s="1"/>
      <c r="V491" s="1"/>
      <c r="W491" s="1"/>
      <c r="X491" s="1"/>
      <c r="Y491" s="1"/>
    </row>
    <row r="492" spans="1:25">
      <c r="A492" s="2682"/>
      <c r="B492" s="2561"/>
      <c r="C492" s="2561"/>
      <c r="D492" s="2682"/>
      <c r="E492" s="2561"/>
      <c r="F492" s="2561"/>
      <c r="G492" s="2561"/>
      <c r="H492" s="2561"/>
      <c r="I492" s="2561"/>
      <c r="J492" s="2561"/>
      <c r="K492" s="2561"/>
      <c r="L492" s="2561"/>
      <c r="M492" s="2561"/>
      <c r="N492" s="1"/>
      <c r="O492" s="1"/>
      <c r="P492" s="1"/>
      <c r="Q492" s="1"/>
      <c r="R492" s="1"/>
      <c r="S492" s="1"/>
      <c r="T492" s="1"/>
      <c r="U492" s="1"/>
      <c r="V492" s="1"/>
      <c r="W492" s="1"/>
      <c r="X492" s="1"/>
      <c r="Y492" s="1"/>
    </row>
    <row r="493" spans="1:25">
      <c r="A493" s="964" t="s">
        <v>2040</v>
      </c>
      <c r="B493" s="964"/>
      <c r="C493" s="963"/>
      <c r="D493" s="963"/>
      <c r="E493" s="963"/>
      <c r="F493" s="963"/>
      <c r="G493" s="963"/>
      <c r="H493" s="963"/>
      <c r="I493" s="963"/>
      <c r="J493" s="963"/>
      <c r="K493" s="963"/>
      <c r="L493" s="963"/>
      <c r="M493" s="2561"/>
      <c r="N493" s="1"/>
      <c r="O493" s="1"/>
      <c r="P493" s="1"/>
      <c r="Q493" s="1"/>
      <c r="R493" s="1"/>
      <c r="S493" s="1"/>
      <c r="T493" s="1"/>
      <c r="U493" s="1"/>
      <c r="V493" s="1"/>
      <c r="W493" s="1"/>
      <c r="X493" s="1"/>
      <c r="Y493" s="1"/>
    </row>
    <row r="494" spans="1:25">
      <c r="A494" s="2559"/>
      <c r="B494" s="2559"/>
      <c r="C494"/>
      <c r="D494"/>
      <c r="E494"/>
      <c r="F494"/>
      <c r="G494"/>
      <c r="H494"/>
      <c r="I494"/>
      <c r="J494"/>
      <c r="K494"/>
      <c r="L494"/>
      <c r="M494" s="2561"/>
      <c r="N494" s="1"/>
      <c r="O494" s="1"/>
      <c r="P494" s="1"/>
      <c r="Q494" s="1"/>
      <c r="R494" s="1"/>
      <c r="S494" s="1"/>
      <c r="T494" s="1"/>
      <c r="U494" s="1"/>
      <c r="V494" s="1"/>
      <c r="W494" s="1"/>
      <c r="X494" s="1"/>
      <c r="Y494" s="1"/>
    </row>
    <row r="495" spans="1:25">
      <c r="A495" s="2914" t="s">
        <v>2041</v>
      </c>
      <c r="B495" s="2914"/>
      <c r="C495"/>
      <c r="D495" s="983" t="s">
        <v>1464</v>
      </c>
      <c r="E495"/>
      <c r="F495"/>
      <c r="G495"/>
      <c r="H495"/>
      <c r="I495"/>
      <c r="J495"/>
      <c r="K495"/>
      <c r="L495"/>
      <c r="M495" s="2561"/>
      <c r="N495" s="1"/>
      <c r="O495" s="1"/>
      <c r="P495" s="1"/>
      <c r="Q495" s="1"/>
      <c r="R495" s="1"/>
      <c r="S495" s="1"/>
      <c r="T495" s="1"/>
      <c r="U495" s="1"/>
      <c r="V495" s="1"/>
      <c r="W495" s="1"/>
      <c r="X495" s="1"/>
      <c r="Y495" s="1"/>
    </row>
    <row r="496" spans="1:25">
      <c r="A496" s="2559"/>
      <c r="B496" s="2559"/>
      <c r="C496"/>
      <c r="D496"/>
      <c r="E496"/>
      <c r="F496"/>
      <c r="G496"/>
      <c r="H496"/>
      <c r="I496"/>
      <c r="J496"/>
      <c r="K496"/>
      <c r="L496"/>
      <c r="M496" s="2561"/>
      <c r="N496" s="1"/>
      <c r="O496" s="1"/>
      <c r="P496" s="1"/>
      <c r="Q496" s="1"/>
      <c r="R496" s="1"/>
      <c r="S496" s="1"/>
      <c r="T496" s="1"/>
      <c r="U496" s="1"/>
      <c r="V496" s="1"/>
      <c r="W496" s="1"/>
      <c r="X496" s="1"/>
      <c r="Y496" s="1"/>
    </row>
    <row r="497" spans="1:26">
      <c r="A497" s="2559"/>
      <c r="B497" s="2559"/>
      <c r="C497"/>
      <c r="D497"/>
      <c r="E497"/>
      <c r="F497"/>
      <c r="G497"/>
      <c r="H497"/>
      <c r="I497"/>
      <c r="J497"/>
      <c r="K497"/>
      <c r="L497"/>
      <c r="M497" s="2561"/>
      <c r="N497" s="1"/>
      <c r="O497" s="1"/>
      <c r="P497" s="1"/>
      <c r="Q497" s="1"/>
      <c r="R497" s="1"/>
      <c r="S497" s="1"/>
      <c r="T497" s="1"/>
      <c r="U497" s="1"/>
      <c r="V497" s="1"/>
      <c r="W497" s="1"/>
      <c r="X497" s="1"/>
      <c r="Y497" s="1"/>
    </row>
    <row r="498" spans="1:26">
      <c r="A498" s="2559"/>
      <c r="B498" s="2559"/>
      <c r="C498"/>
      <c r="D498"/>
      <c r="E498"/>
      <c r="F498"/>
      <c r="G498"/>
      <c r="H498"/>
      <c r="I498"/>
      <c r="J498"/>
      <c r="K498"/>
      <c r="L498"/>
      <c r="N498" s="3"/>
      <c r="O498" s="3"/>
      <c r="P498" s="3"/>
      <c r="Q498" s="3"/>
      <c r="R498" s="3"/>
      <c r="S498" s="3"/>
      <c r="T498" s="3"/>
      <c r="U498" s="3"/>
      <c r="V498" s="3"/>
      <c r="W498" s="3"/>
      <c r="X498" s="3"/>
      <c r="Y498" s="3"/>
      <c r="Z498" s="2292"/>
    </row>
    <row r="499" spans="1:26">
      <c r="A499" s="2559"/>
      <c r="B499" s="2559"/>
      <c r="C499"/>
      <c r="D499"/>
      <c r="E499"/>
      <c r="F499"/>
      <c r="G499"/>
      <c r="H499"/>
      <c r="I499"/>
      <c r="J499"/>
      <c r="K499"/>
      <c r="L499"/>
      <c r="M499" s="2561"/>
      <c r="N499" s="2561"/>
      <c r="O499" s="2561"/>
      <c r="P499" s="2561"/>
      <c r="Q499" s="2561"/>
      <c r="R499" s="2561"/>
      <c r="S499" s="2561"/>
      <c r="T499" s="2561"/>
      <c r="U499" s="2561"/>
      <c r="V499" s="2561"/>
      <c r="W499" s="2561"/>
      <c r="X499" s="2561"/>
      <c r="Y499" s="2561"/>
      <c r="Z499" s="2292"/>
    </row>
    <row r="500" spans="1:26">
      <c r="A500" s="2559"/>
      <c r="B500" s="2559"/>
      <c r="C500"/>
      <c r="D500"/>
      <c r="E500"/>
      <c r="F500"/>
      <c r="G500"/>
      <c r="H500"/>
      <c r="I500"/>
      <c r="J500"/>
      <c r="K500"/>
      <c r="L500"/>
      <c r="M500" s="2561"/>
      <c r="N500" s="2561"/>
      <c r="O500" s="2561"/>
      <c r="P500" s="2561"/>
      <c r="Q500" s="2561"/>
      <c r="R500" s="2561"/>
      <c r="S500" s="2561"/>
      <c r="T500" s="2561"/>
      <c r="U500" s="2561"/>
      <c r="V500" s="2561"/>
      <c r="W500" s="2561"/>
      <c r="X500" s="2561"/>
      <c r="Y500" s="2561"/>
      <c r="Z500" s="2292"/>
    </row>
    <row r="501" spans="1:26">
      <c r="A501" s="2559"/>
      <c r="B501" s="2559"/>
      <c r="C501"/>
      <c r="D501"/>
      <c r="E501"/>
      <c r="F501"/>
      <c r="G501"/>
      <c r="H501"/>
      <c r="I501"/>
      <c r="J501"/>
      <c r="K501"/>
      <c r="L501"/>
      <c r="M501" s="2561"/>
      <c r="N501" s="2561"/>
      <c r="O501" s="2561"/>
      <c r="P501" s="2561"/>
      <c r="Q501" s="2561"/>
      <c r="R501" s="2561"/>
      <c r="S501" s="2561"/>
      <c r="T501" s="2561"/>
      <c r="U501" s="2561"/>
      <c r="V501" s="2561"/>
      <c r="W501" s="2561"/>
      <c r="X501" s="2561"/>
      <c r="Y501" s="2561"/>
      <c r="Z501" s="2292"/>
    </row>
    <row r="502" spans="1:26">
      <c r="A502" s="2559"/>
      <c r="B502" s="2559"/>
      <c r="C502"/>
      <c r="D502"/>
      <c r="E502"/>
      <c r="F502"/>
      <c r="G502"/>
      <c r="H502"/>
      <c r="I502"/>
      <c r="J502"/>
      <c r="K502"/>
      <c r="L502"/>
      <c r="M502" s="2561"/>
      <c r="N502" s="2561"/>
      <c r="O502" s="2561"/>
      <c r="P502" s="2561"/>
      <c r="Q502" s="2561"/>
      <c r="R502" s="2561"/>
      <c r="S502" s="2561"/>
      <c r="T502" s="2561"/>
      <c r="U502" s="2561"/>
      <c r="V502" s="2561"/>
      <c r="W502" s="2561"/>
      <c r="X502" s="2561"/>
      <c r="Y502" s="2561"/>
      <c r="Z502" s="2292"/>
    </row>
    <row r="503" spans="1:26">
      <c r="A503" s="2559"/>
      <c r="B503" s="2559"/>
      <c r="C503"/>
      <c r="D503"/>
      <c r="E503"/>
      <c r="F503"/>
      <c r="G503"/>
      <c r="H503"/>
      <c r="I503"/>
      <c r="J503"/>
      <c r="K503"/>
      <c r="L503"/>
      <c r="M503" s="2561"/>
      <c r="N503" s="2561"/>
      <c r="O503" s="2561"/>
      <c r="P503" s="2561"/>
      <c r="Q503" s="2561"/>
      <c r="R503" s="2561"/>
      <c r="S503" s="2561"/>
      <c r="T503" s="2561"/>
      <c r="U503" s="2561"/>
      <c r="V503" s="2561"/>
      <c r="W503" s="2561"/>
      <c r="X503" s="2561"/>
      <c r="Y503" s="2561"/>
      <c r="Z503" s="2292"/>
    </row>
    <row r="504" spans="1:26">
      <c r="A504" s="2559"/>
      <c r="B504" s="2559"/>
      <c r="C504"/>
      <c r="D504"/>
      <c r="E504"/>
      <c r="F504"/>
      <c r="G504"/>
      <c r="H504"/>
      <c r="I504"/>
      <c r="J504"/>
      <c r="K504"/>
      <c r="L504"/>
      <c r="M504" s="2561"/>
      <c r="N504" s="2561"/>
      <c r="O504" s="2561"/>
      <c r="P504" s="2561"/>
      <c r="Q504" s="2561"/>
      <c r="R504" s="2561"/>
      <c r="S504" s="2561"/>
      <c r="T504" s="2561"/>
      <c r="U504" s="2561"/>
      <c r="V504" s="2561"/>
      <c r="W504" s="2561"/>
      <c r="X504" s="2561"/>
      <c r="Y504" s="2561"/>
      <c r="Z504" s="2292"/>
    </row>
    <row r="505" spans="1:26">
      <c r="A505" s="2559"/>
      <c r="B505" s="2559"/>
      <c r="C505"/>
      <c r="D505"/>
      <c r="E505"/>
      <c r="F505"/>
      <c r="G505"/>
      <c r="H505"/>
      <c r="I505"/>
      <c r="J505"/>
      <c r="K505"/>
      <c r="L505"/>
      <c r="M505" s="2561"/>
      <c r="N505" s="2561"/>
      <c r="O505" s="2561"/>
      <c r="P505" s="2561"/>
      <c r="Q505" s="2561"/>
      <c r="R505" s="2561"/>
      <c r="S505" s="2561"/>
      <c r="T505" s="2561"/>
      <c r="U505" s="2561"/>
      <c r="V505" s="2561"/>
      <c r="W505" s="2561"/>
      <c r="X505" s="2561"/>
      <c r="Y505" s="2561"/>
      <c r="Z505" s="2292"/>
    </row>
    <row r="506" spans="1:26">
      <c r="A506" s="2559"/>
      <c r="B506" s="2559"/>
      <c r="C506"/>
      <c r="D506"/>
      <c r="E506"/>
      <c r="F506"/>
      <c r="G506"/>
      <c r="H506"/>
      <c r="I506"/>
      <c r="J506"/>
      <c r="K506"/>
      <c r="L506"/>
      <c r="M506" s="2561"/>
      <c r="N506" s="2561"/>
      <c r="O506" s="2561"/>
      <c r="P506" s="2561"/>
      <c r="Q506" s="2561"/>
      <c r="R506" s="2561"/>
      <c r="S506" s="2561"/>
      <c r="T506" s="2561"/>
      <c r="U506" s="2561"/>
      <c r="V506" s="2561"/>
      <c r="W506" s="2561"/>
      <c r="X506" s="2561"/>
      <c r="Y506" s="2561"/>
      <c r="Z506" s="2292"/>
    </row>
    <row r="507" spans="1:26">
      <c r="A507" s="2559"/>
      <c r="B507" s="2559"/>
      <c r="C507"/>
      <c r="D507"/>
      <c r="E507"/>
      <c r="F507"/>
      <c r="G507"/>
      <c r="H507"/>
      <c r="I507"/>
      <c r="J507"/>
      <c r="K507"/>
      <c r="L507"/>
      <c r="M507" s="2561"/>
      <c r="N507" s="2561"/>
      <c r="O507" s="2561"/>
      <c r="P507" s="2561"/>
      <c r="Q507" s="2561"/>
      <c r="R507" s="2561"/>
      <c r="S507" s="2561"/>
      <c r="T507" s="2561"/>
      <c r="U507" s="2561"/>
      <c r="V507" s="2561"/>
      <c r="W507" s="2561"/>
      <c r="X507" s="2561"/>
      <c r="Y507" s="2561"/>
      <c r="Z507" s="2292"/>
    </row>
    <row r="508" spans="1:26">
      <c r="A508" s="2559"/>
      <c r="B508" s="2559"/>
      <c r="C508"/>
      <c r="D508"/>
      <c r="E508"/>
      <c r="F508"/>
      <c r="G508"/>
      <c r="H508"/>
      <c r="I508"/>
      <c r="J508"/>
      <c r="K508"/>
      <c r="L508"/>
      <c r="M508" s="2561"/>
      <c r="N508" s="2561"/>
      <c r="O508" s="2561"/>
      <c r="P508" s="2561"/>
      <c r="Q508" s="2561"/>
      <c r="R508" s="2561"/>
      <c r="S508" s="2561"/>
      <c r="T508" s="2561"/>
      <c r="U508" s="2561"/>
      <c r="V508" s="2561"/>
      <c r="W508" s="2561"/>
      <c r="X508" s="2561"/>
      <c r="Y508" s="2561"/>
      <c r="Z508" s="2292"/>
    </row>
    <row r="509" spans="1:26">
      <c r="A509" s="2559"/>
      <c r="B509" s="2559"/>
      <c r="C509"/>
      <c r="D509"/>
      <c r="E509"/>
      <c r="F509"/>
      <c r="G509"/>
      <c r="H509"/>
      <c r="I509"/>
      <c r="J509"/>
      <c r="K509"/>
      <c r="L509"/>
      <c r="M509" s="2561"/>
      <c r="N509" s="2561"/>
      <c r="O509" s="2561"/>
      <c r="P509" s="2561"/>
      <c r="Q509" s="2561"/>
      <c r="R509" s="2561"/>
      <c r="S509" s="2561"/>
      <c r="T509" s="2561"/>
      <c r="U509" s="2561"/>
      <c r="V509" s="2561"/>
      <c r="W509" s="2561"/>
      <c r="X509" s="2561"/>
      <c r="Y509" s="2561"/>
      <c r="Z509" s="2292"/>
    </row>
    <row r="510" spans="1:26">
      <c r="A510" s="2559"/>
      <c r="B510" s="2559"/>
      <c r="C510"/>
      <c r="D510"/>
      <c r="E510"/>
      <c r="F510"/>
      <c r="G510"/>
      <c r="H510"/>
      <c r="I510"/>
      <c r="J510"/>
      <c r="K510"/>
      <c r="L510"/>
      <c r="M510" s="2561"/>
      <c r="N510" s="2561"/>
      <c r="O510" s="2561"/>
      <c r="P510" s="2561"/>
      <c r="Q510" s="2561"/>
      <c r="R510" s="2561"/>
      <c r="S510" s="2561"/>
      <c r="T510" s="2561"/>
      <c r="U510" s="2561"/>
      <c r="V510" s="2561"/>
      <c r="W510" s="2561"/>
      <c r="X510" s="2561"/>
      <c r="Y510" s="2561"/>
      <c r="Z510" s="2292"/>
    </row>
    <row r="511" spans="1:26">
      <c r="A511" s="2559"/>
      <c r="B511" s="2559"/>
      <c r="C511"/>
      <c r="D511"/>
      <c r="E511"/>
      <c r="F511"/>
      <c r="G511"/>
      <c r="H511"/>
      <c r="I511"/>
      <c r="J511"/>
      <c r="K511"/>
      <c r="L511"/>
      <c r="M511" s="2561"/>
      <c r="N511" s="2561"/>
      <c r="O511" s="2561"/>
      <c r="P511" s="2561"/>
      <c r="Q511" s="2561"/>
      <c r="R511" s="2561"/>
      <c r="S511" s="2561"/>
      <c r="T511" s="2561"/>
      <c r="U511" s="2561"/>
      <c r="V511" s="2561"/>
      <c r="W511" s="2561"/>
      <c r="X511" s="2561"/>
      <c r="Y511" s="2561"/>
      <c r="Z511" s="2292"/>
    </row>
    <row r="512" spans="1:26">
      <c r="A512" s="2559"/>
      <c r="B512" s="2559"/>
      <c r="C512"/>
      <c r="D512"/>
      <c r="E512"/>
      <c r="F512"/>
      <c r="G512"/>
      <c r="H512"/>
      <c r="I512"/>
      <c r="J512"/>
      <c r="K512"/>
      <c r="L512"/>
      <c r="M512" s="2561"/>
      <c r="N512" s="2561"/>
      <c r="O512" s="2561"/>
      <c r="P512" s="2561"/>
      <c r="Q512" s="2561"/>
      <c r="R512" s="2561"/>
      <c r="S512" s="2561"/>
      <c r="T512" s="2561"/>
      <c r="U512" s="2561"/>
      <c r="V512" s="2561"/>
      <c r="W512" s="2561"/>
      <c r="X512" s="2561"/>
      <c r="Y512" s="2561"/>
      <c r="Z512" s="2292"/>
    </row>
    <row r="513" spans="1:26">
      <c r="A513" s="2914" t="s">
        <v>2055</v>
      </c>
      <c r="B513" s="2914"/>
      <c r="C513" s="3152"/>
      <c r="D513" s="983" t="s">
        <v>2044</v>
      </c>
      <c r="E513" s="3152"/>
      <c r="F513" s="3152"/>
      <c r="G513" s="3152"/>
      <c r="H513" s="3152"/>
      <c r="I513" s="3152"/>
      <c r="J513" s="3152"/>
      <c r="K513" s="3152"/>
      <c r="L513" s="3152"/>
      <c r="M513" s="2561"/>
      <c r="N513" s="2561"/>
      <c r="O513" s="2682"/>
      <c r="P513" s="2682"/>
      <c r="Q513" s="2682"/>
      <c r="R513" s="2682"/>
      <c r="S513" s="2682"/>
      <c r="T513" s="2682"/>
      <c r="U513" s="2682"/>
      <c r="V513" s="2561"/>
      <c r="W513" s="2561"/>
      <c r="X513" s="2561"/>
      <c r="Y513" s="2561"/>
      <c r="Z513" s="2292"/>
    </row>
    <row r="514" spans="1:26">
      <c r="A514" s="3152"/>
      <c r="B514" s="3152"/>
      <c r="C514" s="3152"/>
      <c r="D514" s="3152"/>
      <c r="E514" s="3152"/>
      <c r="F514" s="3152"/>
      <c r="G514" s="3152"/>
      <c r="H514" s="3152"/>
      <c r="I514" s="3152"/>
      <c r="J514" s="3152"/>
      <c r="K514" s="3152"/>
      <c r="L514" s="3152"/>
      <c r="M514" s="2561"/>
      <c r="N514" s="2561"/>
      <c r="O514" s="2682"/>
      <c r="P514" s="2682"/>
      <c r="Q514" s="2682"/>
      <c r="R514" s="2682"/>
      <c r="S514" s="2682"/>
      <c r="T514" s="2682"/>
      <c r="U514" s="2682"/>
      <c r="V514" s="2561"/>
      <c r="W514" s="2561"/>
      <c r="X514" s="2561"/>
      <c r="Y514" s="2561"/>
      <c r="Z514" s="2292"/>
    </row>
    <row r="515" spans="1:26">
      <c r="A515" s="3152"/>
      <c r="B515" s="3152"/>
      <c r="C515" s="3152"/>
      <c r="D515" s="3152"/>
      <c r="E515" s="3152"/>
      <c r="F515" s="3152"/>
      <c r="G515" s="2559" t="s">
        <v>37</v>
      </c>
      <c r="H515" s="2559" t="s">
        <v>36</v>
      </c>
      <c r="I515" s="2559" t="s">
        <v>38</v>
      </c>
      <c r="J515" s="3152"/>
      <c r="K515" s="3152"/>
      <c r="L515" s="3152"/>
      <c r="M515" s="2561"/>
      <c r="N515" s="2561"/>
      <c r="O515" s="2682"/>
      <c r="P515" s="2682"/>
      <c r="Q515" s="2682"/>
      <c r="R515" s="2682"/>
      <c r="S515" s="2682"/>
      <c r="T515" s="2682"/>
      <c r="U515" s="2682"/>
      <c r="V515" s="2561"/>
      <c r="W515" s="2561"/>
      <c r="X515" s="2561"/>
      <c r="Y515" s="2561"/>
      <c r="Z515" s="2292"/>
    </row>
    <row r="516" spans="1:26">
      <c r="A516" s="3152"/>
      <c r="B516" s="3152"/>
      <c r="C516" s="3152"/>
      <c r="D516" s="4511" t="s">
        <v>2052</v>
      </c>
      <c r="E516" s="4511"/>
      <c r="F516" s="4511"/>
      <c r="G516" s="6" t="str">
        <f>CONCATENATE(ROUND('GEARINGS, Eb&amp;E'!V397,1),"x")</f>
        <v>1,8x</v>
      </c>
      <c r="H516" s="6" t="str">
        <f>CONCATENATE(ROUND('GEARINGS, Eb&amp;E'!V398,1),"x")</f>
        <v>1,5x</v>
      </c>
      <c r="I516" s="6" t="str">
        <f>CONCATENATE(ROUND('GEARINGS, Eb&amp;E'!V399,1),"x")</f>
        <v>-1,4x</v>
      </c>
      <c r="J516" s="3152"/>
      <c r="K516" s="3152"/>
      <c r="L516" s="3152"/>
      <c r="M516" s="2561"/>
      <c r="N516" s="2561"/>
      <c r="O516" s="2682"/>
      <c r="P516" s="2682"/>
      <c r="Q516" s="2682"/>
      <c r="R516" s="2682"/>
      <c r="S516" s="2682"/>
      <c r="T516" s="2682"/>
      <c r="U516" s="2682"/>
      <c r="V516" s="2561"/>
      <c r="W516" s="2561"/>
      <c r="X516" s="2561"/>
      <c r="Y516" s="2561"/>
      <c r="Z516" s="2292"/>
    </row>
    <row r="517" spans="1:26">
      <c r="A517" s="3152"/>
      <c r="B517" s="3152"/>
      <c r="C517" s="3152"/>
      <c r="D517" s="4509" t="s">
        <v>2050</v>
      </c>
      <c r="E517" s="4509"/>
      <c r="F517" s="4509"/>
      <c r="G517" s="2961">
        <f>'GEARINGS, Eb&amp;E'!Y397</f>
        <v>2.2371626971660407E-2</v>
      </c>
      <c r="H517" s="2961">
        <f>'GEARINGS, Eb&amp;E'!Y398</f>
        <v>0.11738859798000174</v>
      </c>
      <c r="I517" s="2961">
        <f>'GEARINGS, Eb&amp;E'!Y399</f>
        <v>6.6876532321837193E-3</v>
      </c>
      <c r="J517" s="3152"/>
      <c r="K517" s="3152"/>
      <c r="L517" s="3152"/>
      <c r="M517" s="2561"/>
      <c r="N517" s="2561"/>
      <c r="O517" s="2682"/>
      <c r="P517" s="2682"/>
      <c r="Q517" s="2682"/>
      <c r="R517" s="2682"/>
      <c r="S517" s="2682"/>
      <c r="T517" s="2682"/>
      <c r="U517" s="2682"/>
      <c r="V517" s="2561"/>
      <c r="W517" s="2561"/>
      <c r="X517" s="2561"/>
      <c r="Y517" s="2561"/>
      <c r="Z517" s="2292"/>
    </row>
    <row r="518" spans="1:26">
      <c r="A518" s="3152"/>
      <c r="B518" s="3152"/>
      <c r="C518" s="3152"/>
      <c r="D518" s="4510" t="s">
        <v>2053</v>
      </c>
      <c r="E518" s="4510"/>
      <c r="F518" s="4510"/>
      <c r="G518" s="3154" t="str">
        <f>CONCATENATE(ROUND('GEARINGS, Eb&amp;E'!AA397,1),"x")</f>
        <v>1,8x</v>
      </c>
      <c r="H518" s="219" t="str">
        <f>CONCATENATE(ROUND('GEARINGS, Eb&amp;E'!AA398,1),"x")</f>
        <v>1,3x</v>
      </c>
      <c r="I518" s="219" t="str">
        <f>CONCATENATE(ROUND('GEARINGS, Eb&amp;E'!AA399,1),"x")</f>
        <v>-1,3x</v>
      </c>
      <c r="J518" s="3"/>
      <c r="K518" s="3152"/>
      <c r="L518" s="3152"/>
      <c r="M518" s="2561"/>
      <c r="N518" s="2561"/>
      <c r="O518" s="2682"/>
      <c r="P518" s="2682"/>
      <c r="Q518" s="2682"/>
      <c r="R518" s="2682"/>
      <c r="S518" s="2682"/>
      <c r="T518" s="2682"/>
      <c r="U518" s="2682"/>
      <c r="V518" s="2561"/>
      <c r="W518" s="2561"/>
      <c r="X518" s="2561"/>
      <c r="Y518" s="2561"/>
      <c r="Z518" s="2292"/>
    </row>
    <row r="519" spans="1:26">
      <c r="A519" s="3152"/>
      <c r="B519" s="3152"/>
      <c r="C519" s="3152"/>
      <c r="D519" s="4511" t="s">
        <v>2051</v>
      </c>
      <c r="E519" s="4511"/>
      <c r="F519" s="4511"/>
      <c r="G519" s="2962" t="str">
        <f>CONCATENATE(ROUND('GEARINGS, Eb&amp;E'!Y404,1),"x")</f>
        <v>0,9x</v>
      </c>
      <c r="H519" s="2960"/>
      <c r="I519" s="2960"/>
      <c r="J519" s="3152"/>
      <c r="K519" s="3152"/>
      <c r="L519" s="3152"/>
      <c r="M519" s="2561"/>
      <c r="N519" s="2561"/>
      <c r="O519" s="2682"/>
      <c r="P519" s="2682"/>
      <c r="Q519" s="2682"/>
      <c r="R519" s="2682"/>
      <c r="S519" s="2682"/>
      <c r="T519" s="2682"/>
      <c r="U519" s="2682"/>
      <c r="V519" s="2561"/>
      <c r="W519" s="2561"/>
      <c r="X519" s="2561"/>
      <c r="Y519" s="2561"/>
      <c r="Z519" s="2292"/>
    </row>
    <row r="520" spans="1:26">
      <c r="A520" s="3152"/>
      <c r="B520" s="3152"/>
      <c r="C520" s="3152"/>
      <c r="D520" s="4510" t="s">
        <v>2054</v>
      </c>
      <c r="E520" s="4510"/>
      <c r="F520" s="4510"/>
      <c r="G520" s="219" t="str">
        <f>CONCATENATE(ROUND('GEARINGS, Eb&amp;E'!AA404,1),"x")</f>
        <v>0,9x</v>
      </c>
      <c r="H520" s="2243"/>
      <c r="I520" s="2243"/>
      <c r="J520" s="3152"/>
      <c r="K520" s="3152"/>
      <c r="L520" s="3152"/>
      <c r="M520" s="2561"/>
      <c r="N520" s="2561"/>
      <c r="O520" s="2682"/>
      <c r="P520" s="2682"/>
      <c r="Q520" s="2682"/>
      <c r="R520" s="2682"/>
      <c r="S520" s="2682"/>
      <c r="T520" s="2682"/>
      <c r="U520" s="2682"/>
      <c r="V520" s="2561"/>
      <c r="W520" s="2561"/>
      <c r="X520" s="2561"/>
      <c r="Y520" s="2561"/>
      <c r="Z520" s="2292"/>
    </row>
    <row r="521" spans="1:26">
      <c r="A521" s="3152"/>
      <c r="B521" s="3152"/>
      <c r="C521" s="3152"/>
      <c r="D521" s="3152"/>
      <c r="E521" s="3152"/>
      <c r="F521" s="3152"/>
      <c r="G521" s="3152"/>
      <c r="H521" s="3152"/>
      <c r="I521" s="3152"/>
      <c r="J521" s="3152"/>
      <c r="K521" s="3152"/>
      <c r="L521" s="3152"/>
      <c r="M521" s="2561"/>
      <c r="N521" s="2561"/>
      <c r="O521" s="2682"/>
      <c r="P521" s="2682"/>
      <c r="Q521" s="2682"/>
      <c r="R521" s="2682"/>
      <c r="S521" s="2682"/>
      <c r="T521" s="2682"/>
      <c r="U521" s="2682"/>
      <c r="V521" s="2561"/>
      <c r="W521" s="2561"/>
      <c r="X521" s="2561"/>
      <c r="Y521" s="2561"/>
      <c r="Z521" s="2292"/>
    </row>
    <row r="522" spans="1:26">
      <c r="A522" s="3152"/>
      <c r="B522" s="3152"/>
      <c r="C522" s="3152"/>
      <c r="D522" s="3152"/>
      <c r="E522" s="3152"/>
      <c r="F522" s="3152"/>
      <c r="G522" s="3152"/>
      <c r="H522" s="3152"/>
      <c r="I522" s="3152"/>
      <c r="J522" s="3152"/>
      <c r="K522" s="3152"/>
      <c r="L522" s="3152"/>
      <c r="M522" s="2561"/>
      <c r="N522" s="2561"/>
      <c r="O522" s="2682"/>
      <c r="P522" s="2682"/>
      <c r="Q522" s="2682"/>
      <c r="R522" s="2682"/>
      <c r="S522" s="2682"/>
      <c r="T522" s="2682"/>
      <c r="U522" s="2682"/>
      <c r="V522" s="2561"/>
      <c r="W522" s="2561"/>
      <c r="X522" s="2561"/>
      <c r="Y522" s="2561"/>
      <c r="Z522" s="2292"/>
    </row>
    <row r="523" spans="1:26">
      <c r="A523" s="2914" t="s">
        <v>2045</v>
      </c>
      <c r="B523" s="2916"/>
      <c r="C523" s="3152"/>
      <c r="D523" s="983" t="s">
        <v>2048</v>
      </c>
      <c r="E523" s="3"/>
      <c r="F523" s="1"/>
      <c r="G523" s="3152"/>
      <c r="H523" s="3152"/>
      <c r="I523" s="3152"/>
      <c r="J523" s="3152"/>
      <c r="K523" s="3152"/>
      <c r="L523" s="3152"/>
      <c r="M523" s="2561"/>
      <c r="N523" s="2561"/>
      <c r="O523" s="2682"/>
      <c r="P523" s="2682"/>
      <c r="Q523" s="2682"/>
      <c r="R523" s="2682"/>
      <c r="S523" s="2682"/>
      <c r="T523" s="2682"/>
      <c r="U523" s="2682"/>
      <c r="V523" s="2561"/>
      <c r="W523" s="2561"/>
      <c r="X523" s="2561"/>
      <c r="Y523" s="2561"/>
      <c r="Z523" s="2292"/>
    </row>
    <row r="524" spans="1:26">
      <c r="A524" s="3152"/>
      <c r="B524" s="3152"/>
      <c r="C524" s="3152"/>
      <c r="D524" s="3152"/>
      <c r="E524" s="3152"/>
      <c r="F524" s="3152"/>
      <c r="G524" s="3152"/>
      <c r="H524" s="3152"/>
      <c r="I524" s="3152"/>
      <c r="J524" s="3152"/>
      <c r="K524" s="3152"/>
      <c r="L524" s="3152"/>
      <c r="M524" s="2561"/>
      <c r="N524" s="2561"/>
      <c r="O524" s="2682"/>
      <c r="P524" s="2682"/>
      <c r="Q524" s="2682"/>
      <c r="R524" s="2682"/>
      <c r="S524" s="2682"/>
      <c r="T524" s="2682"/>
      <c r="U524" s="2682"/>
      <c r="V524" s="2561"/>
      <c r="W524" s="2561"/>
      <c r="X524" s="2561"/>
      <c r="Y524" s="2561"/>
      <c r="Z524" s="2292"/>
    </row>
    <row r="525" spans="1:26">
      <c r="A525" s="3152"/>
      <c r="B525" s="3152"/>
      <c r="C525" s="3152"/>
      <c r="D525" s="3152"/>
      <c r="E525" s="3152"/>
      <c r="F525" s="219" t="s">
        <v>1196</v>
      </c>
      <c r="G525" s="219" t="s">
        <v>38</v>
      </c>
      <c r="H525" s="219" t="s">
        <v>37</v>
      </c>
      <c r="I525" s="219" t="s">
        <v>1307</v>
      </c>
      <c r="J525" s="219" t="s">
        <v>770</v>
      </c>
      <c r="K525" s="3152"/>
      <c r="L525" s="3152"/>
      <c r="M525" s="2561"/>
      <c r="N525" s="2561"/>
      <c r="O525" s="2561"/>
      <c r="P525" s="2561"/>
      <c r="Q525" s="2561"/>
      <c r="R525" s="2561"/>
      <c r="S525" s="2561"/>
      <c r="T525" s="2561"/>
      <c r="U525" s="2561"/>
      <c r="V525" s="2561"/>
      <c r="W525" s="2561"/>
      <c r="X525" s="2561"/>
      <c r="Y525" s="2561"/>
      <c r="Z525" s="2292"/>
    </row>
    <row r="526" spans="1:26">
      <c r="A526" s="3152"/>
      <c r="B526" s="3152"/>
      <c r="C526" s="3152"/>
      <c r="D526" s="107" t="s">
        <v>87</v>
      </c>
      <c r="E526" s="107"/>
      <c r="F526" s="1824" t="str">
        <f>E369</f>
        <v>5,5x</v>
      </c>
      <c r="G526" s="1824" t="str">
        <f>F369</f>
        <v>9x</v>
      </c>
      <c r="H526" s="1824" t="str">
        <f>G369</f>
        <v>5,5x</v>
      </c>
      <c r="I526" s="1824" t="str">
        <f>H369</f>
        <v>5,5x</v>
      </c>
      <c r="J526" s="1824" t="str">
        <f>I369</f>
        <v>5,5x</v>
      </c>
      <c r="K526" s="3152"/>
      <c r="L526" s="3152"/>
      <c r="M526" s="2561"/>
      <c r="N526" s="2561"/>
      <c r="O526" s="2682"/>
      <c r="P526" s="2682"/>
      <c r="Q526" s="2682"/>
      <c r="R526" s="2682"/>
      <c r="S526" s="2682"/>
      <c r="T526" s="2682"/>
      <c r="U526" s="2682"/>
      <c r="V526" s="2561"/>
      <c r="W526" s="2561"/>
      <c r="X526" s="2561"/>
      <c r="Y526" s="2561"/>
      <c r="Z526" s="2292"/>
    </row>
    <row r="527" spans="1:26">
      <c r="A527" s="3152"/>
      <c r="B527" s="3152"/>
      <c r="C527" s="3152"/>
      <c r="D527" s="2060" t="s">
        <v>95</v>
      </c>
      <c r="E527" s="2060"/>
      <c r="F527" s="2062" t="str">
        <f>F484</f>
        <v>2,3x</v>
      </c>
      <c r="G527" s="2062" t="str">
        <f>G484</f>
        <v>3,8x</v>
      </c>
      <c r="H527" s="2062" t="str">
        <f>H484</f>
        <v>2,3x</v>
      </c>
      <c r="I527" s="2062" t="str">
        <f>I484</f>
        <v>2,3x</v>
      </c>
      <c r="J527" s="2062" t="str">
        <f>J484</f>
        <v>2,3x</v>
      </c>
      <c r="K527" s="3152"/>
      <c r="L527" s="3152"/>
      <c r="M527" s="2561"/>
      <c r="N527" s="2561"/>
      <c r="O527" s="2561"/>
      <c r="P527" s="2561"/>
      <c r="Q527" s="2561"/>
      <c r="R527" s="2561"/>
      <c r="S527" s="2561"/>
      <c r="T527" s="2561"/>
      <c r="U527" s="2561"/>
      <c r="V527" s="2561"/>
      <c r="W527" s="2561"/>
      <c r="X527" s="2561"/>
      <c r="Y527" s="2561"/>
      <c r="Z527" s="2292"/>
    </row>
    <row r="528" spans="1:26">
      <c r="A528" s="3152"/>
      <c r="B528" s="3152"/>
      <c r="C528" s="3152"/>
      <c r="D528" s="1041" t="s">
        <v>1631</v>
      </c>
      <c r="E528" s="1041"/>
      <c r="F528" s="1154" t="str">
        <f>CONCATENATE(ROUND('GEARINGS, Eb&amp;E'!Y425,1),"x")</f>
        <v>3,2x</v>
      </c>
      <c r="G528" s="1154" t="str">
        <f>CONCATENATE(ROUND('GEARINGS, Eb&amp;E'!Y419,1),"x")</f>
        <v>5,2x</v>
      </c>
      <c r="H528" s="1154" t="str">
        <f>CONCATENATE(ROUND('GEARINGS, Eb&amp;E'!Y417,1),"x")</f>
        <v>3,2x</v>
      </c>
      <c r="I528" s="1154" t="str">
        <f>CONCATENATE(ROUND('GEARINGS, Eb&amp;E'!Y418,1),"x")</f>
        <v>3,2x</v>
      </c>
      <c r="J528" s="1154" t="str">
        <f>CONCATENATE(ROUND('GEARINGS, Eb&amp;E'!Y418,1),"x")</f>
        <v>3,2x</v>
      </c>
      <c r="K528" s="3152"/>
      <c r="L528" s="3152"/>
      <c r="M528" s="2561"/>
      <c r="N528" s="2561"/>
      <c r="O528" s="2561"/>
      <c r="P528" s="2561"/>
      <c r="Q528" s="2561"/>
      <c r="R528" s="2561"/>
      <c r="S528" s="2561"/>
      <c r="T528" s="2561"/>
      <c r="U528" s="2561"/>
      <c r="V528" s="2561"/>
      <c r="W528" s="2561"/>
      <c r="X528" s="2561"/>
      <c r="Y528" s="2561"/>
      <c r="Z528" s="2292"/>
    </row>
    <row r="529" spans="1:27">
      <c r="A529" s="3152"/>
      <c r="B529" s="3152"/>
      <c r="C529" s="3152"/>
      <c r="D529" s="107" t="s">
        <v>1996</v>
      </c>
      <c r="E529" s="107"/>
      <c r="F529" s="2963" t="str">
        <f>CONCATENATE(ROUND('GEARINGS, Eb&amp;E'!AA412,1),"x")</f>
        <v>0,9x</v>
      </c>
      <c r="G529" s="1154" t="str">
        <f>CONCATENATE(ROUND('GEARINGS, Eb&amp;E'!AA406,1),"x")</f>
        <v>0,9x</v>
      </c>
      <c r="H529" s="1154" t="str">
        <f>CONCATENATE(ROUND('GEARINGS, Eb&amp;E'!AA404,1),"x")</f>
        <v>0,9x</v>
      </c>
      <c r="I529" s="1154" t="str">
        <f>CONCATENATE(ROUND('GEARINGS, Eb&amp;E'!AA405,1),"x")</f>
        <v>1,3x</v>
      </c>
      <c r="J529" s="2963" t="str">
        <f>CONCATENATE(ROUND('GEARINGS, Eb&amp;E'!AA413,1),"x")</f>
        <v>1,3x</v>
      </c>
      <c r="K529" s="3152"/>
      <c r="L529" s="3152"/>
      <c r="M529" s="2561"/>
      <c r="N529" s="2561"/>
      <c r="O529" s="2561"/>
      <c r="P529" s="2561"/>
      <c r="Q529" s="2561"/>
      <c r="R529" s="2561"/>
      <c r="S529" s="2561"/>
      <c r="T529" s="2561"/>
      <c r="U529" s="2561"/>
      <c r="V529" s="2561"/>
      <c r="W529" s="2561"/>
      <c r="X529" s="2561"/>
      <c r="Y529" s="2561"/>
      <c r="Z529" s="2292"/>
    </row>
    <row r="530" spans="1:27">
      <c r="A530" s="3152"/>
      <c r="B530" s="3152"/>
      <c r="C530" s="3152"/>
      <c r="D530" s="2871" t="s">
        <v>1466</v>
      </c>
      <c r="E530" s="2871"/>
      <c r="F530" s="2964">
        <f>'GEARINGS, Eb&amp;E'!AA425</f>
        <v>0.27877504700623285</v>
      </c>
      <c r="G530" s="2965">
        <f>'GEARINGS, Eb&amp;E'!AA419</f>
        <v>0.17155387508075867</v>
      </c>
      <c r="H530" s="2965">
        <f>'GEARINGS, Eb&amp;E'!AA417</f>
        <v>0.27877504700623285</v>
      </c>
      <c r="I530" s="2965">
        <f>'GEARINGS, Eb&amp;E'!AA418</f>
        <v>0.4201492850448495</v>
      </c>
      <c r="J530" s="2964">
        <f>'GEARINGS, Eb&amp;E'!AA426</f>
        <v>0.4201492850448495</v>
      </c>
      <c r="K530" s="3152"/>
      <c r="L530" s="3152"/>
      <c r="M530" s="2561"/>
      <c r="N530" s="2561"/>
      <c r="O530" s="2561"/>
      <c r="P530" s="2561"/>
      <c r="Q530" s="2561"/>
      <c r="R530" s="2561"/>
      <c r="S530" s="2561"/>
      <c r="T530" s="2561"/>
      <c r="U530" s="2561"/>
      <c r="V530" s="2561"/>
      <c r="W530" s="2561"/>
      <c r="X530" s="2561"/>
      <c r="Y530" s="2561"/>
      <c r="Z530" s="2292"/>
    </row>
    <row r="531" spans="1:27">
      <c r="A531" s="3152"/>
      <c r="B531" s="3152"/>
      <c r="C531" s="3152"/>
      <c r="D531" s="2872" t="s">
        <v>1460</v>
      </c>
      <c r="E531" s="2872"/>
      <c r="F531" s="2966" t="str">
        <f>CONCATENATE(ROUND(1/F530,1),"x")</f>
        <v>3,6x</v>
      </c>
      <c r="G531" s="2966" t="str">
        <f>CONCATENATE(ROUND(1/G530,1),"x")</f>
        <v>5,8x</v>
      </c>
      <c r="H531" s="2966" t="str">
        <f>CONCATENATE(ROUND(1/H530,1),"x")</f>
        <v>3,6x</v>
      </c>
      <c r="I531" s="2966" t="str">
        <f>CONCATENATE(ROUND(1/I530,1),"x")</f>
        <v>2,4x</v>
      </c>
      <c r="J531" s="2966" t="str">
        <f>CONCATENATE(ROUND(1/J530,1),"x")</f>
        <v>2,4x</v>
      </c>
      <c r="K531" s="3152"/>
      <c r="L531" s="3152"/>
      <c r="M531" s="2561"/>
      <c r="N531" s="2561"/>
      <c r="O531" s="2561"/>
      <c r="P531" s="2561"/>
      <c r="Q531" s="2561"/>
      <c r="R531" s="2561"/>
      <c r="S531" s="2561"/>
      <c r="T531" s="2561"/>
      <c r="U531" s="2561"/>
      <c r="V531" s="2561"/>
      <c r="W531" s="2561"/>
      <c r="X531" s="2561"/>
      <c r="Y531" s="2561"/>
      <c r="Z531" s="2292"/>
    </row>
    <row r="532" spans="1:27">
      <c r="A532" s="3152"/>
      <c r="B532" s="3152"/>
      <c r="C532" s="3152"/>
      <c r="D532" s="108" t="s">
        <v>1465</v>
      </c>
      <c r="E532" s="108"/>
      <c r="F532" s="2061">
        <f>(1-F485)*'GEARINGS, Eb&amp;E'!$V$430</f>
        <v>6.779188973438508E-3</v>
      </c>
      <c r="G532" s="2061">
        <f>(1-G485)*'GEARINGS, Eb&amp;E'!$V$430</f>
        <v>6.779188973438508E-3</v>
      </c>
      <c r="H532" s="2061">
        <f>(1-H485)*'GEARINGS, Eb&amp;E'!$V$430</f>
        <v>6.779188973438508E-3</v>
      </c>
      <c r="I532" s="2061">
        <f>(1-I485)*'GEARINGS, Eb&amp;E'!$V$430</f>
        <v>6.779188973438508E-3</v>
      </c>
      <c r="J532" s="2061">
        <f>(1-J485)*'GEARINGS, Eb&amp;E'!$V$430</f>
        <v>6.779188973438508E-3</v>
      </c>
      <c r="K532" s="3152"/>
      <c r="L532" s="3152"/>
      <c r="M532" s="2561"/>
      <c r="N532" s="2561"/>
      <c r="O532" s="2561"/>
      <c r="P532" s="2561"/>
      <c r="Q532" s="2561"/>
      <c r="R532" s="2561"/>
      <c r="S532" s="2561"/>
      <c r="T532" s="2561"/>
      <c r="U532" s="2561"/>
      <c r="V532" s="2561"/>
      <c r="W532" s="2561"/>
      <c r="X532" s="2561"/>
      <c r="Y532" s="2561"/>
      <c r="Z532" s="2292"/>
    </row>
    <row r="533" spans="1:27" ht="13.5" thickBot="1">
      <c r="A533" s="3152"/>
      <c r="B533" s="3152"/>
      <c r="C533" s="3152"/>
      <c r="D533" s="2917" t="s">
        <v>1467</v>
      </c>
      <c r="E533" s="2917"/>
      <c r="F533" s="2918">
        <f>F530*F532</f>
        <v>1.8898687247344555E-3</v>
      </c>
      <c r="G533" s="2919">
        <f>G530*G532</f>
        <v>1.1629961382981263E-3</v>
      </c>
      <c r="H533" s="2919">
        <f>H530*H532</f>
        <v>1.8898687247344555E-3</v>
      </c>
      <c r="I533" s="2919">
        <f>I530*I532</f>
        <v>2.8482714003741161E-3</v>
      </c>
      <c r="J533" s="2918">
        <f>J530*J532</f>
        <v>2.8482714003741161E-3</v>
      </c>
      <c r="K533" s="3152"/>
      <c r="L533" s="3152"/>
      <c r="M533" s="2561"/>
      <c r="N533" s="2561"/>
      <c r="O533" s="2561"/>
      <c r="P533" s="2561"/>
      <c r="Q533" s="2561"/>
      <c r="R533" s="2561"/>
      <c r="S533" s="2561"/>
      <c r="T533" s="2561"/>
      <c r="U533" s="2561"/>
      <c r="V533" s="2561"/>
      <c r="W533" s="2561"/>
      <c r="X533" s="2561"/>
      <c r="Y533" s="2561"/>
      <c r="Z533" s="2292"/>
    </row>
    <row r="534" spans="1:27">
      <c r="A534" s="3152"/>
      <c r="B534" s="3152"/>
      <c r="C534" s="3152"/>
      <c r="D534" s="11" t="s">
        <v>2047</v>
      </c>
      <c r="E534" s="7"/>
      <c r="F534" s="15">
        <f>1/F535</f>
        <v>4.166666666666667</v>
      </c>
      <c r="G534" s="15"/>
      <c r="H534" s="15">
        <f>1/H535</f>
        <v>4.166666666666667</v>
      </c>
      <c r="I534" s="15">
        <f>1/I535</f>
        <v>5.8823529411764701</v>
      </c>
      <c r="J534" s="15">
        <f>1/J535</f>
        <v>5.8823529411764701</v>
      </c>
      <c r="K534" s="3152"/>
      <c r="L534" s="3152"/>
      <c r="M534" s="2561"/>
      <c r="N534" s="2561"/>
      <c r="O534" s="2561"/>
      <c r="P534" s="2561"/>
      <c r="Q534" s="2561"/>
      <c r="R534" s="2561"/>
      <c r="S534" s="2561"/>
      <c r="T534" s="2561"/>
      <c r="U534" s="2561"/>
      <c r="V534" s="2561"/>
      <c r="W534" s="2561"/>
      <c r="X534" s="2561"/>
      <c r="Y534" s="2561"/>
      <c r="Z534" s="2292"/>
    </row>
    <row r="535" spans="1:27" ht="12.75" customHeight="1">
      <c r="A535" s="3152"/>
      <c r="B535" s="3152"/>
      <c r="C535" s="3152"/>
      <c r="D535" s="2951" t="s">
        <v>1704</v>
      </c>
      <c r="E535" s="2951"/>
      <c r="F535" s="3530">
        <f>'GEARINGS, Eb&amp;E'!AF425</f>
        <v>0.24</v>
      </c>
      <c r="G535" s="3530"/>
      <c r="H535" s="3530">
        <f>'GEARINGS, Eb&amp;E'!AF417</f>
        <v>0.24</v>
      </c>
      <c r="I535" s="3530">
        <v>0.17</v>
      </c>
      <c r="J535" s="3530">
        <f>'GEARINGS, Eb&amp;E'!AF426</f>
        <v>0.17</v>
      </c>
      <c r="K535" s="3370"/>
      <c r="L535" s="3370"/>
      <c r="M535" s="2561"/>
      <c r="N535" s="2561"/>
      <c r="O535" s="2561"/>
      <c r="P535" s="2561"/>
      <c r="Q535" s="2561"/>
      <c r="R535" s="2561"/>
      <c r="S535" s="2561"/>
      <c r="T535" s="2561"/>
      <c r="U535" s="2561"/>
      <c r="V535" s="2561"/>
      <c r="W535" s="2561"/>
      <c r="X535" s="2561"/>
      <c r="Y535" s="2561"/>
      <c r="Z535" s="2292"/>
    </row>
    <row r="536" spans="1:27">
      <c r="A536" s="3152"/>
      <c r="B536" s="3152"/>
      <c r="C536" s="3152"/>
      <c r="D536" s="2152" t="s">
        <v>1998</v>
      </c>
      <c r="E536" s="455"/>
      <c r="F536" s="2953">
        <f>'GEARINGS, Eb&amp;E'!AF447</f>
        <v>3.2000000000000002E-3</v>
      </c>
      <c r="G536" s="455"/>
      <c r="H536" s="2151">
        <f>'GEARINGS, Eb&amp;E'!AF430</f>
        <v>2.8E-3</v>
      </c>
      <c r="I536" s="2151">
        <f>'GEARINGS, Eb&amp;E'!AF431</f>
        <v>2.3999999999999998E-3</v>
      </c>
      <c r="J536" s="2953">
        <f>'GEARINGS, Eb&amp;E'!AF448</f>
        <v>2.3999999999999998E-3</v>
      </c>
      <c r="K536" s="3370"/>
      <c r="L536" s="3370"/>
      <c r="M536" s="2561"/>
      <c r="N536" s="2561"/>
      <c r="O536" s="2561"/>
      <c r="P536" s="2561"/>
      <c r="Q536" s="2561"/>
      <c r="R536" s="2561"/>
      <c r="S536" s="2561"/>
      <c r="T536" s="2561"/>
      <c r="U536" s="2561"/>
      <c r="V536" s="2561"/>
      <c r="W536" s="2561"/>
      <c r="X536" s="2561"/>
      <c r="Y536" s="2561"/>
      <c r="Z536" s="2292"/>
    </row>
    <row r="537" spans="1:27">
      <c r="A537" s="3152"/>
      <c r="B537" s="3152"/>
      <c r="C537" s="3152"/>
      <c r="D537" s="3152"/>
      <c r="E537" s="3152"/>
      <c r="F537" s="3152"/>
      <c r="G537" s="3152"/>
      <c r="H537" s="3152"/>
      <c r="I537" s="3152"/>
      <c r="J537" s="3152"/>
      <c r="K537" s="3152"/>
      <c r="L537" s="3152"/>
      <c r="M537" s="2561"/>
      <c r="N537" s="2561"/>
      <c r="O537" s="2561"/>
      <c r="P537" s="2561"/>
      <c r="Q537" s="2561"/>
      <c r="R537" s="2561"/>
      <c r="S537" s="2561"/>
      <c r="T537" s="2561"/>
      <c r="U537" s="2561"/>
      <c r="V537" s="2561"/>
      <c r="W537" s="2561"/>
      <c r="X537" s="2561"/>
      <c r="Y537" s="2561"/>
      <c r="Z537" s="2292"/>
    </row>
    <row r="538" spans="1:27">
      <c r="A538" s="3152"/>
      <c r="B538" s="3152"/>
      <c r="C538" s="3152"/>
      <c r="D538" s="3152"/>
      <c r="E538" s="3152"/>
      <c r="F538" s="3152"/>
      <c r="G538" s="3152"/>
      <c r="H538" s="3152"/>
      <c r="I538" s="3152"/>
      <c r="J538" s="3152"/>
      <c r="K538" s="3152"/>
      <c r="L538" s="3152"/>
      <c r="M538" s="2561"/>
      <c r="N538" s="2561"/>
      <c r="O538" s="2561"/>
      <c r="P538" s="2561"/>
      <c r="Q538" s="2561"/>
      <c r="R538" s="2561"/>
      <c r="S538" s="2561"/>
      <c r="T538" s="2561"/>
      <c r="U538" s="2561"/>
      <c r="V538" s="2561"/>
      <c r="W538" s="2561"/>
      <c r="X538" s="2561"/>
      <c r="Y538" s="2561"/>
      <c r="Z538" s="2292"/>
    </row>
    <row r="539" spans="1:27">
      <c r="A539" s="2561"/>
      <c r="B539" s="2561"/>
      <c r="C539" s="2561"/>
      <c r="D539" s="2561"/>
      <c r="E539" s="2561"/>
      <c r="F539" s="2561"/>
      <c r="G539" s="2561"/>
      <c r="H539" s="2561"/>
      <c r="I539" s="2561"/>
      <c r="J539" s="2561"/>
      <c r="K539" s="2561"/>
      <c r="L539" s="2561"/>
      <c r="M539" s="2561"/>
      <c r="N539" s="2561"/>
      <c r="O539" s="2561"/>
      <c r="P539" s="2561"/>
      <c r="Q539" s="2561"/>
      <c r="R539" s="2561"/>
      <c r="S539" s="2561"/>
      <c r="T539" s="2561"/>
      <c r="U539" s="2561"/>
      <c r="V539" s="2561"/>
      <c r="W539" s="2561"/>
      <c r="X539" s="2561"/>
      <c r="Y539" s="2561"/>
      <c r="Z539" s="2292"/>
    </row>
    <row r="540" spans="1:27">
      <c r="A540" s="964" t="s">
        <v>2057</v>
      </c>
      <c r="B540" s="963"/>
      <c r="C540" s="963"/>
      <c r="D540" s="963"/>
      <c r="E540" s="963"/>
      <c r="F540" s="963"/>
      <c r="G540" s="963"/>
      <c r="H540" s="963"/>
      <c r="I540" s="963"/>
      <c r="J540" s="963"/>
      <c r="K540" s="963"/>
      <c r="L540" s="963"/>
      <c r="M540" s="2561"/>
      <c r="N540" s="2561"/>
      <c r="O540" s="2561"/>
      <c r="P540" s="2561"/>
      <c r="Q540" s="2561"/>
      <c r="R540" s="2561"/>
      <c r="S540" s="2561"/>
      <c r="T540" s="2561"/>
      <c r="U540" s="2561"/>
      <c r="V540" s="2561"/>
      <c r="W540" s="2561"/>
      <c r="X540" s="2561"/>
      <c r="Y540" s="2561"/>
      <c r="Z540" s="2561"/>
      <c r="AA540" s="2682"/>
    </row>
    <row r="541" spans="1:27">
      <c r="A541" s="3152"/>
      <c r="B541" s="3152"/>
      <c r="C541" s="3152"/>
      <c r="D541" s="3152"/>
      <c r="E541" s="3152"/>
      <c r="F541" s="3152"/>
      <c r="G541" s="3152"/>
      <c r="H541" s="3152"/>
      <c r="I541" s="3152"/>
      <c r="J541" s="3152"/>
      <c r="K541" s="3152"/>
      <c r="L541" s="3152"/>
      <c r="M541" s="2561"/>
      <c r="N541" s="2561"/>
      <c r="O541" s="2561"/>
      <c r="P541" s="2561"/>
      <c r="Q541" s="2561"/>
      <c r="R541" s="2561"/>
      <c r="S541" s="2561"/>
      <c r="T541" s="2561"/>
      <c r="U541" s="2561"/>
      <c r="V541" s="2561"/>
      <c r="W541" s="2561"/>
      <c r="X541" s="2561"/>
      <c r="Y541" s="2561"/>
      <c r="Z541" s="2561"/>
      <c r="AA541" s="2682"/>
    </row>
    <row r="542" spans="1:27" ht="12.75" customHeight="1">
      <c r="A542" s="3155" t="s">
        <v>2072</v>
      </c>
      <c r="B542" s="3155"/>
      <c r="C542" s="3152"/>
      <c r="D542" s="3152"/>
      <c r="E542" s="3152"/>
      <c r="F542" s="3152"/>
      <c r="G542" s="3152"/>
      <c r="H542" s="3152"/>
      <c r="I542" s="3152"/>
      <c r="J542" s="3152"/>
      <c r="K542" s="3152"/>
      <c r="L542" s="3152"/>
      <c r="M542" s="2561"/>
      <c r="N542" s="2561"/>
      <c r="O542" s="2561"/>
      <c r="P542" s="2561"/>
      <c r="Q542" s="2561"/>
      <c r="R542" s="2561"/>
      <c r="S542" s="2561"/>
      <c r="T542" s="2561"/>
      <c r="U542" s="2561"/>
      <c r="V542" s="2561"/>
      <c r="W542" s="2561"/>
      <c r="X542" s="2561"/>
      <c r="Y542" s="2561"/>
      <c r="Z542" s="2561"/>
      <c r="AA542" s="2682"/>
    </row>
    <row r="543" spans="1:27">
      <c r="A543" s="3155"/>
      <c r="B543" s="3155"/>
      <c r="C543" s="3152"/>
      <c r="D543" s="983" t="s">
        <v>2073</v>
      </c>
      <c r="E543" s="3152"/>
      <c r="F543" s="3152"/>
      <c r="G543" s="3152"/>
      <c r="H543" s="3152"/>
      <c r="I543" s="3152"/>
      <c r="J543" s="3152"/>
      <c r="K543" s="3152"/>
      <c r="L543" s="3152"/>
      <c r="M543" s="2561"/>
      <c r="N543" s="2561"/>
      <c r="O543" s="2561"/>
      <c r="P543" s="2561"/>
      <c r="Q543" s="2561"/>
      <c r="R543" s="2561"/>
      <c r="S543" s="2561"/>
      <c r="T543" s="2561"/>
      <c r="U543" s="2561"/>
      <c r="V543" s="2561"/>
      <c r="W543" s="2561"/>
      <c r="X543" s="2561"/>
      <c r="Y543" s="2561"/>
      <c r="Z543" s="2561"/>
      <c r="AA543" s="2682"/>
    </row>
    <row r="544" spans="1:27">
      <c r="A544" s="3152"/>
      <c r="B544" s="3152"/>
      <c r="C544" s="3152"/>
      <c r="D544" s="3152"/>
      <c r="E544" s="3152"/>
      <c r="F544" s="3152"/>
      <c r="G544" s="3152"/>
      <c r="H544" s="3152"/>
      <c r="I544" s="3152"/>
      <c r="J544" s="3152"/>
      <c r="K544" s="3152"/>
      <c r="L544" s="3152"/>
      <c r="M544" s="2561"/>
      <c r="N544" s="2561"/>
      <c r="O544" s="2561"/>
      <c r="P544" s="2561"/>
      <c r="Q544" s="2561"/>
      <c r="R544" s="2561"/>
      <c r="S544" s="2561"/>
      <c r="T544" s="2561"/>
      <c r="U544" s="2561"/>
      <c r="V544" s="2561"/>
      <c r="W544" s="2561"/>
      <c r="X544" s="2561"/>
      <c r="Y544" s="2561"/>
      <c r="Z544" s="2561"/>
      <c r="AA544" s="2682"/>
    </row>
    <row r="545" spans="1:27">
      <c r="A545" s="3152"/>
      <c r="B545" s="3152"/>
      <c r="C545" s="3152"/>
      <c r="D545" s="4526" t="s">
        <v>981</v>
      </c>
      <c r="E545" s="4526"/>
      <c r="F545" s="3154" t="s">
        <v>37</v>
      </c>
      <c r="G545" s="3154" t="s">
        <v>36</v>
      </c>
      <c r="H545" s="3154" t="s">
        <v>38</v>
      </c>
      <c r="I545" s="3152"/>
      <c r="J545" s="3152"/>
      <c r="K545" s="3152"/>
      <c r="L545" s="3152"/>
      <c r="M545" s="2561"/>
      <c r="N545" s="2561"/>
      <c r="O545" s="2561"/>
      <c r="P545" s="2561"/>
      <c r="Q545" s="2561"/>
      <c r="R545" s="2561"/>
      <c r="S545" s="2561"/>
      <c r="T545" s="2561"/>
      <c r="U545" s="2561"/>
      <c r="V545" s="2561"/>
      <c r="W545" s="2561"/>
      <c r="X545" s="2561"/>
      <c r="Y545" s="2561"/>
      <c r="Z545" s="2561"/>
      <c r="AA545" s="2682"/>
    </row>
    <row r="546" spans="1:27">
      <c r="A546" s="3152"/>
      <c r="B546" s="3152"/>
      <c r="C546" s="3152"/>
      <c r="D546" s="4511" t="s">
        <v>2074</v>
      </c>
      <c r="E546" s="4511"/>
      <c r="F546" s="7" t="str">
        <f>CONCATENATE(ROUND('Equity Analysts Forecasts '!CG12,1),"x")</f>
        <v>0,2x</v>
      </c>
      <c r="G546" s="7" t="str">
        <f>CONCATENATE(ROUND('Equity Analysts Forecasts '!CG21,1),"x")</f>
        <v>0,3x</v>
      </c>
      <c r="H546" s="7" t="str">
        <f>CONCATENATE(ROUND('Equity Analysts Forecasts '!CG29,1),"x")</f>
        <v>0,6x</v>
      </c>
      <c r="I546" s="3152"/>
      <c r="J546" s="3152"/>
      <c r="K546" s="3152"/>
      <c r="L546" s="3152"/>
      <c r="M546" s="2561"/>
      <c r="N546" s="2561"/>
      <c r="O546" s="2561"/>
      <c r="P546" s="2561"/>
      <c r="Q546" s="2561"/>
      <c r="R546" s="2561"/>
      <c r="S546" s="2561"/>
      <c r="T546" s="2561"/>
      <c r="U546" s="2561"/>
      <c r="V546" s="2561"/>
      <c r="W546" s="2561"/>
      <c r="X546" s="2561"/>
      <c r="Y546" s="2561"/>
      <c r="Z546" s="2561"/>
      <c r="AA546" s="2682"/>
    </row>
    <row r="547" spans="1:27">
      <c r="A547" s="3152"/>
      <c r="B547" s="3152"/>
      <c r="C547" s="3152"/>
      <c r="D547" s="4510" t="s">
        <v>2050</v>
      </c>
      <c r="E547" s="4510"/>
      <c r="F547" s="2952">
        <v>0.02</v>
      </c>
      <c r="G547" s="2952">
        <v>0.11</v>
      </c>
      <c r="H547" s="2952">
        <v>0.01</v>
      </c>
      <c r="I547" s="3152"/>
      <c r="J547" s="3152"/>
      <c r="K547" s="3152"/>
      <c r="L547" s="3152"/>
      <c r="M547" s="2561"/>
      <c r="N547" s="2561"/>
      <c r="O547" s="2561"/>
      <c r="P547" s="2561"/>
      <c r="Q547" s="2561"/>
      <c r="R547" s="2561"/>
      <c r="S547" s="2561"/>
      <c r="T547" s="2561"/>
      <c r="U547" s="2561"/>
      <c r="V547" s="2561"/>
      <c r="W547" s="2561"/>
      <c r="X547" s="2561"/>
      <c r="Y547" s="2561"/>
      <c r="Z547" s="2561"/>
      <c r="AA547" s="2682"/>
    </row>
    <row r="548" spans="1:27">
      <c r="A548" s="3152"/>
      <c r="B548" s="3152"/>
      <c r="C548" s="3152"/>
      <c r="D548" s="4522" t="s">
        <v>2076</v>
      </c>
      <c r="E548" s="4522"/>
      <c r="F548" s="2997" t="str">
        <f>CONCATENATE(ROUND('Equity Analysts Forecasts '!CG12/(1+F547),1),"x")</f>
        <v>0,2x</v>
      </c>
      <c r="G548" s="2997" t="str">
        <f>CONCATENATE(ROUND('Equity Analysts Forecasts '!CG21/(1+G547),1),"x")</f>
        <v>0,3x</v>
      </c>
      <c r="H548" s="2997" t="str">
        <f>CONCATENATE(ROUND('Equity Analysts Forecasts '!CG29/(1+H547),1),"x")</f>
        <v>0,6x</v>
      </c>
      <c r="I548" s="3152"/>
      <c r="J548" s="3152"/>
      <c r="K548" s="3152"/>
      <c r="L548" s="3152"/>
      <c r="M548" s="2561"/>
      <c r="N548" s="2561"/>
      <c r="O548" s="2561"/>
      <c r="P548" s="2561"/>
      <c r="Q548" s="2561"/>
      <c r="R548" s="2561"/>
      <c r="S548" s="2561"/>
      <c r="T548" s="2561"/>
      <c r="U548" s="2561"/>
      <c r="V548" s="2561"/>
      <c r="W548" s="2561"/>
      <c r="X548" s="2561"/>
      <c r="Y548" s="2561"/>
      <c r="Z548" s="2561"/>
      <c r="AA548" s="2682"/>
    </row>
    <row r="549" spans="1:27">
      <c r="A549" s="3152"/>
      <c r="B549" s="3152"/>
      <c r="C549" s="3152"/>
      <c r="D549" s="3152"/>
      <c r="E549" s="3152"/>
      <c r="F549" s="3152"/>
      <c r="G549" s="3152"/>
      <c r="H549" s="3152"/>
      <c r="I549" s="3152"/>
      <c r="J549" s="3152"/>
      <c r="K549" s="3152"/>
      <c r="L549" s="3152"/>
      <c r="M549" s="2561"/>
      <c r="N549" s="2561"/>
      <c r="O549" s="2561"/>
      <c r="P549" s="2561"/>
      <c r="Q549" s="2561"/>
      <c r="R549" s="2561"/>
      <c r="S549" s="2561"/>
      <c r="T549" s="2561"/>
      <c r="U549" s="2561"/>
      <c r="V549" s="2561"/>
      <c r="W549" s="2561"/>
      <c r="X549" s="2561"/>
      <c r="Y549" s="2561"/>
      <c r="Z549" s="2561"/>
      <c r="AA549" s="2682"/>
    </row>
    <row r="550" spans="1:27">
      <c r="A550" s="3152"/>
      <c r="B550" s="3152"/>
      <c r="C550" s="3152"/>
      <c r="D550" s="3152"/>
      <c r="E550" s="3152"/>
      <c r="F550" s="3152"/>
      <c r="G550" s="3152"/>
      <c r="H550" s="3152"/>
      <c r="I550" s="3152"/>
      <c r="J550" s="3152"/>
      <c r="K550" s="3152"/>
      <c r="L550" s="3152"/>
      <c r="M550" s="2561"/>
      <c r="N550" s="2561"/>
      <c r="O550" s="2561"/>
      <c r="P550" s="2561"/>
      <c r="Q550" s="2561"/>
      <c r="R550" s="2561"/>
      <c r="S550" s="2561"/>
      <c r="T550" s="2561"/>
      <c r="U550" s="2561"/>
      <c r="V550" s="2561"/>
      <c r="W550" s="2561"/>
      <c r="X550" s="2561"/>
      <c r="Y550" s="2561"/>
      <c r="Z550" s="2561"/>
      <c r="AA550" s="2682"/>
    </row>
    <row r="551" spans="1:27">
      <c r="A551" s="3152"/>
      <c r="B551" s="3152"/>
      <c r="C551" s="3152"/>
      <c r="D551" s="983" t="s">
        <v>2087</v>
      </c>
      <c r="E551" s="3152"/>
      <c r="F551" s="3152"/>
      <c r="G551" s="3152"/>
      <c r="H551" s="3152"/>
      <c r="I551" s="3152"/>
      <c r="J551" s="3152"/>
      <c r="K551" s="3152"/>
      <c r="L551" s="3152"/>
      <c r="M551" s="2561"/>
      <c r="N551" s="2561"/>
      <c r="O551" s="2561"/>
      <c r="P551" s="2561"/>
      <c r="Q551" s="2561"/>
      <c r="R551" s="2561"/>
      <c r="S551" s="2561"/>
      <c r="T551" s="2561"/>
      <c r="U551" s="2561"/>
      <c r="V551" s="2561"/>
      <c r="W551" s="2561"/>
      <c r="X551" s="2561"/>
      <c r="Y551" s="2561"/>
      <c r="Z551" s="2561"/>
      <c r="AA551" s="2682"/>
    </row>
    <row r="552" spans="1:27">
      <c r="A552" s="3152"/>
      <c r="B552" s="3152"/>
      <c r="C552" s="3152"/>
      <c r="D552" s="3152"/>
      <c r="E552" s="3152"/>
      <c r="F552" s="3152"/>
      <c r="G552" s="3152"/>
      <c r="H552" s="3152"/>
      <c r="I552" s="3152"/>
      <c r="J552" s="3152"/>
      <c r="K552" s="3152"/>
      <c r="L552" s="3152"/>
      <c r="M552" s="2561"/>
      <c r="N552" s="2561"/>
      <c r="O552" s="2561"/>
      <c r="P552" s="2561"/>
      <c r="Q552" s="2561"/>
      <c r="R552" s="2561"/>
      <c r="S552" s="2561"/>
      <c r="T552" s="2561"/>
      <c r="U552" s="2561"/>
      <c r="V552" s="2561"/>
      <c r="W552" s="2561"/>
      <c r="X552" s="2561"/>
      <c r="Y552" s="2561"/>
      <c r="Z552" s="2561"/>
      <c r="AA552" s="2682"/>
    </row>
    <row r="553" spans="1:27">
      <c r="A553" s="3152"/>
      <c r="B553" s="3152"/>
      <c r="C553" s="3152"/>
      <c r="D553" s="4526" t="s">
        <v>981</v>
      </c>
      <c r="E553" s="4526"/>
      <c r="F553" s="219" t="s">
        <v>2079</v>
      </c>
      <c r="G553" s="3154" t="s">
        <v>37</v>
      </c>
      <c r="H553" s="3154" t="s">
        <v>36</v>
      </c>
      <c r="I553" s="3154" t="s">
        <v>38</v>
      </c>
      <c r="J553" s="2"/>
      <c r="K553" s="3152"/>
      <c r="L553" s="3152"/>
      <c r="M553" s="2561"/>
      <c r="N553" s="2561"/>
      <c r="O553" s="2561"/>
      <c r="P553" s="2561"/>
      <c r="Q553" s="2561"/>
      <c r="R553" s="2561"/>
      <c r="S553" s="2561"/>
      <c r="T553" s="2561"/>
      <c r="U553" s="2561"/>
      <c r="V553" s="2561"/>
      <c r="W553" s="2561"/>
      <c r="X553" s="2561"/>
      <c r="Y553" s="2561"/>
      <c r="Z553" s="2561"/>
      <c r="AA553" s="2682"/>
    </row>
    <row r="554" spans="1:27">
      <c r="A554" s="3152"/>
      <c r="B554" s="3152"/>
      <c r="C554" s="3152"/>
      <c r="D554" s="4511" t="s">
        <v>1088</v>
      </c>
      <c r="E554" s="4511"/>
      <c r="F554" s="3152" t="str">
        <f>F484</f>
        <v>2,3x</v>
      </c>
      <c r="G554" s="3152" t="str">
        <f>H484</f>
        <v>2,3x</v>
      </c>
      <c r="H554" s="3152" t="str">
        <f>I484</f>
        <v>2,3x</v>
      </c>
      <c r="I554" s="3152" t="str">
        <f>G484</f>
        <v>3,8x</v>
      </c>
      <c r="J554" s="2"/>
      <c r="K554" s="3152"/>
      <c r="L554" s="3152"/>
      <c r="M554" s="2561"/>
      <c r="N554" s="2561"/>
      <c r="O554" s="2561"/>
      <c r="P554" s="2561"/>
      <c r="Q554" s="2561"/>
      <c r="R554" s="2561"/>
      <c r="S554" s="2561"/>
      <c r="T554" s="2561"/>
      <c r="U554" s="2561"/>
      <c r="V554" s="2561"/>
      <c r="W554" s="2561"/>
      <c r="X554" s="2561"/>
      <c r="Y554" s="2561"/>
      <c r="Z554" s="2561"/>
      <c r="AA554" s="2682"/>
    </row>
    <row r="555" spans="1:27">
      <c r="A555" s="3152"/>
      <c r="B555" s="3152"/>
      <c r="C555" s="3152"/>
      <c r="D555" s="4527" t="s">
        <v>1803</v>
      </c>
      <c r="E555" s="4527"/>
      <c r="F555" s="3156" t="str">
        <f>F548</f>
        <v>0,2x</v>
      </c>
      <c r="G555" s="3156" t="str">
        <f>F548</f>
        <v>0,2x</v>
      </c>
      <c r="H555" s="3156" t="str">
        <f>CONCATENATE($G$555,"-",G548)</f>
        <v>0,2x-0,3x</v>
      </c>
      <c r="I555" s="3156" t="str">
        <f>CONCATENATE($G$555,"-",H548)</f>
        <v>0,2x-0,6x</v>
      </c>
      <c r="J555" s="2"/>
      <c r="K555" s="3152"/>
      <c r="L555" s="3152"/>
      <c r="M555" s="2561"/>
      <c r="N555" s="2561"/>
      <c r="O555" s="2561"/>
      <c r="P555" s="2561"/>
      <c r="Q555" s="2561"/>
      <c r="R555" s="2561"/>
      <c r="S555" s="2561"/>
      <c r="T555" s="2561"/>
      <c r="U555" s="2561"/>
      <c r="V555" s="2561"/>
      <c r="W555" s="2561"/>
      <c r="X555" s="2561"/>
      <c r="Y555" s="2561"/>
      <c r="Z555" s="2561"/>
      <c r="AA555" s="2682"/>
    </row>
    <row r="556" spans="1:27">
      <c r="A556" s="3152"/>
      <c r="B556" s="3152"/>
      <c r="C556" s="3152"/>
      <c r="D556" s="4525" t="s">
        <v>2086</v>
      </c>
      <c r="E556" s="4525"/>
      <c r="F556" s="3152" t="s">
        <v>2075</v>
      </c>
      <c r="G556" s="3152" t="str">
        <f>$F$556</f>
        <v>0,2x</v>
      </c>
      <c r="H556" s="3152" t="str">
        <f>$F$556</f>
        <v>0,2x</v>
      </c>
      <c r="I556" s="3152" t="str">
        <f>$F$556</f>
        <v>0,2x</v>
      </c>
      <c r="J556" s="2"/>
      <c r="K556" s="2975" t="s">
        <v>2077</v>
      </c>
      <c r="L556" s="3152"/>
      <c r="M556" s="2561"/>
      <c r="N556" s="2561"/>
      <c r="O556" s="2561"/>
      <c r="P556" s="2561"/>
      <c r="Q556" s="2561"/>
      <c r="R556" s="2561"/>
      <c r="S556" s="2561"/>
      <c r="T556" s="2561"/>
      <c r="U556" s="2561"/>
      <c r="V556" s="2561"/>
      <c r="W556" s="2561"/>
      <c r="X556" s="2561"/>
      <c r="Y556" s="2561"/>
      <c r="Z556" s="2561"/>
      <c r="AA556" s="2682"/>
    </row>
    <row r="557" spans="1:27">
      <c r="A557" s="3152"/>
      <c r="B557" s="3152"/>
      <c r="C557" s="3152"/>
      <c r="D557" s="4522" t="s">
        <v>2080</v>
      </c>
      <c r="E557" s="4522"/>
      <c r="F557" s="3151" t="s">
        <v>2081</v>
      </c>
      <c r="G557" s="3151" t="s">
        <v>2081</v>
      </c>
      <c r="H557" s="3151" t="s">
        <v>2082</v>
      </c>
      <c r="I557" s="3151" t="s">
        <v>2083</v>
      </c>
      <c r="J557" s="2"/>
      <c r="K557" s="2998" t="s">
        <v>2078</v>
      </c>
      <c r="L557" s="3152"/>
      <c r="M557" s="2561"/>
      <c r="N557" s="2561"/>
      <c r="O557" s="2561"/>
      <c r="P557" s="2561"/>
      <c r="Q557" s="2561"/>
      <c r="R557" s="2561"/>
      <c r="S557" s="2561"/>
      <c r="T557" s="2561"/>
      <c r="U557" s="2561"/>
      <c r="V557" s="2561"/>
      <c r="W557" s="2561"/>
      <c r="X557" s="2561"/>
      <c r="Y557" s="2561"/>
      <c r="Z557" s="2561"/>
      <c r="AA557" s="2682"/>
    </row>
    <row r="558" spans="1:27" ht="12.75" customHeight="1">
      <c r="A558" s="3152"/>
      <c r="B558" s="3152"/>
      <c r="C558" s="3152"/>
      <c r="D558" s="4522" t="s">
        <v>2085</v>
      </c>
      <c r="E558" s="4522"/>
      <c r="F558" s="219" t="s">
        <v>2088</v>
      </c>
      <c r="G558" s="3154"/>
      <c r="H558" s="3154"/>
      <c r="I558" s="3154" t="s">
        <v>2084</v>
      </c>
      <c r="J558" s="2"/>
      <c r="K558" s="2998" t="s">
        <v>2078</v>
      </c>
      <c r="L558" s="3152"/>
      <c r="M558" s="2561"/>
      <c r="N558" s="2561"/>
      <c r="O558" s="2561"/>
      <c r="P558" s="2561"/>
      <c r="Q558" s="2561"/>
      <c r="R558" s="2561"/>
      <c r="S558" s="2561"/>
      <c r="T558" s="2561"/>
      <c r="U558" s="2561"/>
      <c r="V558" s="2561"/>
      <c r="W558" s="2561"/>
      <c r="X558" s="2561"/>
      <c r="Y558" s="2561"/>
      <c r="Z558" s="2561"/>
      <c r="AA558" s="2682"/>
    </row>
    <row r="559" spans="1:27">
      <c r="A559" s="3152"/>
      <c r="B559" s="3152"/>
      <c r="C559" s="3152"/>
      <c r="D559" s="3152"/>
      <c r="E559" s="3152"/>
      <c r="F559" s="3"/>
      <c r="G559" s="3"/>
      <c r="H559" s="3152"/>
      <c r="I559" s="1358" t="s">
        <v>2089</v>
      </c>
      <c r="J559" s="2"/>
      <c r="K559" s="3152"/>
      <c r="L559" s="3152"/>
      <c r="M559" s="2561"/>
      <c r="N559" s="2561"/>
      <c r="O559" s="2561"/>
      <c r="P559" s="2561"/>
      <c r="Q559" s="2561"/>
      <c r="R559" s="2561"/>
      <c r="S559" s="2561"/>
      <c r="T559" s="2561"/>
      <c r="U559" s="2561"/>
      <c r="V559" s="2561"/>
      <c r="W559" s="2561"/>
      <c r="X559" s="2561"/>
      <c r="Y559" s="2561"/>
      <c r="Z559" s="2561"/>
      <c r="AA559" s="2682"/>
    </row>
    <row r="560" spans="1:27">
      <c r="A560" s="3152"/>
      <c r="B560" s="3152"/>
      <c r="C560" s="3152"/>
      <c r="D560" s="3152"/>
      <c r="E560" s="3152"/>
      <c r="F560" s="3152"/>
      <c r="G560" s="3152"/>
      <c r="H560" s="3152"/>
      <c r="I560" s="3152"/>
      <c r="J560" s="2"/>
      <c r="K560" s="3152"/>
      <c r="L560" s="3152"/>
      <c r="M560" s="2561"/>
      <c r="N560" s="2561"/>
      <c r="O560" s="2561"/>
      <c r="P560" s="2561"/>
      <c r="Q560" s="2561"/>
      <c r="R560" s="2561"/>
      <c r="S560" s="2561"/>
      <c r="T560" s="2561"/>
      <c r="U560" s="2561"/>
      <c r="V560" s="2561"/>
      <c r="W560" s="2561"/>
      <c r="X560" s="2561"/>
      <c r="Y560" s="2561"/>
      <c r="Z560" s="2561"/>
      <c r="AA560" s="2682"/>
    </row>
    <row r="561" spans="1:27">
      <c r="A561" s="3152"/>
      <c r="B561" s="3152"/>
      <c r="C561" s="3152"/>
      <c r="D561" s="3152"/>
      <c r="E561" s="3152"/>
      <c r="F561" s="3152"/>
      <c r="G561" s="3152"/>
      <c r="H561" s="3152"/>
      <c r="I561" s="3152"/>
      <c r="J561" s="3152"/>
      <c r="K561" s="3152"/>
      <c r="L561" s="3152"/>
      <c r="M561" s="2561"/>
      <c r="N561" s="2561"/>
      <c r="O561" s="2561"/>
      <c r="P561" s="2561"/>
      <c r="Q561" s="2561"/>
      <c r="R561" s="2561"/>
      <c r="S561" s="2561"/>
      <c r="T561" s="2561"/>
      <c r="U561" s="2561"/>
      <c r="V561" s="2561"/>
      <c r="W561" s="2561"/>
      <c r="X561" s="2561"/>
      <c r="Y561" s="2561"/>
      <c r="Z561" s="2561"/>
      <c r="AA561" s="2682"/>
    </row>
    <row r="562" spans="1:27">
      <c r="A562" s="2914" t="s">
        <v>2060</v>
      </c>
      <c r="B562" s="2914"/>
      <c r="C562" s="3152"/>
      <c r="D562" s="983" t="s">
        <v>1708</v>
      </c>
      <c r="E562" s="3152"/>
      <c r="F562" s="3152"/>
      <c r="G562" s="3152"/>
      <c r="H562" s="3152"/>
      <c r="I562" s="3157"/>
      <c r="J562" s="3152"/>
      <c r="K562" s="3152"/>
      <c r="L562" s="3152"/>
      <c r="M562" s="2561"/>
      <c r="N562" s="2561"/>
      <c r="O562" s="2561"/>
      <c r="P562" s="2561"/>
      <c r="Q562" s="2561"/>
      <c r="R562" s="2561"/>
      <c r="S562" s="2561"/>
      <c r="T562" s="2561"/>
      <c r="U562" s="2561"/>
      <c r="V562" s="2561"/>
      <c r="W562" s="2561"/>
      <c r="X562" s="2561"/>
      <c r="Y562" s="2561"/>
      <c r="Z562" s="2561"/>
      <c r="AA562" s="2682"/>
    </row>
    <row r="563" spans="1:27">
      <c r="A563" s="3152"/>
      <c r="B563" s="3152"/>
      <c r="C563" s="3152"/>
      <c r="D563" s="3152"/>
      <c r="E563" s="3152"/>
      <c r="F563" s="3152"/>
      <c r="G563" s="3152"/>
      <c r="H563" s="3152"/>
      <c r="I563" s="3157"/>
      <c r="J563" s="3152"/>
      <c r="K563" s="3152"/>
      <c r="L563" s="3152"/>
      <c r="M563" s="2561"/>
      <c r="N563" s="2561"/>
      <c r="O563" s="2561"/>
      <c r="P563" s="2561"/>
      <c r="Q563" s="2561"/>
      <c r="R563" s="2561"/>
      <c r="S563" s="2561"/>
      <c r="T563" s="2561"/>
      <c r="U563" s="2561"/>
      <c r="V563" s="2561"/>
      <c r="W563" s="2561"/>
      <c r="X563" s="2561"/>
      <c r="Y563" s="2561"/>
      <c r="Z563" s="2561"/>
      <c r="AA563" s="2682"/>
    </row>
    <row r="564" spans="1:27">
      <c r="A564" s="3152"/>
      <c r="B564" s="3152"/>
      <c r="C564" s="3152"/>
      <c r="D564" s="3153"/>
      <c r="E564" s="3153"/>
      <c r="F564" s="2142" t="s">
        <v>1709</v>
      </c>
      <c r="G564" s="2152" t="s">
        <v>38</v>
      </c>
      <c r="H564" s="2152" t="s">
        <v>37</v>
      </c>
      <c r="I564" s="2152" t="s">
        <v>36</v>
      </c>
      <c r="J564" s="2142" t="s">
        <v>770</v>
      </c>
      <c r="K564" s="3152"/>
      <c r="L564" s="3152"/>
      <c r="M564" s="2561"/>
      <c r="N564" s="2561"/>
      <c r="O564" s="2561"/>
      <c r="P564" s="2561"/>
      <c r="Q564" s="2561"/>
      <c r="R564" s="2561"/>
      <c r="S564" s="2561"/>
      <c r="T564" s="2561"/>
      <c r="U564" s="2561"/>
      <c r="V564" s="2561"/>
      <c r="W564" s="2561"/>
      <c r="X564" s="2561"/>
      <c r="Y564" s="2561"/>
      <c r="Z564" s="2561"/>
      <c r="AA564" s="2682"/>
    </row>
    <row r="565" spans="1:27">
      <c r="A565" s="3152"/>
      <c r="B565" s="3152"/>
      <c r="C565" s="3152"/>
      <c r="D565" s="4515">
        <v>2014</v>
      </c>
      <c r="E565" s="4515"/>
      <c r="F565" s="2968" t="str">
        <f>I8</f>
        <v>BBB</v>
      </c>
      <c r="G565" s="2967" t="str">
        <f>F8</f>
        <v>BB-</v>
      </c>
      <c r="H565" s="2967" t="str">
        <f>C8</f>
        <v>A-</v>
      </c>
      <c r="I565" s="2967" t="str">
        <f>L8</f>
        <v>BBB-</v>
      </c>
      <c r="J565" s="2968" t="str">
        <f>O8</f>
        <v>BBB-</v>
      </c>
      <c r="K565" s="3152"/>
      <c r="L565" s="3152"/>
      <c r="M565" s="2561"/>
      <c r="N565" s="2561"/>
      <c r="O565" s="2561"/>
      <c r="P565" s="2561"/>
      <c r="Q565" s="2561"/>
      <c r="R565" s="2561"/>
      <c r="S565" s="2561"/>
      <c r="T565" s="2561"/>
      <c r="U565" s="2561"/>
      <c r="V565" s="2561"/>
      <c r="W565" s="2561"/>
      <c r="X565" s="2561"/>
      <c r="Y565" s="2561"/>
      <c r="Z565" s="2561"/>
      <c r="AA565" s="2682"/>
    </row>
    <row r="566" spans="1:27">
      <c r="A566" s="3152"/>
      <c r="B566" s="3152"/>
      <c r="C566" s="3152"/>
      <c r="D566" s="4512" t="s">
        <v>1713</v>
      </c>
      <c r="E566" s="4512"/>
      <c r="F566" s="2969" t="s">
        <v>2062</v>
      </c>
      <c r="G566" s="2969" t="s">
        <v>2059</v>
      </c>
      <c r="H566" s="2969" t="s">
        <v>2062</v>
      </c>
      <c r="I566" s="2974" t="s">
        <v>1710</v>
      </c>
      <c r="J566" s="2974"/>
      <c r="K566" s="2975" t="s">
        <v>2077</v>
      </c>
      <c r="L566" s="3152"/>
      <c r="M566" s="2561"/>
      <c r="N566" s="2561"/>
      <c r="O566" s="2561"/>
      <c r="P566" s="2561"/>
      <c r="Q566" s="2561"/>
      <c r="R566" s="2561"/>
      <c r="S566" s="2561"/>
      <c r="T566" s="2561"/>
      <c r="U566" s="2561"/>
      <c r="V566" s="2561"/>
      <c r="W566" s="2561"/>
      <c r="X566" s="2561"/>
      <c r="Y566" s="2561"/>
      <c r="Z566" s="2561"/>
      <c r="AA566" s="2682"/>
    </row>
    <row r="567" spans="1:27">
      <c r="A567" s="3152"/>
      <c r="B567" s="3152"/>
      <c r="C567" s="3152"/>
      <c r="D567" s="4513" t="s">
        <v>1714</v>
      </c>
      <c r="E567" s="4513"/>
      <c r="F567" s="2970" t="s">
        <v>1711</v>
      </c>
      <c r="G567" s="2970" t="s">
        <v>2063</v>
      </c>
      <c r="H567" s="2970" t="s">
        <v>1712</v>
      </c>
      <c r="I567" s="2973" t="s">
        <v>2058</v>
      </c>
      <c r="J567" s="2973"/>
      <c r="K567" s="2998" t="s">
        <v>2078</v>
      </c>
      <c r="L567" s="3152"/>
      <c r="M567" s="2561"/>
      <c r="N567" s="2561"/>
      <c r="O567" s="2561"/>
      <c r="P567" s="2561"/>
      <c r="Q567" s="2561"/>
      <c r="R567" s="2561"/>
      <c r="S567" s="2561"/>
      <c r="T567" s="2561"/>
      <c r="U567" s="2561"/>
      <c r="V567" s="2561"/>
      <c r="W567" s="2561"/>
      <c r="X567" s="2561"/>
      <c r="Y567" s="2561"/>
      <c r="Z567" s="2561"/>
      <c r="AA567" s="2682"/>
    </row>
    <row r="568" spans="1:27">
      <c r="A568" s="3152"/>
      <c r="B568" s="3152"/>
      <c r="C568" s="3152"/>
      <c r="D568" s="4514">
        <v>2010</v>
      </c>
      <c r="E568" s="4514"/>
      <c r="F568" s="1107" t="s">
        <v>69</v>
      </c>
      <c r="G568" s="2143"/>
      <c r="H568" s="2143" t="s">
        <v>67</v>
      </c>
      <c r="I568" s="2143" t="s">
        <v>68</v>
      </c>
      <c r="J568" s="1107" t="s">
        <v>68</v>
      </c>
      <c r="K568" s="2998" t="s">
        <v>2078</v>
      </c>
      <c r="L568" s="3152"/>
      <c r="M568" s="2561"/>
      <c r="N568" s="2561"/>
      <c r="O568" s="2561"/>
      <c r="P568" s="2561"/>
      <c r="Q568" s="2561"/>
      <c r="R568" s="2561"/>
      <c r="S568" s="2561"/>
      <c r="T568" s="2561"/>
      <c r="U568" s="2561"/>
      <c r="V568" s="2561"/>
      <c r="W568" s="2561"/>
      <c r="X568" s="2561"/>
      <c r="Y568" s="2561"/>
      <c r="Z568" s="2561"/>
      <c r="AA568" s="2682"/>
    </row>
    <row r="569" spans="1:27">
      <c r="A569" s="3152"/>
      <c r="B569" s="3152"/>
      <c r="C569" s="3152"/>
      <c r="D569" s="3152"/>
      <c r="E569" s="3152"/>
      <c r="F569" s="3152"/>
      <c r="G569" s="3152"/>
      <c r="H569" s="3152"/>
      <c r="I569" s="3152"/>
      <c r="J569" s="3152"/>
      <c r="K569" s="3152"/>
      <c r="L569" s="3152"/>
      <c r="M569" s="2561"/>
      <c r="N569" s="2561"/>
      <c r="O569" s="2561"/>
      <c r="P569" s="2561"/>
      <c r="Q569" s="2561"/>
      <c r="R569" s="2561"/>
      <c r="S569" s="2561"/>
      <c r="T569" s="2561"/>
      <c r="U569" s="2561"/>
      <c r="V569" s="2561"/>
      <c r="W569" s="2561"/>
      <c r="X569" s="2561"/>
      <c r="Y569" s="2561"/>
      <c r="Z569" s="2561"/>
      <c r="AA569" s="2682"/>
    </row>
    <row r="570" spans="1:27">
      <c r="A570" s="3152"/>
      <c r="B570" s="3152"/>
      <c r="C570" s="3152"/>
      <c r="D570" s="3152"/>
      <c r="E570" s="3152"/>
      <c r="F570" s="3152"/>
      <c r="G570" s="3152"/>
      <c r="H570" s="3152"/>
      <c r="I570" s="3152"/>
      <c r="J570" s="3152"/>
      <c r="K570" s="3152"/>
      <c r="L570" s="3152"/>
      <c r="M570" s="2561"/>
      <c r="N570" s="2561"/>
      <c r="O570" s="2561"/>
      <c r="P570" s="2561"/>
      <c r="Q570" s="2561"/>
      <c r="R570" s="2561"/>
      <c r="S570" s="2561"/>
      <c r="T570" s="2561"/>
      <c r="U570" s="2561"/>
      <c r="V570" s="2561"/>
      <c r="W570" s="2561"/>
      <c r="X570" s="2561"/>
      <c r="Y570" s="2561"/>
      <c r="Z570" s="2561"/>
      <c r="AA570" s="2682"/>
    </row>
    <row r="571" spans="1:27" s="2682" customFormat="1" ht="4.5" customHeight="1">
      <c r="A571" s="2561"/>
      <c r="B571" s="2561"/>
      <c r="C571" s="2561"/>
      <c r="D571" s="2561"/>
      <c r="E571" s="2561"/>
      <c r="F571" s="2561"/>
      <c r="G571" s="2561"/>
      <c r="H571" s="2561"/>
      <c r="I571" s="2561"/>
      <c r="J571" s="2561"/>
      <c r="K571" s="2561"/>
      <c r="L571" s="2561"/>
      <c r="M571" s="2561"/>
      <c r="N571" s="2561"/>
      <c r="O571" s="2561"/>
      <c r="P571" s="2561"/>
      <c r="Q571" s="2561"/>
      <c r="R571" s="2561"/>
      <c r="S571" s="2561"/>
      <c r="T571" s="2561"/>
      <c r="U571" s="2561"/>
      <c r="V571" s="2561"/>
      <c r="W571" s="2561"/>
      <c r="X571" s="2561"/>
      <c r="Y571" s="2561"/>
      <c r="Z571" s="2561"/>
    </row>
    <row r="572" spans="1:27">
      <c r="A572" s="2972" t="s">
        <v>2061</v>
      </c>
      <c r="B572" s="2971"/>
      <c r="C572" s="1389"/>
      <c r="D572" s="1389"/>
      <c r="E572" s="1389"/>
      <c r="F572" s="1389"/>
      <c r="G572" s="1389"/>
      <c r="H572" s="1389"/>
      <c r="I572" s="1389"/>
      <c r="J572" s="1389"/>
      <c r="K572" s="1389"/>
      <c r="L572" s="1389"/>
      <c r="M572" s="2561"/>
      <c r="N572" s="2561"/>
      <c r="O572" s="2561"/>
      <c r="P572" s="2561"/>
      <c r="Q572" s="2561"/>
      <c r="R572" s="2561"/>
      <c r="S572" s="2561"/>
      <c r="T572" s="2561"/>
      <c r="U572" s="2561"/>
      <c r="V572" s="2561"/>
      <c r="W572" s="2561"/>
      <c r="X572" s="2561"/>
      <c r="Y572" s="2561"/>
      <c r="Z572" s="2561"/>
      <c r="AA572" s="2682"/>
    </row>
    <row r="573" spans="1:27">
      <c r="A573" s="3"/>
      <c r="B573" s="3"/>
      <c r="C573" s="3152"/>
      <c r="D573" s="3152"/>
      <c r="E573" s="3152"/>
      <c r="F573" s="3152"/>
      <c r="G573" s="3152"/>
      <c r="H573" s="3152"/>
      <c r="I573" s="3152"/>
      <c r="J573" s="3152"/>
      <c r="K573" s="3152"/>
      <c r="L573" s="3152"/>
      <c r="M573" s="2561"/>
      <c r="N573" s="2561"/>
      <c r="O573" s="2561"/>
      <c r="P573" s="2561"/>
      <c r="Q573" s="2561"/>
      <c r="R573" s="2561"/>
      <c r="S573" s="2561"/>
      <c r="T573" s="2561"/>
      <c r="U573" s="2561"/>
      <c r="V573" s="2561"/>
      <c r="W573" s="2561"/>
      <c r="X573" s="2561"/>
      <c r="Y573" s="2561"/>
      <c r="Z573" s="2292"/>
    </row>
    <row r="574" spans="1:27" ht="12.75" customHeight="1">
      <c r="A574" s="3158" t="s">
        <v>2070</v>
      </c>
      <c r="B574" s="3158"/>
      <c r="C574" s="3152"/>
      <c r="D574" s="983" t="s">
        <v>2065</v>
      </c>
      <c r="E574" s="3152"/>
      <c r="F574" s="3152"/>
      <c r="G574" s="3152"/>
      <c r="H574" s="3152"/>
      <c r="I574" s="3152"/>
      <c r="J574" s="3152"/>
      <c r="K574" s="3152"/>
      <c r="L574" s="3152"/>
      <c r="M574" s="2561"/>
      <c r="N574" s="2682"/>
      <c r="O574" s="2682"/>
      <c r="P574" s="2682"/>
      <c r="Q574" s="2682"/>
      <c r="R574" s="2682"/>
      <c r="S574" s="2682"/>
      <c r="T574" s="2682"/>
      <c r="U574" s="2561"/>
      <c r="V574" s="2561"/>
      <c r="W574" s="2561"/>
      <c r="X574" s="2561"/>
      <c r="Y574" s="2561"/>
      <c r="Z574" s="2292"/>
    </row>
    <row r="575" spans="1:27">
      <c r="A575" s="3158"/>
      <c r="B575" s="3158"/>
      <c r="C575" s="3152"/>
      <c r="D575" s="3152"/>
      <c r="E575" s="3152"/>
      <c r="F575" s="3152"/>
      <c r="G575" s="3152"/>
      <c r="H575" s="3152"/>
      <c r="I575" s="3152"/>
      <c r="J575" s="3152"/>
      <c r="K575" s="3152"/>
      <c r="L575" s="3152"/>
      <c r="M575" s="2561"/>
      <c r="N575" s="2682"/>
      <c r="O575" s="2682"/>
      <c r="P575" s="2682"/>
      <c r="Q575" s="2682"/>
      <c r="R575" s="2682"/>
      <c r="S575" s="2682"/>
      <c r="T575" s="2682"/>
      <c r="U575" s="2561"/>
      <c r="V575" s="2561"/>
      <c r="W575" s="2561"/>
      <c r="X575" s="2561"/>
      <c r="Y575" s="2561"/>
      <c r="Z575" s="2292"/>
    </row>
    <row r="576" spans="1:27">
      <c r="A576" s="3"/>
      <c r="B576" s="3"/>
      <c r="C576" s="3152"/>
      <c r="D576" s="3157" t="s">
        <v>100</v>
      </c>
      <c r="E576" s="3157" t="s">
        <v>981</v>
      </c>
      <c r="F576" s="3157" t="s">
        <v>2066</v>
      </c>
      <c r="G576" s="143" t="s">
        <v>1197</v>
      </c>
      <c r="H576" s="11" t="s">
        <v>2090</v>
      </c>
      <c r="I576" s="11" t="s">
        <v>1706</v>
      </c>
      <c r="J576" s="2976" t="s">
        <v>2067</v>
      </c>
      <c r="K576" s="3152"/>
      <c r="L576" s="3152"/>
      <c r="M576" s="2561"/>
      <c r="N576" s="2682"/>
      <c r="O576" s="2682"/>
      <c r="P576" s="2682"/>
      <c r="Q576" s="2682"/>
      <c r="R576" s="2682"/>
      <c r="S576" s="2682"/>
      <c r="T576" s="2682"/>
      <c r="U576" s="2561"/>
      <c r="V576" s="2561"/>
      <c r="W576" s="2561"/>
      <c r="X576" s="2561"/>
      <c r="Y576" s="2561"/>
      <c r="Z576" s="2292"/>
    </row>
    <row r="577" spans="1:26">
      <c r="A577" s="3152"/>
      <c r="B577" s="3152"/>
      <c r="C577" s="3152"/>
      <c r="D577" s="2154" t="s">
        <v>20</v>
      </c>
      <c r="E577" s="1697" t="s">
        <v>750</v>
      </c>
      <c r="F577" s="2161">
        <f>RATINGS!H218</f>
        <v>1</v>
      </c>
      <c r="G577" s="2985">
        <f>RATINGS!N218</f>
        <v>0.28756363720088318</v>
      </c>
      <c r="H577" s="2161">
        <f>RATINGS!S218</f>
        <v>1.4330538995779536</v>
      </c>
      <c r="I577" s="2158" t="str">
        <f>RATINGS!U218</f>
        <v>A</v>
      </c>
      <c r="J577" s="2977" t="str">
        <f>RATINGS!W218</f>
        <v>=  =  -</v>
      </c>
      <c r="K577" s="3152"/>
      <c r="L577" s="3152"/>
      <c r="M577" s="2561"/>
      <c r="N577" s="2682"/>
      <c r="O577" s="2682"/>
      <c r="P577" s="2682"/>
      <c r="Q577" s="2682"/>
      <c r="R577" s="2682"/>
      <c r="S577" s="2682"/>
      <c r="T577" s="2682"/>
      <c r="U577" s="2561"/>
      <c r="V577" s="2561"/>
      <c r="W577" s="2561"/>
      <c r="X577" s="2561"/>
      <c r="Y577" s="2561"/>
      <c r="Z577" s="2292"/>
    </row>
    <row r="578" spans="1:26">
      <c r="A578" s="3152"/>
      <c r="B578" s="3152"/>
      <c r="C578" s="3152"/>
      <c r="D578" s="1090" t="s">
        <v>30</v>
      </c>
      <c r="E578" s="73" t="s">
        <v>288</v>
      </c>
      <c r="F578" s="1036">
        <f>RATINGS!H219</f>
        <v>2.9915379307461767</v>
      </c>
      <c r="G578" s="2150">
        <f>RATINGS!N219</f>
        <v>0.30362227391248225</v>
      </c>
      <c r="H578" s="1036">
        <f>RATINGS!S219</f>
        <v>2.3435449790233798</v>
      </c>
      <c r="I578" s="3161" t="str">
        <f>RATINGS!U219</f>
        <v>A</v>
      </c>
      <c r="J578" s="2978" t="str">
        <f>RATINGS!W219</f>
        <v>=  =  -</v>
      </c>
      <c r="K578" s="3152"/>
      <c r="L578" s="3152"/>
      <c r="M578" s="2561"/>
      <c r="N578" s="2682"/>
      <c r="O578" s="2682"/>
      <c r="P578" s="2682"/>
      <c r="Q578" s="2682"/>
      <c r="R578" s="2682"/>
      <c r="S578" s="2682"/>
      <c r="T578" s="2682"/>
      <c r="U578" s="2561"/>
      <c r="V578" s="2561"/>
      <c r="W578" s="2561"/>
      <c r="X578" s="2561"/>
      <c r="Y578" s="2561"/>
      <c r="Z578" s="2292"/>
    </row>
    <row r="579" spans="1:26">
      <c r="A579" s="3152"/>
      <c r="B579" s="3152"/>
      <c r="C579" s="3152"/>
      <c r="D579" s="2155" t="s">
        <v>31</v>
      </c>
      <c r="E579" s="1714" t="s">
        <v>279</v>
      </c>
      <c r="F579" s="2162">
        <f>RATINGS!H220</f>
        <v>4.0795025527416593</v>
      </c>
      <c r="G579" s="2986">
        <f>RATINGS!N220</f>
        <v>0.198117589718218</v>
      </c>
      <c r="H579" s="2162">
        <f>RATINGS!S220</f>
        <v>1.6501516887993055</v>
      </c>
      <c r="I579" s="2060" t="str">
        <f>RATINGS!U220</f>
        <v>A-</v>
      </c>
      <c r="J579" s="2979" t="str">
        <f>RATINGS!W220</f>
        <v>=  =  -</v>
      </c>
      <c r="K579" s="3152"/>
      <c r="L579" s="3152"/>
      <c r="M579" s="2561"/>
      <c r="N579" s="2682"/>
      <c r="O579" s="2682"/>
      <c r="P579" s="2682"/>
      <c r="Q579" s="2682"/>
      <c r="R579" s="2682"/>
      <c r="S579" s="2682"/>
      <c r="T579" s="2682"/>
      <c r="U579" s="2561"/>
      <c r="V579" s="2561"/>
      <c r="W579" s="2561"/>
      <c r="X579" s="2561"/>
      <c r="Y579" s="2561"/>
      <c r="Z579" s="2292"/>
    </row>
    <row r="580" spans="1:26">
      <c r="A580" s="3152"/>
      <c r="B580" s="3152"/>
      <c r="C580" s="3152"/>
      <c r="D580" s="1090" t="s">
        <v>29</v>
      </c>
      <c r="E580" s="73" t="s">
        <v>282</v>
      </c>
      <c r="F580" s="1036">
        <f>RATINGS!H221</f>
        <v>3.7301904359299858</v>
      </c>
      <c r="G580" s="2150">
        <f>RATINGS!N221</f>
        <v>0.28287599661626001</v>
      </c>
      <c r="H580" s="1036">
        <f>RATINGS!S221</f>
        <v>2.6624165226553771</v>
      </c>
      <c r="I580" s="3161" t="str">
        <f>RATINGS!U221</f>
        <v>A-</v>
      </c>
      <c r="J580" s="2978" t="str">
        <f>RATINGS!W221</f>
        <v>=  =  =</v>
      </c>
      <c r="K580" s="3152"/>
      <c r="L580" s="3152"/>
      <c r="M580" s="2561"/>
      <c r="N580" s="2561"/>
      <c r="O580" s="2561"/>
      <c r="P580" s="2561"/>
      <c r="Q580" s="2561"/>
      <c r="R580" s="2581"/>
      <c r="S580" s="2561"/>
      <c r="T580" s="2561"/>
      <c r="U580" s="2561"/>
      <c r="V580" s="2561"/>
      <c r="W580" s="2561"/>
      <c r="X580" s="2561"/>
      <c r="Y580" s="2561"/>
      <c r="Z580" s="2292"/>
    </row>
    <row r="581" spans="1:26">
      <c r="A581" s="3152"/>
      <c r="B581" s="3152"/>
      <c r="C581" s="3152"/>
      <c r="D581" s="1090" t="s">
        <v>1707</v>
      </c>
      <c r="E581" s="73" t="s">
        <v>277</v>
      </c>
      <c r="F581" s="1036">
        <f>RATINGS!H222</f>
        <v>18.318462704779492</v>
      </c>
      <c r="G581" s="2150">
        <f>RATINGS!N222</f>
        <v>0.2718321660431175</v>
      </c>
      <c r="H581" s="1036">
        <f>RATINGS!S222</f>
        <v>2.8571247137382461</v>
      </c>
      <c r="I581" s="3161" t="str">
        <f>RATINGS!U222</f>
        <v>A-</v>
      </c>
      <c r="J581" s="2978" t="str">
        <f>RATINGS!W222</f>
        <v>=  =  =</v>
      </c>
      <c r="K581" s="3152"/>
      <c r="L581" s="3152"/>
      <c r="M581" s="2561"/>
      <c r="N581" s="2561"/>
      <c r="O581" s="2561"/>
      <c r="P581" s="2561"/>
      <c r="Q581" s="2561"/>
      <c r="R581" s="2581"/>
      <c r="S581" s="2581"/>
      <c r="T581" s="2581"/>
      <c r="U581" s="2581"/>
      <c r="V581" s="2581"/>
      <c r="W581" s="2581"/>
      <c r="X581" s="2581"/>
      <c r="Y581" s="2581"/>
      <c r="Z581" s="2292"/>
    </row>
    <row r="582" spans="1:26">
      <c r="A582" s="3152"/>
      <c r="B582" s="3152"/>
      <c r="C582" s="3152"/>
      <c r="D582" s="1259" t="s">
        <v>23</v>
      </c>
      <c r="E582" s="76" t="s">
        <v>52</v>
      </c>
      <c r="F582" s="2163">
        <f>RATINGS!H223</f>
        <v>6.8302221720551222</v>
      </c>
      <c r="G582" s="2987">
        <f>RATINGS!N223</f>
        <v>0.59074959904524027</v>
      </c>
      <c r="H582" s="2163">
        <f>RATINGS!S223</f>
        <v>3.1841649798132132</v>
      </c>
      <c r="I582" s="107" t="str">
        <f>RATINGS!U223</f>
        <v>BBB+</v>
      </c>
      <c r="J582" s="2980" t="str">
        <f>RATINGS!W223</f>
        <v>=  =  =</v>
      </c>
      <c r="K582" s="3152"/>
      <c r="L582" s="3152"/>
      <c r="M582" s="2561"/>
      <c r="N582" s="2561"/>
      <c r="O582" s="2561"/>
      <c r="P582" s="2561"/>
      <c r="Q582" s="2561"/>
      <c r="R582" s="2561"/>
      <c r="S582" s="2561"/>
      <c r="T582" s="2561"/>
      <c r="U582" s="2561"/>
      <c r="V582" s="2561"/>
      <c r="W582" s="2561"/>
      <c r="X582" s="2561"/>
      <c r="Y582" s="2561"/>
      <c r="Z582" s="2292"/>
    </row>
    <row r="583" spans="1:26">
      <c r="A583" s="3152"/>
      <c r="B583" s="3152"/>
      <c r="C583" s="3152"/>
      <c r="D583" s="1090" t="s">
        <v>19</v>
      </c>
      <c r="E583" s="150" t="s">
        <v>286</v>
      </c>
      <c r="F583" s="1036">
        <f>RATINGS!H224</f>
        <v>3.2827054881755546</v>
      </c>
      <c r="G583" s="2150">
        <f>RATINGS!N224</f>
        <v>0.65530118542007598</v>
      </c>
      <c r="H583" s="1036">
        <f>RATINGS!S224</f>
        <v>3.2623961251190861</v>
      </c>
      <c r="I583" s="3161" t="str">
        <f>RATINGS!U224</f>
        <v>BBB+</v>
      </c>
      <c r="J583" s="2978" t="str">
        <f>RATINGS!W224</f>
        <v>=  ¯ ¯</v>
      </c>
      <c r="K583" s="3152"/>
      <c r="L583" s="3152"/>
      <c r="M583" s="2561"/>
      <c r="N583" s="2561"/>
      <c r="O583" s="2561"/>
      <c r="P583" s="2561"/>
      <c r="Q583" s="2561"/>
      <c r="R583" s="2561"/>
      <c r="S583" s="2561"/>
      <c r="T583" s="2561"/>
      <c r="U583" s="2561"/>
      <c r="V583" s="2561"/>
      <c r="W583" s="2561"/>
      <c r="X583" s="2561"/>
      <c r="Y583" s="2561"/>
      <c r="Z583" s="2292"/>
    </row>
    <row r="584" spans="1:26">
      <c r="A584" s="3152"/>
      <c r="B584" s="3152"/>
      <c r="C584" s="3152"/>
      <c r="D584" s="2155" t="s">
        <v>75</v>
      </c>
      <c r="E584" s="1714" t="s">
        <v>287</v>
      </c>
      <c r="F584" s="2162">
        <f>RATINGS!H225</f>
        <v>0.39863629324690431</v>
      </c>
      <c r="G584" s="2986">
        <f>RATINGS!N225</f>
        <v>0.34197601038246805</v>
      </c>
      <c r="H584" s="2162">
        <f>RATINGS!S225</f>
        <v>1.2457059049561294</v>
      </c>
      <c r="I584" s="2060" t="str">
        <f>RATINGS!U225</f>
        <v>BBB</v>
      </c>
      <c r="J584" s="2979" t="str">
        <f>RATINGS!W225</f>
        <v>=  ¯ -</v>
      </c>
      <c r="K584" s="3152"/>
      <c r="L584" s="3152"/>
      <c r="M584" s="2561"/>
      <c r="N584" s="2561"/>
      <c r="O584" s="2561"/>
      <c r="P584" s="2561"/>
      <c r="Q584" s="2561"/>
      <c r="R584" s="2561"/>
      <c r="S584" s="2561"/>
      <c r="T584" s="2561"/>
      <c r="U584" s="2561"/>
      <c r="V584" s="2561"/>
      <c r="W584" s="2561"/>
      <c r="X584" s="2561"/>
      <c r="Y584" s="2561"/>
      <c r="Z584" s="2292"/>
    </row>
    <row r="585" spans="1:26">
      <c r="A585" s="3152"/>
      <c r="B585" s="3152"/>
      <c r="C585" s="3152"/>
      <c r="D585" s="1090" t="s">
        <v>1707</v>
      </c>
      <c r="E585" s="73" t="s">
        <v>50</v>
      </c>
      <c r="F585" s="1036">
        <f>RATINGS!H227</f>
        <v>4.8905330125708488</v>
      </c>
      <c r="G585" s="2150">
        <f>RATINGS!N227</f>
        <v>0.37414035756341019</v>
      </c>
      <c r="H585" s="1036">
        <f>RATINGS!S227</f>
        <v>2.1879628997875771</v>
      </c>
      <c r="I585" s="3161" t="str">
        <f>RATINGS!U227</f>
        <v>BBB</v>
      </c>
      <c r="J585" s="2978" t="str">
        <f>RATINGS!W227</f>
        <v xml:space="preserve">=  -  = </v>
      </c>
      <c r="K585" s="3152"/>
      <c r="L585" s="3152"/>
      <c r="M585" s="2561"/>
      <c r="N585" s="2561"/>
      <c r="O585" s="2561"/>
      <c r="P585" s="2561"/>
      <c r="Q585" s="2561"/>
      <c r="R585" s="2561"/>
      <c r="S585" s="2561"/>
      <c r="T585" s="2561"/>
      <c r="U585" s="2561"/>
      <c r="V585" s="2561"/>
      <c r="W585" s="2561"/>
      <c r="X585" s="2561"/>
      <c r="Y585" s="2561"/>
      <c r="Z585" s="2292"/>
    </row>
    <row r="586" spans="1:26">
      <c r="A586" s="3152"/>
      <c r="B586" s="3152"/>
      <c r="C586" s="3152"/>
      <c r="D586" s="1090" t="s">
        <v>1626</v>
      </c>
      <c r="E586" s="73" t="s">
        <v>283</v>
      </c>
      <c r="F586" s="1036">
        <f>RATINGS!H226</f>
        <v>0.40583908664384705</v>
      </c>
      <c r="G586" s="2150">
        <f>RATINGS!N226</f>
        <v>0.32061814749302248</v>
      </c>
      <c r="H586" s="1036">
        <f>RATINGS!S226</f>
        <v>2.3272917899381458</v>
      </c>
      <c r="I586" s="3161" t="str">
        <f>RATINGS!U226</f>
        <v>BBB</v>
      </c>
      <c r="J586" s="2978" t="str">
        <f>RATINGS!W226</f>
        <v>=  =  -</v>
      </c>
      <c r="K586" s="3152"/>
      <c r="L586" s="3152"/>
      <c r="M586" s="2561"/>
      <c r="N586" s="2561"/>
      <c r="O586" s="2561"/>
      <c r="P586" s="2561"/>
      <c r="Q586" s="2561"/>
      <c r="R586" s="2561"/>
      <c r="S586" s="2561"/>
      <c r="T586" s="2561"/>
      <c r="U586" s="2561"/>
      <c r="V586" s="2561"/>
      <c r="W586" s="2561"/>
      <c r="X586" s="2561"/>
      <c r="Y586" s="2561"/>
      <c r="Z586" s="2292"/>
    </row>
    <row r="587" spans="1:26">
      <c r="A587" s="3152"/>
      <c r="B587" s="3152"/>
      <c r="C587" s="3152"/>
      <c r="D587" s="1090" t="s">
        <v>22</v>
      </c>
      <c r="E587" s="73" t="s">
        <v>39</v>
      </c>
      <c r="F587" s="1036">
        <f>RATINGS!H228</f>
        <v>0.8681653104372461</v>
      </c>
      <c r="G587" s="2150">
        <f>RATINGS!N228</f>
        <v>0.43916945384982109</v>
      </c>
      <c r="H587" s="1036">
        <f>RATINGS!S228</f>
        <v>2.6312459451226378</v>
      </c>
      <c r="I587" s="3161" t="str">
        <f>RATINGS!U228</f>
        <v>BBB</v>
      </c>
      <c r="J587" s="2978" t="str">
        <f>RATINGS!W228</f>
        <v>­  = =</v>
      </c>
      <c r="K587" s="3152"/>
      <c r="L587" s="3152"/>
      <c r="M587" s="2561"/>
      <c r="N587" s="2561"/>
      <c r="O587" s="2561"/>
      <c r="P587" s="2561"/>
      <c r="Q587" s="2561"/>
      <c r="R587" s="2561"/>
      <c r="S587" s="2561"/>
      <c r="T587" s="2561"/>
      <c r="U587" s="2561"/>
      <c r="V587" s="2561"/>
      <c r="W587" s="2561"/>
      <c r="X587" s="2561"/>
      <c r="Y587" s="2561"/>
      <c r="Z587" s="2292"/>
    </row>
    <row r="588" spans="1:26">
      <c r="A588" s="3152"/>
      <c r="B588" s="3152"/>
      <c r="C588" s="3152"/>
      <c r="D588" s="1090" t="s">
        <v>21</v>
      </c>
      <c r="E588" s="73" t="s">
        <v>276</v>
      </c>
      <c r="F588" s="1036">
        <f>RATINGS!H229</f>
        <v>0.36949564830152554</v>
      </c>
      <c r="G588" s="2150">
        <f>RATINGS!N229</f>
        <v>0.62319136029119382</v>
      </c>
      <c r="H588" s="1036">
        <f>RATINGS!S229</f>
        <v>2.9018039513877327</v>
      </c>
      <c r="I588" s="3161" t="str">
        <f>RATINGS!U229</f>
        <v>BBB</v>
      </c>
      <c r="J588" s="2978" t="str">
        <f>RATINGS!W229</f>
        <v>=  ¯ -</v>
      </c>
      <c r="K588" s="3152"/>
      <c r="L588" s="3152"/>
      <c r="M588" s="2561"/>
      <c r="N588" s="2561"/>
      <c r="O588" s="2561"/>
      <c r="P588" s="2561"/>
      <c r="Q588" s="2561"/>
      <c r="R588" s="2561"/>
      <c r="S588" s="2561"/>
      <c r="T588" s="2561"/>
      <c r="U588" s="2561"/>
      <c r="V588" s="2561"/>
      <c r="W588" s="2561"/>
      <c r="X588" s="2561"/>
      <c r="Y588" s="2561"/>
      <c r="Z588" s="2292"/>
    </row>
    <row r="589" spans="1:26">
      <c r="A589" s="3152"/>
      <c r="B589" s="3152"/>
      <c r="C589" s="3152"/>
      <c r="D589" s="1090" t="s">
        <v>28</v>
      </c>
      <c r="E589" s="73" t="s">
        <v>53</v>
      </c>
      <c r="F589" s="1036">
        <f>RATINGS!H230</f>
        <v>7.6264209224823549</v>
      </c>
      <c r="G589" s="2150">
        <f>RATINGS!N230</f>
        <v>0.57929804018594233</v>
      </c>
      <c r="H589" s="1036">
        <f>RATINGS!S230</f>
        <v>3.1940393135057517</v>
      </c>
      <c r="I589" s="3161" t="str">
        <f>RATINGS!U230</f>
        <v>BBB</v>
      </c>
      <c r="J589" s="2978" t="str">
        <f>RATINGS!W230</f>
        <v>¯  ¯ ¯</v>
      </c>
      <c r="K589" s="3152"/>
      <c r="L589" s="3152"/>
      <c r="M589" s="2561"/>
      <c r="N589" s="2561"/>
      <c r="O589" s="2561"/>
      <c r="P589" s="2561"/>
      <c r="Q589" s="2561"/>
      <c r="R589" s="2561"/>
      <c r="S589" s="2561"/>
      <c r="T589" s="2561"/>
      <c r="U589" s="2561"/>
      <c r="V589" s="2561"/>
      <c r="W589" s="2561"/>
      <c r="X589" s="2561"/>
      <c r="Y589" s="2561"/>
      <c r="Z589" s="2292"/>
    </row>
    <row r="590" spans="1:26">
      <c r="A590" s="3152"/>
      <c r="B590" s="3152"/>
      <c r="C590" s="3152"/>
      <c r="D590" s="2155" t="s">
        <v>25</v>
      </c>
      <c r="E590" s="1714" t="s">
        <v>284</v>
      </c>
      <c r="F590" s="2162">
        <f>RATINGS!H231</f>
        <v>1.7672775255004274</v>
      </c>
      <c r="G590" s="2986">
        <f>RATINGS!N231</f>
        <v>0.75672107111582532</v>
      </c>
      <c r="H590" s="2162">
        <f>RATINGS!S231</f>
        <v>3.2616701007153726</v>
      </c>
      <c r="I590" s="2060" t="str">
        <f>RATINGS!U231</f>
        <v>BBB-</v>
      </c>
      <c r="J590" s="2979" t="str">
        <f>RATINGS!W231</f>
        <v>=  ¯ ¯</v>
      </c>
      <c r="K590" s="3152"/>
      <c r="L590" s="3152"/>
      <c r="M590" s="2561"/>
      <c r="N590" s="2561"/>
      <c r="O590" s="2561"/>
      <c r="P590" s="2561"/>
      <c r="Q590" s="2561"/>
      <c r="R590" s="2561"/>
      <c r="S590" s="2561"/>
      <c r="T590" s="2561"/>
      <c r="U590" s="2561"/>
      <c r="V590" s="2561"/>
      <c r="W590" s="2561"/>
      <c r="X590" s="2561"/>
      <c r="Y590" s="2561"/>
      <c r="Z590" s="2292"/>
    </row>
    <row r="591" spans="1:26">
      <c r="A591" s="3152"/>
      <c r="B591" s="3152"/>
      <c r="C591" s="3152"/>
      <c r="D591" s="1090" t="s">
        <v>26</v>
      </c>
      <c r="E591" s="73" t="s">
        <v>44</v>
      </c>
      <c r="F591" s="1036">
        <f>RATINGS!H232</f>
        <v>1.1705727487730917</v>
      </c>
      <c r="G591" s="2150">
        <f>RATINGS!N232</f>
        <v>0.63323863537070213</v>
      </c>
      <c r="H591" s="1036">
        <f>RATINGS!S232</f>
        <v>3.4864609329129088</v>
      </c>
      <c r="I591" s="3161" t="str">
        <f>RATINGS!U232</f>
        <v>BBB-</v>
      </c>
      <c r="J591" s="2978" t="str">
        <f>RATINGS!W232</f>
        <v>=  ¯ =</v>
      </c>
      <c r="K591" s="3152"/>
      <c r="L591" s="3152"/>
      <c r="M591" s="2561"/>
      <c r="N591" s="2561"/>
      <c r="O591" s="2561"/>
      <c r="P591" s="2561"/>
      <c r="Q591" s="2561"/>
      <c r="R591" s="2561"/>
      <c r="S591" s="2561"/>
      <c r="T591" s="2561"/>
      <c r="U591" s="2561"/>
      <c r="V591" s="2561"/>
      <c r="W591" s="2561"/>
      <c r="X591" s="2561"/>
      <c r="Y591" s="2561"/>
      <c r="Z591" s="2292"/>
    </row>
    <row r="592" spans="1:26" ht="13.5" thickBot="1">
      <c r="A592" s="3152"/>
      <c r="B592" s="3152"/>
      <c r="C592" s="3152"/>
      <c r="D592" s="1090" t="s">
        <v>27</v>
      </c>
      <c r="E592" s="73" t="s">
        <v>54</v>
      </c>
      <c r="F592" s="1036">
        <f>RATINGS!H233</f>
        <v>0.46011591895944282</v>
      </c>
      <c r="G592" s="2150">
        <f>RATINGS!N233</f>
        <v>0.7506672643344422</v>
      </c>
      <c r="H592" s="1036">
        <f>RATINGS!S233</f>
        <v>5.2345843405403958</v>
      </c>
      <c r="I592" s="3161" t="str">
        <f>RATINGS!U233</f>
        <v>BBB-</v>
      </c>
      <c r="J592" s="2978" t="str">
        <f>RATINGS!W233</f>
        <v>¯  ¯ ¯</v>
      </c>
      <c r="K592" s="3152"/>
      <c r="L592" s="3152"/>
      <c r="M592" s="2561"/>
      <c r="N592" s="2561"/>
      <c r="O592" s="2561"/>
      <c r="P592" s="2561"/>
      <c r="Q592" s="2561"/>
      <c r="R592" s="2561"/>
      <c r="S592" s="2561"/>
      <c r="T592" s="2561"/>
      <c r="U592" s="2561"/>
      <c r="V592" s="2561"/>
      <c r="W592" s="2561"/>
      <c r="X592" s="2561"/>
      <c r="Y592" s="2561"/>
      <c r="Z592" s="2292"/>
    </row>
    <row r="593" spans="1:26" ht="13.5" thickTop="1">
      <c r="A593" s="3152"/>
      <c r="B593" s="3152"/>
      <c r="C593" s="3152"/>
      <c r="D593" s="2156" t="s">
        <v>20</v>
      </c>
      <c r="E593" s="1722" t="s">
        <v>752</v>
      </c>
      <c r="F593" s="2164">
        <f>RATINGS!H234</f>
        <v>0.69500255344135098</v>
      </c>
      <c r="G593" s="2988">
        <f>RATINGS!N234</f>
        <v>0.4832654138496531</v>
      </c>
      <c r="H593" s="2164">
        <f>RATINGS!S234</f>
        <v>4.5021054628416168</v>
      </c>
      <c r="I593" s="2159" t="str">
        <f>RATINGS!U234</f>
        <v>B+</v>
      </c>
      <c r="J593" s="2981" t="str">
        <f>RATINGS!W234</f>
        <v>=  =  =</v>
      </c>
      <c r="K593" s="3152"/>
      <c r="L593" s="3152"/>
      <c r="M593" s="2561"/>
      <c r="N593" s="2561"/>
      <c r="O593" s="2561"/>
      <c r="P593" s="2561"/>
      <c r="Q593" s="2561"/>
      <c r="R593" s="2561"/>
      <c r="S593" s="2561"/>
      <c r="T593" s="2561"/>
      <c r="U593" s="2561"/>
      <c r="V593" s="2561"/>
      <c r="W593" s="2561"/>
      <c r="X593" s="2561"/>
      <c r="Y593" s="2561"/>
      <c r="Z593" s="2292"/>
    </row>
    <row r="594" spans="1:26" ht="13.5" thickBot="1">
      <c r="A594" s="3152"/>
      <c r="B594" s="3152"/>
      <c r="C594" s="3152"/>
      <c r="D594" s="1090" t="s">
        <v>24</v>
      </c>
      <c r="E594" s="73" t="s">
        <v>42</v>
      </c>
      <c r="F594" s="1036">
        <f>RATINGS!H235</f>
        <v>0.50480112543665634</v>
      </c>
      <c r="G594" s="2150">
        <f>RATINGS!N235</f>
        <v>0.44527495080222473</v>
      </c>
      <c r="H594" s="1036">
        <f>RATINGS!S235</f>
        <v>2.363530842925047</v>
      </c>
      <c r="I594" s="3161" t="str">
        <f>RATINGS!U235</f>
        <v>B-</v>
      </c>
      <c r="J594" s="2978" t="str">
        <f>RATINGS!W235</f>
        <v>=  =  -</v>
      </c>
      <c r="K594" s="3152"/>
      <c r="L594" s="3152"/>
      <c r="M594" s="2561"/>
      <c r="N594" s="2561"/>
      <c r="O594" s="2561"/>
      <c r="P594" s="2561"/>
      <c r="Q594" s="2561"/>
      <c r="R594" s="2561"/>
      <c r="S594" s="2561"/>
      <c r="T594" s="2561"/>
      <c r="U594" s="2561"/>
      <c r="V594" s="2561"/>
      <c r="W594" s="2561"/>
      <c r="X594" s="2561"/>
      <c r="Y594" s="2561"/>
      <c r="Z594" s="2292"/>
    </row>
    <row r="595" spans="1:26" ht="13.5" thickTop="1">
      <c r="A595" s="3152"/>
      <c r="B595" s="3152"/>
      <c r="C595" s="3152"/>
      <c r="D595" s="2157" t="s">
        <v>19</v>
      </c>
      <c r="E595" s="1727" t="s">
        <v>285</v>
      </c>
      <c r="F595" s="2165">
        <f>RATINGS!H236</f>
        <v>1.6429367918457434</v>
      </c>
      <c r="G595" s="2989">
        <f>RATINGS!N236</f>
        <v>0.12849893093161849</v>
      </c>
      <c r="H595" s="2165">
        <f>RATINGS!S236</f>
        <v>1.2892026320099024</v>
      </c>
      <c r="I595" s="2160" t="s">
        <v>1633</v>
      </c>
      <c r="J595" s="2982"/>
      <c r="K595" s="3152"/>
      <c r="L595" s="3152"/>
      <c r="M595" s="2561"/>
      <c r="N595" s="2561"/>
      <c r="O595" s="2561"/>
      <c r="P595" s="2561"/>
      <c r="Q595" s="2561"/>
      <c r="R595" s="2561"/>
      <c r="S595" s="2561"/>
      <c r="T595" s="2561"/>
      <c r="U595" s="2561"/>
      <c r="V595" s="2561"/>
      <c r="W595" s="2561"/>
      <c r="X595" s="2561"/>
      <c r="Y595" s="2561"/>
      <c r="Z595" s="2292"/>
    </row>
    <row r="596" spans="1:26">
      <c r="A596" s="3152"/>
      <c r="B596" s="3152"/>
      <c r="C596" s="3152"/>
      <c r="D596" s="1683" t="s">
        <v>29</v>
      </c>
      <c r="E596" s="73" t="s">
        <v>280</v>
      </c>
      <c r="F596" s="1036">
        <f>RATINGS!H239</f>
        <v>0.69111614142702515</v>
      </c>
      <c r="G596" s="2150">
        <f>RATINGS!N239</f>
        <v>0.28147528322389997</v>
      </c>
      <c r="H596" s="1036">
        <f>RATINGS!S239</f>
        <v>1.635715357616891</v>
      </c>
      <c r="I596" s="3161" t="s">
        <v>1633</v>
      </c>
      <c r="J596" s="1430"/>
      <c r="K596" s="3152"/>
      <c r="L596" s="3152"/>
      <c r="M596" s="2561"/>
      <c r="N596" s="2561"/>
      <c r="O596" s="2561"/>
      <c r="P596" s="2561"/>
      <c r="Q596" s="2561"/>
      <c r="R596" s="2561"/>
      <c r="S596" s="2561"/>
      <c r="T596" s="2561"/>
      <c r="U596" s="2561"/>
      <c r="V596" s="2561"/>
      <c r="W596" s="2561"/>
      <c r="X596" s="2561"/>
      <c r="Y596" s="2561"/>
      <c r="Z596" s="2292"/>
    </row>
    <row r="597" spans="1:26">
      <c r="A597" s="3152"/>
      <c r="B597" s="3152"/>
      <c r="C597" s="3152"/>
      <c r="D597" s="1091" t="s">
        <v>20</v>
      </c>
      <c r="E597" s="691" t="s">
        <v>751</v>
      </c>
      <c r="F597" s="1038">
        <f>RATINGS!H237</f>
        <v>0.16482203014996988</v>
      </c>
      <c r="G597" s="2990">
        <f>RATINGS!N237</f>
        <v>0.4561905930983241</v>
      </c>
      <c r="H597" s="1038">
        <f>RATINGS!S237</f>
        <v>1.7015264130947394</v>
      </c>
      <c r="I597" s="1756" t="s">
        <v>1633</v>
      </c>
      <c r="J597" s="2983"/>
      <c r="K597" s="3152"/>
      <c r="L597" s="3152"/>
      <c r="M597" s="2561"/>
      <c r="N597" s="2561"/>
      <c r="O597" s="2561"/>
      <c r="P597" s="2561"/>
      <c r="Q597" s="2561"/>
      <c r="R597" s="2561"/>
      <c r="S597" s="2561"/>
      <c r="T597" s="2561"/>
      <c r="U597" s="2561"/>
      <c r="V597" s="2561"/>
      <c r="W597" s="2561"/>
      <c r="X597" s="2561"/>
      <c r="Y597" s="2561"/>
      <c r="Z597" s="2292"/>
    </row>
    <row r="598" spans="1:26">
      <c r="A598" s="3152"/>
      <c r="B598" s="3152"/>
      <c r="C598" s="3152"/>
      <c r="D598" s="1280" t="s">
        <v>27</v>
      </c>
      <c r="E598" s="106" t="s">
        <v>353</v>
      </c>
      <c r="F598" s="1052">
        <f>RATINGS!H238</f>
        <v>9.6576950176241697E-2</v>
      </c>
      <c r="G598" s="2991">
        <f>RATINGS!N238</f>
        <v>0.46507375880431212</v>
      </c>
      <c r="H598" s="1052">
        <f>RATINGS!S238</f>
        <v>1.8854531506487362</v>
      </c>
      <c r="I598" s="90" t="s">
        <v>1633</v>
      </c>
      <c r="J598" s="2984"/>
      <c r="K598" s="3152"/>
      <c r="L598" s="3152"/>
      <c r="M598" s="2561"/>
      <c r="N598" s="2561"/>
      <c r="O598" s="2561"/>
      <c r="P598" s="2561"/>
      <c r="Q598" s="2561"/>
      <c r="R598" s="2561"/>
      <c r="S598" s="2561"/>
      <c r="T598" s="2561"/>
      <c r="U598" s="2561"/>
      <c r="V598" s="2561"/>
      <c r="W598" s="2561"/>
      <c r="X598" s="2561"/>
      <c r="Y598" s="2561"/>
      <c r="Z598" s="2292"/>
    </row>
    <row r="599" spans="1:26">
      <c r="A599" s="3152"/>
      <c r="B599" s="3152"/>
      <c r="C599" s="3152"/>
      <c r="D599" s="3152"/>
      <c r="E599" s="3152"/>
      <c r="F599" s="3152"/>
      <c r="G599" s="3152"/>
      <c r="H599" s="3377" t="s">
        <v>2380</v>
      </c>
      <c r="I599" s="3152"/>
      <c r="J599" s="3152"/>
      <c r="K599" s="3152"/>
      <c r="L599" s="3152"/>
      <c r="M599" s="2561"/>
      <c r="N599" s="2561"/>
      <c r="O599" s="2561"/>
      <c r="P599" s="2561"/>
      <c r="Q599" s="2561"/>
      <c r="R599" s="2561"/>
      <c r="S599" s="2561"/>
      <c r="T599" s="2561"/>
      <c r="U599" s="2561"/>
      <c r="V599" s="2561"/>
      <c r="W599" s="2561"/>
      <c r="X599" s="2561"/>
      <c r="Y599" s="2561"/>
      <c r="Z599" s="2292"/>
    </row>
    <row r="600" spans="1:26">
      <c r="A600" s="3152"/>
      <c r="B600" s="3152"/>
      <c r="C600" s="3152"/>
      <c r="D600" s="3157"/>
      <c r="E600" s="3152"/>
      <c r="F600" s="3152"/>
      <c r="G600" s="3152"/>
      <c r="H600" s="3152"/>
      <c r="I600" s="3152"/>
      <c r="J600" s="3152"/>
      <c r="K600" s="3152"/>
      <c r="L600" s="3152"/>
      <c r="M600" s="2561"/>
      <c r="N600" s="2561"/>
      <c r="O600" s="2561"/>
      <c r="P600" s="2561"/>
      <c r="Q600" s="2561"/>
      <c r="R600" s="2561"/>
      <c r="S600" s="2561"/>
      <c r="T600" s="2561"/>
      <c r="U600" s="2561"/>
      <c r="V600" s="2561"/>
      <c r="W600" s="2561"/>
      <c r="X600" s="2561"/>
      <c r="Y600" s="2561"/>
      <c r="Z600" s="2292"/>
    </row>
    <row r="601" spans="1:26">
      <c r="A601" s="3152"/>
      <c r="B601" s="3152"/>
      <c r="C601" s="3152"/>
      <c r="D601" s="3157"/>
      <c r="E601" s="3152"/>
      <c r="F601" s="3152"/>
      <c r="G601" s="3152"/>
      <c r="H601" s="3152"/>
      <c r="I601" s="3152"/>
      <c r="J601" s="3152"/>
      <c r="K601" s="3152"/>
      <c r="L601" s="3152"/>
      <c r="M601" s="2561"/>
      <c r="N601" s="2561"/>
      <c r="O601" s="2561"/>
      <c r="P601" s="2561"/>
      <c r="Q601" s="2561"/>
      <c r="R601" s="2561"/>
      <c r="S601" s="2561"/>
      <c r="T601" s="2561"/>
      <c r="U601" s="2561"/>
      <c r="V601" s="2561"/>
      <c r="W601" s="2561"/>
      <c r="X601" s="2561"/>
      <c r="Y601" s="2561"/>
      <c r="Z601" s="2292"/>
    </row>
    <row r="602" spans="1:26">
      <c r="A602" s="4508" t="s">
        <v>2069</v>
      </c>
      <c r="B602" s="4508"/>
      <c r="C602" s="1"/>
      <c r="D602" s="983" t="s">
        <v>2068</v>
      </c>
      <c r="E602" s="4"/>
      <c r="F602" s="4"/>
      <c r="G602" s="4"/>
      <c r="H602" s="4"/>
      <c r="I602" s="4"/>
      <c r="J602" s="4"/>
      <c r="K602"/>
      <c r="L602" s="1"/>
      <c r="M602" s="2561"/>
      <c r="N602" s="2561"/>
      <c r="O602" s="2561"/>
      <c r="P602" s="2561"/>
      <c r="Q602" s="2561"/>
      <c r="R602" s="2561"/>
      <c r="S602" s="2561"/>
      <c r="T602" s="2561"/>
      <c r="U602" s="2561"/>
      <c r="V602" s="2561"/>
      <c r="W602" s="2561"/>
      <c r="X602" s="2561"/>
      <c r="Y602" s="2561"/>
      <c r="Z602" s="2292"/>
    </row>
    <row r="603" spans="1:26">
      <c r="A603" s="4508"/>
      <c r="B603" s="4508"/>
      <c r="C603" s="1"/>
      <c r="D603" s="4"/>
      <c r="E603" s="4"/>
      <c r="F603"/>
      <c r="G603" s="4"/>
      <c r="H603" s="4"/>
      <c r="I603" s="4"/>
      <c r="J603" s="4"/>
      <c r="K603"/>
      <c r="L603" s="1"/>
      <c r="M603" s="2561"/>
      <c r="N603" s="2561"/>
      <c r="O603" s="2561"/>
      <c r="P603" s="2561"/>
      <c r="Q603" s="2561"/>
      <c r="R603" s="2561"/>
      <c r="S603" s="2561"/>
      <c r="T603" s="2561"/>
      <c r="U603" s="2561"/>
      <c r="V603" s="2561"/>
      <c r="W603" s="2561"/>
      <c r="X603" s="2561"/>
      <c r="Y603" s="2561"/>
      <c r="Z603" s="2292"/>
    </row>
    <row r="604" spans="1:26">
      <c r="A604" s="1"/>
      <c r="B604" s="1"/>
      <c r="C604" s="1"/>
      <c r="D604" s="2167"/>
      <c r="E604" s="1945">
        <v>2010</v>
      </c>
      <c r="F604" s="1945">
        <v>2011</v>
      </c>
      <c r="G604" s="1945">
        <v>2012</v>
      </c>
      <c r="H604" s="90" t="s">
        <v>1702</v>
      </c>
      <c r="I604" s="4"/>
      <c r="J604" s="4"/>
      <c r="K604"/>
      <c r="L604" s="1"/>
      <c r="M604" s="2561"/>
      <c r="N604" s="2561"/>
      <c r="O604" s="2561"/>
      <c r="P604" s="2561"/>
      <c r="Q604" s="2561"/>
      <c r="R604" s="2561"/>
      <c r="S604" s="2561"/>
      <c r="T604" s="2561"/>
      <c r="U604" s="2561"/>
      <c r="V604" s="2561"/>
      <c r="W604" s="2561"/>
      <c r="X604" s="2561"/>
      <c r="Y604" s="2561"/>
      <c r="Z604" s="2292"/>
    </row>
    <row r="605" spans="1:26">
      <c r="A605" s="1"/>
      <c r="B605" s="1"/>
      <c r="C605" s="1"/>
      <c r="D605" s="1041" t="s">
        <v>115</v>
      </c>
      <c r="E605" s="2993">
        <f>RATINGS!AD731</f>
        <v>4.2145979731534326E-2</v>
      </c>
      <c r="F605" s="2993">
        <f>RATINGS!AB731</f>
        <v>1.1734511858918656E-2</v>
      </c>
      <c r="G605" s="2993">
        <f>RATINGS!AA731</f>
        <v>-0.15792412690982061</v>
      </c>
      <c r="H605" s="2994">
        <f>RATINGS!Z731</f>
        <v>-0.14379524713280636</v>
      </c>
      <c r="I605" s="4"/>
      <c r="J605" s="4"/>
      <c r="K605"/>
      <c r="L605" s="1"/>
      <c r="M605" s="2561"/>
      <c r="N605" s="2561"/>
      <c r="O605" s="2561"/>
      <c r="P605" s="2561"/>
      <c r="Q605" s="2561"/>
      <c r="R605" s="2561"/>
      <c r="S605" s="2561"/>
      <c r="T605" s="2561"/>
      <c r="U605" s="2561"/>
      <c r="V605" s="2561"/>
      <c r="W605" s="2561"/>
      <c r="X605" s="2561"/>
      <c r="Y605" s="2561"/>
      <c r="Z605" s="2292"/>
    </row>
    <row r="606" spans="1:26">
      <c r="A606" s="1"/>
      <c r="B606" s="1"/>
      <c r="C606" s="1"/>
      <c r="D606" s="1041" t="s">
        <v>36</v>
      </c>
      <c r="E606" s="2993">
        <f>RATINGS!AD732</f>
        <v>-3.0501566049817276E-2</v>
      </c>
      <c r="F606" s="2993">
        <f>RATINGS!AB732</f>
        <v>-3.623003669144844E-2</v>
      </c>
      <c r="G606" s="2995">
        <f>RATINGS!AA732</f>
        <v>-6.2696138353186645E-2</v>
      </c>
      <c r="H606" s="2996">
        <f>RATINGS!Z732</f>
        <v>-0.14943287290779197</v>
      </c>
      <c r="I606" s="4"/>
      <c r="J606" s="4"/>
      <c r="K606"/>
      <c r="L606" s="1"/>
      <c r="M606" s="2561"/>
      <c r="N606" s="2561"/>
      <c r="O606" s="2561"/>
      <c r="P606" s="2561"/>
      <c r="Q606" s="2561"/>
      <c r="R606" s="2561"/>
      <c r="S606" s="2561"/>
      <c r="T606" s="2561"/>
      <c r="U606" s="2561"/>
      <c r="V606" s="2561"/>
      <c r="W606" s="2561"/>
      <c r="X606" s="2561"/>
      <c r="Y606" s="2561"/>
      <c r="Z606" s="2292"/>
    </row>
    <row r="607" spans="1:26">
      <c r="A607" s="1"/>
      <c r="B607" s="1"/>
      <c r="C607" s="1"/>
      <c r="D607" s="1041" t="s">
        <v>287</v>
      </c>
      <c r="E607" s="2993">
        <f>RATINGS!AD733</f>
        <v>-6.6354443931599769E-2</v>
      </c>
      <c r="F607" s="2993">
        <f>RATINGS!AB733</f>
        <v>-7.4412901287084096E-2</v>
      </c>
      <c r="G607" s="2993">
        <f>RATINGS!AA733</f>
        <v>-0.10295602093370315</v>
      </c>
      <c r="H607" s="2994">
        <f>RATINGS!Z733</f>
        <v>-0.22261049441522918</v>
      </c>
      <c r="I607" s="4"/>
      <c r="J607" s="4"/>
      <c r="K607"/>
      <c r="L607" s="1"/>
      <c r="M607" s="2561"/>
      <c r="N607" s="2561"/>
      <c r="O607" s="2561"/>
      <c r="P607" s="2561"/>
      <c r="Q607" s="2561"/>
      <c r="R607" s="2561"/>
      <c r="S607" s="2561"/>
      <c r="T607" s="2561"/>
      <c r="U607" s="2561"/>
      <c r="V607" s="2561"/>
      <c r="W607" s="2561"/>
      <c r="X607" s="2561"/>
      <c r="Y607" s="2561"/>
      <c r="Z607" s="2292"/>
    </row>
    <row r="608" spans="1:26">
      <c r="A608" s="1"/>
      <c r="B608" s="1"/>
      <c r="C608" s="1"/>
      <c r="D608" s="3"/>
      <c r="E608" s="3"/>
      <c r="F608" s="3"/>
      <c r="G608" s="3"/>
      <c r="H608" s="3"/>
      <c r="I608" s="3"/>
      <c r="J608" s="3"/>
      <c r="K608" s="3"/>
      <c r="L608" s="1"/>
      <c r="M608" s="2561"/>
      <c r="N608" s="2561"/>
      <c r="O608" s="2561"/>
      <c r="P608" s="2561"/>
      <c r="Q608" s="2561"/>
      <c r="R608" s="2561"/>
      <c r="S608" s="2561"/>
      <c r="T608" s="2561"/>
      <c r="U608" s="2561"/>
      <c r="V608" s="2561"/>
      <c r="W608" s="2561"/>
      <c r="X608" s="2561"/>
      <c r="Y608" s="2561"/>
      <c r="Z608" s="2292"/>
    </row>
    <row r="609" spans="1:26">
      <c r="A609" s="1"/>
      <c r="B609" s="1"/>
      <c r="C609" s="1"/>
      <c r="D609" s="3"/>
      <c r="E609" s="3"/>
      <c r="F609" s="3"/>
      <c r="G609" s="3"/>
      <c r="H609" s="3"/>
      <c r="I609" s="3"/>
      <c r="J609" s="2992"/>
      <c r="K609" s="2992"/>
      <c r="L609" s="1"/>
      <c r="M609" s="2561"/>
      <c r="N609" s="2561"/>
      <c r="O609" s="2561"/>
      <c r="P609" s="2561"/>
      <c r="Q609" s="2561"/>
      <c r="R609" s="2561"/>
      <c r="S609" s="2561"/>
      <c r="T609" s="2561"/>
      <c r="U609" s="2561"/>
      <c r="V609" s="2561"/>
      <c r="W609" s="2561"/>
      <c r="X609" s="2561"/>
      <c r="Y609" s="2561"/>
      <c r="Z609" s="2292"/>
    </row>
    <row r="610" spans="1:26">
      <c r="A610" s="1"/>
      <c r="B610" s="1"/>
      <c r="C610" s="1"/>
      <c r="D610" s="4507" t="s">
        <v>2071</v>
      </c>
      <c r="E610" s="4507"/>
      <c r="F610" s="4507"/>
      <c r="G610" s="4507"/>
      <c r="H610" s="4507"/>
      <c r="I610" s="4507"/>
      <c r="J610" s="4507"/>
      <c r="K610" s="2992"/>
      <c r="L610" s="1"/>
      <c r="M610" s="2561"/>
      <c r="N610" s="1"/>
      <c r="O610" s="1"/>
      <c r="P610" s="1"/>
      <c r="Q610" s="1"/>
      <c r="R610" s="1"/>
      <c r="S610" s="1"/>
      <c r="T610" s="1"/>
      <c r="U610" s="1"/>
      <c r="V610" s="1"/>
      <c r="W610" s="1"/>
      <c r="X610" s="1"/>
      <c r="Y610" s="1"/>
      <c r="Z610" s="2292"/>
    </row>
    <row r="611" spans="1:26">
      <c r="A611" s="1"/>
      <c r="B611" s="1"/>
      <c r="C611" s="1"/>
      <c r="D611" s="4507"/>
      <c r="E611" s="4507"/>
      <c r="F611" s="4507"/>
      <c r="G611" s="4507"/>
      <c r="H611" s="4507"/>
      <c r="I611" s="4507"/>
      <c r="J611" s="4507"/>
      <c r="K611" s="2992"/>
      <c r="L611" s="1"/>
      <c r="M611" s="2561"/>
      <c r="N611" s="1"/>
      <c r="O611" s="1"/>
      <c r="P611" s="1"/>
      <c r="Q611" s="1"/>
      <c r="R611" s="1"/>
      <c r="S611" s="1"/>
      <c r="T611" s="1"/>
      <c r="U611" s="1"/>
      <c r="V611" s="1"/>
      <c r="W611" s="1"/>
      <c r="X611" s="1"/>
      <c r="Y611" s="1"/>
      <c r="Z611" s="2292"/>
    </row>
    <row r="612" spans="1:26">
      <c r="A612" s="1"/>
      <c r="B612" s="1"/>
      <c r="C612" s="1"/>
      <c r="D612" s="3"/>
      <c r="E612" s="3"/>
      <c r="F612" s="3"/>
      <c r="G612" s="3"/>
      <c r="H612" s="3"/>
      <c r="I612" s="3"/>
      <c r="J612" s="2992"/>
      <c r="K612" s="2992"/>
      <c r="L612" s="1"/>
      <c r="N612" s="1"/>
      <c r="O612" s="1"/>
      <c r="P612" s="1"/>
      <c r="Q612" s="1"/>
      <c r="R612" s="1"/>
      <c r="S612" s="1"/>
      <c r="T612" s="1"/>
      <c r="U612" s="1"/>
      <c r="V612" s="1"/>
      <c r="W612" s="1"/>
      <c r="X612" s="1"/>
      <c r="Y612" s="1"/>
      <c r="Z612" s="2292"/>
    </row>
    <row r="613" spans="1:26">
      <c r="A613" s="1"/>
      <c r="B613" s="1"/>
      <c r="C613" s="1"/>
      <c r="D613" s="1"/>
      <c r="E613" s="1"/>
      <c r="F613" s="1"/>
      <c r="G613" s="1"/>
      <c r="H613" s="1"/>
      <c r="I613" s="1"/>
      <c r="J613" s="1"/>
      <c r="K613" s="1"/>
      <c r="L613" s="1"/>
      <c r="M613" s="2886" t="s">
        <v>2015</v>
      </c>
      <c r="N613" s="1"/>
      <c r="O613" s="1"/>
      <c r="P613" s="1"/>
      <c r="Q613" s="1"/>
      <c r="R613" s="1"/>
      <c r="S613" s="1"/>
      <c r="T613" s="1"/>
      <c r="U613" s="1"/>
      <c r="V613" s="1"/>
      <c r="W613" s="1"/>
      <c r="X613" s="1"/>
      <c r="Y613" s="1"/>
      <c r="Z613" s="2292"/>
    </row>
    <row r="614" spans="1:26">
      <c r="A614" s="1"/>
      <c r="B614" s="1"/>
      <c r="C614" s="1"/>
      <c r="D614" s="1"/>
      <c r="E614" s="1"/>
      <c r="F614" s="1"/>
      <c r="G614" s="1"/>
      <c r="H614" s="1"/>
      <c r="I614" s="1"/>
      <c r="J614" s="1"/>
      <c r="K614" s="1"/>
      <c r="L614" s="1"/>
      <c r="M614" s="2561"/>
      <c r="N614" s="1"/>
      <c r="O614" s="1"/>
      <c r="P614" s="1"/>
      <c r="Q614" s="1"/>
      <c r="R614" s="1"/>
      <c r="S614" s="1"/>
      <c r="T614" s="1"/>
      <c r="U614" s="1"/>
      <c r="V614" s="1"/>
      <c r="W614" s="1"/>
      <c r="X614" s="1"/>
      <c r="Y614" s="1"/>
      <c r="Z614" s="2292"/>
    </row>
    <row r="615" spans="1:26">
      <c r="A615" s="99"/>
      <c r="B615" s="3"/>
      <c r="C615" s="3"/>
      <c r="D615" s="3"/>
      <c r="E615" s="3"/>
      <c r="F615" s="3"/>
      <c r="G615" s="3"/>
      <c r="H615" s="3"/>
      <c r="I615" s="3"/>
      <c r="J615" s="3"/>
      <c r="K615" s="3"/>
      <c r="L615" s="3"/>
      <c r="M615" s="2561"/>
      <c r="N615" s="3"/>
      <c r="O615" s="3"/>
      <c r="P615" s="3"/>
      <c r="Q615" s="3"/>
      <c r="R615" s="3"/>
      <c r="S615" s="3"/>
      <c r="T615" s="3"/>
      <c r="U615" s="3"/>
      <c r="V615" s="3"/>
      <c r="W615" s="3"/>
      <c r="X615" s="3"/>
      <c r="Y615" s="3"/>
    </row>
    <row r="616" spans="1:26">
      <c r="A616" s="3"/>
      <c r="B616" s="3"/>
      <c r="C616" s="3"/>
      <c r="D616" s="3"/>
      <c r="E616" s="3"/>
      <c r="F616" s="3"/>
      <c r="G616" s="3"/>
      <c r="H616" s="3"/>
      <c r="I616" s="3"/>
      <c r="J616" s="3"/>
      <c r="K616" s="3"/>
      <c r="L616" s="3"/>
      <c r="M616" s="2561"/>
      <c r="N616" s="3"/>
      <c r="O616" s="3"/>
      <c r="P616" s="3"/>
      <c r="Q616" s="3"/>
      <c r="R616" s="3"/>
      <c r="S616" s="3"/>
      <c r="T616" s="3"/>
      <c r="U616" s="3"/>
      <c r="V616" s="3"/>
      <c r="W616" s="3"/>
      <c r="X616" s="3"/>
      <c r="Y616" s="3"/>
    </row>
    <row r="617" spans="1:26">
      <c r="A617" s="3"/>
      <c r="B617" s="3"/>
      <c r="C617" s="3"/>
      <c r="D617" s="3"/>
      <c r="E617" s="3"/>
      <c r="F617" s="3"/>
      <c r="G617" s="3"/>
      <c r="H617" s="3"/>
      <c r="I617" s="3"/>
      <c r="J617" s="3"/>
      <c r="K617" s="3"/>
      <c r="L617" s="3"/>
      <c r="M617" s="2561"/>
      <c r="N617" s="3"/>
      <c r="O617" s="3"/>
      <c r="P617" s="3"/>
      <c r="Q617" s="3"/>
      <c r="R617" s="3"/>
      <c r="S617" s="3"/>
      <c r="T617" s="3"/>
      <c r="U617" s="3"/>
      <c r="V617" s="3"/>
      <c r="W617" s="3"/>
      <c r="X617" s="3"/>
      <c r="Y617" s="3"/>
    </row>
    <row r="618" spans="1:26">
      <c r="A618" s="3"/>
      <c r="B618" s="3"/>
      <c r="C618" s="3"/>
      <c r="D618" s="3"/>
      <c r="E618" s="3"/>
      <c r="F618" s="3"/>
      <c r="G618" s="3"/>
      <c r="H618" s="3"/>
      <c r="I618" s="3"/>
      <c r="J618" s="3"/>
      <c r="K618" s="3"/>
      <c r="L618" s="3"/>
      <c r="M618" s="2561"/>
      <c r="N618" s="3"/>
      <c r="O618" s="3"/>
      <c r="P618" s="3"/>
      <c r="Q618" s="3"/>
      <c r="R618" s="3"/>
      <c r="S618" s="3"/>
      <c r="T618" s="3"/>
      <c r="U618" s="3"/>
      <c r="V618" s="3"/>
      <c r="W618" s="3"/>
      <c r="X618" s="3"/>
      <c r="Y618" s="3"/>
    </row>
    <row r="619" spans="1:26">
      <c r="A619" s="3"/>
      <c r="B619" s="3"/>
      <c r="C619" s="3"/>
      <c r="D619" s="3"/>
      <c r="E619" s="3"/>
      <c r="F619" s="3"/>
      <c r="G619" s="3"/>
      <c r="H619" s="3"/>
      <c r="I619" s="3"/>
      <c r="J619" s="3"/>
      <c r="K619" s="3"/>
      <c r="L619" s="3"/>
      <c r="M619" s="2561"/>
      <c r="N619" s="3"/>
      <c r="O619" s="3"/>
      <c r="P619" s="3"/>
      <c r="Q619" s="3"/>
      <c r="R619" s="3"/>
      <c r="S619" s="3"/>
      <c r="T619" s="3"/>
      <c r="U619" s="3"/>
      <c r="V619" s="3"/>
      <c r="W619" s="3"/>
      <c r="X619" s="3"/>
      <c r="Y619" s="3"/>
    </row>
    <row r="620" spans="1:26">
      <c r="A620" s="3"/>
      <c r="B620" s="3"/>
      <c r="C620" s="3"/>
      <c r="D620" s="3"/>
      <c r="E620" s="3"/>
      <c r="F620" s="3"/>
      <c r="G620" s="3"/>
      <c r="H620" s="3"/>
      <c r="I620" s="3"/>
      <c r="J620" s="3"/>
      <c r="K620" s="3"/>
      <c r="L620" s="3"/>
      <c r="M620" s="2561"/>
      <c r="N620" s="3"/>
      <c r="O620" s="3"/>
      <c r="P620" s="3"/>
      <c r="Q620" s="3"/>
      <c r="R620" s="3"/>
      <c r="S620" s="3"/>
      <c r="T620" s="3"/>
      <c r="U620" s="3"/>
      <c r="V620" s="3"/>
      <c r="W620" s="3"/>
      <c r="X620" s="3"/>
      <c r="Y620" s="3"/>
    </row>
    <row r="621" spans="1:26">
      <c r="A621" s="3"/>
      <c r="B621" s="3"/>
      <c r="C621" s="3"/>
      <c r="D621" s="3"/>
      <c r="E621" s="3"/>
      <c r="F621" s="3"/>
      <c r="G621" s="3"/>
      <c r="H621" s="3"/>
      <c r="I621" s="3"/>
      <c r="J621" s="3"/>
      <c r="K621" s="3"/>
      <c r="L621" s="3"/>
      <c r="M621" s="2561"/>
      <c r="N621" s="3"/>
      <c r="O621" s="3"/>
      <c r="P621" s="3"/>
      <c r="Q621" s="3"/>
      <c r="R621" s="3"/>
      <c r="S621" s="3"/>
      <c r="T621" s="3"/>
      <c r="U621" s="3"/>
      <c r="V621" s="3"/>
      <c r="W621" s="3"/>
      <c r="X621" s="3"/>
      <c r="Y621" s="3"/>
    </row>
    <row r="622" spans="1:26">
      <c r="A622" s="3"/>
      <c r="B622" s="3"/>
      <c r="C622" s="3"/>
      <c r="D622" s="3"/>
      <c r="E622" s="3"/>
      <c r="F622" s="3"/>
      <c r="G622" s="3"/>
      <c r="H622" s="3"/>
      <c r="I622" s="3"/>
      <c r="J622" s="3"/>
      <c r="K622" s="3"/>
      <c r="L622" s="3"/>
      <c r="M622" s="2561"/>
      <c r="N622" s="3"/>
      <c r="O622" s="3"/>
      <c r="P622" s="3"/>
      <c r="Q622" s="3"/>
      <c r="R622" s="3"/>
      <c r="S622" s="3"/>
      <c r="T622" s="3"/>
      <c r="U622" s="3"/>
      <c r="V622" s="3"/>
      <c r="W622" s="3"/>
      <c r="X622" s="3"/>
      <c r="Y622" s="3"/>
    </row>
    <row r="623" spans="1:26">
      <c r="A623" s="3"/>
      <c r="B623" s="3"/>
      <c r="C623" s="3"/>
      <c r="D623" s="3"/>
      <c r="E623" s="3"/>
      <c r="F623" s="3"/>
      <c r="G623" s="3"/>
      <c r="H623" s="3"/>
      <c r="I623" s="3"/>
      <c r="J623" s="3"/>
      <c r="K623" s="3"/>
      <c r="L623" s="3"/>
      <c r="M623" s="2561"/>
      <c r="N623" s="3"/>
      <c r="O623" s="3"/>
      <c r="P623" s="3"/>
      <c r="Q623" s="3"/>
      <c r="R623" s="3"/>
      <c r="S623" s="3"/>
      <c r="T623" s="3"/>
      <c r="U623" s="3"/>
      <c r="V623" s="3"/>
      <c r="W623" s="3"/>
      <c r="X623" s="3"/>
      <c r="Y623" s="3"/>
    </row>
    <row r="624" spans="1:26">
      <c r="A624" s="3"/>
      <c r="B624" s="3"/>
      <c r="C624" s="3"/>
      <c r="D624" s="3"/>
      <c r="E624" s="3"/>
      <c r="F624" s="3"/>
      <c r="G624" s="3"/>
      <c r="H624" s="3"/>
      <c r="I624" s="3"/>
      <c r="J624" s="3"/>
      <c r="K624" s="3"/>
      <c r="L624" s="3"/>
      <c r="M624" s="2561"/>
      <c r="N624" s="3"/>
      <c r="O624" s="3"/>
      <c r="P624" s="3"/>
      <c r="Q624" s="3"/>
      <c r="R624" s="3"/>
      <c r="S624" s="3"/>
      <c r="T624" s="3"/>
      <c r="U624" s="3"/>
      <c r="V624" s="3"/>
      <c r="W624" s="3"/>
      <c r="X624" s="3"/>
      <c r="Y624" s="3"/>
    </row>
    <row r="625" spans="1:25">
      <c r="A625" s="3"/>
      <c r="B625" s="3"/>
      <c r="C625" s="3"/>
      <c r="D625" s="3"/>
      <c r="E625" s="3"/>
      <c r="F625" s="3"/>
      <c r="G625" s="3"/>
      <c r="H625" s="3"/>
      <c r="I625" s="3"/>
      <c r="J625" s="3"/>
      <c r="K625" s="3"/>
      <c r="L625" s="3"/>
      <c r="M625" s="2561"/>
      <c r="N625" s="3"/>
      <c r="O625" s="3"/>
      <c r="P625" s="3"/>
      <c r="Q625" s="3"/>
      <c r="R625" s="3"/>
      <c r="S625" s="3"/>
      <c r="T625" s="3"/>
      <c r="U625" s="3"/>
      <c r="V625" s="3"/>
      <c r="W625" s="3"/>
      <c r="X625" s="3"/>
      <c r="Y625" s="3"/>
    </row>
    <row r="626" spans="1:25">
      <c r="A626" s="3"/>
      <c r="B626" s="3"/>
      <c r="C626" s="3"/>
      <c r="D626" s="3"/>
      <c r="E626" s="3"/>
      <c r="F626" s="3"/>
      <c r="G626" s="3"/>
      <c r="H626" s="3"/>
      <c r="I626" s="3"/>
      <c r="J626" s="3"/>
      <c r="K626" s="3"/>
      <c r="L626" s="3"/>
      <c r="M626" s="2561"/>
      <c r="N626" s="3"/>
      <c r="O626" s="3"/>
      <c r="P626" s="3"/>
      <c r="Q626" s="3"/>
      <c r="R626" s="3"/>
      <c r="S626" s="3"/>
      <c r="T626" s="3"/>
      <c r="U626" s="3"/>
      <c r="V626" s="3"/>
      <c r="W626" s="3"/>
      <c r="X626" s="3"/>
      <c r="Y626" s="3"/>
    </row>
    <row r="627" spans="1:25">
      <c r="A627" s="3"/>
      <c r="B627" s="3"/>
      <c r="C627" s="3"/>
      <c r="D627" s="3"/>
      <c r="E627" s="3"/>
      <c r="F627" s="3"/>
      <c r="G627" s="3"/>
      <c r="H627" s="3"/>
      <c r="I627" s="3"/>
      <c r="J627" s="3"/>
      <c r="K627" s="3"/>
      <c r="L627" s="3"/>
      <c r="M627" s="2561"/>
      <c r="N627" s="3"/>
      <c r="O627" s="3"/>
      <c r="P627" s="3"/>
      <c r="Q627" s="3"/>
      <c r="R627" s="3"/>
      <c r="S627" s="3"/>
      <c r="T627" s="3"/>
      <c r="U627" s="3"/>
      <c r="V627" s="3"/>
      <c r="W627" s="3"/>
      <c r="X627" s="3"/>
      <c r="Y627" s="3"/>
    </row>
    <row r="628" spans="1:25">
      <c r="A628" s="3"/>
      <c r="B628" s="3"/>
      <c r="C628" s="3"/>
      <c r="D628" s="3"/>
      <c r="E628" s="3"/>
      <c r="F628" s="3"/>
      <c r="G628" s="3"/>
      <c r="H628" s="3"/>
      <c r="I628" s="3"/>
      <c r="J628" s="3"/>
      <c r="K628" s="3"/>
      <c r="L628" s="3"/>
      <c r="M628" s="2561"/>
      <c r="N628" s="3"/>
      <c r="O628" s="3"/>
      <c r="P628" s="3"/>
      <c r="Q628" s="3"/>
      <c r="R628" s="3"/>
      <c r="S628" s="3"/>
      <c r="T628" s="3"/>
      <c r="U628" s="3"/>
      <c r="V628" s="3"/>
      <c r="W628" s="3"/>
      <c r="X628" s="3"/>
      <c r="Y628" s="3"/>
    </row>
    <row r="629" spans="1:25">
      <c r="A629" s="3"/>
      <c r="B629" s="3"/>
      <c r="C629" s="3"/>
      <c r="D629" s="3"/>
      <c r="E629" s="3"/>
      <c r="F629" s="3"/>
      <c r="G629" s="3"/>
      <c r="H629" s="3"/>
      <c r="I629" s="3"/>
      <c r="J629" s="3"/>
      <c r="K629" s="3"/>
      <c r="L629" s="3"/>
      <c r="M629" s="2561"/>
      <c r="N629" s="3"/>
      <c r="O629" s="3"/>
      <c r="P629" s="3"/>
      <c r="Q629" s="3"/>
      <c r="R629" s="3"/>
      <c r="S629" s="3"/>
      <c r="T629" s="3"/>
      <c r="U629" s="3"/>
      <c r="V629" s="3"/>
      <c r="W629" s="3"/>
      <c r="X629" s="3"/>
      <c r="Y629" s="3"/>
    </row>
    <row r="630" spans="1:25">
      <c r="A630" s="3"/>
      <c r="B630" s="3"/>
      <c r="C630" s="3"/>
      <c r="D630" s="3"/>
      <c r="E630" s="3"/>
      <c r="F630" s="3"/>
      <c r="G630" s="3"/>
      <c r="H630" s="3"/>
      <c r="I630" s="3"/>
      <c r="J630" s="3"/>
      <c r="K630" s="3"/>
      <c r="L630" s="3"/>
      <c r="M630" s="2561"/>
      <c r="N630" s="3"/>
      <c r="O630" s="3"/>
      <c r="P630" s="3"/>
      <c r="Q630" s="3"/>
      <c r="R630" s="3"/>
      <c r="S630" s="3"/>
      <c r="T630" s="3"/>
      <c r="U630" s="3"/>
      <c r="V630" s="3"/>
      <c r="W630" s="3"/>
      <c r="X630" s="3"/>
      <c r="Y630" s="3"/>
    </row>
    <row r="660" spans="1:14">
      <c r="A660" s="2682"/>
      <c r="B660" s="2682"/>
      <c r="C660" s="2682"/>
      <c r="D660" s="2682"/>
      <c r="E660" s="2682"/>
      <c r="F660" s="2682"/>
      <c r="G660" s="2682"/>
      <c r="H660" s="2682"/>
      <c r="I660" s="2682"/>
      <c r="J660" s="2682"/>
      <c r="K660" s="2682"/>
      <c r="L660" s="2682"/>
      <c r="M660" s="2561"/>
      <c r="N660" s="2682"/>
    </row>
    <row r="661" spans="1:14">
      <c r="A661" s="2682"/>
      <c r="B661" s="2682"/>
      <c r="C661" s="2682"/>
      <c r="D661" s="2682"/>
      <c r="E661" s="2682"/>
      <c r="F661" s="2682"/>
      <c r="G661" s="2682"/>
      <c r="H661" s="2682"/>
      <c r="I661" s="2682"/>
      <c r="J661" s="2682"/>
      <c r="K661" s="2682"/>
      <c r="L661" s="2682"/>
      <c r="M661" s="2561"/>
      <c r="N661" s="2682"/>
    </row>
    <row r="662" spans="1:14">
      <c r="A662" s="2682"/>
      <c r="B662" s="2682"/>
      <c r="C662" s="2682"/>
      <c r="D662" s="2682"/>
      <c r="E662" s="2682"/>
      <c r="F662" s="2682"/>
      <c r="G662" s="2682"/>
      <c r="H662" s="2682"/>
      <c r="I662" s="2682"/>
      <c r="J662" s="2682"/>
      <c r="K662" s="2682"/>
      <c r="L662" s="2682"/>
      <c r="M662" s="2561"/>
      <c r="N662" s="2682"/>
    </row>
    <row r="663" spans="1:14">
      <c r="A663" s="2682"/>
      <c r="B663" s="2682"/>
      <c r="C663" s="2682"/>
      <c r="D663" s="2682"/>
      <c r="E663" s="2682"/>
      <c r="F663" s="2682"/>
      <c r="G663" s="2682"/>
      <c r="H663" s="2682"/>
      <c r="I663" s="2682"/>
      <c r="J663" s="2682"/>
      <c r="K663" s="2682"/>
      <c r="L663" s="2682"/>
      <c r="M663" s="2561"/>
      <c r="N663" s="2682"/>
    </row>
    <row r="664" spans="1:14">
      <c r="A664" s="2682"/>
      <c r="B664" s="2682"/>
      <c r="C664" s="2682"/>
      <c r="D664" s="2682"/>
      <c r="E664" s="2682"/>
      <c r="F664" s="2682"/>
      <c r="G664" s="2682"/>
      <c r="H664" s="2682"/>
      <c r="I664" s="2682"/>
      <c r="J664" s="2682"/>
      <c r="K664" s="2682"/>
      <c r="L664" s="2682"/>
      <c r="M664" s="2561"/>
      <c r="N664" s="2682"/>
    </row>
    <row r="665" spans="1:14">
      <c r="A665" s="2682"/>
      <c r="B665" s="2682"/>
      <c r="C665" s="2682"/>
      <c r="D665" s="2682"/>
      <c r="E665" s="2682"/>
      <c r="F665" s="2682"/>
      <c r="G665" s="2682"/>
      <c r="H665" s="2682"/>
      <c r="I665" s="2682"/>
      <c r="J665" s="2682"/>
      <c r="K665" s="2682"/>
      <c r="L665" s="2682"/>
      <c r="M665" s="2561"/>
      <c r="N665" s="2682"/>
    </row>
    <row r="666" spans="1:14">
      <c r="A666" s="2682"/>
      <c r="B666" s="2682"/>
      <c r="C666" s="2682"/>
      <c r="D666" s="2682"/>
      <c r="E666" s="2682"/>
      <c r="F666" s="2682"/>
      <c r="G666" s="2682"/>
      <c r="H666" s="2682"/>
      <c r="I666" s="2682"/>
      <c r="J666" s="2682"/>
      <c r="K666" s="2682"/>
      <c r="L666" s="2682"/>
      <c r="M666" s="2561"/>
      <c r="N666" s="2682"/>
    </row>
  </sheetData>
  <mergeCells count="30">
    <mergeCell ref="D548:E548"/>
    <mergeCell ref="D553:E553"/>
    <mergeCell ref="D554:E554"/>
    <mergeCell ref="D555:E555"/>
    <mergeCell ref="C1:D1"/>
    <mergeCell ref="D363:F363"/>
    <mergeCell ref="D362:F362"/>
    <mergeCell ref="D361:F361"/>
    <mergeCell ref="D483:E483"/>
    <mergeCell ref="D484:E484"/>
    <mergeCell ref="D485:E485"/>
    <mergeCell ref="D486:E486"/>
    <mergeCell ref="D360:F360"/>
    <mergeCell ref="D516:F516"/>
    <mergeCell ref="D610:J611"/>
    <mergeCell ref="A602:B603"/>
    <mergeCell ref="D517:F517"/>
    <mergeCell ref="D518:F518"/>
    <mergeCell ref="D519:F519"/>
    <mergeCell ref="D520:F520"/>
    <mergeCell ref="D546:E546"/>
    <mergeCell ref="D566:E566"/>
    <mergeCell ref="D567:E567"/>
    <mergeCell ref="D568:E568"/>
    <mergeCell ref="D565:E565"/>
    <mergeCell ref="D556:E556"/>
    <mergeCell ref="D557:E557"/>
    <mergeCell ref="D558:E558"/>
    <mergeCell ref="D545:E545"/>
    <mergeCell ref="D547:E547"/>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D1138"/>
  <sheetViews>
    <sheetView showGridLines="0" zoomScaleNormal="100" workbookViewId="0">
      <pane xSplit="4" ySplit="3" topLeftCell="E4" activePane="bottomRight" state="frozen"/>
      <selection pane="topRight" activeCell="E1" sqref="E1"/>
      <selection pane="bottomLeft" activeCell="A4" sqref="A4"/>
      <selection pane="bottomRight"/>
    </sheetView>
  </sheetViews>
  <sheetFormatPr defaultColWidth="11.42578125" defaultRowHeight="12.75"/>
  <cols>
    <col min="1" max="1" width="15.140625" style="2561" customWidth="1"/>
    <col min="2" max="2" width="12.28515625" style="2561" customWidth="1"/>
    <col min="3" max="3" width="11.42578125" style="2561"/>
    <col min="4" max="4" width="4.28515625" style="2615" hidden="1" customWidth="1"/>
    <col min="5" max="5" width="2.85546875" style="2562" customWidth="1"/>
    <col min="6" max="8" width="5.85546875" style="2562" customWidth="1"/>
    <col min="9" max="9" width="6.140625" style="2561" bestFit="1" customWidth="1"/>
    <col min="10" max="10" width="1.42578125" style="2580" customWidth="1"/>
    <col min="11" max="15" width="7.28515625" style="2581" hidden="1" customWidth="1"/>
    <col min="16" max="16" width="5.85546875" style="2619" customWidth="1"/>
    <col min="17" max="18" width="6" style="2627" bestFit="1" customWidth="1"/>
    <col min="19" max="19" width="1.42578125" style="2580" customWidth="1"/>
    <col min="20" max="22" width="5.85546875" style="2580" customWidth="1"/>
    <col min="23" max="23" width="1.42578125" style="2580" customWidth="1"/>
    <col min="24" max="24" width="6" style="2581" bestFit="1" customWidth="1"/>
    <col min="25" max="25" width="8.140625" style="2581" bestFit="1" customWidth="1"/>
    <col min="26" max="26" width="1.42578125" style="2580" customWidth="1"/>
    <col min="27" max="27" width="5.5703125" style="2619" bestFit="1" customWidth="1"/>
    <col min="28" max="28" width="8.140625" style="2619" bestFit="1" customWidth="1"/>
    <col min="29" max="29" width="1.42578125" style="2580" customWidth="1"/>
    <col min="30" max="32" width="5.85546875" style="2580" customWidth="1"/>
    <col min="33" max="33" width="1.42578125" style="2562" customWidth="1"/>
    <col min="34" max="36" width="5.85546875" style="2562" customWidth="1"/>
    <col min="37" max="37" width="6.140625" style="2561" bestFit="1" customWidth="1"/>
    <col min="38" max="38" width="2.85546875" style="2562" customWidth="1"/>
    <col min="39" max="41" width="5.85546875" style="2619" customWidth="1"/>
    <col min="42" max="42" width="1.42578125" style="2562" customWidth="1"/>
    <col min="43" max="45" width="5.85546875" style="2561" customWidth="1"/>
    <col min="46" max="46" width="5" style="2562" customWidth="1"/>
    <col min="47" max="47" width="1.42578125" style="2562" customWidth="1"/>
    <col min="48" max="50" width="5.85546875" style="2561" hidden="1" customWidth="1"/>
    <col min="51" max="51" width="5" style="2562" hidden="1" customWidth="1"/>
    <col min="52" max="52" width="1.42578125" style="2562" hidden="1" customWidth="1"/>
    <col min="53" max="55" width="5.85546875" style="2561" customWidth="1"/>
    <col min="56" max="56" width="5" style="2561" customWidth="1"/>
    <col min="57" max="57" width="2.85546875" style="2562" customWidth="1"/>
    <col min="58" max="62" width="5.85546875" style="2581" hidden="1" customWidth="1"/>
    <col min="63" max="65" width="5.85546875" style="2581" customWidth="1"/>
    <col min="66" max="66" width="1.42578125" style="2562" customWidth="1"/>
    <col min="67" max="67" width="5" style="2581" bestFit="1" customWidth="1"/>
    <col min="68" max="70" width="5.140625" style="2581" bestFit="1" customWidth="1"/>
    <col min="71" max="71" width="5.85546875" style="2581" bestFit="1" customWidth="1"/>
    <col min="72" max="72" width="5.140625" style="2581" bestFit="1" customWidth="1"/>
    <col min="73" max="73" width="6.28515625" style="2561" customWidth="1"/>
    <col min="74" max="75" width="6" style="2561" bestFit="1" customWidth="1"/>
    <col min="76" max="76" width="5" style="2562" customWidth="1"/>
    <col min="77" max="77" width="2.85546875" style="2562" customWidth="1"/>
    <col min="78" max="78" width="6" style="2581" customWidth="1"/>
    <col min="79" max="80" width="6" style="2581" bestFit="1" customWidth="1"/>
    <col min="81" max="81" width="1.42578125" style="2562" customWidth="1"/>
    <col min="82" max="84" width="5.85546875" style="2561" customWidth="1"/>
    <col min="85" max="85" width="5" style="2562" customWidth="1"/>
    <col min="86" max="86" width="1.42578125" style="2562" customWidth="1"/>
    <col min="87" max="89" width="5.85546875" style="2606" customWidth="1"/>
    <col min="90" max="90" width="1.42578125" style="2562" customWidth="1"/>
    <col min="91" max="93" width="5.85546875" style="2561" customWidth="1"/>
    <col min="94" max="94" width="5" style="2562" customWidth="1"/>
    <col min="95" max="96" width="2.85546875" style="2562" customWidth="1"/>
    <col min="97" max="99" width="5.85546875" style="2581" customWidth="1"/>
    <col min="100" max="100" width="1.42578125" style="2562" customWidth="1"/>
    <col min="101" max="103" width="5.85546875" style="2581" customWidth="1"/>
    <col min="104" max="104" width="1.42578125" style="2562" customWidth="1"/>
    <col min="105" max="107" width="5.85546875" style="2561" customWidth="1"/>
    <col min="108" max="108" width="5" style="2561" customWidth="1"/>
    <col min="109" max="16384" width="11.42578125" style="2581"/>
  </cols>
  <sheetData>
    <row r="1" spans="1:108">
      <c r="A1" s="109" t="s">
        <v>1924</v>
      </c>
      <c r="B1" s="2087"/>
      <c r="C1" s="2560"/>
      <c r="D1" s="2610"/>
      <c r="F1" s="7"/>
      <c r="G1" s="7"/>
      <c r="H1" s="7"/>
      <c r="I1" s="2565"/>
      <c r="K1" s="4"/>
      <c r="L1" s="4"/>
      <c r="M1" s="4"/>
      <c r="N1" s="4"/>
      <c r="O1" s="4"/>
      <c r="P1" s="2583"/>
      <c r="Q1" s="2584"/>
      <c r="R1" s="2584"/>
      <c r="T1" s="11"/>
      <c r="U1" s="11"/>
      <c r="V1" s="11"/>
      <c r="X1" s="4"/>
      <c r="Y1" s="4"/>
      <c r="AA1" s="2583"/>
      <c r="AB1" s="2583"/>
      <c r="AD1" s="11"/>
      <c r="AE1" s="11"/>
      <c r="AF1" s="11"/>
      <c r="AH1" s="7"/>
      <c r="AI1" s="7"/>
      <c r="AJ1" s="7"/>
      <c r="AK1" s="2565"/>
      <c r="AM1" s="2583"/>
      <c r="AN1" s="2583"/>
      <c r="AO1" s="2583"/>
      <c r="AQ1" s="2863"/>
      <c r="AR1" s="2863"/>
      <c r="AS1" s="2863"/>
      <c r="AT1" s="7"/>
      <c r="AV1" s="2565"/>
      <c r="AW1" s="2565"/>
      <c r="AX1" s="2565"/>
      <c r="AY1" s="7"/>
      <c r="BA1" s="2565"/>
      <c r="BB1" s="2565"/>
      <c r="BC1" s="2565"/>
      <c r="BD1" s="2565"/>
      <c r="BF1" s="4"/>
      <c r="BG1" s="4"/>
      <c r="BH1" s="4"/>
      <c r="BI1" s="4"/>
      <c r="BJ1" s="4"/>
      <c r="BK1" s="4"/>
      <c r="BL1" s="4"/>
      <c r="BM1" s="4"/>
      <c r="BO1" s="4"/>
      <c r="BP1" s="4"/>
      <c r="BQ1" s="4"/>
      <c r="BR1" s="4"/>
      <c r="BS1" s="4"/>
      <c r="BT1" s="4"/>
      <c r="BU1" s="2657"/>
      <c r="BV1" s="2657"/>
      <c r="BW1" s="2657"/>
      <c r="BX1" s="7"/>
      <c r="BZ1" s="4"/>
      <c r="CA1" s="4"/>
      <c r="CB1" s="4"/>
      <c r="CD1" s="2854"/>
      <c r="CE1" s="2854"/>
      <c r="CF1" s="2854"/>
      <c r="CG1" s="7"/>
      <c r="CI1" s="95"/>
      <c r="CJ1" s="95"/>
      <c r="CK1" s="95"/>
      <c r="CM1" s="2854"/>
      <c r="CN1" s="2854"/>
      <c r="CO1" s="2854"/>
      <c r="CP1" s="7"/>
      <c r="CS1" s="4"/>
      <c r="CT1" s="4"/>
      <c r="CU1" s="4"/>
      <c r="CW1" s="4"/>
      <c r="CX1" s="4"/>
      <c r="CY1" s="4"/>
      <c r="DA1" s="2841"/>
      <c r="DB1" s="2841"/>
      <c r="DC1" s="2841"/>
      <c r="DD1" s="2841"/>
    </row>
    <row r="2" spans="1:108" s="2606" customFormat="1">
      <c r="A2" s="3238" t="s">
        <v>2272</v>
      </c>
      <c r="B2" s="2593" t="s">
        <v>2273</v>
      </c>
      <c r="C2" s="2"/>
      <c r="D2" s="2611"/>
      <c r="E2" s="2592"/>
      <c r="F2" s="2795" t="s">
        <v>1925</v>
      </c>
      <c r="G2" s="2795" t="s">
        <v>1926</v>
      </c>
      <c r="H2" s="2795" t="s">
        <v>1927</v>
      </c>
      <c r="I2" s="563" t="s">
        <v>373</v>
      </c>
      <c r="J2" s="2563"/>
      <c r="K2" s="1197">
        <v>2009</v>
      </c>
      <c r="L2" s="1197">
        <v>2010</v>
      </c>
      <c r="M2" s="1197">
        <v>2011</v>
      </c>
      <c r="N2" s="1197">
        <v>2012</v>
      </c>
      <c r="O2" s="1197">
        <v>2013</v>
      </c>
      <c r="P2" s="2796" t="s">
        <v>1925</v>
      </c>
      <c r="Q2" s="2796" t="s">
        <v>1926</v>
      </c>
      <c r="R2" s="2796" t="s">
        <v>1927</v>
      </c>
      <c r="S2" s="2563"/>
      <c r="T2" s="446" t="s">
        <v>1925</v>
      </c>
      <c r="U2" s="446" t="s">
        <v>1926</v>
      </c>
      <c r="V2" s="446" t="s">
        <v>1927</v>
      </c>
      <c r="W2" s="2563"/>
      <c r="X2" s="4528" t="s">
        <v>506</v>
      </c>
      <c r="Y2" s="4528"/>
      <c r="Z2" s="2563"/>
      <c r="AA2" s="4529" t="s">
        <v>1942</v>
      </c>
      <c r="AB2" s="4529"/>
      <c r="AC2" s="2563"/>
      <c r="AD2" s="446" t="s">
        <v>1925</v>
      </c>
      <c r="AE2" s="446" t="s">
        <v>1926</v>
      </c>
      <c r="AF2" s="446" t="s">
        <v>1927</v>
      </c>
      <c r="AG2" s="2592"/>
      <c r="AH2" s="2576" t="s">
        <v>1925</v>
      </c>
      <c r="AI2" s="2576" t="s">
        <v>1926</v>
      </c>
      <c r="AJ2" s="2576" t="s">
        <v>1927</v>
      </c>
      <c r="AK2" s="563" t="s">
        <v>373</v>
      </c>
      <c r="AL2" s="2592"/>
      <c r="AM2" s="2796" t="s">
        <v>1925</v>
      </c>
      <c r="AN2" s="2796" t="s">
        <v>1926</v>
      </c>
      <c r="AO2" s="2796" t="s">
        <v>1927</v>
      </c>
      <c r="AP2" s="2592"/>
      <c r="AQ2" s="2576" t="s">
        <v>1925</v>
      </c>
      <c r="AR2" s="2576" t="s">
        <v>1926</v>
      </c>
      <c r="AS2" s="2576" t="s">
        <v>1927</v>
      </c>
      <c r="AT2" s="563" t="s">
        <v>373</v>
      </c>
      <c r="AU2" s="2592"/>
      <c r="AV2" s="2576" t="s">
        <v>1925</v>
      </c>
      <c r="AW2" s="2576" t="s">
        <v>1926</v>
      </c>
      <c r="AX2" s="2576" t="s">
        <v>1927</v>
      </c>
      <c r="AY2" s="563" t="s">
        <v>373</v>
      </c>
      <c r="AZ2" s="2592"/>
      <c r="BA2" s="2576" t="s">
        <v>1925</v>
      </c>
      <c r="BB2" s="2576" t="s">
        <v>1926</v>
      </c>
      <c r="BC2" s="2576" t="s">
        <v>1927</v>
      </c>
      <c r="BD2" s="563" t="s">
        <v>373</v>
      </c>
      <c r="BE2" s="2592"/>
      <c r="BF2" s="1197">
        <v>2009</v>
      </c>
      <c r="BG2" s="1197">
        <v>2010</v>
      </c>
      <c r="BH2" s="1197">
        <v>2011</v>
      </c>
      <c r="BI2" s="1197">
        <v>2012</v>
      </c>
      <c r="BJ2" s="1197">
        <v>2013</v>
      </c>
      <c r="BK2" s="1197" t="s">
        <v>1925</v>
      </c>
      <c r="BL2" s="1197" t="s">
        <v>1926</v>
      </c>
      <c r="BM2" s="1197" t="s">
        <v>1927</v>
      </c>
      <c r="BN2" s="2592"/>
      <c r="BO2" s="1197">
        <v>2009</v>
      </c>
      <c r="BP2" s="1197">
        <v>2010</v>
      </c>
      <c r="BQ2" s="1197">
        <v>2011</v>
      </c>
      <c r="BR2" s="1197">
        <v>2012</v>
      </c>
      <c r="BS2" s="2831" t="s">
        <v>363</v>
      </c>
      <c r="BT2" s="1197">
        <v>2013</v>
      </c>
      <c r="BU2" s="2576" t="s">
        <v>1925</v>
      </c>
      <c r="BV2" s="2576" t="s">
        <v>1926</v>
      </c>
      <c r="BW2" s="2576" t="s">
        <v>1927</v>
      </c>
      <c r="BX2" s="563" t="s">
        <v>373</v>
      </c>
      <c r="BY2" s="2592"/>
      <c r="BZ2" s="1197" t="s">
        <v>1925</v>
      </c>
      <c r="CA2" s="1197" t="s">
        <v>1926</v>
      </c>
      <c r="CB2" s="1197" t="s">
        <v>1927</v>
      </c>
      <c r="CC2" s="2592"/>
      <c r="CD2" s="2576" t="s">
        <v>1925</v>
      </c>
      <c r="CE2" s="2576" t="s">
        <v>1926</v>
      </c>
      <c r="CF2" s="2576" t="s">
        <v>1927</v>
      </c>
      <c r="CG2" s="563" t="s">
        <v>373</v>
      </c>
      <c r="CH2" s="2592"/>
      <c r="CI2" s="446" t="s">
        <v>1925</v>
      </c>
      <c r="CJ2" s="446" t="s">
        <v>1926</v>
      </c>
      <c r="CK2" s="446" t="s">
        <v>1927</v>
      </c>
      <c r="CL2" s="2592"/>
      <c r="CM2" s="2576" t="s">
        <v>1925</v>
      </c>
      <c r="CN2" s="2576" t="s">
        <v>1926</v>
      </c>
      <c r="CO2" s="2576" t="s">
        <v>1927</v>
      </c>
      <c r="CP2" s="563" t="s">
        <v>373</v>
      </c>
      <c r="CQ2" s="2592"/>
      <c r="CR2" s="2592"/>
      <c r="CS2" s="1197" t="s">
        <v>1925</v>
      </c>
      <c r="CT2" s="1197" t="s">
        <v>1926</v>
      </c>
      <c r="CU2" s="1197" t="s">
        <v>1927</v>
      </c>
      <c r="CV2" s="2592"/>
      <c r="CW2" s="1197" t="s">
        <v>1925</v>
      </c>
      <c r="CX2" s="1197" t="s">
        <v>1926</v>
      </c>
      <c r="CY2" s="1197" t="s">
        <v>1927</v>
      </c>
      <c r="CZ2" s="2592"/>
      <c r="DA2" s="2576" t="s">
        <v>1925</v>
      </c>
      <c r="DB2" s="2576" t="s">
        <v>1926</v>
      </c>
      <c r="DC2" s="2576" t="s">
        <v>1927</v>
      </c>
      <c r="DD2" s="563" t="s">
        <v>373</v>
      </c>
    </row>
    <row r="3" spans="1:108" s="2606" customFormat="1">
      <c r="A3" s="95" t="s">
        <v>1929</v>
      </c>
      <c r="B3" s="95" t="s">
        <v>1930</v>
      </c>
      <c r="C3" s="2243" t="s">
        <v>125</v>
      </c>
      <c r="D3" s="2612"/>
      <c r="E3" s="2563"/>
      <c r="F3" s="3229" t="s">
        <v>2268</v>
      </c>
      <c r="G3" s="3230"/>
      <c r="H3" s="3230"/>
      <c r="I3" s="3234"/>
      <c r="J3" s="2563"/>
      <c r="K3" s="2243"/>
      <c r="L3" s="2243"/>
      <c r="M3" s="2243"/>
      <c r="N3" s="2243"/>
      <c r="O3" s="2243"/>
      <c r="P3" s="2585" t="s">
        <v>1932</v>
      </c>
      <c r="Q3" s="2587"/>
      <c r="R3" s="2587"/>
      <c r="S3" s="2563"/>
      <c r="T3" s="2582" t="s">
        <v>2269</v>
      </c>
      <c r="U3" s="446"/>
      <c r="V3" s="446"/>
      <c r="W3" s="2563"/>
      <c r="X3" s="2797" t="s">
        <v>1941</v>
      </c>
      <c r="Y3" s="2797" t="s">
        <v>1110</v>
      </c>
      <c r="Z3" s="2563"/>
      <c r="AA3" s="2798" t="s">
        <v>1941</v>
      </c>
      <c r="AB3" s="2798" t="s">
        <v>1110</v>
      </c>
      <c r="AC3" s="2563"/>
      <c r="AD3" s="2582" t="s">
        <v>1943</v>
      </c>
      <c r="AE3" s="446"/>
      <c r="AF3" s="446"/>
      <c r="AG3" s="2563"/>
      <c r="AH3" s="2564" t="s">
        <v>2270</v>
      </c>
      <c r="AI3" s="2598"/>
      <c r="AJ3" s="2598"/>
      <c r="AK3" s="3235"/>
      <c r="AL3" s="2563"/>
      <c r="AM3" s="2600" t="s">
        <v>1928</v>
      </c>
      <c r="AN3" s="2597"/>
      <c r="AO3" s="2597"/>
      <c r="AP3" s="2563"/>
      <c r="AQ3" s="2564" t="s">
        <v>1996</v>
      </c>
      <c r="AR3" s="2743"/>
      <c r="AS3" s="2743"/>
      <c r="AT3" s="3235"/>
      <c r="AU3" s="2563"/>
      <c r="AV3" s="2577" t="s">
        <v>1933</v>
      </c>
      <c r="AW3" s="2595"/>
      <c r="AX3" s="2595"/>
      <c r="AY3" s="3234"/>
      <c r="AZ3" s="2563"/>
      <c r="BA3" s="2577" t="s">
        <v>1944</v>
      </c>
      <c r="BB3" s="2595"/>
      <c r="BC3" s="2595"/>
      <c r="BD3" s="2595"/>
      <c r="BE3" s="2563"/>
      <c r="BF3" s="2243"/>
      <c r="BG3" s="2243"/>
      <c r="BH3" s="2243"/>
      <c r="BI3" s="2243"/>
      <c r="BJ3" s="2243"/>
      <c r="BK3" s="2243" t="s">
        <v>1937</v>
      </c>
      <c r="BL3" s="2243"/>
      <c r="BM3" s="2243"/>
      <c r="BN3" s="2563"/>
      <c r="BO3" s="2243"/>
      <c r="BP3" s="2243"/>
      <c r="BQ3" s="2243"/>
      <c r="BR3" s="2243"/>
      <c r="BS3" s="2243"/>
      <c r="BT3" s="2243"/>
      <c r="BU3" s="2564" t="s">
        <v>95</v>
      </c>
      <c r="BV3" s="2743"/>
      <c r="BW3" s="2743"/>
      <c r="BX3" s="2743"/>
      <c r="BY3" s="2563"/>
      <c r="BZ3" s="2243" t="s">
        <v>1982</v>
      </c>
      <c r="CA3" s="2243"/>
      <c r="CB3" s="2243"/>
      <c r="CC3" s="2563"/>
      <c r="CD3" s="2564" t="s">
        <v>1992</v>
      </c>
      <c r="CE3" s="2743"/>
      <c r="CF3" s="2743"/>
      <c r="CG3" s="2743"/>
      <c r="CH3" s="2563"/>
      <c r="CI3" s="2243" t="s">
        <v>2271</v>
      </c>
      <c r="CJ3" s="2243"/>
      <c r="CK3" s="2243"/>
      <c r="CL3" s="2563"/>
      <c r="CM3" s="2564" t="s">
        <v>1267</v>
      </c>
      <c r="CN3" s="2743"/>
      <c r="CO3" s="2743"/>
      <c r="CP3" s="2743"/>
      <c r="CQ3" s="2563"/>
      <c r="CR3" s="2563"/>
      <c r="CS3" s="2243" t="s">
        <v>1991</v>
      </c>
      <c r="CT3" s="2243"/>
      <c r="CU3" s="2243"/>
      <c r="CV3" s="2563"/>
      <c r="CW3" s="2243" t="s">
        <v>2266</v>
      </c>
      <c r="CX3" s="2243"/>
      <c r="CY3" s="2243"/>
      <c r="CZ3" s="2563"/>
      <c r="DA3" s="2577" t="s">
        <v>2267</v>
      </c>
      <c r="DB3" s="2595"/>
      <c r="DC3" s="2595"/>
      <c r="DD3" s="2595"/>
    </row>
    <row r="4" spans="1:108" ht="3.75" customHeight="1">
      <c r="B4" s="2648"/>
      <c r="F4" s="2622"/>
      <c r="G4" s="2622"/>
      <c r="H4" s="2622"/>
      <c r="Q4" s="2620"/>
      <c r="R4" s="2620"/>
      <c r="T4" s="2618"/>
      <c r="X4" s="2616"/>
      <c r="AA4" s="2623"/>
      <c r="AD4" s="2618"/>
      <c r="AH4" s="2622"/>
      <c r="AI4" s="2622"/>
      <c r="AJ4" s="2622"/>
      <c r="AQ4" s="2625"/>
      <c r="AR4" s="2625"/>
      <c r="AS4" s="2625"/>
      <c r="AT4" s="2629"/>
      <c r="AV4" s="2625"/>
      <c r="AW4" s="2625"/>
      <c r="AX4" s="2625"/>
      <c r="AY4" s="2629"/>
      <c r="BO4" s="2803"/>
      <c r="BP4" s="2803"/>
      <c r="BQ4" s="2803"/>
      <c r="BR4" s="2803"/>
      <c r="BS4" s="2803"/>
      <c r="BT4" s="2803"/>
      <c r="BU4" s="2626"/>
      <c r="BV4" s="2626"/>
      <c r="BW4" s="2626"/>
      <c r="BX4" s="2561"/>
      <c r="CD4" s="2626"/>
      <c r="CE4" s="2626"/>
      <c r="CF4" s="2626"/>
      <c r="CG4" s="2561"/>
      <c r="CM4" s="2626"/>
      <c r="CN4" s="2626"/>
      <c r="CO4" s="2626"/>
      <c r="CP4" s="2561"/>
    </row>
    <row r="5" spans="1:108">
      <c r="A5" s="4"/>
      <c r="B5" s="4"/>
      <c r="C5" s="2559"/>
      <c r="D5" s="2613"/>
      <c r="E5" s="2563"/>
      <c r="F5" s="2568"/>
      <c r="G5" s="2568"/>
      <c r="H5" s="2568"/>
      <c r="I5" s="2565"/>
      <c r="J5" s="2563"/>
      <c r="K5" s="4"/>
      <c r="L5" s="4"/>
      <c r="M5" s="4"/>
      <c r="N5" s="4"/>
      <c r="O5" s="4"/>
      <c r="P5" s="2583"/>
      <c r="Q5" s="2583"/>
      <c r="R5" s="2583"/>
      <c r="S5" s="2563"/>
      <c r="T5" s="4"/>
      <c r="U5" s="4"/>
      <c r="V5" s="4"/>
      <c r="W5" s="2563"/>
      <c r="X5" s="2588"/>
      <c r="Y5" s="4"/>
      <c r="Z5" s="2563"/>
      <c r="AA5" s="2589"/>
      <c r="AB5" s="2583"/>
      <c r="AC5" s="2563"/>
      <c r="AD5" s="4"/>
      <c r="AE5" s="4"/>
      <c r="AF5" s="4"/>
      <c r="AG5" s="2563"/>
      <c r="AH5" s="2568"/>
      <c r="AI5" s="2568"/>
      <c r="AJ5" s="2568"/>
      <c r="AK5" s="2565"/>
      <c r="AL5" s="2563"/>
      <c r="AM5" s="2583"/>
      <c r="AN5" s="2583"/>
      <c r="AO5" s="2583"/>
      <c r="AP5" s="2563"/>
      <c r="AQ5" s="2566"/>
      <c r="AR5" s="2566"/>
      <c r="AS5" s="2566"/>
      <c r="AT5" s="15"/>
      <c r="AU5" s="2563"/>
      <c r="AV5" s="2566"/>
      <c r="AW5" s="2566"/>
      <c r="AX5" s="2566"/>
      <c r="AY5" s="15"/>
      <c r="AZ5" s="2563"/>
      <c r="BA5" s="2565"/>
      <c r="BB5" s="2565"/>
      <c r="BC5" s="2565"/>
      <c r="BD5" s="2565"/>
      <c r="BE5" s="2563"/>
      <c r="BF5" s="4"/>
      <c r="BG5" s="4"/>
      <c r="BH5" s="4"/>
      <c r="BI5" s="4"/>
      <c r="BJ5" s="4"/>
      <c r="BK5" s="4"/>
      <c r="BL5" s="4"/>
      <c r="BM5" s="4"/>
      <c r="BN5" s="2563"/>
      <c r="BO5" s="2799"/>
      <c r="BP5" s="2799"/>
      <c r="BQ5" s="2799"/>
      <c r="BR5" s="2799"/>
      <c r="BS5" s="2799"/>
      <c r="BT5" s="2799"/>
      <c r="BU5" s="2657"/>
      <c r="BV5" s="2657"/>
      <c r="BW5" s="2657"/>
      <c r="BX5" s="2657"/>
      <c r="BY5" s="2563"/>
      <c r="BZ5" s="4"/>
      <c r="CA5" s="4"/>
      <c r="CB5" s="4"/>
      <c r="CC5" s="2563"/>
      <c r="CD5" s="2854"/>
      <c r="CE5" s="2854"/>
      <c r="CF5" s="2854"/>
      <c r="CG5" s="2854"/>
      <c r="CH5" s="2563"/>
      <c r="CI5" s="95"/>
      <c r="CJ5" s="95"/>
      <c r="CK5" s="95"/>
      <c r="CL5" s="2563"/>
      <c r="CM5" s="2854"/>
      <c r="CN5" s="2854"/>
      <c r="CO5" s="2854"/>
      <c r="CP5" s="2854"/>
      <c r="CQ5" s="2563"/>
      <c r="CR5" s="2563"/>
      <c r="CS5" s="4"/>
      <c r="CT5" s="4"/>
      <c r="CU5" s="4"/>
      <c r="CV5" s="2563"/>
      <c r="CW5" s="4"/>
      <c r="CX5" s="4"/>
      <c r="CY5" s="4"/>
      <c r="CZ5" s="2563"/>
      <c r="DA5" s="2841"/>
      <c r="DB5" s="2841"/>
      <c r="DC5" s="2841"/>
      <c r="DD5" s="2841"/>
    </row>
    <row r="6" spans="1:108">
      <c r="A6" s="2642" t="s">
        <v>1948</v>
      </c>
      <c r="B6" s="5">
        <v>41768</v>
      </c>
      <c r="C6" s="4" t="s">
        <v>37</v>
      </c>
      <c r="D6" s="441">
        <v>0</v>
      </c>
      <c r="F6" s="2573">
        <v>5.9</v>
      </c>
      <c r="G6" s="2573">
        <v>6.1</v>
      </c>
      <c r="H6" s="2573">
        <v>6.1</v>
      </c>
      <c r="I6" s="2574">
        <f>AVERAGE(F6:H6)</f>
        <v>6.0333333333333341</v>
      </c>
      <c r="K6" s="449"/>
      <c r="L6" s="449"/>
      <c r="M6" s="449"/>
      <c r="N6" s="449"/>
      <c r="O6" s="2806"/>
      <c r="P6" s="2605">
        <v>1641</v>
      </c>
      <c r="Q6" s="2605">
        <v>1608</v>
      </c>
      <c r="R6" s="2605">
        <v>1624</v>
      </c>
      <c r="T6" s="449">
        <f t="shared" ref="T6:V8" si="0">F6*P6</f>
        <v>9681.9000000000015</v>
      </c>
      <c r="U6" s="449">
        <f t="shared" si="0"/>
        <v>9808.7999999999993</v>
      </c>
      <c r="V6" s="449">
        <f t="shared" si="0"/>
        <v>9906.4</v>
      </c>
      <c r="X6" s="2603">
        <v>22.63</v>
      </c>
      <c r="Y6" s="2604">
        <v>7615.1</v>
      </c>
      <c r="AA6" s="2590">
        <v>22</v>
      </c>
      <c r="AB6" s="2591">
        <f>Y6/X6*AA6</f>
        <v>7403.1020768890867</v>
      </c>
      <c r="AD6" s="449">
        <f t="shared" ref="AD6:AF8" si="1">T6-$Y6+$AB6</f>
        <v>9469.9020768890878</v>
      </c>
      <c r="AE6" s="449">
        <f t="shared" si="1"/>
        <v>9596.8020768890856</v>
      </c>
      <c r="AF6" s="449">
        <f t="shared" si="1"/>
        <v>9694.4020768890859</v>
      </c>
      <c r="AH6" s="2570">
        <f t="shared" ref="AH6:AJ8" si="2">AD6/P6</f>
        <v>5.7708117470378353</v>
      </c>
      <c r="AI6" s="2570">
        <f t="shared" si="2"/>
        <v>5.9681604955777896</v>
      </c>
      <c r="AJ6" s="2570">
        <f t="shared" si="2"/>
        <v>5.9694594069514073</v>
      </c>
      <c r="AK6" s="2574">
        <f>AVERAGE(AH6:AJ6)</f>
        <v>5.9028105498556771</v>
      </c>
      <c r="AM6" s="2605">
        <v>3079</v>
      </c>
      <c r="AN6" s="2605">
        <v>3057</v>
      </c>
      <c r="AO6" s="2605">
        <v>3021</v>
      </c>
      <c r="AQ6" s="15">
        <f t="shared" ref="AQ6:AS8" si="3">AM6/P6</f>
        <v>1.8762949421084705</v>
      </c>
      <c r="AR6" s="15">
        <f t="shared" si="3"/>
        <v>1.9011194029850746</v>
      </c>
      <c r="AS6" s="15">
        <f t="shared" si="3"/>
        <v>1.8602216748768472</v>
      </c>
      <c r="AT6" s="2628">
        <f>AVERAGE(AQ6:AS6)</f>
        <v>1.8792120066567974</v>
      </c>
      <c r="AV6" s="15">
        <f t="shared" ref="AV6:AX8" si="4">P6/AM6</f>
        <v>0.53296524845729132</v>
      </c>
      <c r="AW6" s="15">
        <f t="shared" si="4"/>
        <v>0.52600588812561333</v>
      </c>
      <c r="AX6" s="15">
        <f t="shared" si="4"/>
        <v>0.53757034094670642</v>
      </c>
      <c r="AY6" s="2628">
        <f>AVERAGE(AV6:AX6)</f>
        <v>0.53218049250987043</v>
      </c>
      <c r="BA6" s="15">
        <f>AM6/$AB6</f>
        <v>0.41590673315338778</v>
      </c>
      <c r="BB6" s="15">
        <f t="shared" ref="BA6:BC8" si="5">AN6/$AB6</f>
        <v>0.41293500592721871</v>
      </c>
      <c r="BC6" s="15">
        <f t="shared" si="5"/>
        <v>0.40807217955712388</v>
      </c>
      <c r="BD6" s="2567">
        <f>AVERAGE(BA6:BC6)</f>
        <v>0.41230463954591007</v>
      </c>
      <c r="BF6" s="449"/>
      <c r="BG6" s="449"/>
      <c r="BH6" s="449"/>
      <c r="BI6" s="449"/>
      <c r="BJ6" s="2806"/>
      <c r="BK6" s="2604">
        <v>1876</v>
      </c>
      <c r="BL6" s="2604">
        <v>1988</v>
      </c>
      <c r="BM6" s="2604">
        <v>2081</v>
      </c>
      <c r="BO6" s="2801"/>
      <c r="BP6" s="2801"/>
      <c r="BQ6" s="2801"/>
      <c r="BR6" s="2801"/>
      <c r="BS6" s="2801"/>
      <c r="BT6" s="2801"/>
      <c r="BU6" s="15">
        <f t="shared" ref="BU6:BW8" si="6">BK6/P6</f>
        <v>1.1432053625837904</v>
      </c>
      <c r="BV6" s="15">
        <f t="shared" si="6"/>
        <v>1.236318407960199</v>
      </c>
      <c r="BW6" s="15">
        <f t="shared" si="6"/>
        <v>1.2814039408866995</v>
      </c>
      <c r="BX6" s="2567">
        <f>AVERAGE(BU6:BW6)</f>
        <v>1.2203092371435629</v>
      </c>
      <c r="BZ6" s="2604">
        <v>390</v>
      </c>
      <c r="CA6" s="2604">
        <v>428</v>
      </c>
      <c r="CB6" s="2604">
        <v>485</v>
      </c>
      <c r="CD6" s="15">
        <f t="shared" ref="CD6:CF7" si="7">BZ6/P6</f>
        <v>0.23765996343692869</v>
      </c>
      <c r="CE6" s="15">
        <f t="shared" si="7"/>
        <v>0.26616915422885573</v>
      </c>
      <c r="CF6" s="15">
        <f t="shared" si="7"/>
        <v>0.29864532019704432</v>
      </c>
      <c r="CG6" s="2567">
        <f>AVERAGE(CD6:CF6)</f>
        <v>0.26749147928760958</v>
      </c>
      <c r="CI6" s="449">
        <f t="shared" ref="CI6:CK7" si="8">BK6+BZ6</f>
        <v>2266</v>
      </c>
      <c r="CJ6" s="449">
        <f t="shared" si="8"/>
        <v>2416</v>
      </c>
      <c r="CK6" s="449">
        <f t="shared" si="8"/>
        <v>2566</v>
      </c>
      <c r="CM6" s="15">
        <f t="shared" ref="CM6:CO7" si="9">CI6/P6</f>
        <v>1.3808653260207191</v>
      </c>
      <c r="CN6" s="15">
        <f t="shared" si="9"/>
        <v>1.5024875621890548</v>
      </c>
      <c r="CO6" s="15">
        <f t="shared" si="9"/>
        <v>1.5800492610837438</v>
      </c>
      <c r="CP6" s="2567">
        <f>AVERAGE(CM6:CO6)</f>
        <v>1.4878007164311724</v>
      </c>
      <c r="CS6" s="2604">
        <v>153</v>
      </c>
      <c r="CT6" s="2604">
        <v>147</v>
      </c>
      <c r="CU6" s="2604">
        <v>152</v>
      </c>
      <c r="CW6" s="2604">
        <v>700</v>
      </c>
      <c r="CX6" s="2604">
        <v>635</v>
      </c>
      <c r="CY6" s="2604">
        <v>628</v>
      </c>
      <c r="DA6" s="10">
        <f t="shared" ref="DA6:DC8" si="10">CS6/CW6</f>
        <v>0.21857142857142858</v>
      </c>
      <c r="DB6" s="10">
        <f t="shared" si="10"/>
        <v>0.23149606299212599</v>
      </c>
      <c r="DC6" s="10">
        <f t="shared" si="10"/>
        <v>0.24203821656050956</v>
      </c>
      <c r="DD6" s="2843">
        <f>AVERAGE(DA6:DC6)</f>
        <v>0.23070190270802138</v>
      </c>
    </row>
    <row r="7" spans="1:108">
      <c r="A7" s="4" t="s">
        <v>1931</v>
      </c>
      <c r="B7" s="5">
        <v>41752</v>
      </c>
      <c r="C7" s="4" t="s">
        <v>37</v>
      </c>
      <c r="D7" s="441">
        <v>0</v>
      </c>
      <c r="F7" s="2573">
        <v>5.3</v>
      </c>
      <c r="G7" s="2573">
        <v>5.2</v>
      </c>
      <c r="H7" s="2573">
        <v>5.0999999999999996</v>
      </c>
      <c r="I7" s="2574">
        <f>AVERAGE(F7:H7)</f>
        <v>5.2</v>
      </c>
      <c r="K7" s="449"/>
      <c r="L7" s="449"/>
      <c r="M7" s="449"/>
      <c r="N7" s="449"/>
      <c r="O7" s="2806"/>
      <c r="P7" s="2605">
        <v>1660.8</v>
      </c>
      <c r="Q7" s="2605">
        <v>1684.4</v>
      </c>
      <c r="R7" s="2605">
        <v>1708.5</v>
      </c>
      <c r="T7" s="449">
        <f t="shared" si="0"/>
        <v>8802.24</v>
      </c>
      <c r="U7" s="449">
        <f t="shared" si="0"/>
        <v>8758.880000000001</v>
      </c>
      <c r="V7" s="449">
        <f t="shared" si="0"/>
        <v>8713.3499999999985</v>
      </c>
      <c r="X7" s="2603">
        <v>22.5</v>
      </c>
      <c r="Y7" s="2604">
        <v>7170.6</v>
      </c>
      <c r="AA7" s="2590">
        <v>22</v>
      </c>
      <c r="AB7" s="2643">
        <v>7156</v>
      </c>
      <c r="AD7" s="449">
        <f t="shared" si="1"/>
        <v>8787.64</v>
      </c>
      <c r="AE7" s="449">
        <f t="shared" si="1"/>
        <v>8744.2800000000007</v>
      </c>
      <c r="AF7" s="449">
        <f t="shared" si="1"/>
        <v>8698.7499999999982</v>
      </c>
      <c r="AH7" s="2570">
        <f t="shared" si="2"/>
        <v>5.2912090558766858</v>
      </c>
      <c r="AI7" s="2570">
        <f t="shared" si="2"/>
        <v>5.1913322251246736</v>
      </c>
      <c r="AJ7" s="2570">
        <f t="shared" si="2"/>
        <v>5.0914544922446581</v>
      </c>
      <c r="AK7" s="2574">
        <f>AVERAGE(AH7:AJ7)</f>
        <v>5.1913319244153397</v>
      </c>
      <c r="AM7" s="2605">
        <v>2931.4</v>
      </c>
      <c r="AN7" s="2605">
        <v>3019.9</v>
      </c>
      <c r="AO7" s="2605">
        <v>3117.5</v>
      </c>
      <c r="AQ7" s="15">
        <f t="shared" si="3"/>
        <v>1.7650529865125242</v>
      </c>
      <c r="AR7" s="15">
        <f t="shared" si="3"/>
        <v>1.7928639278081215</v>
      </c>
      <c r="AS7" s="15">
        <f t="shared" si="3"/>
        <v>1.8247000292654376</v>
      </c>
      <c r="AT7" s="2628">
        <f>AVERAGE(AQ7:AS7)</f>
        <v>1.7942056478620276</v>
      </c>
      <c r="AV7" s="15">
        <f t="shared" si="4"/>
        <v>0.56655522958313431</v>
      </c>
      <c r="AW7" s="15">
        <f t="shared" si="4"/>
        <v>0.55776681347064472</v>
      </c>
      <c r="AX7" s="15">
        <f t="shared" si="4"/>
        <v>0.54803528468323981</v>
      </c>
      <c r="AY7" s="2628">
        <f>AVERAGE(AV7:AX7)</f>
        <v>0.55745244257900628</v>
      </c>
      <c r="BA7" s="15">
        <f t="shared" si="5"/>
        <v>0.40964225824482953</v>
      </c>
      <c r="BB7" s="15">
        <f t="shared" si="5"/>
        <v>0.42200950251537173</v>
      </c>
      <c r="BC7" s="15">
        <f t="shared" si="5"/>
        <v>0.43564840693124651</v>
      </c>
      <c r="BD7" s="2567">
        <f>AVERAGE(BA7:BC7)</f>
        <v>0.42243338923048257</v>
      </c>
      <c r="BF7" s="449"/>
      <c r="BG7" s="449"/>
      <c r="BH7" s="449"/>
      <c r="BI7" s="449"/>
      <c r="BJ7" s="2806"/>
      <c r="BK7" s="2604">
        <v>1634.7</v>
      </c>
      <c r="BL7" s="2604">
        <v>1603.9</v>
      </c>
      <c r="BM7" s="2604">
        <v>1543.2</v>
      </c>
      <c r="BO7" s="2801"/>
      <c r="BP7" s="2801"/>
      <c r="BQ7" s="2801"/>
      <c r="BR7" s="2801"/>
      <c r="BS7" s="2801"/>
      <c r="BT7" s="2801"/>
      <c r="BU7" s="15">
        <f t="shared" si="6"/>
        <v>0.9842846820809249</v>
      </c>
      <c r="BV7" s="15">
        <f t="shared" si="6"/>
        <v>0.95220850154357639</v>
      </c>
      <c r="BW7" s="15">
        <f t="shared" si="6"/>
        <v>0.90324846356453037</v>
      </c>
      <c r="BX7" s="2567">
        <f>AVERAGE(BU7:BW7)</f>
        <v>0.94658054906301059</v>
      </c>
      <c r="BZ7" s="2604">
        <v>316.60000000000002</v>
      </c>
      <c r="CA7" s="2604">
        <v>347.4</v>
      </c>
      <c r="CB7" s="2604">
        <v>356</v>
      </c>
      <c r="CD7" s="15">
        <f t="shared" si="7"/>
        <v>0.19063102119460504</v>
      </c>
      <c r="CE7" s="15">
        <f t="shared" si="7"/>
        <v>0.20624554737592019</v>
      </c>
      <c r="CF7" s="15">
        <f t="shared" si="7"/>
        <v>0.2083699151302312</v>
      </c>
      <c r="CG7" s="2567">
        <f>AVERAGE(CD7:CF7)</f>
        <v>0.20174882790025214</v>
      </c>
      <c r="CI7" s="449">
        <f t="shared" si="8"/>
        <v>1951.3000000000002</v>
      </c>
      <c r="CJ7" s="449">
        <f t="shared" si="8"/>
        <v>1951.3000000000002</v>
      </c>
      <c r="CK7" s="449">
        <f t="shared" si="8"/>
        <v>1899.2</v>
      </c>
      <c r="CM7" s="15">
        <f t="shared" si="9"/>
        <v>1.17491570327553</v>
      </c>
      <c r="CN7" s="15">
        <f t="shared" si="9"/>
        <v>1.1584540489194965</v>
      </c>
      <c r="CO7" s="15">
        <f t="shared" si="9"/>
        <v>1.1116183786947615</v>
      </c>
      <c r="CP7" s="2567">
        <f>AVERAGE(CM7:CO7)</f>
        <v>1.1483293769632628</v>
      </c>
      <c r="CS7" s="2604">
        <v>152.6</v>
      </c>
      <c r="CT7" s="2604">
        <v>153.4</v>
      </c>
      <c r="CU7" s="2604">
        <v>155.80000000000001</v>
      </c>
      <c r="CW7" s="2604">
        <v>736.2</v>
      </c>
      <c r="CX7" s="2604">
        <v>740</v>
      </c>
      <c r="CY7" s="2604">
        <v>751.5</v>
      </c>
      <c r="DA7" s="10">
        <f t="shared" si="10"/>
        <v>0.20728063026351534</v>
      </c>
      <c r="DB7" s="10">
        <f t="shared" si="10"/>
        <v>0.20729729729729732</v>
      </c>
      <c r="DC7" s="10">
        <f t="shared" si="10"/>
        <v>0.20731869594145044</v>
      </c>
      <c r="DD7" s="2843">
        <f>AVERAGE(DA7:DC7)</f>
        <v>0.20729887450075438</v>
      </c>
    </row>
    <row r="8" spans="1:108">
      <c r="A8" s="4" t="s">
        <v>1936</v>
      </c>
      <c r="B8" s="5">
        <v>41771</v>
      </c>
      <c r="C8" s="4" t="s">
        <v>37</v>
      </c>
      <c r="D8" s="441">
        <v>-1</v>
      </c>
      <c r="F8" s="2573">
        <v>6</v>
      </c>
      <c r="G8" s="2573">
        <v>6</v>
      </c>
      <c r="H8" s="2573">
        <v>6.3</v>
      </c>
      <c r="I8" s="2574">
        <f>AVERAGE(F8:H8)</f>
        <v>6.1000000000000005</v>
      </c>
      <c r="K8" s="449"/>
      <c r="L8" s="449"/>
      <c r="M8" s="449"/>
      <c r="N8" s="449"/>
      <c r="O8" s="2806"/>
      <c r="P8" s="2605">
        <v>1630</v>
      </c>
      <c r="Q8" s="2605">
        <v>1588</v>
      </c>
      <c r="R8" s="2605">
        <v>1585</v>
      </c>
      <c r="T8" s="449">
        <f t="shared" si="0"/>
        <v>9780</v>
      </c>
      <c r="U8" s="449">
        <f t="shared" si="0"/>
        <v>9528</v>
      </c>
      <c r="V8" s="449">
        <f t="shared" si="0"/>
        <v>9985.5</v>
      </c>
      <c r="X8" s="2603">
        <v>22.63</v>
      </c>
      <c r="Y8" s="2604">
        <v>7214</v>
      </c>
      <c r="AA8" s="2590">
        <f>X8*19/22.63</f>
        <v>19</v>
      </c>
      <c r="AB8" s="2591">
        <f>Y8/X8*AA8</f>
        <v>6056.8272205037565</v>
      </c>
      <c r="AD8" s="449">
        <f t="shared" si="1"/>
        <v>8622.8272205037574</v>
      </c>
      <c r="AE8" s="449">
        <f t="shared" si="1"/>
        <v>8370.8272205037574</v>
      </c>
      <c r="AF8" s="449">
        <f t="shared" si="1"/>
        <v>8828.3272205037574</v>
      </c>
      <c r="AH8" s="2570">
        <f t="shared" si="2"/>
        <v>5.290078049388808</v>
      </c>
      <c r="AI8" s="2570">
        <f t="shared" si="2"/>
        <v>5.2713017761358678</v>
      </c>
      <c r="AJ8" s="2570">
        <f t="shared" si="2"/>
        <v>5.5699225365954304</v>
      </c>
      <c r="AK8" s="2574">
        <f>AVERAGE(AH8:AJ8)</f>
        <v>5.3771007873733687</v>
      </c>
      <c r="AM8" s="2605">
        <v>2803</v>
      </c>
      <c r="AN8" s="2605">
        <v>2751</v>
      </c>
      <c r="AO8" s="2605">
        <v>2695</v>
      </c>
      <c r="AQ8" s="15">
        <f t="shared" si="3"/>
        <v>1.7196319018404909</v>
      </c>
      <c r="AR8" s="15">
        <f t="shared" si="3"/>
        <v>1.7323677581863979</v>
      </c>
      <c r="AS8" s="15">
        <f t="shared" si="3"/>
        <v>1.7003154574132493</v>
      </c>
      <c r="AT8" s="2628">
        <f>AVERAGE(AQ8:AS8)</f>
        <v>1.7174383724800462</v>
      </c>
      <c r="AV8" s="15">
        <f t="shared" si="4"/>
        <v>0.58151980021405636</v>
      </c>
      <c r="AW8" s="15">
        <f t="shared" si="4"/>
        <v>0.57724463831334061</v>
      </c>
      <c r="AX8" s="15">
        <f t="shared" si="4"/>
        <v>0.58812615955473102</v>
      </c>
      <c r="AY8" s="2628">
        <f>AVERAGE(AV8:AX8)</f>
        <v>0.58229686602737596</v>
      </c>
      <c r="BA8" s="15">
        <f t="shared" si="5"/>
        <v>0.46278354953088291</v>
      </c>
      <c r="BB8" s="15">
        <f t="shared" si="5"/>
        <v>0.4541981964892825</v>
      </c>
      <c r="BC8" s="15">
        <f t="shared" si="5"/>
        <v>0.44495243167525128</v>
      </c>
      <c r="BD8" s="2567">
        <f>AVERAGE(BA8:BC8)</f>
        <v>0.45397805923180562</v>
      </c>
      <c r="BF8" s="449"/>
      <c r="BG8" s="449"/>
      <c r="BH8" s="449"/>
      <c r="BI8" s="449"/>
      <c r="BJ8" s="2806"/>
      <c r="BK8" s="2604">
        <v>2547</v>
      </c>
      <c r="BL8" s="2604">
        <v>2618</v>
      </c>
      <c r="BM8" s="2604">
        <v>2695</v>
      </c>
      <c r="BO8" s="2801"/>
      <c r="BP8" s="2801"/>
      <c r="BQ8" s="2801"/>
      <c r="BR8" s="2801"/>
      <c r="BS8" s="2801"/>
      <c r="BT8" s="2801"/>
      <c r="BU8" s="15">
        <f t="shared" si="6"/>
        <v>1.5625766871165645</v>
      </c>
      <c r="BV8" s="15">
        <f t="shared" si="6"/>
        <v>1.6486146095717884</v>
      </c>
      <c r="BW8" s="15">
        <f t="shared" si="6"/>
        <v>1.7003154574132493</v>
      </c>
      <c r="BX8" s="2567">
        <f>AVERAGE(BU8:BW8)</f>
        <v>1.6371689180338673</v>
      </c>
      <c r="BZ8" s="2856"/>
      <c r="CA8" s="2856"/>
      <c r="CB8" s="2856"/>
      <c r="CD8" s="15"/>
      <c r="CE8" s="15"/>
      <c r="CF8" s="15"/>
      <c r="CG8" s="2567"/>
      <c r="CI8" s="449"/>
      <c r="CJ8" s="449"/>
      <c r="CK8" s="449"/>
      <c r="CM8" s="15"/>
      <c r="CN8" s="15"/>
      <c r="CO8" s="15"/>
      <c r="CP8" s="2567"/>
      <c r="CS8" s="2604">
        <v>165</v>
      </c>
      <c r="CT8" s="2604">
        <v>155</v>
      </c>
      <c r="CU8" s="2604">
        <v>153</v>
      </c>
      <c r="CW8" s="2604">
        <f>809-136</f>
        <v>673</v>
      </c>
      <c r="CX8" s="2604">
        <f>766-147</f>
        <v>619</v>
      </c>
      <c r="CY8" s="2604">
        <f>764-150</f>
        <v>614</v>
      </c>
      <c r="DA8" s="10">
        <f t="shared" si="10"/>
        <v>0.2451708766716196</v>
      </c>
      <c r="DB8" s="10">
        <f t="shared" si="10"/>
        <v>0.25040387722132473</v>
      </c>
      <c r="DC8" s="10">
        <f t="shared" si="10"/>
        <v>0.249185667752443</v>
      </c>
      <c r="DD8" s="2843">
        <f>AVERAGE(DA8:DC8)</f>
        <v>0.24825347388179578</v>
      </c>
    </row>
    <row r="9" spans="1:108">
      <c r="A9" s="4" t="s">
        <v>1945</v>
      </c>
      <c r="B9" s="5">
        <v>41765</v>
      </c>
      <c r="C9" s="4" t="s">
        <v>37</v>
      </c>
      <c r="D9" s="441">
        <v>0</v>
      </c>
      <c r="F9" s="2573">
        <v>5.7</v>
      </c>
      <c r="G9" s="2573">
        <v>5.8</v>
      </c>
      <c r="H9" s="2573"/>
      <c r="I9" s="2574">
        <f>AVERAGE(F9:H9)</f>
        <v>5.75</v>
      </c>
      <c r="K9" s="449"/>
      <c r="L9" s="449"/>
      <c r="M9" s="449"/>
      <c r="N9" s="449"/>
      <c r="O9" s="2806"/>
      <c r="P9" s="2605">
        <v>1645</v>
      </c>
      <c r="Q9" s="2605">
        <v>1632</v>
      </c>
      <c r="R9" s="2604"/>
      <c r="T9" s="449"/>
      <c r="U9" s="449"/>
      <c r="V9" s="449"/>
      <c r="X9" s="2603">
        <v>22.06</v>
      </c>
      <c r="Y9" s="165"/>
      <c r="AA9" s="2590">
        <v>20</v>
      </c>
      <c r="AB9" s="2591"/>
      <c r="AD9" s="449"/>
      <c r="AE9" s="449"/>
      <c r="AF9" s="449"/>
      <c r="AH9" s="2573">
        <v>5.3</v>
      </c>
      <c r="AI9" s="2573">
        <v>5.4</v>
      </c>
      <c r="AJ9" s="2570"/>
      <c r="AK9" s="2574">
        <f>AVERAGE(AH9:AJ9)</f>
        <v>5.35</v>
      </c>
      <c r="AM9" s="2605"/>
      <c r="AN9" s="2605"/>
      <c r="AO9" s="2605"/>
      <c r="AQ9" s="15"/>
      <c r="AR9" s="15"/>
      <c r="AS9" s="15"/>
      <c r="AT9" s="2628"/>
      <c r="AV9" s="15"/>
      <c r="AW9" s="15"/>
      <c r="AX9" s="15"/>
      <c r="AY9" s="2628"/>
      <c r="BA9" s="1238"/>
      <c r="BB9" s="1238"/>
      <c r="BC9" s="1238"/>
      <c r="BD9" s="2567"/>
      <c r="BF9" s="449"/>
      <c r="BG9" s="449"/>
      <c r="BH9" s="449"/>
      <c r="BI9" s="449"/>
      <c r="BJ9" s="2806"/>
      <c r="BK9" s="2604"/>
      <c r="BL9" s="2604"/>
      <c r="BM9" s="2604"/>
      <c r="BO9" s="2801"/>
      <c r="BP9" s="2801"/>
      <c r="BQ9" s="2801"/>
      <c r="BR9" s="2801"/>
      <c r="BS9" s="2801"/>
      <c r="BT9" s="2801"/>
      <c r="BU9" s="15"/>
      <c r="BV9" s="15"/>
      <c r="BW9" s="15"/>
      <c r="BX9" s="2567"/>
      <c r="BZ9" s="457"/>
      <c r="CA9" s="457"/>
      <c r="CB9" s="457"/>
      <c r="CD9" s="15"/>
      <c r="CE9" s="15"/>
      <c r="CF9" s="15"/>
      <c r="CG9" s="2567"/>
      <c r="CI9" s="449"/>
      <c r="CJ9" s="449"/>
      <c r="CK9" s="449"/>
      <c r="CM9" s="15"/>
      <c r="CN9" s="15"/>
      <c r="CO9" s="15"/>
      <c r="CP9" s="2567"/>
      <c r="CS9" s="2604"/>
      <c r="CT9" s="2604"/>
      <c r="CU9" s="2604"/>
      <c r="CW9" s="2604"/>
      <c r="CX9" s="2604"/>
      <c r="CY9" s="2604"/>
      <c r="DA9" s="1238"/>
      <c r="DB9" s="1238"/>
      <c r="DC9" s="1238"/>
      <c r="DD9" s="2567"/>
    </row>
    <row r="10" spans="1:108">
      <c r="A10" s="2794" t="s">
        <v>1965</v>
      </c>
      <c r="B10" s="5">
        <v>41712</v>
      </c>
      <c r="C10" s="4" t="s">
        <v>37</v>
      </c>
      <c r="D10" s="441">
        <v>-1</v>
      </c>
      <c r="F10" s="2570"/>
      <c r="G10" s="2570"/>
      <c r="H10" s="2570"/>
      <c r="I10" s="2574"/>
      <c r="K10" s="449"/>
      <c r="L10" s="449"/>
      <c r="M10" s="449"/>
      <c r="N10" s="449"/>
      <c r="O10" s="2806"/>
      <c r="P10" s="2605">
        <v>1601</v>
      </c>
      <c r="Q10" s="2605">
        <v>1513</v>
      </c>
      <c r="R10" s="2605">
        <v>1425</v>
      </c>
      <c r="T10" s="449"/>
      <c r="U10" s="449"/>
      <c r="V10" s="449"/>
      <c r="X10" s="2603">
        <v>21.8</v>
      </c>
      <c r="Y10" s="2604"/>
      <c r="AA10" s="2590">
        <v>17</v>
      </c>
      <c r="AB10" s="2591"/>
      <c r="AD10" s="449"/>
      <c r="AE10" s="449"/>
      <c r="AF10" s="449"/>
      <c r="AH10" s="2570"/>
      <c r="AI10" s="2570"/>
      <c r="AJ10" s="2570"/>
      <c r="AK10" s="2574"/>
      <c r="AM10" s="2605">
        <v>3009</v>
      </c>
      <c r="AN10" s="2605">
        <v>2957</v>
      </c>
      <c r="AO10" s="2605">
        <v>2821</v>
      </c>
      <c r="AQ10" s="15">
        <f>AM10/P10</f>
        <v>1.8794503435352905</v>
      </c>
      <c r="AR10" s="15">
        <f>AN10/Q10</f>
        <v>1.9543952412425645</v>
      </c>
      <c r="AS10" s="15">
        <f>AO10/R10</f>
        <v>1.9796491228070174</v>
      </c>
      <c r="AT10" s="2628">
        <f>AVERAGE(AQ10:AS10)</f>
        <v>1.9378315691949572</v>
      </c>
      <c r="AV10" s="15">
        <f>P10/AM10</f>
        <v>0.53207045530076436</v>
      </c>
      <c r="AW10" s="15">
        <f>Q10/AN10</f>
        <v>0.51166723030098071</v>
      </c>
      <c r="AX10" s="15">
        <f>R10/AO10</f>
        <v>0.50514002126905355</v>
      </c>
      <c r="AY10" s="2628">
        <f>AVERAGE(AV10:AX10)</f>
        <v>0.51629256895693287</v>
      </c>
      <c r="BA10" s="1238"/>
      <c r="BB10" s="1238"/>
      <c r="BC10" s="1238"/>
      <c r="BD10" s="2567"/>
      <c r="BF10" s="449"/>
      <c r="BG10" s="449"/>
      <c r="BH10" s="449"/>
      <c r="BI10" s="449"/>
      <c r="BJ10" s="2806"/>
      <c r="BK10" s="2604">
        <v>1947</v>
      </c>
      <c r="BL10" s="2604">
        <v>2020</v>
      </c>
      <c r="BM10" s="2604">
        <v>2176</v>
      </c>
      <c r="BO10" s="2801"/>
      <c r="BP10" s="2801"/>
      <c r="BQ10" s="2801"/>
      <c r="BR10" s="2801"/>
      <c r="BS10" s="2801"/>
      <c r="BT10" s="2801"/>
      <c r="BU10" s="15">
        <f>BK10/P10</f>
        <v>1.2161149281698937</v>
      </c>
      <c r="BV10" s="15">
        <f>BL10/Q10</f>
        <v>1.3350958360872438</v>
      </c>
      <c r="BW10" s="15">
        <f>BM10/R10</f>
        <v>1.5270175438596492</v>
      </c>
      <c r="BX10" s="2567">
        <f>AVERAGE(BU10:BW10)</f>
        <v>1.3594094360389288</v>
      </c>
      <c r="BZ10" s="2604">
        <v>419</v>
      </c>
      <c r="CA10" s="2604">
        <v>446</v>
      </c>
      <c r="CB10" s="2604">
        <v>290</v>
      </c>
      <c r="CD10" s="15">
        <f>BZ10/P10</f>
        <v>0.26171143035602751</v>
      </c>
      <c r="CE10" s="15">
        <f>CA10/Q10</f>
        <v>0.29477858559153997</v>
      </c>
      <c r="CF10" s="15">
        <f>CB10/R10</f>
        <v>0.20350877192982456</v>
      </c>
      <c r="CG10" s="2567">
        <f>AVERAGE(CD10:CF10)</f>
        <v>0.25333292929246398</v>
      </c>
      <c r="CI10" s="449">
        <f>BK10+BZ10</f>
        <v>2366</v>
      </c>
      <c r="CJ10" s="449">
        <f>BL10+CA10</f>
        <v>2466</v>
      </c>
      <c r="CK10" s="449">
        <f>BM10+CB10</f>
        <v>2466</v>
      </c>
      <c r="CM10" s="15">
        <f>CI10/P10</f>
        <v>1.4778263585259213</v>
      </c>
      <c r="CN10" s="15">
        <f>CJ10/Q10</f>
        <v>1.6298744216787839</v>
      </c>
      <c r="CO10" s="15">
        <f>CK10/R10</f>
        <v>1.7305263157894737</v>
      </c>
      <c r="CP10" s="2567">
        <f>AVERAGE(CM10:CO10)</f>
        <v>1.6127423653313928</v>
      </c>
      <c r="CS10" s="2604">
        <v>158</v>
      </c>
      <c r="CT10" s="2604">
        <v>142</v>
      </c>
      <c r="CU10" s="2604">
        <v>122</v>
      </c>
      <c r="CW10" s="2604">
        <f>796-111</f>
        <v>685</v>
      </c>
      <c r="CX10" s="2604">
        <f>709-118</f>
        <v>591</v>
      </c>
      <c r="CY10" s="2604">
        <f>612-124</f>
        <v>488</v>
      </c>
      <c r="DA10" s="10">
        <f>CS10/CW10</f>
        <v>0.23065693430656933</v>
      </c>
      <c r="DB10" s="10">
        <f>CT10/CX10</f>
        <v>0.24027072758037224</v>
      </c>
      <c r="DC10" s="10">
        <f>CU10/CY10</f>
        <v>0.25</v>
      </c>
      <c r="DD10" s="2843">
        <f>AVERAGE(DA10:DC10)</f>
        <v>0.24030922062898052</v>
      </c>
    </row>
    <row r="11" spans="1:108">
      <c r="A11" s="2565"/>
      <c r="B11" s="5"/>
      <c r="C11" s="2565"/>
      <c r="D11" s="2614"/>
      <c r="F11" s="2569"/>
      <c r="G11" s="2569"/>
      <c r="H11" s="2569"/>
      <c r="I11" s="146"/>
      <c r="K11" s="4"/>
      <c r="L11" s="4"/>
      <c r="M11" s="4"/>
      <c r="N11" s="4"/>
      <c r="O11" s="4"/>
      <c r="P11" s="2583"/>
      <c r="Q11" s="2586"/>
      <c r="R11" s="2586"/>
      <c r="T11" s="165"/>
      <c r="U11" s="11"/>
      <c r="V11" s="11"/>
      <c r="X11" s="2588"/>
      <c r="Y11" s="4"/>
      <c r="AA11" s="2589"/>
      <c r="AB11" s="2583"/>
      <c r="AD11" s="165"/>
      <c r="AE11" s="11"/>
      <c r="AF11" s="11"/>
      <c r="AH11" s="2569"/>
      <c r="AI11" s="2569"/>
      <c r="AJ11" s="2569"/>
      <c r="AK11" s="146"/>
      <c r="AM11" s="2583"/>
      <c r="AN11" s="2583"/>
      <c r="AO11" s="2583"/>
      <c r="AQ11" s="15"/>
      <c r="AR11" s="15"/>
      <c r="AS11" s="15"/>
      <c r="AT11" s="2628"/>
      <c r="AV11" s="15"/>
      <c r="AW11" s="15"/>
      <c r="AX11" s="15"/>
      <c r="AY11" s="2628"/>
      <c r="BA11" s="2565"/>
      <c r="BB11" s="2565"/>
      <c r="BC11" s="2565"/>
      <c r="BD11" s="2565"/>
      <c r="BF11" s="4"/>
      <c r="BG11" s="4"/>
      <c r="BH11" s="4"/>
      <c r="BI11" s="4"/>
      <c r="BJ11" s="4"/>
      <c r="BK11" s="4"/>
      <c r="BL11" s="4"/>
      <c r="BM11" s="4"/>
      <c r="BO11" s="2802"/>
      <c r="BP11" s="2802"/>
      <c r="BQ11" s="2802"/>
      <c r="BR11" s="2802"/>
      <c r="BS11" s="2802"/>
      <c r="BT11" s="2802"/>
      <c r="BU11" s="2566"/>
      <c r="BV11" s="2566"/>
      <c r="BW11" s="2566"/>
      <c r="BX11" s="2657"/>
      <c r="BZ11" s="4"/>
      <c r="CA11" s="4"/>
      <c r="CB11" s="4"/>
      <c r="CD11" s="2566"/>
      <c r="CE11" s="2566"/>
      <c r="CF11" s="2566"/>
      <c r="CG11" s="2854"/>
      <c r="CI11" s="95"/>
      <c r="CJ11" s="95"/>
      <c r="CK11" s="95"/>
      <c r="CM11" s="2566"/>
      <c r="CN11" s="2566"/>
      <c r="CO11" s="2566"/>
      <c r="CP11" s="2854"/>
      <c r="CS11" s="4"/>
      <c r="CT11" s="4"/>
      <c r="CU11" s="4"/>
      <c r="CW11" s="4"/>
      <c r="CX11" s="4"/>
      <c r="CY11" s="4"/>
      <c r="DA11" s="2841"/>
      <c r="DB11" s="2841"/>
      <c r="DC11" s="2841"/>
      <c r="DD11" s="2841"/>
    </row>
    <row r="12" spans="1:108">
      <c r="A12" s="2642" t="s">
        <v>505</v>
      </c>
      <c r="B12" s="5"/>
      <c r="C12" s="2559" t="s">
        <v>37</v>
      </c>
      <c r="D12" s="2645">
        <f>SUM(D6:D10)/5</f>
        <v>-0.4</v>
      </c>
      <c r="F12" s="2569"/>
      <c r="G12" s="2569"/>
      <c r="H12" s="2569"/>
      <c r="I12" s="3236">
        <f>AVERAGE(I6:I9)</f>
        <v>5.7708333333333339</v>
      </c>
      <c r="K12" s="4"/>
      <c r="L12" s="4"/>
      <c r="M12" s="4"/>
      <c r="N12" s="4"/>
      <c r="O12" s="4"/>
      <c r="P12" s="2583"/>
      <c r="Q12" s="2586"/>
      <c r="R12" s="2586"/>
      <c r="T12" s="165"/>
      <c r="U12" s="11"/>
      <c r="V12" s="11"/>
      <c r="X12" s="2588"/>
      <c r="Y12" s="4"/>
      <c r="AA12" s="2589"/>
      <c r="AB12" s="2583"/>
      <c r="AD12" s="165"/>
      <c r="AE12" s="11"/>
      <c r="AF12" s="11"/>
      <c r="AH12" s="2664">
        <f>AVERAGE(AH6:AH9)</f>
        <v>5.4130247130758322</v>
      </c>
      <c r="AI12" s="2664">
        <f>AVERAGE(AI6:AI9)</f>
        <v>5.4576986242095824</v>
      </c>
      <c r="AJ12" s="2664">
        <f>AVERAGE(AJ6:AJ9)</f>
        <v>5.5436121452638325</v>
      </c>
      <c r="AK12" s="3237">
        <f>AVERAGE(AK6:AK9)</f>
        <v>5.4553108154110959</v>
      </c>
      <c r="AM12" s="2862">
        <f>AVERAGE(AM6:AM9)</f>
        <v>2937.7999999999997</v>
      </c>
      <c r="AN12" s="2862">
        <f>AVERAGE(AN6:AN9)</f>
        <v>2942.6333333333332</v>
      </c>
      <c r="AO12" s="2862">
        <f>AVERAGE(AO6:AO9)</f>
        <v>2944.5</v>
      </c>
      <c r="AQ12" s="2664">
        <f>AVERAGE(AQ6:AQ8,AQ10)</f>
        <v>1.810107543499194</v>
      </c>
      <c r="AR12" s="2664">
        <f>AVERAGE(AR6:AR8,AR10)</f>
        <v>1.8451865825555396</v>
      </c>
      <c r="AS12" s="2664">
        <f>AVERAGE(AS6:AS8,AS10)</f>
        <v>1.8412215710906379</v>
      </c>
      <c r="AT12" s="2666">
        <f>AVERAGE(AT6:AT8,AT10)</f>
        <v>1.832171899048457</v>
      </c>
      <c r="AV12" s="2664">
        <f>AVERAGE(AV6:AV8,AV10)</f>
        <v>0.55327768338881156</v>
      </c>
      <c r="AW12" s="2664">
        <f>AVERAGE(AW6:AW8,AW10)</f>
        <v>0.54317114255264487</v>
      </c>
      <c r="AX12" s="2664">
        <f>AVERAGE(AX6:AX8,AX10)</f>
        <v>0.54471795161343273</v>
      </c>
      <c r="AY12" s="2666">
        <f>AVERAGE(AY6:AY8,AY10)</f>
        <v>0.54705559251829639</v>
      </c>
      <c r="BA12" s="2664">
        <f>AVERAGE(BA6:BA8)</f>
        <v>0.42944418030970005</v>
      </c>
      <c r="BB12" s="2664">
        <f>AVERAGE(BB6:BB8)</f>
        <v>0.42971423497729094</v>
      </c>
      <c r="BC12" s="2664">
        <f>AVERAGE(BC6:BC8)</f>
        <v>0.42955767272120721</v>
      </c>
      <c r="BD12" s="2727">
        <f>AVERAGE(BD6:BD8)</f>
        <v>0.42957202933606609</v>
      </c>
      <c r="BF12" s="4"/>
      <c r="BG12" s="4"/>
      <c r="BH12" s="4"/>
      <c r="BI12" s="4"/>
      <c r="BJ12" s="4"/>
      <c r="BK12" s="4"/>
      <c r="BL12" s="4"/>
      <c r="BM12" s="4"/>
      <c r="BO12" s="2802"/>
      <c r="BP12" s="2802"/>
      <c r="BQ12" s="2802"/>
      <c r="BR12" s="2802"/>
      <c r="BS12" s="2802"/>
      <c r="BT12" s="2802"/>
      <c r="BU12" s="2566"/>
      <c r="BV12" s="2566"/>
      <c r="BW12" s="2566"/>
      <c r="BX12" s="2832">
        <f>AVERAGE(BX6:BX8,BX10)</f>
        <v>1.2908670350698424</v>
      </c>
      <c r="BZ12" s="4"/>
      <c r="CA12" s="4"/>
      <c r="CB12" s="4"/>
      <c r="CD12" s="2566"/>
      <c r="CE12" s="2566"/>
      <c r="CF12" s="2566"/>
      <c r="CG12" s="2832">
        <f>AVERAGE(CG6:CG8,CG10)</f>
        <v>0.24085774549344188</v>
      </c>
      <c r="CI12" s="95"/>
      <c r="CJ12" s="95"/>
      <c r="CK12" s="95"/>
      <c r="CM12" s="2566"/>
      <c r="CN12" s="2566"/>
      <c r="CO12" s="2566"/>
      <c r="CP12" s="2832">
        <f>AVERAGE(CP6:CP8,CP10)</f>
        <v>1.4162908195752759</v>
      </c>
      <c r="CS12" s="4"/>
      <c r="CT12" s="4"/>
      <c r="CU12" s="4"/>
      <c r="CW12" s="4"/>
      <c r="CX12" s="4"/>
      <c r="CY12" s="4"/>
      <c r="DA12" s="10">
        <f>AVERAGE(DA6:DA8,DA10)</f>
        <v>0.22541996745328322</v>
      </c>
      <c r="DB12" s="10">
        <f>AVERAGE(DB6:DB8,DB10)</f>
        <v>0.23236699127278007</v>
      </c>
      <c r="DC12" s="10">
        <f>AVERAGE(DC6:DC8,DC10)</f>
        <v>0.23713564506360074</v>
      </c>
      <c r="DD12" s="2843">
        <f>AVERAGE(DD6:DD8,DD10)</f>
        <v>0.231640867929888</v>
      </c>
    </row>
    <row r="13" spans="1:108" ht="3.75" customHeight="1">
      <c r="B13" s="2648"/>
      <c r="F13" s="2622"/>
      <c r="G13" s="2622"/>
      <c r="H13" s="2622"/>
      <c r="Q13" s="2620"/>
      <c r="R13" s="2620"/>
      <c r="T13" s="2618"/>
      <c r="X13" s="2616"/>
      <c r="AA13" s="2623"/>
      <c r="AD13" s="2618"/>
      <c r="AH13" s="2622"/>
      <c r="AI13" s="2622"/>
      <c r="AJ13" s="2622"/>
      <c r="AQ13" s="2625"/>
      <c r="AR13" s="2625"/>
      <c r="AS13" s="2625"/>
      <c r="AT13" s="2629"/>
      <c r="AV13" s="2625"/>
      <c r="AW13" s="2625"/>
      <c r="AX13" s="2625"/>
      <c r="AY13" s="2629"/>
      <c r="BO13" s="2803"/>
      <c r="BP13" s="2803"/>
      <c r="BQ13" s="2803"/>
      <c r="BR13" s="2803"/>
      <c r="BS13" s="2803"/>
      <c r="BT13" s="2803"/>
      <c r="BU13" s="2626"/>
      <c r="BV13" s="2626"/>
      <c r="BW13" s="2626"/>
      <c r="BX13" s="2561"/>
      <c r="CD13" s="2626"/>
      <c r="CE13" s="2626"/>
      <c r="CF13" s="2626"/>
      <c r="CG13" s="2561"/>
      <c r="CM13" s="2626"/>
      <c r="CN13" s="2626"/>
      <c r="CO13" s="2626"/>
      <c r="CP13" s="2561"/>
    </row>
    <row r="14" spans="1:108">
      <c r="A14" s="2565"/>
      <c r="B14" s="5"/>
      <c r="C14" s="2565"/>
      <c r="D14" s="2614"/>
      <c r="F14" s="2569"/>
      <c r="G14" s="2569"/>
      <c r="H14" s="2569"/>
      <c r="I14" s="2565"/>
      <c r="K14" s="4"/>
      <c r="L14" s="4"/>
      <c r="M14" s="4"/>
      <c r="N14" s="4"/>
      <c r="O14" s="4"/>
      <c r="P14" s="2583"/>
      <c r="Q14" s="2586"/>
      <c r="R14" s="2586"/>
      <c r="T14" s="165"/>
      <c r="U14" s="11"/>
      <c r="V14" s="11"/>
      <c r="X14" s="2588"/>
      <c r="Y14" s="4"/>
      <c r="AA14" s="2589"/>
      <c r="AB14" s="2583"/>
      <c r="AD14" s="165"/>
      <c r="AE14" s="11"/>
      <c r="AF14" s="11"/>
      <c r="AH14" s="2569"/>
      <c r="AI14" s="2569"/>
      <c r="AJ14" s="2569"/>
      <c r="AK14" s="2565"/>
      <c r="AM14" s="2583"/>
      <c r="AN14" s="2583"/>
      <c r="AO14" s="2583"/>
      <c r="AQ14" s="15"/>
      <c r="AR14" s="15"/>
      <c r="AS14" s="15"/>
      <c r="AT14" s="2628"/>
      <c r="AV14" s="15"/>
      <c r="AW14" s="15"/>
      <c r="AX14" s="15"/>
      <c r="AY14" s="2628"/>
      <c r="BA14" s="2565"/>
      <c r="BB14" s="2565"/>
      <c r="BC14" s="2565"/>
      <c r="BD14" s="2565"/>
      <c r="BF14" s="4"/>
      <c r="BG14" s="4"/>
      <c r="BH14" s="4"/>
      <c r="BI14" s="4"/>
      <c r="BJ14" s="4"/>
      <c r="BK14" s="4"/>
      <c r="BL14" s="4"/>
      <c r="BM14" s="4"/>
      <c r="BO14" s="2802"/>
      <c r="BP14" s="2802"/>
      <c r="BQ14" s="2802"/>
      <c r="BR14" s="2802"/>
      <c r="BS14" s="2802"/>
      <c r="BT14" s="2802"/>
      <c r="BU14" s="2566"/>
      <c r="BV14" s="2566"/>
      <c r="BW14" s="2566"/>
      <c r="BX14" s="2657"/>
      <c r="BZ14" s="4"/>
      <c r="CA14" s="4"/>
      <c r="CB14" s="4"/>
      <c r="CD14" s="2566"/>
      <c r="CE14" s="2566"/>
      <c r="CF14" s="2566"/>
      <c r="CG14" s="2854"/>
      <c r="CI14" s="95"/>
      <c r="CJ14" s="95"/>
      <c r="CK14" s="95"/>
      <c r="CM14" s="2566"/>
      <c r="CN14" s="2566"/>
      <c r="CO14" s="2566"/>
      <c r="CP14" s="2854"/>
      <c r="CS14" s="2606"/>
      <c r="CT14" s="2606"/>
      <c r="CU14" s="2606"/>
      <c r="CV14" s="2592"/>
      <c r="CW14" s="2606"/>
      <c r="CX14" s="2606"/>
      <c r="CY14" s="2606"/>
      <c r="CZ14" s="2592"/>
      <c r="DA14" s="2682"/>
      <c r="DB14" s="2682"/>
      <c r="DC14" s="2682"/>
      <c r="DD14" s="2682"/>
    </row>
    <row r="15" spans="1:108">
      <c r="A15" s="2642" t="s">
        <v>1948</v>
      </c>
      <c r="B15" s="5">
        <v>41755</v>
      </c>
      <c r="C15" s="4" t="s">
        <v>36</v>
      </c>
      <c r="D15" s="441">
        <v>0</v>
      </c>
      <c r="F15" s="2573">
        <v>4.9000000000000004</v>
      </c>
      <c r="G15" s="2573">
        <v>4.7</v>
      </c>
      <c r="H15" s="2573">
        <v>4.5</v>
      </c>
      <c r="I15" s="2574">
        <f>AVERAGE(F15:H15)</f>
        <v>4.7</v>
      </c>
      <c r="K15" s="449"/>
      <c r="L15" s="449"/>
      <c r="M15" s="449"/>
      <c r="N15" s="449"/>
      <c r="O15" s="2806"/>
      <c r="P15" s="2605">
        <v>269</v>
      </c>
      <c r="Q15" s="2605">
        <v>285</v>
      </c>
      <c r="R15" s="2605">
        <v>294</v>
      </c>
      <c r="T15" s="449">
        <f t="shared" ref="T15:V17" si="11">F15*P15</f>
        <v>1318.1000000000001</v>
      </c>
      <c r="U15" s="449">
        <f t="shared" si="11"/>
        <v>1339.5</v>
      </c>
      <c r="V15" s="449">
        <f t="shared" si="11"/>
        <v>1323</v>
      </c>
      <c r="X15" s="2603">
        <v>13.1</v>
      </c>
      <c r="Y15" s="2604">
        <v>786.2</v>
      </c>
      <c r="AA15" s="2590">
        <v>13</v>
      </c>
      <c r="AB15" s="2591">
        <f>Y15/X15*AA15</f>
        <v>780.19847328244282</v>
      </c>
      <c r="AD15" s="449">
        <f t="shared" ref="AD15:AF17" si="12">T15-$Y15+$AB15</f>
        <v>1312.0984732824429</v>
      </c>
      <c r="AE15" s="449">
        <f t="shared" si="12"/>
        <v>1333.4984732824428</v>
      </c>
      <c r="AF15" s="449">
        <f t="shared" si="12"/>
        <v>1316.9984732824428</v>
      </c>
      <c r="AH15" s="2570">
        <f t="shared" ref="AH15:AJ17" si="13">AD15/P15</f>
        <v>4.8776894917562936</v>
      </c>
      <c r="AI15" s="2570">
        <f t="shared" si="13"/>
        <v>4.6789420115173428</v>
      </c>
      <c r="AJ15" s="2570">
        <f t="shared" si="13"/>
        <v>4.4795866438178322</v>
      </c>
      <c r="AK15" s="2574">
        <f>AVERAGE(AH15:AJ15)</f>
        <v>4.6787393823638226</v>
      </c>
      <c r="AM15" s="2605">
        <v>385</v>
      </c>
      <c r="AN15" s="2605">
        <v>385</v>
      </c>
      <c r="AO15" s="2605">
        <v>394</v>
      </c>
      <c r="AQ15" s="15">
        <f t="shared" ref="AQ15:AS17" si="14">AM15/P15</f>
        <v>1.4312267657992566</v>
      </c>
      <c r="AR15" s="15">
        <f t="shared" si="14"/>
        <v>1.3508771929824561</v>
      </c>
      <c r="AS15" s="15">
        <f t="shared" si="14"/>
        <v>1.3401360544217686</v>
      </c>
      <c r="AT15" s="2628">
        <f>AVERAGE(AQ15:AS15)</f>
        <v>1.3740800044011605</v>
      </c>
      <c r="AV15" s="15">
        <f t="shared" ref="AV15:AX17" si="15">P15/AM15</f>
        <v>0.69870129870129871</v>
      </c>
      <c r="AW15" s="15">
        <f t="shared" si="15"/>
        <v>0.74025974025974028</v>
      </c>
      <c r="AX15" s="15">
        <f t="shared" si="15"/>
        <v>0.74619289340101524</v>
      </c>
      <c r="AY15" s="2628">
        <f>AVERAGE(AV15:AX15)</f>
        <v>0.72838464412068482</v>
      </c>
      <c r="BA15" s="15">
        <f t="shared" ref="BA15:BC17" si="16">AM15/$AB15</f>
        <v>0.49346418018511629</v>
      </c>
      <c r="BB15" s="15">
        <f t="shared" si="16"/>
        <v>0.49346418018511629</v>
      </c>
      <c r="BC15" s="15">
        <f t="shared" si="16"/>
        <v>0.50499970647515802</v>
      </c>
      <c r="BD15" s="2567">
        <f>AVERAGE(BA15:BC15)</f>
        <v>0.49730935561513023</v>
      </c>
      <c r="BF15" s="449"/>
      <c r="BG15" s="449"/>
      <c r="BH15" s="449"/>
      <c r="BI15" s="449"/>
      <c r="BJ15" s="2806"/>
      <c r="BK15" s="2604">
        <v>537</v>
      </c>
      <c r="BL15" s="2604">
        <v>544</v>
      </c>
      <c r="BM15" s="2604">
        <v>536</v>
      </c>
      <c r="BO15" s="2800">
        <v>0.51</v>
      </c>
      <c r="BP15" s="2800">
        <v>0.52</v>
      </c>
      <c r="BQ15" s="2800">
        <v>0.56999999999999995</v>
      </c>
      <c r="BR15" s="2800">
        <v>0.8</v>
      </c>
      <c r="BS15" s="2829"/>
      <c r="BT15" s="2800">
        <v>1.8</v>
      </c>
      <c r="BU15" s="15">
        <f t="shared" ref="BU15:BW17" si="17">BK15/P15</f>
        <v>1.996282527881041</v>
      </c>
      <c r="BV15" s="15">
        <f t="shared" si="17"/>
        <v>1.9087719298245613</v>
      </c>
      <c r="BW15" s="15">
        <f t="shared" si="17"/>
        <v>1.8231292517006803</v>
      </c>
      <c r="BX15" s="2567">
        <f>AVERAGE(BU15:BW15)</f>
        <v>1.9093945698020942</v>
      </c>
      <c r="BZ15" s="2604">
        <v>54</v>
      </c>
      <c r="CA15" s="2604">
        <v>57</v>
      </c>
      <c r="CB15" s="2604">
        <v>65</v>
      </c>
      <c r="CD15" s="15">
        <f t="shared" ref="CD15:CF16" si="18">BZ15/P15</f>
        <v>0.20074349442379183</v>
      </c>
      <c r="CE15" s="15">
        <f t="shared" si="18"/>
        <v>0.2</v>
      </c>
      <c r="CF15" s="15">
        <f t="shared" si="18"/>
        <v>0.22108843537414966</v>
      </c>
      <c r="CG15" s="2567">
        <f>AVERAGE(CD15:CF15)</f>
        <v>0.20727730993264717</v>
      </c>
      <c r="CI15" s="449">
        <f t="shared" ref="CI15:CK16" si="19">BK15+BZ15</f>
        <v>591</v>
      </c>
      <c r="CJ15" s="449">
        <f t="shared" si="19"/>
        <v>601</v>
      </c>
      <c r="CK15" s="449">
        <f t="shared" si="19"/>
        <v>601</v>
      </c>
      <c r="CM15" s="15">
        <f t="shared" ref="CM15:CO16" si="20">CI15/P15</f>
        <v>2.1970260223048328</v>
      </c>
      <c r="CN15" s="15">
        <f t="shared" si="20"/>
        <v>2.1087719298245613</v>
      </c>
      <c r="CO15" s="15">
        <f t="shared" si="20"/>
        <v>2.0442176870748301</v>
      </c>
      <c r="CP15" s="2567">
        <f>AVERAGE(CM15:CO15)</f>
        <v>2.1166718797347417</v>
      </c>
      <c r="CS15" s="2844"/>
      <c r="CT15" s="2844"/>
      <c r="CU15" s="2844"/>
      <c r="CV15" s="2592"/>
      <c r="CW15" s="2844"/>
      <c r="CX15" s="2844"/>
      <c r="CY15" s="2844"/>
      <c r="CZ15" s="2592"/>
      <c r="DA15" s="2845"/>
      <c r="DB15" s="2845"/>
      <c r="DC15" s="2845"/>
      <c r="DD15" s="2846"/>
    </row>
    <row r="16" spans="1:108">
      <c r="A16" s="4" t="s">
        <v>1931</v>
      </c>
      <c r="B16" s="5">
        <v>41752</v>
      </c>
      <c r="C16" s="4" t="s">
        <v>36</v>
      </c>
      <c r="D16" s="441">
        <v>0</v>
      </c>
      <c r="F16" s="2573">
        <v>5</v>
      </c>
      <c r="G16" s="2573">
        <v>4.8</v>
      </c>
      <c r="H16" s="2573">
        <v>4.3</v>
      </c>
      <c r="I16" s="2574">
        <f>AVERAGE(F16:H16)</f>
        <v>4.7</v>
      </c>
      <c r="K16" s="2604">
        <v>566.9</v>
      </c>
      <c r="L16" s="2604">
        <v>548.70000000000005</v>
      </c>
      <c r="M16" s="2604">
        <v>518</v>
      </c>
      <c r="N16" s="2604">
        <v>473</v>
      </c>
      <c r="O16" s="2604">
        <v>335.7</v>
      </c>
      <c r="P16" s="2605">
        <v>259.60000000000002</v>
      </c>
      <c r="Q16" s="2605">
        <v>259.39999999999998</v>
      </c>
      <c r="R16" s="2605">
        <v>263.8</v>
      </c>
      <c r="T16" s="449">
        <f t="shared" si="11"/>
        <v>1298</v>
      </c>
      <c r="U16" s="449">
        <f t="shared" si="11"/>
        <v>1245.1199999999999</v>
      </c>
      <c r="V16" s="449">
        <f t="shared" si="11"/>
        <v>1134.3399999999999</v>
      </c>
      <c r="X16" s="2603">
        <v>13.41</v>
      </c>
      <c r="Y16" s="2604">
        <v>805.9</v>
      </c>
      <c r="AA16" s="2590">
        <v>12</v>
      </c>
      <c r="AB16" s="2643">
        <v>716</v>
      </c>
      <c r="AD16" s="449">
        <f t="shared" si="12"/>
        <v>1208.0999999999999</v>
      </c>
      <c r="AE16" s="449">
        <f t="shared" si="12"/>
        <v>1155.2199999999998</v>
      </c>
      <c r="AF16" s="449">
        <f t="shared" si="12"/>
        <v>1044.44</v>
      </c>
      <c r="AH16" s="2570">
        <f t="shared" si="13"/>
        <v>4.6536979969183347</v>
      </c>
      <c r="AI16" s="2570">
        <f t="shared" si="13"/>
        <v>4.4534309946029298</v>
      </c>
      <c r="AJ16" s="2570">
        <f t="shared" si="13"/>
        <v>3.9592115238817285</v>
      </c>
      <c r="AK16" s="2574">
        <f>AVERAGE(AH16:AJ16)</f>
        <v>4.3554468384676648</v>
      </c>
      <c r="AM16" s="2605">
        <v>364.8</v>
      </c>
      <c r="AN16" s="2605">
        <v>399.3</v>
      </c>
      <c r="AO16" s="2605">
        <v>436.6</v>
      </c>
      <c r="AQ16" s="15">
        <f t="shared" si="14"/>
        <v>1.4052388289676425</v>
      </c>
      <c r="AR16" s="15">
        <f t="shared" si="14"/>
        <v>1.5393215111796454</v>
      </c>
      <c r="AS16" s="15">
        <f t="shared" si="14"/>
        <v>1.6550416982562548</v>
      </c>
      <c r="AT16" s="2628">
        <f>AVERAGE(AQ16:AS16)</f>
        <v>1.5332006794678474</v>
      </c>
      <c r="AV16" s="15">
        <f t="shared" si="15"/>
        <v>0.71162280701754388</v>
      </c>
      <c r="AW16" s="15">
        <f t="shared" si="15"/>
        <v>0.64963686451289748</v>
      </c>
      <c r="AX16" s="15">
        <f t="shared" si="15"/>
        <v>0.60421438387540083</v>
      </c>
      <c r="AY16" s="2628">
        <f>AVERAGE(AV16:AX16)</f>
        <v>0.6551580184686141</v>
      </c>
      <c r="BA16" s="15">
        <f t="shared" si="16"/>
        <v>0.50949720670391063</v>
      </c>
      <c r="BB16" s="15">
        <f t="shared" si="16"/>
        <v>0.55768156424581006</v>
      </c>
      <c r="BC16" s="15">
        <f t="shared" si="16"/>
        <v>0.60977653631284923</v>
      </c>
      <c r="BD16" s="2567">
        <f>AVERAGE(BA16:BC16)</f>
        <v>0.55898510242085664</v>
      </c>
      <c r="BF16" s="2604">
        <v>-10</v>
      </c>
      <c r="BG16" s="2604">
        <v>254.9</v>
      </c>
      <c r="BH16" s="2604">
        <v>289.7</v>
      </c>
      <c r="BI16" s="2604">
        <v>372.7</v>
      </c>
      <c r="BJ16" s="2604">
        <v>536.29999999999995</v>
      </c>
      <c r="BK16" s="2604">
        <v>502.6</v>
      </c>
      <c r="BL16" s="2604">
        <v>449.5</v>
      </c>
      <c r="BM16" s="2604">
        <v>338.8</v>
      </c>
      <c r="BO16" s="15">
        <f>BF16/K16</f>
        <v>-1.763979537837361E-2</v>
      </c>
      <c r="BP16" s="15">
        <f>BG16/L16</f>
        <v>0.46455257882267176</v>
      </c>
      <c r="BQ16" s="15">
        <f>BH16/M16</f>
        <v>0.55926640926640925</v>
      </c>
      <c r="BR16" s="15">
        <f>BI16/N16</f>
        <v>0.78794926004228327</v>
      </c>
      <c r="BS16" s="2830"/>
      <c r="BT16" s="15">
        <f>BJ16/O16</f>
        <v>1.5975573428656538</v>
      </c>
      <c r="BU16" s="15">
        <f t="shared" si="17"/>
        <v>1.9360554699537749</v>
      </c>
      <c r="BV16" s="15">
        <f t="shared" si="17"/>
        <v>1.732845026985351</v>
      </c>
      <c r="BW16" s="15">
        <f t="shared" si="17"/>
        <v>1.2843062926459439</v>
      </c>
      <c r="BX16" s="2567">
        <f>AVERAGE(BU16:BW16)</f>
        <v>1.6510689298616901</v>
      </c>
      <c r="BZ16" s="2604">
        <v>47.5</v>
      </c>
      <c r="CA16" s="2604">
        <v>100.6</v>
      </c>
      <c r="CB16" s="2604">
        <v>210</v>
      </c>
      <c r="CD16" s="15">
        <f t="shared" si="18"/>
        <v>0.18297380585516176</v>
      </c>
      <c r="CE16" s="15">
        <f t="shared" si="18"/>
        <v>0.38781804163454126</v>
      </c>
      <c r="CF16" s="15">
        <f t="shared" si="18"/>
        <v>0.79605761940864284</v>
      </c>
      <c r="CG16" s="2567">
        <f>AVERAGE(CD16:CF16)</f>
        <v>0.45561648896611534</v>
      </c>
      <c r="CI16" s="449">
        <f t="shared" si="19"/>
        <v>550.1</v>
      </c>
      <c r="CJ16" s="449">
        <f t="shared" si="19"/>
        <v>550.1</v>
      </c>
      <c r="CK16" s="449">
        <f t="shared" si="19"/>
        <v>548.79999999999995</v>
      </c>
      <c r="CM16" s="15">
        <f t="shared" si="20"/>
        <v>2.1190292758089369</v>
      </c>
      <c r="CN16" s="15">
        <f t="shared" si="20"/>
        <v>2.1206630686198924</v>
      </c>
      <c r="CO16" s="15">
        <f t="shared" si="20"/>
        <v>2.0803639120545867</v>
      </c>
      <c r="CP16" s="2567">
        <f>AVERAGE(CM16:CO16)</f>
        <v>2.1066854188278055</v>
      </c>
      <c r="CS16" s="2844"/>
      <c r="CT16" s="2844"/>
      <c r="CU16" s="2844"/>
      <c r="CV16" s="2592"/>
      <c r="CW16" s="2844"/>
      <c r="CX16" s="2844"/>
      <c r="CY16" s="2844"/>
      <c r="CZ16" s="2592"/>
      <c r="DA16" s="2845"/>
      <c r="DB16" s="2845"/>
      <c r="DC16" s="2845"/>
      <c r="DD16" s="2846"/>
    </row>
    <row r="17" spans="1:108">
      <c r="A17" s="4" t="s">
        <v>1936</v>
      </c>
      <c r="B17" s="5">
        <v>41771</v>
      </c>
      <c r="C17" s="4" t="s">
        <v>36</v>
      </c>
      <c r="D17" s="441">
        <v>-1</v>
      </c>
      <c r="F17" s="2573">
        <v>5.3</v>
      </c>
      <c r="G17" s="2573">
        <v>5.4</v>
      </c>
      <c r="H17" s="2573">
        <v>5</v>
      </c>
      <c r="I17" s="2574">
        <f>AVERAGE(F17:H17)</f>
        <v>5.2333333333333334</v>
      </c>
      <c r="K17" s="449"/>
      <c r="L17" s="449"/>
      <c r="M17" s="449"/>
      <c r="N17" s="449"/>
      <c r="O17" s="2806"/>
      <c r="P17" s="2605">
        <v>259.5</v>
      </c>
      <c r="Q17" s="2605">
        <v>252.9</v>
      </c>
      <c r="R17" s="2605">
        <v>256.39999999999998</v>
      </c>
      <c r="T17" s="449">
        <f t="shared" si="11"/>
        <v>1375.35</v>
      </c>
      <c r="U17" s="449">
        <f t="shared" si="11"/>
        <v>1365.66</v>
      </c>
      <c r="V17" s="449">
        <f t="shared" si="11"/>
        <v>1282</v>
      </c>
      <c r="X17" s="2603">
        <v>14.49</v>
      </c>
      <c r="Y17" s="2604">
        <v>870</v>
      </c>
      <c r="AA17" s="2590">
        <v>12</v>
      </c>
      <c r="AB17" s="2591">
        <f>Y17/X17*AA17</f>
        <v>720.49689440993791</v>
      </c>
      <c r="AD17" s="449">
        <f t="shared" si="12"/>
        <v>1225.8468944099377</v>
      </c>
      <c r="AE17" s="449">
        <f t="shared" si="12"/>
        <v>1216.1568944099381</v>
      </c>
      <c r="AF17" s="449">
        <f t="shared" si="12"/>
        <v>1132.4968944099378</v>
      </c>
      <c r="AH17" s="2570">
        <f t="shared" si="13"/>
        <v>4.7238801326009163</v>
      </c>
      <c r="AI17" s="2570">
        <f t="shared" si="13"/>
        <v>4.808844975919091</v>
      </c>
      <c r="AJ17" s="2570">
        <f t="shared" si="13"/>
        <v>4.416914564781349</v>
      </c>
      <c r="AK17" s="2574">
        <f>AVERAGE(AH17:AJ17)</f>
        <v>4.6498798911004524</v>
      </c>
      <c r="AM17" s="2605">
        <v>382.5</v>
      </c>
      <c r="AN17" s="2605">
        <v>416.1</v>
      </c>
      <c r="AO17" s="2605">
        <v>452.6</v>
      </c>
      <c r="AQ17" s="15">
        <f t="shared" si="14"/>
        <v>1.4739884393063585</v>
      </c>
      <c r="AR17" s="15">
        <f t="shared" si="14"/>
        <v>1.645314353499407</v>
      </c>
      <c r="AS17" s="15">
        <f t="shared" si="14"/>
        <v>1.7652106084243373</v>
      </c>
      <c r="AT17" s="2628">
        <f>AVERAGE(AQ17:AS17)</f>
        <v>1.6281711337433675</v>
      </c>
      <c r="AV17" s="15">
        <f t="shared" si="15"/>
        <v>0.67843137254901964</v>
      </c>
      <c r="AW17" s="15">
        <f t="shared" si="15"/>
        <v>0.60778658976207645</v>
      </c>
      <c r="AX17" s="15">
        <f t="shared" si="15"/>
        <v>0.56650463985859467</v>
      </c>
      <c r="AY17" s="2628">
        <f>AVERAGE(AV17:AX17)</f>
        <v>0.61757420072323022</v>
      </c>
      <c r="BA17" s="15">
        <f t="shared" si="16"/>
        <v>0.53088362068965511</v>
      </c>
      <c r="BB17" s="15">
        <f t="shared" si="16"/>
        <v>0.57751810344827592</v>
      </c>
      <c r="BC17" s="15">
        <f t="shared" si="16"/>
        <v>0.62817758620689657</v>
      </c>
      <c r="BD17" s="2567">
        <f>AVERAGE(BA17:BC17)</f>
        <v>0.57885977011494261</v>
      </c>
      <c r="BF17" s="449"/>
      <c r="BG17" s="449"/>
      <c r="BH17" s="449"/>
      <c r="BI17" s="449"/>
      <c r="BJ17" s="2806"/>
      <c r="BK17" s="2604">
        <v>508.3</v>
      </c>
      <c r="BL17" s="2604">
        <v>487.3</v>
      </c>
      <c r="BM17" s="2604">
        <v>417.9</v>
      </c>
      <c r="BO17" s="2800">
        <v>0.5</v>
      </c>
      <c r="BP17" s="2800">
        <v>0.5</v>
      </c>
      <c r="BQ17" s="2800">
        <v>0.6</v>
      </c>
      <c r="BR17" s="2800">
        <v>0.8</v>
      </c>
      <c r="BS17" s="2829"/>
      <c r="BT17" s="2800">
        <v>1.7</v>
      </c>
      <c r="BU17" s="15">
        <f t="shared" si="17"/>
        <v>1.9587668593448941</v>
      </c>
      <c r="BV17" s="15">
        <f t="shared" si="17"/>
        <v>1.9268485567417952</v>
      </c>
      <c r="BW17" s="15">
        <f t="shared" si="17"/>
        <v>1.6298751950078003</v>
      </c>
      <c r="BX17" s="2567">
        <f>AVERAGE(BU17:BW17)</f>
        <v>1.8384968703648299</v>
      </c>
      <c r="BZ17" s="2856"/>
      <c r="CA17" s="2856"/>
      <c r="CB17" s="2856"/>
      <c r="CD17" s="15"/>
      <c r="CE17" s="15"/>
      <c r="CF17" s="15"/>
      <c r="CG17" s="2567"/>
      <c r="CI17" s="449"/>
      <c r="CJ17" s="449"/>
      <c r="CK17" s="449"/>
      <c r="CM17" s="15"/>
      <c r="CN17" s="15"/>
      <c r="CO17" s="15"/>
      <c r="CP17" s="2567"/>
      <c r="CS17" s="2844"/>
      <c r="CT17" s="2844"/>
      <c r="CU17" s="2844"/>
      <c r="CV17" s="2592"/>
      <c r="CW17" s="2844"/>
      <c r="CX17" s="2844"/>
      <c r="CY17" s="2844"/>
      <c r="CZ17" s="2592"/>
      <c r="DA17" s="2845"/>
      <c r="DB17" s="2845"/>
      <c r="DC17" s="2845"/>
      <c r="DD17" s="2846"/>
    </row>
    <row r="18" spans="1:108" ht="13.5" customHeight="1">
      <c r="A18" s="4" t="s">
        <v>1945</v>
      </c>
      <c r="B18" s="5">
        <v>41765</v>
      </c>
      <c r="C18" s="4" t="s">
        <v>36</v>
      </c>
      <c r="D18" s="441">
        <v>1</v>
      </c>
      <c r="F18" s="2573">
        <v>5.3</v>
      </c>
      <c r="G18" s="2573">
        <v>4.9000000000000004</v>
      </c>
      <c r="H18" s="2573"/>
      <c r="I18" s="2574">
        <f>AVERAGE(F18:H18)</f>
        <v>5.0999999999999996</v>
      </c>
      <c r="K18" s="449"/>
      <c r="L18" s="449"/>
      <c r="M18" s="449"/>
      <c r="N18" s="449"/>
      <c r="O18" s="2806"/>
      <c r="P18" s="2605">
        <v>264</v>
      </c>
      <c r="Q18" s="2605">
        <v>280</v>
      </c>
      <c r="R18" s="2604">
        <v>308</v>
      </c>
      <c r="T18" s="449"/>
      <c r="U18" s="449"/>
      <c r="V18" s="449"/>
      <c r="X18" s="2603">
        <v>14.05</v>
      </c>
      <c r="Y18" s="165"/>
      <c r="AA18" s="2590">
        <v>22</v>
      </c>
      <c r="AB18" s="2591"/>
      <c r="AD18" s="449"/>
      <c r="AE18" s="449"/>
      <c r="AF18" s="449"/>
      <c r="AH18" s="2573">
        <v>7.1</v>
      </c>
      <c r="AI18" s="2573">
        <v>6.6</v>
      </c>
      <c r="AJ18" s="2570"/>
      <c r="AK18" s="2574">
        <f>AVERAGE(AH18:AJ18)</f>
        <v>6.85</v>
      </c>
      <c r="AM18" s="2605"/>
      <c r="AN18" s="2605"/>
      <c r="AO18" s="2605"/>
      <c r="AQ18" s="15"/>
      <c r="AR18" s="15"/>
      <c r="AS18" s="15"/>
      <c r="AT18" s="2628"/>
      <c r="AV18" s="15"/>
      <c r="AW18" s="15"/>
      <c r="AX18" s="15"/>
      <c r="AY18" s="2628"/>
      <c r="BA18" s="1238"/>
      <c r="BB18" s="1238"/>
      <c r="BC18" s="1238"/>
      <c r="BD18" s="2567"/>
      <c r="BF18" s="449"/>
      <c r="BG18" s="449"/>
      <c r="BH18" s="449"/>
      <c r="BI18" s="449"/>
      <c r="BJ18" s="2806"/>
      <c r="BK18" s="2604">
        <v>554</v>
      </c>
      <c r="BL18" s="2604">
        <v>526</v>
      </c>
      <c r="BM18" s="2604">
        <v>467</v>
      </c>
      <c r="BO18" s="2801"/>
      <c r="BP18" s="2801"/>
      <c r="BQ18" s="2801"/>
      <c r="BR18" s="2801"/>
      <c r="BS18" s="2801"/>
      <c r="BT18" s="2801"/>
      <c r="BU18" s="15"/>
      <c r="BV18" s="15"/>
      <c r="BW18" s="15"/>
      <c r="BX18" s="2567"/>
      <c r="BZ18" s="457"/>
      <c r="CA18" s="457"/>
      <c r="CB18" s="457"/>
      <c r="CD18" s="15"/>
      <c r="CE18" s="15"/>
      <c r="CF18" s="15"/>
      <c r="CG18" s="2567"/>
      <c r="CI18" s="449"/>
      <c r="CJ18" s="449"/>
      <c r="CK18" s="449"/>
      <c r="CM18" s="15"/>
      <c r="CN18" s="15"/>
      <c r="CO18" s="15"/>
      <c r="CP18" s="2567"/>
      <c r="CS18" s="2844"/>
      <c r="CT18" s="2844"/>
      <c r="CU18" s="2844"/>
      <c r="CV18" s="2592"/>
      <c r="CW18" s="2844"/>
      <c r="CX18" s="2844"/>
      <c r="CY18" s="2844"/>
      <c r="CZ18" s="2592"/>
      <c r="DA18" s="2847"/>
      <c r="DB18" s="2847"/>
      <c r="DC18" s="2847"/>
      <c r="DD18" s="2846"/>
    </row>
    <row r="19" spans="1:108">
      <c r="A19" s="2794" t="s">
        <v>1965</v>
      </c>
      <c r="B19" s="5">
        <v>41712</v>
      </c>
      <c r="C19" s="4" t="s">
        <v>36</v>
      </c>
      <c r="D19" s="441">
        <v>-1</v>
      </c>
      <c r="F19" s="2570"/>
      <c r="G19" s="2570"/>
      <c r="H19" s="2570"/>
      <c r="I19" s="2574"/>
      <c r="K19" s="449"/>
      <c r="L19" s="449"/>
      <c r="M19" s="2806"/>
      <c r="N19" s="2604">
        <v>494</v>
      </c>
      <c r="O19" s="2604">
        <v>317</v>
      </c>
      <c r="P19" s="2605">
        <v>252</v>
      </c>
      <c r="Q19" s="2605">
        <v>245</v>
      </c>
      <c r="R19" s="2605">
        <v>249</v>
      </c>
      <c r="T19" s="449"/>
      <c r="U19" s="449"/>
      <c r="V19" s="449"/>
      <c r="X19" s="2603">
        <v>11.5</v>
      </c>
      <c r="Y19" s="2604"/>
      <c r="AA19" s="2590">
        <v>9.3000000000000007</v>
      </c>
      <c r="AB19" s="2591"/>
      <c r="AD19" s="449"/>
      <c r="AE19" s="449"/>
      <c r="AF19" s="449"/>
      <c r="AH19" s="2570"/>
      <c r="AI19" s="2570"/>
      <c r="AJ19" s="2570"/>
      <c r="AK19" s="2574"/>
      <c r="AM19" s="2605">
        <v>360</v>
      </c>
      <c r="AN19" s="2605">
        <v>379</v>
      </c>
      <c r="AO19" s="2605">
        <v>360</v>
      </c>
      <c r="AQ19" s="15">
        <f>AM19/P19</f>
        <v>1.4285714285714286</v>
      </c>
      <c r="AR19" s="15">
        <f>AN19/Q19</f>
        <v>1.546938775510204</v>
      </c>
      <c r="AS19" s="15">
        <f>AO19/R19</f>
        <v>1.4457831325301205</v>
      </c>
      <c r="AT19" s="2628">
        <f>AVERAGE(AQ19:AS19)</f>
        <v>1.4737644455372509</v>
      </c>
      <c r="AV19" s="15">
        <f>P19/AM19</f>
        <v>0.7</v>
      </c>
      <c r="AW19" s="15">
        <f>Q19/AN19</f>
        <v>0.64643799472295516</v>
      </c>
      <c r="AX19" s="15">
        <f>R19/AO19</f>
        <v>0.69166666666666665</v>
      </c>
      <c r="AY19" s="2628">
        <f>AVERAGE(AV19:AX19)</f>
        <v>0.67936822046320733</v>
      </c>
      <c r="BA19" s="1238"/>
      <c r="BB19" s="1238"/>
      <c r="BC19" s="1238"/>
      <c r="BD19" s="2567"/>
      <c r="BF19" s="449"/>
      <c r="BG19" s="449"/>
      <c r="BH19" s="2806"/>
      <c r="BI19" s="2604">
        <v>394</v>
      </c>
      <c r="BJ19" s="2604">
        <v>557</v>
      </c>
      <c r="BK19" s="2604">
        <v>497</v>
      </c>
      <c r="BL19" s="2604">
        <v>457</v>
      </c>
      <c r="BM19" s="2604">
        <v>455</v>
      </c>
      <c r="BO19" s="2801"/>
      <c r="BP19" s="2801"/>
      <c r="BQ19" s="2801"/>
      <c r="BR19" s="15">
        <f>BI19/N19</f>
        <v>0.79757085020242913</v>
      </c>
      <c r="BS19" s="15"/>
      <c r="BT19" s="15">
        <f>BJ19/O19</f>
        <v>1.7570977917981072</v>
      </c>
      <c r="BU19" s="15">
        <f>BK19/P19</f>
        <v>1.9722222222222223</v>
      </c>
      <c r="BV19" s="15">
        <f>BL19/Q19</f>
        <v>1.8653061224489795</v>
      </c>
      <c r="BW19" s="15">
        <f>BM19/R19</f>
        <v>1.8273092369477912</v>
      </c>
      <c r="BX19" s="2567">
        <f>AVERAGE(BU19:BW19)</f>
        <v>1.8882791938729977</v>
      </c>
      <c r="BZ19" s="2604">
        <v>63.5</v>
      </c>
      <c r="CA19" s="2604">
        <v>104</v>
      </c>
      <c r="CB19" s="2604">
        <v>106</v>
      </c>
      <c r="CD19" s="15">
        <f>BZ19/P19</f>
        <v>0.25198412698412698</v>
      </c>
      <c r="CE19" s="15">
        <f>CA19/Q19</f>
        <v>0.42448979591836733</v>
      </c>
      <c r="CF19" s="15">
        <f>CB19/R19</f>
        <v>0.42570281124497994</v>
      </c>
      <c r="CG19" s="2567">
        <f>AVERAGE(CD19:CF19)</f>
        <v>0.36739224471582471</v>
      </c>
      <c r="CI19" s="449">
        <f>BK19+BZ19</f>
        <v>560.5</v>
      </c>
      <c r="CJ19" s="449">
        <f>BL19+CA19</f>
        <v>561</v>
      </c>
      <c r="CK19" s="449">
        <f>BM19+CB19</f>
        <v>561</v>
      </c>
      <c r="CM19" s="15">
        <f>CI19/P19</f>
        <v>2.2242063492063493</v>
      </c>
      <c r="CN19" s="15">
        <f>CJ19/Q19</f>
        <v>2.2897959183673469</v>
      </c>
      <c r="CO19" s="15">
        <f>CK19/R19</f>
        <v>2.2530120481927711</v>
      </c>
      <c r="CP19" s="2567">
        <f>AVERAGE(CM19:CO19)</f>
        <v>2.2556714385888221</v>
      </c>
      <c r="CS19" s="2844"/>
      <c r="CT19" s="2844"/>
      <c r="CU19" s="2844"/>
      <c r="CV19" s="2592"/>
      <c r="CW19" s="2844"/>
      <c r="CX19" s="2844"/>
      <c r="CY19" s="2844"/>
      <c r="CZ19" s="2592"/>
      <c r="DA19" s="2847"/>
      <c r="DB19" s="2847"/>
      <c r="DC19" s="2847"/>
      <c r="DD19" s="2846"/>
    </row>
    <row r="20" spans="1:108">
      <c r="A20" s="2565"/>
      <c r="B20" s="5"/>
      <c r="C20" s="2565"/>
      <c r="D20" s="2614"/>
      <c r="F20" s="2569"/>
      <c r="G20" s="2569"/>
      <c r="H20" s="2569"/>
      <c r="I20" s="2565"/>
      <c r="K20" s="4"/>
      <c r="L20" s="4"/>
      <c r="M20" s="4"/>
      <c r="N20" s="4"/>
      <c r="O20" s="4"/>
      <c r="P20" s="2583"/>
      <c r="Q20" s="2586"/>
      <c r="R20" s="2586"/>
      <c r="T20" s="165"/>
      <c r="U20" s="11"/>
      <c r="V20" s="11"/>
      <c r="X20" s="2588"/>
      <c r="Y20" s="4"/>
      <c r="AA20" s="2589"/>
      <c r="AB20" s="2583"/>
      <c r="AD20" s="165"/>
      <c r="AE20" s="11"/>
      <c r="AF20" s="11"/>
      <c r="AH20" s="2569"/>
      <c r="AI20" s="2569"/>
      <c r="AJ20" s="2569"/>
      <c r="AK20" s="2565"/>
      <c r="AM20" s="2583"/>
      <c r="AN20" s="2583"/>
      <c r="AO20" s="2583"/>
      <c r="AQ20" s="15"/>
      <c r="AR20" s="15"/>
      <c r="AS20" s="15"/>
      <c r="AT20" s="2628"/>
      <c r="AV20" s="15"/>
      <c r="AW20" s="15"/>
      <c r="AX20" s="15"/>
      <c r="AY20" s="2628"/>
      <c r="BA20" s="2565"/>
      <c r="BB20" s="2565"/>
      <c r="BC20" s="2565"/>
      <c r="BD20" s="2565"/>
      <c r="BF20" s="4"/>
      <c r="BG20" s="4"/>
      <c r="BH20" s="4"/>
      <c r="BI20" s="4"/>
      <c r="BJ20" s="4"/>
      <c r="BK20" s="4"/>
      <c r="BL20" s="4"/>
      <c r="BM20" s="4"/>
      <c r="BO20" s="2802"/>
      <c r="BP20" s="2802"/>
      <c r="BQ20" s="2802"/>
      <c r="BR20" s="2802"/>
      <c r="BS20" s="2802"/>
      <c r="BT20" s="2802"/>
      <c r="BU20" s="2566"/>
      <c r="BV20" s="2566"/>
      <c r="BW20" s="2566"/>
      <c r="BX20" s="2657"/>
      <c r="BZ20" s="4"/>
      <c r="CA20" s="4"/>
      <c r="CB20" s="4"/>
      <c r="CD20" s="2566"/>
      <c r="CE20" s="2566"/>
      <c r="CF20" s="2566"/>
      <c r="CG20" s="2854"/>
      <c r="CI20" s="95"/>
      <c r="CJ20" s="95"/>
      <c r="CK20" s="95"/>
      <c r="CM20" s="2566"/>
      <c r="CN20" s="2566"/>
      <c r="CO20" s="2566"/>
      <c r="CP20" s="2854"/>
      <c r="CS20" s="2606"/>
      <c r="CT20" s="2606"/>
      <c r="CU20" s="2606"/>
      <c r="CV20" s="2592"/>
      <c r="CW20" s="2606"/>
      <c r="CX20" s="2606"/>
      <c r="CY20" s="2606"/>
      <c r="CZ20" s="2592"/>
      <c r="DA20" s="2682"/>
      <c r="DB20" s="2682"/>
      <c r="DC20" s="2682"/>
      <c r="DD20" s="2682"/>
    </row>
    <row r="21" spans="1:108">
      <c r="A21" s="2642" t="s">
        <v>505</v>
      </c>
      <c r="B21" s="5"/>
      <c r="C21" s="2559" t="s">
        <v>36</v>
      </c>
      <c r="D21" s="2645">
        <f>SUM(D15:D19)/5</f>
        <v>-0.2</v>
      </c>
      <c r="F21" s="2569"/>
      <c r="G21" s="2569"/>
      <c r="H21" s="2569"/>
      <c r="I21" s="3236">
        <f>AVERAGE(I15:I18)</f>
        <v>4.9333333333333336</v>
      </c>
      <c r="K21" s="4"/>
      <c r="L21" s="4"/>
      <c r="M21" s="4"/>
      <c r="N21" s="4"/>
      <c r="O21" s="4"/>
      <c r="P21" s="2583"/>
      <c r="Q21" s="2586"/>
      <c r="R21" s="2586"/>
      <c r="T21" s="165"/>
      <c r="U21" s="11"/>
      <c r="V21" s="11"/>
      <c r="X21" s="2588"/>
      <c r="Y21" s="4"/>
      <c r="AA21" s="2589"/>
      <c r="AB21" s="2583"/>
      <c r="AD21" s="165"/>
      <c r="AE21" s="11"/>
      <c r="AF21" s="11"/>
      <c r="AH21" s="2664">
        <f>AVERAGE(AH15:AH18)</f>
        <v>5.3388169053188861</v>
      </c>
      <c r="AI21" s="2664">
        <f>AVERAGE(AI15:AI18)</f>
        <v>5.1353044955098408</v>
      </c>
      <c r="AJ21" s="2664">
        <f>AVERAGE(AJ15:AJ18)</f>
        <v>4.2852375774936364</v>
      </c>
      <c r="AK21" s="3237">
        <f>AVERAGE(AK15:AK18)</f>
        <v>5.1335165279829846</v>
      </c>
      <c r="AM21" s="2862">
        <f>AVERAGE(AM15:AM18)</f>
        <v>377.43333333333334</v>
      </c>
      <c r="AN21" s="2862">
        <f>AVERAGE(AN15:AN18)</f>
        <v>400.13333333333338</v>
      </c>
      <c r="AO21" s="2862">
        <f>AVERAGE(AO15:AO18)</f>
        <v>427.73333333333335</v>
      </c>
      <c r="AQ21" s="2664">
        <f>AVERAGE(AQ15:AQ17,AQ19)</f>
        <v>1.4347563656611717</v>
      </c>
      <c r="AR21" s="2664">
        <f>AVERAGE(AR15:AR17,AR19)</f>
        <v>1.5206129582929284</v>
      </c>
      <c r="AS21" s="2664">
        <f>AVERAGE(AS15:AS17,AS19)</f>
        <v>1.5515428734081205</v>
      </c>
      <c r="AT21" s="2750">
        <f>AVERAGE(AT15:AT17,AT19)</f>
        <v>1.5023040657874065</v>
      </c>
      <c r="AV21" s="2664">
        <f>AVERAGE(AV15:AV17,AV19)</f>
        <v>0.69718886956696569</v>
      </c>
      <c r="AW21" s="2664">
        <f>AVERAGE(AW15:AW17,AW19)</f>
        <v>0.66103029731441731</v>
      </c>
      <c r="AX21" s="2664">
        <f>AVERAGE(AX15:AX17,AX19)</f>
        <v>0.65214464595041943</v>
      </c>
      <c r="AY21" s="2750">
        <f>AVERAGE(AY15:AY17,AY19)</f>
        <v>0.67012127094393414</v>
      </c>
      <c r="BA21" s="2664">
        <f>AVERAGE(BA15:BA17)</f>
        <v>0.51128166919289397</v>
      </c>
      <c r="BB21" s="2664">
        <f>AVERAGE(BB15:BB17)</f>
        <v>0.54288794929306738</v>
      </c>
      <c r="BC21" s="2664">
        <f>AVERAGE(BC15:BC17)</f>
        <v>0.5809846096649679</v>
      </c>
      <c r="BD21" s="2727">
        <f>AVERAGE(BD15:BD17)</f>
        <v>0.54505140938364305</v>
      </c>
      <c r="BF21" s="4"/>
      <c r="BG21" s="4"/>
      <c r="BH21" s="4"/>
      <c r="BI21" s="4"/>
      <c r="BJ21" s="4"/>
      <c r="BK21" s="4"/>
      <c r="BL21" s="4"/>
      <c r="BM21" s="4"/>
      <c r="BO21" s="2664"/>
      <c r="BP21" s="2664">
        <f>AVERAGE(BP15:BP17)</f>
        <v>0.49485085960755731</v>
      </c>
      <c r="BQ21" s="2664">
        <f>AVERAGE(BQ15:BQ17)</f>
        <v>0.57642213642213636</v>
      </c>
      <c r="BR21" s="2664">
        <f>AVERAGE(BR15:BR17)</f>
        <v>0.79598308668076123</v>
      </c>
      <c r="BS21" s="2664"/>
      <c r="BT21" s="2664">
        <f>AVERAGE(BT15:BT17)</f>
        <v>1.699185780955218</v>
      </c>
      <c r="BU21" s="2566"/>
      <c r="BV21" s="2566"/>
      <c r="BW21" s="2566"/>
      <c r="BX21" s="2832">
        <f>AVERAGE(BX15:BX17,BX19)</f>
        <v>1.821809890975403</v>
      </c>
      <c r="BZ21" s="4"/>
      <c r="CA21" s="4"/>
      <c r="CB21" s="4"/>
      <c r="CD21" s="2566"/>
      <c r="CE21" s="2566"/>
      <c r="CF21" s="2566"/>
      <c r="CG21" s="2832">
        <f>AVERAGE(CG15:CG17,CG19)</f>
        <v>0.34342868120486242</v>
      </c>
      <c r="CI21" s="95"/>
      <c r="CJ21" s="95"/>
      <c r="CK21" s="95"/>
      <c r="CM21" s="2566"/>
      <c r="CN21" s="2566"/>
      <c r="CO21" s="2566"/>
      <c r="CP21" s="2832">
        <f>AVERAGE(CP15:CP17,CP19)</f>
        <v>2.1596762457171228</v>
      </c>
      <c r="CS21" s="2606"/>
      <c r="CT21" s="2606"/>
      <c r="CU21" s="2606"/>
      <c r="CV21" s="2592"/>
      <c r="CW21" s="2606"/>
      <c r="CX21" s="2606"/>
      <c r="CY21" s="2606"/>
      <c r="CZ21" s="2592"/>
      <c r="DA21" s="2848"/>
      <c r="DB21" s="2848"/>
      <c r="DC21" s="2848"/>
      <c r="DD21" s="2849"/>
    </row>
    <row r="22" spans="1:108" ht="3.75" customHeight="1">
      <c r="B22" s="2648"/>
      <c r="F22" s="2622"/>
      <c r="G22" s="2622"/>
      <c r="H22" s="2622"/>
      <c r="Q22" s="2620"/>
      <c r="R22" s="2620"/>
      <c r="T22" s="2618"/>
      <c r="X22" s="2616"/>
      <c r="AA22" s="2623"/>
      <c r="AD22" s="2618"/>
      <c r="AH22" s="2622"/>
      <c r="AI22" s="2622"/>
      <c r="AJ22" s="2622"/>
      <c r="AQ22" s="2625"/>
      <c r="AR22" s="2625"/>
      <c r="AS22" s="2625"/>
      <c r="AT22" s="2629"/>
      <c r="AV22" s="2625"/>
      <c r="AW22" s="2625"/>
      <c r="AX22" s="2625"/>
      <c r="AY22" s="2629"/>
      <c r="BO22" s="2803"/>
      <c r="BP22" s="2803"/>
      <c r="BQ22" s="2803"/>
      <c r="BR22" s="2803"/>
      <c r="BS22" s="2803"/>
      <c r="BT22" s="2803"/>
      <c r="BU22" s="2626"/>
      <c r="BV22" s="2626"/>
      <c r="BW22" s="2626"/>
      <c r="BX22" s="2561"/>
      <c r="CD22" s="2626"/>
      <c r="CE22" s="2626"/>
      <c r="CF22" s="2626"/>
      <c r="CG22" s="2561"/>
      <c r="CM22" s="2626"/>
      <c r="CN22" s="2626"/>
      <c r="CO22" s="2626"/>
      <c r="CP22" s="2561"/>
      <c r="CS22" s="2606"/>
      <c r="CT22" s="2606"/>
      <c r="CU22" s="2606"/>
      <c r="CV22" s="2592"/>
      <c r="CW22" s="2606"/>
      <c r="CX22" s="2606"/>
      <c r="CY22" s="2606"/>
      <c r="CZ22" s="2592"/>
      <c r="DA22" s="2682"/>
      <c r="DB22" s="2682"/>
      <c r="DC22" s="2682"/>
      <c r="DD22" s="2682"/>
    </row>
    <row r="23" spans="1:108">
      <c r="A23" s="2565"/>
      <c r="B23" s="5"/>
      <c r="C23" s="2565"/>
      <c r="D23" s="2614"/>
      <c r="F23" s="2569"/>
      <c r="G23" s="2569"/>
      <c r="H23" s="2569"/>
      <c r="I23" s="2565"/>
      <c r="K23" s="4"/>
      <c r="L23" s="4"/>
      <c r="M23" s="4"/>
      <c r="N23" s="4"/>
      <c r="O23" s="4"/>
      <c r="P23" s="2583"/>
      <c r="Q23" s="2586"/>
      <c r="R23" s="2586"/>
      <c r="T23" s="165"/>
      <c r="U23" s="11"/>
      <c r="V23" s="11"/>
      <c r="X23" s="2588"/>
      <c r="Y23" s="4"/>
      <c r="AA23" s="2589"/>
      <c r="AB23" s="2583"/>
      <c r="AD23" s="165"/>
      <c r="AE23" s="11"/>
      <c r="AF23" s="11"/>
      <c r="AH23" s="2569"/>
      <c r="AI23" s="2569"/>
      <c r="AJ23" s="2569"/>
      <c r="AK23" s="2565"/>
      <c r="AM23" s="2583"/>
      <c r="AN23" s="2583"/>
      <c r="AO23" s="2583"/>
      <c r="AQ23" s="15"/>
      <c r="AR23" s="15"/>
      <c r="AS23" s="15"/>
      <c r="AT23" s="2628"/>
      <c r="AV23" s="15"/>
      <c r="AW23" s="15"/>
      <c r="AX23" s="15"/>
      <c r="AY23" s="2628"/>
      <c r="BA23" s="2565"/>
      <c r="BB23" s="2565"/>
      <c r="BC23" s="2565"/>
      <c r="BD23" s="2565"/>
      <c r="BF23" s="4"/>
      <c r="BG23" s="4"/>
      <c r="BH23" s="4"/>
      <c r="BI23" s="4"/>
      <c r="BJ23" s="4"/>
      <c r="BK23" s="4"/>
      <c r="BL23" s="4"/>
      <c r="BM23" s="4"/>
      <c r="BO23" s="2802"/>
      <c r="BP23" s="2802"/>
      <c r="BQ23" s="2802"/>
      <c r="BR23" s="2802"/>
      <c r="BS23" s="2802"/>
      <c r="BT23" s="2802"/>
      <c r="BU23" s="2566"/>
      <c r="BV23" s="2566"/>
      <c r="BW23" s="2566"/>
      <c r="BX23" s="2657"/>
      <c r="BZ23" s="4"/>
      <c r="CA23" s="4"/>
      <c r="CB23" s="4"/>
      <c r="CD23" s="2566"/>
      <c r="CE23" s="2566"/>
      <c r="CF23" s="2566"/>
      <c r="CG23" s="2854"/>
      <c r="CI23" s="95"/>
      <c r="CJ23" s="95"/>
      <c r="CK23" s="95"/>
      <c r="CM23" s="2566"/>
      <c r="CN23" s="2566"/>
      <c r="CO23" s="2566"/>
      <c r="CP23" s="2854"/>
      <c r="CS23" s="2606"/>
      <c r="CT23" s="2606"/>
      <c r="CU23" s="2606"/>
      <c r="CV23" s="2592"/>
      <c r="CW23" s="2606"/>
      <c r="CX23" s="2606"/>
      <c r="CY23" s="2606"/>
      <c r="CZ23" s="2592"/>
      <c r="DA23" s="2682"/>
      <c r="DB23" s="2682"/>
      <c r="DC23" s="2682"/>
      <c r="DD23" s="2682"/>
    </row>
    <row r="24" spans="1:108">
      <c r="A24" s="4" t="s">
        <v>1931</v>
      </c>
      <c r="B24" s="5">
        <v>41752</v>
      </c>
      <c r="C24" s="4" t="s">
        <v>38</v>
      </c>
      <c r="D24" s="441">
        <v>1</v>
      </c>
      <c r="F24" s="2573">
        <v>9.6</v>
      </c>
      <c r="G24" s="2573">
        <v>8.8000000000000007</v>
      </c>
      <c r="H24" s="2573">
        <v>8.1</v>
      </c>
      <c r="I24" s="2574">
        <f>AVERAGE(F24:H24)</f>
        <v>8.8333333333333339</v>
      </c>
      <c r="K24" s="449"/>
      <c r="L24" s="449"/>
      <c r="M24" s="449"/>
      <c r="N24" s="449"/>
      <c r="O24" s="2806"/>
      <c r="P24" s="2605">
        <v>890.6</v>
      </c>
      <c r="Q24" s="2605">
        <v>951.1</v>
      </c>
      <c r="R24" s="2605">
        <v>1002</v>
      </c>
      <c r="T24" s="449">
        <f t="shared" ref="T24:V25" si="21">F24*P24</f>
        <v>8549.76</v>
      </c>
      <c r="U24" s="449">
        <f t="shared" si="21"/>
        <v>8369.68</v>
      </c>
      <c r="V24" s="449">
        <f t="shared" si="21"/>
        <v>8116.2</v>
      </c>
      <c r="X24" s="2603">
        <v>45.63</v>
      </c>
      <c r="Y24" s="2604">
        <v>5164.1000000000004</v>
      </c>
      <c r="AA24" s="2590">
        <v>50</v>
      </c>
      <c r="AB24" s="2643">
        <v>5721</v>
      </c>
      <c r="AD24" s="449">
        <f t="shared" ref="AD24:AF25" si="22">T24-$Y24+$AB24</f>
        <v>9106.66</v>
      </c>
      <c r="AE24" s="449">
        <f t="shared" si="22"/>
        <v>8926.58</v>
      </c>
      <c r="AF24" s="449">
        <f t="shared" si="22"/>
        <v>8673.0999999999985</v>
      </c>
      <c r="AH24" s="2570">
        <f t="shared" ref="AH24:AJ25" si="23">AD24/P24</f>
        <v>10.22530878059735</v>
      </c>
      <c r="AI24" s="2570">
        <f t="shared" si="23"/>
        <v>9.385532541268006</v>
      </c>
      <c r="AJ24" s="2570">
        <f t="shared" si="23"/>
        <v>8.655788423153691</v>
      </c>
      <c r="AK24" s="2574">
        <f>AVERAGE(AH24:AJ24)</f>
        <v>9.4222099150063503</v>
      </c>
      <c r="AM24" s="2605">
        <v>-1102.4000000000001</v>
      </c>
      <c r="AN24" s="2605">
        <v>-683.1</v>
      </c>
      <c r="AO24" s="2605">
        <v>-229.5</v>
      </c>
      <c r="AQ24" s="15">
        <f t="shared" ref="AQ24:AS25" si="24">AM24/P24</f>
        <v>-1.2378172018863689</v>
      </c>
      <c r="AR24" s="15">
        <f t="shared" si="24"/>
        <v>-0.71822100725475768</v>
      </c>
      <c r="AS24" s="15">
        <f t="shared" si="24"/>
        <v>-0.22904191616766467</v>
      </c>
      <c r="AT24" s="2628">
        <f>AVERAGE(AQ24:AS24)</f>
        <v>-0.72836004176959701</v>
      </c>
      <c r="AV24" s="15">
        <f t="shared" ref="AV24:AX25" si="25">P24/AM24</f>
        <v>-0.80787373004354135</v>
      </c>
      <c r="AW24" s="15">
        <f t="shared" si="25"/>
        <v>-1.392329087981262</v>
      </c>
      <c r="AX24" s="15">
        <f t="shared" si="25"/>
        <v>-4.3660130718954244</v>
      </c>
      <c r="AY24" s="2628">
        <f>AVERAGE(AV24:AX24)</f>
        <v>-2.1887386299734093</v>
      </c>
      <c r="BA24" s="15">
        <f t="shared" ref="BA24:BC25" si="26">AM24/$AB24</f>
        <v>-0.19269358503758086</v>
      </c>
      <c r="BB24" s="15">
        <f t="shared" si="26"/>
        <v>-0.1194022024121657</v>
      </c>
      <c r="BC24" s="15">
        <f t="shared" si="26"/>
        <v>-4.0115364446775041E-2</v>
      </c>
      <c r="BD24" s="2567">
        <f>AVERAGE(BA24:BC24)</f>
        <v>-0.11740371729884053</v>
      </c>
      <c r="BF24" s="449"/>
      <c r="BG24" s="449"/>
      <c r="BH24" s="449"/>
      <c r="BI24" s="449"/>
      <c r="BJ24" s="2806"/>
      <c r="BK24" s="2604">
        <v>3342.1</v>
      </c>
      <c r="BL24" s="2604">
        <v>3146</v>
      </c>
      <c r="BM24" s="2604">
        <v>2901.9</v>
      </c>
      <c r="BO24" s="2801"/>
      <c r="BP24" s="2801"/>
      <c r="BQ24" s="2801"/>
      <c r="BR24" s="2801"/>
      <c r="BS24" s="2801"/>
      <c r="BT24" s="2801"/>
      <c r="BU24" s="15">
        <f t="shared" ref="BU24:BW25" si="27">BK24/P24</f>
        <v>3.7526386705591732</v>
      </c>
      <c r="BV24" s="15">
        <f t="shared" si="27"/>
        <v>3.3077489223004939</v>
      </c>
      <c r="BW24" s="15">
        <f t="shared" si="27"/>
        <v>2.896107784431138</v>
      </c>
      <c r="BX24" s="2567">
        <f>AVERAGE(BU24:BW24)</f>
        <v>3.3188317924302684</v>
      </c>
      <c r="BZ24" s="2604">
        <v>449.6</v>
      </c>
      <c r="CA24" s="2604">
        <v>645.70000000000005</v>
      </c>
      <c r="CB24" s="2604">
        <v>888.5</v>
      </c>
      <c r="CD24" s="15">
        <f>BZ24/P24</f>
        <v>0.50482820570401976</v>
      </c>
      <c r="CE24" s="15">
        <f>CA24/Q24</f>
        <v>0.67889811796866784</v>
      </c>
      <c r="CF24" s="15">
        <f>CB24/R24</f>
        <v>0.88672654690618757</v>
      </c>
      <c r="CG24" s="2567">
        <f>AVERAGE(CD24:CF24)</f>
        <v>0.69015095685962502</v>
      </c>
      <c r="CI24" s="449">
        <f>BK24+BZ24</f>
        <v>3791.7</v>
      </c>
      <c r="CJ24" s="449">
        <f>BL24+CA24</f>
        <v>3791.7</v>
      </c>
      <c r="CK24" s="449">
        <f>BM24+CB24</f>
        <v>3790.4</v>
      </c>
      <c r="CM24" s="15">
        <f>CI24/P24</f>
        <v>4.2574668762631926</v>
      </c>
      <c r="CN24" s="15">
        <f>CJ24/Q24</f>
        <v>3.9866470402691618</v>
      </c>
      <c r="CO24" s="15">
        <f>CK24/R24</f>
        <v>3.7828343313373254</v>
      </c>
      <c r="CP24" s="2567">
        <f>AVERAGE(CM24:CO24)</f>
        <v>4.0089827492898928</v>
      </c>
      <c r="CS24" s="2844"/>
      <c r="CT24" s="2844"/>
      <c r="CU24" s="2844"/>
      <c r="CV24" s="2592"/>
      <c r="CW24" s="2844"/>
      <c r="CX24" s="2844"/>
      <c r="CY24" s="2844"/>
      <c r="CZ24" s="2592"/>
      <c r="DA24" s="2845"/>
      <c r="DB24" s="2845"/>
      <c r="DC24" s="2845"/>
      <c r="DD24" s="2846"/>
    </row>
    <row r="25" spans="1:108">
      <c r="A25" s="4" t="s">
        <v>1936</v>
      </c>
      <c r="B25" s="5">
        <v>41771</v>
      </c>
      <c r="C25" s="4" t="s">
        <v>38</v>
      </c>
      <c r="D25" s="441">
        <v>0</v>
      </c>
      <c r="F25" s="2573">
        <v>9.3000000000000007</v>
      </c>
      <c r="G25" s="2573">
        <v>9.1999999999999993</v>
      </c>
      <c r="H25" s="2573">
        <v>8.6999999999999993</v>
      </c>
      <c r="I25" s="2574">
        <f>AVERAGE(F25:H25)</f>
        <v>9.0666666666666664</v>
      </c>
      <c r="K25" s="449"/>
      <c r="L25" s="449"/>
      <c r="M25" s="449"/>
      <c r="N25" s="449"/>
      <c r="O25" s="2806"/>
      <c r="P25" s="2605">
        <v>885.7</v>
      </c>
      <c r="Q25" s="2605">
        <v>919.5</v>
      </c>
      <c r="R25" s="2605">
        <v>951.3</v>
      </c>
      <c r="T25" s="449">
        <f t="shared" si="21"/>
        <v>8237.01</v>
      </c>
      <c r="U25" s="449">
        <f t="shared" si="21"/>
        <v>8459.4</v>
      </c>
      <c r="V25" s="449">
        <f t="shared" si="21"/>
        <v>8276.31</v>
      </c>
      <c r="X25" s="2603">
        <v>42</v>
      </c>
      <c r="Y25" s="2604">
        <v>4760</v>
      </c>
      <c r="AA25" s="2590">
        <v>42</v>
      </c>
      <c r="AB25" s="2591">
        <f>Y25/X25*AA25</f>
        <v>4760</v>
      </c>
      <c r="AD25" s="449">
        <f t="shared" si="22"/>
        <v>8237.01</v>
      </c>
      <c r="AE25" s="449">
        <f t="shared" si="22"/>
        <v>8459.4</v>
      </c>
      <c r="AF25" s="449">
        <f t="shared" si="22"/>
        <v>8276.31</v>
      </c>
      <c r="AH25" s="2570">
        <f t="shared" si="23"/>
        <v>9.2999999999999989</v>
      </c>
      <c r="AI25" s="2570">
        <f t="shared" si="23"/>
        <v>9.1999999999999993</v>
      </c>
      <c r="AJ25" s="2570">
        <f t="shared" si="23"/>
        <v>8.6999999999999993</v>
      </c>
      <c r="AK25" s="2574">
        <f>AVERAGE(AH25:AJ25)</f>
        <v>9.0666666666666664</v>
      </c>
      <c r="AM25" s="2605">
        <v>-1405.8</v>
      </c>
      <c r="AN25" s="2605">
        <v>-1819.6</v>
      </c>
      <c r="AO25" s="2605">
        <v>-1771.3</v>
      </c>
      <c r="AQ25" s="15">
        <f t="shared" si="24"/>
        <v>-1.5872191486959466</v>
      </c>
      <c r="AR25" s="15">
        <f t="shared" si="24"/>
        <v>-1.9789015769439913</v>
      </c>
      <c r="AS25" s="15">
        <f t="shared" si="24"/>
        <v>-1.861978345422054</v>
      </c>
      <c r="AT25" s="2628">
        <f>AVERAGE(AQ25:AS25)</f>
        <v>-1.8093663570206642</v>
      </c>
      <c r="AV25" s="15">
        <f t="shared" si="25"/>
        <v>-0.6300327215820174</v>
      </c>
      <c r="AW25" s="15">
        <f t="shared" si="25"/>
        <v>-0.50533084194328426</v>
      </c>
      <c r="AX25" s="15">
        <f t="shared" si="25"/>
        <v>-0.53706317394004399</v>
      </c>
      <c r="AY25" s="2628">
        <f>AVERAGE(AV25:AX25)</f>
        <v>-0.55747557915511525</v>
      </c>
      <c r="BA25" s="15">
        <f t="shared" si="26"/>
        <v>-0.29533613445378148</v>
      </c>
      <c r="BB25" s="15">
        <f t="shared" si="26"/>
        <v>-0.38226890756302517</v>
      </c>
      <c r="BC25" s="15">
        <f t="shared" si="26"/>
        <v>-0.37212184873949578</v>
      </c>
      <c r="BD25" s="2567">
        <f>AVERAGE(BA25:BC25)</f>
        <v>-0.34990896358543416</v>
      </c>
      <c r="BF25" s="449"/>
      <c r="BG25" s="449"/>
      <c r="BH25" s="449"/>
      <c r="BI25" s="449"/>
      <c r="BJ25" s="2806"/>
      <c r="BK25" s="2604">
        <v>3511.4</v>
      </c>
      <c r="BL25" s="2604">
        <v>3872.3</v>
      </c>
      <c r="BM25" s="2604">
        <v>3792.8</v>
      </c>
      <c r="BO25" s="2801"/>
      <c r="BP25" s="2801"/>
      <c r="BQ25" s="2801"/>
      <c r="BR25" s="2801"/>
      <c r="BS25" s="2801"/>
      <c r="BT25" s="2801"/>
      <c r="BU25" s="15">
        <f t="shared" si="27"/>
        <v>3.9645478152873435</v>
      </c>
      <c r="BV25" s="15">
        <f t="shared" si="27"/>
        <v>4.2113104948341489</v>
      </c>
      <c r="BW25" s="15">
        <f t="shared" si="27"/>
        <v>3.9869652055082523</v>
      </c>
      <c r="BX25" s="2567">
        <f>AVERAGE(BU25:BW25)</f>
        <v>4.0542745052099152</v>
      </c>
      <c r="BZ25" s="2856"/>
      <c r="CA25" s="2856"/>
      <c r="CB25" s="2856"/>
      <c r="CD25" s="15"/>
      <c r="CE25" s="15"/>
      <c r="CF25" s="15"/>
      <c r="CG25" s="2567"/>
      <c r="CI25" s="449"/>
      <c r="CJ25" s="449"/>
      <c r="CK25" s="449"/>
      <c r="CM25" s="15"/>
      <c r="CN25" s="15"/>
      <c r="CO25" s="15"/>
      <c r="CP25" s="2567"/>
      <c r="CS25" s="2844"/>
      <c r="CT25" s="2844"/>
      <c r="CU25" s="2844"/>
      <c r="CV25" s="2592"/>
      <c r="CW25" s="2844"/>
      <c r="CX25" s="2844"/>
      <c r="CY25" s="2844"/>
      <c r="CZ25" s="2592"/>
      <c r="DA25" s="2845"/>
      <c r="DB25" s="2845"/>
      <c r="DC25" s="2845"/>
      <c r="DD25" s="2846"/>
    </row>
    <row r="26" spans="1:108">
      <c r="A26" s="4" t="s">
        <v>1945</v>
      </c>
      <c r="B26" s="5">
        <v>41765</v>
      </c>
      <c r="C26" s="4" t="s">
        <v>38</v>
      </c>
      <c r="D26" s="441">
        <v>0</v>
      </c>
      <c r="F26" s="2573">
        <v>9.6</v>
      </c>
      <c r="G26" s="2573">
        <v>9.3000000000000007</v>
      </c>
      <c r="H26" s="2573"/>
      <c r="I26" s="2574">
        <f>AVERAGE(F26:H26)</f>
        <v>9.4499999999999993</v>
      </c>
      <c r="K26" s="449"/>
      <c r="L26" s="449"/>
      <c r="M26" s="449"/>
      <c r="N26" s="449"/>
      <c r="O26" s="2806"/>
      <c r="P26" s="2605">
        <v>894</v>
      </c>
      <c r="Q26" s="2605">
        <v>907</v>
      </c>
      <c r="R26" s="2604">
        <v>935</v>
      </c>
      <c r="T26" s="449"/>
      <c r="U26" s="449"/>
      <c r="V26" s="449"/>
      <c r="X26" s="2603">
        <v>42.25</v>
      </c>
      <c r="Y26" s="165"/>
      <c r="AA26" s="2590">
        <v>40</v>
      </c>
      <c r="AB26" s="2591"/>
      <c r="AD26" s="449"/>
      <c r="AE26" s="449"/>
      <c r="AF26" s="449"/>
      <c r="AH26" s="2573">
        <v>9.3000000000000007</v>
      </c>
      <c r="AI26" s="2573">
        <v>9.1</v>
      </c>
      <c r="AJ26" s="2570"/>
      <c r="AK26" s="2574">
        <f>AVERAGE(AH26:AJ26)</f>
        <v>9.1999999999999993</v>
      </c>
      <c r="AM26" s="2605"/>
      <c r="AN26" s="2605"/>
      <c r="AO26" s="2605"/>
      <c r="AQ26" s="15"/>
      <c r="AR26" s="15"/>
      <c r="AS26" s="15"/>
      <c r="AT26" s="2628"/>
      <c r="AV26" s="15"/>
      <c r="AW26" s="15"/>
      <c r="AX26" s="15"/>
      <c r="AY26" s="2628"/>
      <c r="BA26" s="1238"/>
      <c r="BB26" s="1238"/>
      <c r="BC26" s="1238"/>
      <c r="BD26" s="2567"/>
      <c r="BF26" s="449"/>
      <c r="BG26" s="449"/>
      <c r="BH26" s="449"/>
      <c r="BI26" s="449"/>
      <c r="BJ26" s="2806"/>
      <c r="BK26" s="2604">
        <v>3526</v>
      </c>
      <c r="BL26" s="2604">
        <v>3477</v>
      </c>
      <c r="BM26" s="2604">
        <v>3305</v>
      </c>
      <c r="BO26" s="2801"/>
      <c r="BP26" s="2801"/>
      <c r="BQ26" s="2801"/>
      <c r="BR26" s="2801"/>
      <c r="BS26" s="2801"/>
      <c r="BT26" s="2801"/>
      <c r="BU26" s="15"/>
      <c r="BV26" s="15"/>
      <c r="BW26" s="15"/>
      <c r="BX26" s="2567"/>
      <c r="BZ26" s="457"/>
      <c r="CA26" s="457"/>
      <c r="CB26" s="457"/>
      <c r="CD26" s="15"/>
      <c r="CE26" s="15"/>
      <c r="CF26" s="15"/>
      <c r="CG26" s="2567"/>
      <c r="CI26" s="449"/>
      <c r="CJ26" s="449"/>
      <c r="CK26" s="449"/>
      <c r="CM26" s="15"/>
      <c r="CN26" s="15"/>
      <c r="CO26" s="15"/>
      <c r="CP26" s="2567"/>
      <c r="CS26" s="2844"/>
      <c r="CT26" s="2844"/>
      <c r="CU26" s="2844"/>
      <c r="CV26" s="2592"/>
      <c r="CW26" s="2844"/>
      <c r="CX26" s="2844"/>
      <c r="CY26" s="2844"/>
      <c r="CZ26" s="2592"/>
      <c r="DA26" s="2847"/>
      <c r="DB26" s="2847"/>
      <c r="DC26" s="2847"/>
      <c r="DD26" s="2846"/>
    </row>
    <row r="27" spans="1:108">
      <c r="A27" s="2794" t="s">
        <v>1965</v>
      </c>
      <c r="B27" s="5">
        <v>41712</v>
      </c>
      <c r="C27" s="4" t="s">
        <v>38</v>
      </c>
      <c r="D27" s="441">
        <v>0</v>
      </c>
      <c r="F27" s="2570"/>
      <c r="G27" s="2570"/>
      <c r="H27" s="2570"/>
      <c r="I27" s="2574"/>
      <c r="K27" s="449"/>
      <c r="L27" s="449"/>
      <c r="M27" s="449"/>
      <c r="N27" s="449"/>
      <c r="O27" s="2806"/>
      <c r="P27" s="2605">
        <v>838</v>
      </c>
      <c r="Q27" s="2605">
        <v>878</v>
      </c>
      <c r="R27" s="2605">
        <v>908</v>
      </c>
      <c r="T27" s="449"/>
      <c r="U27" s="449"/>
      <c r="V27" s="449"/>
      <c r="X27" s="2603">
        <v>45.3</v>
      </c>
      <c r="Y27" s="2604"/>
      <c r="AA27" s="2590">
        <v>47</v>
      </c>
      <c r="AB27" s="2591"/>
      <c r="AD27" s="449"/>
      <c r="AE27" s="449"/>
      <c r="AF27" s="449"/>
      <c r="AH27" s="2570"/>
      <c r="AI27" s="2570"/>
      <c r="AJ27" s="2570"/>
      <c r="AK27" s="2574"/>
      <c r="AM27" s="2605">
        <v>-1338</v>
      </c>
      <c r="AN27" s="2605">
        <v>-1307</v>
      </c>
      <c r="AO27" s="2605">
        <v>-1320</v>
      </c>
      <c r="AQ27" s="15">
        <f>AM27/P27</f>
        <v>-1.5966587112171837</v>
      </c>
      <c r="AR27" s="15">
        <f>AN27/Q27</f>
        <v>-1.4886104783599088</v>
      </c>
      <c r="AS27" s="15">
        <f>AO27/R27</f>
        <v>-1.4537444933920705</v>
      </c>
      <c r="AT27" s="2628">
        <f>AVERAGE(AQ27:AS27)</f>
        <v>-1.5130045609897209</v>
      </c>
      <c r="AV27" s="15">
        <f>P27/AM27</f>
        <v>-0.62630792227204779</v>
      </c>
      <c r="AW27" s="15">
        <f>Q27/AN27</f>
        <v>-0.67176740627390974</v>
      </c>
      <c r="AX27" s="15">
        <f>R27/AO27</f>
        <v>-0.68787878787878787</v>
      </c>
      <c r="AY27" s="2628">
        <f>AVERAGE(AV27:AX27)</f>
        <v>-0.66198470547491517</v>
      </c>
      <c r="BA27" s="1238"/>
      <c r="BB27" s="1238"/>
      <c r="BC27" s="1238"/>
      <c r="BD27" s="2567"/>
      <c r="BF27" s="449"/>
      <c r="BG27" s="449"/>
      <c r="BH27" s="449"/>
      <c r="BI27" s="449"/>
      <c r="BJ27" s="2806"/>
      <c r="BK27" s="2604">
        <v>3477</v>
      </c>
      <c r="BL27" s="2604">
        <v>3390</v>
      </c>
      <c r="BM27" s="2604">
        <v>3379</v>
      </c>
      <c r="BO27" s="2801"/>
      <c r="BP27" s="2801"/>
      <c r="BQ27" s="2801"/>
      <c r="BR27" s="2801"/>
      <c r="BS27" s="2801"/>
      <c r="BT27" s="2801"/>
      <c r="BU27" s="15">
        <f>BK27/P27</f>
        <v>4.1491646778042961</v>
      </c>
      <c r="BV27" s="15">
        <f>BL27/Q27</f>
        <v>3.8610478359908882</v>
      </c>
      <c r="BW27" s="15">
        <f>BM27/R27</f>
        <v>3.7213656387665197</v>
      </c>
      <c r="BX27" s="2567">
        <f>AVERAGE(BU27:BW27)</f>
        <v>3.9105260508539015</v>
      </c>
      <c r="BZ27" s="2604">
        <v>391</v>
      </c>
      <c r="CA27" s="2604">
        <v>529</v>
      </c>
      <c r="CB27" s="2604">
        <v>589</v>
      </c>
      <c r="CD27" s="15">
        <f>BZ27/P27</f>
        <v>0.46658711217183768</v>
      </c>
      <c r="CE27" s="15">
        <f>CA27/Q27</f>
        <v>0.60250569476082005</v>
      </c>
      <c r="CF27" s="15">
        <f>CB27/R27</f>
        <v>0.64867841409691629</v>
      </c>
      <c r="CG27" s="2567">
        <f>AVERAGE(CD27:CF27)</f>
        <v>0.57259040700985808</v>
      </c>
      <c r="CI27" s="449">
        <f>BK27+BZ27</f>
        <v>3868</v>
      </c>
      <c r="CJ27" s="449">
        <f>BL27+CA27</f>
        <v>3919</v>
      </c>
      <c r="CK27" s="449">
        <f>BM27+CB27</f>
        <v>3968</v>
      </c>
      <c r="CM27" s="15">
        <f>CI27/P27</f>
        <v>4.6157517899761338</v>
      </c>
      <c r="CN27" s="15">
        <f>CJ27/Q27</f>
        <v>4.4635535307517085</v>
      </c>
      <c r="CO27" s="15">
        <f>CK27/R27</f>
        <v>4.3700440528634363</v>
      </c>
      <c r="CP27" s="2567">
        <f>AVERAGE(CM27:CO27)</f>
        <v>4.4831164578637592</v>
      </c>
      <c r="CS27" s="2844"/>
      <c r="CT27" s="2844"/>
      <c r="CU27" s="2844"/>
      <c r="CV27" s="2592"/>
      <c r="CW27" s="2844"/>
      <c r="CX27" s="2844"/>
      <c r="CY27" s="2844"/>
      <c r="CZ27" s="2592"/>
      <c r="DA27" s="2847"/>
      <c r="DB27" s="2847"/>
      <c r="DC27" s="2847"/>
      <c r="DD27" s="2846"/>
    </row>
    <row r="28" spans="1:108">
      <c r="A28" s="2565"/>
      <c r="B28" s="5"/>
      <c r="C28" s="2565"/>
      <c r="D28" s="2614"/>
      <c r="F28" s="2569"/>
      <c r="G28" s="2569"/>
      <c r="H28" s="2569"/>
      <c r="I28" s="2565"/>
      <c r="K28" s="4"/>
      <c r="L28" s="4"/>
      <c r="M28" s="4"/>
      <c r="N28" s="4"/>
      <c r="O28" s="4"/>
      <c r="P28" s="2583"/>
      <c r="Q28" s="2586"/>
      <c r="R28" s="2586"/>
      <c r="T28" s="165"/>
      <c r="U28" s="11"/>
      <c r="V28" s="11"/>
      <c r="X28" s="2588"/>
      <c r="Y28" s="4"/>
      <c r="AA28" s="2589"/>
      <c r="AB28" s="2583"/>
      <c r="AD28" s="165"/>
      <c r="AE28" s="11"/>
      <c r="AF28" s="11"/>
      <c r="AH28" s="2569"/>
      <c r="AI28" s="2569"/>
      <c r="AJ28" s="2569"/>
      <c r="AK28" s="2565"/>
      <c r="AM28" s="2583"/>
      <c r="AN28" s="2583"/>
      <c r="AO28" s="2583"/>
      <c r="AQ28" s="15"/>
      <c r="AR28" s="15"/>
      <c r="AS28" s="15"/>
      <c r="AT28" s="2628"/>
      <c r="AV28" s="15"/>
      <c r="AW28" s="15"/>
      <c r="AX28" s="15"/>
      <c r="AY28" s="2628"/>
      <c r="BA28" s="2565"/>
      <c r="BB28" s="2565"/>
      <c r="BC28" s="2565"/>
      <c r="BD28" s="2565"/>
      <c r="BF28" s="4"/>
      <c r="BG28" s="4"/>
      <c r="BH28" s="4"/>
      <c r="BI28" s="4"/>
      <c r="BJ28" s="4"/>
      <c r="BK28" s="4"/>
      <c r="BL28" s="4"/>
      <c r="BM28" s="4"/>
      <c r="BO28" s="2802"/>
      <c r="BP28" s="2802"/>
      <c r="BQ28" s="2802"/>
      <c r="BR28" s="2802"/>
      <c r="BS28" s="2802"/>
      <c r="BT28" s="2802"/>
      <c r="BU28" s="2566"/>
      <c r="BV28" s="2566"/>
      <c r="BW28" s="2566"/>
      <c r="BX28" s="2657"/>
      <c r="BZ28" s="4"/>
      <c r="CA28" s="4"/>
      <c r="CB28" s="4"/>
      <c r="CD28" s="2566"/>
      <c r="CE28" s="2566"/>
      <c r="CF28" s="2566"/>
      <c r="CG28" s="2854"/>
      <c r="CI28" s="95"/>
      <c r="CJ28" s="95"/>
      <c r="CK28" s="95"/>
      <c r="CM28" s="2566"/>
      <c r="CN28" s="2566"/>
      <c r="CO28" s="2566"/>
      <c r="CP28" s="2854"/>
      <c r="CS28" s="2606"/>
      <c r="CT28" s="2606"/>
      <c r="CU28" s="2606"/>
      <c r="CV28" s="2592"/>
      <c r="CW28" s="2606"/>
      <c r="CX28" s="2606"/>
      <c r="CY28" s="2606"/>
      <c r="CZ28" s="2592"/>
      <c r="DA28" s="2682"/>
      <c r="DB28" s="2682"/>
      <c r="DC28" s="2682"/>
      <c r="DD28" s="2682"/>
    </row>
    <row r="29" spans="1:108">
      <c r="A29" s="2642" t="s">
        <v>505</v>
      </c>
      <c r="B29" s="5"/>
      <c r="C29" s="2559" t="s">
        <v>38</v>
      </c>
      <c r="D29" s="2645">
        <f>SUM(D24:D27)/5</f>
        <v>0.2</v>
      </c>
      <c r="F29" s="2569"/>
      <c r="G29" s="2569"/>
      <c r="H29" s="2569"/>
      <c r="I29" s="3236">
        <f>AVERAGE(I24:I26)</f>
        <v>9.1166666666666654</v>
      </c>
      <c r="K29" s="4"/>
      <c r="L29" s="4"/>
      <c r="M29" s="4"/>
      <c r="N29" s="4"/>
      <c r="O29" s="4"/>
      <c r="P29" s="2583"/>
      <c r="Q29" s="2586"/>
      <c r="R29" s="2586"/>
      <c r="T29" s="165"/>
      <c r="U29" s="11"/>
      <c r="V29" s="11"/>
      <c r="X29" s="2588"/>
      <c r="Y29" s="4"/>
      <c r="AA29" s="2589"/>
      <c r="AB29" s="2583"/>
      <c r="AD29" s="165"/>
      <c r="AE29" s="11"/>
      <c r="AF29" s="11"/>
      <c r="AH29" s="2664">
        <f>AVERAGE(AH24:AH26)</f>
        <v>9.6084362601991167</v>
      </c>
      <c r="AI29" s="2664">
        <f>AVERAGE(AI24:AI26)</f>
        <v>9.2285108470893338</v>
      </c>
      <c r="AJ29" s="2664">
        <f>AVERAGE(AJ24:AJ26)</f>
        <v>8.6778942115768452</v>
      </c>
      <c r="AK29" s="3237">
        <f>AVERAGE(AK24:AK26)</f>
        <v>9.2296255272243393</v>
      </c>
      <c r="AM29" s="2583"/>
      <c r="AN29" s="2583"/>
      <c r="AO29" s="2583"/>
      <c r="AQ29" s="2664">
        <f>AVERAGE(AQ24:AQ25,AQ27)</f>
        <v>-1.4738983539331665</v>
      </c>
      <c r="AR29" s="2664">
        <f>AVERAGE(AR24:AR25,AR27)</f>
        <v>-1.3952443541862192</v>
      </c>
      <c r="AS29" s="2664">
        <f>AVERAGE(AS24:AS25,AS27)</f>
        <v>-1.1815882516605962</v>
      </c>
      <c r="AT29" s="2750">
        <f>AVERAGE(AT24:AT25,AT27)</f>
        <v>-1.3502436532599942</v>
      </c>
      <c r="AV29" s="2664">
        <f>AVERAGE(AV24:AV25,AV27)</f>
        <v>-0.68807145796586877</v>
      </c>
      <c r="AW29" s="2664">
        <f>AVERAGE(AW24:AW25,AW27)</f>
        <v>-0.85647577873281866</v>
      </c>
      <c r="AX29" s="2664">
        <f>AVERAGE(AX24:AX25,AX27)</f>
        <v>-1.8636516779047518</v>
      </c>
      <c r="AY29" s="2750">
        <f>AVERAGE(AY24:AY25,AY27)</f>
        <v>-1.1360663048678132</v>
      </c>
      <c r="BA29" s="2664">
        <f>AVERAGE(BA24:BA25)</f>
        <v>-0.24401485974568116</v>
      </c>
      <c r="BB29" s="2664">
        <f>AVERAGE(BB24:BB25)</f>
        <v>-0.25083555498759547</v>
      </c>
      <c r="BC29" s="2664">
        <f>AVERAGE(BC24:BC25)</f>
        <v>-0.20611860659313541</v>
      </c>
      <c r="BD29" s="2649">
        <f>AVERAGE(BD24:BD25)</f>
        <v>-0.23365634044213734</v>
      </c>
      <c r="BF29" s="4"/>
      <c r="BG29" s="4"/>
      <c r="BH29" s="4"/>
      <c r="BI29" s="4"/>
      <c r="BJ29" s="4"/>
      <c r="BK29" s="4"/>
      <c r="BL29" s="4"/>
      <c r="BM29" s="4"/>
      <c r="BO29" s="2802"/>
      <c r="BP29" s="2802"/>
      <c r="BQ29" s="2802"/>
      <c r="BR29" s="2802"/>
      <c r="BS29" s="2802"/>
      <c r="BT29" s="2802"/>
      <c r="BU29" s="2566"/>
      <c r="BV29" s="2566"/>
      <c r="BW29" s="2566"/>
      <c r="BX29" s="2832">
        <f>AVERAGE(BX24:BX25,BX27)</f>
        <v>3.7612107828313612</v>
      </c>
      <c r="BZ29" s="4"/>
      <c r="CA29" s="4"/>
      <c r="CB29" s="4"/>
      <c r="CD29" s="2566"/>
      <c r="CE29" s="2566"/>
      <c r="CF29" s="2566"/>
      <c r="CG29" s="2832">
        <f>AVERAGE(CG24:CG25,CG27)</f>
        <v>0.63137068193474155</v>
      </c>
      <c r="CI29" s="95"/>
      <c r="CJ29" s="95"/>
      <c r="CK29" s="95"/>
      <c r="CM29" s="2566"/>
      <c r="CN29" s="2566"/>
      <c r="CO29" s="2566"/>
      <c r="CP29" s="2832">
        <f>AVERAGE(CP24:CP25,CP27)</f>
        <v>4.246049603576826</v>
      </c>
      <c r="CS29" s="2606"/>
      <c r="CT29" s="2606"/>
      <c r="CU29" s="2606"/>
      <c r="CV29" s="2592"/>
      <c r="CW29" s="2606"/>
      <c r="CX29" s="2606"/>
      <c r="CY29" s="2606"/>
      <c r="CZ29" s="2592"/>
      <c r="DA29" s="2848"/>
      <c r="DB29" s="2848"/>
      <c r="DC29" s="2848"/>
      <c r="DD29" s="2846"/>
    </row>
    <row r="30" spans="1:108" ht="3.75" customHeight="1">
      <c r="B30" s="2648"/>
      <c r="F30" s="2622"/>
      <c r="G30" s="2622"/>
      <c r="H30" s="2622"/>
      <c r="Q30" s="2620"/>
      <c r="R30" s="2620"/>
      <c r="T30" s="2618"/>
      <c r="X30" s="2616"/>
      <c r="AA30" s="2623"/>
      <c r="AD30" s="2618"/>
      <c r="AH30" s="2622"/>
      <c r="AI30" s="2622"/>
      <c r="AJ30" s="2622"/>
      <c r="AQ30" s="2625"/>
      <c r="AR30" s="2625"/>
      <c r="AS30" s="2625"/>
      <c r="AT30" s="2629"/>
      <c r="AV30" s="2625"/>
      <c r="AW30" s="2625"/>
      <c r="AX30" s="2625"/>
      <c r="AY30" s="2629"/>
      <c r="BO30" s="2803"/>
      <c r="BP30" s="2803"/>
      <c r="BQ30" s="2803"/>
      <c r="BR30" s="2803"/>
      <c r="BS30" s="2803"/>
      <c r="BT30" s="2803"/>
      <c r="BU30" s="2625"/>
      <c r="BV30" s="2625"/>
      <c r="BW30" s="2625"/>
      <c r="BX30" s="2629"/>
      <c r="CD30" s="2625"/>
      <c r="CE30" s="2625"/>
      <c r="CF30" s="2625"/>
      <c r="CG30" s="2629"/>
      <c r="CM30" s="2625"/>
      <c r="CN30" s="2625"/>
      <c r="CO30" s="2625"/>
      <c r="CP30" s="2629"/>
      <c r="CS30" s="2606"/>
      <c r="CT30" s="2606"/>
      <c r="CU30" s="2606"/>
      <c r="CV30" s="2592"/>
      <c r="CW30" s="2606"/>
      <c r="CX30" s="2606"/>
      <c r="CY30" s="2606"/>
      <c r="CZ30" s="2592"/>
      <c r="DA30" s="2682"/>
      <c r="DB30" s="2682"/>
      <c r="DC30" s="2682"/>
      <c r="DD30" s="2682"/>
    </row>
    <row r="31" spans="1:108" s="2624" customFormat="1">
      <c r="A31" s="475" t="s">
        <v>1946</v>
      </c>
      <c r="B31" s="2633"/>
      <c r="C31" s="475"/>
      <c r="D31" s="475"/>
      <c r="E31" s="2617"/>
      <c r="F31" s="2630"/>
      <c r="G31" s="2630"/>
      <c r="H31" s="2630"/>
      <c r="I31" s="475"/>
      <c r="J31" s="2617"/>
      <c r="K31" s="2634"/>
      <c r="L31" s="2634"/>
      <c r="M31" s="2634"/>
      <c r="N31" s="2634"/>
      <c r="O31" s="2634"/>
      <c r="P31" s="2634"/>
      <c r="Q31" s="2634"/>
      <c r="R31" s="2203"/>
      <c r="S31" s="2617"/>
      <c r="T31" s="2203"/>
      <c r="U31" s="21"/>
      <c r="V31" s="21"/>
      <c r="W31" s="2617"/>
      <c r="X31" s="2634"/>
      <c r="Y31" s="2634"/>
      <c r="Z31" s="2617"/>
      <c r="AA31" s="2631"/>
      <c r="AB31" s="475"/>
      <c r="AC31" s="2617"/>
      <c r="AD31" s="2203"/>
      <c r="AE31" s="21"/>
      <c r="AF31" s="21"/>
      <c r="AG31" s="2617"/>
      <c r="AH31" s="2630"/>
      <c r="AI31" s="2630"/>
      <c r="AJ31" s="2630"/>
      <c r="AK31" s="475"/>
      <c r="AL31" s="2617"/>
      <c r="AM31" s="2634"/>
      <c r="AN31" s="2634"/>
      <c r="AO31" s="2634"/>
      <c r="AP31" s="2617"/>
      <c r="AQ31" s="22"/>
      <c r="AR31" s="22"/>
      <c r="AS31" s="22"/>
      <c r="AT31" s="2632"/>
      <c r="AU31" s="2617"/>
      <c r="AV31" s="22"/>
      <c r="AW31" s="22"/>
      <c r="AX31" s="22"/>
      <c r="AY31" s="2632"/>
      <c r="AZ31" s="2617"/>
      <c r="BA31" s="475"/>
      <c r="BB31" s="475"/>
      <c r="BC31" s="475"/>
      <c r="BD31" s="475"/>
      <c r="BE31" s="2617"/>
      <c r="BF31" s="2634"/>
      <c r="BG31" s="2634"/>
      <c r="BH31" s="2634"/>
      <c r="BI31" s="2634"/>
      <c r="BJ31" s="2634"/>
      <c r="BK31" s="2634"/>
      <c r="BL31" s="2634"/>
      <c r="BM31" s="475"/>
      <c r="BN31" s="2617"/>
      <c r="BO31" s="2804"/>
      <c r="BP31" s="2804"/>
      <c r="BQ31" s="2804"/>
      <c r="BR31" s="2804"/>
      <c r="BS31" s="2804"/>
      <c r="BT31" s="2804"/>
      <c r="BU31" s="22"/>
      <c r="BV31" s="22"/>
      <c r="BW31" s="22"/>
      <c r="BX31" s="2632"/>
      <c r="BY31" s="2617"/>
      <c r="BZ31" s="2634"/>
      <c r="CA31" s="2634"/>
      <c r="CB31" s="475"/>
      <c r="CC31" s="2617"/>
      <c r="CD31" s="22"/>
      <c r="CE31" s="22"/>
      <c r="CF31" s="22"/>
      <c r="CG31" s="2632"/>
      <c r="CH31" s="2617"/>
      <c r="CI31" s="2855"/>
      <c r="CJ31" s="2855"/>
      <c r="CK31" s="2593"/>
      <c r="CL31" s="2617"/>
      <c r="CM31" s="22"/>
      <c r="CN31" s="22"/>
      <c r="CO31" s="22"/>
      <c r="CP31" s="2632"/>
      <c r="CQ31" s="2617"/>
      <c r="CR31" s="2617"/>
      <c r="CS31" s="2850"/>
      <c r="CT31" s="2850"/>
      <c r="CU31" s="2850"/>
      <c r="CV31" s="2842"/>
      <c r="CW31" s="2850"/>
      <c r="CX31" s="2850"/>
      <c r="CY31" s="2850"/>
      <c r="CZ31" s="2842"/>
      <c r="DA31" s="2850"/>
      <c r="DB31" s="2850"/>
      <c r="DC31" s="2850"/>
      <c r="DD31" s="2850"/>
    </row>
    <row r="32" spans="1:108" s="2624" customFormat="1">
      <c r="A32" s="2634" t="s">
        <v>1947</v>
      </c>
      <c r="B32" s="2633">
        <v>41765</v>
      </c>
      <c r="C32" s="475" t="s">
        <v>37</v>
      </c>
      <c r="D32" s="475"/>
      <c r="E32" s="2617"/>
      <c r="F32" s="2651">
        <v>6.2</v>
      </c>
      <c r="G32" s="2651">
        <v>6.4</v>
      </c>
      <c r="H32" s="2636"/>
      <c r="I32" s="2637">
        <f>AVERAGE(F32:H32)</f>
        <v>6.3000000000000007</v>
      </c>
      <c r="J32" s="2617"/>
      <c r="K32" s="449"/>
      <c r="L32" s="449"/>
      <c r="M32" s="449"/>
      <c r="N32" s="449"/>
      <c r="O32" s="2806"/>
      <c r="P32" s="2609">
        <v>1639.14</v>
      </c>
      <c r="Q32" s="2609">
        <v>1613</v>
      </c>
      <c r="R32" s="2609"/>
      <c r="S32" s="2617"/>
      <c r="T32" s="2575">
        <f t="shared" ref="T32:U34" si="28">F32*P32</f>
        <v>10162.668000000001</v>
      </c>
      <c r="U32" s="2575">
        <f t="shared" si="28"/>
        <v>10323.200000000001</v>
      </c>
      <c r="V32" s="2575"/>
      <c r="W32" s="2617"/>
      <c r="X32" s="2635">
        <v>24.245000000000001</v>
      </c>
      <c r="Y32" s="2609">
        <v>8195.4194389999993</v>
      </c>
      <c r="Z32" s="2617"/>
      <c r="AA32" s="4531" t="s">
        <v>2263</v>
      </c>
      <c r="AB32" s="4531"/>
      <c r="AC32" s="4531"/>
      <c r="AD32" s="4531"/>
      <c r="AE32" s="4531"/>
      <c r="AF32" s="4531"/>
      <c r="AG32" s="2617"/>
      <c r="AH32" s="2636"/>
      <c r="AI32" s="2636"/>
      <c r="AJ32" s="2636"/>
      <c r="AK32" s="2637"/>
      <c r="AL32" s="2617"/>
      <c r="AM32" s="2609">
        <v>2887.04</v>
      </c>
      <c r="AN32" s="2609">
        <v>2856.65</v>
      </c>
      <c r="AO32" s="2609">
        <v>2869.67</v>
      </c>
      <c r="AP32" s="2617"/>
      <c r="AQ32" s="22">
        <f t="shared" ref="AQ32:AR34" si="29">AM32/P32</f>
        <v>1.7613138597069193</v>
      </c>
      <c r="AR32" s="22">
        <f t="shared" si="29"/>
        <v>1.7710167389956604</v>
      </c>
      <c r="AS32" s="22"/>
      <c r="AT32" s="2632">
        <f>AVERAGE(AQ32:AR32)</f>
        <v>1.76616529935129</v>
      </c>
      <c r="AU32" s="2617"/>
      <c r="AV32" s="22">
        <f t="shared" ref="AV32:AW34" si="30">P32/AM32</f>
        <v>0.56775798049213044</v>
      </c>
      <c r="AW32" s="22">
        <f t="shared" si="30"/>
        <v>0.56464740167678917</v>
      </c>
      <c r="AX32" s="22"/>
      <c r="AY32" s="2632">
        <f>AVERAGE(AV32:AW32)</f>
        <v>0.56620269108445975</v>
      </c>
      <c r="AZ32" s="2617"/>
      <c r="BA32" s="2638"/>
      <c r="BB32" s="2638"/>
      <c r="BC32" s="2638"/>
      <c r="BD32" s="2639"/>
      <c r="BE32" s="2617"/>
      <c r="BF32" s="449"/>
      <c r="BG32" s="449"/>
      <c r="BH32" s="449"/>
      <c r="BI32" s="449"/>
      <c r="BJ32" s="2806"/>
      <c r="BK32" s="2609">
        <v>1981.83</v>
      </c>
      <c r="BL32" s="2609">
        <v>2039.7</v>
      </c>
      <c r="BM32" s="2609"/>
      <c r="BN32" s="2617"/>
      <c r="BO32" s="2805"/>
      <c r="BP32" s="2805"/>
      <c r="BQ32" s="2805"/>
      <c r="BR32" s="2805"/>
      <c r="BS32" s="2805"/>
      <c r="BT32" s="2805"/>
      <c r="BU32" s="22">
        <f t="shared" ref="BU32:BV34" si="31">BK32/P32</f>
        <v>1.2090669497419377</v>
      </c>
      <c r="BV32" s="22">
        <f t="shared" si="31"/>
        <v>1.2645381277123373</v>
      </c>
      <c r="BW32" s="22"/>
      <c r="BX32" s="2632">
        <f>AVERAGE(BU32:BV32)</f>
        <v>1.2368025387271375</v>
      </c>
      <c r="BY32" s="2617"/>
      <c r="BZ32" s="2609"/>
      <c r="CA32" s="2609"/>
      <c r="CB32" s="2609"/>
      <c r="CC32" s="2617"/>
      <c r="CD32" s="22">
        <f t="shared" ref="CD32:CE34" si="32">BZ32/P32</f>
        <v>0</v>
      </c>
      <c r="CE32" s="22">
        <f t="shared" si="32"/>
        <v>0</v>
      </c>
      <c r="CF32" s="22"/>
      <c r="CG32" s="2632">
        <f>AVERAGE(CD32:CE32)</f>
        <v>0</v>
      </c>
      <c r="CH32" s="2617"/>
      <c r="CI32" s="2575">
        <f t="shared" ref="CI32:CJ34" si="33">BK32+BZ32</f>
        <v>1981.83</v>
      </c>
      <c r="CJ32" s="2575">
        <f t="shared" si="33"/>
        <v>2039.7</v>
      </c>
      <c r="CK32" s="2575"/>
      <c r="CL32" s="2617"/>
      <c r="CM32" s="22">
        <f t="shared" ref="CM32:CN34" si="34">CI32/P32</f>
        <v>1.2090669497419377</v>
      </c>
      <c r="CN32" s="22">
        <f t="shared" si="34"/>
        <v>1.2645381277123373</v>
      </c>
      <c r="CO32" s="22"/>
      <c r="CP32" s="2632">
        <f>AVERAGE(CM32:CN32)</f>
        <v>1.2368025387271375</v>
      </c>
      <c r="CQ32" s="2617"/>
      <c r="CR32" s="2617"/>
      <c r="CS32" s="2851"/>
      <c r="CT32" s="2851"/>
      <c r="CU32" s="2851"/>
      <c r="CV32" s="2842"/>
      <c r="CW32" s="2851"/>
      <c r="CX32" s="2851"/>
      <c r="CY32" s="2851"/>
      <c r="CZ32" s="2842"/>
      <c r="DA32" s="2852"/>
      <c r="DB32" s="2852"/>
      <c r="DC32" s="2852"/>
      <c r="DD32" s="2853"/>
    </row>
    <row r="33" spans="1:108" s="2624" customFormat="1">
      <c r="A33" s="475"/>
      <c r="B33" s="2633"/>
      <c r="C33" s="475" t="s">
        <v>36</v>
      </c>
      <c r="D33" s="475"/>
      <c r="E33" s="2617"/>
      <c r="F33" s="2651">
        <v>5.3</v>
      </c>
      <c r="G33" s="2651">
        <v>5.0999999999999996</v>
      </c>
      <c r="H33" s="2636"/>
      <c r="I33" s="2637">
        <f>AVERAGE(F33:H33)</f>
        <v>5.1999999999999993</v>
      </c>
      <c r="J33" s="2617"/>
      <c r="K33" s="449"/>
      <c r="L33" s="449"/>
      <c r="M33" s="449"/>
      <c r="N33" s="449"/>
      <c r="O33" s="2806"/>
      <c r="P33" s="2609">
        <v>265.37799999999999</v>
      </c>
      <c r="Q33" s="2609">
        <v>259</v>
      </c>
      <c r="R33" s="2609"/>
      <c r="S33" s="2617"/>
      <c r="T33" s="2575">
        <f t="shared" si="28"/>
        <v>1406.5033999999998</v>
      </c>
      <c r="U33" s="2575">
        <f t="shared" si="28"/>
        <v>1320.8999999999999</v>
      </c>
      <c r="V33" s="2575"/>
      <c r="W33" s="2617"/>
      <c r="X33" s="2635">
        <v>14.414999999999999</v>
      </c>
      <c r="Y33" s="2609">
        <v>865.10777599999994</v>
      </c>
      <c r="Z33" s="2617"/>
      <c r="AA33" s="4531"/>
      <c r="AB33" s="4531"/>
      <c r="AC33" s="4531"/>
      <c r="AD33" s="4531"/>
      <c r="AE33" s="4531"/>
      <c r="AF33" s="4531"/>
      <c r="AG33" s="2617"/>
      <c r="AH33" s="2636"/>
      <c r="AI33" s="2636"/>
      <c r="AJ33" s="2636"/>
      <c r="AK33" s="2637"/>
      <c r="AL33" s="2617"/>
      <c r="AM33" s="2609">
        <v>383.45699999999999</v>
      </c>
      <c r="AN33" s="2609">
        <v>418.65600000000001</v>
      </c>
      <c r="AO33" s="2609">
        <v>447.55900000000003</v>
      </c>
      <c r="AP33" s="2617"/>
      <c r="AQ33" s="22">
        <f t="shared" si="29"/>
        <v>1.4449464537376875</v>
      </c>
      <c r="AR33" s="22">
        <f t="shared" si="29"/>
        <v>1.6164324324324324</v>
      </c>
      <c r="AS33" s="22"/>
      <c r="AT33" s="2632">
        <f>AVERAGE(AQ33:AR33)</f>
        <v>1.5306894430850599</v>
      </c>
      <c r="AU33" s="2617"/>
      <c r="AV33" s="22">
        <f t="shared" si="30"/>
        <v>0.69206716789626999</v>
      </c>
      <c r="AW33" s="22">
        <f t="shared" si="30"/>
        <v>0.61864633493846977</v>
      </c>
      <c r="AX33" s="22"/>
      <c r="AY33" s="2632">
        <f>AVERAGE(AV33:AW33)</f>
        <v>0.65535675141736993</v>
      </c>
      <c r="AZ33" s="2617"/>
      <c r="BA33" s="2638"/>
      <c r="BB33" s="2638"/>
      <c r="BC33" s="2638"/>
      <c r="BD33" s="2639"/>
      <c r="BE33" s="2617"/>
      <c r="BF33" s="449"/>
      <c r="BG33" s="449"/>
      <c r="BH33" s="449"/>
      <c r="BI33" s="449"/>
      <c r="BJ33" s="2806"/>
      <c r="BK33" s="2609">
        <v>525</v>
      </c>
      <c r="BL33" s="2609">
        <v>497</v>
      </c>
      <c r="BM33" s="2609"/>
      <c r="BN33" s="2617"/>
      <c r="BO33" s="2805"/>
      <c r="BP33" s="2805"/>
      <c r="BQ33" s="2805"/>
      <c r="BR33" s="2805"/>
      <c r="BS33" s="2805"/>
      <c r="BT33" s="2805"/>
      <c r="BU33" s="22">
        <f t="shared" si="31"/>
        <v>1.9783101839640063</v>
      </c>
      <c r="BV33" s="22">
        <f t="shared" si="31"/>
        <v>1.9189189189189189</v>
      </c>
      <c r="BW33" s="22"/>
      <c r="BX33" s="2632">
        <f>AVERAGE(BU33:BV33)</f>
        <v>1.9486145514414626</v>
      </c>
      <c r="BY33" s="2617"/>
      <c r="BZ33" s="2609"/>
      <c r="CA33" s="2609"/>
      <c r="CB33" s="2609"/>
      <c r="CC33" s="2617"/>
      <c r="CD33" s="22">
        <f t="shared" si="32"/>
        <v>0</v>
      </c>
      <c r="CE33" s="22">
        <f t="shared" si="32"/>
        <v>0</v>
      </c>
      <c r="CF33" s="22"/>
      <c r="CG33" s="2632">
        <f>AVERAGE(CD33:CE33)</f>
        <v>0</v>
      </c>
      <c r="CH33" s="2617"/>
      <c r="CI33" s="2575">
        <f t="shared" si="33"/>
        <v>525</v>
      </c>
      <c r="CJ33" s="2575">
        <f t="shared" si="33"/>
        <v>497</v>
      </c>
      <c r="CK33" s="2575"/>
      <c r="CL33" s="2617"/>
      <c r="CM33" s="22">
        <f t="shared" si="34"/>
        <v>1.9783101839640063</v>
      </c>
      <c r="CN33" s="22">
        <f t="shared" si="34"/>
        <v>1.9189189189189189</v>
      </c>
      <c r="CO33" s="22"/>
      <c r="CP33" s="2632">
        <f>AVERAGE(CM33:CN33)</f>
        <v>1.9486145514414626</v>
      </c>
      <c r="CQ33" s="2617"/>
      <c r="CR33" s="2617"/>
      <c r="CS33" s="2851"/>
      <c r="CT33" s="2851"/>
      <c r="CU33" s="2851"/>
      <c r="CV33" s="2842"/>
      <c r="CW33" s="2851"/>
      <c r="CX33" s="2851"/>
      <c r="CY33" s="2851"/>
      <c r="CZ33" s="2842"/>
      <c r="DA33" s="2852"/>
      <c r="DB33" s="2852"/>
      <c r="DC33" s="2852"/>
      <c r="DD33" s="2853"/>
    </row>
    <row r="34" spans="1:108" s="2624" customFormat="1">
      <c r="A34" s="475"/>
      <c r="B34" s="2633"/>
      <c r="C34" s="475" t="s">
        <v>38</v>
      </c>
      <c r="D34" s="475"/>
      <c r="E34" s="2617"/>
      <c r="F34" s="2651">
        <v>9.8000000000000007</v>
      </c>
      <c r="G34" s="2651">
        <v>9.6</v>
      </c>
      <c r="H34" s="2636"/>
      <c r="I34" s="2637">
        <f>AVERAGE(F34:H34)</f>
        <v>9.6999999999999993</v>
      </c>
      <c r="J34" s="2617"/>
      <c r="K34" s="449"/>
      <c r="L34" s="449"/>
      <c r="M34" s="449"/>
      <c r="N34" s="449"/>
      <c r="O34" s="2806"/>
      <c r="P34" s="2609">
        <v>894</v>
      </c>
      <c r="Q34" s="2609">
        <v>942.53099999999995</v>
      </c>
      <c r="R34" s="2609"/>
      <c r="S34" s="2617"/>
      <c r="T34" s="2575">
        <f t="shared" si="28"/>
        <v>8761.2000000000007</v>
      </c>
      <c r="U34" s="2575">
        <f t="shared" si="28"/>
        <v>9048.2975999999999</v>
      </c>
      <c r="V34" s="2575"/>
      <c r="W34" s="2617"/>
      <c r="X34" s="2635">
        <v>43.475000000000001</v>
      </c>
      <c r="Y34" s="2609">
        <v>5037.0299660000001</v>
      </c>
      <c r="Z34" s="2617"/>
      <c r="AA34" s="4531"/>
      <c r="AB34" s="4531"/>
      <c r="AC34" s="4531"/>
      <c r="AD34" s="4531"/>
      <c r="AE34" s="4531"/>
      <c r="AF34" s="4531"/>
      <c r="AG34" s="2617"/>
      <c r="AH34" s="2636"/>
      <c r="AI34" s="2636"/>
      <c r="AJ34" s="2636"/>
      <c r="AK34" s="2637"/>
      <c r="AL34" s="2617"/>
      <c r="AM34" s="2609">
        <v>-1591.53</v>
      </c>
      <c r="AN34" s="2609">
        <v>-1473.64</v>
      </c>
      <c r="AO34" s="2609">
        <v>-1401.82</v>
      </c>
      <c r="AP34" s="2617"/>
      <c r="AQ34" s="22">
        <f t="shared" si="29"/>
        <v>-1.780234899328859</v>
      </c>
      <c r="AR34" s="22">
        <f t="shared" si="29"/>
        <v>-1.5634923413659605</v>
      </c>
      <c r="AS34" s="22"/>
      <c r="AT34" s="2632">
        <f>AVERAGE(AQ34:AR34)</f>
        <v>-1.6718636203474098</v>
      </c>
      <c r="AU34" s="2617"/>
      <c r="AV34" s="22">
        <f t="shared" si="30"/>
        <v>-0.56172362443686263</v>
      </c>
      <c r="AW34" s="22">
        <f t="shared" si="30"/>
        <v>-0.63959379495670576</v>
      </c>
      <c r="AX34" s="22"/>
      <c r="AY34" s="2632">
        <f>AVERAGE(AV34:AW34)</f>
        <v>-0.60065870969678414</v>
      </c>
      <c r="AZ34" s="2617"/>
      <c r="BA34" s="2638"/>
      <c r="BB34" s="2638"/>
      <c r="BC34" s="2638"/>
      <c r="BD34" s="2639"/>
      <c r="BE34" s="2617"/>
      <c r="BF34" s="449"/>
      <c r="BG34" s="449"/>
      <c r="BH34" s="449"/>
      <c r="BI34" s="449"/>
      <c r="BJ34" s="2806"/>
      <c r="BK34" s="2609">
        <v>3705.5</v>
      </c>
      <c r="BL34" s="2609">
        <v>3978.85</v>
      </c>
      <c r="BM34" s="2609"/>
      <c r="BN34" s="2617"/>
      <c r="BO34" s="2805"/>
      <c r="BP34" s="2805"/>
      <c r="BQ34" s="2805"/>
      <c r="BR34" s="2805"/>
      <c r="BS34" s="2805"/>
      <c r="BT34" s="2805"/>
      <c r="BU34" s="22">
        <f t="shared" si="31"/>
        <v>4.1448545861297541</v>
      </c>
      <c r="BV34" s="22">
        <f t="shared" si="31"/>
        <v>4.2214526630954312</v>
      </c>
      <c r="BW34" s="22"/>
      <c r="BX34" s="2632">
        <f>AVERAGE(BU34:BV34)</f>
        <v>4.1831536246125927</v>
      </c>
      <c r="BY34" s="2617"/>
      <c r="BZ34" s="2609"/>
      <c r="CA34" s="2609"/>
      <c r="CB34" s="2609"/>
      <c r="CC34" s="2617"/>
      <c r="CD34" s="22">
        <f t="shared" si="32"/>
        <v>0</v>
      </c>
      <c r="CE34" s="22">
        <f t="shared" si="32"/>
        <v>0</v>
      </c>
      <c r="CF34" s="22"/>
      <c r="CG34" s="2632">
        <f>AVERAGE(CD34:CE34)</f>
        <v>0</v>
      </c>
      <c r="CH34" s="2617"/>
      <c r="CI34" s="2575">
        <f t="shared" si="33"/>
        <v>3705.5</v>
      </c>
      <c r="CJ34" s="2575">
        <f t="shared" si="33"/>
        <v>3978.85</v>
      </c>
      <c r="CK34" s="2575"/>
      <c r="CL34" s="2617"/>
      <c r="CM34" s="22">
        <f t="shared" si="34"/>
        <v>4.1448545861297541</v>
      </c>
      <c r="CN34" s="22">
        <f t="shared" si="34"/>
        <v>4.2214526630954312</v>
      </c>
      <c r="CO34" s="22"/>
      <c r="CP34" s="2632">
        <f>AVERAGE(CM34:CN34)</f>
        <v>4.1831536246125927</v>
      </c>
      <c r="CQ34" s="2617"/>
      <c r="CR34" s="2617"/>
      <c r="CS34" s="2851"/>
      <c r="CT34" s="2851"/>
      <c r="CU34" s="2851"/>
      <c r="CV34" s="2842"/>
      <c r="CW34" s="2851"/>
      <c r="CX34" s="2851"/>
      <c r="CY34" s="2851"/>
      <c r="CZ34" s="2842"/>
      <c r="DA34" s="2852"/>
      <c r="DB34" s="2852"/>
      <c r="DC34" s="2852"/>
      <c r="DD34" s="2853"/>
    </row>
    <row r="35" spans="1:108">
      <c r="A35" s="2807"/>
      <c r="B35" s="5"/>
      <c r="C35" s="2807"/>
      <c r="D35" s="2614"/>
      <c r="F35" s="2569"/>
      <c r="G35" s="2569"/>
      <c r="H35" s="2569"/>
      <c r="I35" s="2807"/>
      <c r="K35" s="4"/>
      <c r="L35" s="4"/>
      <c r="M35" s="4"/>
      <c r="N35" s="4"/>
      <c r="O35" s="4"/>
      <c r="P35" s="2583"/>
      <c r="Q35" s="2586"/>
      <c r="R35" s="2586"/>
      <c r="T35" s="165"/>
      <c r="U35" s="11"/>
      <c r="V35" s="11"/>
      <c r="X35" s="2588"/>
      <c r="Y35" s="4"/>
      <c r="AA35" s="2589"/>
      <c r="AB35" s="2583"/>
      <c r="AD35" s="165"/>
      <c r="AE35" s="11"/>
      <c r="AF35" s="11"/>
      <c r="AH35" s="2569"/>
      <c r="AI35" s="2569"/>
      <c r="AJ35" s="2569"/>
      <c r="AK35" s="2807"/>
      <c r="AM35" s="2583"/>
      <c r="AN35" s="2583"/>
      <c r="AO35" s="2583"/>
      <c r="AQ35" s="15"/>
      <c r="AR35" s="15"/>
      <c r="AS35" s="15"/>
      <c r="AT35" s="2628"/>
      <c r="AV35" s="15"/>
      <c r="AW35" s="15"/>
      <c r="AX35" s="15"/>
      <c r="AY35" s="2628"/>
      <c r="BA35" s="2807"/>
      <c r="BB35" s="2807"/>
      <c r="BC35" s="2807"/>
      <c r="BD35" s="2807"/>
      <c r="BF35" s="4"/>
      <c r="BG35" s="4"/>
      <c r="BH35" s="4"/>
      <c r="BI35" s="4"/>
      <c r="BJ35" s="4"/>
      <c r="BK35" s="4"/>
      <c r="BL35" s="4"/>
      <c r="BM35" s="4"/>
      <c r="BO35" s="2799"/>
      <c r="BP35" s="2799"/>
      <c r="BQ35" s="2799"/>
      <c r="BR35" s="2799"/>
      <c r="BS35" s="2799"/>
      <c r="BT35" s="2799"/>
      <c r="BU35" s="15"/>
      <c r="BV35" s="15"/>
      <c r="BW35" s="15"/>
      <c r="BX35" s="2628"/>
      <c r="BZ35" s="4"/>
      <c r="CA35" s="4"/>
      <c r="CB35" s="4"/>
      <c r="CD35" s="15"/>
      <c r="CE35" s="15"/>
      <c r="CF35" s="15"/>
      <c r="CG35" s="2628"/>
      <c r="CI35" s="95"/>
      <c r="CJ35" s="95"/>
      <c r="CK35" s="95"/>
      <c r="CM35" s="15"/>
      <c r="CN35" s="15"/>
      <c r="CO35" s="15"/>
      <c r="CP35" s="2628"/>
      <c r="CS35" s="2606"/>
      <c r="CT35" s="2606"/>
      <c r="CU35" s="2606"/>
      <c r="CV35" s="2592"/>
      <c r="CW35" s="2606"/>
      <c r="CX35" s="2606"/>
      <c r="CY35" s="2606"/>
      <c r="CZ35" s="2592"/>
      <c r="DA35" s="2682"/>
      <c r="DB35" s="2682"/>
      <c r="DC35" s="2682"/>
      <c r="DD35" s="2682"/>
    </row>
    <row r="36" spans="1:108" ht="3.75" customHeight="1">
      <c r="B36" s="2648"/>
      <c r="F36" s="2622"/>
      <c r="G36" s="2622"/>
      <c r="H36" s="2622"/>
      <c r="Q36" s="2620"/>
      <c r="R36" s="2620"/>
      <c r="T36" s="2618"/>
      <c r="X36" s="2616"/>
      <c r="AA36" s="2623"/>
      <c r="AD36" s="2618"/>
      <c r="AH36" s="2622"/>
      <c r="AI36" s="2622"/>
      <c r="AJ36" s="2622"/>
      <c r="AQ36" s="2625"/>
      <c r="AR36" s="2625"/>
      <c r="AS36" s="2625"/>
      <c r="AT36" s="2629"/>
      <c r="AV36" s="2625"/>
      <c r="AW36" s="2625"/>
      <c r="AX36" s="2625"/>
      <c r="AY36" s="2629"/>
      <c r="BO36" s="2803"/>
      <c r="BP36" s="2803"/>
      <c r="BQ36" s="2803"/>
      <c r="BR36" s="2803"/>
      <c r="BS36" s="2803"/>
      <c r="BT36" s="2803"/>
      <c r="BU36" s="2625"/>
      <c r="BV36" s="2625"/>
      <c r="BW36" s="2625"/>
      <c r="BX36" s="2629"/>
      <c r="CD36" s="2625"/>
      <c r="CE36" s="2625"/>
      <c r="CF36" s="2625"/>
      <c r="CG36" s="2629"/>
      <c r="CM36" s="2625"/>
      <c r="CN36" s="2625"/>
      <c r="CO36" s="2625"/>
      <c r="CP36" s="2629"/>
    </row>
    <row r="37" spans="1:108">
      <c r="A37" s="3228" t="s">
        <v>1967</v>
      </c>
      <c r="B37" s="3228"/>
      <c r="C37" s="3228" t="s">
        <v>36</v>
      </c>
      <c r="D37" s="146"/>
      <c r="E37" s="2580"/>
      <c r="F37" s="2833"/>
      <c r="G37" s="2833"/>
      <c r="H37" s="2833"/>
      <c r="I37" s="2581"/>
      <c r="P37" s="2581"/>
      <c r="Q37" s="2580"/>
      <c r="R37" s="2580"/>
      <c r="T37" s="2618"/>
      <c r="X37" s="2616"/>
      <c r="AA37" s="2834"/>
      <c r="AB37" s="2581"/>
      <c r="AD37" s="2618"/>
      <c r="AG37" s="2580"/>
      <c r="AH37" s="2581"/>
      <c r="AI37" s="2581"/>
      <c r="AJ37" s="2581"/>
      <c r="AK37" s="2581"/>
      <c r="AL37" s="2581"/>
      <c r="AM37" s="2581"/>
      <c r="AN37" s="2581"/>
      <c r="AO37" s="2581"/>
      <c r="AP37" s="2580"/>
      <c r="AQ37" s="2835"/>
      <c r="AR37" s="2835"/>
      <c r="AS37" s="2835"/>
      <c r="AT37" s="2629"/>
      <c r="AU37" s="2580"/>
      <c r="AV37" s="2835"/>
      <c r="AW37" s="2835"/>
      <c r="AX37" s="2835"/>
      <c r="AY37" s="2629"/>
      <c r="AZ37" s="2580"/>
      <c r="BA37" s="2581"/>
      <c r="BB37" s="2581"/>
      <c r="BC37" s="2581"/>
      <c r="BD37" s="2581"/>
      <c r="BE37" s="2580"/>
      <c r="BN37" s="2580"/>
      <c r="BO37" s="3231">
        <f>CALCULATIONS!KA8</f>
        <v>0.50780963893757158</v>
      </c>
      <c r="BP37" s="3231">
        <f>CALCULATIONS!KE8</f>
        <v>0.52460288363994345</v>
      </c>
      <c r="BQ37" s="3231">
        <f>CALCULATIONS!KI8</f>
        <v>0.57448079153965725</v>
      </c>
      <c r="BR37" s="3231">
        <f>CALCULATIONS!KM8</f>
        <v>0.79741590370325433</v>
      </c>
      <c r="BS37" s="3232">
        <f>CALCULATIONS!KO8</f>
        <v>1.1118389683352425</v>
      </c>
      <c r="BT37" s="4530" t="s">
        <v>2265</v>
      </c>
      <c r="BU37" s="4530"/>
      <c r="BV37" s="4530"/>
      <c r="BW37" s="4530"/>
      <c r="BX37" s="4530"/>
      <c r="BY37" s="2580"/>
      <c r="CC37" s="2580"/>
      <c r="CD37" s="2580"/>
      <c r="CE37" s="2580"/>
      <c r="CF37" s="2580"/>
      <c r="CG37" s="2580"/>
      <c r="CH37" s="2580"/>
      <c r="CL37" s="2580"/>
      <c r="CM37" s="2580"/>
      <c r="CN37" s="2580"/>
      <c r="CO37" s="2580"/>
      <c r="CP37" s="2580"/>
      <c r="CQ37" s="2580"/>
      <c r="CR37" s="2580"/>
      <c r="CV37" s="2580"/>
      <c r="CZ37" s="2580"/>
      <c r="DA37" s="2581"/>
      <c r="DB37" s="2581"/>
      <c r="DC37" s="2581"/>
      <c r="DD37" s="2581"/>
    </row>
    <row r="38" spans="1:108">
      <c r="A38" s="3233" t="s">
        <v>2264</v>
      </c>
      <c r="B38" s="3228"/>
      <c r="C38" s="3228" t="s">
        <v>1966</v>
      </c>
      <c r="D38" s="146"/>
      <c r="E38" s="2580"/>
      <c r="F38" s="2833"/>
      <c r="G38" s="2833"/>
      <c r="H38" s="2833"/>
      <c r="I38" s="2581"/>
      <c r="P38" s="2581"/>
      <c r="Q38" s="2618"/>
      <c r="R38" s="2618"/>
      <c r="T38" s="2618"/>
      <c r="X38" s="2616"/>
      <c r="AA38" s="2834"/>
      <c r="AB38" s="2581"/>
      <c r="AD38" s="2618"/>
      <c r="AG38" s="2580"/>
      <c r="AH38" s="2581"/>
      <c r="AI38" s="2581"/>
      <c r="AJ38" s="2581"/>
      <c r="AK38" s="2581"/>
      <c r="AL38" s="2581"/>
      <c r="AM38" s="2581"/>
      <c r="AN38" s="2581"/>
      <c r="AO38" s="2581"/>
      <c r="AP38" s="2580"/>
      <c r="AQ38" s="2835"/>
      <c r="AR38" s="2835"/>
      <c r="AS38" s="2835"/>
      <c r="AT38" s="2629"/>
      <c r="AU38" s="2580"/>
      <c r="AV38" s="2835"/>
      <c r="AW38" s="2835"/>
      <c r="AX38" s="2835"/>
      <c r="AY38" s="2629"/>
      <c r="AZ38" s="2580"/>
      <c r="BA38" s="2581"/>
      <c r="BB38" s="2581"/>
      <c r="BC38" s="2581"/>
      <c r="BD38" s="2581"/>
      <c r="BE38" s="2580"/>
      <c r="BN38" s="2580"/>
      <c r="BO38" s="3231">
        <f>CALCULATIONS!KW8</f>
        <v>0.99140741026170842</v>
      </c>
      <c r="BP38" s="3231">
        <f>CALCULATIONS!LA8</f>
        <v>1.0923265666380659</v>
      </c>
      <c r="BQ38" s="3231">
        <f>CALCULATIONS!LE8</f>
        <v>1.1247741511519036</v>
      </c>
      <c r="BR38" s="3231">
        <f>CALCULATIONS!LI8</f>
        <v>1.3233837800550459</v>
      </c>
      <c r="BS38" s="3232">
        <f>CALCULATIONS!LK8</f>
        <v>1.6771658832683087</v>
      </c>
      <c r="BT38" s="4530"/>
      <c r="BU38" s="4530"/>
      <c r="BV38" s="4530"/>
      <c r="BW38" s="4530"/>
      <c r="BX38" s="4530"/>
      <c r="BY38" s="2580"/>
      <c r="CC38" s="2580"/>
      <c r="CD38" s="2580"/>
      <c r="CE38" s="2580"/>
      <c r="CF38" s="2580"/>
      <c r="CG38" s="2580"/>
      <c r="CH38" s="2580"/>
      <c r="CL38" s="2580"/>
      <c r="CM38" s="2580"/>
      <c r="CN38" s="2580"/>
      <c r="CO38" s="2580"/>
      <c r="CP38" s="2580"/>
      <c r="CQ38" s="2580"/>
      <c r="CR38" s="2580"/>
      <c r="CV38" s="2580"/>
      <c r="CZ38" s="2580"/>
      <c r="DA38" s="2581"/>
      <c r="DB38" s="2581"/>
      <c r="DC38" s="2581"/>
      <c r="DD38" s="2581"/>
    </row>
    <row r="39" spans="1:108">
      <c r="A39" s="2581"/>
      <c r="F39" s="2622"/>
      <c r="G39" s="2622"/>
      <c r="H39" s="2622"/>
      <c r="Q39" s="2620"/>
      <c r="R39" s="2620"/>
      <c r="T39" s="2618"/>
      <c r="X39" s="2616"/>
      <c r="AA39" s="2623"/>
      <c r="AD39" s="2618"/>
      <c r="AH39" s="2622"/>
      <c r="AI39" s="2622"/>
      <c r="AJ39" s="2622"/>
      <c r="AQ39" s="2625"/>
      <c r="AR39" s="2625"/>
      <c r="AS39" s="2625"/>
      <c r="AT39" s="2629"/>
      <c r="AV39" s="2625"/>
      <c r="AW39" s="2625"/>
      <c r="AX39" s="2625"/>
      <c r="AY39" s="2629"/>
      <c r="BU39" s="2625"/>
      <c r="BV39" s="2625"/>
      <c r="BW39" s="2625"/>
      <c r="BX39" s="2629"/>
      <c r="CD39" s="2625"/>
      <c r="CE39" s="2625"/>
      <c r="CF39" s="2625"/>
      <c r="CG39" s="2629"/>
      <c r="CM39" s="2625"/>
      <c r="CN39" s="2625"/>
      <c r="CO39" s="2625"/>
      <c r="CP39" s="2629"/>
    </row>
    <row r="40" spans="1:108">
      <c r="F40" s="2622"/>
      <c r="G40" s="2622"/>
      <c r="H40" s="2622"/>
      <c r="Q40" s="2620"/>
      <c r="R40" s="2620"/>
      <c r="T40" s="2618"/>
      <c r="X40" s="2616"/>
      <c r="AA40" s="2623"/>
      <c r="AD40" s="2618"/>
      <c r="AH40" s="2622"/>
      <c r="AI40" s="2622"/>
      <c r="AJ40" s="2622"/>
      <c r="AQ40" s="2625"/>
      <c r="AR40" s="2625"/>
      <c r="AS40" s="2625"/>
      <c r="AT40" s="2629"/>
      <c r="AV40" s="2625"/>
      <c r="AW40" s="2625"/>
      <c r="AX40" s="2625"/>
      <c r="AY40" s="2629"/>
      <c r="BU40" s="2625"/>
      <c r="BV40" s="2625"/>
      <c r="BW40" s="2625"/>
      <c r="BX40" s="2629"/>
      <c r="CD40" s="2625"/>
      <c r="CE40" s="2625"/>
      <c r="CF40" s="2625"/>
      <c r="CG40" s="2629"/>
      <c r="CM40" s="2625"/>
      <c r="CN40" s="2625"/>
      <c r="CO40" s="2625"/>
      <c r="CP40" s="2629"/>
    </row>
    <row r="41" spans="1:108">
      <c r="F41" s="2622"/>
      <c r="G41" s="2622"/>
      <c r="H41" s="2622"/>
      <c r="Q41" s="2620"/>
      <c r="R41" s="2620"/>
      <c r="T41" s="2618"/>
      <c r="X41" s="2616"/>
      <c r="AA41" s="2623"/>
      <c r="AD41" s="2618"/>
      <c r="AH41" s="2622"/>
      <c r="AI41" s="2622"/>
      <c r="AJ41" s="2622"/>
      <c r="AQ41" s="2625"/>
      <c r="AR41" s="2625"/>
      <c r="AS41" s="2625"/>
      <c r="AT41" s="2629"/>
      <c r="AV41" s="2625"/>
      <c r="AW41" s="2625"/>
      <c r="AX41" s="2625"/>
      <c r="AY41" s="2629"/>
      <c r="BU41" s="2625"/>
      <c r="BV41" s="2625"/>
      <c r="BW41" s="2625"/>
      <c r="BX41" s="2629"/>
      <c r="CD41" s="2625"/>
      <c r="CE41" s="2625"/>
      <c r="CF41" s="2625"/>
      <c r="CG41" s="2629"/>
      <c r="CM41" s="2625"/>
      <c r="CN41" s="2625"/>
      <c r="CO41" s="2625"/>
      <c r="CP41" s="2629"/>
    </row>
    <row r="42" spans="1:108">
      <c r="F42" s="2622"/>
      <c r="G42" s="2622"/>
      <c r="H42" s="2622"/>
      <c r="Q42" s="2620"/>
      <c r="R42" s="2620"/>
      <c r="T42" s="2618"/>
      <c r="X42" s="2616"/>
      <c r="AA42" s="2623"/>
      <c r="AD42" s="2618"/>
      <c r="AH42" s="2622"/>
      <c r="AI42" s="2622"/>
      <c r="AJ42" s="2622"/>
      <c r="AQ42" s="2625"/>
      <c r="AR42" s="2625"/>
      <c r="AS42" s="2625"/>
      <c r="AT42" s="2629"/>
      <c r="AV42" s="2625"/>
      <c r="AW42" s="2625"/>
      <c r="AX42" s="2625"/>
      <c r="AY42" s="2629"/>
      <c r="BU42" s="2625"/>
      <c r="BV42" s="2625"/>
      <c r="BW42" s="2625"/>
      <c r="BX42" s="2629"/>
      <c r="CD42" s="2625"/>
      <c r="CE42" s="2625"/>
      <c r="CF42" s="2625"/>
      <c r="CG42" s="2629"/>
      <c r="CM42" s="2625"/>
      <c r="CN42" s="2625"/>
      <c r="CO42" s="2625"/>
      <c r="CP42" s="2629"/>
    </row>
    <row r="43" spans="1:108">
      <c r="F43" s="2622"/>
      <c r="G43" s="2622"/>
      <c r="H43" s="2622"/>
      <c r="Q43" s="2620"/>
      <c r="R43" s="2620"/>
      <c r="T43" s="2618"/>
      <c r="X43" s="2616"/>
      <c r="AA43" s="2623"/>
      <c r="AD43" s="2618"/>
      <c r="AH43" s="2622"/>
      <c r="AI43" s="2622"/>
      <c r="AJ43" s="2622"/>
      <c r="AQ43" s="2625"/>
      <c r="AR43" s="2625"/>
      <c r="AS43" s="2625"/>
      <c r="AT43" s="2629"/>
      <c r="AV43" s="2625"/>
      <c r="AW43" s="2625"/>
      <c r="AX43" s="2625"/>
      <c r="AY43" s="2629"/>
      <c r="BU43" s="2625"/>
      <c r="BV43" s="2625"/>
      <c r="BW43" s="2625"/>
      <c r="BX43" s="2629"/>
      <c r="CD43" s="2625"/>
      <c r="CE43" s="2625"/>
      <c r="CF43" s="2625"/>
      <c r="CG43" s="2629"/>
      <c r="CM43" s="2625"/>
      <c r="CN43" s="2625"/>
      <c r="CO43" s="2625"/>
      <c r="CP43" s="2629"/>
    </row>
    <row r="44" spans="1:108">
      <c r="F44" s="2622"/>
      <c r="G44" s="2622"/>
      <c r="H44" s="2622"/>
      <c r="Q44" s="2620"/>
      <c r="R44" s="2620"/>
      <c r="T44" s="2618"/>
      <c r="X44" s="2616"/>
      <c r="AA44" s="2623"/>
      <c r="AD44" s="2618"/>
      <c r="AH44" s="2622"/>
      <c r="AI44" s="2622"/>
      <c r="AJ44" s="2622"/>
      <c r="AQ44" s="2625"/>
      <c r="AR44" s="2625"/>
      <c r="AS44" s="2625"/>
      <c r="AT44" s="2629"/>
      <c r="AV44" s="2625"/>
      <c r="AW44" s="2625"/>
      <c r="AX44" s="2625"/>
      <c r="AY44" s="2629"/>
      <c r="BU44" s="2625"/>
      <c r="BV44" s="2625"/>
      <c r="BW44" s="2625"/>
      <c r="BX44" s="2629"/>
      <c r="CD44" s="2625"/>
      <c r="CE44" s="2625"/>
      <c r="CF44" s="2625"/>
      <c r="CG44" s="2629"/>
      <c r="CM44" s="2625"/>
      <c r="CN44" s="2625"/>
      <c r="CO44" s="2625"/>
      <c r="CP44" s="2629"/>
    </row>
    <row r="45" spans="1:108">
      <c r="F45" s="2622"/>
      <c r="G45" s="2622"/>
      <c r="H45" s="2622"/>
      <c r="Q45" s="2620"/>
      <c r="R45" s="2620"/>
      <c r="T45" s="2618"/>
      <c r="X45" s="2616"/>
      <c r="AA45" s="2623"/>
      <c r="AD45" s="2618"/>
      <c r="AH45" s="2622"/>
      <c r="AI45" s="2622"/>
      <c r="AJ45" s="2622"/>
      <c r="AQ45" s="2625"/>
      <c r="AR45" s="2625"/>
      <c r="AS45" s="2625"/>
      <c r="AT45" s="2629"/>
      <c r="AV45" s="2625"/>
      <c r="AW45" s="2625"/>
      <c r="AX45" s="2625"/>
      <c r="AY45" s="2629"/>
      <c r="BU45" s="2625"/>
      <c r="BV45" s="2625"/>
      <c r="BW45" s="2625"/>
      <c r="BX45" s="2629"/>
      <c r="CD45" s="2625"/>
      <c r="CE45" s="2625"/>
      <c r="CF45" s="2625"/>
      <c r="CG45" s="2629"/>
      <c r="CM45" s="2625"/>
      <c r="CN45" s="2625"/>
      <c r="CO45" s="2625"/>
      <c r="CP45" s="2629"/>
    </row>
    <row r="46" spans="1:108">
      <c r="F46" s="2622"/>
      <c r="G46" s="2622"/>
      <c r="H46" s="2622"/>
      <c r="Q46" s="2620"/>
      <c r="R46" s="2620"/>
      <c r="T46" s="2618"/>
      <c r="X46" s="2616"/>
      <c r="AA46" s="2623"/>
      <c r="AD46" s="2618"/>
      <c r="AH46" s="2622"/>
      <c r="AI46" s="2622"/>
      <c r="AJ46" s="2622"/>
      <c r="AQ46" s="2625"/>
      <c r="AR46" s="2625"/>
      <c r="AS46" s="2625"/>
      <c r="AT46" s="2629"/>
      <c r="AV46" s="2625"/>
      <c r="AW46" s="2625"/>
      <c r="AX46" s="2625"/>
      <c r="AY46" s="2629"/>
      <c r="BU46" s="2625"/>
      <c r="BV46" s="2625"/>
      <c r="BW46" s="2625"/>
      <c r="BX46" s="2629"/>
      <c r="CD46" s="2625"/>
      <c r="CE46" s="2625"/>
      <c r="CF46" s="2625"/>
      <c r="CG46" s="2629"/>
      <c r="CM46" s="2625"/>
      <c r="CN46" s="2625"/>
      <c r="CO46" s="2625"/>
      <c r="CP46" s="2629"/>
    </row>
    <row r="47" spans="1:108">
      <c r="F47" s="2622"/>
      <c r="G47" s="2622"/>
      <c r="H47" s="2622"/>
      <c r="Q47" s="2620"/>
      <c r="R47" s="2620"/>
      <c r="T47" s="2618"/>
      <c r="X47" s="2616"/>
      <c r="AA47" s="2623"/>
      <c r="AD47" s="2618"/>
      <c r="AH47" s="2622"/>
      <c r="AI47" s="2622"/>
      <c r="AJ47" s="2622"/>
      <c r="AQ47" s="2625"/>
      <c r="AR47" s="2625"/>
      <c r="AS47" s="2625"/>
      <c r="AT47" s="2629"/>
      <c r="AV47" s="2625"/>
      <c r="AW47" s="2625"/>
      <c r="AX47" s="2625"/>
      <c r="AY47" s="2629"/>
      <c r="BU47" s="2625"/>
      <c r="BV47" s="2625"/>
      <c r="BW47" s="2625"/>
      <c r="BX47" s="2629"/>
      <c r="CD47" s="2625"/>
      <c r="CE47" s="2625"/>
      <c r="CF47" s="2625"/>
      <c r="CG47" s="2629"/>
      <c r="CM47" s="2625"/>
      <c r="CN47" s="2625"/>
      <c r="CO47" s="2625"/>
      <c r="CP47" s="2629"/>
    </row>
    <row r="48" spans="1:108">
      <c r="F48" s="2622"/>
      <c r="G48" s="2622"/>
      <c r="H48" s="2622"/>
      <c r="Q48" s="2620"/>
      <c r="R48" s="2620"/>
      <c r="T48" s="2618"/>
      <c r="X48" s="2616"/>
      <c r="AA48" s="2623"/>
      <c r="AD48" s="2618"/>
      <c r="AH48" s="2622"/>
      <c r="AI48" s="2622"/>
      <c r="AJ48" s="2622"/>
      <c r="AQ48" s="2625"/>
      <c r="AR48" s="2625"/>
      <c r="AS48" s="2625"/>
      <c r="AT48" s="2629"/>
      <c r="AV48" s="2625"/>
      <c r="AW48" s="2625"/>
      <c r="AX48" s="2625"/>
      <c r="AY48" s="2629"/>
      <c r="BU48" s="2625"/>
      <c r="BV48" s="2625"/>
      <c r="BW48" s="2625"/>
      <c r="BX48" s="2629"/>
      <c r="CD48" s="2625"/>
      <c r="CE48" s="2625"/>
      <c r="CF48" s="2625"/>
      <c r="CG48" s="2629"/>
      <c r="CM48" s="2625"/>
      <c r="CN48" s="2625"/>
      <c r="CO48" s="2625"/>
      <c r="CP48" s="2629"/>
    </row>
    <row r="49" spans="1:94">
      <c r="F49" s="2622"/>
      <c r="G49" s="2622"/>
      <c r="H49" s="2622"/>
      <c r="Q49" s="2620"/>
      <c r="R49" s="2620"/>
      <c r="T49" s="2618"/>
      <c r="X49" s="2616"/>
      <c r="AA49" s="2623"/>
      <c r="AD49" s="2618"/>
      <c r="AH49" s="2622"/>
      <c r="AI49" s="2622"/>
      <c r="AJ49" s="2622"/>
      <c r="AQ49" s="2625"/>
      <c r="AR49" s="2625"/>
      <c r="AS49" s="2625"/>
      <c r="AT49" s="2629"/>
      <c r="AV49" s="2625"/>
      <c r="AW49" s="2625"/>
      <c r="AX49" s="2625"/>
      <c r="AY49" s="2629"/>
      <c r="BU49" s="2625"/>
      <c r="BV49" s="2625"/>
      <c r="BW49" s="2625"/>
      <c r="BX49" s="2629"/>
      <c r="CD49" s="2625"/>
      <c r="CE49" s="2625"/>
      <c r="CF49" s="2625"/>
      <c r="CG49" s="2629"/>
      <c r="CM49" s="2625"/>
      <c r="CN49" s="2625"/>
      <c r="CO49" s="2625"/>
      <c r="CP49" s="2629"/>
    </row>
    <row r="50" spans="1:94">
      <c r="F50" s="2622"/>
      <c r="G50" s="2622"/>
      <c r="H50" s="2622"/>
      <c r="Q50" s="2620"/>
      <c r="R50" s="2620"/>
      <c r="T50" s="2618"/>
      <c r="X50" s="2616"/>
      <c r="AA50" s="2623"/>
      <c r="AD50" s="2618"/>
      <c r="AH50" s="2622"/>
      <c r="AI50" s="2622"/>
      <c r="AJ50" s="2622"/>
      <c r="AQ50" s="2625"/>
      <c r="AR50" s="2625"/>
      <c r="AS50" s="2625"/>
      <c r="AT50" s="2629"/>
      <c r="AV50" s="2625"/>
      <c r="AW50" s="2625"/>
      <c r="AX50" s="2625"/>
      <c r="AY50" s="2629"/>
      <c r="BU50" s="2625"/>
      <c r="BV50" s="2625"/>
      <c r="BW50" s="2625"/>
      <c r="BX50" s="2629"/>
      <c r="CD50" s="2625"/>
      <c r="CE50" s="2625"/>
      <c r="CF50" s="2625"/>
      <c r="CG50" s="2629"/>
      <c r="CM50" s="2625"/>
      <c r="CN50" s="2625"/>
      <c r="CO50" s="2625"/>
      <c r="CP50" s="2629"/>
    </row>
    <row r="51" spans="1:94">
      <c r="F51" s="2622"/>
      <c r="G51" s="2622"/>
      <c r="H51" s="2622"/>
      <c r="Q51" s="2620"/>
      <c r="R51" s="2620"/>
      <c r="T51" s="2618"/>
      <c r="X51" s="2616"/>
      <c r="AA51" s="2623"/>
      <c r="AD51" s="2618"/>
      <c r="AH51" s="2622"/>
      <c r="AI51" s="2622"/>
      <c r="AJ51" s="2622"/>
      <c r="AQ51" s="2625"/>
      <c r="AR51" s="2625"/>
      <c r="AS51" s="2625"/>
      <c r="AT51" s="2629"/>
      <c r="AV51" s="2625"/>
      <c r="AW51" s="2625"/>
      <c r="AX51" s="2625"/>
      <c r="AY51" s="2629"/>
      <c r="BU51" s="2625"/>
      <c r="BV51" s="2625"/>
      <c r="BW51" s="2625"/>
      <c r="BX51" s="2629"/>
      <c r="CD51" s="2625"/>
      <c r="CE51" s="2625"/>
      <c r="CF51" s="2625"/>
      <c r="CG51" s="2629"/>
      <c r="CM51" s="2625"/>
      <c r="CN51" s="2625"/>
      <c r="CO51" s="2625"/>
      <c r="CP51" s="2629"/>
    </row>
    <row r="52" spans="1:94">
      <c r="B52" s="2581"/>
      <c r="C52" s="2581"/>
      <c r="F52" s="2622"/>
      <c r="G52" s="2622"/>
      <c r="H52" s="2622"/>
      <c r="Q52" s="2620"/>
      <c r="R52" s="2620"/>
      <c r="T52" s="2618"/>
      <c r="X52" s="2616"/>
      <c r="AA52" s="2623"/>
      <c r="AD52" s="2618"/>
      <c r="AH52" s="2622"/>
      <c r="AI52" s="2622"/>
      <c r="AJ52" s="2622"/>
      <c r="AQ52" s="2625"/>
      <c r="AR52" s="2625"/>
      <c r="AS52" s="2625"/>
      <c r="AT52" s="2629"/>
      <c r="AV52" s="2625"/>
      <c r="AW52" s="2625"/>
      <c r="AX52" s="2625"/>
      <c r="AY52" s="2629"/>
      <c r="BU52" s="2625"/>
      <c r="BV52" s="2625"/>
      <c r="BW52" s="2625"/>
      <c r="BX52" s="2629"/>
      <c r="CD52" s="2625"/>
      <c r="CE52" s="2625"/>
      <c r="CF52" s="2625"/>
      <c r="CG52" s="2629"/>
      <c r="CM52" s="2625"/>
      <c r="CN52" s="2625"/>
      <c r="CO52" s="2625"/>
      <c r="CP52" s="2629"/>
    </row>
    <row r="53" spans="1:94">
      <c r="F53" s="2622"/>
      <c r="G53" s="2622"/>
      <c r="H53" s="2622"/>
      <c r="Q53" s="2620"/>
      <c r="R53" s="2620"/>
      <c r="T53" s="2618"/>
      <c r="X53" s="2616"/>
      <c r="AA53" s="2623"/>
      <c r="AD53" s="2618"/>
      <c r="AH53" s="2622"/>
      <c r="AI53" s="2622"/>
      <c r="AJ53" s="2622"/>
      <c r="AQ53" s="2625"/>
      <c r="AR53" s="2625"/>
      <c r="AS53" s="2625"/>
      <c r="AT53" s="2629"/>
      <c r="AV53" s="2625"/>
      <c r="AW53" s="2625"/>
      <c r="AX53" s="2625"/>
      <c r="AY53" s="2629"/>
      <c r="BU53" s="2625"/>
      <c r="BV53" s="2625"/>
      <c r="BW53" s="2625"/>
      <c r="BX53" s="2629"/>
      <c r="CD53" s="2625"/>
      <c r="CE53" s="2625"/>
      <c r="CF53" s="2625"/>
      <c r="CG53" s="2629"/>
      <c r="CM53" s="2625"/>
      <c r="CN53" s="2625"/>
      <c r="CO53" s="2625"/>
      <c r="CP53" s="2629"/>
    </row>
    <row r="54" spans="1:94">
      <c r="F54" s="2622"/>
      <c r="G54" s="2622"/>
      <c r="H54" s="2622"/>
      <c r="Q54" s="2620"/>
      <c r="R54" s="2620"/>
      <c r="T54" s="2618"/>
      <c r="X54" s="2616"/>
      <c r="AA54" s="2623"/>
      <c r="AD54" s="2618"/>
      <c r="AH54" s="2622"/>
      <c r="AI54" s="2622"/>
      <c r="AJ54" s="2622"/>
      <c r="AQ54" s="2625"/>
      <c r="AR54" s="2625"/>
      <c r="AS54" s="2625"/>
      <c r="AT54" s="2629"/>
      <c r="AV54" s="2625"/>
      <c r="AW54" s="2625"/>
      <c r="AX54" s="2625"/>
      <c r="AY54" s="2629"/>
      <c r="BU54" s="2625"/>
      <c r="BV54" s="2625"/>
      <c r="BW54" s="2625"/>
      <c r="BX54" s="2629"/>
      <c r="CD54" s="2625"/>
      <c r="CE54" s="2625"/>
      <c r="CF54" s="2625"/>
      <c r="CG54" s="2629"/>
      <c r="CM54" s="2625"/>
      <c r="CN54" s="2625"/>
      <c r="CO54" s="2625"/>
      <c r="CP54" s="2629"/>
    </row>
    <row r="55" spans="1:94">
      <c r="F55" s="2622"/>
      <c r="G55" s="2622"/>
      <c r="H55" s="2622"/>
      <c r="Q55" s="2620"/>
      <c r="R55" s="2620"/>
      <c r="T55" s="2618"/>
      <c r="X55" s="2616"/>
      <c r="AA55" s="2623"/>
      <c r="AD55" s="2618"/>
      <c r="AH55" s="2622"/>
      <c r="AI55" s="2622"/>
      <c r="AJ55" s="2622"/>
      <c r="AQ55" s="2625"/>
      <c r="AR55" s="2625"/>
      <c r="AS55" s="2625"/>
      <c r="AT55" s="2629"/>
      <c r="AV55" s="2625"/>
      <c r="AW55" s="2625"/>
      <c r="AX55" s="2625"/>
      <c r="AY55" s="2629"/>
      <c r="BU55" s="2625"/>
      <c r="BV55" s="2625"/>
      <c r="BW55" s="2625"/>
      <c r="BX55" s="2629"/>
      <c r="CD55" s="2625"/>
      <c r="CE55" s="2625"/>
      <c r="CF55" s="2625"/>
      <c r="CG55" s="2629"/>
      <c r="CM55" s="2625"/>
      <c r="CN55" s="2625"/>
      <c r="CO55" s="2625"/>
      <c r="CP55" s="2629"/>
    </row>
    <row r="56" spans="1:94">
      <c r="B56" s="2581"/>
      <c r="C56" s="2581"/>
      <c r="F56" s="2622"/>
      <c r="G56" s="2622"/>
      <c r="H56" s="2622"/>
      <c r="Q56" s="2620"/>
      <c r="R56" s="2620"/>
      <c r="T56" s="2618"/>
      <c r="X56" s="2616"/>
      <c r="AA56" s="2623"/>
      <c r="AD56" s="2618"/>
      <c r="AH56" s="2622"/>
      <c r="AI56" s="2622"/>
      <c r="AJ56" s="2622"/>
      <c r="AQ56" s="2625"/>
      <c r="AR56" s="2625"/>
      <c r="AS56" s="2625"/>
      <c r="AT56" s="2629"/>
      <c r="AV56" s="2625"/>
      <c r="AW56" s="2625"/>
      <c r="AX56" s="2625"/>
      <c r="AY56" s="2629"/>
      <c r="BU56" s="2625"/>
      <c r="BV56" s="2625"/>
      <c r="BW56" s="2625"/>
      <c r="BX56" s="2629"/>
      <c r="CD56" s="2625"/>
      <c r="CE56" s="2625"/>
      <c r="CF56" s="2625"/>
      <c r="CG56" s="2629"/>
      <c r="CM56" s="2625"/>
      <c r="CN56" s="2625"/>
      <c r="CO56" s="2625"/>
      <c r="CP56" s="2629"/>
    </row>
    <row r="57" spans="1:94">
      <c r="F57" s="2622"/>
      <c r="G57" s="2622"/>
      <c r="H57" s="2622"/>
      <c r="Q57" s="2620"/>
      <c r="R57" s="2620"/>
      <c r="T57" s="2618"/>
      <c r="X57" s="2616"/>
      <c r="AA57" s="2623"/>
      <c r="AD57" s="2618"/>
      <c r="AH57" s="2622"/>
      <c r="AI57" s="2622"/>
      <c r="AJ57" s="2622"/>
      <c r="AQ57" s="2625"/>
      <c r="AR57" s="2625"/>
      <c r="AS57" s="2625"/>
      <c r="AT57" s="2629"/>
      <c r="AV57" s="2625"/>
      <c r="AW57" s="2625"/>
      <c r="AX57" s="2625"/>
      <c r="AY57" s="2629"/>
      <c r="BU57" s="2625"/>
      <c r="BV57" s="2625"/>
      <c r="BW57" s="2625"/>
      <c r="BX57" s="2629"/>
      <c r="CD57" s="2625"/>
      <c r="CE57" s="2625"/>
      <c r="CF57" s="2625"/>
      <c r="CG57" s="2629"/>
      <c r="CM57" s="2625"/>
      <c r="CN57" s="2625"/>
      <c r="CO57" s="2625"/>
      <c r="CP57" s="2629"/>
    </row>
    <row r="58" spans="1:94">
      <c r="A58" s="2581"/>
      <c r="F58" s="2622"/>
      <c r="G58" s="2622"/>
      <c r="H58" s="2622"/>
      <c r="Q58" s="2620"/>
      <c r="R58" s="2620"/>
      <c r="T58" s="2618"/>
      <c r="X58" s="2616"/>
      <c r="AA58" s="2623"/>
      <c r="AD58" s="2618"/>
      <c r="AH58" s="2622"/>
      <c r="AI58" s="2622"/>
      <c r="AJ58" s="2622"/>
      <c r="AQ58" s="2625"/>
      <c r="AR58" s="2625"/>
      <c r="AS58" s="2625"/>
      <c r="AT58" s="2629"/>
      <c r="AV58" s="2625"/>
      <c r="AW58" s="2625"/>
      <c r="AX58" s="2625"/>
      <c r="AY58" s="2629"/>
      <c r="BU58" s="2625"/>
      <c r="BV58" s="2625"/>
      <c r="BW58" s="2625"/>
      <c r="BX58" s="2629"/>
      <c r="CD58" s="2625"/>
      <c r="CE58" s="2625"/>
      <c r="CF58" s="2625"/>
      <c r="CG58" s="2629"/>
      <c r="CM58" s="2625"/>
      <c r="CN58" s="2625"/>
      <c r="CO58" s="2625"/>
      <c r="CP58" s="2629"/>
    </row>
    <row r="59" spans="1:94">
      <c r="F59" s="2622"/>
      <c r="G59" s="2622"/>
      <c r="H59" s="2622"/>
      <c r="Q59" s="2620"/>
      <c r="R59" s="2620"/>
      <c r="T59" s="2618"/>
      <c r="X59" s="2616"/>
      <c r="AA59" s="2623"/>
      <c r="AD59" s="2618"/>
      <c r="AH59" s="2622"/>
      <c r="AI59" s="2622"/>
      <c r="AJ59" s="2622"/>
      <c r="AQ59" s="2625"/>
      <c r="AR59" s="2625"/>
      <c r="AS59" s="2625"/>
      <c r="AT59" s="2629"/>
      <c r="AV59" s="2625"/>
      <c r="AW59" s="2625"/>
      <c r="AX59" s="2625"/>
      <c r="AY59" s="2629"/>
      <c r="BU59" s="2625"/>
      <c r="BV59" s="2625"/>
      <c r="BW59" s="2625"/>
      <c r="BX59" s="2629"/>
      <c r="CD59" s="2625"/>
      <c r="CE59" s="2625"/>
      <c r="CF59" s="2625"/>
      <c r="CG59" s="2629"/>
      <c r="CM59" s="2625"/>
      <c r="CN59" s="2625"/>
      <c r="CO59" s="2625"/>
      <c r="CP59" s="2629"/>
    </row>
    <row r="60" spans="1:94">
      <c r="F60" s="2622"/>
      <c r="G60" s="2622"/>
      <c r="H60" s="2622"/>
      <c r="Q60" s="2620"/>
      <c r="R60" s="2620"/>
      <c r="T60" s="2618"/>
      <c r="X60" s="2616"/>
      <c r="AA60" s="2623"/>
      <c r="AD60" s="2618"/>
      <c r="AH60" s="2622"/>
      <c r="AI60" s="2622"/>
      <c r="AJ60" s="2622"/>
      <c r="AQ60" s="2625"/>
      <c r="AR60" s="2625"/>
      <c r="AS60" s="2625"/>
      <c r="AT60" s="2629"/>
      <c r="AV60" s="2625"/>
      <c r="AW60" s="2625"/>
      <c r="AX60" s="2625"/>
      <c r="AY60" s="2629"/>
      <c r="BU60" s="2625"/>
      <c r="BV60" s="2625"/>
      <c r="BW60" s="2625"/>
      <c r="BX60" s="2629"/>
      <c r="CD60" s="2625"/>
      <c r="CE60" s="2625"/>
      <c r="CF60" s="2625"/>
      <c r="CG60" s="2629"/>
      <c r="CM60" s="2625"/>
      <c r="CN60" s="2625"/>
      <c r="CO60" s="2625"/>
      <c r="CP60" s="2629"/>
    </row>
    <row r="61" spans="1:94">
      <c r="F61" s="2622"/>
      <c r="G61" s="2622"/>
      <c r="H61" s="2622"/>
      <c r="Q61" s="2620"/>
      <c r="R61" s="2620"/>
      <c r="T61" s="2618"/>
      <c r="X61" s="2616"/>
      <c r="AA61" s="2623"/>
      <c r="AD61" s="2618"/>
      <c r="AH61" s="2622"/>
      <c r="AI61" s="2622"/>
      <c r="AJ61" s="2622"/>
      <c r="AQ61" s="2625"/>
      <c r="AR61" s="2625"/>
      <c r="AS61" s="2625"/>
      <c r="AT61" s="2629"/>
      <c r="AV61" s="2625"/>
      <c r="AW61" s="2625"/>
      <c r="AX61" s="2625"/>
      <c r="AY61" s="2629"/>
      <c r="BU61" s="2625"/>
      <c r="BV61" s="2625"/>
      <c r="BW61" s="2625"/>
      <c r="BX61" s="2629"/>
      <c r="CD61" s="2625"/>
      <c r="CE61" s="2625"/>
      <c r="CF61" s="2625"/>
      <c r="CG61" s="2629"/>
      <c r="CM61" s="2625"/>
      <c r="CN61" s="2625"/>
      <c r="CO61" s="2625"/>
      <c r="CP61" s="2629"/>
    </row>
    <row r="62" spans="1:94">
      <c r="F62" s="2622"/>
      <c r="G62" s="2622"/>
      <c r="H62" s="2622"/>
      <c r="Q62" s="2620"/>
      <c r="R62" s="2620"/>
      <c r="T62" s="2618"/>
      <c r="X62" s="2616"/>
      <c r="AA62" s="2623"/>
      <c r="AD62" s="2618"/>
      <c r="AH62" s="2622"/>
      <c r="AI62" s="2622"/>
      <c r="AJ62" s="2622"/>
      <c r="AQ62" s="2625"/>
      <c r="AR62" s="2625"/>
      <c r="AS62" s="2625"/>
      <c r="AT62" s="2629"/>
      <c r="AV62" s="2625"/>
      <c r="AW62" s="2625"/>
      <c r="AX62" s="2625"/>
      <c r="AY62" s="2629"/>
      <c r="BU62" s="2625"/>
      <c r="BV62" s="2625"/>
      <c r="BW62" s="2625"/>
      <c r="BX62" s="2629"/>
      <c r="CD62" s="2625"/>
      <c r="CE62" s="2625"/>
      <c r="CF62" s="2625"/>
      <c r="CG62" s="2629"/>
      <c r="CM62" s="2625"/>
      <c r="CN62" s="2625"/>
      <c r="CO62" s="2625"/>
      <c r="CP62" s="2629"/>
    </row>
    <row r="63" spans="1:94">
      <c r="F63" s="2622"/>
      <c r="G63" s="2622"/>
      <c r="H63" s="2622"/>
      <c r="Q63" s="2620"/>
      <c r="R63" s="2620"/>
      <c r="T63" s="2618"/>
      <c r="X63" s="2616"/>
      <c r="AA63" s="2623"/>
      <c r="AD63" s="2618"/>
      <c r="AH63" s="2622"/>
      <c r="AI63" s="2622"/>
      <c r="AJ63" s="2622"/>
      <c r="AQ63" s="2625"/>
      <c r="AR63" s="2625"/>
      <c r="AS63" s="2625"/>
      <c r="AT63" s="2629"/>
      <c r="AV63" s="2625"/>
      <c r="AW63" s="2625"/>
      <c r="AX63" s="2625"/>
      <c r="AY63" s="2629"/>
      <c r="BU63" s="2625"/>
      <c r="BV63" s="2625"/>
      <c r="BW63" s="2625"/>
      <c r="BX63" s="2629"/>
      <c r="CD63" s="2625"/>
      <c r="CE63" s="2625"/>
      <c r="CF63" s="2625"/>
      <c r="CG63" s="2629"/>
      <c r="CM63" s="2625"/>
      <c r="CN63" s="2625"/>
      <c r="CO63" s="2625"/>
      <c r="CP63" s="2629"/>
    </row>
    <row r="64" spans="1:94">
      <c r="F64" s="2622"/>
      <c r="G64" s="2622"/>
      <c r="H64" s="2622"/>
      <c r="Q64" s="2620"/>
      <c r="R64" s="2620"/>
      <c r="T64" s="2618"/>
      <c r="X64" s="2616"/>
      <c r="AA64" s="2623"/>
      <c r="AD64" s="2618"/>
      <c r="AH64" s="2622"/>
      <c r="AI64" s="2622"/>
      <c r="AJ64" s="2622"/>
      <c r="AQ64" s="2625"/>
      <c r="AR64" s="2625"/>
      <c r="AS64" s="2625"/>
      <c r="AT64" s="2629"/>
      <c r="AV64" s="2625"/>
      <c r="AW64" s="2625"/>
      <c r="AX64" s="2625"/>
      <c r="AY64" s="2629"/>
      <c r="BU64" s="2625"/>
      <c r="BV64" s="2625"/>
      <c r="BW64" s="2625"/>
      <c r="BX64" s="2629"/>
      <c r="CD64" s="2625"/>
      <c r="CE64" s="2625"/>
      <c r="CF64" s="2625"/>
      <c r="CG64" s="2629"/>
      <c r="CM64" s="2625"/>
      <c r="CN64" s="2625"/>
      <c r="CO64" s="2625"/>
      <c r="CP64" s="2629"/>
    </row>
    <row r="65" spans="2:94">
      <c r="F65" s="2622"/>
      <c r="G65" s="2622"/>
      <c r="H65" s="2622"/>
      <c r="Q65" s="2620"/>
      <c r="R65" s="2620"/>
      <c r="T65" s="2618"/>
      <c r="X65" s="2616"/>
      <c r="AA65" s="2623"/>
      <c r="AD65" s="2618"/>
      <c r="AH65" s="2622"/>
      <c r="AI65" s="2622"/>
      <c r="AJ65" s="2622"/>
      <c r="AQ65" s="2625"/>
      <c r="AR65" s="2625"/>
      <c r="AS65" s="2625"/>
      <c r="AT65" s="2629"/>
      <c r="AV65" s="2625"/>
      <c r="AW65" s="2625"/>
      <c r="AX65" s="2625"/>
      <c r="AY65" s="2629"/>
      <c r="BU65" s="2625"/>
      <c r="BV65" s="2625"/>
      <c r="BW65" s="2625"/>
      <c r="BX65" s="2629"/>
      <c r="CD65" s="2625"/>
      <c r="CE65" s="2625"/>
      <c r="CF65" s="2625"/>
      <c r="CG65" s="2629"/>
      <c r="CM65" s="2625"/>
      <c r="CN65" s="2625"/>
      <c r="CO65" s="2625"/>
      <c r="CP65" s="2629"/>
    </row>
    <row r="66" spans="2:94">
      <c r="F66" s="2622"/>
      <c r="G66" s="2622"/>
      <c r="H66" s="2622"/>
      <c r="Q66" s="2620"/>
      <c r="R66" s="2620"/>
      <c r="T66" s="2618"/>
      <c r="X66" s="2616"/>
      <c r="AA66" s="2623"/>
      <c r="AD66" s="2618"/>
      <c r="AH66" s="2622"/>
      <c r="AI66" s="2622"/>
      <c r="AJ66" s="2622"/>
      <c r="AQ66" s="2625"/>
      <c r="AR66" s="2625"/>
      <c r="AS66" s="2625"/>
      <c r="AT66" s="2629"/>
      <c r="AV66" s="2625"/>
      <c r="AW66" s="2625"/>
      <c r="AX66" s="2625"/>
      <c r="AY66" s="2629"/>
      <c r="BU66" s="2625"/>
      <c r="BV66" s="2625"/>
      <c r="BW66" s="2625"/>
      <c r="BX66" s="2629"/>
      <c r="CD66" s="2625"/>
      <c r="CE66" s="2625"/>
      <c r="CF66" s="2625"/>
      <c r="CG66" s="2629"/>
      <c r="CM66" s="2625"/>
      <c r="CN66" s="2625"/>
      <c r="CO66" s="2625"/>
      <c r="CP66" s="2629"/>
    </row>
    <row r="67" spans="2:94">
      <c r="F67" s="2622"/>
      <c r="G67" s="2622"/>
      <c r="H67" s="2622"/>
      <c r="Q67" s="2620"/>
      <c r="R67" s="2620"/>
      <c r="T67" s="2618"/>
      <c r="X67" s="2616"/>
      <c r="AA67" s="2623"/>
      <c r="AD67" s="2618"/>
      <c r="AH67" s="2622"/>
      <c r="AI67" s="2622"/>
      <c r="AJ67" s="2622"/>
      <c r="AQ67" s="2625"/>
      <c r="AR67" s="2625"/>
      <c r="AS67" s="2625"/>
      <c r="AT67" s="2629"/>
      <c r="AV67" s="2625"/>
      <c r="AW67" s="2625"/>
      <c r="AX67" s="2625"/>
      <c r="AY67" s="2629"/>
      <c r="BU67" s="2625"/>
      <c r="BV67" s="2625"/>
      <c r="BW67" s="2625"/>
      <c r="BX67" s="2629"/>
      <c r="CD67" s="2625"/>
      <c r="CE67" s="2625"/>
      <c r="CF67" s="2625"/>
      <c r="CG67" s="2629"/>
      <c r="CM67" s="2625"/>
      <c r="CN67" s="2625"/>
      <c r="CO67" s="2625"/>
      <c r="CP67" s="2629"/>
    </row>
    <row r="68" spans="2:94">
      <c r="F68" s="2622"/>
      <c r="G68" s="2622"/>
      <c r="H68" s="2622"/>
      <c r="Q68" s="2620"/>
      <c r="R68" s="2620"/>
      <c r="T68" s="2618"/>
      <c r="X68" s="2616"/>
      <c r="AA68" s="2623"/>
      <c r="AD68" s="2618"/>
      <c r="AH68" s="2622"/>
      <c r="AI68" s="2622"/>
      <c r="AJ68" s="2622"/>
      <c r="AQ68" s="2625"/>
      <c r="AR68" s="2625"/>
      <c r="AS68" s="2625"/>
      <c r="AT68" s="2629"/>
      <c r="AV68" s="2625"/>
      <c r="AW68" s="2625"/>
      <c r="AX68" s="2625"/>
      <c r="AY68" s="2629"/>
      <c r="BU68" s="2625"/>
      <c r="BV68" s="2625"/>
      <c r="BW68" s="2625"/>
      <c r="BX68" s="2629"/>
      <c r="CD68" s="2625"/>
      <c r="CE68" s="2625"/>
      <c r="CF68" s="2625"/>
      <c r="CG68" s="2629"/>
      <c r="CM68" s="2625"/>
      <c r="CN68" s="2625"/>
      <c r="CO68" s="2625"/>
      <c r="CP68" s="2629"/>
    </row>
    <row r="69" spans="2:94">
      <c r="F69" s="2622"/>
      <c r="G69" s="2622"/>
      <c r="H69" s="2622"/>
      <c r="Q69" s="2620"/>
      <c r="R69" s="2620"/>
      <c r="T69" s="2618"/>
      <c r="X69" s="2616"/>
      <c r="AA69" s="2623"/>
      <c r="AD69" s="2618"/>
      <c r="AH69" s="2622"/>
      <c r="AI69" s="2622"/>
      <c r="AJ69" s="2622"/>
      <c r="AQ69" s="2625"/>
      <c r="AR69" s="2625"/>
      <c r="AS69" s="2625"/>
      <c r="AT69" s="2629"/>
      <c r="AV69" s="2625"/>
      <c r="AW69" s="2625"/>
      <c r="AX69" s="2625"/>
      <c r="AY69" s="2629"/>
      <c r="BU69" s="2625"/>
      <c r="BV69" s="2625"/>
      <c r="BW69" s="2625"/>
      <c r="BX69" s="2629"/>
      <c r="CD69" s="2625"/>
      <c r="CE69" s="2625"/>
      <c r="CF69" s="2625"/>
      <c r="CG69" s="2629"/>
      <c r="CM69" s="2625"/>
      <c r="CN69" s="2625"/>
      <c r="CO69" s="2625"/>
      <c r="CP69" s="2629"/>
    </row>
    <row r="70" spans="2:94">
      <c r="F70" s="2622"/>
      <c r="G70" s="2622"/>
      <c r="H70" s="2622"/>
      <c r="Q70" s="2620"/>
      <c r="R70" s="2620"/>
      <c r="T70" s="2618"/>
      <c r="X70" s="2616"/>
      <c r="AA70" s="2623"/>
      <c r="AD70" s="2618"/>
      <c r="AH70" s="2622"/>
      <c r="AI70" s="2622"/>
      <c r="AJ70" s="2622"/>
      <c r="AQ70" s="2625"/>
      <c r="AR70" s="2625"/>
      <c r="AS70" s="2625"/>
      <c r="AT70" s="2629"/>
      <c r="AV70" s="2625"/>
      <c r="AW70" s="2625"/>
      <c r="AX70" s="2625"/>
      <c r="AY70" s="2629"/>
      <c r="BU70" s="2625"/>
      <c r="BV70" s="2625"/>
      <c r="BW70" s="2625"/>
      <c r="BX70" s="2629"/>
      <c r="CD70" s="2625"/>
      <c r="CE70" s="2625"/>
      <c r="CF70" s="2625"/>
      <c r="CG70" s="2629"/>
      <c r="CM70" s="2625"/>
      <c r="CN70" s="2625"/>
      <c r="CO70" s="2625"/>
      <c r="CP70" s="2629"/>
    </row>
    <row r="71" spans="2:94">
      <c r="B71" s="2581"/>
      <c r="C71" s="2581"/>
      <c r="F71" s="2622"/>
      <c r="G71" s="2622"/>
      <c r="H71" s="2622"/>
      <c r="Q71" s="2620"/>
      <c r="R71" s="2620"/>
      <c r="T71" s="2618"/>
      <c r="X71" s="2616"/>
      <c r="AA71" s="2623"/>
      <c r="AD71" s="2618"/>
      <c r="AH71" s="2622"/>
      <c r="AI71" s="2622"/>
      <c r="AJ71" s="2622"/>
      <c r="AQ71" s="2625"/>
      <c r="AR71" s="2625"/>
      <c r="AS71" s="2625"/>
      <c r="AT71" s="2629"/>
      <c r="AV71" s="2625"/>
      <c r="AW71" s="2625"/>
      <c r="AX71" s="2625"/>
      <c r="AY71" s="2629"/>
      <c r="BU71" s="2625"/>
      <c r="BV71" s="2625"/>
      <c r="BW71" s="2625"/>
      <c r="BX71" s="2629"/>
      <c r="CD71" s="2625"/>
      <c r="CE71" s="2625"/>
      <c r="CF71" s="2625"/>
      <c r="CG71" s="2629"/>
      <c r="CM71" s="2625"/>
      <c r="CN71" s="2625"/>
      <c r="CO71" s="2625"/>
      <c r="CP71" s="2629"/>
    </row>
    <row r="72" spans="2:94">
      <c r="F72" s="2622"/>
      <c r="G72" s="2622"/>
      <c r="H72" s="2622"/>
      <c r="Q72" s="2620"/>
      <c r="R72" s="2620"/>
      <c r="T72" s="2618"/>
      <c r="X72" s="2616"/>
      <c r="AA72" s="2623"/>
      <c r="AD72" s="2618"/>
      <c r="AH72" s="2622"/>
      <c r="AI72" s="2622"/>
      <c r="AJ72" s="2622"/>
      <c r="AQ72" s="2625"/>
      <c r="AR72" s="2625"/>
      <c r="AS72" s="2625"/>
      <c r="AT72" s="2629"/>
      <c r="AV72" s="2625"/>
      <c r="AW72" s="2625"/>
      <c r="AX72" s="2625"/>
      <c r="AY72" s="2629"/>
      <c r="BU72" s="2625"/>
      <c r="BV72" s="2625"/>
      <c r="BW72" s="2625"/>
      <c r="BX72" s="2629"/>
      <c r="CD72" s="2625"/>
      <c r="CE72" s="2625"/>
      <c r="CF72" s="2625"/>
      <c r="CG72" s="2629"/>
      <c r="CM72" s="2625"/>
      <c r="CN72" s="2625"/>
      <c r="CO72" s="2625"/>
      <c r="CP72" s="2629"/>
    </row>
    <row r="73" spans="2:94">
      <c r="F73" s="2622"/>
      <c r="G73" s="2622"/>
      <c r="H73" s="2622"/>
      <c r="Q73" s="2620"/>
      <c r="R73" s="2620"/>
      <c r="T73" s="2618"/>
      <c r="X73" s="2616"/>
      <c r="AA73" s="2623"/>
      <c r="AD73" s="2618"/>
      <c r="AH73" s="2622"/>
      <c r="AI73" s="2622"/>
      <c r="AJ73" s="2622"/>
      <c r="AQ73" s="2625"/>
      <c r="AR73" s="2625"/>
      <c r="AS73" s="2625"/>
      <c r="AT73" s="2629"/>
      <c r="AV73" s="2625"/>
      <c r="AW73" s="2625"/>
      <c r="AX73" s="2625"/>
      <c r="AY73" s="2629"/>
      <c r="BU73" s="2625"/>
      <c r="BV73" s="2625"/>
      <c r="BW73" s="2625"/>
      <c r="BX73" s="2629"/>
      <c r="CD73" s="2625"/>
      <c r="CE73" s="2625"/>
      <c r="CF73" s="2625"/>
      <c r="CG73" s="2629"/>
      <c r="CM73" s="2625"/>
      <c r="CN73" s="2625"/>
      <c r="CO73" s="2625"/>
      <c r="CP73" s="2629"/>
    </row>
    <row r="74" spans="2:94">
      <c r="F74" s="2622"/>
      <c r="G74" s="2622"/>
      <c r="H74" s="2622"/>
      <c r="Q74" s="2620"/>
      <c r="R74" s="2620"/>
      <c r="T74" s="2618"/>
      <c r="X74" s="2616"/>
      <c r="AA74" s="2623"/>
      <c r="AD74" s="2618"/>
      <c r="AH74" s="2622"/>
      <c r="AI74" s="2622"/>
      <c r="AJ74" s="2622"/>
      <c r="AQ74" s="2625"/>
      <c r="AR74" s="2625"/>
      <c r="AS74" s="2625"/>
      <c r="AT74" s="2629"/>
      <c r="AV74" s="2625"/>
      <c r="AW74" s="2625"/>
      <c r="AX74" s="2625"/>
      <c r="AY74" s="2629"/>
      <c r="BU74" s="2625"/>
      <c r="BV74" s="2625"/>
      <c r="BW74" s="2625"/>
      <c r="BX74" s="2629"/>
      <c r="CD74" s="2625"/>
      <c r="CE74" s="2625"/>
      <c r="CF74" s="2625"/>
      <c r="CG74" s="2629"/>
      <c r="CM74" s="2625"/>
      <c r="CN74" s="2625"/>
      <c r="CO74" s="2625"/>
      <c r="CP74" s="2629"/>
    </row>
    <row r="75" spans="2:94">
      <c r="B75" s="2581"/>
      <c r="C75" s="2581"/>
      <c r="F75" s="2622"/>
      <c r="G75" s="2622"/>
      <c r="H75" s="2622"/>
      <c r="Q75" s="2620"/>
      <c r="R75" s="2620"/>
      <c r="T75" s="2618"/>
      <c r="X75" s="2616"/>
      <c r="AA75" s="2623"/>
      <c r="AD75" s="2618"/>
      <c r="AH75" s="2622"/>
      <c r="AI75" s="2622"/>
      <c r="AJ75" s="2622"/>
      <c r="AQ75" s="2625"/>
      <c r="AR75" s="2625"/>
      <c r="AS75" s="2625"/>
      <c r="AT75" s="2629"/>
      <c r="AV75" s="2625"/>
      <c r="AW75" s="2625"/>
      <c r="AX75" s="2625"/>
      <c r="AY75" s="2629"/>
      <c r="BU75" s="2625"/>
      <c r="BV75" s="2625"/>
      <c r="BW75" s="2625"/>
      <c r="BX75" s="2629"/>
      <c r="CD75" s="2625"/>
      <c r="CE75" s="2625"/>
      <c r="CF75" s="2625"/>
      <c r="CG75" s="2629"/>
      <c r="CM75" s="2625"/>
      <c r="CN75" s="2625"/>
      <c r="CO75" s="2625"/>
      <c r="CP75" s="2629"/>
    </row>
    <row r="76" spans="2:94">
      <c r="F76" s="2622"/>
      <c r="G76" s="2622"/>
      <c r="H76" s="2622"/>
      <c r="Q76" s="2620"/>
      <c r="R76" s="2620"/>
      <c r="T76" s="2618"/>
      <c r="X76" s="2616"/>
      <c r="AA76" s="2623"/>
      <c r="AD76" s="2618"/>
      <c r="AH76" s="2622"/>
      <c r="AI76" s="2622"/>
      <c r="AJ76" s="2622"/>
      <c r="AQ76" s="2625"/>
      <c r="AR76" s="2625"/>
      <c r="AS76" s="2625"/>
      <c r="AT76" s="2629"/>
      <c r="AV76" s="2625"/>
      <c r="AW76" s="2625"/>
      <c r="AX76" s="2625"/>
      <c r="AY76" s="2629"/>
      <c r="BU76" s="2625"/>
      <c r="BV76" s="2625"/>
      <c r="BW76" s="2625"/>
      <c r="BX76" s="2629"/>
      <c r="CD76" s="2625"/>
      <c r="CE76" s="2625"/>
      <c r="CF76" s="2625"/>
      <c r="CG76" s="2629"/>
      <c r="CM76" s="2625"/>
      <c r="CN76" s="2625"/>
      <c r="CO76" s="2625"/>
      <c r="CP76" s="2629"/>
    </row>
    <row r="77" spans="2:94">
      <c r="F77" s="2622"/>
      <c r="G77" s="2622"/>
      <c r="H77" s="2622"/>
      <c r="Q77" s="2620"/>
      <c r="R77" s="2620"/>
      <c r="T77" s="2618"/>
      <c r="X77" s="2616"/>
      <c r="AA77" s="2623"/>
      <c r="AD77" s="2618"/>
      <c r="AH77" s="2622"/>
      <c r="AI77" s="2622"/>
      <c r="AJ77" s="2622"/>
      <c r="AQ77" s="2625"/>
      <c r="AR77" s="2625"/>
      <c r="AS77" s="2625"/>
      <c r="AT77" s="2629"/>
      <c r="AV77" s="2625"/>
      <c r="AW77" s="2625"/>
      <c r="AX77" s="2625"/>
      <c r="AY77" s="2629"/>
      <c r="BU77" s="2625"/>
      <c r="BV77" s="2625"/>
      <c r="BW77" s="2625"/>
      <c r="BX77" s="2629"/>
      <c r="CD77" s="2625"/>
      <c r="CE77" s="2625"/>
      <c r="CF77" s="2625"/>
      <c r="CG77" s="2629"/>
      <c r="CM77" s="2625"/>
      <c r="CN77" s="2625"/>
      <c r="CO77" s="2625"/>
      <c r="CP77" s="2629"/>
    </row>
    <row r="78" spans="2:94">
      <c r="F78" s="2622"/>
      <c r="G78" s="2622"/>
      <c r="H78" s="2622"/>
      <c r="Q78" s="2620"/>
      <c r="R78" s="2620"/>
      <c r="T78" s="2618"/>
      <c r="X78" s="2616"/>
      <c r="AA78" s="2623"/>
      <c r="AD78" s="2618"/>
      <c r="AH78" s="2622"/>
      <c r="AI78" s="2622"/>
      <c r="AJ78" s="2622"/>
      <c r="AQ78" s="2625"/>
      <c r="AR78" s="2625"/>
      <c r="AS78" s="2625"/>
      <c r="AT78" s="2629"/>
      <c r="AV78" s="2625"/>
      <c r="AW78" s="2625"/>
      <c r="AX78" s="2625"/>
      <c r="AY78" s="2629"/>
      <c r="BU78" s="2625"/>
      <c r="BV78" s="2625"/>
      <c r="BW78" s="2625"/>
      <c r="BX78" s="2629"/>
      <c r="CD78" s="2625"/>
      <c r="CE78" s="2625"/>
      <c r="CF78" s="2625"/>
      <c r="CG78" s="2629"/>
      <c r="CM78" s="2625"/>
      <c r="CN78" s="2625"/>
      <c r="CO78" s="2625"/>
      <c r="CP78" s="2629"/>
    </row>
    <row r="79" spans="2:94">
      <c r="F79" s="2622"/>
      <c r="G79" s="2622"/>
      <c r="H79" s="2622"/>
      <c r="Q79" s="2620"/>
      <c r="R79" s="2620"/>
      <c r="T79" s="2618"/>
      <c r="AA79" s="2623"/>
      <c r="AD79" s="2618"/>
      <c r="AH79" s="2622"/>
      <c r="AI79" s="2622"/>
      <c r="AJ79" s="2622"/>
      <c r="AQ79" s="2626"/>
      <c r="AR79" s="2626"/>
      <c r="AS79" s="2626"/>
      <c r="AT79" s="2625"/>
      <c r="AV79" s="2626"/>
      <c r="AW79" s="2626"/>
      <c r="AX79" s="2626"/>
      <c r="AY79" s="2625"/>
      <c r="BU79" s="2626"/>
      <c r="BV79" s="2626"/>
      <c r="BW79" s="2626"/>
      <c r="BX79" s="2625"/>
      <c r="CD79" s="2626"/>
      <c r="CE79" s="2626"/>
      <c r="CF79" s="2626"/>
      <c r="CG79" s="2625"/>
      <c r="CM79" s="2626"/>
      <c r="CN79" s="2626"/>
      <c r="CO79" s="2626"/>
      <c r="CP79" s="2625"/>
    </row>
    <row r="80" spans="2:94">
      <c r="F80" s="2622"/>
      <c r="G80" s="2622"/>
      <c r="H80" s="2622"/>
      <c r="Q80" s="2620"/>
      <c r="R80" s="2620"/>
      <c r="T80" s="2618"/>
      <c r="AA80" s="2623"/>
      <c r="AD80" s="2618"/>
      <c r="AH80" s="2622"/>
      <c r="AI80" s="2622"/>
      <c r="AJ80" s="2622"/>
      <c r="AQ80" s="2626"/>
      <c r="AR80" s="2626"/>
      <c r="AS80" s="2626"/>
      <c r="AT80" s="2625"/>
      <c r="AV80" s="2626"/>
      <c r="AW80" s="2626"/>
      <c r="AX80" s="2626"/>
      <c r="AY80" s="2625"/>
      <c r="BU80" s="2626"/>
      <c r="BV80" s="2626"/>
      <c r="BW80" s="2626"/>
      <c r="BX80" s="2625"/>
      <c r="CD80" s="2626"/>
      <c r="CE80" s="2626"/>
      <c r="CF80" s="2626"/>
      <c r="CG80" s="2625"/>
      <c r="CM80" s="2626"/>
      <c r="CN80" s="2626"/>
      <c r="CO80" s="2626"/>
      <c r="CP80" s="2625"/>
    </row>
    <row r="81" spans="6:94">
      <c r="F81" s="2622"/>
      <c r="G81" s="2622"/>
      <c r="H81" s="2622"/>
      <c r="Q81" s="2620"/>
      <c r="R81" s="2620"/>
      <c r="T81" s="2618"/>
      <c r="AA81" s="2623"/>
      <c r="AD81" s="2618"/>
      <c r="AH81" s="2622"/>
      <c r="AI81" s="2622"/>
      <c r="AJ81" s="2622"/>
      <c r="AQ81" s="2626"/>
      <c r="AR81" s="2626"/>
      <c r="AS81" s="2626"/>
      <c r="AT81" s="2625"/>
      <c r="AV81" s="2626"/>
      <c r="AW81" s="2626"/>
      <c r="AX81" s="2626"/>
      <c r="AY81" s="2625"/>
      <c r="BU81" s="2626"/>
      <c r="BV81" s="2626"/>
      <c r="BW81" s="2626"/>
      <c r="BX81" s="2625"/>
      <c r="CD81" s="2626"/>
      <c r="CE81" s="2626"/>
      <c r="CF81" s="2626"/>
      <c r="CG81" s="2625"/>
      <c r="CM81" s="2626"/>
      <c r="CN81" s="2626"/>
      <c r="CO81" s="2626"/>
      <c r="CP81" s="2625"/>
    </row>
    <row r="82" spans="6:94">
      <c r="F82" s="2622"/>
      <c r="G82" s="2622"/>
      <c r="H82" s="2622"/>
      <c r="Q82" s="2620"/>
      <c r="R82" s="2620"/>
      <c r="T82" s="2618"/>
      <c r="AA82" s="2623"/>
      <c r="AD82" s="2618"/>
      <c r="AH82" s="2622"/>
      <c r="AI82" s="2622"/>
      <c r="AJ82" s="2622"/>
      <c r="AQ82" s="2626"/>
      <c r="AR82" s="2626"/>
      <c r="AS82" s="2626"/>
      <c r="AT82" s="2625"/>
      <c r="AV82" s="2626"/>
      <c r="AW82" s="2626"/>
      <c r="AX82" s="2626"/>
      <c r="AY82" s="2625"/>
      <c r="BU82" s="2626"/>
      <c r="BV82" s="2626"/>
      <c r="BW82" s="2626"/>
      <c r="BX82" s="2625"/>
      <c r="CD82" s="2626"/>
      <c r="CE82" s="2626"/>
      <c r="CF82" s="2626"/>
      <c r="CG82" s="2625"/>
      <c r="CM82" s="2626"/>
      <c r="CN82" s="2626"/>
      <c r="CO82" s="2626"/>
      <c r="CP82" s="2625"/>
    </row>
    <row r="83" spans="6:94">
      <c r="F83" s="2622"/>
      <c r="G83" s="2622"/>
      <c r="H83" s="2622"/>
      <c r="Q83" s="2620"/>
      <c r="R83" s="2620"/>
      <c r="T83" s="2618"/>
      <c r="AA83" s="2623"/>
      <c r="AD83" s="2618"/>
      <c r="AH83" s="2622"/>
      <c r="AI83" s="2622"/>
      <c r="AJ83" s="2622"/>
      <c r="AQ83" s="2626"/>
      <c r="AR83" s="2626"/>
      <c r="AS83" s="2626"/>
      <c r="AT83" s="2625"/>
      <c r="AV83" s="2626"/>
      <c r="AW83" s="2626"/>
      <c r="AX83" s="2626"/>
      <c r="AY83" s="2625"/>
      <c r="BU83" s="2626"/>
      <c r="BV83" s="2626"/>
      <c r="BW83" s="2626"/>
      <c r="BX83" s="2625"/>
      <c r="CD83" s="2626"/>
      <c r="CE83" s="2626"/>
      <c r="CF83" s="2626"/>
      <c r="CG83" s="2625"/>
      <c r="CM83" s="2626"/>
      <c r="CN83" s="2626"/>
      <c r="CO83" s="2626"/>
      <c r="CP83" s="2625"/>
    </row>
    <row r="84" spans="6:94">
      <c r="F84" s="2622"/>
      <c r="G84" s="2622"/>
      <c r="H84" s="2622"/>
      <c r="Q84" s="2620"/>
      <c r="R84" s="2620"/>
      <c r="T84" s="2618"/>
      <c r="AA84" s="2623"/>
      <c r="AD84" s="2618"/>
      <c r="AH84" s="2622"/>
      <c r="AI84" s="2622"/>
      <c r="AJ84" s="2622"/>
      <c r="AQ84" s="2626"/>
      <c r="AR84" s="2626"/>
      <c r="AS84" s="2626"/>
      <c r="AT84" s="2625"/>
      <c r="AV84" s="2626"/>
      <c r="AW84" s="2626"/>
      <c r="AX84" s="2626"/>
      <c r="AY84" s="2625"/>
      <c r="BU84" s="2626"/>
      <c r="BV84" s="2626"/>
      <c r="BW84" s="2626"/>
      <c r="BX84" s="2625"/>
      <c r="CD84" s="2626"/>
      <c r="CE84" s="2626"/>
      <c r="CF84" s="2626"/>
      <c r="CG84" s="2625"/>
      <c r="CM84" s="2626"/>
      <c r="CN84" s="2626"/>
      <c r="CO84" s="2626"/>
      <c r="CP84" s="2625"/>
    </row>
    <row r="85" spans="6:94">
      <c r="F85" s="2622"/>
      <c r="G85" s="2622"/>
      <c r="H85" s="2622"/>
      <c r="Q85" s="2620"/>
      <c r="R85" s="2620"/>
      <c r="T85" s="2618"/>
      <c r="AA85" s="2623"/>
      <c r="AD85" s="2618"/>
      <c r="AH85" s="2622"/>
      <c r="AI85" s="2622"/>
      <c r="AJ85" s="2622"/>
      <c r="AQ85" s="2626"/>
      <c r="AR85" s="2626"/>
      <c r="AS85" s="2626"/>
      <c r="AT85" s="2625"/>
      <c r="AV85" s="2626"/>
      <c r="AW85" s="2626"/>
      <c r="AX85" s="2626"/>
      <c r="AY85" s="2625"/>
      <c r="BU85" s="2626"/>
      <c r="BV85" s="2626"/>
      <c r="BW85" s="2626"/>
      <c r="BX85" s="2625"/>
      <c r="CD85" s="2626"/>
      <c r="CE85" s="2626"/>
      <c r="CF85" s="2626"/>
      <c r="CG85" s="2625"/>
      <c r="CM85" s="2626"/>
      <c r="CN85" s="2626"/>
      <c r="CO85" s="2626"/>
      <c r="CP85" s="2625"/>
    </row>
    <row r="86" spans="6:94">
      <c r="F86" s="2622"/>
      <c r="G86" s="2622"/>
      <c r="H86" s="2622"/>
      <c r="Q86" s="2620"/>
      <c r="R86" s="2620"/>
      <c r="T86" s="2618"/>
      <c r="AA86" s="2623"/>
      <c r="AD86" s="2618"/>
      <c r="AH86" s="2622"/>
      <c r="AI86" s="2622"/>
      <c r="AJ86" s="2622"/>
      <c r="AQ86" s="2626"/>
      <c r="AR86" s="2626"/>
      <c r="AS86" s="2626"/>
      <c r="AT86" s="2625"/>
      <c r="AV86" s="2626"/>
      <c r="AW86" s="2626"/>
      <c r="AX86" s="2626"/>
      <c r="AY86" s="2625"/>
      <c r="BU86" s="2626"/>
      <c r="BV86" s="2626"/>
      <c r="BW86" s="2626"/>
      <c r="BX86" s="2625"/>
      <c r="CD86" s="2626"/>
      <c r="CE86" s="2626"/>
      <c r="CF86" s="2626"/>
      <c r="CG86" s="2625"/>
      <c r="CM86" s="2626"/>
      <c r="CN86" s="2626"/>
      <c r="CO86" s="2626"/>
      <c r="CP86" s="2625"/>
    </row>
    <row r="87" spans="6:94">
      <c r="Q87" s="2620"/>
      <c r="R87" s="2620"/>
      <c r="T87" s="2618"/>
      <c r="AA87" s="2623"/>
      <c r="AD87" s="2618"/>
    </row>
    <row r="88" spans="6:94">
      <c r="Q88" s="2620"/>
      <c r="R88" s="2620"/>
      <c r="T88" s="2618"/>
      <c r="AA88" s="2623"/>
      <c r="AD88" s="2618"/>
    </row>
    <row r="89" spans="6:94">
      <c r="Q89" s="2620"/>
      <c r="R89" s="2620"/>
      <c r="T89" s="2618"/>
      <c r="AA89" s="2623"/>
      <c r="AD89" s="2618"/>
    </row>
    <row r="90" spans="6:94">
      <c r="Q90" s="2620"/>
      <c r="R90" s="2620"/>
      <c r="T90" s="2618"/>
      <c r="AA90" s="2623"/>
      <c r="AD90" s="2618"/>
    </row>
    <row r="91" spans="6:94">
      <c r="Q91" s="2620"/>
      <c r="R91" s="2620"/>
      <c r="T91" s="2618"/>
      <c r="AA91" s="2623"/>
      <c r="AD91" s="2618"/>
    </row>
    <row r="92" spans="6:94">
      <c r="Q92" s="2620"/>
      <c r="R92" s="2620"/>
      <c r="T92" s="2618"/>
      <c r="AA92" s="2623"/>
      <c r="AD92" s="2618"/>
    </row>
    <row r="93" spans="6:94">
      <c r="Q93" s="2620"/>
      <c r="R93" s="2620"/>
      <c r="T93" s="2618"/>
      <c r="AA93" s="2623"/>
      <c r="AD93" s="2618"/>
    </row>
    <row r="94" spans="6:94">
      <c r="Q94" s="2620"/>
      <c r="R94" s="2620"/>
      <c r="T94" s="2618"/>
      <c r="AA94" s="2623"/>
      <c r="AD94" s="2618"/>
    </row>
    <row r="95" spans="6:94">
      <c r="Q95" s="2620"/>
      <c r="R95" s="2620"/>
      <c r="T95" s="2618"/>
      <c r="AA95" s="2623"/>
      <c r="AD95" s="2618"/>
    </row>
    <row r="96" spans="6:94">
      <c r="Q96" s="2620"/>
      <c r="R96" s="2620"/>
      <c r="T96" s="2618"/>
      <c r="AA96" s="2623"/>
      <c r="AD96" s="2618"/>
    </row>
    <row r="97" spans="17:30">
      <c r="Q97" s="2620"/>
      <c r="R97" s="2620"/>
      <c r="T97" s="2618"/>
      <c r="AA97" s="2623"/>
      <c r="AD97" s="2618"/>
    </row>
    <row r="98" spans="17:30">
      <c r="Q98" s="2620"/>
      <c r="R98" s="2620"/>
      <c r="T98" s="2618"/>
      <c r="AA98" s="2623"/>
      <c r="AD98" s="2618"/>
    </row>
    <row r="99" spans="17:30">
      <c r="Q99" s="2620"/>
      <c r="R99" s="2620"/>
      <c r="T99" s="2618"/>
      <c r="AA99" s="2623"/>
      <c r="AD99" s="2618"/>
    </row>
    <row r="100" spans="17:30">
      <c r="Q100" s="2620"/>
      <c r="R100" s="2620"/>
      <c r="T100" s="2618"/>
      <c r="AA100" s="2623"/>
      <c r="AD100" s="2618"/>
    </row>
    <row r="101" spans="17:30">
      <c r="Q101" s="2620"/>
      <c r="R101" s="2620"/>
      <c r="T101" s="2618"/>
      <c r="AA101" s="2623"/>
      <c r="AD101" s="2618"/>
    </row>
    <row r="102" spans="17:30">
      <c r="Q102" s="2620"/>
      <c r="R102" s="2620"/>
      <c r="T102" s="2618"/>
      <c r="AA102" s="2623"/>
      <c r="AD102" s="2618"/>
    </row>
    <row r="103" spans="17:30">
      <c r="Q103" s="2620"/>
      <c r="R103" s="2620"/>
      <c r="T103" s="2618"/>
      <c r="AA103" s="2623"/>
      <c r="AD103" s="2618"/>
    </row>
    <row r="104" spans="17:30">
      <c r="Q104" s="2620"/>
      <c r="R104" s="2620"/>
      <c r="T104" s="2618"/>
      <c r="AA104" s="2623"/>
      <c r="AD104" s="2618"/>
    </row>
    <row r="105" spans="17:30">
      <c r="Q105" s="2620"/>
      <c r="R105" s="2620"/>
      <c r="T105" s="2618"/>
      <c r="AA105" s="2623"/>
      <c r="AD105" s="2618"/>
    </row>
    <row r="106" spans="17:30">
      <c r="Q106" s="2620"/>
      <c r="R106" s="2620"/>
      <c r="T106" s="2618"/>
      <c r="AA106" s="2623"/>
      <c r="AD106" s="2618"/>
    </row>
    <row r="107" spans="17:30">
      <c r="Q107" s="2620"/>
      <c r="R107" s="2620"/>
      <c r="T107" s="2618"/>
      <c r="AA107" s="2623"/>
      <c r="AD107" s="2618"/>
    </row>
    <row r="108" spans="17:30">
      <c r="Q108" s="2620"/>
      <c r="R108" s="2620"/>
      <c r="T108" s="2618"/>
      <c r="AA108" s="2623"/>
      <c r="AD108" s="2618"/>
    </row>
    <row r="109" spans="17:30">
      <c r="Q109" s="2620"/>
      <c r="R109" s="2620"/>
      <c r="T109" s="2618"/>
      <c r="AA109" s="2623"/>
      <c r="AD109" s="2618"/>
    </row>
    <row r="110" spans="17:30">
      <c r="Q110" s="2620"/>
      <c r="R110" s="2620"/>
      <c r="T110" s="2618"/>
      <c r="AA110" s="2623"/>
      <c r="AD110" s="2618"/>
    </row>
    <row r="111" spans="17:30">
      <c r="Q111" s="2620"/>
      <c r="R111" s="2620"/>
      <c r="T111" s="2618"/>
      <c r="AA111" s="2623"/>
      <c r="AD111" s="2618"/>
    </row>
    <row r="112" spans="17:30">
      <c r="Q112" s="2620"/>
      <c r="R112" s="2620"/>
      <c r="T112" s="2618"/>
      <c r="AA112" s="2623"/>
      <c r="AD112" s="2618"/>
    </row>
    <row r="113" spans="17:30">
      <c r="Q113" s="2620"/>
      <c r="R113" s="2620"/>
      <c r="T113" s="2618"/>
      <c r="AA113" s="2623"/>
      <c r="AD113" s="2618"/>
    </row>
    <row r="114" spans="17:30">
      <c r="Q114" s="2620"/>
      <c r="R114" s="2620"/>
      <c r="T114" s="2618"/>
      <c r="AA114" s="2623"/>
      <c r="AD114" s="2618"/>
    </row>
    <row r="115" spans="17:30">
      <c r="Q115" s="2620"/>
      <c r="R115" s="2620"/>
      <c r="T115" s="2618"/>
      <c r="AA115" s="2623"/>
      <c r="AD115" s="2618"/>
    </row>
    <row r="116" spans="17:30">
      <c r="Q116" s="2620"/>
      <c r="R116" s="2620"/>
      <c r="T116" s="2618"/>
      <c r="AA116" s="2623"/>
      <c r="AD116" s="2618"/>
    </row>
    <row r="117" spans="17:30">
      <c r="Q117" s="2620"/>
      <c r="R117" s="2620"/>
      <c r="T117" s="2618"/>
      <c r="AA117" s="2623"/>
      <c r="AD117" s="2618"/>
    </row>
    <row r="118" spans="17:30">
      <c r="Q118" s="2620"/>
      <c r="R118" s="2620"/>
      <c r="T118" s="2618"/>
      <c r="AA118" s="2623"/>
      <c r="AD118" s="2618"/>
    </row>
    <row r="119" spans="17:30">
      <c r="Q119" s="2620"/>
      <c r="R119" s="2620"/>
      <c r="T119" s="2618"/>
      <c r="AA119" s="2623"/>
      <c r="AD119" s="2618"/>
    </row>
    <row r="120" spans="17:30">
      <c r="Q120" s="2620"/>
      <c r="R120" s="2620"/>
      <c r="T120" s="2618"/>
      <c r="AA120" s="2623"/>
      <c r="AD120" s="2618"/>
    </row>
    <row r="121" spans="17:30">
      <c r="Q121" s="2620"/>
      <c r="R121" s="2620"/>
      <c r="T121" s="2618"/>
      <c r="AA121" s="2623"/>
      <c r="AD121" s="2618"/>
    </row>
    <row r="122" spans="17:30">
      <c r="Q122" s="2620"/>
      <c r="R122" s="2620"/>
      <c r="T122" s="2618"/>
      <c r="AA122" s="2623"/>
      <c r="AD122" s="2618"/>
    </row>
    <row r="123" spans="17:30">
      <c r="Q123" s="2620"/>
      <c r="R123" s="2620"/>
      <c r="T123" s="2618"/>
      <c r="AA123" s="2623"/>
      <c r="AD123" s="2618"/>
    </row>
    <row r="124" spans="17:30">
      <c r="Q124" s="2620"/>
      <c r="R124" s="2620"/>
      <c r="T124" s="2618"/>
      <c r="AA124" s="2623"/>
      <c r="AD124" s="2618"/>
    </row>
    <row r="125" spans="17:30">
      <c r="Q125" s="2620"/>
      <c r="R125" s="2620"/>
      <c r="T125" s="2618"/>
      <c r="AA125" s="2623"/>
      <c r="AD125" s="2618"/>
    </row>
    <row r="126" spans="17:30">
      <c r="Q126" s="2620"/>
      <c r="R126" s="2620"/>
      <c r="T126" s="2618"/>
      <c r="AA126" s="2623"/>
      <c r="AD126" s="2618"/>
    </row>
    <row r="127" spans="17:30">
      <c r="Q127" s="2620"/>
      <c r="R127" s="2620"/>
      <c r="T127" s="2618"/>
      <c r="AA127" s="2623"/>
      <c r="AD127" s="2618"/>
    </row>
    <row r="128" spans="17:30">
      <c r="Q128" s="2620"/>
      <c r="R128" s="2620"/>
      <c r="T128" s="2618"/>
      <c r="AA128" s="2623"/>
      <c r="AD128" s="2618"/>
    </row>
    <row r="129" spans="17:30">
      <c r="Q129" s="2620"/>
      <c r="R129" s="2620"/>
      <c r="T129" s="2618"/>
      <c r="AA129" s="2623"/>
      <c r="AD129" s="2618"/>
    </row>
    <row r="130" spans="17:30">
      <c r="Q130" s="2620"/>
      <c r="R130" s="2620"/>
      <c r="T130" s="2618"/>
      <c r="AA130" s="2623"/>
      <c r="AD130" s="2618"/>
    </row>
    <row r="131" spans="17:30">
      <c r="Q131" s="2620"/>
      <c r="R131" s="2620"/>
      <c r="T131" s="2618"/>
      <c r="AA131" s="2623"/>
      <c r="AD131" s="2618"/>
    </row>
    <row r="132" spans="17:30">
      <c r="Q132" s="2620"/>
      <c r="R132" s="2620"/>
      <c r="T132" s="2618"/>
      <c r="AA132" s="2623"/>
      <c r="AD132" s="2618"/>
    </row>
    <row r="133" spans="17:30">
      <c r="Q133" s="2620"/>
      <c r="R133" s="2620"/>
      <c r="T133" s="2618"/>
      <c r="AA133" s="2623"/>
      <c r="AD133" s="2618"/>
    </row>
    <row r="134" spans="17:30">
      <c r="Q134" s="2620"/>
      <c r="R134" s="2620"/>
      <c r="T134" s="2618"/>
      <c r="AA134" s="2623"/>
      <c r="AD134" s="2618"/>
    </row>
    <row r="135" spans="17:30">
      <c r="Q135" s="2620"/>
      <c r="R135" s="2620"/>
      <c r="T135" s="2618"/>
      <c r="AA135" s="2623"/>
      <c r="AD135" s="2618"/>
    </row>
    <row r="136" spans="17:30">
      <c r="Q136" s="2620"/>
      <c r="R136" s="2620"/>
      <c r="T136" s="2618"/>
      <c r="AA136" s="2623"/>
      <c r="AD136" s="2618"/>
    </row>
    <row r="137" spans="17:30">
      <c r="Q137" s="2620"/>
      <c r="R137" s="2620"/>
      <c r="T137" s="2618"/>
      <c r="AA137" s="2623"/>
      <c r="AD137" s="2618"/>
    </row>
    <row r="138" spans="17:30">
      <c r="Q138" s="2620"/>
      <c r="R138" s="2620"/>
      <c r="T138" s="2618"/>
      <c r="AA138" s="2623"/>
      <c r="AD138" s="2618"/>
    </row>
    <row r="139" spans="17:30">
      <c r="Q139" s="2620"/>
      <c r="R139" s="2620"/>
      <c r="T139" s="2618"/>
      <c r="AA139" s="2623"/>
      <c r="AD139" s="2618"/>
    </row>
    <row r="140" spans="17:30">
      <c r="Q140" s="2620"/>
      <c r="R140" s="2620"/>
      <c r="T140" s="2618"/>
      <c r="AA140" s="2623"/>
      <c r="AD140" s="2618"/>
    </row>
    <row r="141" spans="17:30">
      <c r="Q141" s="2620"/>
      <c r="R141" s="2620"/>
      <c r="T141" s="2618"/>
      <c r="AA141" s="2623"/>
      <c r="AD141" s="2618"/>
    </row>
    <row r="142" spans="17:30">
      <c r="Q142" s="2620"/>
      <c r="R142" s="2620"/>
      <c r="T142" s="2618"/>
      <c r="AA142" s="2623"/>
      <c r="AD142" s="2618"/>
    </row>
    <row r="143" spans="17:30">
      <c r="Q143" s="2620"/>
      <c r="R143" s="2620"/>
      <c r="T143" s="2618"/>
      <c r="AA143" s="2623"/>
      <c r="AD143" s="2618"/>
    </row>
    <row r="144" spans="17:30">
      <c r="Q144" s="2620"/>
      <c r="R144" s="2620"/>
      <c r="T144" s="2618"/>
      <c r="AA144" s="2623"/>
      <c r="AD144" s="2618"/>
    </row>
    <row r="145" spans="17:30">
      <c r="Q145" s="2620"/>
      <c r="R145" s="2620"/>
      <c r="T145" s="2618"/>
      <c r="AA145" s="2623"/>
      <c r="AD145" s="2618"/>
    </row>
    <row r="146" spans="17:30">
      <c r="Q146" s="2620"/>
      <c r="R146" s="2620"/>
      <c r="T146" s="2618"/>
      <c r="AA146" s="2623"/>
      <c r="AD146" s="2618"/>
    </row>
    <row r="147" spans="17:30">
      <c r="Q147" s="2620"/>
      <c r="R147" s="2620"/>
      <c r="T147" s="2618"/>
      <c r="AA147" s="2623"/>
      <c r="AD147" s="2618"/>
    </row>
    <row r="148" spans="17:30">
      <c r="Q148" s="2620"/>
      <c r="R148" s="2620"/>
      <c r="T148" s="2618"/>
      <c r="AA148" s="2623"/>
      <c r="AD148" s="2618"/>
    </row>
    <row r="149" spans="17:30">
      <c r="Q149" s="2620"/>
      <c r="R149" s="2620"/>
      <c r="T149" s="2618"/>
      <c r="AA149" s="2623"/>
      <c r="AD149" s="2618"/>
    </row>
    <row r="150" spans="17:30">
      <c r="Q150" s="2620"/>
      <c r="R150" s="2620"/>
      <c r="T150" s="2618"/>
      <c r="AD150" s="2618"/>
    </row>
    <row r="151" spans="17:30">
      <c r="Q151" s="2620"/>
      <c r="R151" s="2620"/>
      <c r="T151" s="2618"/>
      <c r="AD151" s="2618"/>
    </row>
    <row r="152" spans="17:30">
      <c r="Q152" s="2620"/>
      <c r="R152" s="2620"/>
      <c r="T152" s="2618"/>
      <c r="AD152" s="2618"/>
    </row>
    <row r="153" spans="17:30">
      <c r="Q153" s="2620"/>
      <c r="R153" s="2620"/>
      <c r="T153" s="2618"/>
      <c r="AD153" s="2618"/>
    </row>
    <row r="154" spans="17:30">
      <c r="Q154" s="2620"/>
      <c r="R154" s="2620"/>
      <c r="T154" s="2618"/>
      <c r="AD154" s="2618"/>
    </row>
    <row r="155" spans="17:30">
      <c r="Q155" s="2620"/>
      <c r="R155" s="2620"/>
      <c r="T155" s="2618"/>
      <c r="AD155" s="2618"/>
    </row>
    <row r="156" spans="17:30">
      <c r="Q156" s="2620"/>
      <c r="R156" s="2620"/>
      <c r="T156" s="2618"/>
      <c r="AD156" s="2618"/>
    </row>
    <row r="157" spans="17:30">
      <c r="Q157" s="2620"/>
      <c r="R157" s="2620"/>
      <c r="T157" s="2618"/>
      <c r="AD157" s="2618"/>
    </row>
    <row r="158" spans="17:30">
      <c r="Q158" s="2620"/>
      <c r="R158" s="2620"/>
      <c r="T158" s="2618"/>
      <c r="AD158" s="2618"/>
    </row>
    <row r="159" spans="17:30">
      <c r="Q159" s="2620"/>
      <c r="R159" s="2620"/>
      <c r="T159" s="2618"/>
      <c r="AD159" s="2618"/>
    </row>
    <row r="160" spans="17:30">
      <c r="Q160" s="2620"/>
      <c r="R160" s="2620"/>
      <c r="T160" s="2618"/>
      <c r="AD160" s="2618"/>
    </row>
    <row r="161" spans="17:30">
      <c r="Q161" s="2620"/>
      <c r="R161" s="2620"/>
      <c r="T161" s="2618"/>
      <c r="AD161" s="2618"/>
    </row>
    <row r="162" spans="17:30">
      <c r="Q162" s="2620"/>
      <c r="R162" s="2620"/>
      <c r="T162" s="2618"/>
      <c r="AD162" s="2618"/>
    </row>
    <row r="163" spans="17:30">
      <c r="Q163" s="2620"/>
      <c r="R163" s="2620"/>
      <c r="T163" s="2618"/>
      <c r="AD163" s="2618"/>
    </row>
    <row r="164" spans="17:30">
      <c r="Q164" s="2620"/>
      <c r="R164" s="2620"/>
      <c r="T164" s="2618"/>
      <c r="AD164" s="2618"/>
    </row>
    <row r="165" spans="17:30">
      <c r="Q165" s="2620"/>
      <c r="R165" s="2620"/>
      <c r="T165" s="2618"/>
      <c r="AD165" s="2618"/>
    </row>
    <row r="166" spans="17:30">
      <c r="Q166" s="2620"/>
      <c r="R166" s="2620"/>
      <c r="T166" s="2618"/>
      <c r="AD166" s="2618"/>
    </row>
    <row r="167" spans="17:30">
      <c r="Q167" s="2620"/>
      <c r="R167" s="2620"/>
      <c r="T167" s="2618"/>
      <c r="AD167" s="2618"/>
    </row>
    <row r="168" spans="17:30">
      <c r="Q168" s="2620"/>
      <c r="R168" s="2620"/>
      <c r="T168" s="2618"/>
      <c r="AD168" s="2618"/>
    </row>
    <row r="169" spans="17:30">
      <c r="Q169" s="2620"/>
      <c r="R169" s="2620"/>
      <c r="T169" s="2618"/>
      <c r="AD169" s="2618"/>
    </row>
    <row r="170" spans="17:30">
      <c r="Q170" s="2620"/>
      <c r="R170" s="2620"/>
      <c r="T170" s="2618"/>
      <c r="AD170" s="2618"/>
    </row>
    <row r="171" spans="17:30">
      <c r="Q171" s="2620"/>
      <c r="R171" s="2620"/>
      <c r="T171" s="2618"/>
      <c r="AD171" s="2618"/>
    </row>
    <row r="172" spans="17:30">
      <c r="Q172" s="2620"/>
      <c r="R172" s="2620"/>
      <c r="T172" s="2618"/>
      <c r="AD172" s="2618"/>
    </row>
    <row r="173" spans="17:30">
      <c r="Q173" s="2620"/>
      <c r="R173" s="2620"/>
      <c r="T173" s="2618"/>
      <c r="AD173" s="2618"/>
    </row>
    <row r="174" spans="17:30">
      <c r="Q174" s="2620"/>
      <c r="R174" s="2620"/>
      <c r="T174" s="2618"/>
      <c r="AD174" s="2618"/>
    </row>
    <row r="175" spans="17:30">
      <c r="Q175" s="2620"/>
      <c r="R175" s="2620"/>
      <c r="T175" s="2618"/>
      <c r="AD175" s="2618"/>
    </row>
    <row r="176" spans="17:30">
      <c r="Q176" s="2620"/>
      <c r="R176" s="2620"/>
      <c r="T176" s="2618"/>
      <c r="AD176" s="2618"/>
    </row>
    <row r="177" spans="17:30">
      <c r="Q177" s="2620"/>
      <c r="R177" s="2620"/>
      <c r="T177" s="2618"/>
      <c r="AD177" s="2618"/>
    </row>
    <row r="178" spans="17:30">
      <c r="Q178" s="2620"/>
      <c r="R178" s="2620"/>
      <c r="T178" s="2618"/>
      <c r="AD178" s="2618"/>
    </row>
    <row r="179" spans="17:30">
      <c r="Q179" s="2620"/>
      <c r="R179" s="2620"/>
      <c r="T179" s="2618"/>
      <c r="AD179" s="2618"/>
    </row>
    <row r="180" spans="17:30">
      <c r="Q180" s="2620"/>
      <c r="R180" s="2620"/>
      <c r="T180" s="2618"/>
      <c r="AD180" s="2618"/>
    </row>
    <row r="181" spans="17:30">
      <c r="Q181" s="2620"/>
      <c r="R181" s="2620"/>
      <c r="T181" s="2618"/>
      <c r="AD181" s="2618"/>
    </row>
    <row r="182" spans="17:30">
      <c r="Q182" s="2620"/>
      <c r="R182" s="2620"/>
      <c r="T182" s="2618"/>
      <c r="AD182" s="2618"/>
    </row>
    <row r="183" spans="17:30">
      <c r="Q183" s="2620"/>
      <c r="R183" s="2620"/>
      <c r="T183" s="2618"/>
      <c r="AD183" s="2618"/>
    </row>
    <row r="184" spans="17:30">
      <c r="Q184" s="2620"/>
      <c r="R184" s="2620"/>
      <c r="T184" s="2618"/>
      <c r="AD184" s="2618"/>
    </row>
    <row r="185" spans="17:30">
      <c r="Q185" s="2620"/>
      <c r="R185" s="2620"/>
      <c r="T185" s="2618"/>
      <c r="AD185" s="2618"/>
    </row>
    <row r="186" spans="17:30">
      <c r="Q186" s="2620"/>
      <c r="R186" s="2620"/>
      <c r="T186" s="2618"/>
      <c r="AD186" s="2618"/>
    </row>
    <row r="187" spans="17:30">
      <c r="Q187" s="2620"/>
      <c r="R187" s="2620"/>
      <c r="T187" s="2618"/>
      <c r="AD187" s="2618"/>
    </row>
    <row r="188" spans="17:30">
      <c r="Q188" s="2620"/>
      <c r="R188" s="2620"/>
      <c r="T188" s="2618"/>
      <c r="AD188" s="2618"/>
    </row>
    <row r="189" spans="17:30">
      <c r="Q189" s="2620"/>
      <c r="R189" s="2620"/>
      <c r="T189" s="2618"/>
      <c r="AD189" s="2618"/>
    </row>
    <row r="190" spans="17:30">
      <c r="Q190" s="2620"/>
      <c r="R190" s="2620"/>
      <c r="T190" s="2618"/>
      <c r="AD190" s="2618"/>
    </row>
    <row r="191" spans="17:30">
      <c r="Q191" s="2620"/>
      <c r="R191" s="2620"/>
      <c r="T191" s="2618"/>
      <c r="AD191" s="2618"/>
    </row>
    <row r="192" spans="17:30">
      <c r="Q192" s="2620"/>
      <c r="R192" s="2620"/>
      <c r="T192" s="2618"/>
      <c r="AD192" s="2618"/>
    </row>
    <row r="193" spans="17:30">
      <c r="Q193" s="2620"/>
      <c r="R193" s="2620"/>
      <c r="T193" s="2618"/>
      <c r="AD193" s="2618"/>
    </row>
    <row r="194" spans="17:30">
      <c r="Q194" s="2620"/>
      <c r="R194" s="2620"/>
      <c r="T194" s="2618"/>
      <c r="AD194" s="2618"/>
    </row>
    <row r="195" spans="17:30">
      <c r="Q195" s="2620"/>
      <c r="R195" s="2620"/>
      <c r="T195" s="2618"/>
      <c r="AD195" s="2618"/>
    </row>
    <row r="196" spans="17:30">
      <c r="Q196" s="2620"/>
      <c r="R196" s="2620"/>
      <c r="T196" s="2618"/>
      <c r="AD196" s="2618"/>
    </row>
    <row r="197" spans="17:30">
      <c r="Q197" s="2620"/>
      <c r="R197" s="2620"/>
      <c r="T197" s="2618"/>
      <c r="AD197" s="2618"/>
    </row>
    <row r="198" spans="17:30">
      <c r="Q198" s="2620"/>
      <c r="R198" s="2620"/>
      <c r="T198" s="2618"/>
      <c r="AD198" s="2618"/>
    </row>
    <row r="199" spans="17:30">
      <c r="Q199" s="2620"/>
      <c r="R199" s="2620"/>
      <c r="T199" s="2618"/>
      <c r="AD199" s="2618"/>
    </row>
    <row r="200" spans="17:30">
      <c r="Q200" s="2620"/>
      <c r="R200" s="2620"/>
      <c r="T200" s="2618"/>
      <c r="AD200" s="2618"/>
    </row>
    <row r="201" spans="17:30">
      <c r="Q201" s="2620"/>
      <c r="R201" s="2620"/>
      <c r="T201" s="2618"/>
      <c r="AD201" s="2618"/>
    </row>
    <row r="202" spans="17:30">
      <c r="Q202" s="2620"/>
      <c r="R202" s="2620"/>
      <c r="T202" s="2618"/>
      <c r="AD202" s="2618"/>
    </row>
    <row r="203" spans="17:30">
      <c r="Q203" s="2620"/>
      <c r="R203" s="2620"/>
      <c r="T203" s="2618"/>
      <c r="AD203" s="2618"/>
    </row>
    <row r="204" spans="17:30">
      <c r="Q204" s="2620"/>
      <c r="R204" s="2620"/>
      <c r="T204" s="2618"/>
      <c r="AD204" s="2618"/>
    </row>
    <row r="205" spans="17:30">
      <c r="Q205" s="2620"/>
      <c r="R205" s="2620"/>
      <c r="T205" s="2618"/>
      <c r="AD205" s="2618"/>
    </row>
    <row r="206" spans="17:30">
      <c r="Q206" s="2620"/>
      <c r="R206" s="2620"/>
      <c r="T206" s="2618"/>
      <c r="AD206" s="2618"/>
    </row>
    <row r="207" spans="17:30">
      <c r="Q207" s="2620"/>
      <c r="R207" s="2620"/>
      <c r="T207" s="2618"/>
      <c r="AD207" s="2618"/>
    </row>
    <row r="208" spans="17:30">
      <c r="Q208" s="2620"/>
      <c r="R208" s="2620"/>
      <c r="T208" s="2618"/>
      <c r="AD208" s="2618"/>
    </row>
    <row r="209" spans="17:30">
      <c r="Q209" s="2620"/>
      <c r="R209" s="2620"/>
      <c r="T209" s="2618"/>
      <c r="AD209" s="2618"/>
    </row>
    <row r="210" spans="17:30">
      <c r="Q210" s="2620"/>
      <c r="R210" s="2620"/>
      <c r="T210" s="2618"/>
      <c r="AD210" s="2618"/>
    </row>
    <row r="211" spans="17:30">
      <c r="Q211" s="2620"/>
      <c r="R211" s="2620"/>
      <c r="T211" s="2618"/>
      <c r="AD211" s="2618"/>
    </row>
    <row r="212" spans="17:30">
      <c r="Q212" s="2620"/>
      <c r="R212" s="2620"/>
      <c r="T212" s="2618"/>
      <c r="AD212" s="2618"/>
    </row>
    <row r="213" spans="17:30">
      <c r="Q213" s="2620"/>
      <c r="R213" s="2620"/>
      <c r="T213" s="2618"/>
      <c r="AD213" s="2618"/>
    </row>
    <row r="214" spans="17:30">
      <c r="Q214" s="2620"/>
      <c r="R214" s="2620"/>
      <c r="T214" s="2618"/>
      <c r="AD214" s="2618"/>
    </row>
    <row r="215" spans="17:30">
      <c r="Q215" s="2620"/>
      <c r="R215" s="2620"/>
      <c r="T215" s="2618"/>
      <c r="AD215" s="2618"/>
    </row>
    <row r="216" spans="17:30">
      <c r="Q216" s="2620"/>
      <c r="R216" s="2620"/>
      <c r="T216" s="2618"/>
      <c r="AD216" s="2618"/>
    </row>
    <row r="217" spans="17:30">
      <c r="Q217" s="2620"/>
      <c r="R217" s="2620"/>
      <c r="T217" s="2618"/>
      <c r="AD217" s="2618"/>
    </row>
    <row r="218" spans="17:30">
      <c r="Q218" s="2620"/>
      <c r="R218" s="2620"/>
      <c r="T218" s="2618"/>
      <c r="AD218" s="2618"/>
    </row>
    <row r="219" spans="17:30">
      <c r="Q219" s="2620"/>
      <c r="R219" s="2620"/>
      <c r="T219" s="2618"/>
      <c r="AD219" s="2618"/>
    </row>
    <row r="220" spans="17:30">
      <c r="Q220" s="2620"/>
      <c r="R220" s="2620"/>
      <c r="T220" s="2618"/>
      <c r="AD220" s="2618"/>
    </row>
    <row r="221" spans="17:30">
      <c r="Q221" s="2620"/>
      <c r="R221" s="2620"/>
      <c r="T221" s="2618"/>
      <c r="AD221" s="2618"/>
    </row>
    <row r="222" spans="17:30">
      <c r="Q222" s="2620"/>
      <c r="R222" s="2620"/>
      <c r="T222" s="2618"/>
      <c r="AD222" s="2618"/>
    </row>
    <row r="223" spans="17:30">
      <c r="Q223" s="2620"/>
      <c r="R223" s="2620"/>
      <c r="T223" s="2618"/>
      <c r="AD223" s="2618"/>
    </row>
    <row r="224" spans="17:30">
      <c r="Q224" s="2620"/>
      <c r="R224" s="2620"/>
      <c r="T224" s="2618"/>
      <c r="AD224" s="2618"/>
    </row>
    <row r="225" spans="17:30">
      <c r="Q225" s="2620"/>
      <c r="R225" s="2620"/>
      <c r="T225" s="2618"/>
      <c r="AD225" s="2618"/>
    </row>
    <row r="226" spans="17:30">
      <c r="Q226" s="2620"/>
      <c r="R226" s="2620"/>
      <c r="T226" s="2618"/>
      <c r="AD226" s="2618"/>
    </row>
    <row r="227" spans="17:30">
      <c r="Q227" s="2620"/>
      <c r="R227" s="2620"/>
      <c r="T227" s="2618"/>
      <c r="AD227" s="2618"/>
    </row>
    <row r="228" spans="17:30">
      <c r="Q228" s="2620"/>
      <c r="R228" s="2620"/>
      <c r="T228" s="2618"/>
      <c r="AD228" s="2618"/>
    </row>
    <row r="229" spans="17:30">
      <c r="Q229" s="2620"/>
      <c r="R229" s="2620"/>
      <c r="T229" s="2618"/>
      <c r="AD229" s="2618"/>
    </row>
    <row r="230" spans="17:30">
      <c r="Q230" s="2620"/>
      <c r="R230" s="2620"/>
      <c r="T230" s="2618"/>
      <c r="AD230" s="2618"/>
    </row>
    <row r="231" spans="17:30">
      <c r="Q231" s="2620"/>
      <c r="R231" s="2620"/>
      <c r="T231" s="2618"/>
      <c r="AD231" s="2618"/>
    </row>
    <row r="232" spans="17:30">
      <c r="Q232" s="2620"/>
      <c r="R232" s="2620"/>
      <c r="T232" s="2618"/>
      <c r="AD232" s="2618"/>
    </row>
    <row r="233" spans="17:30">
      <c r="Q233" s="2620"/>
      <c r="R233" s="2620"/>
      <c r="T233" s="2618"/>
      <c r="AD233" s="2618"/>
    </row>
    <row r="234" spans="17:30">
      <c r="Q234" s="2620"/>
      <c r="R234" s="2620"/>
      <c r="T234" s="2618"/>
      <c r="AD234" s="2618"/>
    </row>
    <row r="235" spans="17:30">
      <c r="Q235" s="2620"/>
      <c r="R235" s="2620"/>
      <c r="T235" s="2618"/>
      <c r="AD235" s="2618"/>
    </row>
    <row r="236" spans="17:30">
      <c r="Q236" s="2620"/>
      <c r="R236" s="2620"/>
      <c r="T236" s="2618"/>
      <c r="AD236" s="2618"/>
    </row>
    <row r="237" spans="17:30">
      <c r="Q237" s="2620"/>
      <c r="R237" s="2620"/>
      <c r="T237" s="2618"/>
      <c r="AD237" s="2618"/>
    </row>
    <row r="238" spans="17:30">
      <c r="Q238" s="2620"/>
      <c r="R238" s="2620"/>
      <c r="T238" s="2618"/>
      <c r="AD238" s="2618"/>
    </row>
    <row r="239" spans="17:30">
      <c r="Q239" s="2620"/>
      <c r="R239" s="2620"/>
      <c r="T239" s="2618"/>
      <c r="AD239" s="2618"/>
    </row>
    <row r="240" spans="17:30">
      <c r="Q240" s="2620"/>
      <c r="R240" s="2620"/>
      <c r="T240" s="2618"/>
      <c r="AD240" s="2618"/>
    </row>
    <row r="241" spans="17:30">
      <c r="Q241" s="2620"/>
      <c r="R241" s="2620"/>
      <c r="T241" s="2618"/>
      <c r="AD241" s="2618"/>
    </row>
    <row r="242" spans="17:30">
      <c r="Q242" s="2620"/>
      <c r="R242" s="2620"/>
      <c r="T242" s="2618"/>
      <c r="AD242" s="2618"/>
    </row>
    <row r="243" spans="17:30">
      <c r="Q243" s="2620"/>
      <c r="R243" s="2620"/>
      <c r="T243" s="2618"/>
      <c r="AD243" s="2618"/>
    </row>
    <row r="244" spans="17:30">
      <c r="Q244" s="2620"/>
      <c r="R244" s="2620"/>
      <c r="T244" s="2618"/>
      <c r="AD244" s="2618"/>
    </row>
    <row r="245" spans="17:30">
      <c r="Q245" s="2620"/>
      <c r="R245" s="2620"/>
      <c r="T245" s="2618"/>
      <c r="AD245" s="2618"/>
    </row>
    <row r="246" spans="17:30">
      <c r="Q246" s="2620"/>
      <c r="R246" s="2620"/>
      <c r="T246" s="2618"/>
      <c r="AD246" s="2618"/>
    </row>
    <row r="247" spans="17:30">
      <c r="Q247" s="2620"/>
      <c r="R247" s="2620"/>
      <c r="T247" s="2618"/>
      <c r="AD247" s="2618"/>
    </row>
    <row r="248" spans="17:30">
      <c r="Q248" s="2620"/>
      <c r="R248" s="2620"/>
      <c r="T248" s="2618"/>
      <c r="AD248" s="2618"/>
    </row>
    <row r="249" spans="17:30">
      <c r="Q249" s="2620"/>
      <c r="R249" s="2620"/>
      <c r="T249" s="2618"/>
      <c r="AD249" s="2618"/>
    </row>
    <row r="250" spans="17:30">
      <c r="Q250" s="2620"/>
      <c r="R250" s="2620"/>
      <c r="T250" s="2618"/>
      <c r="AD250" s="2618"/>
    </row>
    <row r="251" spans="17:30">
      <c r="Q251" s="2620"/>
      <c r="R251" s="2620"/>
      <c r="T251" s="2618"/>
      <c r="AD251" s="2618"/>
    </row>
    <row r="252" spans="17:30">
      <c r="Q252" s="2620"/>
      <c r="R252" s="2620"/>
      <c r="T252" s="2618"/>
      <c r="AD252" s="2618"/>
    </row>
    <row r="253" spans="17:30">
      <c r="Q253" s="2620"/>
      <c r="R253" s="2620"/>
      <c r="T253" s="2618"/>
      <c r="AD253" s="2618"/>
    </row>
    <row r="254" spans="17:30">
      <c r="Q254" s="2620"/>
      <c r="R254" s="2620"/>
      <c r="T254" s="2618"/>
      <c r="AD254" s="2618"/>
    </row>
    <row r="255" spans="17:30">
      <c r="Q255" s="2620"/>
      <c r="R255" s="2620"/>
      <c r="T255" s="2618"/>
      <c r="AD255" s="2618"/>
    </row>
    <row r="256" spans="17:30">
      <c r="Q256" s="2620"/>
      <c r="R256" s="2620"/>
      <c r="T256" s="2618"/>
      <c r="AD256" s="2618"/>
    </row>
    <row r="257" spans="17:30">
      <c r="Q257" s="2620"/>
      <c r="R257" s="2620"/>
      <c r="T257" s="2618"/>
      <c r="AD257" s="2618"/>
    </row>
    <row r="258" spans="17:30">
      <c r="Q258" s="2620"/>
      <c r="R258" s="2620"/>
      <c r="T258" s="2618"/>
      <c r="AD258" s="2618"/>
    </row>
    <row r="259" spans="17:30">
      <c r="Q259" s="2620"/>
      <c r="R259" s="2620"/>
      <c r="T259" s="2618"/>
      <c r="AD259" s="2618"/>
    </row>
    <row r="260" spans="17:30">
      <c r="Q260" s="2620"/>
      <c r="R260" s="2620"/>
      <c r="T260" s="2618"/>
      <c r="AD260" s="2618"/>
    </row>
    <row r="261" spans="17:30">
      <c r="Q261" s="2620"/>
      <c r="R261" s="2620"/>
      <c r="T261" s="2618"/>
      <c r="AD261" s="2618"/>
    </row>
    <row r="262" spans="17:30">
      <c r="Q262" s="2620"/>
      <c r="R262" s="2620"/>
      <c r="T262" s="2618"/>
      <c r="AD262" s="2618"/>
    </row>
    <row r="263" spans="17:30">
      <c r="Q263" s="2620"/>
      <c r="R263" s="2620"/>
      <c r="T263" s="2618"/>
      <c r="AD263" s="2618"/>
    </row>
    <row r="264" spans="17:30">
      <c r="Q264" s="2620"/>
      <c r="R264" s="2620"/>
      <c r="T264" s="2618"/>
      <c r="AD264" s="2618"/>
    </row>
    <row r="265" spans="17:30">
      <c r="Q265" s="2620"/>
      <c r="R265" s="2620"/>
      <c r="T265" s="2618"/>
      <c r="AD265" s="2618"/>
    </row>
    <row r="266" spans="17:30">
      <c r="Q266" s="2620"/>
      <c r="R266" s="2620"/>
      <c r="T266" s="2618"/>
      <c r="AD266" s="2618"/>
    </row>
    <row r="267" spans="17:30">
      <c r="Q267" s="2620"/>
      <c r="R267" s="2620"/>
      <c r="T267" s="2618"/>
      <c r="AD267" s="2618"/>
    </row>
    <row r="268" spans="17:30">
      <c r="Q268" s="2620"/>
      <c r="R268" s="2620"/>
      <c r="T268" s="2618"/>
      <c r="AD268" s="2618"/>
    </row>
    <row r="269" spans="17:30">
      <c r="Q269" s="2620"/>
      <c r="R269" s="2620"/>
      <c r="T269" s="2618"/>
      <c r="AD269" s="2618"/>
    </row>
    <row r="270" spans="17:30">
      <c r="Q270" s="2620"/>
      <c r="R270" s="2620"/>
      <c r="T270" s="2618"/>
      <c r="AD270" s="2618"/>
    </row>
    <row r="271" spans="17:30">
      <c r="Q271" s="2620"/>
      <c r="R271" s="2620"/>
      <c r="T271" s="2618"/>
      <c r="AD271" s="2618"/>
    </row>
    <row r="272" spans="17:30">
      <c r="Q272" s="2620"/>
      <c r="R272" s="2620"/>
      <c r="T272" s="2618"/>
      <c r="AD272" s="2618"/>
    </row>
    <row r="273" spans="17:30">
      <c r="Q273" s="2620"/>
      <c r="R273" s="2620"/>
      <c r="T273" s="2618"/>
      <c r="AD273" s="2618"/>
    </row>
    <row r="274" spans="17:30">
      <c r="Q274" s="2620"/>
      <c r="R274" s="2620"/>
      <c r="T274" s="2618"/>
      <c r="AD274" s="2618"/>
    </row>
    <row r="275" spans="17:30">
      <c r="Q275" s="2620"/>
      <c r="R275" s="2620"/>
      <c r="T275" s="2618"/>
      <c r="AD275" s="2618"/>
    </row>
    <row r="276" spans="17:30">
      <c r="Q276" s="2620"/>
      <c r="R276" s="2620"/>
      <c r="T276" s="2618"/>
      <c r="AD276" s="2618"/>
    </row>
    <row r="277" spans="17:30">
      <c r="Q277" s="2620"/>
      <c r="R277" s="2620"/>
      <c r="T277" s="2618"/>
      <c r="AD277" s="2618"/>
    </row>
    <row r="278" spans="17:30">
      <c r="Q278" s="2620"/>
      <c r="R278" s="2620"/>
      <c r="T278" s="2618"/>
      <c r="AD278" s="2618"/>
    </row>
    <row r="279" spans="17:30">
      <c r="Q279" s="2620"/>
      <c r="R279" s="2620"/>
      <c r="T279" s="2618"/>
      <c r="AD279" s="2618"/>
    </row>
    <row r="280" spans="17:30">
      <c r="Q280" s="2620"/>
      <c r="R280" s="2620"/>
      <c r="T280" s="2618"/>
      <c r="AD280" s="2618"/>
    </row>
    <row r="281" spans="17:30">
      <c r="Q281" s="2620"/>
      <c r="R281" s="2620"/>
      <c r="T281" s="2618"/>
      <c r="AD281" s="2618"/>
    </row>
    <row r="282" spans="17:30">
      <c r="Q282" s="2620"/>
      <c r="R282" s="2620"/>
      <c r="T282" s="2618"/>
      <c r="AD282" s="2618"/>
    </row>
    <row r="283" spans="17:30">
      <c r="Q283" s="2620"/>
      <c r="R283" s="2620"/>
      <c r="T283" s="2618"/>
      <c r="AD283" s="2618"/>
    </row>
    <row r="284" spans="17:30">
      <c r="Q284" s="2620"/>
      <c r="R284" s="2620"/>
      <c r="T284" s="2618"/>
      <c r="AD284" s="2618"/>
    </row>
    <row r="285" spans="17:30">
      <c r="Q285" s="2620"/>
      <c r="R285" s="2620"/>
      <c r="T285" s="2618"/>
      <c r="AD285" s="2618"/>
    </row>
    <row r="286" spans="17:30">
      <c r="Q286" s="2620"/>
      <c r="R286" s="2620"/>
      <c r="T286" s="2618"/>
      <c r="AD286" s="2618"/>
    </row>
    <row r="287" spans="17:30">
      <c r="Q287" s="2620"/>
      <c r="R287" s="2620"/>
      <c r="T287" s="2618"/>
      <c r="AD287" s="2618"/>
    </row>
    <row r="288" spans="17:30">
      <c r="Q288" s="2620"/>
      <c r="R288" s="2620"/>
      <c r="T288" s="2618"/>
      <c r="AD288" s="2618"/>
    </row>
    <row r="289" spans="17:30">
      <c r="Q289" s="2620"/>
      <c r="R289" s="2620"/>
      <c r="T289" s="2618"/>
      <c r="AD289" s="2618"/>
    </row>
    <row r="290" spans="17:30">
      <c r="Q290" s="2620"/>
      <c r="R290" s="2620"/>
      <c r="T290" s="2618"/>
      <c r="AD290" s="2618"/>
    </row>
    <row r="291" spans="17:30">
      <c r="Q291" s="2620"/>
      <c r="R291" s="2620"/>
      <c r="T291" s="2618"/>
      <c r="AD291" s="2618"/>
    </row>
    <row r="292" spans="17:30">
      <c r="Q292" s="2620"/>
      <c r="R292" s="2620"/>
      <c r="T292" s="2618"/>
      <c r="AD292" s="2618"/>
    </row>
    <row r="293" spans="17:30">
      <c r="Q293" s="2620"/>
      <c r="R293" s="2620"/>
      <c r="T293" s="2618"/>
      <c r="AD293" s="2618"/>
    </row>
    <row r="294" spans="17:30">
      <c r="Q294" s="2620"/>
      <c r="R294" s="2620"/>
      <c r="T294" s="2618"/>
      <c r="AD294" s="2618"/>
    </row>
    <row r="295" spans="17:30">
      <c r="Q295" s="2620"/>
      <c r="R295" s="2620"/>
      <c r="T295" s="2618"/>
      <c r="AD295" s="2618"/>
    </row>
    <row r="296" spans="17:30">
      <c r="Q296" s="2620"/>
      <c r="R296" s="2620"/>
      <c r="T296" s="2618"/>
      <c r="AD296" s="2618"/>
    </row>
    <row r="297" spans="17:30">
      <c r="Q297" s="2620"/>
      <c r="R297" s="2620"/>
      <c r="T297" s="2618"/>
      <c r="AD297" s="2618"/>
    </row>
    <row r="298" spans="17:30">
      <c r="Q298" s="2620"/>
      <c r="R298" s="2620"/>
      <c r="T298" s="2618"/>
      <c r="AD298" s="2618"/>
    </row>
    <row r="299" spans="17:30">
      <c r="Q299" s="2620"/>
      <c r="R299" s="2620"/>
      <c r="T299" s="2618"/>
      <c r="AD299" s="2618"/>
    </row>
    <row r="300" spans="17:30">
      <c r="Q300" s="2620"/>
      <c r="R300" s="2620"/>
      <c r="T300" s="2618"/>
      <c r="AD300" s="2618"/>
    </row>
    <row r="301" spans="17:30">
      <c r="Q301" s="2620"/>
      <c r="R301" s="2620"/>
      <c r="T301" s="2618"/>
      <c r="AD301" s="2618"/>
    </row>
    <row r="302" spans="17:30">
      <c r="Q302" s="2620"/>
      <c r="R302" s="2620"/>
      <c r="T302" s="2618"/>
      <c r="AD302" s="2618"/>
    </row>
    <row r="303" spans="17:30">
      <c r="Q303" s="2620"/>
      <c r="R303" s="2620"/>
      <c r="T303" s="2618"/>
      <c r="AD303" s="2618"/>
    </row>
    <row r="304" spans="17:30">
      <c r="Q304" s="2620"/>
      <c r="R304" s="2620"/>
      <c r="T304" s="2618"/>
      <c r="AD304" s="2618"/>
    </row>
    <row r="305" spans="17:30">
      <c r="Q305" s="2620"/>
      <c r="R305" s="2620"/>
      <c r="T305" s="2618"/>
      <c r="AD305" s="2618"/>
    </row>
    <row r="306" spans="17:30">
      <c r="Q306" s="2620"/>
      <c r="R306" s="2620"/>
      <c r="T306" s="2618"/>
      <c r="AD306" s="2618"/>
    </row>
    <row r="307" spans="17:30">
      <c r="Q307" s="2620"/>
      <c r="R307" s="2620"/>
      <c r="T307" s="2618"/>
      <c r="AD307" s="2618"/>
    </row>
    <row r="308" spans="17:30">
      <c r="Q308" s="2620"/>
      <c r="R308" s="2620"/>
      <c r="T308" s="2618"/>
      <c r="AD308" s="2618"/>
    </row>
    <row r="309" spans="17:30">
      <c r="Q309" s="2620"/>
      <c r="R309" s="2620"/>
      <c r="T309" s="2618"/>
      <c r="AD309" s="2618"/>
    </row>
    <row r="310" spans="17:30">
      <c r="Q310" s="2620"/>
      <c r="R310" s="2620"/>
      <c r="T310" s="2618"/>
      <c r="AD310" s="2618"/>
    </row>
    <row r="311" spans="17:30">
      <c r="Q311" s="2620"/>
      <c r="R311" s="2620"/>
      <c r="T311" s="2618"/>
      <c r="AD311" s="2618"/>
    </row>
    <row r="312" spans="17:30">
      <c r="Q312" s="2620"/>
      <c r="R312" s="2620"/>
      <c r="T312" s="2618"/>
      <c r="AD312" s="2618"/>
    </row>
    <row r="313" spans="17:30">
      <c r="Q313" s="2620"/>
      <c r="R313" s="2620"/>
      <c r="T313" s="2618"/>
      <c r="AD313" s="2618"/>
    </row>
    <row r="314" spans="17:30">
      <c r="Q314" s="2620"/>
      <c r="R314" s="2620"/>
      <c r="T314" s="2618"/>
      <c r="AD314" s="2618"/>
    </row>
    <row r="315" spans="17:30">
      <c r="Q315" s="2620"/>
      <c r="R315" s="2620"/>
      <c r="T315" s="2618"/>
      <c r="AD315" s="2618"/>
    </row>
    <row r="316" spans="17:30">
      <c r="Q316" s="2620"/>
      <c r="R316" s="2620"/>
      <c r="T316" s="2618"/>
      <c r="AD316" s="2618"/>
    </row>
    <row r="317" spans="17:30">
      <c r="Q317" s="2620"/>
      <c r="R317" s="2620"/>
      <c r="T317" s="2618"/>
      <c r="AD317" s="2618"/>
    </row>
    <row r="318" spans="17:30">
      <c r="Q318" s="2620"/>
      <c r="R318" s="2620"/>
      <c r="T318" s="2618"/>
      <c r="AD318" s="2618"/>
    </row>
    <row r="319" spans="17:30">
      <c r="Q319" s="2620"/>
      <c r="R319" s="2620"/>
      <c r="T319" s="2618"/>
      <c r="AD319" s="2618"/>
    </row>
    <row r="320" spans="17:30">
      <c r="Q320" s="2620"/>
      <c r="R320" s="2620"/>
      <c r="T320" s="2618"/>
      <c r="AD320" s="2618"/>
    </row>
    <row r="321" spans="17:30">
      <c r="Q321" s="2620"/>
      <c r="R321" s="2620"/>
      <c r="T321" s="2618"/>
      <c r="AD321" s="2618"/>
    </row>
    <row r="322" spans="17:30">
      <c r="Q322" s="2620"/>
      <c r="R322" s="2620"/>
      <c r="T322" s="2618"/>
      <c r="AD322" s="2618"/>
    </row>
    <row r="323" spans="17:30">
      <c r="Q323" s="2620"/>
      <c r="R323" s="2620"/>
      <c r="T323" s="2618"/>
      <c r="AD323" s="2618"/>
    </row>
    <row r="324" spans="17:30">
      <c r="Q324" s="2620"/>
      <c r="R324" s="2620"/>
      <c r="T324" s="2618"/>
      <c r="AD324" s="2618"/>
    </row>
    <row r="325" spans="17:30">
      <c r="Q325" s="2620"/>
      <c r="R325" s="2620"/>
      <c r="T325" s="2618"/>
      <c r="AD325" s="2618"/>
    </row>
    <row r="326" spans="17:30">
      <c r="Q326" s="2620"/>
      <c r="R326" s="2620"/>
      <c r="T326" s="2618"/>
      <c r="AD326" s="2618"/>
    </row>
    <row r="327" spans="17:30">
      <c r="Q327" s="2620"/>
      <c r="R327" s="2620"/>
      <c r="T327" s="2618"/>
      <c r="AD327" s="2618"/>
    </row>
    <row r="328" spans="17:30">
      <c r="Q328" s="2620"/>
      <c r="R328" s="2620"/>
      <c r="T328" s="2618"/>
      <c r="AD328" s="2618"/>
    </row>
    <row r="329" spans="17:30">
      <c r="Q329" s="2620"/>
      <c r="R329" s="2620"/>
      <c r="T329" s="2618"/>
      <c r="AD329" s="2618"/>
    </row>
    <row r="330" spans="17:30">
      <c r="Q330" s="2620"/>
      <c r="R330" s="2620"/>
      <c r="T330" s="2618"/>
      <c r="AD330" s="2618"/>
    </row>
    <row r="331" spans="17:30">
      <c r="Q331" s="2620"/>
      <c r="R331" s="2620"/>
      <c r="T331" s="2618"/>
      <c r="AD331" s="2618"/>
    </row>
    <row r="332" spans="17:30">
      <c r="Q332" s="2620"/>
      <c r="R332" s="2620"/>
      <c r="T332" s="2618"/>
      <c r="AD332" s="2618"/>
    </row>
    <row r="333" spans="17:30">
      <c r="Q333" s="2620"/>
      <c r="R333" s="2620"/>
      <c r="T333" s="2618"/>
      <c r="AD333" s="2618"/>
    </row>
    <row r="334" spans="17:30">
      <c r="Q334" s="2620"/>
      <c r="R334" s="2620"/>
      <c r="T334" s="2618"/>
      <c r="AD334" s="2618"/>
    </row>
    <row r="335" spans="17:30">
      <c r="Q335" s="2620"/>
      <c r="R335" s="2620"/>
      <c r="T335" s="2618"/>
      <c r="AD335" s="2618"/>
    </row>
    <row r="336" spans="17:30">
      <c r="Q336" s="2620"/>
      <c r="R336" s="2620"/>
      <c r="T336" s="2618"/>
      <c r="AD336" s="2618"/>
    </row>
    <row r="337" spans="17:30">
      <c r="Q337" s="2620"/>
      <c r="R337" s="2620"/>
      <c r="T337" s="2618"/>
      <c r="AD337" s="2618"/>
    </row>
    <row r="338" spans="17:30">
      <c r="Q338" s="2620"/>
      <c r="R338" s="2620"/>
      <c r="T338" s="2618"/>
      <c r="AD338" s="2618"/>
    </row>
    <row r="339" spans="17:30">
      <c r="Q339" s="2620"/>
      <c r="R339" s="2620"/>
      <c r="T339" s="2618"/>
      <c r="AD339" s="2618"/>
    </row>
    <row r="340" spans="17:30">
      <c r="Q340" s="2620"/>
      <c r="R340" s="2620"/>
      <c r="T340" s="2618"/>
      <c r="AD340" s="2618"/>
    </row>
    <row r="341" spans="17:30">
      <c r="Q341" s="2620"/>
      <c r="R341" s="2620"/>
      <c r="T341" s="2618"/>
      <c r="AD341" s="2618"/>
    </row>
    <row r="342" spans="17:30">
      <c r="Q342" s="2620"/>
      <c r="R342" s="2620"/>
      <c r="T342" s="2618"/>
      <c r="AD342" s="2618"/>
    </row>
    <row r="343" spans="17:30">
      <c r="Q343" s="2620"/>
      <c r="R343" s="2620"/>
      <c r="T343" s="2618"/>
      <c r="AD343" s="2618"/>
    </row>
    <row r="344" spans="17:30">
      <c r="Q344" s="2620"/>
      <c r="R344" s="2620"/>
      <c r="T344" s="2618"/>
      <c r="AD344" s="2618"/>
    </row>
    <row r="345" spans="17:30">
      <c r="Q345" s="2620"/>
      <c r="R345" s="2620"/>
      <c r="T345" s="2618"/>
      <c r="AD345" s="2618"/>
    </row>
    <row r="346" spans="17:30">
      <c r="Q346" s="2620"/>
      <c r="R346" s="2620"/>
      <c r="T346" s="2618"/>
      <c r="AD346" s="2618"/>
    </row>
    <row r="347" spans="17:30">
      <c r="Q347" s="2620"/>
      <c r="R347" s="2620"/>
      <c r="T347" s="2618"/>
      <c r="AD347" s="2618"/>
    </row>
    <row r="348" spans="17:30">
      <c r="Q348" s="2620"/>
      <c r="R348" s="2620"/>
      <c r="T348" s="2618"/>
      <c r="AD348" s="2618"/>
    </row>
    <row r="349" spans="17:30">
      <c r="Q349" s="2620"/>
      <c r="R349" s="2620"/>
      <c r="T349" s="2618"/>
      <c r="AD349" s="2618"/>
    </row>
    <row r="350" spans="17:30">
      <c r="Q350" s="2620"/>
      <c r="R350" s="2620"/>
      <c r="T350" s="2618"/>
      <c r="AD350" s="2618"/>
    </row>
    <row r="351" spans="17:30">
      <c r="Q351" s="2620"/>
      <c r="R351" s="2620"/>
      <c r="T351" s="2618"/>
      <c r="AD351" s="2618"/>
    </row>
    <row r="352" spans="17:30">
      <c r="Q352" s="2620"/>
      <c r="R352" s="2620"/>
      <c r="T352" s="2618"/>
      <c r="AD352" s="2618"/>
    </row>
    <row r="353" spans="17:30">
      <c r="Q353" s="2620"/>
      <c r="R353" s="2620"/>
      <c r="T353" s="2618"/>
      <c r="AD353" s="2618"/>
    </row>
    <row r="354" spans="17:30">
      <c r="Q354" s="2620"/>
      <c r="R354" s="2620"/>
      <c r="T354" s="2618"/>
      <c r="AD354" s="2618"/>
    </row>
    <row r="355" spans="17:30">
      <c r="Q355" s="2620"/>
      <c r="R355" s="2620"/>
      <c r="T355" s="2618"/>
      <c r="AD355" s="2618"/>
    </row>
    <row r="356" spans="17:30">
      <c r="Q356" s="2620"/>
      <c r="R356" s="2620"/>
      <c r="T356" s="2618"/>
      <c r="AD356" s="2618"/>
    </row>
    <row r="357" spans="17:30">
      <c r="Q357" s="2620"/>
      <c r="R357" s="2620"/>
      <c r="T357" s="2618"/>
      <c r="AD357" s="2618"/>
    </row>
    <row r="358" spans="17:30">
      <c r="Q358" s="2620"/>
      <c r="R358" s="2620"/>
      <c r="T358" s="2618"/>
      <c r="AD358" s="2618"/>
    </row>
    <row r="359" spans="17:30">
      <c r="Q359" s="2620"/>
      <c r="R359" s="2620"/>
      <c r="T359" s="2618"/>
      <c r="AD359" s="2618"/>
    </row>
    <row r="360" spans="17:30">
      <c r="Q360" s="2620"/>
      <c r="R360" s="2620"/>
      <c r="T360" s="2618"/>
      <c r="AD360" s="2618"/>
    </row>
    <row r="361" spans="17:30">
      <c r="Q361" s="2620"/>
      <c r="R361" s="2620"/>
      <c r="T361" s="2618"/>
      <c r="AD361" s="2618"/>
    </row>
    <row r="362" spans="17:30">
      <c r="Q362" s="2620"/>
      <c r="R362" s="2620"/>
      <c r="T362" s="2618"/>
      <c r="AD362" s="2618"/>
    </row>
    <row r="363" spans="17:30">
      <c r="Q363" s="2620"/>
      <c r="R363" s="2620"/>
      <c r="T363" s="2618"/>
      <c r="AD363" s="2618"/>
    </row>
    <row r="364" spans="17:30">
      <c r="Q364" s="2620"/>
      <c r="R364" s="2620"/>
      <c r="T364" s="2618"/>
      <c r="AD364" s="2618"/>
    </row>
    <row r="365" spans="17:30">
      <c r="Q365" s="2620"/>
      <c r="R365" s="2620"/>
      <c r="T365" s="2618"/>
      <c r="AD365" s="2618"/>
    </row>
    <row r="366" spans="17:30">
      <c r="Q366" s="2620"/>
      <c r="R366" s="2620"/>
      <c r="T366" s="2618"/>
      <c r="AD366" s="2618"/>
    </row>
    <row r="367" spans="17:30">
      <c r="Q367" s="2620"/>
      <c r="R367" s="2620"/>
      <c r="T367" s="2618"/>
      <c r="AD367" s="2618"/>
    </row>
    <row r="368" spans="17:30">
      <c r="Q368" s="2620"/>
      <c r="R368" s="2620"/>
      <c r="T368" s="2618"/>
      <c r="AD368" s="2618"/>
    </row>
    <row r="369" spans="17:30">
      <c r="Q369" s="2620"/>
      <c r="R369" s="2620"/>
      <c r="T369" s="2618"/>
      <c r="AD369" s="2618"/>
    </row>
    <row r="370" spans="17:30">
      <c r="Q370" s="2620"/>
      <c r="R370" s="2620"/>
      <c r="T370" s="2618"/>
      <c r="AD370" s="2618"/>
    </row>
    <row r="371" spans="17:30">
      <c r="Q371" s="2620"/>
      <c r="R371" s="2620"/>
      <c r="T371" s="2618"/>
      <c r="AD371" s="2618"/>
    </row>
    <row r="372" spans="17:30">
      <c r="Q372" s="2620"/>
      <c r="R372" s="2620"/>
      <c r="T372" s="2618"/>
      <c r="AD372" s="2618"/>
    </row>
    <row r="373" spans="17:30">
      <c r="Q373" s="2620"/>
      <c r="R373" s="2620"/>
      <c r="T373" s="2618"/>
      <c r="AD373" s="2618"/>
    </row>
    <row r="374" spans="17:30">
      <c r="Q374" s="2620"/>
      <c r="R374" s="2620"/>
      <c r="T374" s="2618"/>
      <c r="AD374" s="2618"/>
    </row>
    <row r="375" spans="17:30">
      <c r="Q375" s="2620"/>
      <c r="R375" s="2620"/>
      <c r="T375" s="2618"/>
      <c r="AD375" s="2618"/>
    </row>
    <row r="376" spans="17:30">
      <c r="Q376" s="2620"/>
      <c r="R376" s="2620"/>
      <c r="T376" s="2618"/>
      <c r="AD376" s="2618"/>
    </row>
    <row r="377" spans="17:30">
      <c r="Q377" s="2620"/>
      <c r="R377" s="2620"/>
      <c r="T377" s="2618"/>
      <c r="AD377" s="2618"/>
    </row>
    <row r="378" spans="17:30">
      <c r="Q378" s="2620"/>
      <c r="R378" s="2620"/>
      <c r="T378" s="2618"/>
      <c r="AD378" s="2618"/>
    </row>
    <row r="379" spans="17:30">
      <c r="Q379" s="2620"/>
      <c r="R379" s="2620"/>
      <c r="T379" s="2618"/>
      <c r="AD379" s="2618"/>
    </row>
    <row r="380" spans="17:30">
      <c r="Q380" s="2620"/>
      <c r="R380" s="2620"/>
      <c r="T380" s="2618"/>
      <c r="AD380" s="2618"/>
    </row>
    <row r="381" spans="17:30">
      <c r="Q381" s="2620"/>
      <c r="R381" s="2620"/>
      <c r="T381" s="2618"/>
      <c r="AD381" s="2618"/>
    </row>
    <row r="382" spans="17:30">
      <c r="Q382" s="2620"/>
      <c r="R382" s="2620"/>
      <c r="T382" s="2618"/>
      <c r="AD382" s="2618"/>
    </row>
    <row r="383" spans="17:30">
      <c r="Q383" s="2620"/>
      <c r="R383" s="2620"/>
      <c r="T383" s="2618"/>
      <c r="AD383" s="2618"/>
    </row>
    <row r="384" spans="17:30">
      <c r="Q384" s="2620"/>
      <c r="R384" s="2620"/>
      <c r="T384" s="2618"/>
      <c r="AD384" s="2618"/>
    </row>
    <row r="385" spans="17:30">
      <c r="Q385" s="2620"/>
      <c r="R385" s="2620"/>
      <c r="T385" s="2618"/>
      <c r="AD385" s="2618"/>
    </row>
    <row r="386" spans="17:30">
      <c r="Q386" s="2620"/>
      <c r="R386" s="2620"/>
      <c r="T386" s="2618"/>
      <c r="AD386" s="2618"/>
    </row>
    <row r="387" spans="17:30">
      <c r="Q387" s="2620"/>
      <c r="R387" s="2620"/>
      <c r="T387" s="2618"/>
      <c r="AD387" s="2618"/>
    </row>
    <row r="388" spans="17:30">
      <c r="Q388" s="2620"/>
      <c r="R388" s="2620"/>
      <c r="T388" s="2618"/>
      <c r="AD388" s="2618"/>
    </row>
    <row r="389" spans="17:30">
      <c r="Q389" s="2620"/>
      <c r="R389" s="2620"/>
      <c r="T389" s="2618"/>
      <c r="AD389" s="2618"/>
    </row>
    <row r="390" spans="17:30">
      <c r="Q390" s="2620"/>
      <c r="R390" s="2620"/>
      <c r="T390" s="2618"/>
      <c r="AD390" s="2618"/>
    </row>
    <row r="391" spans="17:30">
      <c r="Q391" s="2620"/>
      <c r="R391" s="2620"/>
      <c r="T391" s="2618"/>
      <c r="AD391" s="2618"/>
    </row>
    <row r="392" spans="17:30">
      <c r="Q392" s="2620"/>
      <c r="R392" s="2620"/>
      <c r="T392" s="2618"/>
      <c r="AD392" s="2618"/>
    </row>
    <row r="393" spans="17:30">
      <c r="Q393" s="2620"/>
      <c r="R393" s="2620"/>
      <c r="T393" s="2618"/>
      <c r="AD393" s="2618"/>
    </row>
    <row r="394" spans="17:30">
      <c r="Q394" s="2620"/>
      <c r="R394" s="2620"/>
      <c r="T394" s="2618"/>
      <c r="AD394" s="2618"/>
    </row>
    <row r="395" spans="17:30">
      <c r="Q395" s="2620"/>
      <c r="R395" s="2620"/>
      <c r="T395" s="2618"/>
      <c r="AD395" s="2618"/>
    </row>
    <row r="396" spans="17:30">
      <c r="Q396" s="2620"/>
      <c r="R396" s="2620"/>
      <c r="T396" s="2618"/>
      <c r="AD396" s="2618"/>
    </row>
    <row r="397" spans="17:30">
      <c r="Q397" s="2620"/>
      <c r="R397" s="2620"/>
      <c r="T397" s="2618"/>
      <c r="AD397" s="2618"/>
    </row>
    <row r="398" spans="17:30">
      <c r="Q398" s="2620"/>
      <c r="R398" s="2620"/>
      <c r="T398" s="2618"/>
      <c r="AD398" s="2618"/>
    </row>
    <row r="399" spans="17:30">
      <c r="Q399" s="2620"/>
      <c r="R399" s="2620"/>
      <c r="T399" s="2618"/>
      <c r="AD399" s="2618"/>
    </row>
    <row r="400" spans="17:30">
      <c r="Q400" s="2620"/>
      <c r="R400" s="2620"/>
      <c r="T400" s="2618"/>
      <c r="AD400" s="2618"/>
    </row>
    <row r="401" spans="17:30">
      <c r="Q401" s="2620"/>
      <c r="R401" s="2620"/>
      <c r="T401" s="2618"/>
      <c r="AD401" s="2618"/>
    </row>
    <row r="402" spans="17:30">
      <c r="Q402" s="2620"/>
      <c r="R402" s="2620"/>
      <c r="T402" s="2618"/>
      <c r="AD402" s="2618"/>
    </row>
    <row r="403" spans="17:30">
      <c r="Q403" s="2620"/>
      <c r="R403" s="2620"/>
      <c r="T403" s="2618"/>
      <c r="AD403" s="2618"/>
    </row>
    <row r="404" spans="17:30">
      <c r="Q404" s="2620"/>
      <c r="R404" s="2620"/>
      <c r="T404" s="2618"/>
      <c r="AD404" s="2618"/>
    </row>
    <row r="405" spans="17:30">
      <c r="Q405" s="2620"/>
      <c r="R405" s="2620"/>
      <c r="T405" s="2618"/>
      <c r="AD405" s="2618"/>
    </row>
    <row r="406" spans="17:30">
      <c r="Q406" s="2620"/>
      <c r="R406" s="2620"/>
      <c r="T406" s="2618"/>
      <c r="AD406" s="2618"/>
    </row>
    <row r="407" spans="17:30">
      <c r="Q407" s="2620"/>
      <c r="R407" s="2620"/>
      <c r="T407" s="2618"/>
      <c r="AD407" s="2618"/>
    </row>
    <row r="408" spans="17:30">
      <c r="Q408" s="2620"/>
      <c r="R408" s="2620"/>
      <c r="T408" s="2618"/>
      <c r="AD408" s="2618"/>
    </row>
    <row r="409" spans="17:30">
      <c r="Q409" s="2620"/>
      <c r="R409" s="2620"/>
      <c r="T409" s="2618"/>
      <c r="AD409" s="2618"/>
    </row>
    <row r="410" spans="17:30">
      <c r="Q410" s="2620"/>
      <c r="R410" s="2620"/>
      <c r="T410" s="2618"/>
      <c r="AD410" s="2618"/>
    </row>
    <row r="411" spans="17:30">
      <c r="Q411" s="2620"/>
      <c r="R411" s="2620"/>
      <c r="T411" s="2618"/>
      <c r="AD411" s="2618"/>
    </row>
    <row r="412" spans="17:30">
      <c r="Q412" s="2620"/>
      <c r="R412" s="2620"/>
      <c r="T412" s="2618"/>
      <c r="AD412" s="2618"/>
    </row>
    <row r="413" spans="17:30">
      <c r="Q413" s="2620"/>
      <c r="R413" s="2620"/>
      <c r="T413" s="2618"/>
      <c r="AD413" s="2618"/>
    </row>
    <row r="414" spans="17:30">
      <c r="Q414" s="2620"/>
      <c r="R414" s="2620"/>
      <c r="T414" s="2618"/>
      <c r="AD414" s="2618"/>
    </row>
    <row r="415" spans="17:30">
      <c r="Q415" s="2620"/>
      <c r="R415" s="2620"/>
      <c r="T415" s="2618"/>
      <c r="AD415" s="2618"/>
    </row>
    <row r="416" spans="17:30">
      <c r="Q416" s="2620"/>
      <c r="R416" s="2620"/>
      <c r="T416" s="2618"/>
      <c r="AD416" s="2618"/>
    </row>
    <row r="417" spans="17:30">
      <c r="Q417" s="2620"/>
      <c r="R417" s="2620"/>
      <c r="T417" s="2618"/>
      <c r="AD417" s="2618"/>
    </row>
    <row r="418" spans="17:30">
      <c r="Q418" s="2620"/>
      <c r="R418" s="2620"/>
      <c r="T418" s="2618"/>
      <c r="AD418" s="2618"/>
    </row>
    <row r="419" spans="17:30">
      <c r="Q419" s="2620"/>
      <c r="R419" s="2620"/>
      <c r="T419" s="2618"/>
      <c r="AD419" s="2618"/>
    </row>
    <row r="420" spans="17:30">
      <c r="Q420" s="2620"/>
      <c r="R420" s="2620"/>
      <c r="T420" s="2618"/>
      <c r="AD420" s="2618"/>
    </row>
    <row r="421" spans="17:30">
      <c r="Q421" s="2620"/>
      <c r="R421" s="2620"/>
      <c r="T421" s="2618"/>
      <c r="AD421" s="2618"/>
    </row>
    <row r="422" spans="17:30">
      <c r="Q422" s="2620"/>
      <c r="R422" s="2620"/>
      <c r="T422" s="2618"/>
      <c r="AD422" s="2618"/>
    </row>
    <row r="423" spans="17:30">
      <c r="Q423" s="2620"/>
      <c r="R423" s="2620"/>
      <c r="T423" s="2618"/>
      <c r="AD423" s="2618"/>
    </row>
    <row r="424" spans="17:30">
      <c r="Q424" s="2620"/>
      <c r="R424" s="2620"/>
      <c r="T424" s="2618"/>
      <c r="AD424" s="2618"/>
    </row>
    <row r="425" spans="17:30">
      <c r="Q425" s="2620"/>
      <c r="R425" s="2620"/>
      <c r="T425" s="2618"/>
      <c r="AD425" s="2618"/>
    </row>
    <row r="426" spans="17:30">
      <c r="Q426" s="2620"/>
      <c r="R426" s="2620"/>
      <c r="T426" s="2618"/>
      <c r="AD426" s="2618"/>
    </row>
    <row r="427" spans="17:30">
      <c r="Q427" s="2620"/>
      <c r="R427" s="2620"/>
      <c r="T427" s="2618"/>
      <c r="AD427" s="2618"/>
    </row>
    <row r="428" spans="17:30">
      <c r="Q428" s="2620"/>
      <c r="R428" s="2620"/>
      <c r="T428" s="2618"/>
      <c r="AD428" s="2618"/>
    </row>
    <row r="429" spans="17:30">
      <c r="Q429" s="2620"/>
      <c r="R429" s="2620"/>
      <c r="T429" s="2618"/>
      <c r="AD429" s="2618"/>
    </row>
    <row r="430" spans="17:30">
      <c r="Q430" s="2620"/>
      <c r="R430" s="2620"/>
      <c r="T430" s="2618"/>
      <c r="AD430" s="2618"/>
    </row>
    <row r="431" spans="17:30">
      <c r="Q431" s="2620"/>
      <c r="R431" s="2620"/>
      <c r="T431" s="2618"/>
      <c r="AD431" s="2618"/>
    </row>
    <row r="432" spans="17:30">
      <c r="Q432" s="2620"/>
      <c r="R432" s="2620"/>
      <c r="T432" s="2618"/>
      <c r="AD432" s="2618"/>
    </row>
    <row r="433" spans="17:30">
      <c r="Q433" s="2620"/>
      <c r="R433" s="2620"/>
      <c r="T433" s="2618"/>
      <c r="AD433" s="2618"/>
    </row>
    <row r="434" spans="17:30">
      <c r="Q434" s="2620"/>
      <c r="R434" s="2620"/>
      <c r="T434" s="2618"/>
      <c r="AD434" s="2618"/>
    </row>
    <row r="435" spans="17:30">
      <c r="Q435" s="2620"/>
      <c r="R435" s="2620"/>
      <c r="T435" s="2618"/>
      <c r="AD435" s="2618"/>
    </row>
    <row r="436" spans="17:30">
      <c r="Q436" s="2620"/>
      <c r="R436" s="2620"/>
      <c r="T436" s="2618"/>
      <c r="AD436" s="2618"/>
    </row>
    <row r="437" spans="17:30">
      <c r="Q437" s="2620"/>
      <c r="R437" s="2620"/>
      <c r="T437" s="2618"/>
      <c r="AD437" s="2618"/>
    </row>
    <row r="438" spans="17:30">
      <c r="Q438" s="2620"/>
      <c r="R438" s="2620"/>
      <c r="T438" s="2618"/>
      <c r="AD438" s="2618"/>
    </row>
    <row r="439" spans="17:30">
      <c r="Q439" s="2620"/>
      <c r="R439" s="2620"/>
      <c r="T439" s="2618"/>
      <c r="AD439" s="2618"/>
    </row>
    <row r="440" spans="17:30">
      <c r="Q440" s="2620"/>
      <c r="R440" s="2620"/>
      <c r="T440" s="2618"/>
      <c r="AD440" s="2618"/>
    </row>
    <row r="441" spans="17:30">
      <c r="Q441" s="2620"/>
      <c r="R441" s="2620"/>
      <c r="T441" s="2618"/>
      <c r="AD441" s="2618"/>
    </row>
    <row r="442" spans="17:30">
      <c r="Q442" s="2620"/>
      <c r="R442" s="2620"/>
      <c r="T442" s="2618"/>
      <c r="AD442" s="2618"/>
    </row>
    <row r="443" spans="17:30">
      <c r="Q443" s="2620"/>
      <c r="R443" s="2620"/>
      <c r="T443" s="2618"/>
      <c r="AD443" s="2618"/>
    </row>
    <row r="444" spans="17:30">
      <c r="Q444" s="2620"/>
      <c r="R444" s="2620"/>
      <c r="T444" s="2618"/>
      <c r="AD444" s="2618"/>
    </row>
    <row r="445" spans="17:30">
      <c r="Q445" s="2620"/>
      <c r="R445" s="2620"/>
      <c r="T445" s="2618"/>
      <c r="AD445" s="2618"/>
    </row>
    <row r="446" spans="17:30">
      <c r="Q446" s="2620"/>
      <c r="R446" s="2620"/>
      <c r="T446" s="2618"/>
      <c r="AD446" s="2618"/>
    </row>
    <row r="447" spans="17:30">
      <c r="Q447" s="2620"/>
      <c r="R447" s="2620"/>
      <c r="T447" s="2618"/>
      <c r="AD447" s="2618"/>
    </row>
    <row r="448" spans="17:30">
      <c r="Q448" s="2620"/>
      <c r="R448" s="2620"/>
      <c r="T448" s="2618"/>
      <c r="AD448" s="2618"/>
    </row>
    <row r="449" spans="17:30">
      <c r="Q449" s="2620"/>
      <c r="R449" s="2620"/>
      <c r="T449" s="2618"/>
      <c r="AD449" s="2618"/>
    </row>
    <row r="450" spans="17:30">
      <c r="Q450" s="2620"/>
      <c r="R450" s="2620"/>
      <c r="T450" s="2618"/>
      <c r="AD450" s="2618"/>
    </row>
    <row r="451" spans="17:30">
      <c r="Q451" s="2620"/>
      <c r="R451" s="2620"/>
      <c r="T451" s="2618"/>
      <c r="AD451" s="2618"/>
    </row>
    <row r="452" spans="17:30">
      <c r="Q452" s="2620"/>
      <c r="R452" s="2620"/>
      <c r="T452" s="2618"/>
      <c r="AD452" s="2618"/>
    </row>
    <row r="453" spans="17:30">
      <c r="Q453" s="2620"/>
      <c r="R453" s="2620"/>
      <c r="T453" s="2618"/>
      <c r="AD453" s="2618"/>
    </row>
    <row r="454" spans="17:30">
      <c r="Q454" s="2620"/>
      <c r="R454" s="2620"/>
      <c r="T454" s="2618"/>
      <c r="AD454" s="2618"/>
    </row>
    <row r="455" spans="17:30">
      <c r="Q455" s="2620"/>
      <c r="R455" s="2620"/>
      <c r="T455" s="2618"/>
      <c r="AD455" s="2618"/>
    </row>
    <row r="456" spans="17:30">
      <c r="Q456" s="2620"/>
      <c r="R456" s="2620"/>
      <c r="T456" s="2618"/>
      <c r="AD456" s="2618"/>
    </row>
    <row r="457" spans="17:30">
      <c r="Q457" s="2620"/>
      <c r="R457" s="2620"/>
      <c r="T457" s="2618"/>
      <c r="AD457" s="2618"/>
    </row>
    <row r="458" spans="17:30">
      <c r="Q458" s="2620"/>
      <c r="R458" s="2620"/>
      <c r="T458" s="2618"/>
      <c r="AD458" s="2618"/>
    </row>
    <row r="459" spans="17:30">
      <c r="Q459" s="2620"/>
      <c r="R459" s="2620"/>
      <c r="T459" s="2618"/>
      <c r="AD459" s="2618"/>
    </row>
    <row r="460" spans="17:30">
      <c r="Q460" s="2620"/>
      <c r="R460" s="2620"/>
      <c r="T460" s="2618"/>
      <c r="AD460" s="2618"/>
    </row>
    <row r="461" spans="17:30">
      <c r="Q461" s="2620"/>
      <c r="R461" s="2620"/>
      <c r="T461" s="2618"/>
      <c r="AD461" s="2618"/>
    </row>
    <row r="462" spans="17:30">
      <c r="Q462" s="2620"/>
      <c r="R462" s="2620"/>
      <c r="T462" s="2618"/>
      <c r="AD462" s="2618"/>
    </row>
    <row r="463" spans="17:30">
      <c r="Q463" s="2620"/>
      <c r="R463" s="2620"/>
      <c r="T463" s="2618"/>
      <c r="AD463" s="2618"/>
    </row>
    <row r="464" spans="17:30">
      <c r="Q464" s="2620"/>
      <c r="R464" s="2620"/>
      <c r="T464" s="2618"/>
      <c r="AD464" s="2618"/>
    </row>
    <row r="465" spans="17:30">
      <c r="Q465" s="2620"/>
      <c r="R465" s="2620"/>
      <c r="T465" s="2618"/>
      <c r="AD465" s="2618"/>
    </row>
    <row r="466" spans="17:30">
      <c r="Q466" s="2620"/>
      <c r="R466" s="2620"/>
      <c r="T466" s="2618"/>
      <c r="AD466" s="2618"/>
    </row>
    <row r="467" spans="17:30">
      <c r="Q467" s="2620"/>
      <c r="R467" s="2620"/>
      <c r="T467" s="2618"/>
      <c r="AD467" s="2618"/>
    </row>
    <row r="468" spans="17:30">
      <c r="Q468" s="2620"/>
      <c r="R468" s="2620"/>
      <c r="T468" s="2618"/>
      <c r="AD468" s="2618"/>
    </row>
    <row r="469" spans="17:30">
      <c r="Q469" s="2620"/>
      <c r="R469" s="2620"/>
      <c r="T469" s="2618"/>
      <c r="AD469" s="2618"/>
    </row>
    <row r="470" spans="17:30">
      <c r="Q470" s="2620"/>
      <c r="R470" s="2620"/>
      <c r="T470" s="2618"/>
      <c r="AD470" s="2618"/>
    </row>
    <row r="471" spans="17:30">
      <c r="Q471" s="2620"/>
      <c r="R471" s="2620"/>
      <c r="T471" s="2618"/>
      <c r="AD471" s="2618"/>
    </row>
    <row r="472" spans="17:30">
      <c r="Q472" s="2620"/>
      <c r="R472" s="2620"/>
      <c r="T472" s="2618"/>
      <c r="AD472" s="2618"/>
    </row>
    <row r="473" spans="17:30">
      <c r="Q473" s="2620"/>
      <c r="R473" s="2620"/>
      <c r="T473" s="2618"/>
      <c r="AD473" s="2618"/>
    </row>
    <row r="474" spans="17:30">
      <c r="Q474" s="2620"/>
      <c r="R474" s="2620"/>
      <c r="T474" s="2618"/>
      <c r="AD474" s="2618"/>
    </row>
    <row r="475" spans="17:30">
      <c r="Q475" s="2620"/>
      <c r="R475" s="2620"/>
      <c r="T475" s="2618"/>
      <c r="AD475" s="2618"/>
    </row>
    <row r="476" spans="17:30">
      <c r="Q476" s="2620"/>
      <c r="R476" s="2620"/>
      <c r="T476" s="2618"/>
      <c r="AD476" s="2618"/>
    </row>
    <row r="477" spans="17:30">
      <c r="Q477" s="2620"/>
      <c r="R477" s="2620"/>
      <c r="T477" s="2618"/>
      <c r="AD477" s="2618"/>
    </row>
    <row r="478" spans="17:30">
      <c r="Q478" s="2620"/>
      <c r="R478" s="2620"/>
      <c r="T478" s="2618"/>
      <c r="AD478" s="2618"/>
    </row>
    <row r="479" spans="17:30">
      <c r="Q479" s="2620"/>
      <c r="R479" s="2620"/>
      <c r="T479" s="2618"/>
      <c r="AD479" s="2618"/>
    </row>
    <row r="480" spans="17:30">
      <c r="Q480" s="2620"/>
      <c r="R480" s="2620"/>
      <c r="T480" s="2618"/>
      <c r="AD480" s="2618"/>
    </row>
    <row r="481" spans="17:30">
      <c r="Q481" s="2620"/>
      <c r="R481" s="2620"/>
      <c r="T481" s="2618"/>
      <c r="AD481" s="2618"/>
    </row>
    <row r="482" spans="17:30">
      <c r="Q482" s="2620"/>
      <c r="R482" s="2620"/>
      <c r="T482" s="2618"/>
      <c r="AD482" s="2618"/>
    </row>
    <row r="483" spans="17:30">
      <c r="Q483" s="2620"/>
      <c r="R483" s="2620"/>
      <c r="T483" s="2618"/>
      <c r="AD483" s="2618"/>
    </row>
    <row r="484" spans="17:30">
      <c r="Q484" s="2620"/>
      <c r="R484" s="2620"/>
      <c r="T484" s="2618"/>
      <c r="AD484" s="2618"/>
    </row>
    <row r="485" spans="17:30">
      <c r="Q485" s="2620"/>
      <c r="R485" s="2620"/>
      <c r="T485" s="2618"/>
      <c r="AD485" s="2618"/>
    </row>
    <row r="486" spans="17:30">
      <c r="Q486" s="2620"/>
      <c r="R486" s="2620"/>
      <c r="T486" s="2618"/>
      <c r="AD486" s="2618"/>
    </row>
    <row r="487" spans="17:30">
      <c r="Q487" s="2620"/>
      <c r="R487" s="2620"/>
      <c r="T487" s="2618"/>
      <c r="AD487" s="2618"/>
    </row>
    <row r="488" spans="17:30">
      <c r="Q488" s="2620"/>
      <c r="R488" s="2620"/>
      <c r="T488" s="2618"/>
      <c r="AD488" s="2618"/>
    </row>
    <row r="489" spans="17:30">
      <c r="Q489" s="2620"/>
      <c r="R489" s="2620"/>
      <c r="T489" s="2618"/>
      <c r="AD489" s="2618"/>
    </row>
    <row r="490" spans="17:30">
      <c r="Q490" s="2620"/>
      <c r="R490" s="2620"/>
      <c r="T490" s="2618"/>
      <c r="AD490" s="2618"/>
    </row>
    <row r="491" spans="17:30">
      <c r="Q491" s="2620"/>
      <c r="R491" s="2620"/>
      <c r="T491" s="2618"/>
      <c r="AD491" s="2618"/>
    </row>
    <row r="492" spans="17:30">
      <c r="Q492" s="2620"/>
      <c r="R492" s="2620"/>
      <c r="T492" s="2618"/>
      <c r="AD492" s="2618"/>
    </row>
    <row r="493" spans="17:30">
      <c r="Q493" s="2620"/>
      <c r="R493" s="2620"/>
      <c r="T493" s="2618"/>
      <c r="AD493" s="2618"/>
    </row>
    <row r="494" spans="17:30">
      <c r="Q494" s="2620"/>
      <c r="R494" s="2620"/>
      <c r="T494" s="2618"/>
      <c r="AD494" s="2618"/>
    </row>
    <row r="495" spans="17:30">
      <c r="Q495" s="2620"/>
      <c r="R495" s="2620"/>
      <c r="T495" s="2618"/>
      <c r="AD495" s="2618"/>
    </row>
    <row r="496" spans="17:30">
      <c r="Q496" s="2620"/>
      <c r="R496" s="2620"/>
      <c r="T496" s="2618"/>
      <c r="AD496" s="2618"/>
    </row>
    <row r="497" spans="17:30">
      <c r="Q497" s="2620"/>
      <c r="R497" s="2620"/>
      <c r="T497" s="2618"/>
      <c r="AD497" s="2618"/>
    </row>
    <row r="498" spans="17:30">
      <c r="Q498" s="2620"/>
      <c r="R498" s="2620"/>
      <c r="T498" s="2618"/>
      <c r="AD498" s="2618"/>
    </row>
    <row r="499" spans="17:30">
      <c r="Q499" s="2620"/>
      <c r="R499" s="2620"/>
      <c r="T499" s="2618"/>
      <c r="AD499" s="2618"/>
    </row>
    <row r="500" spans="17:30">
      <c r="Q500" s="2620"/>
      <c r="R500" s="2620"/>
      <c r="T500" s="2618"/>
      <c r="AD500" s="2618"/>
    </row>
    <row r="501" spans="17:30">
      <c r="Q501" s="2620"/>
      <c r="R501" s="2620"/>
      <c r="T501" s="2618"/>
      <c r="AD501" s="2618"/>
    </row>
    <row r="502" spans="17:30">
      <c r="Q502" s="2620"/>
      <c r="R502" s="2620"/>
      <c r="T502" s="2618"/>
      <c r="AD502" s="2618"/>
    </row>
    <row r="503" spans="17:30">
      <c r="Q503" s="2620"/>
      <c r="R503" s="2620"/>
      <c r="T503" s="2618"/>
      <c r="AD503" s="2618"/>
    </row>
    <row r="504" spans="17:30">
      <c r="Q504" s="2620"/>
      <c r="R504" s="2620"/>
      <c r="T504" s="2618"/>
      <c r="AD504" s="2618"/>
    </row>
    <row r="505" spans="17:30">
      <c r="Q505" s="2620"/>
      <c r="R505" s="2620"/>
      <c r="T505" s="2618"/>
      <c r="AD505" s="2618"/>
    </row>
    <row r="506" spans="17:30">
      <c r="Q506" s="2620"/>
      <c r="R506" s="2620"/>
      <c r="T506" s="2618"/>
      <c r="AD506" s="2618"/>
    </row>
    <row r="507" spans="17:30">
      <c r="Q507" s="2620"/>
      <c r="R507" s="2620"/>
      <c r="T507" s="2618"/>
      <c r="AD507" s="2618"/>
    </row>
    <row r="508" spans="17:30">
      <c r="Q508" s="2620"/>
      <c r="R508" s="2620"/>
      <c r="T508" s="2618"/>
      <c r="AD508" s="2618"/>
    </row>
    <row r="509" spans="17:30">
      <c r="Q509" s="2620"/>
      <c r="R509" s="2620"/>
      <c r="T509" s="2618"/>
      <c r="AD509" s="2618"/>
    </row>
    <row r="510" spans="17:30">
      <c r="Q510" s="2620"/>
      <c r="R510" s="2620"/>
      <c r="T510" s="2618"/>
      <c r="AD510" s="2618"/>
    </row>
    <row r="511" spans="17:30">
      <c r="Q511" s="2620"/>
      <c r="R511" s="2620"/>
      <c r="T511" s="2618"/>
      <c r="AD511" s="2618"/>
    </row>
    <row r="512" spans="17:30">
      <c r="Q512" s="2620"/>
      <c r="R512" s="2620"/>
      <c r="T512" s="2618"/>
      <c r="AD512" s="2618"/>
    </row>
    <row r="513" spans="17:30">
      <c r="Q513" s="2620"/>
      <c r="R513" s="2620"/>
      <c r="T513" s="2618"/>
      <c r="AD513" s="2618"/>
    </row>
    <row r="514" spans="17:30">
      <c r="Q514" s="2620"/>
      <c r="R514" s="2620"/>
      <c r="T514" s="2618"/>
      <c r="AD514" s="2618"/>
    </row>
    <row r="515" spans="17:30">
      <c r="Q515" s="2620"/>
      <c r="R515" s="2620"/>
      <c r="T515" s="2618"/>
      <c r="AD515" s="2618"/>
    </row>
    <row r="516" spans="17:30">
      <c r="Q516" s="2620"/>
      <c r="R516" s="2620"/>
      <c r="T516" s="2618"/>
      <c r="AD516" s="2618"/>
    </row>
    <row r="517" spans="17:30">
      <c r="Q517" s="2620"/>
      <c r="R517" s="2620"/>
      <c r="T517" s="2618"/>
      <c r="AD517" s="2618"/>
    </row>
    <row r="518" spans="17:30">
      <c r="Q518" s="2620"/>
      <c r="R518" s="2620"/>
      <c r="T518" s="2618"/>
      <c r="AD518" s="2618"/>
    </row>
    <row r="519" spans="17:30">
      <c r="Q519" s="2620"/>
      <c r="R519" s="2620"/>
      <c r="T519" s="2618"/>
      <c r="AD519" s="2618"/>
    </row>
    <row r="520" spans="17:30">
      <c r="Q520" s="2620"/>
      <c r="R520" s="2620"/>
      <c r="T520" s="2618"/>
      <c r="AD520" s="2618"/>
    </row>
    <row r="521" spans="17:30">
      <c r="Q521" s="2620"/>
      <c r="R521" s="2620"/>
      <c r="T521" s="2618"/>
      <c r="AD521" s="2618"/>
    </row>
    <row r="522" spans="17:30">
      <c r="Q522" s="2620"/>
      <c r="R522" s="2620"/>
      <c r="T522" s="2618"/>
      <c r="AD522" s="2618"/>
    </row>
    <row r="523" spans="17:30">
      <c r="Q523" s="2620"/>
      <c r="R523" s="2620"/>
      <c r="T523" s="2618"/>
      <c r="AD523" s="2618"/>
    </row>
    <row r="524" spans="17:30">
      <c r="Q524" s="2620"/>
      <c r="R524" s="2620"/>
      <c r="T524" s="2618"/>
      <c r="AD524" s="2618"/>
    </row>
    <row r="525" spans="17:30">
      <c r="Q525" s="2620"/>
      <c r="R525" s="2620"/>
      <c r="T525" s="2618"/>
      <c r="AD525" s="2618"/>
    </row>
    <row r="526" spans="17:30">
      <c r="Q526" s="2620"/>
      <c r="R526" s="2620"/>
      <c r="T526" s="2618"/>
      <c r="AD526" s="2618"/>
    </row>
    <row r="527" spans="17:30">
      <c r="Q527" s="2620"/>
      <c r="R527" s="2620"/>
      <c r="T527" s="2618"/>
      <c r="AD527" s="2618"/>
    </row>
    <row r="528" spans="17:30">
      <c r="Q528" s="2620"/>
      <c r="R528" s="2620"/>
      <c r="T528" s="2618"/>
      <c r="AD528" s="2618"/>
    </row>
    <row r="529" spans="17:30">
      <c r="Q529" s="2620"/>
      <c r="R529" s="2620"/>
      <c r="T529" s="2618"/>
      <c r="AD529" s="2618"/>
    </row>
    <row r="530" spans="17:30">
      <c r="Q530" s="2620"/>
      <c r="R530" s="2620"/>
      <c r="T530" s="2618"/>
      <c r="AD530" s="2618"/>
    </row>
    <row r="531" spans="17:30">
      <c r="Q531" s="2620"/>
      <c r="R531" s="2620"/>
      <c r="T531" s="2618"/>
      <c r="AD531" s="2618"/>
    </row>
    <row r="532" spans="17:30">
      <c r="Q532" s="2620"/>
      <c r="R532" s="2620"/>
      <c r="T532" s="2618"/>
      <c r="AD532" s="2618"/>
    </row>
    <row r="533" spans="17:30">
      <c r="Q533" s="2620"/>
      <c r="R533" s="2620"/>
      <c r="T533" s="2618"/>
      <c r="AD533" s="2618"/>
    </row>
    <row r="534" spans="17:30">
      <c r="Q534" s="2620"/>
      <c r="R534" s="2620"/>
      <c r="T534" s="2618"/>
      <c r="AD534" s="2618"/>
    </row>
    <row r="535" spans="17:30">
      <c r="Q535" s="2620"/>
      <c r="R535" s="2620"/>
      <c r="T535" s="2618"/>
      <c r="AD535" s="2618"/>
    </row>
    <row r="536" spans="17:30">
      <c r="Q536" s="2620"/>
      <c r="R536" s="2620"/>
      <c r="T536" s="2618"/>
      <c r="AD536" s="2618"/>
    </row>
    <row r="537" spans="17:30">
      <c r="Q537" s="2620"/>
      <c r="R537" s="2620"/>
      <c r="T537" s="2618"/>
      <c r="AD537" s="2618"/>
    </row>
    <row r="538" spans="17:30">
      <c r="Q538" s="2620"/>
      <c r="R538" s="2620"/>
      <c r="T538" s="2618"/>
      <c r="AD538" s="2618"/>
    </row>
    <row r="539" spans="17:30">
      <c r="Q539" s="2620"/>
      <c r="R539" s="2620"/>
      <c r="T539" s="2618"/>
      <c r="AD539" s="2618"/>
    </row>
    <row r="540" spans="17:30">
      <c r="Q540" s="2620"/>
      <c r="R540" s="2620"/>
      <c r="T540" s="2618"/>
      <c r="AD540" s="2618"/>
    </row>
    <row r="541" spans="17:30">
      <c r="Q541" s="2620"/>
      <c r="R541" s="2620"/>
      <c r="T541" s="2618"/>
      <c r="AD541" s="2618"/>
    </row>
    <row r="542" spans="17:30">
      <c r="Q542" s="2620"/>
      <c r="R542" s="2620"/>
      <c r="T542" s="2618"/>
      <c r="AD542" s="2618"/>
    </row>
    <row r="543" spans="17:30">
      <c r="Q543" s="2620"/>
      <c r="R543" s="2620"/>
      <c r="T543" s="2618"/>
      <c r="AD543" s="2618"/>
    </row>
    <row r="544" spans="17:30">
      <c r="Q544" s="2620"/>
      <c r="R544" s="2620"/>
      <c r="T544" s="2618"/>
      <c r="AD544" s="2618"/>
    </row>
    <row r="545" spans="17:30">
      <c r="Q545" s="2620"/>
      <c r="R545" s="2620"/>
      <c r="T545" s="2618"/>
      <c r="AD545" s="2618"/>
    </row>
    <row r="546" spans="17:30">
      <c r="Q546" s="2620"/>
      <c r="R546" s="2620"/>
      <c r="T546" s="2618"/>
      <c r="AD546" s="2618"/>
    </row>
    <row r="547" spans="17:30">
      <c r="Q547" s="2620"/>
      <c r="R547" s="2620"/>
      <c r="T547" s="2618"/>
      <c r="AD547" s="2618"/>
    </row>
    <row r="548" spans="17:30">
      <c r="Q548" s="2620"/>
      <c r="R548" s="2620"/>
      <c r="T548" s="2618"/>
      <c r="AD548" s="2618"/>
    </row>
    <row r="549" spans="17:30">
      <c r="Q549" s="2620"/>
      <c r="R549" s="2620"/>
      <c r="T549" s="2618"/>
      <c r="AD549" s="2618"/>
    </row>
    <row r="550" spans="17:30">
      <c r="Q550" s="2620"/>
      <c r="R550" s="2620"/>
      <c r="T550" s="2618"/>
      <c r="AD550" s="2618"/>
    </row>
    <row r="551" spans="17:30">
      <c r="Q551" s="2620"/>
      <c r="R551" s="2620"/>
      <c r="T551" s="2618"/>
      <c r="AD551" s="2618"/>
    </row>
    <row r="552" spans="17:30">
      <c r="Q552" s="2620"/>
      <c r="R552" s="2620"/>
      <c r="T552" s="2618"/>
      <c r="AD552" s="2618"/>
    </row>
    <row r="553" spans="17:30">
      <c r="Q553" s="2620"/>
      <c r="R553" s="2620"/>
      <c r="T553" s="2618"/>
      <c r="AD553" s="2618"/>
    </row>
    <row r="554" spans="17:30">
      <c r="Q554" s="2620"/>
      <c r="R554" s="2620"/>
      <c r="T554" s="2618"/>
      <c r="AD554" s="2618"/>
    </row>
    <row r="555" spans="17:30">
      <c r="Q555" s="2620"/>
      <c r="R555" s="2620"/>
      <c r="T555" s="2618"/>
      <c r="AD555" s="2618"/>
    </row>
    <row r="556" spans="17:30">
      <c r="Q556" s="2620"/>
      <c r="R556" s="2620"/>
      <c r="T556" s="2618"/>
      <c r="AD556" s="2618"/>
    </row>
    <row r="557" spans="17:30">
      <c r="Q557" s="2620"/>
      <c r="R557" s="2620"/>
      <c r="T557" s="2618"/>
      <c r="AD557" s="2618"/>
    </row>
    <row r="558" spans="17:30">
      <c r="Q558" s="2620"/>
      <c r="R558" s="2620"/>
      <c r="T558" s="2618"/>
      <c r="AD558" s="2618"/>
    </row>
    <row r="559" spans="17:30">
      <c r="Q559" s="2620"/>
      <c r="R559" s="2620"/>
      <c r="T559" s="2618"/>
      <c r="AD559" s="2618"/>
    </row>
    <row r="560" spans="17:30">
      <c r="Q560" s="2620"/>
      <c r="R560" s="2620"/>
      <c r="T560" s="2618"/>
      <c r="AD560" s="2618"/>
    </row>
    <row r="561" spans="17:30">
      <c r="Q561" s="2620"/>
      <c r="R561" s="2620"/>
      <c r="T561" s="2618"/>
      <c r="AD561" s="2618"/>
    </row>
    <row r="562" spans="17:30">
      <c r="Q562" s="2620"/>
      <c r="R562" s="2620"/>
      <c r="T562" s="2618"/>
      <c r="AD562" s="2618"/>
    </row>
    <row r="563" spans="17:30">
      <c r="Q563" s="2620"/>
      <c r="R563" s="2620"/>
      <c r="T563" s="2618"/>
      <c r="AD563" s="2618"/>
    </row>
    <row r="564" spans="17:30">
      <c r="Q564" s="2620"/>
      <c r="R564" s="2620"/>
      <c r="T564" s="2618"/>
      <c r="AD564" s="2618"/>
    </row>
    <row r="565" spans="17:30">
      <c r="Q565" s="2620"/>
      <c r="R565" s="2620"/>
      <c r="T565" s="2618"/>
      <c r="AD565" s="2618"/>
    </row>
    <row r="566" spans="17:30">
      <c r="Q566" s="2620"/>
      <c r="R566" s="2620"/>
      <c r="T566" s="2618"/>
      <c r="AD566" s="2618"/>
    </row>
    <row r="567" spans="17:30">
      <c r="Q567" s="2620"/>
      <c r="R567" s="2620"/>
      <c r="T567" s="2618"/>
      <c r="AD567" s="2618"/>
    </row>
    <row r="568" spans="17:30">
      <c r="Q568" s="2620"/>
      <c r="R568" s="2620"/>
      <c r="T568" s="2618"/>
      <c r="AD568" s="2618"/>
    </row>
    <row r="569" spans="17:30">
      <c r="Q569" s="2620"/>
      <c r="R569" s="2620"/>
      <c r="T569" s="2618"/>
      <c r="AD569" s="2618"/>
    </row>
    <row r="570" spans="17:30">
      <c r="Q570" s="2620"/>
      <c r="R570" s="2620"/>
      <c r="T570" s="2618"/>
      <c r="AD570" s="2618"/>
    </row>
    <row r="571" spans="17:30">
      <c r="Q571" s="2620"/>
      <c r="R571" s="2620"/>
      <c r="T571" s="2618"/>
      <c r="AD571" s="2618"/>
    </row>
    <row r="572" spans="17:30">
      <c r="Q572" s="2620"/>
      <c r="R572" s="2620"/>
      <c r="T572" s="2618"/>
      <c r="AD572" s="2618"/>
    </row>
    <row r="573" spans="17:30">
      <c r="Q573" s="2620"/>
      <c r="R573" s="2620"/>
      <c r="T573" s="2618"/>
      <c r="AD573" s="2618"/>
    </row>
    <row r="574" spans="17:30">
      <c r="Q574" s="2620"/>
      <c r="R574" s="2620"/>
      <c r="T574" s="2618"/>
      <c r="AD574" s="2618"/>
    </row>
    <row r="575" spans="17:30">
      <c r="Q575" s="2620"/>
      <c r="R575" s="2620"/>
      <c r="T575" s="2618"/>
      <c r="AD575" s="2618"/>
    </row>
    <row r="576" spans="17:30">
      <c r="Q576" s="2620"/>
      <c r="R576" s="2620"/>
      <c r="T576" s="2618"/>
      <c r="AD576" s="2618"/>
    </row>
    <row r="577" spans="17:30">
      <c r="Q577" s="2620"/>
      <c r="R577" s="2620"/>
      <c r="T577" s="2618"/>
      <c r="AD577" s="2618"/>
    </row>
    <row r="578" spans="17:30">
      <c r="Q578" s="2620"/>
      <c r="R578" s="2620"/>
      <c r="T578" s="2618"/>
      <c r="AD578" s="2618"/>
    </row>
    <row r="579" spans="17:30">
      <c r="Q579" s="2620"/>
      <c r="R579" s="2620"/>
      <c r="T579" s="2618"/>
      <c r="AD579" s="2618"/>
    </row>
    <row r="580" spans="17:30">
      <c r="Q580" s="2620"/>
      <c r="R580" s="2620"/>
      <c r="T580" s="2618"/>
      <c r="AD580" s="2618"/>
    </row>
    <row r="581" spans="17:30">
      <c r="Q581" s="2620"/>
      <c r="R581" s="2620"/>
      <c r="T581" s="2618"/>
      <c r="AD581" s="2618"/>
    </row>
    <row r="582" spans="17:30">
      <c r="Q582" s="2620"/>
      <c r="R582" s="2620"/>
      <c r="T582" s="2618"/>
      <c r="AD582" s="2618"/>
    </row>
    <row r="583" spans="17:30">
      <c r="Q583" s="2620"/>
      <c r="R583" s="2620"/>
      <c r="T583" s="2618"/>
      <c r="AD583" s="2618"/>
    </row>
    <row r="584" spans="17:30">
      <c r="Q584" s="2620"/>
      <c r="R584" s="2620"/>
      <c r="T584" s="2618"/>
      <c r="AD584" s="2618"/>
    </row>
    <row r="585" spans="17:30">
      <c r="Q585" s="2620"/>
      <c r="R585" s="2620"/>
      <c r="T585" s="2618"/>
      <c r="AD585" s="2618"/>
    </row>
    <row r="586" spans="17:30">
      <c r="Q586" s="2620"/>
      <c r="R586" s="2620"/>
      <c r="T586" s="2618"/>
      <c r="AD586" s="2618"/>
    </row>
    <row r="587" spans="17:30">
      <c r="Q587" s="2620"/>
      <c r="R587" s="2620"/>
      <c r="T587" s="2618"/>
      <c r="AD587" s="2618"/>
    </row>
    <row r="588" spans="17:30">
      <c r="Q588" s="2620"/>
      <c r="R588" s="2620"/>
      <c r="T588" s="2618"/>
      <c r="AD588" s="2618"/>
    </row>
    <row r="589" spans="17:30">
      <c r="Q589" s="2620"/>
      <c r="R589" s="2620"/>
      <c r="T589" s="2618"/>
      <c r="AD589" s="2618"/>
    </row>
    <row r="590" spans="17:30">
      <c r="Q590" s="2620"/>
      <c r="R590" s="2620"/>
      <c r="T590" s="2618"/>
      <c r="AD590" s="2618"/>
    </row>
    <row r="591" spans="17:30">
      <c r="Q591" s="2620"/>
      <c r="R591" s="2620"/>
      <c r="T591" s="2618"/>
      <c r="AD591" s="2618"/>
    </row>
    <row r="592" spans="17:30">
      <c r="Q592" s="2620"/>
      <c r="R592" s="2620"/>
      <c r="T592" s="2618"/>
      <c r="AD592" s="2618"/>
    </row>
    <row r="593" spans="17:30">
      <c r="Q593" s="2620"/>
      <c r="R593" s="2620"/>
      <c r="T593" s="2618"/>
      <c r="AD593" s="2618"/>
    </row>
    <row r="594" spans="17:30">
      <c r="Q594" s="2620"/>
      <c r="R594" s="2620"/>
      <c r="T594" s="2618"/>
      <c r="AD594" s="2618"/>
    </row>
    <row r="595" spans="17:30">
      <c r="Q595" s="2620"/>
      <c r="R595" s="2620"/>
      <c r="T595" s="2618"/>
      <c r="AD595" s="2618"/>
    </row>
    <row r="596" spans="17:30">
      <c r="Q596" s="2620"/>
      <c r="R596" s="2620"/>
      <c r="T596" s="2618"/>
      <c r="AD596" s="2618"/>
    </row>
    <row r="597" spans="17:30">
      <c r="Q597" s="2620"/>
      <c r="R597" s="2620"/>
      <c r="T597" s="2618"/>
      <c r="AD597" s="2618"/>
    </row>
    <row r="598" spans="17:30">
      <c r="Q598" s="2620"/>
      <c r="R598" s="2620"/>
      <c r="T598" s="2618"/>
      <c r="AD598" s="2618"/>
    </row>
    <row r="599" spans="17:30">
      <c r="Q599" s="2620"/>
      <c r="R599" s="2620"/>
      <c r="T599" s="2618"/>
      <c r="AD599" s="2618"/>
    </row>
    <row r="600" spans="17:30">
      <c r="Q600" s="2620"/>
      <c r="R600" s="2620"/>
      <c r="T600" s="2618"/>
      <c r="AD600" s="2618"/>
    </row>
    <row r="601" spans="17:30">
      <c r="Q601" s="2620"/>
      <c r="R601" s="2620"/>
      <c r="T601" s="2618"/>
      <c r="AD601" s="2618"/>
    </row>
    <row r="602" spans="17:30">
      <c r="Q602" s="2620"/>
      <c r="R602" s="2620"/>
      <c r="T602" s="2618"/>
      <c r="AD602" s="2618"/>
    </row>
    <row r="603" spans="17:30">
      <c r="Q603" s="2620"/>
      <c r="R603" s="2620"/>
      <c r="T603" s="2618"/>
      <c r="AD603" s="2618"/>
    </row>
    <row r="604" spans="17:30">
      <c r="Q604" s="2620"/>
      <c r="R604" s="2620"/>
      <c r="T604" s="2618"/>
      <c r="AD604" s="2618"/>
    </row>
    <row r="605" spans="17:30">
      <c r="Q605" s="2620"/>
      <c r="R605" s="2620"/>
      <c r="T605" s="2618"/>
      <c r="AD605" s="2618"/>
    </row>
    <row r="606" spans="17:30">
      <c r="Q606" s="2620"/>
      <c r="R606" s="2620"/>
      <c r="T606" s="2618"/>
      <c r="AD606" s="2618"/>
    </row>
    <row r="607" spans="17:30">
      <c r="Q607" s="2620"/>
      <c r="R607" s="2620"/>
      <c r="T607" s="2618"/>
      <c r="AD607" s="2618"/>
    </row>
    <row r="608" spans="17:30">
      <c r="Q608" s="2620"/>
      <c r="R608" s="2620"/>
      <c r="T608" s="2618"/>
      <c r="AD608" s="2618"/>
    </row>
    <row r="609" spans="17:30">
      <c r="Q609" s="2620"/>
      <c r="R609" s="2620"/>
      <c r="T609" s="2618"/>
      <c r="AD609" s="2618"/>
    </row>
    <row r="610" spans="17:30">
      <c r="Q610" s="2620"/>
      <c r="R610" s="2620"/>
      <c r="T610" s="2618"/>
      <c r="AD610" s="2618"/>
    </row>
    <row r="611" spans="17:30">
      <c r="Q611" s="2620"/>
      <c r="R611" s="2620"/>
      <c r="T611" s="2618"/>
      <c r="AD611" s="2618"/>
    </row>
    <row r="612" spans="17:30">
      <c r="Q612" s="2620"/>
      <c r="R612" s="2620"/>
      <c r="T612" s="2618"/>
      <c r="AD612" s="2618"/>
    </row>
    <row r="613" spans="17:30">
      <c r="Q613" s="2620"/>
      <c r="R613" s="2620"/>
      <c r="T613" s="2618"/>
      <c r="AD613" s="2618"/>
    </row>
    <row r="614" spans="17:30">
      <c r="Q614" s="2620"/>
      <c r="R614" s="2620"/>
      <c r="T614" s="2618"/>
      <c r="AD614" s="2618"/>
    </row>
    <row r="615" spans="17:30">
      <c r="Q615" s="2620"/>
      <c r="R615" s="2620"/>
      <c r="T615" s="2618"/>
      <c r="AD615" s="2618"/>
    </row>
    <row r="616" spans="17:30">
      <c r="Q616" s="2620"/>
      <c r="R616" s="2620"/>
      <c r="T616" s="2618"/>
      <c r="AD616" s="2618"/>
    </row>
    <row r="617" spans="17:30">
      <c r="Q617" s="2620"/>
      <c r="R617" s="2620"/>
      <c r="T617" s="2618"/>
      <c r="AD617" s="2618"/>
    </row>
    <row r="618" spans="17:30">
      <c r="Q618" s="2620"/>
      <c r="R618" s="2620"/>
      <c r="T618" s="2618"/>
      <c r="AD618" s="2618"/>
    </row>
    <row r="619" spans="17:30">
      <c r="Q619" s="2620"/>
      <c r="R619" s="2620"/>
      <c r="T619" s="2618"/>
      <c r="AD619" s="2618"/>
    </row>
    <row r="620" spans="17:30">
      <c r="Q620" s="2620"/>
      <c r="R620" s="2620"/>
      <c r="T620" s="2618"/>
      <c r="AD620" s="2618"/>
    </row>
    <row r="621" spans="17:30">
      <c r="Q621" s="2620"/>
      <c r="R621" s="2620"/>
      <c r="T621" s="2618"/>
      <c r="AD621" s="2618"/>
    </row>
    <row r="622" spans="17:30">
      <c r="Q622" s="2620"/>
      <c r="R622" s="2620"/>
      <c r="T622" s="2618"/>
      <c r="AD622" s="2618"/>
    </row>
    <row r="623" spans="17:30">
      <c r="Q623" s="2620"/>
      <c r="R623" s="2620"/>
      <c r="T623" s="2618"/>
      <c r="AD623" s="2618"/>
    </row>
    <row r="624" spans="17:30">
      <c r="Q624" s="2620"/>
      <c r="R624" s="2620"/>
      <c r="T624" s="2618"/>
      <c r="AD624" s="2618"/>
    </row>
    <row r="625" spans="17:30">
      <c r="Q625" s="2620"/>
      <c r="R625" s="2620"/>
      <c r="T625" s="2618"/>
      <c r="AD625" s="2618"/>
    </row>
    <row r="626" spans="17:30">
      <c r="Q626" s="2620"/>
      <c r="R626" s="2620"/>
      <c r="T626" s="2618"/>
      <c r="AD626" s="2618"/>
    </row>
    <row r="627" spans="17:30">
      <c r="Q627" s="2620"/>
      <c r="R627" s="2620"/>
      <c r="T627" s="2618"/>
      <c r="AD627" s="2618"/>
    </row>
    <row r="628" spans="17:30">
      <c r="Q628" s="2620"/>
      <c r="R628" s="2620"/>
      <c r="T628" s="2618"/>
      <c r="AD628" s="2618"/>
    </row>
    <row r="629" spans="17:30">
      <c r="Q629" s="2620"/>
      <c r="R629" s="2620"/>
      <c r="T629" s="2618"/>
      <c r="AD629" s="2618"/>
    </row>
    <row r="630" spans="17:30">
      <c r="Q630" s="2620"/>
      <c r="R630" s="2620"/>
      <c r="T630" s="2618"/>
      <c r="AD630" s="2618"/>
    </row>
    <row r="631" spans="17:30">
      <c r="Q631" s="2620"/>
      <c r="R631" s="2620"/>
      <c r="T631" s="2618"/>
      <c r="AD631" s="2618"/>
    </row>
    <row r="632" spans="17:30">
      <c r="Q632" s="2620"/>
      <c r="R632" s="2620"/>
      <c r="T632" s="2618"/>
      <c r="AD632" s="2618"/>
    </row>
    <row r="633" spans="17:30">
      <c r="Q633" s="2620"/>
      <c r="R633" s="2620"/>
      <c r="T633" s="2618"/>
      <c r="AD633" s="2618"/>
    </row>
    <row r="634" spans="17:30">
      <c r="Q634" s="2620"/>
      <c r="R634" s="2620"/>
      <c r="T634" s="2618"/>
      <c r="AD634" s="2618"/>
    </row>
    <row r="635" spans="17:30">
      <c r="Q635" s="2620"/>
      <c r="R635" s="2620"/>
      <c r="T635" s="2618"/>
      <c r="AD635" s="2618"/>
    </row>
    <row r="636" spans="17:30">
      <c r="Q636" s="2620"/>
      <c r="R636" s="2620"/>
      <c r="T636" s="2618"/>
      <c r="AD636" s="2618"/>
    </row>
    <row r="637" spans="17:30">
      <c r="Q637" s="2620"/>
      <c r="R637" s="2620"/>
      <c r="T637" s="2618"/>
      <c r="AD637" s="2618"/>
    </row>
    <row r="638" spans="17:30">
      <c r="Q638" s="2620"/>
      <c r="R638" s="2620"/>
      <c r="T638" s="2618"/>
      <c r="AD638" s="2618"/>
    </row>
    <row r="639" spans="17:30">
      <c r="Q639" s="2620"/>
      <c r="R639" s="2620"/>
      <c r="T639" s="2618"/>
      <c r="AD639" s="2618"/>
    </row>
    <row r="640" spans="17:30">
      <c r="Q640" s="2620"/>
      <c r="R640" s="2620"/>
      <c r="T640" s="2618"/>
      <c r="AD640" s="2618"/>
    </row>
    <row r="641" spans="17:30">
      <c r="Q641" s="2620"/>
      <c r="R641" s="2620"/>
      <c r="T641" s="2618"/>
      <c r="AD641" s="2618"/>
    </row>
    <row r="642" spans="17:30">
      <c r="Q642" s="2620"/>
      <c r="R642" s="2620"/>
      <c r="T642" s="2618"/>
      <c r="AD642" s="2618"/>
    </row>
    <row r="643" spans="17:30">
      <c r="Q643" s="2620"/>
      <c r="R643" s="2620"/>
      <c r="T643" s="2618"/>
      <c r="AD643" s="2618"/>
    </row>
    <row r="644" spans="17:30">
      <c r="Q644" s="2620"/>
      <c r="R644" s="2620"/>
      <c r="T644" s="2618"/>
      <c r="AD644" s="2618"/>
    </row>
    <row r="645" spans="17:30">
      <c r="Q645" s="2620"/>
      <c r="R645" s="2620"/>
      <c r="T645" s="2618"/>
      <c r="AD645" s="2618"/>
    </row>
    <row r="646" spans="17:30">
      <c r="Q646" s="2620"/>
      <c r="R646" s="2620"/>
      <c r="T646" s="2618"/>
      <c r="AD646" s="2618"/>
    </row>
    <row r="647" spans="17:30">
      <c r="Q647" s="2620"/>
      <c r="R647" s="2620"/>
      <c r="T647" s="2618"/>
      <c r="AD647" s="2618"/>
    </row>
    <row r="648" spans="17:30">
      <c r="Q648" s="2620"/>
      <c r="R648" s="2620"/>
      <c r="T648" s="2618"/>
      <c r="AD648" s="2618"/>
    </row>
    <row r="649" spans="17:30">
      <c r="Q649" s="2620"/>
      <c r="R649" s="2620"/>
      <c r="T649" s="2618"/>
      <c r="AD649" s="2618"/>
    </row>
    <row r="650" spans="17:30">
      <c r="Q650" s="2620"/>
      <c r="R650" s="2620"/>
      <c r="T650" s="2618"/>
      <c r="AD650" s="2618"/>
    </row>
    <row r="651" spans="17:30">
      <c r="Q651" s="2620"/>
      <c r="R651" s="2620"/>
      <c r="T651" s="2618"/>
      <c r="AD651" s="2618"/>
    </row>
    <row r="652" spans="17:30">
      <c r="Q652" s="2620"/>
      <c r="R652" s="2620"/>
      <c r="T652" s="2618"/>
      <c r="AD652" s="2618"/>
    </row>
    <row r="653" spans="17:30">
      <c r="Q653" s="2620"/>
      <c r="R653" s="2620"/>
      <c r="T653" s="2618"/>
      <c r="AD653" s="2618"/>
    </row>
    <row r="654" spans="17:30">
      <c r="Q654" s="2620"/>
      <c r="R654" s="2620"/>
      <c r="T654" s="2618"/>
      <c r="AD654" s="2618"/>
    </row>
    <row r="655" spans="17:30">
      <c r="Q655" s="2620"/>
      <c r="R655" s="2620"/>
      <c r="T655" s="2618"/>
      <c r="AD655" s="2618"/>
    </row>
    <row r="656" spans="17:30">
      <c r="Q656" s="2620"/>
      <c r="R656" s="2620"/>
      <c r="T656" s="2618"/>
      <c r="AD656" s="2618"/>
    </row>
    <row r="657" spans="17:30">
      <c r="Q657" s="2620"/>
      <c r="R657" s="2620"/>
      <c r="T657" s="2618"/>
      <c r="AD657" s="2618"/>
    </row>
    <row r="658" spans="17:30">
      <c r="Q658" s="2620"/>
      <c r="R658" s="2620"/>
      <c r="T658" s="2618"/>
      <c r="AD658" s="2618"/>
    </row>
    <row r="659" spans="17:30">
      <c r="Q659" s="2620"/>
      <c r="R659" s="2620"/>
      <c r="T659" s="2618"/>
      <c r="AD659" s="2618"/>
    </row>
    <row r="660" spans="17:30">
      <c r="Q660" s="2620"/>
      <c r="R660" s="2620"/>
      <c r="T660" s="2618"/>
      <c r="AD660" s="2618"/>
    </row>
    <row r="661" spans="17:30">
      <c r="Q661" s="2620"/>
      <c r="R661" s="2620"/>
      <c r="T661" s="2618"/>
      <c r="AD661" s="2618"/>
    </row>
    <row r="662" spans="17:30">
      <c r="Q662" s="2620"/>
      <c r="R662" s="2620"/>
      <c r="T662" s="2618"/>
      <c r="AD662" s="2618"/>
    </row>
    <row r="663" spans="17:30">
      <c r="Q663" s="2620"/>
      <c r="R663" s="2620"/>
      <c r="T663" s="2618"/>
      <c r="AD663" s="2618"/>
    </row>
    <row r="664" spans="17:30">
      <c r="Q664" s="2620"/>
      <c r="R664" s="2620"/>
      <c r="T664" s="2618"/>
      <c r="AD664" s="2618"/>
    </row>
    <row r="665" spans="17:30">
      <c r="Q665" s="2620"/>
      <c r="R665" s="2620"/>
      <c r="T665" s="2618"/>
      <c r="AD665" s="2618"/>
    </row>
    <row r="666" spans="17:30">
      <c r="Q666" s="2620"/>
      <c r="R666" s="2620"/>
      <c r="T666" s="2618"/>
      <c r="AD666" s="2618"/>
    </row>
    <row r="667" spans="17:30">
      <c r="Q667" s="2620"/>
      <c r="R667" s="2620"/>
      <c r="T667" s="2618"/>
      <c r="AD667" s="2618"/>
    </row>
    <row r="668" spans="17:30">
      <c r="Q668" s="2620"/>
      <c r="R668" s="2620"/>
      <c r="T668" s="2618"/>
      <c r="AD668" s="2618"/>
    </row>
    <row r="669" spans="17:30">
      <c r="Q669" s="2620"/>
      <c r="R669" s="2620"/>
      <c r="T669" s="2618"/>
      <c r="AD669" s="2618"/>
    </row>
    <row r="670" spans="17:30">
      <c r="Q670" s="2620"/>
      <c r="R670" s="2620"/>
      <c r="T670" s="2618"/>
      <c r="AD670" s="2618"/>
    </row>
    <row r="671" spans="17:30">
      <c r="Q671" s="2620"/>
      <c r="R671" s="2620"/>
      <c r="T671" s="2618"/>
      <c r="AD671" s="2618"/>
    </row>
    <row r="672" spans="17:30">
      <c r="Q672" s="2620"/>
      <c r="R672" s="2620"/>
      <c r="T672" s="2618"/>
      <c r="AD672" s="2618"/>
    </row>
    <row r="673" spans="17:30">
      <c r="Q673" s="2620"/>
      <c r="R673" s="2620"/>
      <c r="T673" s="2618"/>
      <c r="AD673" s="2618"/>
    </row>
    <row r="674" spans="17:30">
      <c r="Q674" s="2620"/>
      <c r="R674" s="2620"/>
      <c r="T674" s="2618"/>
      <c r="AD674" s="2618"/>
    </row>
    <row r="675" spans="17:30">
      <c r="Q675" s="2620"/>
      <c r="R675" s="2620"/>
      <c r="T675" s="2618"/>
      <c r="AD675" s="2618"/>
    </row>
    <row r="676" spans="17:30">
      <c r="Q676" s="2620"/>
      <c r="R676" s="2620"/>
      <c r="T676" s="2618"/>
      <c r="AD676" s="2618"/>
    </row>
    <row r="677" spans="17:30">
      <c r="Q677" s="2620"/>
      <c r="R677" s="2620"/>
      <c r="T677" s="2618"/>
      <c r="AD677" s="2618"/>
    </row>
    <row r="678" spans="17:30">
      <c r="Q678" s="2620"/>
      <c r="R678" s="2620"/>
      <c r="T678" s="2618"/>
      <c r="AD678" s="2618"/>
    </row>
    <row r="679" spans="17:30">
      <c r="Q679" s="2620"/>
      <c r="R679" s="2620"/>
      <c r="T679" s="2618"/>
      <c r="AD679" s="2618"/>
    </row>
    <row r="680" spans="17:30">
      <c r="Q680" s="2620"/>
      <c r="R680" s="2620"/>
      <c r="T680" s="2618"/>
      <c r="AD680" s="2618"/>
    </row>
    <row r="681" spans="17:30">
      <c r="Q681" s="2620"/>
      <c r="R681" s="2620"/>
      <c r="T681" s="2618"/>
      <c r="AD681" s="2618"/>
    </row>
    <row r="682" spans="17:30">
      <c r="Q682" s="2620"/>
      <c r="R682" s="2620"/>
      <c r="T682" s="2618"/>
      <c r="AD682" s="2618"/>
    </row>
    <row r="683" spans="17:30">
      <c r="Q683" s="2620"/>
      <c r="R683" s="2620"/>
      <c r="T683" s="2618"/>
      <c r="AD683" s="2618"/>
    </row>
    <row r="684" spans="17:30">
      <c r="Q684" s="2620"/>
      <c r="R684" s="2620"/>
      <c r="T684" s="2618"/>
      <c r="AD684" s="2618"/>
    </row>
    <row r="685" spans="17:30">
      <c r="Q685" s="2620"/>
      <c r="R685" s="2620"/>
      <c r="T685" s="2618"/>
      <c r="AD685" s="2618"/>
    </row>
    <row r="686" spans="17:30">
      <c r="Q686" s="2620"/>
      <c r="R686" s="2620"/>
      <c r="T686" s="2618"/>
      <c r="AD686" s="2618"/>
    </row>
    <row r="687" spans="17:30">
      <c r="Q687" s="2620"/>
      <c r="R687" s="2620"/>
      <c r="T687" s="2618"/>
      <c r="AD687" s="2618"/>
    </row>
    <row r="688" spans="17:30">
      <c r="Q688" s="2620"/>
      <c r="R688" s="2620"/>
      <c r="T688" s="2618"/>
      <c r="AD688" s="2618"/>
    </row>
    <row r="689" spans="17:30">
      <c r="Q689" s="2620"/>
      <c r="R689" s="2620"/>
      <c r="T689" s="2618"/>
      <c r="AD689" s="2618"/>
    </row>
    <row r="690" spans="17:30">
      <c r="Q690" s="2620"/>
      <c r="R690" s="2620"/>
      <c r="T690" s="2618"/>
      <c r="AD690" s="2618"/>
    </row>
    <row r="691" spans="17:30">
      <c r="Q691" s="2620"/>
      <c r="R691" s="2620"/>
      <c r="T691" s="2618"/>
      <c r="AD691" s="2618"/>
    </row>
    <row r="692" spans="17:30">
      <c r="Q692" s="2620"/>
      <c r="R692" s="2620"/>
      <c r="T692" s="2618"/>
      <c r="AD692" s="2618"/>
    </row>
    <row r="693" spans="17:30">
      <c r="Q693" s="2620"/>
      <c r="R693" s="2620"/>
      <c r="T693" s="2618"/>
      <c r="AD693" s="2618"/>
    </row>
    <row r="694" spans="17:30">
      <c r="Q694" s="2620"/>
      <c r="R694" s="2620"/>
      <c r="T694" s="2618"/>
      <c r="AD694" s="2618"/>
    </row>
    <row r="695" spans="17:30">
      <c r="Q695" s="2620"/>
      <c r="R695" s="2620"/>
      <c r="T695" s="2618"/>
      <c r="AD695" s="2618"/>
    </row>
    <row r="696" spans="17:30">
      <c r="Q696" s="2620"/>
      <c r="R696" s="2620"/>
      <c r="T696" s="2618"/>
      <c r="AD696" s="2618"/>
    </row>
    <row r="697" spans="17:30">
      <c r="Q697" s="2620"/>
      <c r="R697" s="2620"/>
      <c r="T697" s="2618"/>
      <c r="AD697" s="2618"/>
    </row>
    <row r="698" spans="17:30">
      <c r="Q698" s="2620"/>
      <c r="R698" s="2620"/>
      <c r="T698" s="2618"/>
      <c r="AD698" s="2618"/>
    </row>
    <row r="699" spans="17:30">
      <c r="Q699" s="2620"/>
      <c r="R699" s="2620"/>
      <c r="T699" s="2618"/>
      <c r="AD699" s="2618"/>
    </row>
    <row r="700" spans="17:30">
      <c r="Q700" s="2620"/>
      <c r="R700" s="2620"/>
      <c r="T700" s="2618"/>
      <c r="AD700" s="2618"/>
    </row>
    <row r="701" spans="17:30">
      <c r="Q701" s="2620"/>
      <c r="R701" s="2620"/>
      <c r="T701" s="2618"/>
      <c r="AD701" s="2618"/>
    </row>
    <row r="702" spans="17:30">
      <c r="Q702" s="2620"/>
      <c r="R702" s="2620"/>
      <c r="T702" s="2618"/>
      <c r="AD702" s="2618"/>
    </row>
    <row r="703" spans="17:30">
      <c r="Q703" s="2620"/>
      <c r="R703" s="2620"/>
      <c r="T703" s="2618"/>
      <c r="AD703" s="2618"/>
    </row>
    <row r="704" spans="17:30">
      <c r="Q704" s="2620"/>
      <c r="R704" s="2620"/>
      <c r="T704" s="2618"/>
      <c r="AD704" s="2618"/>
    </row>
    <row r="705" spans="17:30">
      <c r="Q705" s="2620"/>
      <c r="R705" s="2620"/>
      <c r="T705" s="2618"/>
      <c r="AD705" s="2618"/>
    </row>
    <row r="706" spans="17:30">
      <c r="Q706" s="2620"/>
      <c r="R706" s="2620"/>
      <c r="T706" s="2618"/>
      <c r="AD706" s="2618"/>
    </row>
    <row r="707" spans="17:30">
      <c r="Q707" s="2620"/>
      <c r="R707" s="2620"/>
      <c r="T707" s="2618"/>
      <c r="AD707" s="2618"/>
    </row>
    <row r="708" spans="17:30">
      <c r="Q708" s="2620"/>
      <c r="R708" s="2620"/>
      <c r="T708" s="2618"/>
      <c r="AD708" s="2618"/>
    </row>
    <row r="709" spans="17:30">
      <c r="Q709" s="2620"/>
      <c r="R709" s="2620"/>
      <c r="T709" s="2618"/>
      <c r="AD709" s="2618"/>
    </row>
    <row r="710" spans="17:30">
      <c r="Q710" s="2620"/>
      <c r="R710" s="2620"/>
      <c r="T710" s="2618"/>
      <c r="AD710" s="2618"/>
    </row>
    <row r="711" spans="17:30">
      <c r="Q711" s="2620"/>
      <c r="R711" s="2620"/>
      <c r="T711" s="2618"/>
      <c r="AD711" s="2618"/>
    </row>
    <row r="712" spans="17:30">
      <c r="Q712" s="2620"/>
      <c r="R712" s="2620"/>
      <c r="T712" s="2618"/>
      <c r="AD712" s="2618"/>
    </row>
    <row r="713" spans="17:30">
      <c r="Q713" s="2620"/>
      <c r="R713" s="2620"/>
      <c r="T713" s="2618"/>
      <c r="AD713" s="2618"/>
    </row>
    <row r="714" spans="17:30">
      <c r="Q714" s="2620"/>
      <c r="R714" s="2620"/>
      <c r="T714" s="2618"/>
      <c r="AD714" s="2618"/>
    </row>
    <row r="715" spans="17:30">
      <c r="Q715" s="2620"/>
      <c r="R715" s="2620"/>
      <c r="T715" s="2618"/>
      <c r="AD715" s="2618"/>
    </row>
    <row r="716" spans="17:30">
      <c r="Q716" s="2620"/>
      <c r="R716" s="2620"/>
      <c r="T716" s="2618"/>
      <c r="AD716" s="2618"/>
    </row>
    <row r="717" spans="17:30">
      <c r="Q717" s="2620"/>
      <c r="R717" s="2620"/>
      <c r="T717" s="2618"/>
      <c r="AD717" s="2618"/>
    </row>
    <row r="718" spans="17:30">
      <c r="Q718" s="2620"/>
      <c r="R718" s="2620"/>
      <c r="T718" s="2618"/>
      <c r="AD718" s="2618"/>
    </row>
    <row r="719" spans="17:30">
      <c r="Q719" s="2620"/>
      <c r="R719" s="2620"/>
      <c r="T719" s="2618"/>
      <c r="AD719" s="2618"/>
    </row>
    <row r="720" spans="17:30">
      <c r="Q720" s="2620"/>
      <c r="R720" s="2620"/>
      <c r="T720" s="2618"/>
      <c r="AD720" s="2618"/>
    </row>
    <row r="721" spans="17:30">
      <c r="Q721" s="2620"/>
      <c r="R721" s="2620"/>
      <c r="T721" s="2618"/>
      <c r="AD721" s="2618"/>
    </row>
    <row r="722" spans="17:30">
      <c r="Q722" s="2620"/>
      <c r="R722" s="2620"/>
      <c r="T722" s="2618"/>
      <c r="AD722" s="2618"/>
    </row>
    <row r="723" spans="17:30">
      <c r="Q723" s="2620"/>
      <c r="R723" s="2620"/>
      <c r="T723" s="2618"/>
      <c r="AD723" s="2618"/>
    </row>
    <row r="724" spans="17:30">
      <c r="Q724" s="2620"/>
      <c r="R724" s="2620"/>
      <c r="T724" s="2618"/>
      <c r="AD724" s="2618"/>
    </row>
    <row r="725" spans="17:30">
      <c r="Q725" s="2620"/>
      <c r="R725" s="2620"/>
      <c r="T725" s="2618"/>
      <c r="AD725" s="2618"/>
    </row>
    <row r="726" spans="17:30">
      <c r="Q726" s="2620"/>
      <c r="R726" s="2620"/>
      <c r="T726" s="2618"/>
      <c r="AD726" s="2618"/>
    </row>
    <row r="727" spans="17:30">
      <c r="Q727" s="2620"/>
      <c r="R727" s="2620"/>
      <c r="T727" s="2618"/>
      <c r="AD727" s="2618"/>
    </row>
    <row r="728" spans="17:30">
      <c r="Q728" s="2620"/>
      <c r="R728" s="2620"/>
      <c r="T728" s="2618"/>
      <c r="AD728" s="2618"/>
    </row>
    <row r="729" spans="17:30">
      <c r="Q729" s="2620"/>
      <c r="R729" s="2620"/>
      <c r="T729" s="2618"/>
      <c r="AD729" s="2618"/>
    </row>
    <row r="730" spans="17:30">
      <c r="Q730" s="2620"/>
      <c r="R730" s="2620"/>
      <c r="T730" s="2618"/>
      <c r="AD730" s="2618"/>
    </row>
    <row r="731" spans="17:30">
      <c r="Q731" s="2620"/>
      <c r="R731" s="2620"/>
      <c r="T731" s="2618"/>
      <c r="AD731" s="2618"/>
    </row>
    <row r="732" spans="17:30">
      <c r="Q732" s="2620"/>
      <c r="R732" s="2620"/>
      <c r="T732" s="2618"/>
      <c r="AD732" s="2618"/>
    </row>
    <row r="733" spans="17:30">
      <c r="Q733" s="2620"/>
      <c r="R733" s="2620"/>
      <c r="T733" s="2618"/>
      <c r="AD733" s="2618"/>
    </row>
    <row r="734" spans="17:30">
      <c r="Q734" s="2620"/>
      <c r="R734" s="2620"/>
      <c r="T734" s="2618"/>
      <c r="AD734" s="2618"/>
    </row>
    <row r="735" spans="17:30">
      <c r="Q735" s="2620"/>
      <c r="R735" s="2620"/>
      <c r="T735" s="2618"/>
      <c r="AD735" s="2618"/>
    </row>
    <row r="736" spans="17:30">
      <c r="Q736" s="2620"/>
      <c r="R736" s="2620"/>
      <c r="T736" s="2618"/>
      <c r="AD736" s="2618"/>
    </row>
    <row r="737" spans="17:30">
      <c r="Q737" s="2620"/>
      <c r="R737" s="2620"/>
      <c r="T737" s="2618"/>
      <c r="AD737" s="2618"/>
    </row>
    <row r="738" spans="17:30">
      <c r="Q738" s="2620"/>
      <c r="R738" s="2620"/>
      <c r="T738" s="2618"/>
      <c r="AD738" s="2618"/>
    </row>
    <row r="739" spans="17:30">
      <c r="Q739" s="2620"/>
      <c r="R739" s="2620"/>
      <c r="T739" s="2618"/>
      <c r="AD739" s="2618"/>
    </row>
    <row r="740" spans="17:30">
      <c r="Q740" s="2620"/>
      <c r="R740" s="2620"/>
      <c r="T740" s="2618"/>
      <c r="AD740" s="2618"/>
    </row>
    <row r="741" spans="17:30">
      <c r="Q741" s="2620"/>
      <c r="R741" s="2620"/>
      <c r="T741" s="2618"/>
      <c r="AD741" s="2618"/>
    </row>
    <row r="742" spans="17:30">
      <c r="Q742" s="2620"/>
      <c r="R742" s="2620"/>
      <c r="T742" s="2618"/>
      <c r="AD742" s="2618"/>
    </row>
    <row r="743" spans="17:30">
      <c r="Q743" s="2620"/>
      <c r="R743" s="2620"/>
      <c r="T743" s="2618"/>
      <c r="AD743" s="2618"/>
    </row>
    <row r="744" spans="17:30">
      <c r="Q744" s="2620"/>
      <c r="R744" s="2620"/>
      <c r="T744" s="2618"/>
      <c r="AD744" s="2618"/>
    </row>
    <row r="745" spans="17:30">
      <c r="Q745" s="2620"/>
      <c r="R745" s="2620"/>
      <c r="T745" s="2618"/>
      <c r="AD745" s="2618"/>
    </row>
    <row r="746" spans="17:30">
      <c r="Q746" s="2620"/>
      <c r="R746" s="2620"/>
      <c r="T746" s="2618"/>
      <c r="AD746" s="2618"/>
    </row>
    <row r="747" spans="17:30">
      <c r="Q747" s="2620"/>
      <c r="R747" s="2620"/>
      <c r="T747" s="2618"/>
      <c r="AD747" s="2618"/>
    </row>
    <row r="748" spans="17:30">
      <c r="Q748" s="2620"/>
      <c r="R748" s="2620"/>
      <c r="T748" s="2618"/>
      <c r="AD748" s="2618"/>
    </row>
    <row r="749" spans="17:30">
      <c r="Q749" s="2620"/>
      <c r="R749" s="2620"/>
      <c r="T749" s="2618"/>
      <c r="AD749" s="2618"/>
    </row>
    <row r="750" spans="17:30">
      <c r="Q750" s="2620"/>
      <c r="R750" s="2620"/>
      <c r="T750" s="2618"/>
      <c r="AD750" s="2618"/>
    </row>
    <row r="751" spans="17:30">
      <c r="Q751" s="2620"/>
      <c r="R751" s="2620"/>
      <c r="T751" s="2618"/>
      <c r="AD751" s="2618"/>
    </row>
    <row r="752" spans="17:30">
      <c r="Q752" s="2620"/>
      <c r="R752" s="2620"/>
      <c r="T752" s="2618"/>
      <c r="AD752" s="2618"/>
    </row>
    <row r="753" spans="17:30">
      <c r="Q753" s="2620"/>
      <c r="R753" s="2620"/>
      <c r="T753" s="2618"/>
      <c r="AD753" s="2618"/>
    </row>
    <row r="754" spans="17:30">
      <c r="Q754" s="2620"/>
      <c r="R754" s="2620"/>
      <c r="T754" s="2618"/>
      <c r="AD754" s="2618"/>
    </row>
    <row r="755" spans="17:30">
      <c r="Q755" s="2620"/>
      <c r="R755" s="2620"/>
      <c r="T755" s="2618"/>
      <c r="AD755" s="2618"/>
    </row>
    <row r="756" spans="17:30">
      <c r="Q756" s="2620"/>
      <c r="R756" s="2620"/>
      <c r="T756" s="2618"/>
      <c r="AD756" s="2618"/>
    </row>
    <row r="757" spans="17:30">
      <c r="Q757" s="2620"/>
      <c r="R757" s="2620"/>
      <c r="T757" s="2618"/>
      <c r="AD757" s="2618"/>
    </row>
    <row r="758" spans="17:30">
      <c r="Q758" s="2620"/>
      <c r="R758" s="2620"/>
      <c r="T758" s="2618"/>
      <c r="AD758" s="2618"/>
    </row>
    <row r="759" spans="17:30">
      <c r="Q759" s="2620"/>
      <c r="R759" s="2620"/>
      <c r="T759" s="2618"/>
      <c r="AD759" s="2618"/>
    </row>
    <row r="760" spans="17:30">
      <c r="Q760" s="2620"/>
      <c r="R760" s="2620"/>
      <c r="T760" s="2618"/>
      <c r="AD760" s="2618"/>
    </row>
    <row r="761" spans="17:30">
      <c r="Q761" s="2620"/>
      <c r="R761" s="2620"/>
      <c r="T761" s="2618"/>
      <c r="AD761" s="2618"/>
    </row>
    <row r="762" spans="17:30">
      <c r="Q762" s="2620"/>
      <c r="R762" s="2620"/>
      <c r="T762" s="2618"/>
      <c r="AD762" s="2618"/>
    </row>
    <row r="763" spans="17:30">
      <c r="Q763" s="2620"/>
      <c r="R763" s="2620"/>
      <c r="T763" s="2618"/>
      <c r="AD763" s="2618"/>
    </row>
    <row r="764" spans="17:30">
      <c r="Q764" s="2620"/>
      <c r="R764" s="2620"/>
      <c r="T764" s="2618"/>
      <c r="AD764" s="2618"/>
    </row>
    <row r="765" spans="17:30">
      <c r="Q765" s="2620"/>
      <c r="R765" s="2620"/>
      <c r="T765" s="2618"/>
      <c r="AD765" s="2618"/>
    </row>
    <row r="766" spans="17:30">
      <c r="Q766" s="2620"/>
      <c r="R766" s="2620"/>
      <c r="T766" s="2618"/>
      <c r="AD766" s="2618"/>
    </row>
    <row r="767" spans="17:30">
      <c r="Q767" s="2620"/>
      <c r="R767" s="2620"/>
      <c r="T767" s="2618"/>
      <c r="AD767" s="2618"/>
    </row>
    <row r="768" spans="17:30">
      <c r="Q768" s="2620"/>
      <c r="R768" s="2620"/>
      <c r="T768" s="2618"/>
      <c r="AD768" s="2618"/>
    </row>
    <row r="769" spans="17:30">
      <c r="Q769" s="2620"/>
      <c r="R769" s="2620"/>
      <c r="T769" s="2618"/>
      <c r="AD769" s="2618"/>
    </row>
    <row r="770" spans="17:30">
      <c r="Q770" s="2620"/>
      <c r="R770" s="2620"/>
      <c r="T770" s="2618"/>
      <c r="AD770" s="2618"/>
    </row>
    <row r="771" spans="17:30">
      <c r="Q771" s="2620"/>
      <c r="R771" s="2620"/>
      <c r="T771" s="2618"/>
      <c r="AD771" s="2618"/>
    </row>
    <row r="772" spans="17:30">
      <c r="Q772" s="2620"/>
      <c r="R772" s="2620"/>
      <c r="T772" s="2618"/>
      <c r="AD772" s="2618"/>
    </row>
    <row r="773" spans="17:30">
      <c r="Q773" s="2620"/>
      <c r="R773" s="2620"/>
      <c r="T773" s="2618"/>
      <c r="AD773" s="2618"/>
    </row>
    <row r="774" spans="17:30">
      <c r="Q774" s="2620"/>
      <c r="R774" s="2620"/>
      <c r="T774" s="2618"/>
      <c r="AD774" s="2618"/>
    </row>
    <row r="775" spans="17:30">
      <c r="Q775" s="2620"/>
      <c r="R775" s="2620"/>
      <c r="T775" s="2618"/>
      <c r="AD775" s="2618"/>
    </row>
    <row r="776" spans="17:30">
      <c r="Q776" s="2620"/>
      <c r="R776" s="2620"/>
      <c r="T776" s="2618"/>
      <c r="AD776" s="2618"/>
    </row>
    <row r="777" spans="17:30">
      <c r="Q777" s="2620"/>
      <c r="R777" s="2620"/>
      <c r="T777" s="2618"/>
      <c r="AD777" s="2618"/>
    </row>
    <row r="778" spans="17:30">
      <c r="Q778" s="2620"/>
      <c r="R778" s="2620"/>
      <c r="T778" s="2618"/>
      <c r="AD778" s="2618"/>
    </row>
    <row r="779" spans="17:30">
      <c r="Q779" s="2620"/>
      <c r="R779" s="2620"/>
      <c r="T779" s="2618"/>
      <c r="AD779" s="2618"/>
    </row>
    <row r="780" spans="17:30">
      <c r="Q780" s="2620"/>
      <c r="R780" s="2620"/>
      <c r="T780" s="2618"/>
      <c r="AD780" s="2618"/>
    </row>
    <row r="781" spans="17:30">
      <c r="Q781" s="2620"/>
      <c r="R781" s="2620"/>
      <c r="T781" s="2618"/>
      <c r="AD781" s="2618"/>
    </row>
    <row r="782" spans="17:30">
      <c r="Q782" s="2620"/>
      <c r="R782" s="2620"/>
      <c r="T782" s="2618"/>
      <c r="AD782" s="2618"/>
    </row>
    <row r="783" spans="17:30">
      <c r="Q783" s="2620"/>
      <c r="R783" s="2620"/>
      <c r="T783" s="2618"/>
      <c r="AD783" s="2618"/>
    </row>
    <row r="784" spans="17:30">
      <c r="Q784" s="2620"/>
      <c r="R784" s="2620"/>
      <c r="T784" s="2618"/>
      <c r="AD784" s="2618"/>
    </row>
    <row r="785" spans="17:30">
      <c r="Q785" s="2620"/>
      <c r="R785" s="2620"/>
      <c r="T785" s="2618"/>
      <c r="AD785" s="2618"/>
    </row>
    <row r="786" spans="17:30">
      <c r="Q786" s="2620"/>
      <c r="R786" s="2620"/>
      <c r="T786" s="2618"/>
      <c r="AD786" s="2618"/>
    </row>
    <row r="787" spans="17:30">
      <c r="Q787" s="2620"/>
      <c r="R787" s="2620"/>
      <c r="T787" s="2618"/>
      <c r="AD787" s="2618"/>
    </row>
    <row r="788" spans="17:30">
      <c r="Q788" s="2620"/>
      <c r="R788" s="2620"/>
      <c r="T788" s="2618"/>
      <c r="AD788" s="2618"/>
    </row>
    <row r="789" spans="17:30">
      <c r="Q789" s="2620"/>
      <c r="R789" s="2620"/>
      <c r="T789" s="2618"/>
      <c r="AD789" s="2618"/>
    </row>
    <row r="790" spans="17:30">
      <c r="Q790" s="2620"/>
      <c r="R790" s="2620"/>
      <c r="T790" s="2618"/>
      <c r="AD790" s="2618"/>
    </row>
    <row r="791" spans="17:30">
      <c r="Q791" s="2620"/>
      <c r="R791" s="2620"/>
      <c r="T791" s="2618"/>
      <c r="AD791" s="2618"/>
    </row>
    <row r="792" spans="17:30">
      <c r="Q792" s="2620"/>
      <c r="R792" s="2620"/>
      <c r="T792" s="2618"/>
      <c r="AD792" s="2618"/>
    </row>
    <row r="793" spans="17:30">
      <c r="Q793" s="2620"/>
      <c r="R793" s="2620"/>
      <c r="T793" s="2618"/>
      <c r="AD793" s="2618"/>
    </row>
    <row r="794" spans="17:30">
      <c r="Q794" s="2620"/>
      <c r="R794" s="2620"/>
      <c r="T794" s="2618"/>
      <c r="AD794" s="2618"/>
    </row>
    <row r="795" spans="17:30">
      <c r="Q795" s="2620"/>
      <c r="R795" s="2620"/>
      <c r="T795" s="2618"/>
      <c r="AD795" s="2618"/>
    </row>
    <row r="796" spans="17:30">
      <c r="Q796" s="2620"/>
      <c r="R796" s="2620"/>
      <c r="T796" s="2618"/>
      <c r="AD796" s="2618"/>
    </row>
    <row r="797" spans="17:30">
      <c r="Q797" s="2620"/>
      <c r="R797" s="2620"/>
      <c r="T797" s="2618"/>
      <c r="AD797" s="2618"/>
    </row>
    <row r="798" spans="17:30">
      <c r="Q798" s="2620"/>
      <c r="R798" s="2620"/>
      <c r="T798" s="2618"/>
      <c r="AD798" s="2618"/>
    </row>
    <row r="799" spans="17:30">
      <c r="Q799" s="2620"/>
      <c r="R799" s="2620"/>
      <c r="T799" s="2618"/>
      <c r="AD799" s="2618"/>
    </row>
    <row r="800" spans="17:30">
      <c r="Q800" s="2620"/>
      <c r="R800" s="2620"/>
      <c r="T800" s="2618"/>
      <c r="AD800" s="2618"/>
    </row>
    <row r="801" spans="17:30">
      <c r="Q801" s="2620"/>
      <c r="R801" s="2620"/>
      <c r="T801" s="2618"/>
      <c r="AD801" s="2618"/>
    </row>
    <row r="802" spans="17:30">
      <c r="Q802" s="2620"/>
      <c r="R802" s="2620"/>
      <c r="T802" s="2618"/>
      <c r="AD802" s="2618"/>
    </row>
    <row r="803" spans="17:30">
      <c r="Q803" s="2620"/>
      <c r="R803" s="2620"/>
      <c r="T803" s="2618"/>
      <c r="AD803" s="2618"/>
    </row>
    <row r="804" spans="17:30">
      <c r="Q804" s="2620"/>
      <c r="R804" s="2620"/>
      <c r="T804" s="2618"/>
      <c r="AD804" s="2618"/>
    </row>
    <row r="805" spans="17:30">
      <c r="Q805" s="2620"/>
      <c r="R805" s="2620"/>
      <c r="T805" s="2618"/>
      <c r="AD805" s="2618"/>
    </row>
    <row r="806" spans="17:30">
      <c r="Q806" s="2620"/>
      <c r="R806" s="2620"/>
      <c r="T806" s="2618"/>
      <c r="AD806" s="2618"/>
    </row>
    <row r="807" spans="17:30">
      <c r="Q807" s="2620"/>
      <c r="R807" s="2620"/>
      <c r="T807" s="2618"/>
      <c r="AD807" s="2618"/>
    </row>
    <row r="808" spans="17:30">
      <c r="Q808" s="2620"/>
      <c r="R808" s="2620"/>
      <c r="T808" s="2618"/>
      <c r="AD808" s="2618"/>
    </row>
    <row r="809" spans="17:30">
      <c r="Q809" s="2620"/>
      <c r="R809" s="2620"/>
      <c r="T809" s="2618"/>
      <c r="AD809" s="2618"/>
    </row>
    <row r="810" spans="17:30">
      <c r="Q810" s="2620"/>
      <c r="R810" s="2620"/>
      <c r="T810" s="2618"/>
      <c r="AD810" s="2618"/>
    </row>
    <row r="811" spans="17:30">
      <c r="Q811" s="2620"/>
      <c r="R811" s="2620"/>
      <c r="T811" s="2618"/>
      <c r="AD811" s="2618"/>
    </row>
    <row r="812" spans="17:30">
      <c r="Q812" s="2620"/>
      <c r="R812" s="2620"/>
      <c r="T812" s="2618"/>
      <c r="AD812" s="2618"/>
    </row>
    <row r="813" spans="17:30">
      <c r="Q813" s="2620"/>
      <c r="R813" s="2620"/>
      <c r="T813" s="2618"/>
      <c r="AD813" s="2618"/>
    </row>
    <row r="814" spans="17:30">
      <c r="Q814" s="2620"/>
      <c r="R814" s="2620"/>
      <c r="T814" s="2618"/>
      <c r="AD814" s="2618"/>
    </row>
    <row r="815" spans="17:30">
      <c r="Q815" s="2620"/>
      <c r="R815" s="2620"/>
      <c r="T815" s="2618"/>
      <c r="AD815" s="2618"/>
    </row>
    <row r="816" spans="17:30">
      <c r="Q816" s="2620"/>
      <c r="R816" s="2620"/>
      <c r="T816" s="2618"/>
      <c r="AD816" s="2618"/>
    </row>
    <row r="817" spans="17:30">
      <c r="Q817" s="2620"/>
      <c r="R817" s="2620"/>
      <c r="T817" s="2618"/>
      <c r="AD817" s="2618"/>
    </row>
    <row r="818" spans="17:30">
      <c r="Q818" s="2620"/>
      <c r="R818" s="2620"/>
      <c r="T818" s="2618"/>
      <c r="AD818" s="2618"/>
    </row>
    <row r="819" spans="17:30">
      <c r="Q819" s="2620"/>
      <c r="R819" s="2620"/>
      <c r="T819" s="2618"/>
      <c r="AD819" s="2618"/>
    </row>
    <row r="820" spans="17:30">
      <c r="Q820" s="2620"/>
      <c r="R820" s="2620"/>
      <c r="T820" s="2618"/>
      <c r="AD820" s="2618"/>
    </row>
    <row r="821" spans="17:30">
      <c r="Q821" s="2620"/>
      <c r="R821" s="2620"/>
      <c r="T821" s="2618"/>
      <c r="AD821" s="2618"/>
    </row>
    <row r="822" spans="17:30">
      <c r="Q822" s="2620"/>
      <c r="R822" s="2620"/>
      <c r="T822" s="2618"/>
      <c r="AD822" s="2618"/>
    </row>
    <row r="823" spans="17:30">
      <c r="Q823" s="2620"/>
      <c r="R823" s="2620"/>
      <c r="T823" s="2618"/>
      <c r="AD823" s="2618"/>
    </row>
    <row r="824" spans="17:30">
      <c r="Q824" s="2620"/>
      <c r="R824" s="2620"/>
      <c r="T824" s="2618"/>
      <c r="AD824" s="2618"/>
    </row>
    <row r="825" spans="17:30">
      <c r="Q825" s="2620"/>
      <c r="R825" s="2620"/>
      <c r="T825" s="2618"/>
      <c r="AD825" s="2618"/>
    </row>
    <row r="826" spans="17:30">
      <c r="Q826" s="2620"/>
      <c r="R826" s="2620"/>
      <c r="T826" s="2618"/>
      <c r="AD826" s="2618"/>
    </row>
    <row r="827" spans="17:30">
      <c r="Q827" s="2620"/>
      <c r="R827" s="2620"/>
      <c r="T827" s="2618"/>
      <c r="AD827" s="2618"/>
    </row>
    <row r="828" spans="17:30">
      <c r="Q828" s="2620"/>
      <c r="R828" s="2620"/>
      <c r="T828" s="2618"/>
      <c r="AD828" s="2618"/>
    </row>
    <row r="829" spans="17:30">
      <c r="Q829" s="2620"/>
      <c r="R829" s="2620"/>
      <c r="T829" s="2618"/>
      <c r="AD829" s="2618"/>
    </row>
    <row r="830" spans="17:30">
      <c r="Q830" s="2620"/>
      <c r="R830" s="2620"/>
      <c r="T830" s="2618"/>
      <c r="AD830" s="2618"/>
    </row>
    <row r="831" spans="17:30">
      <c r="Q831" s="2620"/>
      <c r="R831" s="2620"/>
      <c r="T831" s="2618"/>
      <c r="AD831" s="2618"/>
    </row>
    <row r="832" spans="17:30">
      <c r="Q832" s="2620"/>
      <c r="R832" s="2620"/>
      <c r="T832" s="2618"/>
      <c r="AD832" s="2618"/>
    </row>
    <row r="833" spans="17:30">
      <c r="Q833" s="2620"/>
      <c r="R833" s="2620"/>
      <c r="T833" s="2618"/>
      <c r="AD833" s="2618"/>
    </row>
    <row r="834" spans="17:30">
      <c r="Q834" s="2620"/>
      <c r="R834" s="2620"/>
      <c r="T834" s="2618"/>
      <c r="AD834" s="2618"/>
    </row>
    <row r="835" spans="17:30">
      <c r="Q835" s="2620"/>
      <c r="R835" s="2620"/>
      <c r="T835" s="2618"/>
      <c r="AD835" s="2618"/>
    </row>
    <row r="836" spans="17:30">
      <c r="Q836" s="2620"/>
      <c r="R836" s="2620"/>
      <c r="T836" s="2618"/>
      <c r="AD836" s="2618"/>
    </row>
    <row r="837" spans="17:30">
      <c r="Q837" s="2620"/>
      <c r="R837" s="2620"/>
      <c r="T837" s="2618"/>
      <c r="AD837" s="2618"/>
    </row>
    <row r="838" spans="17:30">
      <c r="Q838" s="2620"/>
      <c r="R838" s="2620"/>
      <c r="T838" s="2618"/>
      <c r="AD838" s="2618"/>
    </row>
    <row r="839" spans="17:30">
      <c r="Q839" s="2620"/>
      <c r="R839" s="2620"/>
      <c r="T839" s="2618"/>
      <c r="AD839" s="2618"/>
    </row>
    <row r="840" spans="17:30">
      <c r="Q840" s="2620"/>
      <c r="R840" s="2620"/>
      <c r="T840" s="2618"/>
      <c r="AD840" s="2618"/>
    </row>
    <row r="841" spans="17:30">
      <c r="Q841" s="2620"/>
      <c r="R841" s="2620"/>
      <c r="T841" s="2618"/>
      <c r="AD841" s="2618"/>
    </row>
    <row r="842" spans="17:30">
      <c r="Q842" s="2620"/>
      <c r="R842" s="2620"/>
      <c r="T842" s="2618"/>
      <c r="AD842" s="2618"/>
    </row>
    <row r="843" spans="17:30">
      <c r="Q843" s="2620"/>
      <c r="R843" s="2620"/>
      <c r="T843" s="2618"/>
      <c r="AD843" s="2618"/>
    </row>
    <row r="844" spans="17:30">
      <c r="Q844" s="2620"/>
      <c r="R844" s="2620"/>
      <c r="T844" s="2618"/>
      <c r="AD844" s="2618"/>
    </row>
    <row r="845" spans="17:30">
      <c r="Q845" s="2620"/>
      <c r="R845" s="2620"/>
      <c r="T845" s="2618"/>
      <c r="AD845" s="2618"/>
    </row>
    <row r="846" spans="17:30">
      <c r="Q846" s="2620"/>
      <c r="R846" s="2620"/>
      <c r="T846" s="2618"/>
      <c r="AD846" s="2618"/>
    </row>
    <row r="847" spans="17:30">
      <c r="Q847" s="2620"/>
      <c r="R847" s="2620"/>
      <c r="T847" s="2618"/>
      <c r="AD847" s="2618"/>
    </row>
    <row r="848" spans="17:30">
      <c r="Q848" s="2620"/>
      <c r="R848" s="2620"/>
      <c r="T848" s="2618"/>
      <c r="AD848" s="2618"/>
    </row>
    <row r="849" spans="17:30">
      <c r="Q849" s="2620"/>
      <c r="R849" s="2620"/>
      <c r="T849" s="2618"/>
      <c r="AD849" s="2618"/>
    </row>
    <row r="850" spans="17:30">
      <c r="Q850" s="2620"/>
      <c r="R850" s="2620"/>
      <c r="T850" s="2618"/>
      <c r="AD850" s="2618"/>
    </row>
    <row r="851" spans="17:30">
      <c r="Q851" s="2620"/>
      <c r="R851" s="2620"/>
      <c r="T851" s="2618"/>
      <c r="AD851" s="2618"/>
    </row>
    <row r="852" spans="17:30">
      <c r="Q852" s="2620"/>
      <c r="R852" s="2620"/>
      <c r="T852" s="2618"/>
      <c r="AD852" s="2618"/>
    </row>
    <row r="853" spans="17:30">
      <c r="Q853" s="2620"/>
      <c r="R853" s="2620"/>
      <c r="T853" s="2618"/>
      <c r="AD853" s="2618"/>
    </row>
    <row r="854" spans="17:30">
      <c r="Q854" s="2620"/>
      <c r="R854" s="2620"/>
      <c r="T854" s="2618"/>
      <c r="AD854" s="2618"/>
    </row>
    <row r="855" spans="17:30">
      <c r="Q855" s="2620"/>
      <c r="R855" s="2620"/>
      <c r="T855" s="2618"/>
      <c r="AD855" s="2618"/>
    </row>
    <row r="856" spans="17:30">
      <c r="Q856" s="2620"/>
      <c r="R856" s="2620"/>
      <c r="T856" s="2618"/>
      <c r="AD856" s="2618"/>
    </row>
    <row r="857" spans="17:30">
      <c r="Q857" s="2620"/>
      <c r="R857" s="2620"/>
      <c r="T857" s="2618"/>
      <c r="AD857" s="2618"/>
    </row>
    <row r="858" spans="17:30">
      <c r="Q858" s="2620"/>
      <c r="R858" s="2620"/>
      <c r="T858" s="2618"/>
      <c r="AD858" s="2618"/>
    </row>
    <row r="859" spans="17:30">
      <c r="Q859" s="2620"/>
      <c r="R859" s="2620"/>
      <c r="T859" s="2618"/>
      <c r="AD859" s="2618"/>
    </row>
    <row r="860" spans="17:30">
      <c r="Q860" s="2620"/>
      <c r="R860" s="2620"/>
      <c r="T860" s="2618"/>
      <c r="AD860" s="2618"/>
    </row>
    <row r="861" spans="17:30">
      <c r="Q861" s="2620"/>
      <c r="R861" s="2620"/>
      <c r="T861" s="2618"/>
      <c r="AD861" s="2618"/>
    </row>
    <row r="862" spans="17:30">
      <c r="Q862" s="2620"/>
      <c r="R862" s="2620"/>
      <c r="T862" s="2618"/>
      <c r="AD862" s="2618"/>
    </row>
    <row r="863" spans="17:30">
      <c r="Q863" s="2620"/>
      <c r="R863" s="2620"/>
      <c r="T863" s="2618"/>
      <c r="AD863" s="2618"/>
    </row>
    <row r="864" spans="17:30">
      <c r="Q864" s="2620"/>
      <c r="R864" s="2620"/>
      <c r="T864" s="2618"/>
      <c r="AD864" s="2618"/>
    </row>
    <row r="865" spans="17:30">
      <c r="Q865" s="2620"/>
      <c r="R865" s="2620"/>
      <c r="T865" s="2618"/>
      <c r="AD865" s="2618"/>
    </row>
    <row r="866" spans="17:30">
      <c r="Q866" s="2620"/>
      <c r="R866" s="2620"/>
      <c r="T866" s="2618"/>
      <c r="AD866" s="2618"/>
    </row>
    <row r="867" spans="17:30">
      <c r="Q867" s="2620"/>
      <c r="R867" s="2620"/>
      <c r="T867" s="2618"/>
      <c r="AD867" s="2618"/>
    </row>
    <row r="868" spans="17:30">
      <c r="Q868" s="2620"/>
      <c r="R868" s="2620"/>
      <c r="T868" s="2618"/>
      <c r="AD868" s="2618"/>
    </row>
    <row r="869" spans="17:30">
      <c r="Q869" s="2620"/>
      <c r="R869" s="2620"/>
      <c r="T869" s="2618"/>
      <c r="AD869" s="2618"/>
    </row>
    <row r="870" spans="17:30">
      <c r="Q870" s="2620"/>
      <c r="R870" s="2620"/>
      <c r="T870" s="2618"/>
      <c r="AD870" s="2618"/>
    </row>
    <row r="871" spans="17:30">
      <c r="Q871" s="2620"/>
      <c r="R871" s="2620"/>
      <c r="T871" s="2618"/>
      <c r="AD871" s="2618"/>
    </row>
    <row r="872" spans="17:30">
      <c r="Q872" s="2620"/>
      <c r="R872" s="2620"/>
      <c r="T872" s="2618"/>
      <c r="AD872" s="2618"/>
    </row>
    <row r="873" spans="17:30">
      <c r="Q873" s="2620"/>
      <c r="R873" s="2620"/>
      <c r="T873" s="2618"/>
      <c r="AD873" s="2618"/>
    </row>
    <row r="874" spans="17:30">
      <c r="Q874" s="2620"/>
      <c r="R874" s="2620"/>
      <c r="T874" s="2618"/>
      <c r="AD874" s="2618"/>
    </row>
    <row r="875" spans="17:30">
      <c r="Q875" s="2620"/>
      <c r="R875" s="2620"/>
      <c r="T875" s="2618"/>
      <c r="AD875" s="2618"/>
    </row>
    <row r="876" spans="17:30">
      <c r="Q876" s="2620"/>
      <c r="R876" s="2620"/>
      <c r="T876" s="2618"/>
      <c r="AD876" s="2618"/>
    </row>
    <row r="877" spans="17:30">
      <c r="Q877" s="2620"/>
      <c r="R877" s="2620"/>
      <c r="T877" s="2618"/>
      <c r="AD877" s="2618"/>
    </row>
    <row r="878" spans="17:30">
      <c r="Q878" s="2620"/>
      <c r="R878" s="2620"/>
      <c r="T878" s="2618"/>
      <c r="AD878" s="2618"/>
    </row>
    <row r="879" spans="17:30">
      <c r="Q879" s="2620"/>
      <c r="R879" s="2620"/>
      <c r="T879" s="2618"/>
      <c r="AD879" s="2618"/>
    </row>
    <row r="880" spans="17:30">
      <c r="Q880" s="2620"/>
      <c r="R880" s="2620"/>
      <c r="T880" s="2618"/>
      <c r="AD880" s="2618"/>
    </row>
    <row r="881" spans="17:30">
      <c r="Q881" s="2620"/>
      <c r="R881" s="2620"/>
      <c r="T881" s="2618"/>
      <c r="AD881" s="2618"/>
    </row>
    <row r="882" spans="17:30">
      <c r="Q882" s="2620"/>
      <c r="R882" s="2620"/>
      <c r="T882" s="2618"/>
      <c r="AD882" s="2618"/>
    </row>
    <row r="883" spans="17:30">
      <c r="Q883" s="2620"/>
      <c r="R883" s="2620"/>
      <c r="T883" s="2618"/>
      <c r="AD883" s="2618"/>
    </row>
    <row r="884" spans="17:30">
      <c r="Q884" s="2620"/>
      <c r="R884" s="2620"/>
      <c r="T884" s="2618"/>
      <c r="AD884" s="2618"/>
    </row>
    <row r="885" spans="17:30">
      <c r="Q885" s="2620"/>
      <c r="R885" s="2620"/>
      <c r="T885" s="2618"/>
      <c r="AD885" s="2618"/>
    </row>
    <row r="886" spans="17:30">
      <c r="Q886" s="2620"/>
      <c r="R886" s="2620"/>
      <c r="T886" s="2618"/>
      <c r="AD886" s="2618"/>
    </row>
    <row r="887" spans="17:30">
      <c r="Q887" s="2620"/>
      <c r="R887" s="2620"/>
      <c r="T887" s="2618"/>
      <c r="AD887" s="2618"/>
    </row>
    <row r="888" spans="17:30">
      <c r="Q888" s="2620"/>
      <c r="R888" s="2620"/>
      <c r="T888" s="2618"/>
      <c r="AD888" s="2618"/>
    </row>
    <row r="889" spans="17:30">
      <c r="Q889" s="2620"/>
      <c r="R889" s="2620"/>
      <c r="T889" s="2618"/>
      <c r="AD889" s="2618"/>
    </row>
    <row r="890" spans="17:30">
      <c r="Q890" s="2620"/>
      <c r="R890" s="2620"/>
      <c r="T890" s="2618"/>
      <c r="AD890" s="2618"/>
    </row>
    <row r="891" spans="17:30">
      <c r="Q891" s="2620"/>
      <c r="R891" s="2620"/>
      <c r="T891" s="2618"/>
      <c r="AD891" s="2618"/>
    </row>
    <row r="892" spans="17:30">
      <c r="Q892" s="2620"/>
      <c r="R892" s="2620"/>
      <c r="T892" s="2618"/>
      <c r="AD892" s="2618"/>
    </row>
    <row r="893" spans="17:30">
      <c r="Q893" s="2620"/>
      <c r="R893" s="2620"/>
      <c r="T893" s="2618"/>
      <c r="AD893" s="2618"/>
    </row>
    <row r="894" spans="17:30">
      <c r="Q894" s="2620"/>
      <c r="R894" s="2620"/>
      <c r="T894" s="2618"/>
      <c r="AD894" s="2618"/>
    </row>
    <row r="895" spans="17:30">
      <c r="Q895" s="2620"/>
      <c r="R895" s="2620"/>
      <c r="T895" s="2618"/>
      <c r="AD895" s="2618"/>
    </row>
    <row r="896" spans="17:30">
      <c r="Q896" s="2620"/>
      <c r="R896" s="2620"/>
      <c r="T896" s="2618"/>
      <c r="AD896" s="2618"/>
    </row>
    <row r="897" spans="17:30">
      <c r="Q897" s="2620"/>
      <c r="R897" s="2620"/>
      <c r="T897" s="2618"/>
      <c r="AD897" s="2618"/>
    </row>
    <row r="898" spans="17:30">
      <c r="Q898" s="2620"/>
      <c r="R898" s="2620"/>
      <c r="T898" s="2618"/>
      <c r="AD898" s="2618"/>
    </row>
    <row r="899" spans="17:30">
      <c r="Q899" s="2620"/>
      <c r="R899" s="2620"/>
      <c r="T899" s="2618"/>
      <c r="AD899" s="2618"/>
    </row>
    <row r="900" spans="17:30">
      <c r="Q900" s="2620"/>
      <c r="R900" s="2620"/>
      <c r="T900" s="2618"/>
      <c r="AD900" s="2618"/>
    </row>
    <row r="901" spans="17:30">
      <c r="Q901" s="2620"/>
      <c r="R901" s="2620"/>
      <c r="T901" s="2618"/>
      <c r="AD901" s="2618"/>
    </row>
    <row r="902" spans="17:30">
      <c r="Q902" s="2620"/>
      <c r="R902" s="2620"/>
      <c r="T902" s="2618"/>
      <c r="AD902" s="2618"/>
    </row>
    <row r="903" spans="17:30">
      <c r="Q903" s="2620"/>
      <c r="R903" s="2620"/>
      <c r="T903" s="2618"/>
      <c r="AD903" s="2618"/>
    </row>
    <row r="904" spans="17:30">
      <c r="Q904" s="2620"/>
      <c r="R904" s="2620"/>
      <c r="T904" s="2618"/>
      <c r="AD904" s="2618"/>
    </row>
    <row r="905" spans="17:30">
      <c r="Q905" s="2620"/>
      <c r="R905" s="2620"/>
      <c r="T905" s="2618"/>
      <c r="AD905" s="2618"/>
    </row>
    <row r="906" spans="17:30">
      <c r="Q906" s="2620"/>
      <c r="R906" s="2620"/>
      <c r="T906" s="2618"/>
      <c r="AD906" s="2618"/>
    </row>
    <row r="907" spans="17:30">
      <c r="Q907" s="2620"/>
      <c r="R907" s="2620"/>
      <c r="T907" s="2618"/>
      <c r="AD907" s="2618"/>
    </row>
    <row r="908" spans="17:30">
      <c r="Q908" s="2620"/>
      <c r="R908" s="2620"/>
      <c r="T908" s="2618"/>
      <c r="AD908" s="2618"/>
    </row>
    <row r="909" spans="17:30">
      <c r="Q909" s="2620"/>
      <c r="R909" s="2620"/>
      <c r="T909" s="2618"/>
      <c r="AD909" s="2618"/>
    </row>
    <row r="910" spans="17:30">
      <c r="Q910" s="2620"/>
      <c r="R910" s="2620"/>
      <c r="T910" s="2618"/>
      <c r="AD910" s="2618"/>
    </row>
    <row r="911" spans="17:30">
      <c r="Q911" s="2620"/>
      <c r="R911" s="2620"/>
      <c r="T911" s="2618"/>
      <c r="AD911" s="2618"/>
    </row>
    <row r="912" spans="17:30">
      <c r="Q912" s="2620"/>
      <c r="R912" s="2620"/>
      <c r="T912" s="2618"/>
      <c r="AD912" s="2618"/>
    </row>
    <row r="913" spans="17:30">
      <c r="Q913" s="2620"/>
      <c r="R913" s="2620"/>
      <c r="T913" s="2618"/>
      <c r="AD913" s="2618"/>
    </row>
    <row r="914" spans="17:30">
      <c r="Q914" s="2620"/>
      <c r="R914" s="2620"/>
      <c r="T914" s="2618"/>
      <c r="AD914" s="2618"/>
    </row>
    <row r="915" spans="17:30">
      <c r="Q915" s="2620"/>
      <c r="R915" s="2620"/>
      <c r="T915" s="2618"/>
      <c r="AD915" s="2618"/>
    </row>
    <row r="916" spans="17:30">
      <c r="Q916" s="2620"/>
      <c r="R916" s="2620"/>
      <c r="T916" s="2618"/>
      <c r="AD916" s="2618"/>
    </row>
    <row r="917" spans="17:30">
      <c r="Q917" s="2620"/>
      <c r="R917" s="2620"/>
      <c r="T917" s="2618"/>
      <c r="AD917" s="2618"/>
    </row>
    <row r="918" spans="17:30">
      <c r="Q918" s="2620"/>
      <c r="R918" s="2620"/>
      <c r="T918" s="2618"/>
      <c r="AD918" s="2618"/>
    </row>
    <row r="919" spans="17:30">
      <c r="Q919" s="2620"/>
      <c r="R919" s="2620"/>
      <c r="T919" s="2618"/>
      <c r="AD919" s="2618"/>
    </row>
    <row r="920" spans="17:30">
      <c r="Q920" s="2620"/>
      <c r="R920" s="2620"/>
      <c r="T920" s="2618"/>
      <c r="AD920" s="2618"/>
    </row>
    <row r="921" spans="17:30">
      <c r="Q921" s="2620"/>
      <c r="R921" s="2620"/>
      <c r="T921" s="2618"/>
      <c r="AD921" s="2618"/>
    </row>
    <row r="922" spans="17:30">
      <c r="Q922" s="2620"/>
      <c r="R922" s="2620"/>
      <c r="T922" s="2618"/>
      <c r="AD922" s="2618"/>
    </row>
    <row r="923" spans="17:30">
      <c r="Q923" s="2620"/>
      <c r="R923" s="2620"/>
      <c r="T923" s="2618"/>
      <c r="AD923" s="2618"/>
    </row>
    <row r="924" spans="17:30">
      <c r="Q924" s="2620"/>
      <c r="R924" s="2620"/>
      <c r="T924" s="2618"/>
      <c r="AD924" s="2618"/>
    </row>
    <row r="925" spans="17:30">
      <c r="Q925" s="2620"/>
      <c r="R925" s="2620"/>
      <c r="T925" s="2618"/>
      <c r="AD925" s="2618"/>
    </row>
    <row r="926" spans="17:30">
      <c r="Q926" s="2620"/>
      <c r="R926" s="2620"/>
      <c r="T926" s="2618"/>
      <c r="AD926" s="2618"/>
    </row>
    <row r="927" spans="17:30">
      <c r="Q927" s="2620"/>
      <c r="R927" s="2620"/>
      <c r="T927" s="2618"/>
      <c r="AD927" s="2618"/>
    </row>
    <row r="928" spans="17:30">
      <c r="Q928" s="2620"/>
      <c r="R928" s="2620"/>
      <c r="T928" s="2618"/>
      <c r="AD928" s="2618"/>
    </row>
    <row r="929" spans="17:30">
      <c r="Q929" s="2620"/>
      <c r="R929" s="2620"/>
      <c r="T929" s="2618"/>
      <c r="AD929" s="2618"/>
    </row>
    <row r="930" spans="17:30">
      <c r="Q930" s="2620"/>
      <c r="R930" s="2620"/>
      <c r="T930" s="2618"/>
      <c r="AD930" s="2618"/>
    </row>
    <row r="931" spans="17:30">
      <c r="Q931" s="2620"/>
      <c r="R931" s="2620"/>
      <c r="T931" s="2618"/>
      <c r="AD931" s="2618"/>
    </row>
    <row r="932" spans="17:30">
      <c r="Q932" s="2620"/>
      <c r="R932" s="2620"/>
      <c r="T932" s="2618"/>
      <c r="AD932" s="2618"/>
    </row>
    <row r="933" spans="17:30">
      <c r="Q933" s="2620"/>
      <c r="R933" s="2620"/>
      <c r="T933" s="2618"/>
      <c r="AD933" s="2618"/>
    </row>
    <row r="934" spans="17:30">
      <c r="Q934" s="2620"/>
      <c r="R934" s="2620"/>
      <c r="T934" s="2618"/>
      <c r="AD934" s="2618"/>
    </row>
    <row r="935" spans="17:30">
      <c r="Q935" s="2620"/>
      <c r="R935" s="2620"/>
      <c r="T935" s="2618"/>
      <c r="AD935" s="2618"/>
    </row>
    <row r="936" spans="17:30">
      <c r="Q936" s="2620"/>
      <c r="R936" s="2620"/>
      <c r="T936" s="2618"/>
      <c r="AD936" s="2618"/>
    </row>
    <row r="937" spans="17:30">
      <c r="Q937" s="2620"/>
      <c r="R937" s="2620"/>
      <c r="T937" s="2618"/>
      <c r="AD937" s="2618"/>
    </row>
    <row r="938" spans="17:30">
      <c r="Q938" s="2620"/>
      <c r="R938" s="2620"/>
      <c r="T938" s="2618"/>
      <c r="AD938" s="2618"/>
    </row>
    <row r="939" spans="17:30">
      <c r="Q939" s="2620"/>
      <c r="R939" s="2620"/>
      <c r="T939" s="2618"/>
      <c r="AD939" s="2618"/>
    </row>
    <row r="940" spans="17:30">
      <c r="Q940" s="2620"/>
      <c r="R940" s="2620"/>
      <c r="T940" s="2618"/>
      <c r="AD940" s="2618"/>
    </row>
    <row r="941" spans="17:30">
      <c r="Q941" s="2620"/>
      <c r="R941" s="2620"/>
      <c r="T941" s="2618"/>
      <c r="AD941" s="2618"/>
    </row>
    <row r="942" spans="17:30">
      <c r="Q942" s="2620"/>
      <c r="R942" s="2620"/>
      <c r="T942" s="2618"/>
      <c r="AD942" s="2618"/>
    </row>
    <row r="943" spans="17:30">
      <c r="Q943" s="2620"/>
      <c r="R943" s="2620"/>
      <c r="T943" s="2618"/>
      <c r="AD943" s="2618"/>
    </row>
    <row r="944" spans="17:30">
      <c r="Q944" s="2620"/>
      <c r="R944" s="2620"/>
      <c r="T944" s="2618"/>
      <c r="AD944" s="2618"/>
    </row>
    <row r="945" spans="17:30">
      <c r="Q945" s="2620"/>
      <c r="R945" s="2620"/>
      <c r="T945" s="2618"/>
      <c r="AD945" s="2618"/>
    </row>
    <row r="946" spans="17:30">
      <c r="Q946" s="2620"/>
      <c r="R946" s="2620"/>
      <c r="T946" s="2618"/>
      <c r="AD946" s="2618"/>
    </row>
    <row r="947" spans="17:30">
      <c r="Q947" s="2620"/>
      <c r="R947" s="2620"/>
      <c r="T947" s="2618"/>
      <c r="AD947" s="2618"/>
    </row>
    <row r="948" spans="17:30">
      <c r="Q948" s="2620"/>
      <c r="R948" s="2620"/>
      <c r="T948" s="2618"/>
      <c r="AD948" s="2618"/>
    </row>
    <row r="949" spans="17:30">
      <c r="Q949" s="2620"/>
      <c r="R949" s="2620"/>
      <c r="T949" s="2618"/>
      <c r="AD949" s="2618"/>
    </row>
    <row r="950" spans="17:30">
      <c r="Q950" s="2620"/>
      <c r="R950" s="2620"/>
      <c r="T950" s="2618"/>
      <c r="AD950" s="2618"/>
    </row>
    <row r="951" spans="17:30">
      <c r="Q951" s="2620"/>
      <c r="R951" s="2620"/>
      <c r="T951" s="2618"/>
      <c r="AD951" s="2618"/>
    </row>
    <row r="952" spans="17:30">
      <c r="Q952" s="2620"/>
      <c r="R952" s="2620"/>
      <c r="T952" s="2618"/>
      <c r="AD952" s="2618"/>
    </row>
    <row r="953" spans="17:30">
      <c r="Q953" s="2620"/>
      <c r="R953" s="2620"/>
      <c r="T953" s="2618"/>
      <c r="AD953" s="2618"/>
    </row>
    <row r="954" spans="17:30">
      <c r="Q954" s="2620"/>
      <c r="R954" s="2620"/>
      <c r="T954" s="2618"/>
      <c r="AD954" s="2618"/>
    </row>
    <row r="955" spans="17:30">
      <c r="Q955" s="2620"/>
      <c r="R955" s="2620"/>
      <c r="T955" s="2618"/>
      <c r="AD955" s="2618"/>
    </row>
    <row r="956" spans="17:30">
      <c r="Q956" s="2620"/>
      <c r="R956" s="2620"/>
      <c r="T956" s="2618"/>
      <c r="AD956" s="2618"/>
    </row>
    <row r="957" spans="17:30">
      <c r="Q957" s="2620"/>
      <c r="R957" s="2620"/>
      <c r="T957" s="2618"/>
      <c r="AD957" s="2618"/>
    </row>
    <row r="958" spans="17:30">
      <c r="Q958" s="2620"/>
      <c r="R958" s="2620"/>
      <c r="T958" s="2618"/>
      <c r="AD958" s="2618"/>
    </row>
    <row r="959" spans="17:30">
      <c r="Q959" s="2620"/>
      <c r="R959" s="2620"/>
      <c r="T959" s="2618"/>
      <c r="AD959" s="2618"/>
    </row>
    <row r="960" spans="17:30">
      <c r="Q960" s="2620"/>
      <c r="R960" s="2620"/>
      <c r="T960" s="2618"/>
      <c r="AD960" s="2618"/>
    </row>
    <row r="961" spans="17:30">
      <c r="Q961" s="2620"/>
      <c r="R961" s="2620"/>
      <c r="T961" s="2618"/>
      <c r="AD961" s="2618"/>
    </row>
    <row r="962" spans="17:30">
      <c r="Q962" s="2620"/>
      <c r="R962" s="2620"/>
      <c r="T962" s="2618"/>
      <c r="AD962" s="2618"/>
    </row>
    <row r="963" spans="17:30">
      <c r="Q963" s="2620"/>
      <c r="R963" s="2620"/>
      <c r="T963" s="2618"/>
      <c r="AD963" s="2618"/>
    </row>
    <row r="964" spans="17:30">
      <c r="Q964" s="2620"/>
      <c r="R964" s="2620"/>
      <c r="T964" s="2618"/>
      <c r="AD964" s="2618"/>
    </row>
    <row r="965" spans="17:30">
      <c r="Q965" s="2620"/>
      <c r="R965" s="2620"/>
      <c r="T965" s="2618"/>
      <c r="AD965" s="2618"/>
    </row>
    <row r="966" spans="17:30">
      <c r="Q966" s="2620"/>
      <c r="R966" s="2620"/>
      <c r="T966" s="2618"/>
      <c r="AD966" s="2618"/>
    </row>
    <row r="967" spans="17:30">
      <c r="Q967" s="2620"/>
      <c r="R967" s="2620"/>
      <c r="T967" s="2618"/>
      <c r="AD967" s="2618"/>
    </row>
    <row r="968" spans="17:30">
      <c r="Q968" s="2620"/>
      <c r="R968" s="2620"/>
      <c r="T968" s="2618"/>
      <c r="AD968" s="2618"/>
    </row>
    <row r="969" spans="17:30">
      <c r="Q969" s="2620"/>
      <c r="R969" s="2620"/>
      <c r="T969" s="2618"/>
      <c r="AD969" s="2618"/>
    </row>
    <row r="970" spans="17:30">
      <c r="Q970" s="2620"/>
      <c r="R970" s="2620"/>
      <c r="T970" s="2618"/>
      <c r="AD970" s="2618"/>
    </row>
    <row r="971" spans="17:30">
      <c r="Q971" s="2620"/>
      <c r="R971" s="2620"/>
      <c r="T971" s="2618"/>
      <c r="AD971" s="2618"/>
    </row>
    <row r="972" spans="17:30">
      <c r="Q972" s="2620"/>
      <c r="R972" s="2620"/>
      <c r="T972" s="2618"/>
      <c r="AD972" s="2618"/>
    </row>
    <row r="973" spans="17:30">
      <c r="Q973" s="2620"/>
      <c r="R973" s="2620"/>
      <c r="T973" s="2618"/>
      <c r="AD973" s="2618"/>
    </row>
    <row r="974" spans="17:30">
      <c r="Q974" s="2620"/>
      <c r="R974" s="2620"/>
      <c r="T974" s="2618"/>
      <c r="AD974" s="2618"/>
    </row>
    <row r="975" spans="17:30">
      <c r="Q975" s="2620"/>
      <c r="R975" s="2620"/>
      <c r="T975" s="2618"/>
      <c r="AD975" s="2618"/>
    </row>
    <row r="976" spans="17:30">
      <c r="Q976" s="2620"/>
      <c r="R976" s="2620"/>
      <c r="T976" s="2618"/>
      <c r="AD976" s="2618"/>
    </row>
    <row r="977" spans="17:30">
      <c r="Q977" s="2620"/>
      <c r="R977" s="2620"/>
      <c r="T977" s="2618"/>
      <c r="AD977" s="2618"/>
    </row>
    <row r="978" spans="17:30">
      <c r="Q978" s="2620"/>
      <c r="R978" s="2620"/>
      <c r="T978" s="2618"/>
      <c r="AD978" s="2618"/>
    </row>
    <row r="979" spans="17:30">
      <c r="Q979" s="2620"/>
      <c r="R979" s="2620"/>
      <c r="T979" s="2618"/>
      <c r="AD979" s="2618"/>
    </row>
    <row r="980" spans="17:30">
      <c r="Q980" s="2620"/>
      <c r="R980" s="2620"/>
      <c r="T980" s="2618"/>
      <c r="AD980" s="2618"/>
    </row>
    <row r="981" spans="17:30">
      <c r="Q981" s="2620"/>
      <c r="R981" s="2620"/>
      <c r="T981" s="2618"/>
      <c r="AD981" s="2618"/>
    </row>
    <row r="982" spans="17:30">
      <c r="Q982" s="2620"/>
      <c r="R982" s="2620"/>
      <c r="T982" s="2618"/>
      <c r="AD982" s="2618"/>
    </row>
    <row r="983" spans="17:30">
      <c r="Q983" s="2620"/>
      <c r="R983" s="2620"/>
      <c r="T983" s="2618"/>
      <c r="AD983" s="2618"/>
    </row>
    <row r="984" spans="17:30">
      <c r="Q984" s="2620"/>
      <c r="R984" s="2620"/>
      <c r="T984" s="2618"/>
      <c r="AD984" s="2618"/>
    </row>
    <row r="985" spans="17:30">
      <c r="Q985" s="2620"/>
      <c r="R985" s="2620"/>
      <c r="T985" s="2618"/>
      <c r="AD985" s="2618"/>
    </row>
    <row r="986" spans="17:30">
      <c r="Q986" s="2620"/>
      <c r="R986" s="2620"/>
      <c r="T986" s="2618"/>
      <c r="AD986" s="2618"/>
    </row>
    <row r="987" spans="17:30">
      <c r="Q987" s="2620"/>
      <c r="R987" s="2620"/>
      <c r="T987" s="2618"/>
      <c r="AD987" s="2618"/>
    </row>
    <row r="988" spans="17:30">
      <c r="Q988" s="2620"/>
      <c r="R988" s="2620"/>
      <c r="T988" s="2618"/>
      <c r="AD988" s="2618"/>
    </row>
    <row r="989" spans="17:30">
      <c r="Q989" s="2620"/>
      <c r="R989" s="2620"/>
      <c r="T989" s="2618"/>
      <c r="AD989" s="2618"/>
    </row>
    <row r="990" spans="17:30">
      <c r="Q990" s="2620"/>
      <c r="R990" s="2620"/>
      <c r="T990" s="2618"/>
      <c r="AD990" s="2618"/>
    </row>
    <row r="991" spans="17:30">
      <c r="Q991" s="2620"/>
      <c r="R991" s="2620"/>
      <c r="T991" s="2618"/>
      <c r="AD991" s="2618"/>
    </row>
    <row r="992" spans="17:30">
      <c r="Q992" s="2620"/>
      <c r="R992" s="2620"/>
      <c r="T992" s="2618"/>
      <c r="AD992" s="2618"/>
    </row>
    <row r="993" spans="17:30">
      <c r="Q993" s="2620"/>
      <c r="R993" s="2620"/>
      <c r="T993" s="2618"/>
      <c r="AD993" s="2618"/>
    </row>
    <row r="994" spans="17:30">
      <c r="Q994" s="2620"/>
      <c r="R994" s="2620"/>
      <c r="T994" s="2618"/>
      <c r="AD994" s="2618"/>
    </row>
    <row r="995" spans="17:30">
      <c r="Q995" s="2620"/>
      <c r="R995" s="2620"/>
      <c r="T995" s="2618"/>
      <c r="AD995" s="2618"/>
    </row>
    <row r="996" spans="17:30">
      <c r="Q996" s="2620"/>
      <c r="R996" s="2620"/>
      <c r="T996" s="2618"/>
      <c r="AD996" s="2618"/>
    </row>
    <row r="997" spans="17:30">
      <c r="Q997" s="2620"/>
      <c r="R997" s="2620"/>
      <c r="T997" s="2618"/>
      <c r="AD997" s="2618"/>
    </row>
    <row r="998" spans="17:30">
      <c r="Q998" s="2620"/>
      <c r="R998" s="2620"/>
      <c r="T998" s="2618"/>
      <c r="AD998" s="2618"/>
    </row>
    <row r="999" spans="17:30">
      <c r="Q999" s="2620"/>
      <c r="R999" s="2620"/>
      <c r="T999" s="2618"/>
      <c r="AD999" s="2618"/>
    </row>
    <row r="1000" spans="17:30">
      <c r="Q1000" s="2620"/>
      <c r="R1000" s="2620"/>
      <c r="T1000" s="2618"/>
      <c r="AD1000" s="2618"/>
    </row>
    <row r="1001" spans="17:30">
      <c r="Q1001" s="2620"/>
      <c r="R1001" s="2620"/>
      <c r="T1001" s="2618"/>
      <c r="AD1001" s="2618"/>
    </row>
    <row r="1002" spans="17:30">
      <c r="Q1002" s="2620"/>
      <c r="R1002" s="2620"/>
      <c r="T1002" s="2618"/>
      <c r="AD1002" s="2618"/>
    </row>
    <row r="1003" spans="17:30">
      <c r="Q1003" s="2620"/>
      <c r="R1003" s="2620"/>
      <c r="T1003" s="2618"/>
      <c r="AD1003" s="2618"/>
    </row>
    <row r="1004" spans="17:30">
      <c r="Q1004" s="2620"/>
      <c r="R1004" s="2620"/>
      <c r="T1004" s="2618"/>
      <c r="AD1004" s="2618"/>
    </row>
    <row r="1005" spans="17:30">
      <c r="Q1005" s="2620"/>
      <c r="R1005" s="2620"/>
      <c r="T1005" s="2618"/>
      <c r="AD1005" s="2618"/>
    </row>
    <row r="1006" spans="17:30">
      <c r="Q1006" s="2620"/>
      <c r="R1006" s="2620"/>
      <c r="T1006" s="2618"/>
      <c r="AD1006" s="2618"/>
    </row>
    <row r="1007" spans="17:30">
      <c r="Q1007" s="2620"/>
      <c r="R1007" s="2620"/>
      <c r="T1007" s="2618"/>
      <c r="AD1007" s="2618"/>
    </row>
    <row r="1008" spans="17:30">
      <c r="Q1008" s="2620"/>
      <c r="R1008" s="2620"/>
      <c r="T1008" s="2618"/>
      <c r="AD1008" s="2618"/>
    </row>
    <row r="1009" spans="17:30">
      <c r="Q1009" s="2620"/>
      <c r="R1009" s="2620"/>
      <c r="T1009" s="2618"/>
      <c r="AD1009" s="2618"/>
    </row>
    <row r="1010" spans="17:30">
      <c r="Q1010" s="2620"/>
      <c r="R1010" s="2620"/>
      <c r="T1010" s="2618"/>
      <c r="AD1010" s="2618"/>
    </row>
    <row r="1011" spans="17:30">
      <c r="Q1011" s="2620"/>
      <c r="R1011" s="2620"/>
      <c r="T1011" s="2618"/>
      <c r="AD1011" s="2618"/>
    </row>
    <row r="1012" spans="17:30">
      <c r="Q1012" s="2620"/>
      <c r="R1012" s="2620"/>
      <c r="T1012" s="2618"/>
      <c r="AD1012" s="2618"/>
    </row>
    <row r="1013" spans="17:30">
      <c r="Q1013" s="2620"/>
      <c r="R1013" s="2620"/>
      <c r="T1013" s="2618"/>
      <c r="AD1013" s="2618"/>
    </row>
    <row r="1014" spans="17:30">
      <c r="Q1014" s="2620"/>
      <c r="R1014" s="2620"/>
      <c r="T1014" s="2618"/>
      <c r="AD1014" s="2618"/>
    </row>
    <row r="1015" spans="17:30">
      <c r="Q1015" s="2620"/>
      <c r="R1015" s="2620"/>
      <c r="T1015" s="2618"/>
      <c r="AD1015" s="2618"/>
    </row>
    <row r="1016" spans="17:30">
      <c r="Q1016" s="2620"/>
      <c r="R1016" s="2620"/>
      <c r="T1016" s="2618"/>
      <c r="AD1016" s="2618"/>
    </row>
    <row r="1017" spans="17:30">
      <c r="Q1017" s="2620"/>
      <c r="R1017" s="2620"/>
      <c r="T1017" s="2618"/>
      <c r="AD1017" s="2618"/>
    </row>
    <row r="1018" spans="17:30">
      <c r="Q1018" s="2620"/>
      <c r="R1018" s="2620"/>
      <c r="T1018" s="2618"/>
      <c r="AD1018" s="2618"/>
    </row>
    <row r="1019" spans="17:30">
      <c r="Q1019" s="2620"/>
      <c r="R1019" s="2620"/>
      <c r="T1019" s="2618"/>
      <c r="AD1019" s="2618"/>
    </row>
    <row r="1020" spans="17:30">
      <c r="Q1020" s="2620"/>
      <c r="R1020" s="2620"/>
      <c r="T1020" s="2618"/>
      <c r="AD1020" s="2618"/>
    </row>
    <row r="1021" spans="17:30">
      <c r="Q1021" s="2620"/>
      <c r="R1021" s="2620"/>
      <c r="T1021" s="2618"/>
      <c r="AD1021" s="2618"/>
    </row>
    <row r="1022" spans="17:30">
      <c r="Q1022" s="2620"/>
      <c r="R1022" s="2620"/>
      <c r="T1022" s="2618"/>
      <c r="AD1022" s="2618"/>
    </row>
    <row r="1023" spans="17:30">
      <c r="Q1023" s="2620"/>
      <c r="R1023" s="2620"/>
      <c r="T1023" s="2618"/>
      <c r="AD1023" s="2618"/>
    </row>
    <row r="1024" spans="17:30">
      <c r="Q1024" s="2620"/>
      <c r="R1024" s="2620"/>
      <c r="T1024" s="2618"/>
      <c r="AD1024" s="2618"/>
    </row>
    <row r="1025" spans="17:30">
      <c r="Q1025" s="2620"/>
      <c r="R1025" s="2620"/>
      <c r="T1025" s="2618"/>
      <c r="AD1025" s="2618"/>
    </row>
    <row r="1026" spans="17:30">
      <c r="Q1026" s="2620"/>
      <c r="R1026" s="2620"/>
      <c r="T1026" s="2618"/>
      <c r="AD1026" s="2618"/>
    </row>
    <row r="1027" spans="17:30">
      <c r="Q1027" s="2620"/>
      <c r="R1027" s="2620"/>
      <c r="T1027" s="2618"/>
      <c r="AD1027" s="2618"/>
    </row>
    <row r="1028" spans="17:30">
      <c r="Q1028" s="2620"/>
      <c r="R1028" s="2620"/>
      <c r="T1028" s="2618"/>
      <c r="AD1028" s="2618"/>
    </row>
    <row r="1029" spans="17:30">
      <c r="Q1029" s="2620"/>
      <c r="R1029" s="2620"/>
      <c r="T1029" s="2618"/>
      <c r="AD1029" s="2618"/>
    </row>
    <row r="1030" spans="17:30">
      <c r="Q1030" s="2620"/>
      <c r="R1030" s="2620"/>
      <c r="T1030" s="2618"/>
      <c r="AD1030" s="2618"/>
    </row>
    <row r="1031" spans="17:30">
      <c r="Q1031" s="2620"/>
      <c r="R1031" s="2620"/>
      <c r="T1031" s="2618"/>
      <c r="AD1031" s="2618"/>
    </row>
    <row r="1032" spans="17:30">
      <c r="Q1032" s="2620"/>
      <c r="R1032" s="2620"/>
      <c r="T1032" s="2618"/>
      <c r="AD1032" s="2618"/>
    </row>
    <row r="1033" spans="17:30">
      <c r="Q1033" s="2620"/>
      <c r="R1033" s="2620"/>
      <c r="T1033" s="2618"/>
      <c r="AD1033" s="2618"/>
    </row>
    <row r="1034" spans="17:30">
      <c r="Q1034" s="2620"/>
      <c r="R1034" s="2620"/>
      <c r="T1034" s="2618"/>
      <c r="AD1034" s="2618"/>
    </row>
    <row r="1035" spans="17:30">
      <c r="Q1035" s="2620"/>
      <c r="R1035" s="2620"/>
      <c r="T1035" s="2618"/>
      <c r="AD1035" s="2618"/>
    </row>
    <row r="1036" spans="17:30">
      <c r="Q1036" s="2620"/>
      <c r="R1036" s="2620"/>
      <c r="T1036" s="2618"/>
      <c r="AD1036" s="2618"/>
    </row>
    <row r="1037" spans="17:30">
      <c r="Q1037" s="2620"/>
      <c r="R1037" s="2620"/>
      <c r="T1037" s="2618"/>
      <c r="AD1037" s="2618"/>
    </row>
    <row r="1038" spans="17:30">
      <c r="Q1038" s="2620"/>
      <c r="R1038" s="2620"/>
      <c r="T1038" s="2618"/>
      <c r="AD1038" s="2618"/>
    </row>
    <row r="1039" spans="17:30">
      <c r="Q1039" s="2620"/>
      <c r="R1039" s="2620"/>
      <c r="T1039" s="2618"/>
      <c r="AD1039" s="2618"/>
    </row>
    <row r="1040" spans="17:30">
      <c r="Q1040" s="2620"/>
      <c r="R1040" s="2620"/>
      <c r="T1040" s="2618"/>
      <c r="AD1040" s="2618"/>
    </row>
    <row r="1041" spans="17:30">
      <c r="Q1041" s="2620"/>
      <c r="R1041" s="2620"/>
      <c r="T1041" s="2618"/>
      <c r="AD1041" s="2618"/>
    </row>
    <row r="1042" spans="17:30">
      <c r="Q1042" s="2620"/>
      <c r="R1042" s="2620"/>
      <c r="T1042" s="2618"/>
      <c r="AD1042" s="2618"/>
    </row>
    <row r="1043" spans="17:30">
      <c r="Q1043" s="2620"/>
      <c r="R1043" s="2620"/>
      <c r="T1043" s="2618"/>
      <c r="AD1043" s="2618"/>
    </row>
    <row r="1044" spans="17:30">
      <c r="Q1044" s="2620"/>
      <c r="R1044" s="2620"/>
      <c r="T1044" s="2618"/>
      <c r="AD1044" s="2618"/>
    </row>
    <row r="1045" spans="17:30">
      <c r="Q1045" s="2620"/>
      <c r="R1045" s="2620"/>
      <c r="T1045" s="2618"/>
      <c r="AD1045" s="2618"/>
    </row>
    <row r="1046" spans="17:30">
      <c r="Q1046" s="2620"/>
      <c r="R1046" s="2620"/>
      <c r="T1046" s="2618"/>
      <c r="AD1046" s="2618"/>
    </row>
    <row r="1047" spans="17:30">
      <c r="Q1047" s="2620"/>
      <c r="R1047" s="2620"/>
      <c r="T1047" s="2618"/>
      <c r="AD1047" s="2618"/>
    </row>
    <row r="1048" spans="17:30">
      <c r="Q1048" s="2620"/>
      <c r="R1048" s="2620"/>
      <c r="T1048" s="2618"/>
      <c r="AD1048" s="2618"/>
    </row>
    <row r="1049" spans="17:30">
      <c r="Q1049" s="2620"/>
      <c r="R1049" s="2620"/>
      <c r="T1049" s="2618"/>
      <c r="AD1049" s="2618"/>
    </row>
    <row r="1050" spans="17:30">
      <c r="Q1050" s="2620"/>
      <c r="R1050" s="2620"/>
      <c r="T1050" s="2618"/>
      <c r="AD1050" s="2618"/>
    </row>
    <row r="1051" spans="17:30">
      <c r="Q1051" s="2620"/>
      <c r="R1051" s="2620"/>
      <c r="T1051" s="2618"/>
      <c r="AD1051" s="2618"/>
    </row>
    <row r="1052" spans="17:30">
      <c r="Q1052" s="2620"/>
      <c r="R1052" s="2620"/>
      <c r="T1052" s="2618"/>
      <c r="AD1052" s="2618"/>
    </row>
    <row r="1053" spans="17:30">
      <c r="Q1053" s="2620"/>
      <c r="R1053" s="2620"/>
      <c r="T1053" s="2618"/>
      <c r="AD1053" s="2618"/>
    </row>
    <row r="1054" spans="17:30">
      <c r="Q1054" s="2620"/>
      <c r="R1054" s="2620"/>
      <c r="T1054" s="2618"/>
      <c r="AD1054" s="2618"/>
    </row>
    <row r="1055" spans="17:30">
      <c r="Q1055" s="2620"/>
      <c r="R1055" s="2620"/>
      <c r="T1055" s="2618"/>
      <c r="AD1055" s="2618"/>
    </row>
    <row r="1056" spans="17:30">
      <c r="Q1056" s="2620"/>
      <c r="R1056" s="2620"/>
      <c r="T1056" s="2618"/>
      <c r="AD1056" s="2618"/>
    </row>
    <row r="1057" spans="17:30">
      <c r="Q1057" s="2620"/>
      <c r="R1057" s="2620"/>
      <c r="T1057" s="2618"/>
      <c r="AD1057" s="2618"/>
    </row>
    <row r="1058" spans="17:30">
      <c r="Q1058" s="2620"/>
      <c r="R1058" s="2620"/>
      <c r="T1058" s="2618"/>
      <c r="AD1058" s="2618"/>
    </row>
    <row r="1059" spans="17:30">
      <c r="Q1059" s="2620"/>
      <c r="R1059" s="2620"/>
      <c r="T1059" s="2618"/>
      <c r="AD1059" s="2618"/>
    </row>
    <row r="1060" spans="17:30">
      <c r="Q1060" s="2620"/>
      <c r="R1060" s="2620"/>
      <c r="T1060" s="2618"/>
      <c r="AD1060" s="2618"/>
    </row>
    <row r="1061" spans="17:30">
      <c r="Q1061" s="2620"/>
      <c r="R1061" s="2620"/>
      <c r="T1061" s="2618"/>
      <c r="AD1061" s="2618"/>
    </row>
    <row r="1062" spans="17:30">
      <c r="Q1062" s="2620"/>
      <c r="R1062" s="2620"/>
      <c r="T1062" s="2618"/>
      <c r="AD1062" s="2618"/>
    </row>
    <row r="1063" spans="17:30">
      <c r="Q1063" s="2620"/>
      <c r="R1063" s="2620"/>
      <c r="T1063" s="2618"/>
      <c r="AD1063" s="2618"/>
    </row>
    <row r="1064" spans="17:30">
      <c r="Q1064" s="2620"/>
      <c r="R1064" s="2620"/>
      <c r="T1064" s="2618"/>
      <c r="AD1064" s="2618"/>
    </row>
    <row r="1065" spans="17:30">
      <c r="Q1065" s="2620"/>
      <c r="R1065" s="2620"/>
      <c r="T1065" s="2618"/>
      <c r="AD1065" s="2618"/>
    </row>
    <row r="1066" spans="17:30">
      <c r="Q1066" s="2620"/>
      <c r="R1066" s="2620"/>
      <c r="T1066" s="2618"/>
      <c r="AD1066" s="2618"/>
    </row>
    <row r="1067" spans="17:30">
      <c r="Q1067" s="2620"/>
      <c r="R1067" s="2620"/>
      <c r="T1067" s="2618"/>
      <c r="AD1067" s="2618"/>
    </row>
    <row r="1068" spans="17:30">
      <c r="Q1068" s="2620"/>
      <c r="R1068" s="2620"/>
      <c r="T1068" s="2618"/>
      <c r="AD1068" s="2618"/>
    </row>
    <row r="1069" spans="17:30">
      <c r="Q1069" s="2620"/>
      <c r="R1069" s="2620"/>
      <c r="T1069" s="2618"/>
      <c r="AD1069" s="2618"/>
    </row>
    <row r="1070" spans="17:30">
      <c r="Q1070" s="2620"/>
      <c r="R1070" s="2620"/>
      <c r="T1070" s="2618"/>
      <c r="AD1070" s="2618"/>
    </row>
    <row r="1071" spans="17:30">
      <c r="Q1071" s="2620"/>
      <c r="R1071" s="2620"/>
      <c r="T1071" s="2618"/>
      <c r="AD1071" s="2618"/>
    </row>
    <row r="1072" spans="17:30">
      <c r="Q1072" s="2620"/>
      <c r="R1072" s="2620"/>
      <c r="T1072" s="2618"/>
      <c r="AD1072" s="2618"/>
    </row>
    <row r="1073" spans="17:30">
      <c r="Q1073" s="2620"/>
      <c r="R1073" s="2620"/>
      <c r="T1073" s="2618"/>
      <c r="AD1073" s="2618"/>
    </row>
    <row r="1074" spans="17:30">
      <c r="Q1074" s="2620"/>
      <c r="R1074" s="2620"/>
      <c r="T1074" s="2618"/>
      <c r="AD1074" s="2618"/>
    </row>
    <row r="1075" spans="17:30">
      <c r="Q1075" s="2620"/>
      <c r="R1075" s="2620"/>
      <c r="T1075" s="2618"/>
      <c r="AD1075" s="2618"/>
    </row>
    <row r="1076" spans="17:30">
      <c r="Q1076" s="2620"/>
      <c r="R1076" s="2620"/>
      <c r="T1076" s="2618"/>
      <c r="AD1076" s="2618"/>
    </row>
    <row r="1077" spans="17:30">
      <c r="Q1077" s="2620"/>
      <c r="R1077" s="2620"/>
      <c r="T1077" s="2618"/>
      <c r="AD1077" s="2618"/>
    </row>
    <row r="1078" spans="17:30">
      <c r="Q1078" s="2620"/>
      <c r="R1078" s="2620"/>
      <c r="T1078" s="2618"/>
      <c r="AD1078" s="2618"/>
    </row>
    <row r="1079" spans="17:30">
      <c r="Q1079" s="2620"/>
      <c r="R1079" s="2620"/>
      <c r="T1079" s="2618"/>
      <c r="AD1079" s="2618"/>
    </row>
    <row r="1080" spans="17:30">
      <c r="Q1080" s="2620"/>
      <c r="R1080" s="2620"/>
      <c r="T1080" s="2618"/>
      <c r="AD1080" s="2618"/>
    </row>
    <row r="1081" spans="17:30">
      <c r="Q1081" s="2620"/>
      <c r="R1081" s="2620"/>
      <c r="T1081" s="2618"/>
      <c r="AD1081" s="2618"/>
    </row>
    <row r="1082" spans="17:30">
      <c r="Q1082" s="2620"/>
      <c r="R1082" s="2620"/>
      <c r="T1082" s="2618"/>
      <c r="AD1082" s="2618"/>
    </row>
    <row r="1083" spans="17:30">
      <c r="Q1083" s="2620"/>
      <c r="R1083" s="2620"/>
      <c r="T1083" s="2618"/>
      <c r="AD1083" s="2618"/>
    </row>
    <row r="1084" spans="17:30">
      <c r="Q1084" s="2620"/>
      <c r="R1084" s="2620"/>
      <c r="T1084" s="2618"/>
      <c r="AD1084" s="2618"/>
    </row>
    <row r="1085" spans="17:30">
      <c r="Q1085" s="2620"/>
      <c r="R1085" s="2620"/>
      <c r="T1085" s="2618"/>
      <c r="AD1085" s="2618"/>
    </row>
    <row r="1086" spans="17:30">
      <c r="Q1086" s="2620"/>
      <c r="R1086" s="2620"/>
      <c r="T1086" s="2618"/>
      <c r="AD1086" s="2618"/>
    </row>
    <row r="1087" spans="17:30">
      <c r="Q1087" s="2620"/>
      <c r="R1087" s="2620"/>
      <c r="T1087" s="2618"/>
      <c r="AD1087" s="2618"/>
    </row>
    <row r="1088" spans="17:30">
      <c r="Q1088" s="2620"/>
      <c r="R1088" s="2620"/>
      <c r="T1088" s="2618"/>
      <c r="AD1088" s="2618"/>
    </row>
    <row r="1089" spans="17:30">
      <c r="Q1089" s="2620"/>
      <c r="R1089" s="2620"/>
      <c r="T1089" s="2618"/>
      <c r="AD1089" s="2618"/>
    </row>
    <row r="1090" spans="17:30">
      <c r="Q1090" s="2620"/>
      <c r="R1090" s="2620"/>
      <c r="T1090" s="2618"/>
      <c r="AD1090" s="2618"/>
    </row>
    <row r="1091" spans="17:30">
      <c r="Q1091" s="2620"/>
      <c r="R1091" s="2620"/>
      <c r="T1091" s="2618"/>
      <c r="AD1091" s="2618"/>
    </row>
    <row r="1092" spans="17:30">
      <c r="Q1092" s="2620"/>
      <c r="R1092" s="2620"/>
      <c r="T1092" s="2618"/>
      <c r="AD1092" s="2618"/>
    </row>
    <row r="1093" spans="17:30">
      <c r="Q1093" s="2620"/>
      <c r="R1093" s="2620"/>
      <c r="T1093" s="2618"/>
      <c r="AD1093" s="2618"/>
    </row>
    <row r="1094" spans="17:30">
      <c r="Q1094" s="2620"/>
      <c r="R1094" s="2620"/>
      <c r="T1094" s="2618"/>
      <c r="AD1094" s="2618"/>
    </row>
    <row r="1095" spans="17:30">
      <c r="Q1095" s="2620"/>
      <c r="R1095" s="2620"/>
      <c r="T1095" s="2618"/>
      <c r="AD1095" s="2618"/>
    </row>
    <row r="1096" spans="17:30">
      <c r="Q1096" s="2620"/>
      <c r="R1096" s="2620"/>
      <c r="T1096" s="2618"/>
      <c r="AD1096" s="2618"/>
    </row>
    <row r="1097" spans="17:30">
      <c r="Q1097" s="2620"/>
      <c r="R1097" s="2620"/>
      <c r="T1097" s="2618"/>
      <c r="AD1097" s="2618"/>
    </row>
    <row r="1098" spans="17:30">
      <c r="Q1098" s="2620"/>
      <c r="R1098" s="2620"/>
      <c r="T1098" s="2618"/>
      <c r="AD1098" s="2618"/>
    </row>
    <row r="1099" spans="17:30">
      <c r="Q1099" s="2620"/>
      <c r="R1099" s="2620"/>
      <c r="T1099" s="2618"/>
      <c r="AD1099" s="2618"/>
    </row>
    <row r="1100" spans="17:30">
      <c r="Q1100" s="2620"/>
      <c r="R1100" s="2620"/>
      <c r="T1100" s="2618"/>
      <c r="AD1100" s="2618"/>
    </row>
    <row r="1101" spans="17:30">
      <c r="Q1101" s="2620"/>
      <c r="R1101" s="2620"/>
      <c r="T1101" s="2618"/>
      <c r="AD1101" s="2618"/>
    </row>
    <row r="1102" spans="17:30">
      <c r="Q1102" s="2620"/>
      <c r="R1102" s="2620"/>
      <c r="T1102" s="2618"/>
      <c r="AD1102" s="2618"/>
    </row>
    <row r="1103" spans="17:30">
      <c r="Q1103" s="2620"/>
      <c r="R1103" s="2620"/>
      <c r="T1103" s="2618"/>
      <c r="AD1103" s="2618"/>
    </row>
    <row r="1104" spans="17:30">
      <c r="Q1104" s="2620"/>
      <c r="R1104" s="2620"/>
      <c r="T1104" s="2618"/>
      <c r="AD1104" s="2618"/>
    </row>
    <row r="1105" spans="17:30">
      <c r="Q1105" s="2620"/>
      <c r="R1105" s="2620"/>
      <c r="T1105" s="2618"/>
      <c r="AD1105" s="2618"/>
    </row>
    <row r="1106" spans="17:30">
      <c r="Q1106" s="2620"/>
      <c r="R1106" s="2620"/>
      <c r="T1106" s="2618"/>
      <c r="AD1106" s="2618"/>
    </row>
    <row r="1107" spans="17:30">
      <c r="Q1107" s="2620"/>
      <c r="R1107" s="2620"/>
      <c r="T1107" s="2618"/>
      <c r="AD1107" s="2618"/>
    </row>
    <row r="1108" spans="17:30">
      <c r="Q1108" s="2620"/>
      <c r="R1108" s="2620"/>
      <c r="T1108" s="2618"/>
      <c r="AD1108" s="2618"/>
    </row>
    <row r="1109" spans="17:30">
      <c r="Q1109" s="2620"/>
      <c r="R1109" s="2620"/>
      <c r="T1109" s="2618"/>
      <c r="AD1109" s="2618"/>
    </row>
    <row r="1110" spans="17:30">
      <c r="Q1110" s="2620"/>
      <c r="R1110" s="2620"/>
      <c r="T1110" s="2618"/>
      <c r="AD1110" s="2618"/>
    </row>
    <row r="1111" spans="17:30">
      <c r="Q1111" s="2620"/>
      <c r="R1111" s="2620"/>
      <c r="T1111" s="2618"/>
      <c r="AD1111" s="2618"/>
    </row>
    <row r="1112" spans="17:30">
      <c r="Q1112" s="2620"/>
      <c r="R1112" s="2620"/>
      <c r="T1112" s="2618"/>
      <c r="AD1112" s="2618"/>
    </row>
    <row r="1113" spans="17:30">
      <c r="Q1113" s="2620"/>
      <c r="R1113" s="2620"/>
      <c r="T1113" s="2618"/>
      <c r="AD1113" s="2618"/>
    </row>
    <row r="1114" spans="17:30">
      <c r="Q1114" s="2620"/>
      <c r="R1114" s="2620"/>
      <c r="T1114" s="2618"/>
      <c r="AD1114" s="2618"/>
    </row>
    <row r="1115" spans="17:30">
      <c r="Q1115" s="2620"/>
      <c r="R1115" s="2620"/>
      <c r="T1115" s="2618"/>
      <c r="AD1115" s="2618"/>
    </row>
    <row r="1116" spans="17:30">
      <c r="Q1116" s="2620"/>
      <c r="R1116" s="2620"/>
      <c r="T1116" s="2618"/>
      <c r="AD1116" s="2618"/>
    </row>
    <row r="1117" spans="17:30">
      <c r="Q1117" s="2620"/>
      <c r="R1117" s="2620"/>
      <c r="T1117" s="2618"/>
      <c r="AD1117" s="2618"/>
    </row>
    <row r="1118" spans="17:30">
      <c r="Q1118" s="2620"/>
      <c r="R1118" s="2620"/>
      <c r="T1118" s="2618"/>
      <c r="AD1118" s="2618"/>
    </row>
    <row r="1119" spans="17:30">
      <c r="Q1119" s="2620"/>
      <c r="R1119" s="2620"/>
      <c r="T1119" s="2618"/>
      <c r="AD1119" s="2618"/>
    </row>
    <row r="1120" spans="17:30">
      <c r="Q1120" s="2620"/>
      <c r="R1120" s="2620"/>
      <c r="T1120" s="2618"/>
      <c r="AD1120" s="2618"/>
    </row>
    <row r="1121" spans="17:30">
      <c r="Q1121" s="2620"/>
      <c r="R1121" s="2620"/>
      <c r="T1121" s="2618"/>
      <c r="AD1121" s="2618"/>
    </row>
    <row r="1122" spans="17:30">
      <c r="Q1122" s="2620"/>
      <c r="R1122" s="2620"/>
      <c r="T1122" s="2618"/>
      <c r="AD1122" s="2618"/>
    </row>
    <row r="1123" spans="17:30">
      <c r="Q1123" s="2620"/>
      <c r="R1123" s="2620"/>
      <c r="T1123" s="2618"/>
      <c r="AD1123" s="2618"/>
    </row>
    <row r="1124" spans="17:30">
      <c r="Q1124" s="2620"/>
      <c r="R1124" s="2620"/>
      <c r="T1124" s="2618"/>
      <c r="AD1124" s="2618"/>
    </row>
    <row r="1125" spans="17:30">
      <c r="Q1125" s="2620"/>
      <c r="R1125" s="2620"/>
      <c r="T1125" s="2618"/>
      <c r="AD1125" s="2618"/>
    </row>
    <row r="1126" spans="17:30">
      <c r="Q1126" s="2620"/>
      <c r="R1126" s="2620"/>
      <c r="T1126" s="2618"/>
      <c r="AD1126" s="2618"/>
    </row>
    <row r="1127" spans="17:30">
      <c r="Q1127" s="2620"/>
      <c r="R1127" s="2620"/>
      <c r="T1127" s="2618"/>
      <c r="AD1127" s="2618"/>
    </row>
    <row r="1128" spans="17:30">
      <c r="Q1128" s="2620"/>
      <c r="R1128" s="2620"/>
      <c r="T1128" s="2618"/>
      <c r="AD1128" s="2618"/>
    </row>
    <row r="1129" spans="17:30">
      <c r="Q1129" s="2620"/>
      <c r="R1129" s="2620"/>
      <c r="T1129" s="2618"/>
      <c r="AD1129" s="2618"/>
    </row>
    <row r="1130" spans="17:30">
      <c r="Q1130" s="2620"/>
      <c r="R1130" s="2620"/>
      <c r="T1130" s="2618"/>
      <c r="AD1130" s="2618"/>
    </row>
    <row r="1131" spans="17:30">
      <c r="Q1131" s="2620"/>
      <c r="R1131" s="2620"/>
      <c r="T1131" s="2618"/>
      <c r="AD1131" s="2618"/>
    </row>
    <row r="1132" spans="17:30">
      <c r="Q1132" s="2620"/>
      <c r="R1132" s="2620"/>
      <c r="T1132" s="2618"/>
      <c r="AD1132" s="2618"/>
    </row>
    <row r="1133" spans="17:30">
      <c r="Q1133" s="2620"/>
      <c r="R1133" s="2620"/>
      <c r="T1133" s="2618"/>
      <c r="AD1133" s="2618"/>
    </row>
    <row r="1134" spans="17:30">
      <c r="Q1134" s="2620"/>
      <c r="R1134" s="2620"/>
      <c r="T1134" s="2618"/>
      <c r="AD1134" s="2618"/>
    </row>
    <row r="1135" spans="17:30">
      <c r="Q1135" s="2620"/>
      <c r="R1135" s="2620"/>
      <c r="T1135" s="2618"/>
      <c r="AD1135" s="2618"/>
    </row>
    <row r="1136" spans="17:30">
      <c r="Q1136" s="2620"/>
      <c r="R1136" s="2620"/>
      <c r="T1136" s="2618"/>
      <c r="AD1136" s="2618"/>
    </row>
    <row r="1137" spans="17:30">
      <c r="Q1137" s="2620"/>
      <c r="R1137" s="2620"/>
      <c r="T1137" s="2618"/>
      <c r="AD1137" s="2618"/>
    </row>
    <row r="1138" spans="17:30">
      <c r="Q1138" s="2620"/>
      <c r="R1138" s="2620"/>
      <c r="T1138" s="2618"/>
      <c r="AD1138" s="2618"/>
    </row>
  </sheetData>
  <mergeCells count="4">
    <mergeCell ref="X2:Y2"/>
    <mergeCell ref="AA2:AB2"/>
    <mergeCell ref="BT37:BX38"/>
    <mergeCell ref="AA32:AF34"/>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391"/>
  <sheetViews>
    <sheetView showGridLines="0" zoomScale="83" zoomScaleNormal="83" workbookViewId="0">
      <pane xSplit="2" ySplit="6" topLeftCell="C7" activePane="bottomRight" state="frozen"/>
      <selection pane="topRight" activeCell="C1" sqref="C1"/>
      <selection pane="bottomLeft" activeCell="A6" sqref="A6"/>
      <selection pane="bottomRight"/>
    </sheetView>
  </sheetViews>
  <sheetFormatPr defaultColWidth="11.5703125" defaultRowHeight="12.75"/>
  <cols>
    <col min="1" max="1" width="15.85546875" style="2328" customWidth="1"/>
    <col min="2" max="2" width="13.28515625" style="2332" customWidth="1"/>
    <col min="3" max="3" width="8.5703125" style="2332" customWidth="1"/>
    <col min="4" max="4" width="10.140625" style="2333" bestFit="1" customWidth="1"/>
    <col min="5" max="5" width="8.5703125" style="2332" customWidth="1"/>
    <col min="6" max="6" width="11.140625" style="2332" bestFit="1" customWidth="1"/>
    <col min="7" max="7" width="7.5703125" style="2332" customWidth="1"/>
    <col min="8" max="8" width="10.140625" style="2333" bestFit="1" customWidth="1"/>
    <col min="9" max="9" width="10.5703125" style="2333" hidden="1" customWidth="1"/>
    <col min="10" max="10" width="7.7109375" style="2333" hidden="1" customWidth="1"/>
    <col min="11" max="11" width="6.140625" style="2332" customWidth="1"/>
    <col min="12" max="12" width="8.28515625" style="2332" customWidth="1"/>
    <col min="13" max="13" width="7.28515625" style="2332" customWidth="1"/>
    <col min="14" max="14" width="7.42578125" style="2332" customWidth="1"/>
    <col min="15" max="15" width="8.28515625" style="2332" customWidth="1"/>
    <col min="16" max="16" width="6.28515625" style="2332" customWidth="1"/>
    <col min="17" max="17" width="6.85546875" style="2332" customWidth="1"/>
    <col min="18" max="18" width="8.140625" style="2332" customWidth="1"/>
    <col min="19" max="19" width="8.28515625" style="2332" customWidth="1"/>
    <col min="20" max="20" width="6.28515625" style="2332" customWidth="1"/>
    <col min="21" max="21" width="8.140625" style="2332" customWidth="1"/>
    <col min="22" max="22" width="6.7109375" style="2332" customWidth="1"/>
    <col min="23" max="23" width="8.28515625" style="2332" customWidth="1"/>
    <col min="24" max="24" width="7.85546875" style="2332" customWidth="1"/>
    <col min="25" max="25" width="9.42578125" style="2332" customWidth="1"/>
    <col min="26" max="26" width="8" style="2332" customWidth="1"/>
    <col min="27" max="27" width="5.42578125" style="2332" customWidth="1"/>
    <col min="28" max="28" width="7.5703125" style="2332" customWidth="1"/>
    <col min="29" max="29" width="7.140625" style="2332" customWidth="1"/>
    <col min="30" max="30" width="4.5703125" style="2332" customWidth="1"/>
    <col min="31" max="31" width="11.5703125" style="2332"/>
    <col min="32" max="33" width="11.28515625" style="2332" customWidth="1"/>
    <col min="34" max="34" width="12.7109375" style="2332" hidden="1" customWidth="1"/>
    <col min="35" max="43" width="11.5703125" style="2332" hidden="1" customWidth="1"/>
    <col min="44" max="46" width="11.5703125" style="2334" hidden="1" customWidth="1"/>
    <col min="47" max="56" width="11.5703125" style="2332" hidden="1" customWidth="1"/>
    <col min="57" max="57" width="3.28515625" style="2329" customWidth="1"/>
    <col min="58" max="16384" width="11.5703125" style="2329"/>
  </cols>
  <sheetData>
    <row r="1" spans="1:57">
      <c r="A1" s="1123" t="s">
        <v>1148</v>
      </c>
      <c r="B1" s="1124"/>
      <c r="C1" s="4535" t="s">
        <v>989</v>
      </c>
      <c r="D1" s="4536"/>
      <c r="E1" s="4536"/>
      <c r="F1" s="4536"/>
      <c r="G1" s="4536"/>
      <c r="H1" s="4537"/>
      <c r="I1" s="4532" t="s">
        <v>997</v>
      </c>
      <c r="J1" s="4533"/>
      <c r="K1" s="4177" t="s">
        <v>764</v>
      </c>
      <c r="L1" s="4181"/>
      <c r="M1" s="4182"/>
      <c r="N1" s="4170" t="s">
        <v>1189</v>
      </c>
      <c r="O1" s="4171"/>
      <c r="P1" s="4172"/>
      <c r="Q1" s="4173" t="s">
        <v>1008</v>
      </c>
      <c r="R1" s="4174"/>
      <c r="S1" s="4175"/>
      <c r="T1" s="4170" t="s">
        <v>1015</v>
      </c>
      <c r="U1" s="4171"/>
      <c r="V1" s="4176"/>
      <c r="W1" s="4177" t="s">
        <v>1009</v>
      </c>
      <c r="X1" s="4178"/>
      <c r="Y1" s="4179" t="s">
        <v>101</v>
      </c>
      <c r="Z1" s="4180"/>
      <c r="AA1" s="4177" t="s">
        <v>1002</v>
      </c>
      <c r="AB1" s="4181"/>
      <c r="AC1" s="4182"/>
      <c r="AD1" s="949"/>
      <c r="AE1" s="949"/>
      <c r="AF1" s="949"/>
      <c r="AG1" s="2129"/>
      <c r="AH1" s="949"/>
      <c r="AI1" s="949"/>
      <c r="AJ1" s="949"/>
      <c r="AK1" s="949"/>
      <c r="AL1" s="1108" t="s">
        <v>1810</v>
      </c>
      <c r="AM1" s="1108" t="s">
        <v>1032</v>
      </c>
      <c r="AN1" s="110" t="s">
        <v>1064</v>
      </c>
      <c r="AO1" s="110" t="s">
        <v>1104</v>
      </c>
      <c r="AP1" s="1096" t="s">
        <v>1107</v>
      </c>
      <c r="AQ1" s="110" t="s">
        <v>1104</v>
      </c>
      <c r="AR1" s="110"/>
      <c r="AS1" s="110"/>
      <c r="AT1" s="110"/>
      <c r="AU1" s="110"/>
      <c r="AV1" s="110"/>
      <c r="AW1" s="949"/>
      <c r="AX1" s="949"/>
      <c r="AY1" s="949"/>
      <c r="AZ1" s="949"/>
      <c r="BA1" s="949"/>
      <c r="BB1" s="949"/>
      <c r="BC1" s="949"/>
      <c r="BD1" s="949"/>
      <c r="BE1" s="2267"/>
    </row>
    <row r="2" spans="1:57" s="2337" customFormat="1">
      <c r="A2" s="1115"/>
      <c r="B2" s="1125"/>
      <c r="C2" s="4167" t="s">
        <v>479</v>
      </c>
      <c r="D2" s="4168"/>
      <c r="E2" s="4168"/>
      <c r="F2" s="4168"/>
      <c r="G2" s="4534" t="s">
        <v>1178</v>
      </c>
      <c r="H2" s="4169"/>
      <c r="I2" s="1019" t="s">
        <v>479</v>
      </c>
      <c r="J2" s="1035" t="s">
        <v>363</v>
      </c>
      <c r="K2" s="4167" t="s">
        <v>479</v>
      </c>
      <c r="L2" s="4168"/>
      <c r="M2" s="1039" t="s">
        <v>1178</v>
      </c>
      <c r="N2" s="4167" t="s">
        <v>479</v>
      </c>
      <c r="O2" s="4168"/>
      <c r="P2" s="1039" t="s">
        <v>363</v>
      </c>
      <c r="Q2" s="4167" t="s">
        <v>479</v>
      </c>
      <c r="R2" s="4168"/>
      <c r="S2" s="1039" t="s">
        <v>1178</v>
      </c>
      <c r="T2" s="4167" t="s">
        <v>479</v>
      </c>
      <c r="U2" s="4168"/>
      <c r="V2" s="1039" t="s">
        <v>1178</v>
      </c>
      <c r="W2" s="4167" t="s">
        <v>479</v>
      </c>
      <c r="X2" s="4169"/>
      <c r="Y2" s="4167" t="s">
        <v>506</v>
      </c>
      <c r="Z2" s="4169"/>
      <c r="AA2" s="4167" t="s">
        <v>479</v>
      </c>
      <c r="AB2" s="4168"/>
      <c r="AC2" s="1039" t="s">
        <v>1178</v>
      </c>
      <c r="AD2" s="147"/>
      <c r="AE2" s="147"/>
      <c r="AF2" s="147"/>
      <c r="AG2" s="147"/>
      <c r="AH2" s="147"/>
      <c r="AI2" s="147"/>
      <c r="AJ2" s="147"/>
      <c r="AK2" s="147"/>
      <c r="AL2" s="147"/>
      <c r="AM2" s="1108" t="s">
        <v>1033</v>
      </c>
      <c r="AN2" s="110" t="s">
        <v>1064</v>
      </c>
      <c r="AO2" s="110" t="s">
        <v>1104</v>
      </c>
      <c r="AP2" s="1096" t="s">
        <v>1106</v>
      </c>
      <c r="AQ2" s="110" t="s">
        <v>1104</v>
      </c>
      <c r="AR2" s="1098"/>
      <c r="AS2" s="1096"/>
      <c r="AT2" s="1098"/>
      <c r="AU2" s="1098"/>
      <c r="AV2" s="1098"/>
      <c r="AW2" s="147"/>
      <c r="AX2" s="147"/>
      <c r="AY2" s="147"/>
      <c r="AZ2" s="147"/>
      <c r="BA2" s="147"/>
      <c r="BB2" s="147"/>
      <c r="BC2" s="147"/>
      <c r="BD2" s="147"/>
      <c r="BE2" s="1362"/>
    </row>
    <row r="3" spans="1:57">
      <c r="A3" s="1115" t="s">
        <v>1007</v>
      </c>
      <c r="B3" s="1126">
        <f>COUNT(C7:C28)</f>
        <v>22</v>
      </c>
      <c r="C3" s="141" t="s">
        <v>505</v>
      </c>
      <c r="D3" s="1040" t="s">
        <v>990</v>
      </c>
      <c r="E3" s="1041" t="s">
        <v>991</v>
      </c>
      <c r="F3" s="1042" t="s">
        <v>717</v>
      </c>
      <c r="G3" s="1043"/>
      <c r="H3" s="1044" t="s">
        <v>990</v>
      </c>
      <c r="I3" s="141" t="s">
        <v>505</v>
      </c>
      <c r="J3" s="1045"/>
      <c r="K3" s="1046" t="s">
        <v>373</v>
      </c>
      <c r="L3" s="1047" t="s">
        <v>991</v>
      </c>
      <c r="M3" s="1020" t="s">
        <v>771</v>
      </c>
      <c r="N3" s="1046" t="s">
        <v>373</v>
      </c>
      <c r="O3" s="1047" t="s">
        <v>991</v>
      </c>
      <c r="P3" s="1020" t="s">
        <v>771</v>
      </c>
      <c r="Q3" s="1046" t="s">
        <v>373</v>
      </c>
      <c r="R3" s="1047" t="s">
        <v>991</v>
      </c>
      <c r="S3" s="1020" t="s">
        <v>771</v>
      </c>
      <c r="T3" s="1046" t="s">
        <v>373</v>
      </c>
      <c r="U3" s="1047" t="s">
        <v>991</v>
      </c>
      <c r="V3" s="1020" t="s">
        <v>771</v>
      </c>
      <c r="W3" s="1041" t="s">
        <v>1017</v>
      </c>
      <c r="X3" s="1041" t="s">
        <v>1018</v>
      </c>
      <c r="Y3" s="141" t="s">
        <v>99</v>
      </c>
      <c r="Z3" s="155" t="s">
        <v>102</v>
      </c>
      <c r="AA3" s="1046" t="s">
        <v>373</v>
      </c>
      <c r="AB3" s="1047" t="s">
        <v>991</v>
      </c>
      <c r="AC3" s="1020" t="s">
        <v>771</v>
      </c>
      <c r="AD3" s="949"/>
      <c r="AE3" s="949"/>
      <c r="AF3" s="949"/>
      <c r="AG3" s="2129"/>
      <c r="AH3" s="949"/>
      <c r="AI3" s="949"/>
      <c r="AJ3" s="949"/>
      <c r="AK3" s="949"/>
      <c r="AL3" s="949"/>
      <c r="AM3" s="1108" t="s">
        <v>1033</v>
      </c>
      <c r="AN3" s="1096" t="s">
        <v>1065</v>
      </c>
      <c r="AO3" s="110" t="s">
        <v>1104</v>
      </c>
      <c r="AP3" s="1096" t="s">
        <v>1108</v>
      </c>
      <c r="AQ3" s="110" t="s">
        <v>1104</v>
      </c>
      <c r="AR3" s="110" t="s">
        <v>1067</v>
      </c>
      <c r="AS3" s="1096"/>
      <c r="AT3" s="110"/>
      <c r="AU3" s="110"/>
      <c r="AV3" s="110"/>
      <c r="AW3" s="949"/>
      <c r="AX3" s="949"/>
      <c r="AY3" s="949"/>
      <c r="AZ3" s="949"/>
      <c r="BA3" s="949"/>
      <c r="BB3" s="949"/>
      <c r="BC3" s="949"/>
      <c r="BD3" s="949"/>
      <c r="BE3" s="2267"/>
    </row>
    <row r="4" spans="1:57" ht="13.15" customHeight="1">
      <c r="A4" s="1115" t="s">
        <v>1026</v>
      </c>
      <c r="B4" s="84" t="s">
        <v>1006</v>
      </c>
      <c r="C4" s="111">
        <f>AVERAGE(C7:C28)</f>
        <v>17740.134909883913</v>
      </c>
      <c r="D4" s="1021"/>
      <c r="E4" s="1037">
        <f>AVERAGE(E7:E28)</f>
        <v>-2.3851064758710974E-2</v>
      </c>
      <c r="F4" s="1022"/>
      <c r="G4" s="117">
        <f>AVERAGE(G7:G28)</f>
        <v>16414.351914646257</v>
      </c>
      <c r="H4" s="114"/>
      <c r="I4" s="1036">
        <f>AVERAGE(I7:I28)</f>
        <v>1.9858789889507662</v>
      </c>
      <c r="J4" s="1036">
        <f>AVERAGE(J7:J28)</f>
        <v>3.421812134352884</v>
      </c>
      <c r="K4" s="130">
        <f>AVERAGE(K7:K28)</f>
        <v>5.7260094819520324</v>
      </c>
      <c r="L4" s="116"/>
      <c r="M4" s="129">
        <f>AVERAGE(M7:M28)</f>
        <v>5.6740755360468889</v>
      </c>
      <c r="N4" s="103">
        <f>AVERAGE(N7:N28)</f>
        <v>0.52235043496539046</v>
      </c>
      <c r="O4" s="148"/>
      <c r="P4" s="104">
        <f>AVERAGE(P7:P28)</f>
        <v>0.54476787389417491</v>
      </c>
      <c r="Q4" s="103">
        <f>AVERAGE(Q7:Q28)</f>
        <v>0.35910504197369392</v>
      </c>
      <c r="R4" s="148"/>
      <c r="S4" s="104">
        <f>AVERAGE(S7:S28)</f>
        <v>0.397913766092787</v>
      </c>
      <c r="T4" s="103">
        <f>AVERAGE(T7:T28)</f>
        <v>0.39802437502436577</v>
      </c>
      <c r="U4" s="148"/>
      <c r="V4" s="104">
        <f>AVERAGE(V7:V28)</f>
        <v>0.43949371451150621</v>
      </c>
      <c r="W4" s="116">
        <f>AVERAGE(W7:W28)</f>
        <v>3.8919333050671863E-2</v>
      </c>
      <c r="X4" s="116">
        <f>AVERAGE(X7:X28)</f>
        <v>0.14674042712667107</v>
      </c>
      <c r="Y4" s="80" t="s">
        <v>992</v>
      </c>
      <c r="Z4" s="85"/>
      <c r="AA4" s="130">
        <f>AVERAGE(AA7:AA28)</f>
        <v>2.1121798431666194</v>
      </c>
      <c r="AB4" s="149"/>
      <c r="AC4" s="129">
        <f>AVERAGE(AC7:AC28)</f>
        <v>2.2702022099742205</v>
      </c>
      <c r="AD4" s="949"/>
      <c r="AE4" s="949"/>
      <c r="AF4" s="949"/>
      <c r="AG4" s="2129"/>
      <c r="AH4" s="949"/>
      <c r="AI4" s="949"/>
      <c r="AJ4" s="949"/>
      <c r="AK4" s="949"/>
      <c r="AL4" s="949"/>
      <c r="AM4" s="1108" t="s">
        <v>1033</v>
      </c>
      <c r="AN4" s="1096" t="s">
        <v>1066</v>
      </c>
      <c r="AO4" s="110" t="s">
        <v>1104</v>
      </c>
      <c r="AP4" s="1096" t="s">
        <v>1108</v>
      </c>
      <c r="AQ4" s="110" t="s">
        <v>1104</v>
      </c>
      <c r="AR4" s="110" t="s">
        <v>1109</v>
      </c>
      <c r="AS4" s="949"/>
      <c r="AT4" s="110"/>
      <c r="AU4" s="110"/>
      <c r="AV4" s="110"/>
      <c r="AW4" s="949"/>
      <c r="AX4" s="949"/>
      <c r="AY4" s="949"/>
      <c r="AZ4" s="949"/>
      <c r="BA4" s="949"/>
      <c r="BB4" s="949"/>
      <c r="BC4" s="949"/>
      <c r="BD4" s="949"/>
      <c r="BE4" s="2267"/>
    </row>
    <row r="5" spans="1:57" ht="13.15" customHeight="1">
      <c r="A5" s="1115"/>
      <c r="B5" s="84" t="s">
        <v>1061</v>
      </c>
      <c r="C5" s="1151">
        <f>MEDIAN(C7:C28)</f>
        <v>6809.8359425385843</v>
      </c>
      <c r="D5" s="1021"/>
      <c r="E5" s="1254">
        <f>MEDIAN(E7:E28)</f>
        <v>-0.10847820549979714</v>
      </c>
      <c r="F5" s="1022"/>
      <c r="G5" s="117">
        <f>MEDIAN(G7:G28)</f>
        <v>6322.7299499999999</v>
      </c>
      <c r="H5" s="114"/>
      <c r="I5" s="1036"/>
      <c r="J5" s="1036"/>
      <c r="K5" s="130">
        <f>MEDIAN(K7:K28)</f>
        <v>5.3787450104472683</v>
      </c>
      <c r="L5" s="116"/>
      <c r="M5" s="129">
        <f>MEDIAN(M7:M28)</f>
        <v>5.3167016571932431</v>
      </c>
      <c r="N5" s="103">
        <f>MEDIAN(N7:N28)</f>
        <v>0.59396519891690203</v>
      </c>
      <c r="O5" s="148"/>
      <c r="P5" s="104">
        <f>MEDIAN(P7:P28)</f>
        <v>0.62359828525618355</v>
      </c>
      <c r="Q5" s="103">
        <f>MEDIAN(Q7:Q28)</f>
        <v>0.37592759247651186</v>
      </c>
      <c r="R5" s="148"/>
      <c r="S5" s="104">
        <f>MEDIAN(S7:S28)</f>
        <v>0.35324048893528481</v>
      </c>
      <c r="T5" s="103">
        <f>MEDIAN(T7:T28)</f>
        <v>0.43894270290351611</v>
      </c>
      <c r="U5" s="148"/>
      <c r="V5" s="104">
        <f>MEDIAN(V7:V28)</f>
        <v>0.44222220232602294</v>
      </c>
      <c r="W5" s="116">
        <f>MEDIAN(W7:W28)</f>
        <v>2.838003076872446E-2</v>
      </c>
      <c r="X5" s="116">
        <f>MEDIAN(X7:X28)</f>
        <v>0.10749583518266115</v>
      </c>
      <c r="Y5" s="80" t="s">
        <v>993</v>
      </c>
      <c r="Z5" s="85"/>
      <c r="AA5" s="130">
        <f>MEDIAN(AA7:AA28)</f>
        <v>2.1652734031482241</v>
      </c>
      <c r="AB5" s="149"/>
      <c r="AC5" s="129">
        <f>MEDIAN(AC7:AC28)</f>
        <v>2.266022980733382</v>
      </c>
      <c r="AD5" s="1092"/>
      <c r="AE5" s="1092"/>
      <c r="AF5" s="1092"/>
      <c r="AG5" s="2129"/>
      <c r="AH5" s="1092"/>
      <c r="AI5" s="1092"/>
      <c r="AJ5" s="1092"/>
      <c r="AK5" s="1092"/>
      <c r="AL5" s="1092"/>
      <c r="AM5" s="1108" t="s">
        <v>1033</v>
      </c>
      <c r="AN5" s="1096" t="s">
        <v>1068</v>
      </c>
      <c r="AO5" s="110" t="s">
        <v>1104</v>
      </c>
      <c r="AP5" s="1096" t="s">
        <v>766</v>
      </c>
      <c r="AQ5" s="110" t="s">
        <v>1104</v>
      </c>
      <c r="AR5" s="110" t="s">
        <v>1067</v>
      </c>
      <c r="AS5" s="110"/>
      <c r="AT5" s="110" t="s">
        <v>1070</v>
      </c>
      <c r="AU5" s="1092"/>
      <c r="AV5" s="110"/>
      <c r="AW5" s="1092"/>
      <c r="AX5" s="1092"/>
      <c r="AY5" s="1092"/>
      <c r="AZ5" s="1092"/>
      <c r="BA5" s="1092"/>
      <c r="BB5" s="1092"/>
      <c r="BC5" s="1092"/>
      <c r="BD5" s="1092"/>
      <c r="BE5" s="2267"/>
    </row>
    <row r="6" spans="1:57" ht="13.15" customHeight="1">
      <c r="A6" s="1116"/>
      <c r="B6" s="91" t="s">
        <v>1005</v>
      </c>
      <c r="C6" s="1048"/>
      <c r="D6" s="1049"/>
      <c r="E6" s="121">
        <f>CALCULATIONS!R33</f>
        <v>-0.10177557890563894</v>
      </c>
      <c r="F6" s="1050"/>
      <c r="G6" s="122"/>
      <c r="H6" s="1051"/>
      <c r="I6" s="1052">
        <f>SUMPRODUCT(I7:I28,$D$7:$D$28)</f>
        <v>1.5913950440925444</v>
      </c>
      <c r="J6" s="1052">
        <f>SUMPRODUCT(J7:J28,$H$7:$H$28)</f>
        <v>4.673281207346129</v>
      </c>
      <c r="K6" s="156">
        <f>SUMPRODUCT(K7:K28,$D$7:$D$28)</f>
        <v>6.1137144524634515</v>
      </c>
      <c r="L6" s="121"/>
      <c r="M6" s="157">
        <f>SUMPRODUCT(M7:M28,$H$7:$H$28)</f>
        <v>6.6507174838958312</v>
      </c>
      <c r="N6" s="158">
        <f>SUMPRODUCT(N7:N28,$D$7:$D$28)</f>
        <v>0.62585595875210631</v>
      </c>
      <c r="O6" s="121"/>
      <c r="P6" s="1053">
        <f>SUMPRODUCT(P7:P28,$H$7:$H$28)</f>
        <v>0.62875409332854482</v>
      </c>
      <c r="Q6" s="158">
        <f>SUMPRODUCT(Q7:Q28,$D$7:$D$28)</f>
        <v>0.36588419844568371</v>
      </c>
      <c r="R6" s="121"/>
      <c r="S6" s="1053">
        <f>SUMPRODUCT(S7:S28,$H$7:$H$28)</f>
        <v>0.35933567043362463</v>
      </c>
      <c r="T6" s="158">
        <f>SUMPRODUCT(T7:T28,$D$7:$D$28)</f>
        <v>0.4049663112071929</v>
      </c>
      <c r="U6" s="121"/>
      <c r="V6" s="1053">
        <f>SUMPRODUCT(V7:V28,$H$7:$H$28)</f>
        <v>0.40108137654546638</v>
      </c>
      <c r="W6" s="121">
        <f>SUMPRODUCT(W7:W28,$D$7:$D$28)</f>
        <v>3.908211276150933E-2</v>
      </c>
      <c r="X6" s="121">
        <f>SUMPRODUCT(X7:X28,$D$7:$D$28)</f>
        <v>0.12470220094796375</v>
      </c>
      <c r="Y6" s="89"/>
      <c r="Z6" s="1054"/>
      <c r="AA6" s="156">
        <f>SUMPRODUCT(AA7:AA28,$D$7:$D$28)</f>
        <v>2.2700754333431159</v>
      </c>
      <c r="AB6" s="159"/>
      <c r="AC6" s="157">
        <f>SUMPRODUCT(AC7:AC28,$H$7:$H$28)</f>
        <v>2.3687197914973996</v>
      </c>
      <c r="AD6" s="949"/>
      <c r="AE6" s="949"/>
      <c r="AF6" s="949"/>
      <c r="AG6" s="2129"/>
      <c r="AH6" s="110" t="s">
        <v>1033</v>
      </c>
      <c r="AI6" s="1109" t="s">
        <v>1034</v>
      </c>
      <c r="AJ6" s="1109" t="s">
        <v>1103</v>
      </c>
      <c r="AK6" s="949"/>
      <c r="AL6" s="949"/>
      <c r="AM6" s="1108" t="s">
        <v>1033</v>
      </c>
      <c r="AN6" s="1096" t="s">
        <v>1105</v>
      </c>
      <c r="AO6" s="110" t="s">
        <v>1104</v>
      </c>
      <c r="AP6" s="1096" t="s">
        <v>766</v>
      </c>
      <c r="AQ6" s="110" t="s">
        <v>1104</v>
      </c>
      <c r="AR6" s="110" t="s">
        <v>1109</v>
      </c>
      <c r="AS6" s="110"/>
      <c r="AT6" s="1109" t="s">
        <v>1069</v>
      </c>
      <c r="AU6" s="1109" t="s">
        <v>1071</v>
      </c>
      <c r="AV6" s="1109"/>
      <c r="AW6" s="79"/>
      <c r="AX6" s="949"/>
      <c r="AY6" s="949"/>
      <c r="AZ6" s="949"/>
      <c r="BA6" s="949"/>
      <c r="BB6" s="949"/>
      <c r="BC6" s="949"/>
      <c r="BD6" s="949"/>
      <c r="BE6" s="2335"/>
    </row>
    <row r="7" spans="1:57">
      <c r="A7" s="1122" t="s">
        <v>498</v>
      </c>
      <c r="B7" s="73" t="s">
        <v>52</v>
      </c>
      <c r="C7" s="115">
        <f>CALCULATIONS!P5</f>
        <v>40464.923042857146</v>
      </c>
      <c r="D7" s="113">
        <f t="shared" ref="D7:D28" si="0">C7/$C$4/$B$3</f>
        <v>0.1036809862557167</v>
      </c>
      <c r="E7" s="116">
        <f>CALCULATIONS!R5</f>
        <v>-6.1458653761923776E-2</v>
      </c>
      <c r="F7" s="116">
        <f>CALCULATIONS!T5</f>
        <v>4.0316925143715168E-2</v>
      </c>
      <c r="G7" s="117">
        <f>CALCULATIONS!N5</f>
        <v>39791.94</v>
      </c>
      <c r="H7" s="114">
        <f t="shared" ref="H7:H28" si="1">G7/$G$4/$B$3</f>
        <v>0.1101916514803518</v>
      </c>
      <c r="I7" s="1036">
        <f>CALCULATIONS!QN5</f>
        <v>1.0840589348936991</v>
      </c>
      <c r="J7" s="1036">
        <f>CALCULATIONS!QL5</f>
        <v>1.2733420800000002</v>
      </c>
      <c r="K7" s="130">
        <f>CALCULATIONS!GU5</f>
        <v>4.9157277486128619</v>
      </c>
      <c r="L7" s="116">
        <f>CALCULATIONS!GV5</f>
        <v>0.1448238320606966</v>
      </c>
      <c r="M7" s="129">
        <f>CALCULATIONS!GS5</f>
        <v>5.2964626193065953</v>
      </c>
      <c r="N7" s="103">
        <f>PROFILES!E255</f>
        <v>0.61</v>
      </c>
      <c r="O7" s="116">
        <f>PROFILES!N103</f>
        <v>0</v>
      </c>
      <c r="P7" s="104">
        <f>PROFILES!G255</f>
        <v>0.62983042679437373</v>
      </c>
      <c r="Q7" s="103">
        <f>CALCULATIONS!HO5</f>
        <v>0.51528895508035288</v>
      </c>
      <c r="R7" s="116">
        <f>CALCULATIONS!HP5</f>
        <v>-2.4931247740904369E-2</v>
      </c>
      <c r="S7" s="104">
        <f>CALCULATIONS!HM5</f>
        <v>0.51939744871548044</v>
      </c>
      <c r="T7" s="103">
        <f>CALCULATIONS!JA5</f>
        <v>0.58808850315066874</v>
      </c>
      <c r="U7" s="116">
        <f>CALCULATIONS!JB5</f>
        <v>-2.8226553900756759E-2</v>
      </c>
      <c r="V7" s="104">
        <f>CALCULATIONS!IY5</f>
        <v>0.59074959904524027</v>
      </c>
      <c r="W7" s="116">
        <f>T7-Q7</f>
        <v>7.2799548070315856E-2</v>
      </c>
      <c r="X7" s="116">
        <f>W7/Q7</f>
        <v>0.14127907721011346</v>
      </c>
      <c r="Y7" s="80" t="str">
        <f>VLOOKUP($B7,RATINGS!$B$96:$O$119,11,FALSE)</f>
        <v>BBB+</v>
      </c>
      <c r="Z7" s="1508" t="str">
        <f>VLOOKUP($B7,RATINGS!$B$96:$O$119,14,FALSE)</f>
        <v>=  =  =</v>
      </c>
      <c r="AA7" s="130">
        <f>CALCULATIONS!ML5</f>
        <v>2.7906818261625395</v>
      </c>
      <c r="AB7" s="149">
        <f>CALCULATIONS!MM5</f>
        <v>8.5841806528642844E-2</v>
      </c>
      <c r="AC7" s="129">
        <f>CALCULATIONS!MH5</f>
        <v>2.9178287645268703</v>
      </c>
      <c r="AD7" s="949"/>
      <c r="AE7" s="949"/>
      <c r="AF7" s="949"/>
      <c r="AG7" s="2129"/>
      <c r="AH7" s="1031" t="s">
        <v>52</v>
      </c>
      <c r="AI7" s="1110">
        <f>CALCULATIONS!S5</f>
        <v>-6.1458653761923776E-2</v>
      </c>
      <c r="AJ7" s="1111">
        <f>CALCULATIONS!GV5</f>
        <v>0.1448238320606966</v>
      </c>
      <c r="AK7" s="949"/>
      <c r="AL7" s="949"/>
      <c r="AM7" s="949"/>
      <c r="AN7" s="949"/>
      <c r="AO7" s="949"/>
      <c r="AP7" s="949"/>
      <c r="AQ7" s="949"/>
      <c r="AR7" s="949"/>
      <c r="AS7" s="949"/>
      <c r="AT7" s="1110">
        <f>CALCULATIONS!DI5</f>
        <v>-0.19590347661227198</v>
      </c>
      <c r="AU7" s="1111">
        <f>CALCULATIONS!AO5</f>
        <v>-0.1071192557907365</v>
      </c>
      <c r="AV7" s="1110"/>
      <c r="AW7" s="153"/>
      <c r="AX7" s="949"/>
      <c r="AY7" s="949"/>
      <c r="AZ7" s="949"/>
      <c r="BA7" s="949"/>
      <c r="BB7" s="949"/>
      <c r="BC7" s="949"/>
      <c r="BD7" s="949"/>
      <c r="BE7" s="2336"/>
    </row>
    <row r="8" spans="1:57">
      <c r="A8" s="1115" t="s">
        <v>385</v>
      </c>
      <c r="B8" s="73" t="s">
        <v>276</v>
      </c>
      <c r="C8" s="115">
        <f>CALCULATIONS!P6</f>
        <v>3544.0522571428578</v>
      </c>
      <c r="D8" s="113">
        <f t="shared" si="0"/>
        <v>9.0807248780183369E-3</v>
      </c>
      <c r="E8" s="116">
        <f>CALCULATIONS!R6</f>
        <v>-0.4675424361384804</v>
      </c>
      <c r="F8" s="116">
        <f>CALCULATIONS!T6</f>
        <v>-0.36576685723284147</v>
      </c>
      <c r="G8" s="117">
        <f>CALCULATIONS!N6</f>
        <v>2152.6311000000001</v>
      </c>
      <c r="H8" s="114">
        <f t="shared" si="1"/>
        <v>5.9610558303255963E-3</v>
      </c>
      <c r="I8" s="1036">
        <f>CALCULATIONS!QN6</f>
        <v>3.4941691326062152</v>
      </c>
      <c r="J8" s="1036">
        <f>CALCULATIONS!QL6</f>
        <v>2.2961398399999999</v>
      </c>
      <c r="K8" s="130">
        <f>CALCULATIONS!GU6</f>
        <v>4.4246190982470868</v>
      </c>
      <c r="L8" s="116">
        <f>CALCULATIONS!GV6</f>
        <v>-2.9835823683801648E-2</v>
      </c>
      <c r="M8" s="129">
        <f>CALCULATIONS!GS6</f>
        <v>4.0530525032062261</v>
      </c>
      <c r="N8" s="103">
        <f>PROFILES!E256</f>
        <v>0.60910298289809772</v>
      </c>
      <c r="O8" s="116">
        <f>PROFILES!N104</f>
        <v>-5.2071170724915891E-2</v>
      </c>
      <c r="P8" s="104">
        <f>PROFILES!G256</f>
        <v>0.6207941242005639</v>
      </c>
      <c r="Q8" s="103">
        <f>CALCULATIONS!HO6</f>
        <v>0.49050145598877937</v>
      </c>
      <c r="R8" s="116">
        <f>CALCULATIONS!HP6</f>
        <v>0.42102559519407173</v>
      </c>
      <c r="S8" s="104">
        <f>CALCULATIONS!HM6</f>
        <v>0.61744816018521742</v>
      </c>
      <c r="T8" s="103">
        <f>CALCULATIONS!JA6</f>
        <v>0.49698573886957192</v>
      </c>
      <c r="U8" s="116">
        <f>CALCULATIONS!JB6</f>
        <v>0.41032171167013903</v>
      </c>
      <c r="V8" s="104">
        <f>CALCULATIONS!IY6</f>
        <v>0.62319136029119382</v>
      </c>
      <c r="W8" s="116">
        <f t="shared" ref="W8:W28" si="2">T8-Q8</f>
        <v>6.4842828807925579E-3</v>
      </c>
      <c r="X8" s="116">
        <f t="shared" ref="X8:X28" si="3">W8/Q8</f>
        <v>1.3219701596443154E-2</v>
      </c>
      <c r="Y8" s="80" t="str">
        <f>VLOOKUP($B8,RATINGS!$B$96:$O$119,11,FALSE)</f>
        <v>BBB</v>
      </c>
      <c r="Z8" s="1508" t="str">
        <f>VLOOKUP($B8,RATINGS!$B$96:$O$119,14,FALSE)</f>
        <v>=  ¯ -</v>
      </c>
      <c r="AA8" s="130">
        <f>CALCULATIONS!ML6</f>
        <v>2.1902281092407181</v>
      </c>
      <c r="AB8" s="149">
        <f>CALCULATIONS!MM6</f>
        <v>0.36844726500440206</v>
      </c>
      <c r="AC8" s="129">
        <f>CALCULATIONS!MH6</f>
        <v>2.5252968522290931</v>
      </c>
      <c r="AD8" s="949"/>
      <c r="AE8" s="949"/>
      <c r="AF8" s="949"/>
      <c r="AG8" s="2129"/>
      <c r="AH8" s="1031" t="s">
        <v>276</v>
      </c>
      <c r="AI8" s="1110">
        <f>CALCULATIONS!S6</f>
        <v>-0.4675424361384804</v>
      </c>
      <c r="AJ8" s="1111">
        <f>CALCULATIONS!GV6</f>
        <v>-2.9835823683801648E-2</v>
      </c>
      <c r="AK8" s="949"/>
      <c r="AL8" s="949"/>
      <c r="AM8" s="949"/>
      <c r="AN8" s="949"/>
      <c r="AO8" s="949"/>
      <c r="AP8" s="949"/>
      <c r="AQ8" s="949"/>
      <c r="AR8" s="949"/>
      <c r="AS8" s="949"/>
      <c r="AT8" s="1110">
        <f>CALCULATIONS!DI6</f>
        <v>-0.18840898197484937</v>
      </c>
      <c r="AU8" s="1111">
        <f>CALCULATIONS!AO6</f>
        <v>-0.22424914248692834</v>
      </c>
      <c r="AV8" s="1110"/>
      <c r="AW8" s="153"/>
      <c r="AX8" s="949"/>
      <c r="AY8" s="949"/>
      <c r="AZ8" s="949"/>
      <c r="BA8" s="949"/>
      <c r="BB8" s="949"/>
      <c r="BC8" s="949"/>
      <c r="BD8" s="949"/>
      <c r="BE8" s="2336"/>
    </row>
    <row r="9" spans="1:57">
      <c r="A9" s="1117" t="s">
        <v>319</v>
      </c>
      <c r="B9" s="691" t="s">
        <v>750</v>
      </c>
      <c r="C9" s="1006">
        <f>CALCULATIONS!P7</f>
        <v>7616.907214285714</v>
      </c>
      <c r="D9" s="1007">
        <f t="shared" si="0"/>
        <v>1.9516371039653539E-2</v>
      </c>
      <c r="E9" s="1008">
        <f>CALCULATIONS!R7</f>
        <v>-0.33365525120929096</v>
      </c>
      <c r="F9" s="1008">
        <f>CALCULATIONS!T7</f>
        <v>-0.23187967230365203</v>
      </c>
      <c r="G9" s="1009">
        <f>CALCULATIONS!N7</f>
        <v>5825.8631999999998</v>
      </c>
      <c r="H9" s="1010">
        <f t="shared" si="1"/>
        <v>1.6132952736323161E-2</v>
      </c>
      <c r="I9" s="1038">
        <f>CALCULATIONS!QN7</f>
        <v>2.4107651340270966</v>
      </c>
      <c r="J9" s="1038">
        <f>CALCULATIONS!QL7</f>
        <v>2.0327505931612002</v>
      </c>
      <c r="K9" s="1011">
        <f>CALCULATIONS!GU7</f>
        <v>4.7469851722287064</v>
      </c>
      <c r="L9" s="1008">
        <f>CALCULATIONS!GV7</f>
        <v>0.1951757211867983</v>
      </c>
      <c r="M9" s="1012">
        <f>CALCULATIONS!GS7</f>
        <v>4.6619962755533297</v>
      </c>
      <c r="N9" s="1013">
        <f>PROFILES!E257</f>
        <v>0.37158673775730477</v>
      </c>
      <c r="O9" s="1008">
        <f>PROFILES!N105</f>
        <v>-0.1153634304384116</v>
      </c>
      <c r="P9" s="1014">
        <f>PROFILES!G257</f>
        <v>0.36037883142173305</v>
      </c>
      <c r="Q9" s="1013">
        <f>CALCULATIONS!HO7</f>
        <v>0.17383796150947908</v>
      </c>
      <c r="R9" s="1008">
        <f>CALCULATIONS!HP7</f>
        <v>0.54445307336528614</v>
      </c>
      <c r="S9" s="1014">
        <f>CALCULATIONS!HM7</f>
        <v>0.26356163003804695</v>
      </c>
      <c r="T9" s="1013">
        <f>CALCULATIONS!JA7</f>
        <v>0.19702478682132593</v>
      </c>
      <c r="U9" s="1008">
        <f>CALCULATIONS!JB7</f>
        <v>0.50034734616182497</v>
      </c>
      <c r="V9" s="1014">
        <f>CALCULATIONS!IY7</f>
        <v>0.28756363720088318</v>
      </c>
      <c r="W9" s="1008">
        <f t="shared" si="2"/>
        <v>2.3186825311846848E-2</v>
      </c>
      <c r="X9" s="1008">
        <f t="shared" si="3"/>
        <v>0.13338182932260462</v>
      </c>
      <c r="Y9" s="1016" t="str">
        <f>VLOOKUP($B9,RATINGS!$B$96:$O$119,11,FALSE)</f>
        <v>A</v>
      </c>
      <c r="Z9" s="1709" t="str">
        <f>VLOOKUP($B9,RATINGS!$B$96:$O$119,14,FALSE)</f>
        <v>=  =  -</v>
      </c>
      <c r="AA9" s="1011">
        <f>CALCULATIONS!ML7</f>
        <v>0.93248540191552354</v>
      </c>
      <c r="AB9" s="1015">
        <f>CALCULATIONS!MM7</f>
        <v>0.78949919521054279</v>
      </c>
      <c r="AC9" s="1012">
        <f>CALCULATIONS!MH7</f>
        <v>1.3109622071604587</v>
      </c>
      <c r="AD9" s="92"/>
      <c r="AE9" s="92"/>
      <c r="AF9" s="92"/>
      <c r="AG9" s="92"/>
      <c r="AH9" s="1112" t="s">
        <v>750</v>
      </c>
      <c r="AI9" s="1113">
        <f>CALCULATIONS!S7</f>
        <v>-0.33365525120929096</v>
      </c>
      <c r="AJ9" s="1111">
        <f>CALCULATIONS!GV7</f>
        <v>0.1951757211867983</v>
      </c>
      <c r="AK9" s="92"/>
      <c r="AL9" s="92"/>
      <c r="AM9" s="92"/>
      <c r="AN9" s="92"/>
      <c r="AO9" s="92"/>
      <c r="AP9" s="92"/>
      <c r="AQ9" s="92"/>
      <c r="AR9" s="92"/>
      <c r="AS9" s="92"/>
      <c r="AT9" s="1110">
        <f>CALCULATIONS!DI7</f>
        <v>-0.36858359461916135</v>
      </c>
      <c r="AU9" s="1111">
        <f>CALCULATIONS!AO7</f>
        <v>-0.24170472635175672</v>
      </c>
      <c r="AV9" s="1110"/>
      <c r="AW9" s="153"/>
      <c r="AX9" s="92"/>
      <c r="AY9" s="92"/>
      <c r="AZ9" s="92"/>
      <c r="BA9" s="92"/>
      <c r="BB9" s="92"/>
      <c r="BC9" s="92"/>
      <c r="BD9" s="92"/>
      <c r="BE9" s="2336"/>
    </row>
    <row r="10" spans="1:57">
      <c r="A10" s="1117" t="s">
        <v>319</v>
      </c>
      <c r="B10" s="691" t="s">
        <v>751</v>
      </c>
      <c r="C10" s="1006">
        <f>CALCULATIONS!P8</f>
        <v>2121.4584571428572</v>
      </c>
      <c r="D10" s="1007">
        <f t="shared" si="0"/>
        <v>5.4356931534045982E-3</v>
      </c>
      <c r="E10" s="1008">
        <f>CALCULATIONS!R8</f>
        <v>-0.63331383871554725</v>
      </c>
      <c r="F10" s="1008">
        <f>CALCULATIONS!T8</f>
        <v>-0.53153825980990832</v>
      </c>
      <c r="G10" s="1009">
        <f>CALCULATIONS!N8</f>
        <v>960.23059999999998</v>
      </c>
      <c r="H10" s="1010">
        <f t="shared" si="1"/>
        <v>2.6590660223142948E-3</v>
      </c>
      <c r="I10" s="1038">
        <f>CALCULATIONS!QN8</f>
        <v>6.3820660890696566</v>
      </c>
      <c r="J10" s="1038">
        <f>CALCULATIONS!QL8</f>
        <v>3.126768479322696</v>
      </c>
      <c r="K10" s="1011">
        <f>CALCULATIONS!GU8</f>
        <v>4.988018554669714</v>
      </c>
      <c r="L10" s="1008">
        <f>CALCULATIONS!GV8</f>
        <v>-0.2975700901517318</v>
      </c>
      <c r="M10" s="1012">
        <f>CALCULATIONS!GS8</f>
        <v>3.6764587184436395</v>
      </c>
      <c r="N10" s="1013">
        <f>PROFILES!E258</f>
        <v>0.95644485424869818</v>
      </c>
      <c r="O10" s="1008">
        <f>PROFILES!N106</f>
        <v>5.7346309608293736E-3</v>
      </c>
      <c r="P10" s="1014">
        <f>PROFILES!G258</f>
        <v>0.97265268915223335</v>
      </c>
      <c r="Q10" s="1013">
        <f>CALCULATIONS!HO8</f>
        <v>0.16489915086810925</v>
      </c>
      <c r="R10" s="1008">
        <f>CALCULATIONS!HP8</f>
        <v>2.0043608623878186</v>
      </c>
      <c r="S10" s="1014">
        <f>CALCULATIONS!HM8</f>
        <v>0.32988338723452482</v>
      </c>
      <c r="T10" s="1013">
        <f>CALCULATIONS!JA8</f>
        <v>0.27218937885351913</v>
      </c>
      <c r="U10" s="1008">
        <f>CALCULATIONS!JB8</f>
        <v>1.2181747217666232</v>
      </c>
      <c r="V10" s="1014">
        <f>CALCULATIONS!IY8</f>
        <v>0.4561905930983241</v>
      </c>
      <c r="W10" s="1008">
        <f t="shared" si="2"/>
        <v>0.10729022798540988</v>
      </c>
      <c r="X10" s="1008">
        <f t="shared" si="3"/>
        <v>0.65064148250965514</v>
      </c>
      <c r="Y10" s="1016" t="str">
        <f>VLOOKUP($B10,RATINGS!$B$96:$O$119,11,FALSE)</f>
        <v>Not rated</v>
      </c>
      <c r="Z10" s="1709"/>
      <c r="AA10" s="1011">
        <f>CALCULATIONS!ML8</f>
        <v>1.2440956586918632</v>
      </c>
      <c r="AB10" s="1015">
        <f>CALCULATIONS!MM8</f>
        <v>0.5581122698382367</v>
      </c>
      <c r="AC10" s="1012">
        <f>CALCULATIONS!MH8</f>
        <v>1.6771658832683087</v>
      </c>
      <c r="AD10" s="92"/>
      <c r="AE10" s="92"/>
      <c r="AF10" s="92"/>
      <c r="AG10" s="92"/>
      <c r="AH10" s="1112" t="s">
        <v>751</v>
      </c>
      <c r="AI10" s="1113">
        <f>CALCULATIONS!S8</f>
        <v>-0.63331383871554725</v>
      </c>
      <c r="AJ10" s="1111">
        <f>CALCULATIONS!GV8</f>
        <v>-0.2975700901517318</v>
      </c>
      <c r="AK10" s="92"/>
      <c r="AL10" s="92"/>
      <c r="AM10" s="92"/>
      <c r="AN10" s="92"/>
      <c r="AO10" s="92"/>
      <c r="AP10" s="92"/>
      <c r="AQ10" s="92"/>
      <c r="AR10" s="92"/>
      <c r="AS10" s="92"/>
      <c r="AT10" s="1110">
        <f>CALCULATIONS!DI8</f>
        <v>-0.22405114665014861</v>
      </c>
      <c r="AU10" s="1111">
        <f>CALCULATIONS!AO8</f>
        <v>-0.51144797283872656</v>
      </c>
      <c r="AV10" s="1110"/>
      <c r="AW10" s="153"/>
      <c r="AX10" s="92"/>
      <c r="AY10" s="92"/>
      <c r="AZ10" s="92"/>
      <c r="BA10" s="92"/>
      <c r="BB10" s="92"/>
      <c r="BC10" s="92"/>
      <c r="BD10" s="92"/>
      <c r="BE10" s="2336"/>
    </row>
    <row r="11" spans="1:57">
      <c r="A11" s="1117" t="s">
        <v>319</v>
      </c>
      <c r="B11" s="691" t="s">
        <v>752</v>
      </c>
      <c r="C11" s="1006">
        <f>CALCULATIONS!P9</f>
        <v>3541.6238999999996</v>
      </c>
      <c r="D11" s="1007">
        <f t="shared" si="0"/>
        <v>9.0745028357006995E-3</v>
      </c>
      <c r="E11" s="1008">
        <f>CALCULATIONS!R9</f>
        <v>0.67327297771392325</v>
      </c>
      <c r="F11" s="1008">
        <f>CALCULATIONS!T9</f>
        <v>0.77504855661956218</v>
      </c>
      <c r="G11" s="1009">
        <f>CALCULATIONS!N9</f>
        <v>4048.9897999999998</v>
      </c>
      <c r="H11" s="1010">
        <f t="shared" si="1"/>
        <v>1.1212443346293226E-2</v>
      </c>
      <c r="I11" s="1038">
        <f>CALCULATIONS!QN9</f>
        <v>-1.4186196832586249</v>
      </c>
      <c r="J11" s="1038">
        <f>CALCULATIONS!QL9</f>
        <v>-2.7147098893731143</v>
      </c>
      <c r="K11" s="1011">
        <f>CALCULATIONS!GU9</f>
        <v>8.5213348378460623</v>
      </c>
      <c r="L11" s="1008">
        <f>CALCULATIONS!GV9</f>
        <v>0.26215680659638446</v>
      </c>
      <c r="M11" s="1012">
        <f>CALCULATIONS!GS9</f>
        <v>9.0506669895995948</v>
      </c>
      <c r="N11" s="1013">
        <f>PROFILES!E259</f>
        <v>6.4385445236561381E-2</v>
      </c>
      <c r="O11" s="1008">
        <f>PROFILES!N107</f>
        <v>14.697799124913645</v>
      </c>
      <c r="P11" s="1014">
        <f>PROFILES!G259</f>
        <v>0.15462918080465343</v>
      </c>
      <c r="Q11" s="1013">
        <f>CALCULATIONS!HO9</f>
        <v>0.42399287000325037</v>
      </c>
      <c r="R11" s="1008">
        <f>CALCULATIONS!HP9</f>
        <v>4.5742782667206161E-2</v>
      </c>
      <c r="S11" s="1014">
        <f>CALCULATIONS!HM9</f>
        <v>0.48144640266975475</v>
      </c>
      <c r="T11" s="1013">
        <f>CALCULATIONS!JA9</f>
        <v>0.42695023434228802</v>
      </c>
      <c r="U11" s="1008">
        <f>CALCULATIONS!JB9</f>
        <v>4.1366838913311048E-2</v>
      </c>
      <c r="V11" s="1014">
        <f>CALCULATIONS!IY9</f>
        <v>0.4832654138496531</v>
      </c>
      <c r="W11" s="1008">
        <f t="shared" si="2"/>
        <v>2.9573643390376492E-3</v>
      </c>
      <c r="X11" s="1008">
        <f t="shared" si="3"/>
        <v>6.9750331863245195E-3</v>
      </c>
      <c r="Y11" s="1016" t="str">
        <f>VLOOKUP($B11,RATINGS!$B$96:$O$119,11,FALSE)</f>
        <v>B+</v>
      </c>
      <c r="Z11" s="1709" t="str">
        <f>VLOOKUP($B11,RATINGS!$B$96:$O$119,14,FALSE)</f>
        <v>=  =  =</v>
      </c>
      <c r="AA11" s="1011">
        <f>CALCULATIONS!ML9</f>
        <v>3.7014756930154613</v>
      </c>
      <c r="AB11" s="1015">
        <f>CALCULATIONS!MM9</f>
        <v>0.31334582285320112</v>
      </c>
      <c r="AC11" s="1012">
        <f>CALCULATIONS!MH9</f>
        <v>4.3704719780651446</v>
      </c>
      <c r="AD11" s="92"/>
      <c r="AE11" s="92"/>
      <c r="AF11" s="92"/>
      <c r="AG11" s="92"/>
      <c r="AH11" s="1112" t="s">
        <v>752</v>
      </c>
      <c r="AI11" s="1113">
        <f>CALCULATIONS!S9</f>
        <v>0.67327297771392325</v>
      </c>
      <c r="AJ11" s="1111">
        <f>CALCULATIONS!GV9</f>
        <v>0.26215680659638446</v>
      </c>
      <c r="AK11" s="92"/>
      <c r="AL11" s="92"/>
      <c r="AM11" s="92"/>
      <c r="AN11" s="92"/>
      <c r="AO11" s="92"/>
      <c r="AP11" s="92"/>
      <c r="AQ11" s="92"/>
      <c r="AR11" s="92"/>
      <c r="AS11" s="92"/>
      <c r="AT11" s="1110">
        <f>CALCULATIONS!DI9</f>
        <v>0.3233382549853614</v>
      </c>
      <c r="AU11" s="1111">
        <f>CALCULATIONS!AO9</f>
        <v>0.66504312360335338</v>
      </c>
      <c r="AV11" s="1110"/>
      <c r="AW11" s="153"/>
      <c r="AX11" s="92"/>
      <c r="AY11" s="92"/>
      <c r="AZ11" s="92"/>
      <c r="BA11" s="92"/>
      <c r="BB11" s="92"/>
      <c r="BC11" s="92"/>
      <c r="BD11" s="92"/>
      <c r="BE11" s="2336"/>
    </row>
    <row r="12" spans="1:57">
      <c r="A12" s="1115" t="s">
        <v>539</v>
      </c>
      <c r="B12" s="73" t="s">
        <v>39</v>
      </c>
      <c r="C12" s="115">
        <f>CALCULATIONS!P10</f>
        <v>5059.5155870714543</v>
      </c>
      <c r="D12" s="113">
        <f t="shared" si="0"/>
        <v>1.2963710952524294E-2</v>
      </c>
      <c r="E12" s="116">
        <f>CALCULATIONS!R10</f>
        <v>-0.13366823909704381</v>
      </c>
      <c r="F12" s="116">
        <f>CALCULATIONS!T10</f>
        <v>-3.1892660191404867E-2</v>
      </c>
      <c r="G12" s="117">
        <f>CALCULATIONS!N10</f>
        <v>5057.8123335929276</v>
      </c>
      <c r="H12" s="114">
        <f t="shared" si="1"/>
        <v>1.4006069920599414E-2</v>
      </c>
      <c r="I12" s="1036">
        <f>CALCULATIONS!QN10</f>
        <v>1.6858649053444912</v>
      </c>
      <c r="J12" s="1036">
        <f>CALCULATIONS!QL10</f>
        <v>1.7703056194544857</v>
      </c>
      <c r="K12" s="130">
        <f>CALCULATIONS!GU10</f>
        <v>6.1343182706324946</v>
      </c>
      <c r="L12" s="116">
        <f>CALCULATIONS!GV10</f>
        <v>-0.19036897853308513</v>
      </c>
      <c r="M12" s="129">
        <f>CALCULATIONS!GS10</f>
        <v>5.9052222685092017</v>
      </c>
      <c r="N12" s="103">
        <f>PROFILES!E260</f>
        <v>0.31054928118178421</v>
      </c>
      <c r="O12" s="116">
        <f>PROFILES!N108</f>
        <v>-0.11491916916279199</v>
      </c>
      <c r="P12" s="104">
        <f>PROFILES!G260</f>
        <v>0.28165979767703259</v>
      </c>
      <c r="Q12" s="103">
        <f>CALCULATIONS!HO10</f>
        <v>0.3899242463002407</v>
      </c>
      <c r="R12" s="116">
        <f>CALCULATIONS!HP10</f>
        <v>-0.1197676600756727</v>
      </c>
      <c r="S12" s="104">
        <f>CALCULATIONS!HM10</f>
        <v>0.37944762378701169</v>
      </c>
      <c r="T12" s="103">
        <f>CALCULATIONS!JA10</f>
        <v>0.45093517146474416</v>
      </c>
      <c r="U12" s="116">
        <f>CALCULATIONS!JB10</f>
        <v>-8.3572610535330494E-2</v>
      </c>
      <c r="V12" s="104">
        <f>CALCULATIONS!IY10</f>
        <v>0.43916945384982109</v>
      </c>
      <c r="W12" s="116">
        <f t="shared" si="2"/>
        <v>6.101092516450346E-2</v>
      </c>
      <c r="X12" s="116">
        <f t="shared" si="3"/>
        <v>0.15646866216553562</v>
      </c>
      <c r="Y12" s="80" t="str">
        <f>VLOOKUP($B12,RATINGS!$B$96:$O$119,11,FALSE)</f>
        <v>BBB</v>
      </c>
      <c r="Z12" s="1508" t="str">
        <f>VLOOKUP($B12,RATINGS!$B$96:$O$119,14,FALSE)</f>
        <v>­  = =</v>
      </c>
      <c r="AA12" s="130">
        <f>CALCULATIONS!ML10</f>
        <v>2.6587814840492587</v>
      </c>
      <c r="AB12" s="149">
        <f>CALCULATIONS!MM10</f>
        <v>-0.25803195656746131</v>
      </c>
      <c r="AC12" s="129">
        <f>CALCULATIONS!MH10</f>
        <v>2.5933932385229874</v>
      </c>
      <c r="AD12" s="949"/>
      <c r="AE12" s="949"/>
      <c r="AF12" s="949"/>
      <c r="AG12" s="2129"/>
      <c r="AH12" s="1031" t="s">
        <v>39</v>
      </c>
      <c r="AI12" s="1110">
        <f>CALCULATIONS!S10</f>
        <v>-0.13319325612948257</v>
      </c>
      <c r="AJ12" s="1111">
        <f>CALCULATIONS!GV10</f>
        <v>-0.19036897853308513</v>
      </c>
      <c r="AK12" s="949"/>
      <c r="AL12" s="949"/>
      <c r="AM12" s="949"/>
      <c r="AN12" s="949"/>
      <c r="AO12" s="949"/>
      <c r="AP12" s="949"/>
      <c r="AQ12" s="949"/>
      <c r="AR12" s="949"/>
      <c r="AS12" s="949"/>
      <c r="AT12" s="1110">
        <f>CALCULATIONS!DI10</f>
        <v>2.0227739352926408E-2</v>
      </c>
      <c r="AU12" s="1111">
        <f>CALCULATIONS!AO10</f>
        <v>-0.23481453117049869</v>
      </c>
      <c r="AV12" s="1110"/>
      <c r="AW12" s="153"/>
      <c r="AX12" s="949"/>
      <c r="AY12" s="949"/>
      <c r="AZ12" s="949"/>
      <c r="BA12" s="949"/>
      <c r="BB12" s="949"/>
      <c r="BC12" s="949"/>
      <c r="BD12" s="949"/>
      <c r="BE12" s="2336"/>
    </row>
    <row r="13" spans="1:57">
      <c r="A13" s="1115" t="s">
        <v>217</v>
      </c>
      <c r="B13" s="73" t="s">
        <v>53</v>
      </c>
      <c r="C13" s="115">
        <f>CALCULATIONS!P11</f>
        <v>60036.853628571422</v>
      </c>
      <c r="D13" s="113">
        <f t="shared" si="0"/>
        <v>0.15382903828354536</v>
      </c>
      <c r="E13" s="116">
        <f>CALCULATIONS!R11</f>
        <v>-0.3618479655094986</v>
      </c>
      <c r="F13" s="116">
        <f>CALCULATIONS!T11</f>
        <v>-0.26007238660385967</v>
      </c>
      <c r="G13" s="117">
        <f>CALCULATIONS!N11</f>
        <v>44430.485000000001</v>
      </c>
      <c r="H13" s="114">
        <f t="shared" si="1"/>
        <v>0.1230366882897139</v>
      </c>
      <c r="I13" s="1036">
        <f>CALCULATIONS!QN11</f>
        <v>2.2644833808097031</v>
      </c>
      <c r="J13" s="1036">
        <f>CALCULATIONS!QL11</f>
        <v>1.7716210773954304</v>
      </c>
      <c r="K13" s="130">
        <f>CALCULATIONS!GU11</f>
        <v>5.7304428558288603</v>
      </c>
      <c r="L13" s="116">
        <f>CALCULATIONS!GV11</f>
        <v>-7.3155042359885195E-2</v>
      </c>
      <c r="M13" s="129">
        <f>CALCULATIONS!GS11</f>
        <v>5.1937231412225326</v>
      </c>
      <c r="N13" s="103">
        <f>PROFILES!E261</f>
        <v>0.6158872479982318</v>
      </c>
      <c r="O13" s="116">
        <f>PROFILES!N109</f>
        <v>0.11044311863454735</v>
      </c>
      <c r="P13" s="104">
        <f>PROFILES!G261</f>
        <v>0.66127040038880336</v>
      </c>
      <c r="Q13" s="103">
        <f>CALCULATIONS!HO11</f>
        <v>0.48384306036910518</v>
      </c>
      <c r="R13" s="116">
        <f>CALCULATIONS!HP11</f>
        <v>0.2595878527386451</v>
      </c>
      <c r="S13" s="104">
        <f>CALCULATIONS!HM11</f>
        <v>0.54381370963962039</v>
      </c>
      <c r="T13" s="103">
        <f>CALCULATIONS!JA11</f>
        <v>0.51513010935716153</v>
      </c>
      <c r="U13" s="116">
        <f>CALCULATIONS!JB11</f>
        <v>0.26130995158024306</v>
      </c>
      <c r="V13" s="104">
        <f>CALCULATIONS!IY11</f>
        <v>0.57929804018594233</v>
      </c>
      <c r="W13" s="116">
        <f t="shared" si="2"/>
        <v>3.1287048988056343E-2</v>
      </c>
      <c r="X13" s="116">
        <f t="shared" si="3"/>
        <v>6.4663630732222685E-2</v>
      </c>
      <c r="Y13" s="80" t="str">
        <f>VLOOKUP($B13,RATINGS!$B$96:$O$119,11,FALSE)</f>
        <v>BBB</v>
      </c>
      <c r="Z13" s="1508" t="str">
        <f>VLOOKUP($B13,RATINGS!$B$96:$O$119,14,FALSE)</f>
        <v>¯  ¯ ¯</v>
      </c>
      <c r="AA13" s="130">
        <f>CALCULATIONS!ML11</f>
        <v>2.7929780820851775</v>
      </c>
      <c r="AB13" s="149">
        <f>CALCULATIONS!MM11</f>
        <v>0.12404595260605845</v>
      </c>
      <c r="AC13" s="129">
        <f>CALCULATIONS!MH11</f>
        <v>2.8353348809740444</v>
      </c>
      <c r="AD13" s="949"/>
      <c r="AE13" s="949"/>
      <c r="AF13" s="949"/>
      <c r="AG13" s="2129"/>
      <c r="AH13" s="1031" t="s">
        <v>53</v>
      </c>
      <c r="AI13" s="1110">
        <f>CALCULATIONS!S11</f>
        <v>-0.3618479655094986</v>
      </c>
      <c r="AJ13" s="1111">
        <f>CALCULATIONS!GV11</f>
        <v>-7.3155042359885195E-2</v>
      </c>
      <c r="AK13" s="949"/>
      <c r="AL13" s="949"/>
      <c r="AM13" s="949"/>
      <c r="AN13" s="949"/>
      <c r="AO13" s="949"/>
      <c r="AP13" s="949"/>
      <c r="AQ13" s="949"/>
      <c r="AR13" s="949"/>
      <c r="AS13" s="949"/>
      <c r="AT13" s="1110">
        <f>CALCULATIONS!DI11</f>
        <v>-8.1919538369347927E-2</v>
      </c>
      <c r="AU13" s="1111">
        <f>CALCULATIONS!AO11</f>
        <v>-0.16413843679188345</v>
      </c>
      <c r="AV13" s="1110"/>
      <c r="AW13" s="153"/>
      <c r="AX13" s="949"/>
      <c r="AY13" s="949"/>
      <c r="AZ13" s="949"/>
      <c r="BA13" s="949"/>
      <c r="BB13" s="949"/>
      <c r="BC13" s="949"/>
      <c r="BD13" s="949"/>
      <c r="BE13" s="2336"/>
    </row>
    <row r="14" spans="1:57">
      <c r="A14" s="1115" t="s">
        <v>73</v>
      </c>
      <c r="B14" s="73" t="s">
        <v>283</v>
      </c>
      <c r="C14" s="115">
        <f>CALCULATIONS!P12</f>
        <v>2461.5190857142857</v>
      </c>
      <c r="D14" s="113">
        <f t="shared" si="0"/>
        <v>6.3070112903421734E-3</v>
      </c>
      <c r="E14" s="116">
        <f>CALCULATIONS!R12</f>
        <v>6.738754525599433E-2</v>
      </c>
      <c r="F14" s="116">
        <f>CALCULATIONS!T12</f>
        <v>0.16916312416163326</v>
      </c>
      <c r="G14" s="117">
        <f>CALCULATIONS!N12</f>
        <v>2364.3629999999998</v>
      </c>
      <c r="H14" s="114">
        <f t="shared" si="1"/>
        <v>6.5473828033777437E-3</v>
      </c>
      <c r="I14" s="1036">
        <f>CALCULATIONS!QN12</f>
        <v>3.1397518024733277</v>
      </c>
      <c r="J14" s="1036">
        <f>CALCULATIONS!QL12</f>
        <v>3.0995844257996854</v>
      </c>
      <c r="K14" s="130">
        <f>CALCULATIONS!GU12</f>
        <v>6.6917014692746157</v>
      </c>
      <c r="L14" s="116">
        <f>CALCULATIONS!GV12</f>
        <v>0.14721542174528052</v>
      </c>
      <c r="M14" s="129">
        <f>CALCULATIONS!GS12</f>
        <v>7.0127743881429545</v>
      </c>
      <c r="N14" s="103">
        <f>PROFILES!E262</f>
        <v>0.62657499999999999</v>
      </c>
      <c r="O14" s="116">
        <f>PROFILES!N110</f>
        <v>5.5614710459497153E-2</v>
      </c>
      <c r="P14" s="104">
        <f>PROFILES!G262</f>
        <v>0.64439999999999997</v>
      </c>
      <c r="Q14" s="103">
        <f>CALCULATIONS!HO12</f>
        <v>0.24190098439360719</v>
      </c>
      <c r="R14" s="116">
        <f>CALCULATIONS!HP12</f>
        <v>0.20667512064869559</v>
      </c>
      <c r="S14" s="104">
        <f>CALCULATIONS!HM12</f>
        <v>0.30597960586046052</v>
      </c>
      <c r="T14" s="103">
        <f>CALCULATIONS!JA12</f>
        <v>0.2616424852780464</v>
      </c>
      <c r="U14" s="116">
        <f>CALCULATIONS!JB12</f>
        <v>0.20296552626351777</v>
      </c>
      <c r="V14" s="104">
        <f>CALCULATIONS!IY12</f>
        <v>0.32061814749302248</v>
      </c>
      <c r="W14" s="116">
        <f t="shared" si="2"/>
        <v>1.9741500884439211E-2</v>
      </c>
      <c r="X14" s="116">
        <f t="shared" si="3"/>
        <v>8.1609841042717679E-2</v>
      </c>
      <c r="Y14" s="80" t="str">
        <f>VLOOKUP($B14,RATINGS!$B$96:$O$119,11,FALSE)</f>
        <v>BBB</v>
      </c>
      <c r="Z14" s="1508" t="str">
        <f>VLOOKUP($B14,RATINGS!$B$96:$O$119,14,FALSE)</f>
        <v>=  =  -</v>
      </c>
      <c r="AA14" s="130">
        <f>CALCULATIONS!ML12</f>
        <v>1.7511002028712532</v>
      </c>
      <c r="AB14" s="149">
        <f>CALCULATIONS!MM12</f>
        <v>0.37093258903528414</v>
      </c>
      <c r="AC14" s="129">
        <f>CALCULATIONS!MH12</f>
        <v>2.2311132077757287</v>
      </c>
      <c r="AD14" s="949"/>
      <c r="AE14" s="949"/>
      <c r="AF14" s="949"/>
      <c r="AG14" s="2129"/>
      <c r="AH14" s="1031" t="s">
        <v>283</v>
      </c>
      <c r="AI14" s="1110">
        <f>CALCULATIONS!S12</f>
        <v>6.738754525599433E-2</v>
      </c>
      <c r="AJ14" s="1111">
        <f>CALCULATIONS!GV12</f>
        <v>0.14721542174528052</v>
      </c>
      <c r="AK14" s="949"/>
      <c r="AL14" s="949"/>
      <c r="AM14" s="949"/>
      <c r="AN14" s="949"/>
      <c r="AO14" s="949"/>
      <c r="AP14" s="949"/>
      <c r="AQ14" s="949"/>
      <c r="AR14" s="949"/>
      <c r="AS14" s="949"/>
      <c r="AT14" s="1110">
        <f>CALCULATIONS!DI12</f>
        <v>8.1419258447257385E-3</v>
      </c>
      <c r="AU14" s="1111">
        <f>CALCULATIONS!AO12</f>
        <v>5.6639984269490254E-2</v>
      </c>
      <c r="AV14" s="1110"/>
      <c r="AW14" s="153"/>
      <c r="AX14" s="949"/>
      <c r="AY14" s="949"/>
      <c r="AZ14" s="949"/>
      <c r="BA14" s="949"/>
      <c r="BB14" s="949"/>
      <c r="BC14" s="949"/>
      <c r="BD14" s="949"/>
      <c r="BE14" s="2336"/>
    </row>
    <row r="15" spans="1:57">
      <c r="A15" s="1115" t="s">
        <v>19</v>
      </c>
      <c r="B15" s="73" t="s">
        <v>285</v>
      </c>
      <c r="C15" s="115">
        <f>CALCULATIONS!P13</f>
        <v>6002.7646707914537</v>
      </c>
      <c r="D15" s="113">
        <f t="shared" si="0"/>
        <v>1.538054479108892E-2</v>
      </c>
      <c r="E15" s="116">
        <f>CALCULATIONS!R13</f>
        <v>1.7468659495150733</v>
      </c>
      <c r="F15" s="116">
        <f>CALCULATIONS!T13</f>
        <v>1.8486415284207123</v>
      </c>
      <c r="G15" s="117">
        <f>CALCULATIONS!N13</f>
        <v>9571.524995540176</v>
      </c>
      <c r="H15" s="114">
        <f t="shared" si="1"/>
        <v>2.6505421611613778E-2</v>
      </c>
      <c r="I15" s="1036">
        <f>CALCULATIONS!QN13</f>
        <v>4.1497848696984878</v>
      </c>
      <c r="J15" s="1036">
        <f>CALCULATIONS!QL13</f>
        <v>5.1075046454025781</v>
      </c>
      <c r="K15" s="130">
        <f>CALCULATIONS!GU13</f>
        <v>7.8090133066846761</v>
      </c>
      <c r="L15" s="116">
        <f>CALCULATIONS!GV13</f>
        <v>0.8464659845431286</v>
      </c>
      <c r="M15" s="129">
        <f>CALCULATIONS!GS13</f>
        <v>9.6719476082953495</v>
      </c>
      <c r="N15" s="103">
        <f>PROFILES!E263</f>
        <v>9.1630231095150338E-2</v>
      </c>
      <c r="O15" s="1058" t="s">
        <v>274</v>
      </c>
      <c r="P15" s="104">
        <f>PROFILES!G263</f>
        <v>0.34976819018989347</v>
      </c>
      <c r="Q15" s="103">
        <f>CALCULATIONS!HO13</f>
        <v>0.13477545507373562</v>
      </c>
      <c r="R15" s="116">
        <f>CALCULATIONS!HP13</f>
        <v>-0.4264373226073967</v>
      </c>
      <c r="S15" s="104">
        <f>CALCULATIONS!HM13</f>
        <v>9.7905485588969735E-2</v>
      </c>
      <c r="T15" s="103">
        <f>CALCULATIONS!JA13</f>
        <v>0.16024846762312819</v>
      </c>
      <c r="U15" s="116">
        <f>CALCULATIONS!JB13</f>
        <v>-0.25253039609468159</v>
      </c>
      <c r="V15" s="104">
        <f>CALCULATIONS!IY13</f>
        <v>0.12849893093161849</v>
      </c>
      <c r="W15" s="116">
        <f t="shared" si="2"/>
        <v>2.5473012549392576E-2</v>
      </c>
      <c r="X15" s="116">
        <f t="shared" si="3"/>
        <v>0.18900335031669008</v>
      </c>
      <c r="Y15" s="80" t="str">
        <f>VLOOKUP($B15,RATINGS!$B$96:$O$119,11,FALSE)</f>
        <v>Not rated</v>
      </c>
      <c r="Z15" s="1508"/>
      <c r="AA15" s="130">
        <f>CALCULATIONS!ML13</f>
        <v>1.265551414722516</v>
      </c>
      <c r="AB15" s="149">
        <f>CALCULATIONS!MM13</f>
        <v>0.38040351489576829</v>
      </c>
      <c r="AC15" s="129">
        <f>CALCULATIONS!MH13</f>
        <v>1.242834927692577</v>
      </c>
      <c r="AD15" s="949"/>
      <c r="AE15" s="949"/>
      <c r="AF15" s="949"/>
      <c r="AG15" s="2129"/>
      <c r="AH15" s="1031" t="s">
        <v>285</v>
      </c>
      <c r="AI15" s="1110">
        <f>CALCULATIONS!S13</f>
        <v>1.7468659495150733</v>
      </c>
      <c r="AJ15" s="1111">
        <f>CALCULATIONS!GV13</f>
        <v>0.8464659845431286</v>
      </c>
      <c r="AK15" s="949"/>
      <c r="AL15" s="949"/>
      <c r="AM15" s="949"/>
      <c r="AN15" s="949"/>
      <c r="AO15" s="949"/>
      <c r="AP15" s="949"/>
      <c r="AQ15" s="949"/>
      <c r="AR15" s="949"/>
      <c r="AS15" s="949"/>
      <c r="AT15" s="1110">
        <f>CALCULATIONS!DI13</f>
        <v>0.38583910872130595</v>
      </c>
      <c r="AU15" s="1111">
        <f>CALCULATIONS!AO13</f>
        <v>1.2655676160183011</v>
      </c>
      <c r="AV15" s="1110"/>
      <c r="AW15" s="153"/>
      <c r="AX15" s="949"/>
      <c r="AY15" s="949"/>
      <c r="AZ15" s="949"/>
      <c r="BA15" s="949"/>
      <c r="BB15" s="949"/>
      <c r="BC15" s="949"/>
      <c r="BD15" s="949"/>
      <c r="BE15" s="2336"/>
    </row>
    <row r="16" spans="1:57">
      <c r="A16" s="1115" t="s">
        <v>19</v>
      </c>
      <c r="B16" s="150" t="s">
        <v>286</v>
      </c>
      <c r="C16" s="115">
        <f>CALCULATIONS!P14</f>
        <v>31174.883771428573</v>
      </c>
      <c r="D16" s="113">
        <f t="shared" si="0"/>
        <v>7.9877643469276421E-2</v>
      </c>
      <c r="E16" s="116">
        <f>CALCULATIONS!R14</f>
        <v>-0.49416922878378883</v>
      </c>
      <c r="F16" s="116">
        <f>CALCULATIONS!T14</f>
        <v>-0.3923936498781499</v>
      </c>
      <c r="G16" s="117">
        <f>CALCULATIONS!N14</f>
        <v>19124.593099999998</v>
      </c>
      <c r="H16" s="114">
        <f t="shared" si="1"/>
        <v>5.2959732488004868E-2</v>
      </c>
      <c r="I16" s="1036">
        <f>CALCULATIONS!QN14</f>
        <v>1.0546425468926217</v>
      </c>
      <c r="J16" s="1036">
        <f>CALCULATIONS!QL14</f>
        <v>0.72989058468819168</v>
      </c>
      <c r="K16" s="130">
        <f>CALCULATIONS!GU14</f>
        <v>4.913128503955539</v>
      </c>
      <c r="L16" s="116">
        <f>CALCULATIONS!GV14</f>
        <v>-0.19812930900653591</v>
      </c>
      <c r="M16" s="129">
        <f>CALCULATIONS!GS14</f>
        <v>4.438539176760524</v>
      </c>
      <c r="N16" s="103">
        <f>PROFILES!E264</f>
        <v>0.60741568747204655</v>
      </c>
      <c r="O16" s="116">
        <f>PROFILES!N112</f>
        <v>4.0950219141690898E-2</v>
      </c>
      <c r="P16" s="104">
        <f>PROFILES!G264</f>
        <v>0.62738172243152124</v>
      </c>
      <c r="Q16" s="103">
        <f>CALCULATIONS!HO14</f>
        <v>0.50834561454306215</v>
      </c>
      <c r="R16" s="116">
        <f>CALCULATIONS!HP14</f>
        <v>0.27477182203191691</v>
      </c>
      <c r="S16" s="104">
        <f>CALCULATIONS!HM14</f>
        <v>0.61196382356206247</v>
      </c>
      <c r="T16" s="103">
        <f>CALCULATIONS!JA14</f>
        <v>0.54898628094174651</v>
      </c>
      <c r="U16" s="116">
        <f>CALCULATIONS!JB14</f>
        <v>0.26756473067663017</v>
      </c>
      <c r="V16" s="104">
        <f>CALCULATIONS!IY14</f>
        <v>0.65530118542007598</v>
      </c>
      <c r="W16" s="116">
        <f t="shared" si="2"/>
        <v>4.0640666398684355E-2</v>
      </c>
      <c r="X16" s="116">
        <f t="shared" si="3"/>
        <v>7.9946920433679999E-2</v>
      </c>
      <c r="Y16" s="80" t="str">
        <f>VLOOKUP($B16,RATINGS!$B$96:$O$119,11,FALSE)</f>
        <v>BBB+</v>
      </c>
      <c r="Z16" s="1508" t="str">
        <f>VLOOKUP($B16,RATINGS!$B$96:$O$119,14,FALSE)</f>
        <v>=  ¯ ¯</v>
      </c>
      <c r="AA16" s="130">
        <f>CALCULATIONS!ML14</f>
        <v>2.5321561588471506</v>
      </c>
      <c r="AB16" s="149">
        <f>CALCULATIONS!MM14</f>
        <v>1.3257606300410854E-2</v>
      </c>
      <c r="AC16" s="129">
        <f>CALCULATIONS!MH14</f>
        <v>2.8138910595815916</v>
      </c>
      <c r="AD16" s="949"/>
      <c r="AE16" s="949"/>
      <c r="AF16" s="949"/>
      <c r="AG16" s="2129"/>
      <c r="AH16" s="1031" t="s">
        <v>286</v>
      </c>
      <c r="AI16" s="1110">
        <f>CALCULATIONS!S14</f>
        <v>-0.49416922878378883</v>
      </c>
      <c r="AJ16" s="1111">
        <f>CALCULATIONS!GV14</f>
        <v>-0.19812930900653591</v>
      </c>
      <c r="AK16" s="949"/>
      <c r="AL16" s="949"/>
      <c r="AM16" s="949"/>
      <c r="AN16" s="949"/>
      <c r="AO16" s="949"/>
      <c r="AP16" s="949"/>
      <c r="AQ16" s="949"/>
      <c r="AR16" s="949"/>
      <c r="AS16" s="949"/>
      <c r="AT16" s="1110">
        <f>CALCULATIONS!DI14</f>
        <v>-0.12205896418824137</v>
      </c>
      <c r="AU16" s="1111">
        <f>CALCULATIONS!AO14</f>
        <v>-0.32193816678350851</v>
      </c>
      <c r="AV16" s="1110"/>
      <c r="AW16" s="153"/>
      <c r="AX16" s="949"/>
      <c r="AY16" s="949"/>
      <c r="AZ16" s="949"/>
      <c r="BA16" s="949"/>
      <c r="BB16" s="949"/>
      <c r="BC16" s="949"/>
      <c r="BD16" s="949"/>
      <c r="BE16" s="2336"/>
    </row>
    <row r="17" spans="1:57">
      <c r="A17" s="1115" t="s">
        <v>374</v>
      </c>
      <c r="B17" s="73" t="s">
        <v>42</v>
      </c>
      <c r="C17" s="115">
        <f>CALCULATIONS!P15</f>
        <v>2432.5463571428577</v>
      </c>
      <c r="D17" s="113">
        <f t="shared" si="0"/>
        <v>6.2327761047315808E-3</v>
      </c>
      <c r="E17" s="116">
        <f>CALCULATIONS!R15</f>
        <v>-3.2258071946582277E-2</v>
      </c>
      <c r="F17" s="116">
        <f>CALCULATIONS!T15</f>
        <v>6.9517506959056674E-2</v>
      </c>
      <c r="G17" s="117">
        <f>CALCULATIONS!N15</f>
        <v>2940.9023000000002</v>
      </c>
      <c r="H17" s="114">
        <f t="shared" si="1"/>
        <v>8.143932697912316E-3</v>
      </c>
      <c r="I17" s="1036">
        <f>CALCULATIONS!QN15</f>
        <v>1.2689619717468461</v>
      </c>
      <c r="J17" s="1036">
        <f>CALCULATIONS!QL15</f>
        <v>1.312316956715752</v>
      </c>
      <c r="K17" s="130">
        <f>CALCULATIONS!GU15</f>
        <v>3.8459062845563983</v>
      </c>
      <c r="L17" s="116">
        <f>CALCULATIONS!GV15</f>
        <v>3.4291324439135469E-2</v>
      </c>
      <c r="M17" s="129">
        <f>CALCULATIONS!GS15</f>
        <v>3.7439277362047823</v>
      </c>
      <c r="N17" s="103">
        <f>PROFILES!E265</f>
        <v>0.56323171407839789</v>
      </c>
      <c r="O17" s="116">
        <f>PROFILES!N113</f>
        <v>-0.12023286586287618</v>
      </c>
      <c r="P17" s="104">
        <f>PROFILES!G265</f>
        <v>0.53987730061349704</v>
      </c>
      <c r="Q17" s="103">
        <f>CALCULATIONS!HO15</f>
        <v>0.60887331285954671</v>
      </c>
      <c r="R17" s="116">
        <f>CALCULATIONS!HP15</f>
        <v>-0.37303497156800469</v>
      </c>
      <c r="S17" s="104">
        <f>CALCULATIONS!HM15</f>
        <v>0.37659759063604481</v>
      </c>
      <c r="T17" s="103">
        <f>CALCULATIONS!JA15</f>
        <v>0.63388271448107447</v>
      </c>
      <c r="U17" s="116">
        <f>CALCULATIONS!JB15</f>
        <v>-0.25869992498286548</v>
      </c>
      <c r="V17" s="104">
        <f>CALCULATIONS!IY15</f>
        <v>0.44527495080222473</v>
      </c>
      <c r="W17" s="116">
        <f t="shared" si="2"/>
        <v>2.500940162152776E-2</v>
      </c>
      <c r="X17" s="116">
        <f t="shared" si="3"/>
        <v>4.1074885519406669E-2</v>
      </c>
      <c r="Y17" s="80" t="str">
        <f>VLOOKUP($B17,RATINGS!$B$96:$O$119,11,FALSE)</f>
        <v>B-</v>
      </c>
      <c r="Z17" s="1508" t="str">
        <f>VLOOKUP($B17,RATINGS!$B$96:$O$119,14,FALSE)</f>
        <v>=  =  -</v>
      </c>
      <c r="AA17" s="130">
        <f>CALCULATIONS!ML15</f>
        <v>2.172629043332774</v>
      </c>
      <c r="AB17" s="149">
        <f>CALCULATIONS!MM15</f>
        <v>-0.22035736928264804</v>
      </c>
      <c r="AC17" s="129">
        <f>CALCULATIONS!MH15</f>
        <v>1.5517268924243866</v>
      </c>
      <c r="AD17" s="949"/>
      <c r="AE17" s="949"/>
      <c r="AF17" s="949"/>
      <c r="AG17" s="2129"/>
      <c r="AH17" s="1031" t="s">
        <v>42</v>
      </c>
      <c r="AI17" s="1110">
        <f>CALCULATIONS!S15</f>
        <v>-3.2258071946582277E-2</v>
      </c>
      <c r="AJ17" s="1111">
        <f>CALCULATIONS!GV15</f>
        <v>3.4291324439135469E-2</v>
      </c>
      <c r="AK17" s="949"/>
      <c r="AL17" s="949"/>
      <c r="AM17" s="949"/>
      <c r="AN17" s="949"/>
      <c r="AO17" s="949"/>
      <c r="AP17" s="949"/>
      <c r="AQ17" s="949"/>
      <c r="AR17" s="949"/>
      <c r="AS17" s="949"/>
      <c r="AT17" s="1110">
        <f>CALCULATIONS!DI15</f>
        <v>-0.37221169859501985</v>
      </c>
      <c r="AU17" s="1111">
        <f>CALCULATIONS!AO15</f>
        <v>-0.41914262246945622</v>
      </c>
      <c r="AV17" s="1110"/>
      <c r="AW17" s="153"/>
      <c r="AX17" s="949"/>
      <c r="AY17" s="949"/>
      <c r="AZ17" s="949"/>
      <c r="BA17" s="949"/>
      <c r="BB17" s="949"/>
      <c r="BC17" s="949"/>
      <c r="BD17" s="949"/>
      <c r="BE17" s="2336"/>
    </row>
    <row r="18" spans="1:57">
      <c r="A18" s="1115" t="s">
        <v>499</v>
      </c>
      <c r="B18" s="73" t="s">
        <v>284</v>
      </c>
      <c r="C18" s="115">
        <f>CALCULATIONS!P16</f>
        <v>15596.516285714286</v>
      </c>
      <c r="D18" s="113">
        <f t="shared" si="0"/>
        <v>3.9962072557101963E-2</v>
      </c>
      <c r="E18" s="116">
        <f>CALCULATIONS!R16</f>
        <v>-0.41209116095583281</v>
      </c>
      <c r="F18" s="116">
        <f>CALCULATIONS!T16</f>
        <v>-0.31031558205019388</v>
      </c>
      <c r="G18" s="117">
        <f>CALCULATIONS!N16</f>
        <v>10295.917100000001</v>
      </c>
      <c r="H18" s="114">
        <f t="shared" si="1"/>
        <v>2.8511404790864545E-2</v>
      </c>
      <c r="I18" s="1036">
        <f>CALCULATIONS!QN16</f>
        <v>0.58081043687158529</v>
      </c>
      <c r="J18" s="1036">
        <f>CALCULATIONS!QL16</f>
        <v>0.5027794267018264</v>
      </c>
      <c r="K18" s="130">
        <f>CALCULATIONS!GU16</f>
        <v>4.6475023511824993</v>
      </c>
      <c r="L18" s="116">
        <f>CALCULATIONS!GV16</f>
        <v>-0.18379111287045302</v>
      </c>
      <c r="M18" s="129">
        <f>CALCULATIONS!GS16</f>
        <v>4.0606354500113753</v>
      </c>
      <c r="N18" s="103">
        <f>PROFILES!E266</f>
        <v>0.34534166666666666</v>
      </c>
      <c r="O18" s="116">
        <f>PROFILES!N114</f>
        <v>-5.4500069338510607E-2</v>
      </c>
      <c r="P18" s="104">
        <f>PROFILES!G266</f>
        <v>0.3626280111015483</v>
      </c>
      <c r="Q18" s="103">
        <f>CALCULATIONS!HO16</f>
        <v>0.67997702229572432</v>
      </c>
      <c r="R18" s="116">
        <f>CALCULATIONS!HP16</f>
        <v>0.10658020511075152</v>
      </c>
      <c r="S18" s="104">
        <f>CALCULATIONS!HM16</f>
        <v>0.75270955685414354</v>
      </c>
      <c r="T18" s="103">
        <f>CALCULATIONS!JA16</f>
        <v>0.68457317243488636</v>
      </c>
      <c r="U18" s="116">
        <f>CALCULATIONS!JB16</f>
        <v>0.10522314957078965</v>
      </c>
      <c r="V18" s="104">
        <f>CALCULATIONS!IY16</f>
        <v>0.75672107111582532</v>
      </c>
      <c r="W18" s="116">
        <f t="shared" si="2"/>
        <v>4.5961501391620363E-3</v>
      </c>
      <c r="X18" s="116">
        <f t="shared" si="3"/>
        <v>6.7592727231349809E-3</v>
      </c>
      <c r="Y18" s="80" t="str">
        <f>VLOOKUP($B18,RATINGS!$B$96:$O$119,11,FALSE)</f>
        <v>BBB-</v>
      </c>
      <c r="Z18" s="1508" t="str">
        <f>VLOOKUP($B18,RATINGS!$B$96:$O$119,14,FALSE)</f>
        <v>=  ¯ ¯</v>
      </c>
      <c r="AA18" s="130">
        <f>CALCULATIONS!ML16</f>
        <v>2.9152503149286035</v>
      </c>
      <c r="AB18" s="149">
        <f>CALCULATIONS!MM16</f>
        <v>-0.14664752669478531</v>
      </c>
      <c r="AC18" s="129">
        <f>CALCULATIONS!MH16</f>
        <v>2.8370691340232916</v>
      </c>
      <c r="AD18" s="949"/>
      <c r="AE18" s="949"/>
      <c r="AF18" s="949"/>
      <c r="AG18" s="2129"/>
      <c r="AH18" s="1031" t="s">
        <v>284</v>
      </c>
      <c r="AI18" s="1110">
        <f>CALCULATIONS!S16</f>
        <v>-0.41209116095583281</v>
      </c>
      <c r="AJ18" s="1111">
        <f>CALCULATIONS!GV16</f>
        <v>-0.18379111287045302</v>
      </c>
      <c r="AK18" s="949"/>
      <c r="AL18" s="949"/>
      <c r="AM18" s="949"/>
      <c r="AN18" s="949"/>
      <c r="AO18" s="949"/>
      <c r="AP18" s="949"/>
      <c r="AQ18" s="949"/>
      <c r="AR18" s="949"/>
      <c r="AS18" s="949"/>
      <c r="AT18" s="1110">
        <f>CALCULATIONS!DI16</f>
        <v>7.9552076350968212E-3</v>
      </c>
      <c r="AU18" s="1111">
        <f>CALCULATIONS!AO16</f>
        <v>-0.19678387843994527</v>
      </c>
      <c r="AV18" s="1110"/>
      <c r="AW18" s="153"/>
      <c r="AX18" s="949"/>
      <c r="AY18" s="949"/>
      <c r="AZ18" s="949"/>
      <c r="BA18" s="949"/>
      <c r="BB18" s="949"/>
      <c r="BC18" s="949"/>
      <c r="BD18" s="949"/>
      <c r="BE18" s="2336"/>
    </row>
    <row r="19" spans="1:57">
      <c r="A19" s="1115" t="s">
        <v>500</v>
      </c>
      <c r="B19" s="73" t="s">
        <v>279</v>
      </c>
      <c r="C19" s="115">
        <f>CALCULATIONS!P17</f>
        <v>20617.292984255655</v>
      </c>
      <c r="D19" s="113">
        <f t="shared" si="0"/>
        <v>5.2826525044090682E-2</v>
      </c>
      <c r="E19" s="116">
        <f>CALCULATIONS!R17</f>
        <v>0.37985561177970401</v>
      </c>
      <c r="F19" s="116">
        <f>CALCULATIONS!T17</f>
        <v>0.48163119068534294</v>
      </c>
      <c r="G19" s="117">
        <f>CALCULATIONS!N17</f>
        <v>23766.623796323693</v>
      </c>
      <c r="H19" s="114">
        <f t="shared" si="1"/>
        <v>6.5814421871090864E-2</v>
      </c>
      <c r="I19" s="1036">
        <f>CALCULATIONS!QN17</f>
        <v>1.8990159277875758</v>
      </c>
      <c r="J19" s="1036">
        <f>CALCULATIONS!QL17</f>
        <v>2.509154465418888</v>
      </c>
      <c r="K19" s="130">
        <f>CALCULATIONS!GU17</f>
        <v>5.7229254321128114</v>
      </c>
      <c r="L19" s="116">
        <f>CALCULATIONS!GV17</f>
        <v>4.5724350121793801E-2</v>
      </c>
      <c r="M19" s="129">
        <f>CALCULATIONS!GS17</f>
        <v>6.1939465303838475</v>
      </c>
      <c r="N19" s="103">
        <f>PROFILES!E267</f>
        <v>0.7344324868237998</v>
      </c>
      <c r="O19" s="116">
        <f>PROFILES!N115</f>
        <v>0.10784712869930438</v>
      </c>
      <c r="P19" s="104">
        <f>PROFILES!G267</f>
        <v>0.74956908795771016</v>
      </c>
      <c r="Q19" s="103">
        <f>CALCULATIONS!HO17</f>
        <v>0.14726898954609682</v>
      </c>
      <c r="R19" s="116">
        <f>CALCULATIONS!HP17</f>
        <v>4.9939774449528171E-2</v>
      </c>
      <c r="S19" s="104">
        <f>CALCULATIONS!HM17</f>
        <v>0.17272839211728983</v>
      </c>
      <c r="T19" s="103">
        <f>CALCULATIONS!JA17</f>
        <v>0.18443136241749356</v>
      </c>
      <c r="U19" s="116">
        <f>CALCULATIONS!JB17</f>
        <v>-5.7258906752796622E-2</v>
      </c>
      <c r="V19" s="104">
        <f>CALCULATIONS!IY17</f>
        <v>0.198117589718218</v>
      </c>
      <c r="W19" s="116">
        <f t="shared" si="2"/>
        <v>3.7162372871396732E-2</v>
      </c>
      <c r="X19" s="116">
        <f t="shared" si="3"/>
        <v>0.25234350412762557</v>
      </c>
      <c r="Y19" s="80" t="str">
        <f>VLOOKUP($B19,RATINGS!$B$96:$O$119,11,FALSE)</f>
        <v>A-</v>
      </c>
      <c r="Z19" s="1508" t="str">
        <f>VLOOKUP($B19,RATINGS!$B$96:$O$119,14,FALSE)</f>
        <v>=  =  -</v>
      </c>
      <c r="AA19" s="130">
        <f>CALCULATIONS!ML17</f>
        <v>1.0395975936863313</v>
      </c>
      <c r="AB19" s="149">
        <f>CALCULATIONS!MM17</f>
        <v>2.9438923535487854E-2</v>
      </c>
      <c r="AC19" s="129">
        <f>CALCULATIONS!MH17</f>
        <v>1.2087727199953455</v>
      </c>
      <c r="AD19" s="949"/>
      <c r="AE19" s="949"/>
      <c r="AF19" s="949"/>
      <c r="AG19" s="2129"/>
      <c r="AH19" s="1031" t="s">
        <v>279</v>
      </c>
      <c r="AI19" s="1110">
        <f>CALCULATIONS!S17</f>
        <v>0.37068619466261793</v>
      </c>
      <c r="AJ19" s="1111">
        <f>CALCULATIONS!GV17</f>
        <v>4.5724350121793801E-2</v>
      </c>
      <c r="AK19" s="949"/>
      <c r="AL19" s="949"/>
      <c r="AM19" s="949"/>
      <c r="AN19" s="949"/>
      <c r="AO19" s="949"/>
      <c r="AP19" s="949"/>
      <c r="AQ19" s="949"/>
      <c r="AR19" s="949"/>
      <c r="AS19" s="949"/>
      <c r="AT19" s="1110">
        <f>CALCULATIONS!DI17</f>
        <v>0.1915397182243169</v>
      </c>
      <c r="AU19" s="1111">
        <f>CALCULATIONS!AO17</f>
        <v>0.38080671361932011</v>
      </c>
      <c r="AV19" s="1110"/>
      <c r="AW19" s="153"/>
      <c r="AX19" s="949"/>
      <c r="AY19" s="949"/>
      <c r="AZ19" s="949"/>
      <c r="BA19" s="949"/>
      <c r="BB19" s="949"/>
      <c r="BC19" s="949"/>
      <c r="BD19" s="949"/>
      <c r="BE19" s="2336"/>
    </row>
    <row r="20" spans="1:57">
      <c r="A20" s="1115" t="s">
        <v>501</v>
      </c>
      <c r="B20" s="73" t="s">
        <v>44</v>
      </c>
      <c r="C20" s="115">
        <f>CALCULATIONS!P18</f>
        <v>12234.494271428572</v>
      </c>
      <c r="D20" s="113">
        <f t="shared" si="0"/>
        <v>3.1347753486597643E-2</v>
      </c>
      <c r="E20" s="116">
        <f>CALCULATIONS!R18</f>
        <v>-0.59766521701552</v>
      </c>
      <c r="F20" s="116">
        <f>CALCULATIONS!T18</f>
        <v>-0.49588963810988107</v>
      </c>
      <c r="G20" s="117">
        <f>CALCULATIONS!N18</f>
        <v>6819.5967000000001</v>
      </c>
      <c r="H20" s="114">
        <f t="shared" si="1"/>
        <v>1.8884794830384175E-2</v>
      </c>
      <c r="I20" s="1036">
        <f>CALCULATIONS!QN18</f>
        <v>3.9295455833111754</v>
      </c>
      <c r="J20" s="1036">
        <f>CALCULATIONS!QL18</f>
        <v>1.2175677021960365</v>
      </c>
      <c r="K20" s="130">
        <f>CALCULATIONS!GU18</f>
        <v>5.0345645887817243</v>
      </c>
      <c r="L20" s="116">
        <f>CALCULATIONS!GV18</f>
        <v>-0.26680842971581226</v>
      </c>
      <c r="M20" s="129">
        <f>CALCULATIONS!GS18</f>
        <v>4.0325018858098245</v>
      </c>
      <c r="N20" s="103">
        <f>PROFILES!E268</f>
        <v>0.5805147103617575</v>
      </c>
      <c r="O20" s="116">
        <f>PROFILES!N116</f>
        <v>8.4948466413752491E-2</v>
      </c>
      <c r="P20" s="104">
        <f>PROFILES!G268</f>
        <v>0.6264024463118032</v>
      </c>
      <c r="Q20" s="103">
        <f>CALCULATIONS!HO18</f>
        <v>0.51826084585195908</v>
      </c>
      <c r="R20" s="116">
        <f>CALCULATIONS!HP18</f>
        <v>0.40005999871326348</v>
      </c>
      <c r="S20" s="104">
        <f>CALCULATIONS!HM18</f>
        <v>0.58973938770950263</v>
      </c>
      <c r="T20" s="103">
        <f>CALCULATIONS!JA18</f>
        <v>0.5495689942142129</v>
      </c>
      <c r="U20" s="116">
        <f>CALCULATIONS!JB18</f>
        <v>0.40637993517884302</v>
      </c>
      <c r="V20" s="104">
        <f>CALCULATIONS!IY18</f>
        <v>0.63323863537070213</v>
      </c>
      <c r="W20" s="116">
        <f t="shared" si="2"/>
        <v>3.1308148362253818E-2</v>
      </c>
      <c r="X20" s="116">
        <f t="shared" si="3"/>
        <v>6.0410020577161203E-2</v>
      </c>
      <c r="Y20" s="80" t="str">
        <f>VLOOKUP($B20,RATINGS!$B$96:$O$119,11,FALSE)</f>
        <v>BBB-</v>
      </c>
      <c r="Z20" s="1508" t="str">
        <f>VLOOKUP($B20,RATINGS!$B$96:$O$119,14,FALSE)</f>
        <v>=  ¯ =</v>
      </c>
      <c r="AA20" s="130">
        <f>CALCULATIONS!ML18</f>
        <v>2.643581803383519</v>
      </c>
      <c r="AB20" s="149">
        <f>CALCULATIONS!MM18</f>
        <v>2.8580691559688957E-2</v>
      </c>
      <c r="AC20" s="129">
        <f>CALCULATIONS!MH18</f>
        <v>2.5466878830879209</v>
      </c>
      <c r="AD20" s="949"/>
      <c r="AE20" s="949"/>
      <c r="AF20" s="949"/>
      <c r="AG20" s="2129"/>
      <c r="AH20" s="1031" t="s">
        <v>44</v>
      </c>
      <c r="AI20" s="1110">
        <f>CALCULATIONS!S18</f>
        <v>-0.59766521701552</v>
      </c>
      <c r="AJ20" s="1111">
        <f>CALCULATIONS!GV18</f>
        <v>-0.26680842971581226</v>
      </c>
      <c r="AK20" s="949"/>
      <c r="AL20" s="949"/>
      <c r="AM20" s="949"/>
      <c r="AN20" s="949"/>
      <c r="AO20" s="949"/>
      <c r="AP20" s="949"/>
      <c r="AQ20" s="949"/>
      <c r="AR20" s="949"/>
      <c r="AS20" s="949"/>
      <c r="AT20" s="1110">
        <f>CALCULATIONS!DI18</f>
        <v>-0.17570755489072065</v>
      </c>
      <c r="AU20" s="1111">
        <f>CALCULATIONS!AO18</f>
        <v>-0.43833438903872729</v>
      </c>
      <c r="AV20" s="1110"/>
      <c r="AW20" s="153"/>
      <c r="AX20" s="949"/>
      <c r="AY20" s="949"/>
      <c r="AZ20" s="949"/>
      <c r="BA20" s="949"/>
      <c r="BB20" s="949"/>
      <c r="BC20" s="949"/>
      <c r="BD20" s="949"/>
      <c r="BE20" s="2336"/>
    </row>
    <row r="21" spans="1:57">
      <c r="A21" s="1115" t="s">
        <v>502</v>
      </c>
      <c r="B21" s="73" t="s">
        <v>287</v>
      </c>
      <c r="C21" s="115">
        <f>CALCULATIONS!P19</f>
        <v>4580.8423286191064</v>
      </c>
      <c r="D21" s="113">
        <f t="shared" si="0"/>
        <v>1.1737233504933111E-2</v>
      </c>
      <c r="E21" s="116">
        <f>CALCULATIONS!R19</f>
        <v>-0.49577837871365099</v>
      </c>
      <c r="F21" s="116">
        <f>CALCULATIONS!T19</f>
        <v>-0.39400279980801206</v>
      </c>
      <c r="G21" s="117">
        <f>CALCULATIONS!N19</f>
        <v>2322.4005110115481</v>
      </c>
      <c r="H21" s="114">
        <f t="shared" si="1"/>
        <v>6.4311804779353665E-3</v>
      </c>
      <c r="I21" s="1036">
        <f>CALCULATIONS!QN19</f>
        <v>1.4234279787340207</v>
      </c>
      <c r="J21" s="1036">
        <f>CALCULATIONS!QL19</f>
        <v>0.8056764866383116</v>
      </c>
      <c r="K21" s="130">
        <f>CALCULATIONS!GU19</f>
        <v>4.3531629475873661</v>
      </c>
      <c r="L21" s="116">
        <f>CALCULATIONS!GV19</f>
        <v>-8.1025400882275472E-2</v>
      </c>
      <c r="M21" s="129">
        <f>CALCULATIONS!GS19</f>
        <v>3.4400754167452243</v>
      </c>
      <c r="N21" s="103">
        <f>PROFILES!E269</f>
        <v>0.42290073595624156</v>
      </c>
      <c r="O21" s="116">
        <f>PROFILES!N117</f>
        <v>-9.0086339251873371E-2</v>
      </c>
      <c r="P21" s="104">
        <f>PROFILES!G269</f>
        <v>0.44946685046944856</v>
      </c>
      <c r="Q21" s="103">
        <f>CALCULATIONS!HO19</f>
        <v>0.16307046534988884</v>
      </c>
      <c r="R21" s="116">
        <f>CALCULATIONS!HP19</f>
        <v>1.3005419282788433</v>
      </c>
      <c r="S21" s="104">
        <f>CALCULATIONS!HM19</f>
        <v>0.30950096360373897</v>
      </c>
      <c r="T21" s="103">
        <f>CALCULATIONS!JA19</f>
        <v>0.18570292678335293</v>
      </c>
      <c r="U21" s="116">
        <f>CALCULATIONS!JB19</f>
        <v>1.251733079461073</v>
      </c>
      <c r="V21" s="104">
        <f>CALCULATIONS!IY19</f>
        <v>0.34197601038246805</v>
      </c>
      <c r="W21" s="116">
        <f t="shared" si="2"/>
        <v>2.2632461433464091E-2</v>
      </c>
      <c r="X21" s="116">
        <f t="shared" si="3"/>
        <v>0.13878945758144007</v>
      </c>
      <c r="Y21" s="80" t="str">
        <f>VLOOKUP($B21,RATINGS!$B$96:$O$119,11,FALSE)</f>
        <v>BBB</v>
      </c>
      <c r="Z21" s="1508" t="str">
        <f>VLOOKUP($B21,RATINGS!$B$96:$O$119,14,FALSE)</f>
        <v>=  ¯ -</v>
      </c>
      <c r="AA21" s="130">
        <f>CALCULATIONS!ML19</f>
        <v>0.77886477042851432</v>
      </c>
      <c r="AB21" s="149">
        <f>CALCULATIONS!MM19</f>
        <v>1.0703005310133176</v>
      </c>
      <c r="AC21" s="129">
        <f>CALCULATIONS!MH19</f>
        <v>1.1762690733772538</v>
      </c>
      <c r="AD21" s="949"/>
      <c r="AE21" s="949"/>
      <c r="AF21" s="949"/>
      <c r="AG21" s="2129"/>
      <c r="AH21" s="1031" t="s">
        <v>287</v>
      </c>
      <c r="AI21" s="1110">
        <f>CALCULATIONS!S19</f>
        <v>-0.47436388406757118</v>
      </c>
      <c r="AJ21" s="1111">
        <f>CALCULATIONS!GV19</f>
        <v>-8.1025400882275472E-2</v>
      </c>
      <c r="AK21" s="949"/>
      <c r="AL21" s="949"/>
      <c r="AM21" s="949"/>
      <c r="AN21" s="949"/>
      <c r="AO21" s="949"/>
      <c r="AP21" s="949"/>
      <c r="AQ21" s="949"/>
      <c r="AR21" s="949"/>
      <c r="AS21" s="949"/>
      <c r="AT21" s="1110">
        <f>CALCULATIONS!DI19</f>
        <v>-0.2532372537585077</v>
      </c>
      <c r="AU21" s="1111">
        <f>CALCULATIONS!AO19</f>
        <v>-0.4044127166343629</v>
      </c>
      <c r="AV21" s="1110"/>
      <c r="AW21" s="153"/>
      <c r="AX21" s="949"/>
      <c r="AY21" s="949"/>
      <c r="AZ21" s="949"/>
      <c r="BA21" s="949"/>
      <c r="BB21" s="949"/>
      <c r="BC21" s="949"/>
      <c r="BD21" s="949"/>
      <c r="BE21" s="2336"/>
    </row>
    <row r="22" spans="1:57">
      <c r="A22" s="1115" t="s">
        <v>27</v>
      </c>
      <c r="B22" s="73" t="s">
        <v>54</v>
      </c>
      <c r="C22" s="115">
        <f>CALCULATIONS!P20</f>
        <v>4745.1447857142857</v>
      </c>
      <c r="D22" s="113">
        <f t="shared" si="0"/>
        <v>1.2158216408516635E-2</v>
      </c>
      <c r="E22" s="116">
        <f>CALCULATIONS!R20</f>
        <v>-0.63447330491761056</v>
      </c>
      <c r="F22" s="116">
        <f>CALCULATIONS!T20</f>
        <v>-0.53269772601197163</v>
      </c>
      <c r="G22" s="117">
        <f>CALCULATIONS!N20</f>
        <v>2680.5724</v>
      </c>
      <c r="H22" s="114">
        <f t="shared" si="1"/>
        <v>7.4230283738025878E-3</v>
      </c>
      <c r="I22" s="1036">
        <f>CALCULATIONS!QN20</f>
        <v>1.3569881249181368</v>
      </c>
      <c r="J22" s="1036">
        <f>CALCULATIONS!QL20</f>
        <v>1.0332545966156574</v>
      </c>
      <c r="K22" s="130">
        <f>CALCULATIONS!GU20</f>
        <v>6.3422811159545107</v>
      </c>
      <c r="L22" s="116">
        <f>CALCULATIONS!GV20</f>
        <v>-0.24924595564935845</v>
      </c>
      <c r="M22" s="129">
        <f>CALCULATIONS!GS20</f>
        <v>5.3369406950798908</v>
      </c>
      <c r="N22" s="103">
        <f>PROFILES!E270</f>
        <v>0.48460704112825509</v>
      </c>
      <c r="O22" s="116">
        <f>PROFILES!N118</f>
        <v>-0.18079580514885477</v>
      </c>
      <c r="P22" s="104">
        <f>PROFILES!G270</f>
        <v>0.49497857034449522</v>
      </c>
      <c r="Q22" s="103">
        <f>CALCULATIONS!HO20</f>
        <v>0.56717095077467305</v>
      </c>
      <c r="R22" s="116">
        <f>CALCULATIONS!HP20</f>
        <v>0.64731222518720821</v>
      </c>
      <c r="S22" s="104">
        <f>CALCULATIONS!HM20</f>
        <v>0.74754623070756221</v>
      </c>
      <c r="T22" s="103">
        <f>CALCULATIONS!JA20</f>
        <v>0.5748403529709204</v>
      </c>
      <c r="U22" s="116">
        <f>CALCULATIONS!JB20</f>
        <v>0.5906099669472562</v>
      </c>
      <c r="V22" s="104">
        <f>CALCULATIONS!IY20</f>
        <v>0.7506672643344422</v>
      </c>
      <c r="W22" s="116">
        <f t="shared" si="2"/>
        <v>7.6694021962473435E-3</v>
      </c>
      <c r="X22" s="116">
        <f t="shared" si="3"/>
        <v>1.3522205581530675E-2</v>
      </c>
      <c r="Y22" s="80" t="str">
        <f>VLOOKUP($B22,RATINGS!$B$96:$O$119,11,FALSE)</f>
        <v>BBB-</v>
      </c>
      <c r="Z22" s="1508" t="str">
        <f>VLOOKUP($B22,RATINGS!$B$96:$O$119,14,FALSE)</f>
        <v>¯  ¯ ¯</v>
      </c>
      <c r="AA22" s="130">
        <f>CALCULATIONS!ML20</f>
        <v>3.4278891827637503</v>
      </c>
      <c r="AB22" s="149">
        <f>CALCULATIONS!MM20</f>
        <v>0.24423537898737996</v>
      </c>
      <c r="AC22" s="129">
        <f>CALCULATIONS!MH20</f>
        <v>3.8230610288109381</v>
      </c>
      <c r="AD22" s="949"/>
      <c r="AE22" s="949"/>
      <c r="AF22" s="949"/>
      <c r="AG22" s="2129"/>
      <c r="AH22" s="1031" t="s">
        <v>54</v>
      </c>
      <c r="AI22" s="1110">
        <f>CALCULATIONS!S20</f>
        <v>-0.63447330491761056</v>
      </c>
      <c r="AJ22" s="1111">
        <f>CALCULATIONS!GV20</f>
        <v>-0.24924595564935845</v>
      </c>
      <c r="AK22" s="949"/>
      <c r="AL22" s="949"/>
      <c r="AM22" s="949"/>
      <c r="AN22" s="949"/>
      <c r="AO22" s="949"/>
      <c r="AP22" s="949"/>
      <c r="AQ22" s="949"/>
      <c r="AR22" s="949"/>
      <c r="AS22" s="949"/>
      <c r="AT22" s="1110">
        <f>CALCULATIONS!DI20</f>
        <v>-1.682725635222156E-2</v>
      </c>
      <c r="AU22" s="1111">
        <f>CALCULATIONS!AO20</f>
        <v>-0.19620161270952033</v>
      </c>
      <c r="AV22" s="1110"/>
      <c r="AW22" s="153"/>
      <c r="AX22" s="949"/>
      <c r="AY22" s="949"/>
      <c r="AZ22" s="949"/>
      <c r="BA22" s="949"/>
      <c r="BB22" s="949"/>
      <c r="BC22" s="949"/>
      <c r="BD22" s="949"/>
      <c r="BE22" s="2336"/>
    </row>
    <row r="23" spans="1:57">
      <c r="A23" s="1115" t="s">
        <v>32</v>
      </c>
      <c r="B23" s="73" t="s">
        <v>50</v>
      </c>
      <c r="C23" s="115">
        <f>CALCULATIONS!P21</f>
        <v>19515.355899391296</v>
      </c>
      <c r="D23" s="113">
        <f t="shared" si="0"/>
        <v>5.0003093905237848E-2</v>
      </c>
      <c r="E23" s="116">
        <f>CALCULATIONS!R21</f>
        <v>1.1994936816856254</v>
      </c>
      <c r="F23" s="116">
        <f>CALCULATIONS!T21</f>
        <v>1.3012692605912644</v>
      </c>
      <c r="G23" s="117">
        <f>CALCULATIONS!N21</f>
        <v>28491.576306321644</v>
      </c>
      <c r="H23" s="114">
        <f t="shared" si="1"/>
        <v>7.8898737947233621E-2</v>
      </c>
      <c r="I23" s="1036">
        <f>CALCULATIONS!QN21</f>
        <v>-0.89894076859195104</v>
      </c>
      <c r="J23" s="1036">
        <f>CALCULATIONS!QL21</f>
        <v>39.625784878048783</v>
      </c>
      <c r="K23" s="130">
        <f>CALCULATIONS!GU21</f>
        <v>4.7123747267525307</v>
      </c>
      <c r="L23" s="116">
        <f>CALCULATIONS!GV21</f>
        <v>0.4140020451008824</v>
      </c>
      <c r="M23" s="129">
        <f>CALCULATIONS!GS21</f>
        <v>5.7096258695546744</v>
      </c>
      <c r="N23" s="103">
        <f>PROFILES!E271</f>
        <v>0</v>
      </c>
      <c r="O23" s="116">
        <f>PROFILES!N119</f>
        <v>0</v>
      </c>
      <c r="P23" s="104">
        <f>PROFILES!G271</f>
        <v>0</v>
      </c>
      <c r="Q23" s="103">
        <f>CALCULATIONS!HO21</f>
        <v>0.37025195227815472</v>
      </c>
      <c r="R23" s="116">
        <f>CALCULATIONS!HP21</f>
        <v>-0.46222821771061889</v>
      </c>
      <c r="S23" s="104">
        <f>CALCULATIONS!HM21</f>
        <v>0.26403640782716253</v>
      </c>
      <c r="T23" s="103">
        <f>CALCULATIONS!JA21</f>
        <v>0.48927059752514818</v>
      </c>
      <c r="U23" s="116">
        <f>CALCULATIONS!JB21</f>
        <v>-0.38189416595312975</v>
      </c>
      <c r="V23" s="104">
        <f>CALCULATIONS!IY21</f>
        <v>0.37414035756341019</v>
      </c>
      <c r="W23" s="116">
        <f t="shared" si="2"/>
        <v>0.11901864524699346</v>
      </c>
      <c r="X23" s="116">
        <f t="shared" si="3"/>
        <v>0.32145312000294263</v>
      </c>
      <c r="Y23" s="80" t="str">
        <f>VLOOKUP($B23,RATINGS!$B$96:$O$119,11,FALSE)</f>
        <v>BBB</v>
      </c>
      <c r="Z23" s="1508" t="str">
        <f>VLOOKUP($B23,RATINGS!$B$96:$O$119,14,FALSE)</f>
        <v xml:space="preserve">=  -  = </v>
      </c>
      <c r="AA23" s="130">
        <f>CALCULATIONS!ML21</f>
        <v>2.2664974928712622</v>
      </c>
      <c r="AB23" s="149">
        <f>CALCULATIONS!MM21</f>
        <v>-0.12537902502142731</v>
      </c>
      <c r="AC23" s="129">
        <f>CALCULATIONS!MH21</f>
        <v>2.136201464388483</v>
      </c>
      <c r="AD23" s="949"/>
      <c r="AE23" s="949"/>
      <c r="AF23" s="949"/>
      <c r="AG23" s="2129"/>
      <c r="AH23" s="1031" t="s">
        <v>50</v>
      </c>
      <c r="AI23" s="1110">
        <f>CALCULATIONS!S21</f>
        <v>1.2980141891936237</v>
      </c>
      <c r="AJ23" s="1111">
        <f>CALCULATIONS!GV21</f>
        <v>0.4140020451008824</v>
      </c>
      <c r="AK23" s="949"/>
      <c r="AL23" s="949"/>
      <c r="AM23" s="949"/>
      <c r="AN23" s="949"/>
      <c r="AO23" s="949"/>
      <c r="AP23" s="949"/>
      <c r="AQ23" s="949"/>
      <c r="AR23" s="949"/>
      <c r="AS23" s="949"/>
      <c r="AT23" s="1110">
        <f>CALCULATIONS!DI21</f>
        <v>5.4138982247428934E-2</v>
      </c>
      <c r="AU23" s="1111">
        <f>CALCULATIONS!AO21</f>
        <v>0.51704196619347975</v>
      </c>
      <c r="AV23" s="1110"/>
      <c r="AW23" s="153"/>
      <c r="AX23" s="949"/>
      <c r="AY23" s="949"/>
      <c r="AZ23" s="949"/>
      <c r="BA23" s="949"/>
      <c r="BB23" s="949"/>
      <c r="BC23" s="949"/>
      <c r="BD23" s="949"/>
      <c r="BE23" s="2336"/>
    </row>
    <row r="24" spans="1:57">
      <c r="A24" s="1115" t="s">
        <v>32</v>
      </c>
      <c r="B24" s="73" t="s">
        <v>277</v>
      </c>
      <c r="C24" s="115">
        <f>CALCULATIONS!P22</f>
        <v>103061.53572524291</v>
      </c>
      <c r="D24" s="113">
        <f t="shared" si="0"/>
        <v>0.26406875054982143</v>
      </c>
      <c r="E24" s="116">
        <f>CALCULATIONS!R22</f>
        <v>7.5306160052783275E-2</v>
      </c>
      <c r="F24" s="116">
        <f>CALCULATIONS!T22</f>
        <v>0.17708173895842222</v>
      </c>
      <c r="G24" s="117">
        <f>CALCULATIONS!N22</f>
        <v>106720.85775234729</v>
      </c>
      <c r="H24" s="114">
        <f t="shared" si="1"/>
        <v>0.29553089301830604</v>
      </c>
      <c r="I24" s="1036">
        <f>CALCULATIONS!QN22</f>
        <v>1.0837821931217524</v>
      </c>
      <c r="J24" s="1036">
        <f>CALCULATIONS!QL22</f>
        <v>1.259272460269286</v>
      </c>
      <c r="K24" s="130">
        <f>CALCULATIONS!GU22</f>
        <v>7.534246564629953</v>
      </c>
      <c r="L24" s="116">
        <f>CALCULATIONS!GV22</f>
        <v>0.12910548637067604</v>
      </c>
      <c r="M24" s="129">
        <f>CALCULATIONS!GS22</f>
        <v>8.6584668441025876</v>
      </c>
      <c r="N24" s="103">
        <f>PROFILES!E272</f>
        <v>0.91487499999999988</v>
      </c>
      <c r="O24" s="116">
        <f>PROFILES!N120</f>
        <v>-4.3736501079913587E-2</v>
      </c>
      <c r="P24" s="104">
        <f>PROFILES!G272</f>
        <v>0.89481420237931208</v>
      </c>
      <c r="Q24" s="103">
        <f>CALCULATIONS!HO22</f>
        <v>0.24509229252810941</v>
      </c>
      <c r="R24" s="116">
        <f>CALCULATIONS!HP22</f>
        <v>-0.16501821733667812</v>
      </c>
      <c r="S24" s="104">
        <f>CALCULATIONS!HM22</f>
        <v>0.23828807339295358</v>
      </c>
      <c r="T24" s="103">
        <f>CALCULATIONS!JA22</f>
        <v>0.27870192226407053</v>
      </c>
      <c r="U24" s="116">
        <f>CALCULATIONS!JB22</f>
        <v>-0.14309331637647091</v>
      </c>
      <c r="V24" s="104">
        <f>CALCULATIONS!IY22</f>
        <v>0.2718321660431175</v>
      </c>
      <c r="W24" s="116">
        <f t="shared" si="2"/>
        <v>3.3609629735961127E-2</v>
      </c>
      <c r="X24" s="116">
        <f t="shared" si="3"/>
        <v>0.13713050455108242</v>
      </c>
      <c r="Y24" s="80" t="str">
        <f>VLOOKUP($B24,RATINGS!$B$96:$O$119,11,FALSE)</f>
        <v>A-</v>
      </c>
      <c r="Z24" s="1508" t="str">
        <f>VLOOKUP($B24,RATINGS!$B$96:$O$119,14,FALSE)</f>
        <v>=  =  =</v>
      </c>
      <c r="AA24" s="130">
        <f>CALCULATIONS!ML22</f>
        <v>2.0880314655341889</v>
      </c>
      <c r="AB24" s="149">
        <f>CALCULATIONS!MM22</f>
        <v>-3.7762767487534328E-2</v>
      </c>
      <c r="AC24" s="129">
        <f>CALCULATIONS!MH22</f>
        <v>2.3348198024327131</v>
      </c>
      <c r="AD24" s="949"/>
      <c r="AE24" s="949"/>
      <c r="AF24" s="949"/>
      <c r="AG24" s="2129"/>
      <c r="AH24" s="1031" t="s">
        <v>277</v>
      </c>
      <c r="AI24" s="1110">
        <f>CALCULATIONS!S22</f>
        <v>0.1234716580930814</v>
      </c>
      <c r="AJ24" s="1111">
        <f>CALCULATIONS!GV22</f>
        <v>0.12910548637067604</v>
      </c>
      <c r="AK24" s="949"/>
      <c r="AL24" s="949"/>
      <c r="AM24" s="949"/>
      <c r="AN24" s="949"/>
      <c r="AO24" s="949"/>
      <c r="AP24" s="949"/>
      <c r="AQ24" s="949"/>
      <c r="AR24" s="949"/>
      <c r="AS24" s="949"/>
      <c r="AT24" s="1110">
        <f>CALCULATIONS!DI22</f>
        <v>-6.756505709826946E-2</v>
      </c>
      <c r="AU24" s="1111">
        <f>CALCULATIONS!AO22</f>
        <v>6.5231021284097968E-2</v>
      </c>
      <c r="AV24" s="1110"/>
      <c r="AW24" s="153"/>
      <c r="AX24" s="949"/>
      <c r="AY24" s="949"/>
      <c r="AZ24" s="949"/>
      <c r="BA24" s="949"/>
      <c r="BB24" s="949"/>
      <c r="BC24" s="949"/>
      <c r="BD24" s="949"/>
      <c r="BE24" s="2336"/>
    </row>
    <row r="25" spans="1:57">
      <c r="A25" s="1115" t="s">
        <v>503</v>
      </c>
      <c r="B25" s="73" t="s">
        <v>282</v>
      </c>
      <c r="C25" s="115">
        <f>CALCULATIONS!P23</f>
        <v>22949.481858519866</v>
      </c>
      <c r="D25" s="113">
        <f t="shared" si="0"/>
        <v>5.8802160840116385E-2</v>
      </c>
      <c r="E25" s="116">
        <f>CALCULATIONS!R23</f>
        <v>-8.3288171902550459E-2</v>
      </c>
      <c r="F25" s="116">
        <f>CALCULATIONS!T23</f>
        <v>1.8487407003088485E-2</v>
      </c>
      <c r="G25" s="117">
        <f>CALCULATIONS!N23</f>
        <v>21731.57918967646</v>
      </c>
      <c r="H25" s="114">
        <f t="shared" si="1"/>
        <v>6.0178986000343146E-2</v>
      </c>
      <c r="I25" s="1036">
        <f>CALCULATIONS!QN23</f>
        <v>1.7647070716020126</v>
      </c>
      <c r="J25" s="1036">
        <f>CALCULATIONS!QL23</f>
        <v>1.7786623686113903</v>
      </c>
      <c r="K25" s="130">
        <f>CALCULATIONS!GU23</f>
        <v>7.5628972253366413</v>
      </c>
      <c r="L25" s="116">
        <f>CALCULATIONS!GV23</f>
        <v>2.1076957712408067E-2</v>
      </c>
      <c r="M25" s="129">
        <f>CALCULATIONS!GS23</f>
        <v>7.6896404016441506</v>
      </c>
      <c r="N25" s="103">
        <f>PROFILES!E273</f>
        <v>0.67984865616162071</v>
      </c>
      <c r="O25" s="116">
        <f>PROFILES!N121</f>
        <v>0.13956056160252914</v>
      </c>
      <c r="P25" s="104">
        <f>PROFILES!G273</f>
        <v>0.7167630057803468</v>
      </c>
      <c r="Q25" s="103">
        <f>CALCULATIONS!HO23</f>
        <v>0.23215418017261674</v>
      </c>
      <c r="R25" s="116">
        <f>CALCULATIONS!HP23</f>
        <v>0.36187217108516367</v>
      </c>
      <c r="S25" s="104">
        <f>CALCULATIONS!HM23</f>
        <v>0.26525179681706468</v>
      </c>
      <c r="T25" s="103">
        <f>CALCULATIONS!JA23</f>
        <v>0.2501311526811702</v>
      </c>
      <c r="U25" s="116">
        <f>CALCULATIONS!JB23</f>
        <v>0.31916438327965047</v>
      </c>
      <c r="V25" s="104">
        <f>CALCULATIONS!IY23</f>
        <v>0.28287599661626001</v>
      </c>
      <c r="W25" s="116">
        <f t="shared" si="2"/>
        <v>1.7976972508553457E-2</v>
      </c>
      <c r="X25" s="116">
        <f t="shared" si="3"/>
        <v>7.7435489187344358E-2</v>
      </c>
      <c r="Y25" s="80" t="str">
        <f>VLOOKUP($B25,RATINGS!$B$96:$O$119,11,FALSE)</f>
        <v>A-</v>
      </c>
      <c r="Z25" s="1508" t="str">
        <f>VLOOKUP($B25,RATINGS!$B$96:$O$119,14,FALSE)</f>
        <v>=  =  =</v>
      </c>
      <c r="AA25" s="130">
        <f>CALCULATIONS!ML23</f>
        <v>1.845874038975184</v>
      </c>
      <c r="AB25" s="149">
        <f>CALCULATIONS!MM23</f>
        <v>0.36079457239176377</v>
      </c>
      <c r="AC25" s="129">
        <f>CALCULATIONS!MH23</f>
        <v>2.1424428051274771</v>
      </c>
      <c r="AD25" s="949"/>
      <c r="AE25" s="949"/>
      <c r="AF25" s="949"/>
      <c r="AG25" s="2129"/>
      <c r="AH25" s="1031" t="s">
        <v>282</v>
      </c>
      <c r="AI25" s="1110">
        <f>CALCULATIONS!S23</f>
        <v>-0.16249794344851631</v>
      </c>
      <c r="AJ25" s="1111">
        <f>CALCULATIONS!GV23</f>
        <v>2.1076957712408067E-2</v>
      </c>
      <c r="AK25" s="949"/>
      <c r="AL25" s="949"/>
      <c r="AM25" s="949"/>
      <c r="AN25" s="949"/>
      <c r="AO25" s="949"/>
      <c r="AP25" s="949"/>
      <c r="AQ25" s="949"/>
      <c r="AR25" s="949"/>
      <c r="AS25" s="949"/>
      <c r="AT25" s="1110">
        <f>CALCULATIONS!DI23</f>
        <v>-8.7494053465624291E-2</v>
      </c>
      <c r="AU25" s="1111">
        <f>CALCULATIONS!AO23</f>
        <v>-8.440284096734027E-2</v>
      </c>
      <c r="AV25" s="1110"/>
      <c r="AW25" s="153"/>
      <c r="AX25" s="949"/>
      <c r="AY25" s="949"/>
      <c r="AZ25" s="949"/>
      <c r="BA25" s="949"/>
      <c r="BB25" s="949"/>
      <c r="BC25" s="949"/>
      <c r="BD25" s="949"/>
      <c r="BE25" s="2336"/>
    </row>
    <row r="26" spans="1:57">
      <c r="A26" s="1115" t="s">
        <v>503</v>
      </c>
      <c r="B26" s="73" t="s">
        <v>280</v>
      </c>
      <c r="C26" s="115">
        <f>CALCULATIONS!P24</f>
        <v>5769.8566757446433</v>
      </c>
      <c r="D26" s="113">
        <f t="shared" si="0"/>
        <v>1.4783777793466828E-2</v>
      </c>
      <c r="E26" s="116">
        <f>CALCULATIONS!R24</f>
        <v>-0.24705029723080094</v>
      </c>
      <c r="F26" s="116">
        <f>CALCULATIONS!T24</f>
        <v>-0.14527471832516198</v>
      </c>
      <c r="G26" s="117">
        <f>CALCULATIONS!N24</f>
        <v>4026.3480952657014</v>
      </c>
      <c r="H26" s="114">
        <f t="shared" si="1"/>
        <v>1.1149744044952231E-2</v>
      </c>
      <c r="I26" s="1036">
        <f>CALCULATIONS!QN24</f>
        <v>2.446298838298576</v>
      </c>
      <c r="J26" s="1036">
        <f>CALCULATIONS!QL24</f>
        <v>1.6476276710656086</v>
      </c>
      <c r="K26" s="130">
        <f>CALCULATIONS!GU24</f>
        <v>6.5589809256196414</v>
      </c>
      <c r="L26" s="116">
        <f>CALCULATIONS!GV24</f>
        <v>1.2127469272410992E-3</v>
      </c>
      <c r="M26" s="129">
        <f>CALCULATIONS!GS24</f>
        <v>5.5145354419406587</v>
      </c>
      <c r="N26" s="103">
        <f>PROFILES!E274</f>
        <v>0.67083419702973635</v>
      </c>
      <c r="O26" s="116">
        <f>PROFILES!N122</f>
        <v>-0.11335389957676706</v>
      </c>
      <c r="P26" s="104">
        <f>PROFILES!G274</f>
        <v>0.63639387890884902</v>
      </c>
      <c r="Q26" s="103">
        <f>CALCULATIONS!HO24</f>
        <v>0.1536920907726812</v>
      </c>
      <c r="R26" s="116">
        <f>CALCULATIONS!HP24</f>
        <v>1.6283818604559013</v>
      </c>
      <c r="S26" s="104">
        <f>CALCULATIONS!HM24</f>
        <v>0.2022242346359609</v>
      </c>
      <c r="T26" s="103">
        <f>CALCULATIONS!JA24</f>
        <v>0.20961441125119315</v>
      </c>
      <c r="U26" s="116">
        <f>CALCULATIONS!JB24</f>
        <v>0.84200521424561081</v>
      </c>
      <c r="V26" s="104">
        <f>CALCULATIONS!IY24</f>
        <v>0.28147528322389997</v>
      </c>
      <c r="W26" s="116">
        <f t="shared" si="2"/>
        <v>5.592232047851195E-2</v>
      </c>
      <c r="X26" s="116">
        <f t="shared" si="3"/>
        <v>0.36385945559959909</v>
      </c>
      <c r="Y26" s="80" t="str">
        <f>VLOOKUP($B26,RATINGS!$B$96:$O$119,11,FALSE)</f>
        <v>Not rated</v>
      </c>
      <c r="Z26" s="1508"/>
      <c r="AA26" s="130">
        <f>CALCULATIONS!ML24</f>
        <v>1.4399592566697517</v>
      </c>
      <c r="AB26" s="149">
        <f>CALCULATIONS!MM24</f>
        <v>0.8442860967329926</v>
      </c>
      <c r="AC26" s="129">
        <f>CALCULATIONS!MH24</f>
        <v>1.5521418473212367</v>
      </c>
      <c r="AD26" s="949"/>
      <c r="AE26" s="949"/>
      <c r="AF26" s="949"/>
      <c r="AG26" s="2129"/>
      <c r="AH26" s="1031" t="s">
        <v>280</v>
      </c>
      <c r="AI26" s="1110">
        <f>CALCULATIONS!S24</f>
        <v>-0.31210997259871948</v>
      </c>
      <c r="AJ26" s="1111">
        <f>CALCULATIONS!GV24</f>
        <v>1.2127469272410992E-3</v>
      </c>
      <c r="AK26" s="949"/>
      <c r="AL26" s="949"/>
      <c r="AM26" s="949"/>
      <c r="AN26" s="949"/>
      <c r="AO26" s="949"/>
      <c r="AP26" s="949"/>
      <c r="AQ26" s="949"/>
      <c r="AR26" s="949"/>
      <c r="AS26" s="949"/>
      <c r="AT26" s="1110">
        <f>CALCULATIONS!DI24</f>
        <v>-0.16659056149686743</v>
      </c>
      <c r="AU26" s="1111">
        <f>CALCULATIONS!AO24</f>
        <v>-5.3999627115135729E-2</v>
      </c>
      <c r="AV26" s="1110"/>
      <c r="AW26" s="153"/>
      <c r="AX26" s="949"/>
      <c r="AY26" s="949"/>
      <c r="AZ26" s="949"/>
      <c r="BA26" s="949"/>
      <c r="BB26" s="949"/>
      <c r="BC26" s="949"/>
      <c r="BD26" s="949"/>
      <c r="BE26" s="2336"/>
    </row>
    <row r="27" spans="1:57">
      <c r="A27" s="1115" t="s">
        <v>504</v>
      </c>
      <c r="B27" s="73" t="s">
        <v>288</v>
      </c>
      <c r="C27" s="115">
        <f>CALCULATIONS!P25</f>
        <v>16250.837973523972</v>
      </c>
      <c r="D27" s="113">
        <f t="shared" si="0"/>
        <v>4.1638604052015776E-2</v>
      </c>
      <c r="E27" s="116">
        <f>CALCULATIONS!R25</f>
        <v>0.20894195471198634</v>
      </c>
      <c r="F27" s="116">
        <f>CALCULATIONS!T25</f>
        <v>0.31071753361762527</v>
      </c>
      <c r="G27" s="117">
        <f>CALCULATIONS!N25</f>
        <v>17428.290742138299</v>
      </c>
      <c r="H27" s="114">
        <f t="shared" si="1"/>
        <v>4.826234004564605E-2</v>
      </c>
      <c r="I27" s="1036">
        <f>CALCULATIONS!QN25</f>
        <v>4.0995220850209826</v>
      </c>
      <c r="J27" s="1036">
        <f>CALCULATIONS!QL25</f>
        <v>4.5731712273212377</v>
      </c>
      <c r="K27" s="130">
        <f>CALCULATIONS!GU25</f>
        <v>6.7450557383311427</v>
      </c>
      <c r="L27" s="116">
        <f>CALCULATIONS!GV25</f>
        <v>0.2149868566781509</v>
      </c>
      <c r="M27" s="129">
        <f>CALCULATIONS!GS25</f>
        <v>7.5822149145373468</v>
      </c>
      <c r="N27" s="103">
        <f>PROFILES!E275</f>
        <v>0.32615050588405037</v>
      </c>
      <c r="O27" s="116">
        <f>PROFILES!N123</f>
        <v>-8.7660674172335792E-2</v>
      </c>
      <c r="P27" s="104">
        <f>PROFILES!G275</f>
        <v>0.30985103942866765</v>
      </c>
      <c r="Q27" s="103">
        <f>CALCULATIONS!HO25</f>
        <v>0.30558583418722468</v>
      </c>
      <c r="R27" s="116">
        <f>CALCULATIONS!HP25</f>
        <v>-0.13620468181810452</v>
      </c>
      <c r="S27" s="104">
        <f>CALCULATIONS!HM25</f>
        <v>0.29018390059321952</v>
      </c>
      <c r="T27" s="103">
        <f>CALCULATIONS!JA25</f>
        <v>0.31922230141848357</v>
      </c>
      <c r="U27" s="116">
        <f>CALCULATIONS!JB25</f>
        <v>-0.13496032758973828</v>
      </c>
      <c r="V27" s="104">
        <f>CALCULATIONS!IY25</f>
        <v>0.30362227391248225</v>
      </c>
      <c r="W27" s="116">
        <f t="shared" si="2"/>
        <v>1.3636467231258886E-2</v>
      </c>
      <c r="X27" s="116">
        <f t="shared" si="3"/>
        <v>4.4624016252350789E-2</v>
      </c>
      <c r="Y27" s="80" t="str">
        <f>VLOOKUP($B27,RATINGS!$B$96:$O$119,11,FALSE)</f>
        <v>A</v>
      </c>
      <c r="Z27" s="1508" t="str">
        <f>VLOOKUP($B27,RATINGS!$B$96:$O$119,14,FALSE)</f>
        <v>=  =  -</v>
      </c>
      <c r="AA27" s="130">
        <f>CALCULATIONS!ML25</f>
        <v>2.1579177629636748</v>
      </c>
      <c r="AB27" s="149">
        <f>CALCULATIONS!MM25</f>
        <v>6.0078851309961184E-2</v>
      </c>
      <c r="AC27" s="129">
        <f>CALCULATIONS!MH25</f>
        <v>2.3009327536910358</v>
      </c>
      <c r="AD27" s="949"/>
      <c r="AE27" s="949"/>
      <c r="AF27" s="949"/>
      <c r="AG27" s="2129"/>
      <c r="AH27" s="1031" t="s">
        <v>288</v>
      </c>
      <c r="AI27" s="1110">
        <f>CALCULATIONS!S25</f>
        <v>0.1272838779318437</v>
      </c>
      <c r="AJ27" s="1111">
        <f>CALCULATIONS!GV25</f>
        <v>0.2149868566781509</v>
      </c>
      <c r="AK27" s="949"/>
      <c r="AL27" s="949"/>
      <c r="AM27" s="949"/>
      <c r="AN27" s="949"/>
      <c r="AO27" s="949"/>
      <c r="AP27" s="949"/>
      <c r="AQ27" s="949"/>
      <c r="AR27" s="949"/>
      <c r="AS27" s="949"/>
      <c r="AT27" s="1110">
        <f>CALCULATIONS!DI25</f>
        <v>-0.1333416217850284</v>
      </c>
      <c r="AU27" s="1111">
        <f>CALCULATIONS!AO25</f>
        <v>5.2008372716049814E-2</v>
      </c>
      <c r="AV27" s="1110"/>
      <c r="AW27" s="153"/>
      <c r="AX27" s="949"/>
      <c r="AY27" s="949"/>
      <c r="AZ27" s="949"/>
      <c r="BA27" s="949"/>
      <c r="BB27" s="949"/>
      <c r="BC27" s="949"/>
      <c r="BD27" s="949"/>
      <c r="BE27" s="2336"/>
    </row>
    <row r="28" spans="1:57">
      <c r="A28" s="1116" t="s">
        <v>27</v>
      </c>
      <c r="B28" s="106" t="s">
        <v>353</v>
      </c>
      <c r="C28" s="120">
        <f>CALCULATIONS!P26</f>
        <v>504.56125714285719</v>
      </c>
      <c r="D28" s="112">
        <f t="shared" si="0"/>
        <v>1.292808804099037E-3</v>
      </c>
      <c r="E28" s="121">
        <f>CALCULATIONS!R26</f>
        <v>0.11241291049139049</v>
      </c>
      <c r="F28" s="121">
        <f>CALCULATIONS!T26</f>
        <v>0.21418848939702945</v>
      </c>
      <c r="G28" s="122">
        <f>CALCULATIONS!N26</f>
        <v>562.64409999999998</v>
      </c>
      <c r="H28" s="1051">
        <f t="shared" si="1"/>
        <v>1.5580713726115437E-3</v>
      </c>
      <c r="I28" s="1052">
        <f>CALCULATIONS!QN26</f>
        <v>0.48825120153947199</v>
      </c>
      <c r="J28" s="1052">
        <f>CALCULATIONS!QL26</f>
        <v>0.52140126030951717</v>
      </c>
      <c r="K28" s="156">
        <f>CALCULATIONS!GU26</f>
        <v>4.0370208841188875</v>
      </c>
      <c r="L28" s="121">
        <f>CALCULATIONS!GV26</f>
        <v>-0.11001004882442665</v>
      </c>
      <c r="M28" s="157">
        <f>CALCULATIONS!GS26</f>
        <v>3.9063069179772585</v>
      </c>
      <c r="N28" s="121">
        <f>PROFILES!E276</f>
        <v>0.90539538726018864</v>
      </c>
      <c r="O28" s="121">
        <f>PROFILES!N124</f>
        <v>-4.1189056985539901E-2</v>
      </c>
      <c r="P28" s="1053">
        <f>PROFILES!G276</f>
        <v>0.90138346931536006</v>
      </c>
      <c r="Q28" s="158">
        <f>CALCULATIONS!HO26</f>
        <v>0.38160323267486906</v>
      </c>
      <c r="R28" s="121">
        <f>CALCULATIONS!HP26</f>
        <v>0.13281779457810056</v>
      </c>
      <c r="S28" s="1053">
        <f>CALCULATIONS!HM26</f>
        <v>0.39444904186551905</v>
      </c>
      <c r="T28" s="158">
        <f>CALCULATIONS!JA26</f>
        <v>0.47841518539184064</v>
      </c>
      <c r="U28" s="121">
        <f>CALCULATIONS!JB26</f>
        <v>1.1717685634717274E-2</v>
      </c>
      <c r="V28" s="1053">
        <f>CALCULATIONS!IY26</f>
        <v>0.46507375880431212</v>
      </c>
      <c r="W28" s="121">
        <f t="shared" si="2"/>
        <v>9.6811952716971572E-2</v>
      </c>
      <c r="X28" s="121">
        <f t="shared" si="3"/>
        <v>0.25369793656715856</v>
      </c>
      <c r="Y28" s="89" t="str">
        <f>VLOOKUP($B28,RATINGS!$B$96:$O$119,11,FALSE)</f>
        <v>Not rated</v>
      </c>
      <c r="Z28" s="1508"/>
      <c r="AA28" s="156">
        <f>CALCULATIONS!ML26</f>
        <v>1.832329792526622</v>
      </c>
      <c r="AB28" s="159">
        <f>CALCULATIONS!MM26</f>
        <v>-9.9442962217240083E-2</v>
      </c>
      <c r="AC28" s="157">
        <f>CALCULATIONS!MH26</f>
        <v>1.8160302149559577</v>
      </c>
      <c r="AD28" s="949"/>
      <c r="AE28" s="949"/>
      <c r="AF28" s="949"/>
      <c r="AG28" s="2129"/>
      <c r="AH28" s="1031" t="s">
        <v>353</v>
      </c>
      <c r="AI28" s="1110">
        <f>CALCULATIONS!S26</f>
        <v>0.11241291049139049</v>
      </c>
      <c r="AJ28" s="1111">
        <f>CALCULATIONS!GV26</f>
        <v>-0.11001004882442665</v>
      </c>
      <c r="AK28" s="949"/>
      <c r="AL28" s="949"/>
      <c r="AM28" s="949"/>
      <c r="AN28" s="949"/>
      <c r="AO28" s="949"/>
      <c r="AP28" s="949"/>
      <c r="AQ28" s="949"/>
      <c r="AR28" s="949"/>
      <c r="AS28" s="949"/>
      <c r="AT28" s="1110">
        <f>CALCULATIONS!DI26</f>
        <v>0.36885142407304877</v>
      </c>
      <c r="AU28" s="1111">
        <f>CALCULATIONS!AO26</f>
        <v>0.15731081723901302</v>
      </c>
      <c r="AV28" s="1110"/>
      <c r="AW28" s="153"/>
      <c r="AX28" s="949"/>
      <c r="AY28" s="949"/>
      <c r="AZ28" s="949"/>
      <c r="BA28" s="949"/>
      <c r="BB28" s="949"/>
      <c r="BC28" s="949"/>
      <c r="BD28" s="949"/>
      <c r="BE28" s="2336"/>
    </row>
    <row r="29" spans="1:57">
      <c r="A29" s="1090"/>
      <c r="B29" s="1092"/>
      <c r="C29" s="227"/>
      <c r="D29" s="113"/>
      <c r="E29" s="116"/>
      <c r="F29" s="116"/>
      <c r="G29" s="227"/>
      <c r="H29" s="113"/>
      <c r="I29" s="113"/>
      <c r="J29" s="113"/>
      <c r="K29" s="228"/>
      <c r="L29" s="116"/>
      <c r="M29" s="228"/>
      <c r="N29" s="116"/>
      <c r="O29" s="116"/>
      <c r="P29" s="116"/>
      <c r="Q29" s="116"/>
      <c r="R29" s="148"/>
      <c r="S29" s="116"/>
      <c r="T29" s="116"/>
      <c r="U29" s="148"/>
      <c r="V29" s="116"/>
      <c r="W29" s="116"/>
      <c r="X29" s="116"/>
      <c r="Y29" s="81"/>
      <c r="Z29" s="1708"/>
      <c r="AA29" s="228"/>
      <c r="AB29" s="149"/>
      <c r="AC29" s="228"/>
      <c r="AD29" s="1092"/>
      <c r="AE29" s="1092"/>
      <c r="AF29" s="1092"/>
      <c r="AG29" s="2129"/>
      <c r="AH29" s="1092"/>
      <c r="AI29" s="1092"/>
      <c r="AJ29" s="1092"/>
      <c r="AK29" s="1092"/>
      <c r="AL29" s="1092"/>
      <c r="AM29" s="1092"/>
      <c r="AN29" s="1092"/>
      <c r="AO29" s="1092"/>
      <c r="AP29" s="1092"/>
      <c r="AQ29" s="1092"/>
      <c r="AR29" s="1092"/>
      <c r="AS29" s="1092"/>
      <c r="AT29" s="110"/>
      <c r="AU29" s="110"/>
      <c r="AV29" s="110"/>
      <c r="AW29" s="1092"/>
      <c r="AX29" s="1092"/>
      <c r="AY29" s="1092"/>
      <c r="AZ29" s="1092"/>
      <c r="BA29" s="1092"/>
      <c r="BB29" s="1092"/>
      <c r="BC29" s="1092"/>
      <c r="BD29" s="1092"/>
      <c r="BE29" s="2267"/>
    </row>
    <row r="30" spans="1:57">
      <c r="A30" s="1119" t="s">
        <v>1808</v>
      </c>
      <c r="B30" s="1114"/>
      <c r="C30" s="227"/>
      <c r="D30" s="113"/>
      <c r="E30" s="116"/>
      <c r="F30" s="116"/>
      <c r="G30" s="227"/>
      <c r="H30" s="113"/>
      <c r="I30" s="113"/>
      <c r="J30" s="113"/>
      <c r="K30" s="228"/>
      <c r="L30" s="116"/>
      <c r="M30" s="228"/>
      <c r="N30" s="116"/>
      <c r="O30" s="116"/>
      <c r="P30" s="116"/>
      <c r="Q30" s="116"/>
      <c r="R30" s="148"/>
      <c r="S30" s="116"/>
      <c r="T30" s="116"/>
      <c r="U30" s="148"/>
      <c r="V30" s="116"/>
      <c r="W30" s="116"/>
      <c r="X30" s="116"/>
      <c r="Y30" s="81"/>
      <c r="Z30" s="145"/>
      <c r="AA30" s="228"/>
      <c r="AB30" s="149"/>
      <c r="AC30" s="228"/>
      <c r="AD30" s="1092"/>
      <c r="AE30" s="1092"/>
      <c r="AF30" s="1092"/>
      <c r="AG30" s="2129"/>
      <c r="AH30" s="1092"/>
      <c r="AI30" s="1092"/>
      <c r="AJ30" s="1092"/>
      <c r="AK30" s="1092"/>
      <c r="AL30" s="1092"/>
      <c r="AM30" s="1092"/>
      <c r="AN30" s="1092"/>
      <c r="AO30" s="1092"/>
      <c r="AP30" s="1092"/>
      <c r="AQ30" s="1092"/>
      <c r="AR30" s="1092"/>
      <c r="AS30" s="1092"/>
      <c r="AT30" s="110"/>
      <c r="AU30" s="110"/>
      <c r="AV30" s="110"/>
      <c r="AW30" s="1092"/>
      <c r="AX30" s="1092"/>
      <c r="AY30" s="1092"/>
      <c r="AZ30" s="1092"/>
      <c r="BA30" s="1092"/>
      <c r="BB30" s="1092"/>
      <c r="BC30" s="1092"/>
      <c r="BD30" s="1092"/>
      <c r="BE30" s="2267"/>
    </row>
    <row r="31" spans="1:57">
      <c r="A31" s="1118" t="s">
        <v>32</v>
      </c>
      <c r="B31" s="1092" t="s">
        <v>1049</v>
      </c>
      <c r="C31" s="227"/>
      <c r="D31" s="1127">
        <f>D24+D23</f>
        <v>0.31407184445505926</v>
      </c>
      <c r="E31" s="116"/>
      <c r="F31" s="116"/>
      <c r="G31" s="116"/>
      <c r="H31" s="1127">
        <f>H24+H23</f>
        <v>0.37442963096553966</v>
      </c>
      <c r="I31" s="113"/>
      <c r="J31" s="113"/>
      <c r="K31" s="228"/>
      <c r="L31" s="116"/>
      <c r="M31" s="228"/>
      <c r="N31" s="116"/>
      <c r="O31" s="116"/>
      <c r="P31" s="116"/>
      <c r="Q31" s="116"/>
      <c r="R31" s="148"/>
      <c r="S31" s="116"/>
      <c r="T31" s="116"/>
      <c r="U31" s="148"/>
      <c r="V31" s="116"/>
      <c r="W31" s="116"/>
      <c r="X31" s="116"/>
      <c r="Y31" s="81"/>
      <c r="Z31" s="145"/>
      <c r="AA31" s="228"/>
      <c r="AB31" s="149"/>
      <c r="AC31" s="228"/>
      <c r="AD31" s="1092"/>
      <c r="AE31" s="1092"/>
      <c r="AF31" s="1092"/>
      <c r="AG31" s="2129"/>
      <c r="AH31" s="1092"/>
      <c r="AI31" s="1092"/>
      <c r="AJ31" s="1092"/>
      <c r="AK31" s="1092"/>
      <c r="AL31" s="1092"/>
      <c r="AM31" s="1092"/>
      <c r="AN31" s="1092"/>
      <c r="AO31" s="1092"/>
      <c r="AP31" s="1092"/>
      <c r="AQ31" s="1092"/>
      <c r="AR31" s="110"/>
      <c r="AS31" s="110"/>
      <c r="AT31" s="110"/>
      <c r="AU31" s="1092"/>
      <c r="AV31" s="1092"/>
      <c r="AW31" s="1092"/>
      <c r="AX31" s="1092"/>
      <c r="AY31" s="1092"/>
      <c r="AZ31" s="1092"/>
      <c r="BA31" s="1092"/>
      <c r="BB31" s="1092"/>
      <c r="BC31" s="1092"/>
      <c r="BD31" s="1092"/>
      <c r="BE31" s="2267"/>
    </row>
    <row r="32" spans="1:57">
      <c r="A32" s="1090" t="s">
        <v>1043</v>
      </c>
      <c r="B32" s="1092" t="s">
        <v>1042</v>
      </c>
      <c r="C32" s="227"/>
      <c r="D32" s="1127">
        <f>D7+D8+D9+D15+D16+D17+D18+D20+D21</f>
        <v>0.31681610608711819</v>
      </c>
      <c r="E32" s="116"/>
      <c r="F32" s="116"/>
      <c r="G32" s="116"/>
      <c r="H32" s="1127">
        <f>H7+H8+H9+H15+H16+H17+H18+H20+H21</f>
        <v>0.27372212694371556</v>
      </c>
      <c r="I32" s="113"/>
      <c r="J32" s="113"/>
      <c r="K32" s="228"/>
      <c r="L32" s="116"/>
      <c r="M32" s="228"/>
      <c r="N32" s="116"/>
      <c r="O32" s="116"/>
      <c r="P32" s="116"/>
      <c r="Q32" s="116"/>
      <c r="R32" s="148"/>
      <c r="S32" s="116"/>
      <c r="T32" s="116"/>
      <c r="U32" s="148"/>
      <c r="V32" s="116"/>
      <c r="W32" s="116"/>
      <c r="X32" s="116"/>
      <c r="Y32" s="81"/>
      <c r="Z32" s="145"/>
      <c r="AA32" s="228"/>
      <c r="AB32" s="149"/>
      <c r="AC32" s="228"/>
      <c r="AD32" s="1092"/>
      <c r="AE32" s="1092"/>
      <c r="AF32" s="1092"/>
      <c r="AG32" s="2129"/>
      <c r="AH32" s="1092"/>
      <c r="AI32" s="1092"/>
      <c r="AJ32" s="1092"/>
      <c r="AK32" s="1092"/>
      <c r="AL32" s="1092"/>
      <c r="AM32" s="1092"/>
      <c r="AN32" s="1092"/>
      <c r="AO32" s="1092"/>
      <c r="AP32" s="1092"/>
      <c r="AQ32" s="1092"/>
      <c r="AR32" s="110"/>
      <c r="AS32" s="110"/>
      <c r="AT32" s="110"/>
      <c r="AU32" s="1092"/>
      <c r="AV32" s="1092"/>
      <c r="AW32" s="1092"/>
      <c r="AX32" s="1092"/>
      <c r="AY32" s="1092"/>
      <c r="AZ32" s="1092"/>
      <c r="BA32" s="1092"/>
      <c r="BB32" s="1092"/>
      <c r="BC32" s="1092"/>
      <c r="BD32" s="1092"/>
      <c r="BE32" s="2267"/>
    </row>
    <row r="33" spans="1:57">
      <c r="A33" s="1118" t="s">
        <v>1044</v>
      </c>
      <c r="B33" s="1092" t="s">
        <v>1045</v>
      </c>
      <c r="C33" s="227"/>
      <c r="D33" s="1127">
        <f>D32+D13+D22</f>
        <v>0.48280336077918012</v>
      </c>
      <c r="E33" s="116"/>
      <c r="F33" s="116"/>
      <c r="G33" s="116"/>
      <c r="H33" s="1127">
        <f>H32+H13+H22</f>
        <v>0.40418184360723208</v>
      </c>
      <c r="I33" s="113"/>
      <c r="J33" s="113"/>
      <c r="K33" s="228"/>
      <c r="L33" s="116"/>
      <c r="M33" s="228"/>
      <c r="N33" s="116"/>
      <c r="O33" s="116"/>
      <c r="P33" s="116"/>
      <c r="Q33" s="116"/>
      <c r="R33" s="148"/>
      <c r="S33" s="116"/>
      <c r="T33" s="116"/>
      <c r="U33" s="148"/>
      <c r="V33" s="116"/>
      <c r="W33" s="116"/>
      <c r="X33" s="116"/>
      <c r="Y33" s="81"/>
      <c r="Z33" s="145"/>
      <c r="AA33" s="228"/>
      <c r="AB33" s="149"/>
      <c r="AC33" s="228"/>
      <c r="AD33" s="1092"/>
      <c r="AE33" s="1092"/>
      <c r="AF33" s="1092"/>
      <c r="AG33" s="2129"/>
      <c r="AH33" s="1092"/>
      <c r="AI33" s="1092"/>
      <c r="AJ33" s="1092"/>
      <c r="AK33" s="1092"/>
      <c r="AL33" s="1092"/>
      <c r="AM33" s="1092"/>
      <c r="AN33" s="1092"/>
      <c r="AO33" s="1092"/>
      <c r="AP33" s="1092"/>
      <c r="AQ33" s="1092"/>
      <c r="AR33" s="110"/>
      <c r="AS33" s="110"/>
      <c r="AT33" s="110"/>
      <c r="AU33" s="1092"/>
      <c r="AV33" s="1092"/>
      <c r="AW33" s="1092"/>
      <c r="AX33" s="1092"/>
      <c r="AY33" s="1092"/>
      <c r="AZ33" s="1092"/>
      <c r="BA33" s="1092"/>
      <c r="BB33" s="1092"/>
      <c r="BC33" s="1092"/>
      <c r="BD33" s="1092"/>
      <c r="BE33" s="2267"/>
    </row>
    <row r="34" spans="1:57">
      <c r="A34" s="1118" t="s">
        <v>1046</v>
      </c>
      <c r="B34" s="1092" t="s">
        <v>1040</v>
      </c>
      <c r="C34" s="227"/>
      <c r="D34" s="1127">
        <f>D12+D14+D19+D25+D26+D27</f>
        <v>0.18732178997255614</v>
      </c>
      <c r="E34" s="116"/>
      <c r="F34" s="116"/>
      <c r="G34" s="116"/>
      <c r="H34" s="1127">
        <f>H12+H14+H19+H25+H26+H27</f>
        <v>0.20595894468600945</v>
      </c>
      <c r="I34" s="113"/>
      <c r="J34" s="113"/>
      <c r="K34" s="228"/>
      <c r="L34" s="116"/>
      <c r="M34" s="228"/>
      <c r="N34" s="116"/>
      <c r="O34" s="116"/>
      <c r="P34" s="116"/>
      <c r="Q34" s="116"/>
      <c r="R34" s="148"/>
      <c r="S34" s="116"/>
      <c r="T34" s="116"/>
      <c r="U34" s="148"/>
      <c r="V34" s="116"/>
      <c r="W34" s="116"/>
      <c r="X34" s="116"/>
      <c r="Y34" s="81"/>
      <c r="Z34" s="145"/>
      <c r="AA34" s="228"/>
      <c r="AB34" s="149"/>
      <c r="AC34" s="228"/>
      <c r="AD34" s="1092"/>
      <c r="AE34" s="1092"/>
      <c r="AF34" s="1092"/>
      <c r="AG34" s="2129"/>
      <c r="AH34" s="1092"/>
      <c r="AI34" s="1092"/>
      <c r="AJ34" s="1092"/>
      <c r="AK34" s="1092"/>
      <c r="AL34" s="1092"/>
      <c r="AM34" s="1092"/>
      <c r="AN34" s="1092"/>
      <c r="AO34" s="1092"/>
      <c r="AP34" s="1092"/>
      <c r="AQ34" s="1092"/>
      <c r="AR34" s="110"/>
      <c r="AS34" s="110"/>
      <c r="AT34" s="110"/>
      <c r="AU34" s="1092"/>
      <c r="AV34" s="1092"/>
      <c r="AW34" s="1092"/>
      <c r="AX34" s="1092"/>
      <c r="AY34" s="1092"/>
      <c r="AZ34" s="1092"/>
      <c r="BA34" s="1092"/>
      <c r="BB34" s="1092"/>
      <c r="BC34" s="1092"/>
      <c r="BD34" s="1092"/>
      <c r="BE34" s="2267"/>
    </row>
    <row r="35" spans="1:57">
      <c r="A35" s="1118" t="s">
        <v>1047</v>
      </c>
      <c r="B35" s="1092" t="s">
        <v>1048</v>
      </c>
      <c r="C35" s="227"/>
      <c r="D35" s="113">
        <f>D10+D11+D28</f>
        <v>1.5803004793204335E-2</v>
      </c>
      <c r="E35" s="1130"/>
      <c r="F35" s="1130"/>
      <c r="G35" s="1130"/>
      <c r="H35" s="113">
        <f>H10+H11+H28</f>
        <v>1.5429580741219064E-2</v>
      </c>
      <c r="I35" s="113"/>
      <c r="J35" s="113"/>
      <c r="K35" s="228"/>
      <c r="L35" s="116"/>
      <c r="M35" s="228"/>
      <c r="N35" s="116"/>
      <c r="O35" s="116"/>
      <c r="P35" s="116"/>
      <c r="Q35" s="116"/>
      <c r="R35" s="148"/>
      <c r="S35" s="116"/>
      <c r="T35" s="116"/>
      <c r="U35" s="148"/>
      <c r="V35" s="116"/>
      <c r="W35" s="116"/>
      <c r="X35" s="116"/>
      <c r="Y35" s="81"/>
      <c r="Z35" s="145"/>
      <c r="AA35" s="228"/>
      <c r="AB35" s="149"/>
      <c r="AC35" s="228"/>
      <c r="AD35" s="1092"/>
      <c r="AE35" s="1092"/>
      <c r="AF35" s="1092"/>
      <c r="AG35" s="2129"/>
      <c r="AH35" s="1092"/>
      <c r="AI35" s="1092"/>
      <c r="AJ35" s="1092"/>
      <c r="AK35" s="1092"/>
      <c r="AL35" s="1092"/>
      <c r="AM35" s="1092"/>
      <c r="AN35" s="1092"/>
      <c r="AO35" s="1092"/>
      <c r="AP35" s="1092"/>
      <c r="AQ35" s="1092"/>
      <c r="AR35" s="110"/>
      <c r="AS35" s="110"/>
      <c r="AT35" s="110"/>
      <c r="AU35" s="1092"/>
      <c r="AV35" s="1092"/>
      <c r="AW35" s="1092"/>
      <c r="AX35" s="1092"/>
      <c r="AY35" s="1092"/>
      <c r="AZ35" s="1092"/>
      <c r="BA35" s="1092"/>
      <c r="BB35" s="1092"/>
      <c r="BC35" s="1092"/>
      <c r="BD35" s="1092"/>
      <c r="BE35" s="2267"/>
    </row>
    <row r="36" spans="1:57">
      <c r="A36" s="1090"/>
      <c r="B36" s="1092"/>
      <c r="C36" s="227"/>
      <c r="D36" s="113"/>
      <c r="E36" s="116"/>
      <c r="F36" s="116"/>
      <c r="G36" s="227"/>
      <c r="H36" s="113"/>
      <c r="I36" s="113"/>
      <c r="J36" s="113"/>
      <c r="K36" s="228"/>
      <c r="L36" s="116"/>
      <c r="M36" s="228"/>
      <c r="N36" s="116"/>
      <c r="O36" s="116"/>
      <c r="P36" s="116"/>
      <c r="Q36" s="116"/>
      <c r="R36" s="148"/>
      <c r="S36" s="116"/>
      <c r="T36" s="116"/>
      <c r="U36" s="148"/>
      <c r="V36" s="116"/>
      <c r="W36" s="116"/>
      <c r="X36" s="116"/>
      <c r="Y36" s="81"/>
      <c r="Z36" s="145"/>
      <c r="AA36" s="228"/>
      <c r="AB36" s="149"/>
      <c r="AC36" s="228"/>
      <c r="AD36" s="1092"/>
      <c r="AE36" s="1092"/>
      <c r="AF36" s="1092"/>
      <c r="AG36" s="2129"/>
      <c r="AH36" s="1092"/>
      <c r="AI36" s="1092"/>
      <c r="AJ36" s="1092"/>
      <c r="AK36" s="1092"/>
      <c r="AL36" s="1092"/>
      <c r="AM36" s="1092"/>
      <c r="AN36" s="1092"/>
      <c r="AO36" s="1092"/>
      <c r="AP36" s="1092"/>
      <c r="AQ36" s="1092"/>
      <c r="AR36" s="110"/>
      <c r="AS36" s="110"/>
      <c r="AT36" s="110"/>
      <c r="AU36" s="1092"/>
      <c r="AV36" s="1092"/>
      <c r="AW36" s="1092"/>
      <c r="AX36" s="1092"/>
      <c r="AY36" s="1092"/>
      <c r="AZ36" s="1092"/>
      <c r="BA36" s="1092"/>
      <c r="BB36" s="1092"/>
      <c r="BC36" s="1092"/>
      <c r="BD36" s="1092"/>
      <c r="BE36" s="2267"/>
    </row>
    <row r="37" spans="1:57" s="2338" customFormat="1">
      <c r="A37" s="2222" t="s">
        <v>1809</v>
      </c>
      <c r="B37" s="2221"/>
      <c r="C37" s="1056">
        <v>1</v>
      </c>
      <c r="D37" s="1055">
        <v>2</v>
      </c>
      <c r="E37" s="1056">
        <v>3</v>
      </c>
      <c r="F37" s="1055">
        <v>4</v>
      </c>
      <c r="G37" s="1056">
        <v>5</v>
      </c>
      <c r="H37" s="1055">
        <v>6</v>
      </c>
      <c r="I37" s="1056">
        <v>7</v>
      </c>
      <c r="J37" s="1055">
        <v>8</v>
      </c>
      <c r="K37" s="1056">
        <v>9</v>
      </c>
      <c r="L37" s="1055">
        <v>10</v>
      </c>
      <c r="M37" s="1056">
        <v>11</v>
      </c>
      <c r="N37" s="1055">
        <v>12</v>
      </c>
      <c r="O37" s="1056">
        <v>13</v>
      </c>
      <c r="P37" s="1055">
        <v>14</v>
      </c>
      <c r="Q37" s="1056">
        <v>15</v>
      </c>
      <c r="R37" s="1055">
        <v>16</v>
      </c>
      <c r="S37" s="1056">
        <v>17</v>
      </c>
      <c r="T37" s="1055">
        <v>18</v>
      </c>
      <c r="U37" s="1056">
        <v>19</v>
      </c>
      <c r="V37" s="1055">
        <v>20</v>
      </c>
      <c r="W37" s="1056">
        <v>21</v>
      </c>
      <c r="X37" s="1055">
        <v>22</v>
      </c>
      <c r="Y37" s="1056">
        <v>23</v>
      </c>
      <c r="Z37" s="1055">
        <v>24</v>
      </c>
      <c r="AA37" s="1056">
        <v>25</v>
      </c>
      <c r="AB37" s="1055">
        <v>26</v>
      </c>
      <c r="AC37" s="1056">
        <v>27</v>
      </c>
      <c r="AD37" s="152"/>
      <c r="AE37" s="152"/>
      <c r="AF37" s="152"/>
      <c r="AG37" s="152"/>
      <c r="AH37" s="152"/>
      <c r="AI37" s="152"/>
      <c r="AJ37" s="152"/>
      <c r="AK37" s="152"/>
      <c r="AL37" s="152"/>
      <c r="AM37" s="152"/>
      <c r="AN37" s="152"/>
      <c r="AO37" s="152"/>
      <c r="AP37" s="152"/>
      <c r="AQ37" s="152"/>
      <c r="AR37" s="1155"/>
      <c r="AS37" s="1155"/>
      <c r="AT37" s="1155"/>
      <c r="AU37" s="152"/>
      <c r="AV37" s="152"/>
      <c r="AW37" s="152"/>
      <c r="AX37" s="152"/>
      <c r="AY37" s="152"/>
      <c r="AZ37" s="152"/>
      <c r="BA37" s="152"/>
      <c r="BB37" s="152"/>
      <c r="BC37" s="152"/>
      <c r="BD37" s="152"/>
      <c r="BE37" s="2268"/>
    </row>
    <row r="38" spans="1:57">
      <c r="A38" s="1090"/>
      <c r="B38" s="949"/>
      <c r="C38" s="949"/>
      <c r="D38" s="119"/>
      <c r="E38" s="949"/>
      <c r="F38" s="949"/>
      <c r="G38" s="949"/>
      <c r="H38" s="119"/>
      <c r="I38" s="119"/>
      <c r="J38" s="119"/>
      <c r="K38" s="949"/>
      <c r="L38" s="949"/>
      <c r="M38" s="949"/>
      <c r="N38" s="949"/>
      <c r="O38" s="949"/>
      <c r="P38" s="949"/>
      <c r="Q38" s="1005"/>
      <c r="R38" s="1005"/>
      <c r="S38" s="1005"/>
      <c r="T38" s="949"/>
      <c r="U38" s="949"/>
      <c r="V38" s="949"/>
      <c r="W38" s="1005"/>
      <c r="X38" s="1005"/>
      <c r="Y38" s="949"/>
      <c r="Z38" s="949"/>
      <c r="AA38" s="949"/>
      <c r="AB38" s="949"/>
      <c r="AC38" s="949"/>
      <c r="AD38" s="949"/>
      <c r="AE38" s="949"/>
      <c r="AF38" s="949"/>
      <c r="AG38" s="2129"/>
      <c r="AH38" s="949"/>
      <c r="AI38" s="949"/>
      <c r="AJ38" s="949"/>
      <c r="AK38" s="949"/>
      <c r="AL38" s="949"/>
      <c r="AM38" s="949"/>
      <c r="AN38" s="949"/>
      <c r="AO38" s="949"/>
      <c r="AP38" s="949"/>
      <c r="AQ38" s="949"/>
      <c r="AR38" s="110"/>
      <c r="AS38" s="110"/>
      <c r="AT38" s="110"/>
      <c r="AU38" s="949"/>
      <c r="AV38" s="949"/>
      <c r="AW38" s="949"/>
      <c r="AX38" s="949"/>
      <c r="AY38" s="949"/>
      <c r="AZ38" s="949"/>
      <c r="BA38" s="949"/>
      <c r="BB38" s="949"/>
      <c r="BC38" s="949"/>
      <c r="BD38" s="949"/>
      <c r="BE38" s="2267"/>
    </row>
    <row r="39" spans="1:57">
      <c r="A39" s="1090"/>
      <c r="B39" s="1005"/>
      <c r="C39" s="1005"/>
      <c r="D39" s="119"/>
      <c r="E39" s="1005"/>
      <c r="F39" s="1005"/>
      <c r="G39" s="1005"/>
      <c r="H39" s="119"/>
      <c r="I39" s="119"/>
      <c r="J39" s="119"/>
      <c r="K39" s="1005"/>
      <c r="L39" s="1005"/>
      <c r="M39" s="1005"/>
      <c r="N39" s="1005"/>
      <c r="O39" s="1005"/>
      <c r="P39" s="1005"/>
      <c r="Q39" s="1005"/>
      <c r="R39" s="1005"/>
      <c r="S39" s="1005"/>
      <c r="T39" s="1005"/>
      <c r="U39" s="1005"/>
      <c r="V39" s="1005"/>
      <c r="W39" s="1005"/>
      <c r="X39" s="1005"/>
      <c r="Y39" s="1005"/>
      <c r="Z39" s="1005"/>
      <c r="AA39" s="1005"/>
      <c r="AB39" s="1005"/>
      <c r="AC39" s="1005"/>
      <c r="AD39" s="1005"/>
      <c r="AE39" s="1005"/>
      <c r="AF39" s="1005"/>
      <c r="AG39" s="2129"/>
      <c r="AH39" s="1005"/>
      <c r="AI39" s="1005"/>
      <c r="AJ39" s="1005"/>
      <c r="AK39" s="1005"/>
      <c r="AL39" s="1005"/>
      <c r="AM39" s="1005"/>
      <c r="AN39" s="1005"/>
      <c r="AO39" s="1005"/>
      <c r="AP39" s="1005"/>
      <c r="AQ39" s="1005"/>
      <c r="AR39" s="110"/>
      <c r="AS39" s="110"/>
      <c r="AT39" s="110"/>
      <c r="AU39" s="1005"/>
      <c r="AV39" s="1005"/>
      <c r="AW39" s="1005"/>
      <c r="AX39" s="1005"/>
      <c r="AY39" s="1005"/>
      <c r="AZ39" s="1005"/>
      <c r="BA39" s="1005"/>
      <c r="BB39" s="1005"/>
      <c r="BC39" s="1005"/>
      <c r="BD39" s="1005"/>
      <c r="BE39" s="2267"/>
    </row>
    <row r="40" spans="1:57">
      <c r="A40" s="3315" t="s">
        <v>1010</v>
      </c>
      <c r="B40" s="1286" t="s">
        <v>1012</v>
      </c>
      <c r="C40" s="1005"/>
      <c r="D40" s="119"/>
      <c r="E40" s="1005"/>
      <c r="F40" s="1005"/>
      <c r="G40" s="1005"/>
      <c r="H40" s="119"/>
      <c r="I40" s="119"/>
      <c r="J40" s="119"/>
      <c r="K40" s="1005"/>
      <c r="L40" s="1005"/>
      <c r="M40" s="1005"/>
      <c r="N40" s="1005"/>
      <c r="O40" s="1005"/>
      <c r="P40" s="1005"/>
      <c r="Q40" s="1005"/>
      <c r="R40" s="1005"/>
      <c r="S40" s="1005"/>
      <c r="T40" s="1005"/>
      <c r="U40" s="1005"/>
      <c r="V40" s="1005"/>
      <c r="W40" s="1005"/>
      <c r="X40" s="1005"/>
      <c r="Y40" s="1005"/>
      <c r="Z40" s="1005"/>
      <c r="AA40" s="1005"/>
      <c r="AB40" s="1005"/>
      <c r="AC40" s="1005"/>
      <c r="AD40" s="1005"/>
      <c r="AE40" s="1005"/>
      <c r="AF40" s="1005"/>
      <c r="AG40" s="2129"/>
      <c r="AH40" s="1005"/>
      <c r="AI40" s="1005"/>
      <c r="AJ40" s="1005"/>
      <c r="AK40" s="1005"/>
      <c r="AL40" s="1005"/>
      <c r="AM40" s="1005"/>
      <c r="AN40" s="1005"/>
      <c r="AO40" s="1005"/>
      <c r="AP40" s="1005"/>
      <c r="AQ40" s="1005"/>
      <c r="AR40" s="110"/>
      <c r="AS40" s="110"/>
      <c r="AT40" s="110"/>
      <c r="AU40" s="1005"/>
      <c r="AV40" s="1005"/>
      <c r="AW40" s="1005"/>
      <c r="AX40" s="1005"/>
      <c r="AY40" s="1005"/>
      <c r="AZ40" s="1005"/>
      <c r="BA40" s="1005"/>
      <c r="BB40" s="1005"/>
      <c r="BC40" s="1005"/>
      <c r="BD40" s="1005"/>
      <c r="BE40" s="2267"/>
    </row>
    <row r="41" spans="1:57">
      <c r="A41" s="1090" t="s">
        <v>32</v>
      </c>
      <c r="B41" s="73" t="s">
        <v>277</v>
      </c>
      <c r="C41" s="115">
        <f t="shared" ref="C41:L51" si="4">VLOOKUP($B41,$B$7:$AC$28,C$37+1,FALSE)</f>
        <v>103061.53572524291</v>
      </c>
      <c r="D41" s="113">
        <f t="shared" si="4"/>
        <v>0.26406875054982143</v>
      </c>
      <c r="E41" s="1060">
        <f t="shared" si="4"/>
        <v>7.5306160052783275E-2</v>
      </c>
      <c r="F41" s="1060">
        <f t="shared" si="4"/>
        <v>0.17708173895842222</v>
      </c>
      <c r="G41" s="1061">
        <f t="shared" si="4"/>
        <v>106720.85775234729</v>
      </c>
      <c r="H41" s="1062">
        <f t="shared" si="4"/>
        <v>0.29553089301830604</v>
      </c>
      <c r="I41" s="1063">
        <f t="shared" si="4"/>
        <v>1.0837821931217524</v>
      </c>
      <c r="J41" s="1063">
        <f t="shared" si="4"/>
        <v>1.259272460269286</v>
      </c>
      <c r="K41" s="1064">
        <f t="shared" si="4"/>
        <v>7.534246564629953</v>
      </c>
      <c r="L41" s="1060">
        <f t="shared" si="4"/>
        <v>0.12910548637067604</v>
      </c>
      <c r="M41" s="1065">
        <f t="shared" ref="M41:V51" si="5">VLOOKUP($B41,$B$7:$AC$28,M$37+1,FALSE)</f>
        <v>8.6584668441025876</v>
      </c>
      <c r="N41" s="1066">
        <f t="shared" si="5"/>
        <v>0.91487499999999988</v>
      </c>
      <c r="O41" s="1067">
        <f t="shared" si="5"/>
        <v>-4.3736501079913587E-2</v>
      </c>
      <c r="P41" s="1068">
        <f t="shared" si="5"/>
        <v>0.89481420237931208</v>
      </c>
      <c r="Q41" s="1066">
        <f t="shared" si="5"/>
        <v>0.24509229252810941</v>
      </c>
      <c r="R41" s="1067">
        <f t="shared" si="5"/>
        <v>-0.16501821733667812</v>
      </c>
      <c r="S41" s="1068">
        <f t="shared" si="5"/>
        <v>0.23828807339295358</v>
      </c>
      <c r="T41" s="1066">
        <f t="shared" si="5"/>
        <v>0.27870192226407053</v>
      </c>
      <c r="U41" s="1067">
        <f t="shared" si="5"/>
        <v>-0.14309331637647091</v>
      </c>
      <c r="V41" s="1068">
        <f t="shared" si="5"/>
        <v>0.2718321660431175</v>
      </c>
      <c r="W41" s="1060">
        <f t="shared" ref="W41:AC51" si="6">VLOOKUP($B41,$B$7:$AC$28,W$37+1,FALSE)</f>
        <v>3.3609629735961127E-2</v>
      </c>
      <c r="X41" s="1060">
        <f t="shared" si="6"/>
        <v>0.13713050455108242</v>
      </c>
      <c r="Y41" s="1069" t="str">
        <f t="shared" si="6"/>
        <v>A-</v>
      </c>
      <c r="Z41" s="1070" t="str">
        <f t="shared" si="6"/>
        <v>=  =  =</v>
      </c>
      <c r="AA41" s="1064">
        <f t="shared" si="6"/>
        <v>2.0880314655341889</v>
      </c>
      <c r="AB41" s="1071">
        <f t="shared" si="6"/>
        <v>-3.7762767487534328E-2</v>
      </c>
      <c r="AC41" s="1065">
        <f t="shared" si="6"/>
        <v>2.3348198024327131</v>
      </c>
      <c r="AD41" s="949"/>
      <c r="AE41" s="949"/>
      <c r="AF41" s="949"/>
      <c r="AG41" s="2129"/>
      <c r="AH41" s="949"/>
      <c r="AI41" s="949"/>
      <c r="AJ41" s="949"/>
      <c r="AK41" s="949"/>
      <c r="AL41" s="949"/>
      <c r="AM41" s="949"/>
      <c r="AN41" s="949"/>
      <c r="AO41" s="949"/>
      <c r="AP41" s="949"/>
      <c r="AQ41" s="949"/>
      <c r="AR41" s="110"/>
      <c r="AS41" s="110"/>
      <c r="AT41" s="110"/>
      <c r="AU41" s="949"/>
      <c r="AV41" s="949"/>
      <c r="AW41" s="949"/>
      <c r="AX41" s="949"/>
      <c r="AY41" s="949"/>
      <c r="AZ41" s="949"/>
      <c r="BA41" s="949"/>
      <c r="BB41" s="949"/>
      <c r="BC41" s="949"/>
      <c r="BD41" s="949"/>
      <c r="BE41" s="2267"/>
    </row>
    <row r="42" spans="1:57" s="2331" customFormat="1" ht="13.15" customHeight="1">
      <c r="A42" s="1090" t="s">
        <v>217</v>
      </c>
      <c r="B42" s="73" t="s">
        <v>53</v>
      </c>
      <c r="C42" s="115">
        <f t="shared" si="4"/>
        <v>60036.853628571422</v>
      </c>
      <c r="D42" s="113">
        <f t="shared" si="4"/>
        <v>0.15382903828354536</v>
      </c>
      <c r="E42" s="1060">
        <f t="shared" si="4"/>
        <v>-0.3618479655094986</v>
      </c>
      <c r="F42" s="1060">
        <f t="shared" si="4"/>
        <v>-0.26007238660385967</v>
      </c>
      <c r="G42" s="1061">
        <f t="shared" si="4"/>
        <v>44430.485000000001</v>
      </c>
      <c r="H42" s="1062">
        <f t="shared" si="4"/>
        <v>0.1230366882897139</v>
      </c>
      <c r="I42" s="1063">
        <f t="shared" si="4"/>
        <v>2.2644833808097031</v>
      </c>
      <c r="J42" s="1063">
        <f t="shared" si="4"/>
        <v>1.7716210773954304</v>
      </c>
      <c r="K42" s="1064">
        <f t="shared" si="4"/>
        <v>5.7304428558288603</v>
      </c>
      <c r="L42" s="1060">
        <f t="shared" si="4"/>
        <v>-7.3155042359885195E-2</v>
      </c>
      <c r="M42" s="1065">
        <f t="shared" si="5"/>
        <v>5.1937231412225326</v>
      </c>
      <c r="N42" s="1066">
        <f t="shared" si="5"/>
        <v>0.6158872479982318</v>
      </c>
      <c r="O42" s="1067">
        <f t="shared" si="5"/>
        <v>0.11044311863454735</v>
      </c>
      <c r="P42" s="1068">
        <f t="shared" si="5"/>
        <v>0.66127040038880336</v>
      </c>
      <c r="Q42" s="1066">
        <f t="shared" si="5"/>
        <v>0.48384306036910518</v>
      </c>
      <c r="R42" s="1067">
        <f t="shared" si="5"/>
        <v>0.2595878527386451</v>
      </c>
      <c r="S42" s="1068">
        <f t="shared" si="5"/>
        <v>0.54381370963962039</v>
      </c>
      <c r="T42" s="1066">
        <f t="shared" si="5"/>
        <v>0.51513010935716153</v>
      </c>
      <c r="U42" s="1067">
        <f t="shared" si="5"/>
        <v>0.26130995158024306</v>
      </c>
      <c r="V42" s="1068">
        <f t="shared" si="5"/>
        <v>0.57929804018594233</v>
      </c>
      <c r="W42" s="1060">
        <f t="shared" si="6"/>
        <v>3.1287048988056343E-2</v>
      </c>
      <c r="X42" s="1060">
        <f t="shared" si="6"/>
        <v>6.4663630732222685E-2</v>
      </c>
      <c r="Y42" s="1069" t="str">
        <f t="shared" si="6"/>
        <v>BBB</v>
      </c>
      <c r="Z42" s="1070" t="str">
        <f t="shared" si="6"/>
        <v>¯  ¯ ¯</v>
      </c>
      <c r="AA42" s="1064">
        <f t="shared" si="6"/>
        <v>2.7929780820851775</v>
      </c>
      <c r="AB42" s="1071">
        <f t="shared" si="6"/>
        <v>0.12404595260605845</v>
      </c>
      <c r="AC42" s="1065">
        <f t="shared" si="6"/>
        <v>2.8353348809740444</v>
      </c>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747"/>
    </row>
    <row r="43" spans="1:57" s="2331" customFormat="1" ht="13.15" customHeight="1">
      <c r="A43" s="1090" t="s">
        <v>498</v>
      </c>
      <c r="B43" s="73" t="s">
        <v>52</v>
      </c>
      <c r="C43" s="115">
        <f t="shared" si="4"/>
        <v>40464.923042857146</v>
      </c>
      <c r="D43" s="113">
        <f t="shared" si="4"/>
        <v>0.1036809862557167</v>
      </c>
      <c r="E43" s="1060">
        <f t="shared" si="4"/>
        <v>-6.1458653761923776E-2</v>
      </c>
      <c r="F43" s="1060">
        <f t="shared" si="4"/>
        <v>4.0316925143715168E-2</v>
      </c>
      <c r="G43" s="1061">
        <f t="shared" si="4"/>
        <v>39791.94</v>
      </c>
      <c r="H43" s="1062">
        <f t="shared" si="4"/>
        <v>0.1101916514803518</v>
      </c>
      <c r="I43" s="1063">
        <f t="shared" si="4"/>
        <v>1.0840589348936991</v>
      </c>
      <c r="J43" s="1063">
        <f t="shared" si="4"/>
        <v>1.2733420800000002</v>
      </c>
      <c r="K43" s="1064">
        <f t="shared" si="4"/>
        <v>4.9157277486128619</v>
      </c>
      <c r="L43" s="1060">
        <f t="shared" si="4"/>
        <v>0.1448238320606966</v>
      </c>
      <c r="M43" s="1065">
        <f t="shared" si="5"/>
        <v>5.2964626193065953</v>
      </c>
      <c r="N43" s="1066">
        <f t="shared" si="5"/>
        <v>0.61</v>
      </c>
      <c r="O43" s="1067">
        <f t="shared" si="5"/>
        <v>0</v>
      </c>
      <c r="P43" s="1068">
        <f t="shared" si="5"/>
        <v>0.62983042679437373</v>
      </c>
      <c r="Q43" s="1066">
        <f t="shared" si="5"/>
        <v>0.51528895508035288</v>
      </c>
      <c r="R43" s="1067">
        <f t="shared" si="5"/>
        <v>-2.4931247740904369E-2</v>
      </c>
      <c r="S43" s="1068">
        <f t="shared" si="5"/>
        <v>0.51939744871548044</v>
      </c>
      <c r="T43" s="1066">
        <f t="shared" si="5"/>
        <v>0.58808850315066874</v>
      </c>
      <c r="U43" s="1067">
        <f t="shared" si="5"/>
        <v>-2.8226553900756759E-2</v>
      </c>
      <c r="V43" s="1068">
        <f t="shared" si="5"/>
        <v>0.59074959904524027</v>
      </c>
      <c r="W43" s="1060">
        <f t="shared" si="6"/>
        <v>7.2799548070315856E-2</v>
      </c>
      <c r="X43" s="1060">
        <f t="shared" si="6"/>
        <v>0.14127907721011346</v>
      </c>
      <c r="Y43" s="1069" t="str">
        <f t="shared" si="6"/>
        <v>BBB+</v>
      </c>
      <c r="Z43" s="1070" t="str">
        <f t="shared" si="6"/>
        <v>=  =  =</v>
      </c>
      <c r="AA43" s="1064">
        <f t="shared" si="6"/>
        <v>2.7906818261625395</v>
      </c>
      <c r="AB43" s="1071">
        <f t="shared" si="6"/>
        <v>8.5841806528642844E-2</v>
      </c>
      <c r="AC43" s="1065">
        <f t="shared" si="6"/>
        <v>2.9178287645268703</v>
      </c>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747"/>
    </row>
    <row r="44" spans="1:57">
      <c r="A44" s="1090" t="s">
        <v>19</v>
      </c>
      <c r="B44" s="150" t="s">
        <v>286</v>
      </c>
      <c r="C44" s="115">
        <f t="shared" si="4"/>
        <v>31174.883771428573</v>
      </c>
      <c r="D44" s="113">
        <f t="shared" si="4"/>
        <v>7.9877643469276421E-2</v>
      </c>
      <c r="E44" s="1060">
        <f t="shared" si="4"/>
        <v>-0.49416922878378883</v>
      </c>
      <c r="F44" s="1060">
        <f t="shared" si="4"/>
        <v>-0.3923936498781499</v>
      </c>
      <c r="G44" s="1061">
        <f t="shared" si="4"/>
        <v>19124.593099999998</v>
      </c>
      <c r="H44" s="1062">
        <f t="shared" si="4"/>
        <v>5.2959732488004868E-2</v>
      </c>
      <c r="I44" s="1063">
        <f t="shared" si="4"/>
        <v>1.0546425468926217</v>
      </c>
      <c r="J44" s="1063">
        <f t="shared" si="4"/>
        <v>0.72989058468819168</v>
      </c>
      <c r="K44" s="1064">
        <f t="shared" si="4"/>
        <v>4.913128503955539</v>
      </c>
      <c r="L44" s="1060">
        <f t="shared" si="4"/>
        <v>-0.19812930900653591</v>
      </c>
      <c r="M44" s="1065">
        <f t="shared" si="5"/>
        <v>4.438539176760524</v>
      </c>
      <c r="N44" s="1066">
        <f t="shared" si="5"/>
        <v>0.60741568747204655</v>
      </c>
      <c r="O44" s="1067">
        <f t="shared" si="5"/>
        <v>4.0950219141690898E-2</v>
      </c>
      <c r="P44" s="1068">
        <f t="shared" si="5"/>
        <v>0.62738172243152124</v>
      </c>
      <c r="Q44" s="1066">
        <f t="shared" si="5"/>
        <v>0.50834561454306215</v>
      </c>
      <c r="R44" s="1067">
        <f t="shared" si="5"/>
        <v>0.27477182203191691</v>
      </c>
      <c r="S44" s="1068">
        <f t="shared" si="5"/>
        <v>0.61196382356206247</v>
      </c>
      <c r="T44" s="1066">
        <f t="shared" si="5"/>
        <v>0.54898628094174651</v>
      </c>
      <c r="U44" s="1067">
        <f t="shared" si="5"/>
        <v>0.26756473067663017</v>
      </c>
      <c r="V44" s="1068">
        <f t="shared" si="5"/>
        <v>0.65530118542007598</v>
      </c>
      <c r="W44" s="1060">
        <f t="shared" si="6"/>
        <v>4.0640666398684355E-2</v>
      </c>
      <c r="X44" s="1060">
        <f t="shared" si="6"/>
        <v>7.9946920433679999E-2</v>
      </c>
      <c r="Y44" s="1069" t="str">
        <f t="shared" si="6"/>
        <v>BBB+</v>
      </c>
      <c r="Z44" s="1070" t="str">
        <f t="shared" si="6"/>
        <v>=  ¯ ¯</v>
      </c>
      <c r="AA44" s="1064">
        <f t="shared" si="6"/>
        <v>2.5321561588471506</v>
      </c>
      <c r="AB44" s="1071">
        <f t="shared" si="6"/>
        <v>1.3257606300410854E-2</v>
      </c>
      <c r="AC44" s="1065">
        <f t="shared" si="6"/>
        <v>2.8138910595815916</v>
      </c>
      <c r="AD44" s="949"/>
      <c r="AE44" s="949"/>
      <c r="AF44" s="949"/>
      <c r="AG44" s="2129"/>
      <c r="AH44" s="949"/>
      <c r="AI44" s="949"/>
      <c r="AJ44" s="949"/>
      <c r="AK44" s="949"/>
      <c r="AL44" s="949"/>
      <c r="AM44" s="949"/>
      <c r="AN44" s="949"/>
      <c r="AO44" s="949"/>
      <c r="AP44" s="949"/>
      <c r="AQ44" s="949"/>
      <c r="AR44" s="110"/>
      <c r="AS44" s="110"/>
      <c r="AT44" s="110"/>
      <c r="AU44" s="949"/>
      <c r="AV44" s="949"/>
      <c r="AW44" s="949"/>
      <c r="AX44" s="949"/>
      <c r="AY44" s="949"/>
      <c r="AZ44" s="949"/>
      <c r="BA44" s="949"/>
      <c r="BB44" s="949"/>
      <c r="BC44" s="949"/>
      <c r="BD44" s="949"/>
      <c r="BE44" s="2267"/>
    </row>
    <row r="45" spans="1:57">
      <c r="A45" s="1090" t="s">
        <v>503</v>
      </c>
      <c r="B45" s="73" t="s">
        <v>282</v>
      </c>
      <c r="C45" s="115">
        <f t="shared" si="4"/>
        <v>22949.481858519866</v>
      </c>
      <c r="D45" s="113">
        <f t="shared" si="4"/>
        <v>5.8802160840116385E-2</v>
      </c>
      <c r="E45" s="1060">
        <f t="shared" si="4"/>
        <v>-8.3288171902550459E-2</v>
      </c>
      <c r="F45" s="1060">
        <f t="shared" si="4"/>
        <v>1.8487407003088485E-2</v>
      </c>
      <c r="G45" s="1061">
        <f t="shared" si="4"/>
        <v>21731.57918967646</v>
      </c>
      <c r="H45" s="1062">
        <f t="shared" si="4"/>
        <v>6.0178986000343146E-2</v>
      </c>
      <c r="I45" s="1063">
        <f t="shared" si="4"/>
        <v>1.7647070716020126</v>
      </c>
      <c r="J45" s="1063">
        <f t="shared" si="4"/>
        <v>1.7786623686113903</v>
      </c>
      <c r="K45" s="1064">
        <f t="shared" si="4"/>
        <v>7.5628972253366413</v>
      </c>
      <c r="L45" s="1060">
        <f t="shared" si="4"/>
        <v>2.1076957712408067E-2</v>
      </c>
      <c r="M45" s="1065">
        <f t="shared" si="5"/>
        <v>7.6896404016441506</v>
      </c>
      <c r="N45" s="1066">
        <f t="shared" si="5"/>
        <v>0.67984865616162071</v>
      </c>
      <c r="O45" s="1067">
        <f t="shared" si="5"/>
        <v>0.13956056160252914</v>
      </c>
      <c r="P45" s="1068">
        <f t="shared" si="5"/>
        <v>0.7167630057803468</v>
      </c>
      <c r="Q45" s="1066">
        <f t="shared" si="5"/>
        <v>0.23215418017261674</v>
      </c>
      <c r="R45" s="1067">
        <f t="shared" si="5"/>
        <v>0.36187217108516367</v>
      </c>
      <c r="S45" s="1068">
        <f t="shared" si="5"/>
        <v>0.26525179681706468</v>
      </c>
      <c r="T45" s="1066">
        <f t="shared" si="5"/>
        <v>0.2501311526811702</v>
      </c>
      <c r="U45" s="1067">
        <f t="shared" si="5"/>
        <v>0.31916438327965047</v>
      </c>
      <c r="V45" s="1068">
        <f t="shared" si="5"/>
        <v>0.28287599661626001</v>
      </c>
      <c r="W45" s="1060">
        <f t="shared" si="6"/>
        <v>1.7976972508553457E-2</v>
      </c>
      <c r="X45" s="1060">
        <f t="shared" si="6"/>
        <v>7.7435489187344358E-2</v>
      </c>
      <c r="Y45" s="1069" t="str">
        <f t="shared" si="6"/>
        <v>A-</v>
      </c>
      <c r="Z45" s="1070" t="str">
        <f t="shared" si="6"/>
        <v>=  =  =</v>
      </c>
      <c r="AA45" s="1064">
        <f t="shared" si="6"/>
        <v>1.845874038975184</v>
      </c>
      <c r="AB45" s="1071">
        <f t="shared" si="6"/>
        <v>0.36079457239176377</v>
      </c>
      <c r="AC45" s="1065">
        <f t="shared" si="6"/>
        <v>2.1424428051274771</v>
      </c>
      <c r="AD45" s="949"/>
      <c r="AE45" s="949"/>
      <c r="AF45" s="949"/>
      <c r="AG45" s="2129"/>
      <c r="AH45" s="949"/>
      <c r="AI45" s="949"/>
      <c r="AJ45" s="949"/>
      <c r="AK45" s="949"/>
      <c r="AL45" s="949"/>
      <c r="AM45" s="949"/>
      <c r="AN45" s="949"/>
      <c r="AO45" s="949"/>
      <c r="AP45" s="949"/>
      <c r="AQ45" s="949"/>
      <c r="AR45" s="110"/>
      <c r="AS45" s="110"/>
      <c r="AT45" s="110"/>
      <c r="AU45" s="949"/>
      <c r="AV45" s="949"/>
      <c r="AW45" s="949"/>
      <c r="AX45" s="949"/>
      <c r="AY45" s="949"/>
      <c r="AZ45" s="949"/>
      <c r="BA45" s="949"/>
      <c r="BB45" s="949"/>
      <c r="BC45" s="949"/>
      <c r="BD45" s="949"/>
      <c r="BE45" s="2267"/>
    </row>
    <row r="46" spans="1:57">
      <c r="A46" s="1090" t="s">
        <v>500</v>
      </c>
      <c r="B46" s="73" t="s">
        <v>279</v>
      </c>
      <c r="C46" s="115">
        <f t="shared" si="4"/>
        <v>20617.292984255655</v>
      </c>
      <c r="D46" s="113">
        <f t="shared" si="4"/>
        <v>5.2826525044090682E-2</v>
      </c>
      <c r="E46" s="1060">
        <f t="shared" si="4"/>
        <v>0.37985561177970401</v>
      </c>
      <c r="F46" s="1060">
        <f t="shared" si="4"/>
        <v>0.48163119068534294</v>
      </c>
      <c r="G46" s="1061">
        <f t="shared" si="4"/>
        <v>23766.623796323693</v>
      </c>
      <c r="H46" s="1062">
        <f t="shared" si="4"/>
        <v>6.5814421871090864E-2</v>
      </c>
      <c r="I46" s="1063">
        <f t="shared" si="4"/>
        <v>1.8990159277875758</v>
      </c>
      <c r="J46" s="1063">
        <f t="shared" si="4"/>
        <v>2.509154465418888</v>
      </c>
      <c r="K46" s="1064">
        <f t="shared" si="4"/>
        <v>5.7229254321128114</v>
      </c>
      <c r="L46" s="1060">
        <f t="shared" si="4"/>
        <v>4.5724350121793801E-2</v>
      </c>
      <c r="M46" s="1065">
        <f t="shared" si="5"/>
        <v>6.1939465303838475</v>
      </c>
      <c r="N46" s="1066">
        <f t="shared" si="5"/>
        <v>0.7344324868237998</v>
      </c>
      <c r="O46" s="1067">
        <f t="shared" si="5"/>
        <v>0.10784712869930438</v>
      </c>
      <c r="P46" s="1068">
        <f t="shared" si="5"/>
        <v>0.74956908795771016</v>
      </c>
      <c r="Q46" s="1066">
        <f t="shared" si="5"/>
        <v>0.14726898954609682</v>
      </c>
      <c r="R46" s="1067">
        <f t="shared" si="5"/>
        <v>4.9939774449528171E-2</v>
      </c>
      <c r="S46" s="1068">
        <f t="shared" si="5"/>
        <v>0.17272839211728983</v>
      </c>
      <c r="T46" s="1066">
        <f t="shared" si="5"/>
        <v>0.18443136241749356</v>
      </c>
      <c r="U46" s="1067">
        <f t="shared" si="5"/>
        <v>-5.7258906752796622E-2</v>
      </c>
      <c r="V46" s="1068">
        <f t="shared" si="5"/>
        <v>0.198117589718218</v>
      </c>
      <c r="W46" s="1060">
        <f t="shared" si="6"/>
        <v>3.7162372871396732E-2</v>
      </c>
      <c r="X46" s="1060">
        <f t="shared" si="6"/>
        <v>0.25234350412762557</v>
      </c>
      <c r="Y46" s="1069" t="str">
        <f t="shared" si="6"/>
        <v>A-</v>
      </c>
      <c r="Z46" s="1070" t="str">
        <f t="shared" si="6"/>
        <v>=  =  -</v>
      </c>
      <c r="AA46" s="1064">
        <f t="shared" si="6"/>
        <v>1.0395975936863313</v>
      </c>
      <c r="AB46" s="1071">
        <f t="shared" si="6"/>
        <v>2.9438923535487854E-2</v>
      </c>
      <c r="AC46" s="1065">
        <f t="shared" si="6"/>
        <v>1.2087727199953455</v>
      </c>
      <c r="AD46" s="949"/>
      <c r="AE46" s="949"/>
      <c r="AF46" s="949"/>
      <c r="AG46" s="2129"/>
      <c r="AH46" s="949"/>
      <c r="AI46" s="949"/>
      <c r="AJ46" s="949"/>
      <c r="AK46" s="949"/>
      <c r="AL46" s="949"/>
      <c r="AM46" s="949"/>
      <c r="AN46" s="949"/>
      <c r="AO46" s="949"/>
      <c r="AP46" s="949"/>
      <c r="AQ46" s="949"/>
      <c r="AR46" s="110"/>
      <c r="AS46" s="110"/>
      <c r="AT46" s="110"/>
      <c r="AU46" s="949"/>
      <c r="AV46" s="949"/>
      <c r="AW46" s="949"/>
      <c r="AX46" s="949"/>
      <c r="AY46" s="949"/>
      <c r="AZ46" s="949"/>
      <c r="BA46" s="949"/>
      <c r="BB46" s="949"/>
      <c r="BC46" s="949"/>
      <c r="BD46" s="949"/>
      <c r="BE46" s="2267"/>
    </row>
    <row r="47" spans="1:57">
      <c r="A47" s="1090" t="s">
        <v>32</v>
      </c>
      <c r="B47" s="73" t="s">
        <v>50</v>
      </c>
      <c r="C47" s="115">
        <f t="shared" si="4"/>
        <v>19515.355899391296</v>
      </c>
      <c r="D47" s="113">
        <f t="shared" si="4"/>
        <v>5.0003093905237848E-2</v>
      </c>
      <c r="E47" s="1060">
        <f t="shared" si="4"/>
        <v>1.1994936816856254</v>
      </c>
      <c r="F47" s="1060">
        <f t="shared" si="4"/>
        <v>1.3012692605912644</v>
      </c>
      <c r="G47" s="1061">
        <f t="shared" si="4"/>
        <v>28491.576306321644</v>
      </c>
      <c r="H47" s="1062">
        <f t="shared" si="4"/>
        <v>7.8898737947233621E-2</v>
      </c>
      <c r="I47" s="1063">
        <f t="shared" si="4"/>
        <v>-0.89894076859195104</v>
      </c>
      <c r="J47" s="1063">
        <f t="shared" si="4"/>
        <v>39.625784878048783</v>
      </c>
      <c r="K47" s="1064">
        <f t="shared" si="4"/>
        <v>4.7123747267525307</v>
      </c>
      <c r="L47" s="1060">
        <f t="shared" si="4"/>
        <v>0.4140020451008824</v>
      </c>
      <c r="M47" s="1065">
        <f t="shared" si="5"/>
        <v>5.7096258695546744</v>
      </c>
      <c r="N47" s="1066">
        <f t="shared" si="5"/>
        <v>0</v>
      </c>
      <c r="O47" s="1067">
        <f t="shared" si="5"/>
        <v>0</v>
      </c>
      <c r="P47" s="1068">
        <f t="shared" si="5"/>
        <v>0</v>
      </c>
      <c r="Q47" s="1066">
        <f t="shared" si="5"/>
        <v>0.37025195227815472</v>
      </c>
      <c r="R47" s="1067">
        <f t="shared" si="5"/>
        <v>-0.46222821771061889</v>
      </c>
      <c r="S47" s="1068">
        <f t="shared" si="5"/>
        <v>0.26403640782716253</v>
      </c>
      <c r="T47" s="1066">
        <f t="shared" si="5"/>
        <v>0.48927059752514818</v>
      </c>
      <c r="U47" s="1067">
        <f t="shared" si="5"/>
        <v>-0.38189416595312975</v>
      </c>
      <c r="V47" s="1068">
        <f t="shared" si="5"/>
        <v>0.37414035756341019</v>
      </c>
      <c r="W47" s="1060">
        <f t="shared" si="6"/>
        <v>0.11901864524699346</v>
      </c>
      <c r="X47" s="1060">
        <f t="shared" si="6"/>
        <v>0.32145312000294263</v>
      </c>
      <c r="Y47" s="1069" t="str">
        <f t="shared" si="6"/>
        <v>BBB</v>
      </c>
      <c r="Z47" s="1070" t="str">
        <f t="shared" si="6"/>
        <v xml:space="preserve">=  -  = </v>
      </c>
      <c r="AA47" s="1064">
        <f t="shared" si="6"/>
        <v>2.2664974928712622</v>
      </c>
      <c r="AB47" s="1071">
        <f t="shared" si="6"/>
        <v>-0.12537902502142731</v>
      </c>
      <c r="AC47" s="1065">
        <f t="shared" si="6"/>
        <v>2.136201464388483</v>
      </c>
      <c r="AD47" s="949"/>
      <c r="AE47" s="949"/>
      <c r="AF47" s="949"/>
      <c r="AG47" s="2129"/>
      <c r="AH47" s="949"/>
      <c r="AI47" s="949"/>
      <c r="AJ47" s="949"/>
      <c r="AK47" s="949"/>
      <c r="AL47" s="949"/>
      <c r="AM47" s="949"/>
      <c r="AN47" s="949"/>
      <c r="AO47" s="949"/>
      <c r="AP47" s="949"/>
      <c r="AQ47" s="949"/>
      <c r="AR47" s="110"/>
      <c r="AS47" s="110"/>
      <c r="AT47" s="110"/>
      <c r="AU47" s="949"/>
      <c r="AV47" s="949"/>
      <c r="AW47" s="949"/>
      <c r="AX47" s="949"/>
      <c r="AY47" s="949"/>
      <c r="AZ47" s="949"/>
      <c r="BA47" s="949"/>
      <c r="BB47" s="949"/>
      <c r="BC47" s="949"/>
      <c r="BD47" s="949"/>
      <c r="BE47" s="2267"/>
    </row>
    <row r="48" spans="1:57">
      <c r="A48" s="1090" t="s">
        <v>504</v>
      </c>
      <c r="B48" s="73" t="s">
        <v>288</v>
      </c>
      <c r="C48" s="115">
        <f t="shared" si="4"/>
        <v>16250.837973523972</v>
      </c>
      <c r="D48" s="113">
        <f t="shared" si="4"/>
        <v>4.1638604052015776E-2</v>
      </c>
      <c r="E48" s="1060">
        <f t="shared" si="4"/>
        <v>0.20894195471198634</v>
      </c>
      <c r="F48" s="1060">
        <f t="shared" si="4"/>
        <v>0.31071753361762527</v>
      </c>
      <c r="G48" s="1061">
        <f t="shared" si="4"/>
        <v>17428.290742138299</v>
      </c>
      <c r="H48" s="1062">
        <f t="shared" si="4"/>
        <v>4.826234004564605E-2</v>
      </c>
      <c r="I48" s="1063">
        <f t="shared" si="4"/>
        <v>4.0995220850209826</v>
      </c>
      <c r="J48" s="1063">
        <f t="shared" si="4"/>
        <v>4.5731712273212377</v>
      </c>
      <c r="K48" s="1064">
        <f t="shared" si="4"/>
        <v>6.7450557383311427</v>
      </c>
      <c r="L48" s="1060">
        <f t="shared" si="4"/>
        <v>0.2149868566781509</v>
      </c>
      <c r="M48" s="1065">
        <f t="shared" si="5"/>
        <v>7.5822149145373468</v>
      </c>
      <c r="N48" s="1066">
        <f t="shared" si="5"/>
        <v>0.32615050588405037</v>
      </c>
      <c r="O48" s="1067">
        <f t="shared" si="5"/>
        <v>-8.7660674172335792E-2</v>
      </c>
      <c r="P48" s="1068">
        <f t="shared" si="5"/>
        <v>0.30985103942866765</v>
      </c>
      <c r="Q48" s="1066">
        <f t="shared" si="5"/>
        <v>0.30558583418722468</v>
      </c>
      <c r="R48" s="1067">
        <f t="shared" si="5"/>
        <v>-0.13620468181810452</v>
      </c>
      <c r="S48" s="1068">
        <f t="shared" si="5"/>
        <v>0.29018390059321952</v>
      </c>
      <c r="T48" s="1066">
        <f t="shared" si="5"/>
        <v>0.31922230141848357</v>
      </c>
      <c r="U48" s="1067">
        <f t="shared" si="5"/>
        <v>-0.13496032758973828</v>
      </c>
      <c r="V48" s="1068">
        <f t="shared" si="5"/>
        <v>0.30362227391248225</v>
      </c>
      <c r="W48" s="1060">
        <f t="shared" si="6"/>
        <v>1.3636467231258886E-2</v>
      </c>
      <c r="X48" s="1060">
        <f t="shared" si="6"/>
        <v>4.4624016252350789E-2</v>
      </c>
      <c r="Y48" s="1069" t="str">
        <f t="shared" si="6"/>
        <v>A</v>
      </c>
      <c r="Z48" s="1070" t="str">
        <f t="shared" si="6"/>
        <v>=  =  -</v>
      </c>
      <c r="AA48" s="1064">
        <f t="shared" si="6"/>
        <v>2.1579177629636748</v>
      </c>
      <c r="AB48" s="1071">
        <f t="shared" si="6"/>
        <v>6.0078851309961184E-2</v>
      </c>
      <c r="AC48" s="1065">
        <f t="shared" si="6"/>
        <v>2.3009327536910358</v>
      </c>
      <c r="AD48" s="949"/>
      <c r="AE48" s="949"/>
      <c r="AF48" s="949"/>
      <c r="AG48" s="2129"/>
      <c r="AH48" s="949"/>
      <c r="AI48" s="949"/>
      <c r="AJ48" s="949"/>
      <c r="AK48" s="949"/>
      <c r="AL48" s="949"/>
      <c r="AM48" s="949"/>
      <c r="AN48" s="949"/>
      <c r="AO48" s="949"/>
      <c r="AP48" s="949"/>
      <c r="AQ48" s="949"/>
      <c r="AR48" s="110"/>
      <c r="AS48" s="110"/>
      <c r="AT48" s="110"/>
      <c r="AU48" s="949"/>
      <c r="AV48" s="949"/>
      <c r="AW48" s="949"/>
      <c r="AX48" s="949"/>
      <c r="AY48" s="949"/>
      <c r="AZ48" s="949"/>
      <c r="BA48" s="949"/>
      <c r="BB48" s="949"/>
      <c r="BC48" s="949"/>
      <c r="BD48" s="949"/>
      <c r="BE48" s="2267"/>
    </row>
    <row r="49" spans="1:57">
      <c r="A49" s="1090" t="s">
        <v>499</v>
      </c>
      <c r="B49" s="73" t="s">
        <v>284</v>
      </c>
      <c r="C49" s="115">
        <f t="shared" si="4"/>
        <v>15596.516285714286</v>
      </c>
      <c r="D49" s="113">
        <f t="shared" si="4"/>
        <v>3.9962072557101963E-2</v>
      </c>
      <c r="E49" s="1060">
        <f t="shared" si="4"/>
        <v>-0.41209116095583281</v>
      </c>
      <c r="F49" s="1060">
        <f t="shared" si="4"/>
        <v>-0.31031558205019388</v>
      </c>
      <c r="G49" s="1061">
        <f t="shared" si="4"/>
        <v>10295.917100000001</v>
      </c>
      <c r="H49" s="1062">
        <f t="shared" si="4"/>
        <v>2.8511404790864545E-2</v>
      </c>
      <c r="I49" s="1063">
        <f t="shared" si="4"/>
        <v>0.58081043687158529</v>
      </c>
      <c r="J49" s="1063">
        <f t="shared" si="4"/>
        <v>0.5027794267018264</v>
      </c>
      <c r="K49" s="1064">
        <f t="shared" si="4"/>
        <v>4.6475023511824993</v>
      </c>
      <c r="L49" s="1060">
        <f t="shared" si="4"/>
        <v>-0.18379111287045302</v>
      </c>
      <c r="M49" s="1065">
        <f t="shared" si="5"/>
        <v>4.0606354500113753</v>
      </c>
      <c r="N49" s="1066">
        <f t="shared" si="5"/>
        <v>0.34534166666666666</v>
      </c>
      <c r="O49" s="1067">
        <f t="shared" si="5"/>
        <v>-5.4500069338510607E-2</v>
      </c>
      <c r="P49" s="1068">
        <f t="shared" si="5"/>
        <v>0.3626280111015483</v>
      </c>
      <c r="Q49" s="1066">
        <f t="shared" si="5"/>
        <v>0.67997702229572432</v>
      </c>
      <c r="R49" s="1067">
        <f t="shared" si="5"/>
        <v>0.10658020511075152</v>
      </c>
      <c r="S49" s="1068">
        <f t="shared" si="5"/>
        <v>0.75270955685414354</v>
      </c>
      <c r="T49" s="1066">
        <f t="shared" si="5"/>
        <v>0.68457317243488636</v>
      </c>
      <c r="U49" s="1067">
        <f t="shared" si="5"/>
        <v>0.10522314957078965</v>
      </c>
      <c r="V49" s="1068">
        <f t="shared" si="5"/>
        <v>0.75672107111582532</v>
      </c>
      <c r="W49" s="1060">
        <f t="shared" si="6"/>
        <v>4.5961501391620363E-3</v>
      </c>
      <c r="X49" s="1060">
        <f t="shared" si="6"/>
        <v>6.7592727231349809E-3</v>
      </c>
      <c r="Y49" s="1069" t="str">
        <f t="shared" si="6"/>
        <v>BBB-</v>
      </c>
      <c r="Z49" s="1070" t="str">
        <f t="shared" si="6"/>
        <v>=  ¯ ¯</v>
      </c>
      <c r="AA49" s="1064">
        <f t="shared" si="6"/>
        <v>2.9152503149286035</v>
      </c>
      <c r="AB49" s="1071">
        <f t="shared" si="6"/>
        <v>-0.14664752669478531</v>
      </c>
      <c r="AC49" s="1065">
        <f t="shared" si="6"/>
        <v>2.8370691340232916</v>
      </c>
      <c r="AD49" s="949"/>
      <c r="AE49" s="949"/>
      <c r="AF49" s="949"/>
      <c r="AG49" s="2129"/>
      <c r="AH49" s="949"/>
      <c r="AI49" s="949"/>
      <c r="AJ49" s="949"/>
      <c r="AK49" s="949"/>
      <c r="AL49" s="949"/>
      <c r="AM49" s="949"/>
      <c r="AN49" s="949"/>
      <c r="AO49" s="949"/>
      <c r="AP49" s="949"/>
      <c r="AQ49" s="949"/>
      <c r="AR49" s="110"/>
      <c r="AS49" s="110"/>
      <c r="AT49" s="110"/>
      <c r="AU49" s="949"/>
      <c r="AV49" s="949"/>
      <c r="AW49" s="949"/>
      <c r="AX49" s="949"/>
      <c r="AY49" s="949"/>
      <c r="AZ49" s="949"/>
      <c r="BA49" s="949"/>
      <c r="BB49" s="949"/>
      <c r="BC49" s="949"/>
      <c r="BD49" s="949"/>
      <c r="BE49" s="2267"/>
    </row>
    <row r="50" spans="1:57">
      <c r="A50" s="1090" t="s">
        <v>501</v>
      </c>
      <c r="B50" s="73" t="s">
        <v>44</v>
      </c>
      <c r="C50" s="115">
        <f t="shared" si="4"/>
        <v>12234.494271428572</v>
      </c>
      <c r="D50" s="113">
        <f t="shared" si="4"/>
        <v>3.1347753486597643E-2</v>
      </c>
      <c r="E50" s="1060">
        <f t="shared" si="4"/>
        <v>-0.59766521701552</v>
      </c>
      <c r="F50" s="1060">
        <f t="shared" si="4"/>
        <v>-0.49588963810988107</v>
      </c>
      <c r="G50" s="1061">
        <f t="shared" si="4"/>
        <v>6819.5967000000001</v>
      </c>
      <c r="H50" s="1062">
        <f t="shared" si="4"/>
        <v>1.8884794830384175E-2</v>
      </c>
      <c r="I50" s="1063">
        <f t="shared" si="4"/>
        <v>3.9295455833111754</v>
      </c>
      <c r="J50" s="1063">
        <f t="shared" si="4"/>
        <v>1.2175677021960365</v>
      </c>
      <c r="K50" s="1064">
        <f t="shared" si="4"/>
        <v>5.0345645887817243</v>
      </c>
      <c r="L50" s="1060">
        <f t="shared" si="4"/>
        <v>-0.26680842971581226</v>
      </c>
      <c r="M50" s="1065">
        <f t="shared" si="5"/>
        <v>4.0325018858098245</v>
      </c>
      <c r="N50" s="1066">
        <f t="shared" si="5"/>
        <v>0.5805147103617575</v>
      </c>
      <c r="O50" s="1067">
        <f t="shared" si="5"/>
        <v>8.4948466413752491E-2</v>
      </c>
      <c r="P50" s="1068">
        <f t="shared" si="5"/>
        <v>0.6264024463118032</v>
      </c>
      <c r="Q50" s="1066">
        <f t="shared" si="5"/>
        <v>0.51826084585195908</v>
      </c>
      <c r="R50" s="1067">
        <f t="shared" si="5"/>
        <v>0.40005999871326348</v>
      </c>
      <c r="S50" s="1068">
        <f t="shared" si="5"/>
        <v>0.58973938770950263</v>
      </c>
      <c r="T50" s="1066">
        <f t="shared" si="5"/>
        <v>0.5495689942142129</v>
      </c>
      <c r="U50" s="1067">
        <f t="shared" si="5"/>
        <v>0.40637993517884302</v>
      </c>
      <c r="V50" s="1068">
        <f t="shared" si="5"/>
        <v>0.63323863537070213</v>
      </c>
      <c r="W50" s="1060">
        <f t="shared" si="6"/>
        <v>3.1308148362253818E-2</v>
      </c>
      <c r="X50" s="1060">
        <f t="shared" si="6"/>
        <v>6.0410020577161203E-2</v>
      </c>
      <c r="Y50" s="1069" t="str">
        <f t="shared" si="6"/>
        <v>BBB-</v>
      </c>
      <c r="Z50" s="1070" t="str">
        <f t="shared" si="6"/>
        <v>=  ¯ =</v>
      </c>
      <c r="AA50" s="1064">
        <f t="shared" si="6"/>
        <v>2.643581803383519</v>
      </c>
      <c r="AB50" s="1071">
        <f t="shared" si="6"/>
        <v>2.8580691559688957E-2</v>
      </c>
      <c r="AC50" s="1065">
        <f t="shared" si="6"/>
        <v>2.5466878830879209</v>
      </c>
      <c r="AD50" s="949"/>
      <c r="AE50" s="949"/>
      <c r="AF50" s="949"/>
      <c r="AG50" s="2129"/>
      <c r="AH50" s="949"/>
      <c r="AI50" s="949"/>
      <c r="AJ50" s="949"/>
      <c r="AK50" s="949"/>
      <c r="AL50" s="949"/>
      <c r="AM50" s="949"/>
      <c r="AN50" s="949"/>
      <c r="AO50" s="949"/>
      <c r="AP50" s="949"/>
      <c r="AQ50" s="949"/>
      <c r="AR50" s="110"/>
      <c r="AS50" s="110"/>
      <c r="AT50" s="110"/>
      <c r="AU50" s="949"/>
      <c r="AV50" s="949"/>
      <c r="AW50" s="949"/>
      <c r="AX50" s="949"/>
      <c r="AY50" s="949"/>
      <c r="AZ50" s="949"/>
      <c r="BA50" s="949"/>
      <c r="BB50" s="949"/>
      <c r="BC50" s="949"/>
      <c r="BD50" s="949"/>
      <c r="BE50" s="2267"/>
    </row>
    <row r="51" spans="1:57">
      <c r="A51" s="1091" t="s">
        <v>319</v>
      </c>
      <c r="B51" s="691" t="s">
        <v>750</v>
      </c>
      <c r="C51" s="1006">
        <f t="shared" si="4"/>
        <v>7616.907214285714</v>
      </c>
      <c r="D51" s="1007">
        <f t="shared" si="4"/>
        <v>1.9516371039653539E-2</v>
      </c>
      <c r="E51" s="1072">
        <f t="shared" si="4"/>
        <v>-0.33365525120929096</v>
      </c>
      <c r="F51" s="1072">
        <f t="shared" si="4"/>
        <v>-0.23187967230365203</v>
      </c>
      <c r="G51" s="1073">
        <f t="shared" si="4"/>
        <v>5825.8631999999998</v>
      </c>
      <c r="H51" s="1074">
        <f t="shared" si="4"/>
        <v>1.6132952736323161E-2</v>
      </c>
      <c r="I51" s="1075">
        <f t="shared" si="4"/>
        <v>2.4107651340270966</v>
      </c>
      <c r="J51" s="1075">
        <f t="shared" si="4"/>
        <v>2.0327505931612002</v>
      </c>
      <c r="K51" s="1076">
        <f t="shared" si="4"/>
        <v>4.7469851722287064</v>
      </c>
      <c r="L51" s="1072">
        <f t="shared" si="4"/>
        <v>0.1951757211867983</v>
      </c>
      <c r="M51" s="1077">
        <f t="shared" si="5"/>
        <v>4.6619962755533297</v>
      </c>
      <c r="N51" s="1078">
        <f t="shared" si="5"/>
        <v>0.37158673775730477</v>
      </c>
      <c r="O51" s="1079">
        <f t="shared" si="5"/>
        <v>-0.1153634304384116</v>
      </c>
      <c r="P51" s="1080">
        <f t="shared" si="5"/>
        <v>0.36037883142173305</v>
      </c>
      <c r="Q51" s="1078">
        <f t="shared" si="5"/>
        <v>0.17383796150947908</v>
      </c>
      <c r="R51" s="1079">
        <f t="shared" si="5"/>
        <v>0.54445307336528614</v>
      </c>
      <c r="S51" s="1080">
        <f t="shared" si="5"/>
        <v>0.26356163003804695</v>
      </c>
      <c r="T51" s="1078">
        <f t="shared" si="5"/>
        <v>0.19702478682132593</v>
      </c>
      <c r="U51" s="1079">
        <f t="shared" si="5"/>
        <v>0.50034734616182497</v>
      </c>
      <c r="V51" s="1080">
        <f t="shared" si="5"/>
        <v>0.28756363720088318</v>
      </c>
      <c r="W51" s="1072">
        <f t="shared" si="6"/>
        <v>2.3186825311846848E-2</v>
      </c>
      <c r="X51" s="1072">
        <f t="shared" si="6"/>
        <v>0.13338182932260462</v>
      </c>
      <c r="Y51" s="1081" t="str">
        <f t="shared" si="6"/>
        <v>A</v>
      </c>
      <c r="Z51" s="1082" t="str">
        <f t="shared" si="6"/>
        <v>=  =  -</v>
      </c>
      <c r="AA51" s="1076">
        <f t="shared" si="6"/>
        <v>0.93248540191552354</v>
      </c>
      <c r="AB51" s="1083">
        <f t="shared" si="6"/>
        <v>0.78949919521054279</v>
      </c>
      <c r="AC51" s="1077">
        <f t="shared" si="6"/>
        <v>1.3109622071604587</v>
      </c>
      <c r="AD51" s="949"/>
      <c r="AE51" s="949"/>
      <c r="AF51" s="949"/>
      <c r="AG51" s="2129"/>
      <c r="AH51" s="949"/>
      <c r="AI51" s="949"/>
      <c r="AJ51" s="949"/>
      <c r="AK51" s="949"/>
      <c r="AL51" s="949"/>
      <c r="AM51" s="949"/>
      <c r="AN51" s="949"/>
      <c r="AO51" s="949"/>
      <c r="AP51" s="949"/>
      <c r="AQ51" s="949"/>
      <c r="AR51" s="110"/>
      <c r="AS51" s="110"/>
      <c r="AT51" s="110"/>
      <c r="AU51" s="949"/>
      <c r="AV51" s="949"/>
      <c r="AW51" s="949"/>
      <c r="AX51" s="949"/>
      <c r="AY51" s="949"/>
      <c r="AZ51" s="949"/>
      <c r="BA51" s="949"/>
      <c r="BB51" s="949"/>
      <c r="BC51" s="949"/>
      <c r="BD51" s="949"/>
      <c r="BE51" s="2267"/>
    </row>
    <row r="52" spans="1:57">
      <c r="A52" s="1090" t="s">
        <v>19</v>
      </c>
      <c r="B52" s="73" t="s">
        <v>285</v>
      </c>
      <c r="C52" s="115">
        <f t="shared" ref="C52:L62" si="7">VLOOKUP($B52,$B$7:$AC$28,C$37+1,FALSE)</f>
        <v>6002.7646707914537</v>
      </c>
      <c r="D52" s="113">
        <f t="shared" si="7"/>
        <v>1.538054479108892E-2</v>
      </c>
      <c r="E52" s="1060">
        <f t="shared" si="7"/>
        <v>1.7468659495150733</v>
      </c>
      <c r="F52" s="1060">
        <f t="shared" si="7"/>
        <v>1.8486415284207123</v>
      </c>
      <c r="G52" s="1061">
        <f t="shared" si="7"/>
        <v>9571.524995540176</v>
      </c>
      <c r="H52" s="1062">
        <f t="shared" si="7"/>
        <v>2.6505421611613778E-2</v>
      </c>
      <c r="I52" s="1063">
        <f t="shared" si="7"/>
        <v>4.1497848696984878</v>
      </c>
      <c r="J52" s="1063">
        <f t="shared" si="7"/>
        <v>5.1075046454025781</v>
      </c>
      <c r="K52" s="1064">
        <f t="shared" si="7"/>
        <v>7.8090133066846761</v>
      </c>
      <c r="L52" s="1060">
        <f t="shared" si="7"/>
        <v>0.8464659845431286</v>
      </c>
      <c r="M52" s="1065">
        <f t="shared" ref="M52:Y62" si="8">VLOOKUP($B52,$B$7:$AC$28,M$37+1,FALSE)</f>
        <v>9.6719476082953495</v>
      </c>
      <c r="N52" s="1066">
        <f t="shared" si="8"/>
        <v>9.1630231095150338E-2</v>
      </c>
      <c r="O52" s="1084" t="str">
        <f t="shared" si="8"/>
        <v>¥</v>
      </c>
      <c r="P52" s="1068">
        <f t="shared" si="8"/>
        <v>0.34976819018989347</v>
      </c>
      <c r="Q52" s="1066">
        <f t="shared" si="8"/>
        <v>0.13477545507373562</v>
      </c>
      <c r="R52" s="1067">
        <f t="shared" si="8"/>
        <v>-0.4264373226073967</v>
      </c>
      <c r="S52" s="1068">
        <f t="shared" si="8"/>
        <v>9.7905485588969735E-2</v>
      </c>
      <c r="T52" s="1066">
        <f t="shared" si="8"/>
        <v>0.16024846762312819</v>
      </c>
      <c r="U52" s="1067">
        <f t="shared" si="8"/>
        <v>-0.25253039609468159</v>
      </c>
      <c r="V52" s="1068">
        <f t="shared" si="8"/>
        <v>0.12849893093161849</v>
      </c>
      <c r="W52" s="1060">
        <f t="shared" si="8"/>
        <v>2.5473012549392576E-2</v>
      </c>
      <c r="X52" s="1060">
        <f t="shared" si="8"/>
        <v>0.18900335031669008</v>
      </c>
      <c r="Y52" s="1069" t="str">
        <f t="shared" si="8"/>
        <v>Not rated</v>
      </c>
      <c r="Z52" s="1070"/>
      <c r="AA52" s="1064">
        <f t="shared" ref="AA52:AC62" si="9">VLOOKUP($B52,$B$7:$AC$28,AA$37+1,FALSE)</f>
        <v>1.265551414722516</v>
      </c>
      <c r="AB52" s="1071">
        <f t="shared" si="9"/>
        <v>0.38040351489576829</v>
      </c>
      <c r="AC52" s="1065">
        <f t="shared" si="9"/>
        <v>1.242834927692577</v>
      </c>
      <c r="AD52" s="949"/>
      <c r="AE52" s="949"/>
      <c r="AF52" s="949"/>
      <c r="AG52" s="2129"/>
      <c r="AH52" s="949"/>
      <c r="AI52" s="949"/>
      <c r="AJ52" s="949"/>
      <c r="AK52" s="949"/>
      <c r="AL52" s="949"/>
      <c r="AM52" s="949"/>
      <c r="AN52" s="949"/>
      <c r="AO52" s="949"/>
      <c r="AP52" s="949"/>
      <c r="AQ52" s="949"/>
      <c r="AR52" s="110"/>
      <c r="AS52" s="110"/>
      <c r="AT52" s="110"/>
      <c r="AU52" s="949"/>
      <c r="AV52" s="949"/>
      <c r="AW52" s="949"/>
      <c r="AX52" s="949"/>
      <c r="AY52" s="949"/>
      <c r="AZ52" s="949"/>
      <c r="BA52" s="949"/>
      <c r="BB52" s="949"/>
      <c r="BC52" s="949"/>
      <c r="BD52" s="949"/>
      <c r="BE52" s="2267"/>
    </row>
    <row r="53" spans="1:57">
      <c r="A53" s="1090" t="s">
        <v>503</v>
      </c>
      <c r="B53" s="73" t="s">
        <v>280</v>
      </c>
      <c r="C53" s="115">
        <f t="shared" si="7"/>
        <v>5769.8566757446433</v>
      </c>
      <c r="D53" s="113">
        <f t="shared" si="7"/>
        <v>1.4783777793466828E-2</v>
      </c>
      <c r="E53" s="1060">
        <f t="shared" si="7"/>
        <v>-0.24705029723080094</v>
      </c>
      <c r="F53" s="1060">
        <f t="shared" si="7"/>
        <v>-0.14527471832516198</v>
      </c>
      <c r="G53" s="1061">
        <f t="shared" si="7"/>
        <v>4026.3480952657014</v>
      </c>
      <c r="H53" s="1062">
        <f t="shared" si="7"/>
        <v>1.1149744044952231E-2</v>
      </c>
      <c r="I53" s="1063">
        <f t="shared" si="7"/>
        <v>2.446298838298576</v>
      </c>
      <c r="J53" s="1063">
        <f t="shared" si="7"/>
        <v>1.6476276710656086</v>
      </c>
      <c r="K53" s="1064">
        <f t="shared" si="7"/>
        <v>6.5589809256196414</v>
      </c>
      <c r="L53" s="1060">
        <f t="shared" si="7"/>
        <v>1.2127469272410992E-3</v>
      </c>
      <c r="M53" s="1065">
        <f t="shared" si="8"/>
        <v>5.5145354419406587</v>
      </c>
      <c r="N53" s="1066">
        <f t="shared" si="8"/>
        <v>0.67083419702973635</v>
      </c>
      <c r="O53" s="1067">
        <f t="shared" si="8"/>
        <v>-0.11335389957676706</v>
      </c>
      <c r="P53" s="1068">
        <f t="shared" si="8"/>
        <v>0.63639387890884902</v>
      </c>
      <c r="Q53" s="1066">
        <f t="shared" si="8"/>
        <v>0.1536920907726812</v>
      </c>
      <c r="R53" s="1067">
        <f t="shared" si="8"/>
        <v>1.6283818604559013</v>
      </c>
      <c r="S53" s="1068">
        <f t="shared" si="8"/>
        <v>0.2022242346359609</v>
      </c>
      <c r="T53" s="1066">
        <f t="shared" si="8"/>
        <v>0.20961441125119315</v>
      </c>
      <c r="U53" s="1067">
        <f t="shared" si="8"/>
        <v>0.84200521424561081</v>
      </c>
      <c r="V53" s="1068">
        <f t="shared" si="8"/>
        <v>0.28147528322389997</v>
      </c>
      <c r="W53" s="1060">
        <f t="shared" si="8"/>
        <v>5.592232047851195E-2</v>
      </c>
      <c r="X53" s="1060">
        <f t="shared" si="8"/>
        <v>0.36385945559959909</v>
      </c>
      <c r="Y53" s="1069" t="str">
        <f t="shared" si="8"/>
        <v>Not rated</v>
      </c>
      <c r="Z53" s="1070"/>
      <c r="AA53" s="1064">
        <f t="shared" si="9"/>
        <v>1.4399592566697517</v>
      </c>
      <c r="AB53" s="1071">
        <f t="shared" si="9"/>
        <v>0.8442860967329926</v>
      </c>
      <c r="AC53" s="1065">
        <f t="shared" si="9"/>
        <v>1.5521418473212367</v>
      </c>
      <c r="AD53" s="949"/>
      <c r="AE53" s="949"/>
      <c r="AF53" s="949"/>
      <c r="AG53" s="2129"/>
      <c r="AH53" s="949"/>
      <c r="AI53" s="949"/>
      <c r="AJ53" s="949"/>
      <c r="AK53" s="949"/>
      <c r="AL53" s="949"/>
      <c r="AM53" s="949"/>
      <c r="AN53" s="949"/>
      <c r="AO53" s="949"/>
      <c r="AP53" s="949"/>
      <c r="AQ53" s="949"/>
      <c r="AR53" s="110"/>
      <c r="AS53" s="110"/>
      <c r="AT53" s="110"/>
      <c r="AU53" s="949"/>
      <c r="AV53" s="949"/>
      <c r="AW53" s="949"/>
      <c r="AX53" s="949"/>
      <c r="AY53" s="949"/>
      <c r="AZ53" s="949"/>
      <c r="BA53" s="949"/>
      <c r="BB53" s="949"/>
      <c r="BC53" s="949"/>
      <c r="BD53" s="949"/>
      <c r="BE53" s="2267"/>
    </row>
    <row r="54" spans="1:57">
      <c r="A54" s="1090" t="s">
        <v>539</v>
      </c>
      <c r="B54" s="73" t="s">
        <v>39</v>
      </c>
      <c r="C54" s="115">
        <f t="shared" si="7"/>
        <v>5059.5155870714543</v>
      </c>
      <c r="D54" s="113">
        <f t="shared" si="7"/>
        <v>1.2963710952524294E-2</v>
      </c>
      <c r="E54" s="1060">
        <f t="shared" si="7"/>
        <v>-0.13366823909704381</v>
      </c>
      <c r="F54" s="1060">
        <f t="shared" si="7"/>
        <v>-3.1892660191404867E-2</v>
      </c>
      <c r="G54" s="1061">
        <f t="shared" si="7"/>
        <v>5057.8123335929276</v>
      </c>
      <c r="H54" s="1062">
        <f t="shared" si="7"/>
        <v>1.4006069920599414E-2</v>
      </c>
      <c r="I54" s="1063">
        <f t="shared" si="7"/>
        <v>1.6858649053444912</v>
      </c>
      <c r="J54" s="1063">
        <f t="shared" si="7"/>
        <v>1.7703056194544857</v>
      </c>
      <c r="K54" s="1064">
        <f t="shared" si="7"/>
        <v>6.1343182706324946</v>
      </c>
      <c r="L54" s="1060">
        <f t="shared" si="7"/>
        <v>-0.19036897853308513</v>
      </c>
      <c r="M54" s="1065">
        <f t="shared" si="8"/>
        <v>5.9052222685092017</v>
      </c>
      <c r="N54" s="1066">
        <f t="shared" si="8"/>
        <v>0.31054928118178421</v>
      </c>
      <c r="O54" s="1067">
        <f t="shared" si="8"/>
        <v>-0.11491916916279199</v>
      </c>
      <c r="P54" s="1068">
        <f t="shared" si="8"/>
        <v>0.28165979767703259</v>
      </c>
      <c r="Q54" s="1066">
        <f t="shared" si="8"/>
        <v>0.3899242463002407</v>
      </c>
      <c r="R54" s="1067">
        <f t="shared" si="8"/>
        <v>-0.1197676600756727</v>
      </c>
      <c r="S54" s="1068">
        <f t="shared" si="8"/>
        <v>0.37944762378701169</v>
      </c>
      <c r="T54" s="1066">
        <f t="shared" si="8"/>
        <v>0.45093517146474416</v>
      </c>
      <c r="U54" s="1067">
        <f t="shared" si="8"/>
        <v>-8.3572610535330494E-2</v>
      </c>
      <c r="V54" s="1068">
        <f t="shared" si="8"/>
        <v>0.43916945384982109</v>
      </c>
      <c r="W54" s="1060">
        <f t="shared" si="8"/>
        <v>6.101092516450346E-2</v>
      </c>
      <c r="X54" s="1060">
        <f t="shared" si="8"/>
        <v>0.15646866216553562</v>
      </c>
      <c r="Y54" s="1069" t="str">
        <f t="shared" si="8"/>
        <v>BBB</v>
      </c>
      <c r="Z54" s="1070" t="str">
        <f t="shared" ref="Z54:Z60" si="10">VLOOKUP($B54,$B$7:$AC$28,Z$37+1,FALSE)</f>
        <v>­  = =</v>
      </c>
      <c r="AA54" s="1064">
        <f t="shared" si="9"/>
        <v>2.6587814840492587</v>
      </c>
      <c r="AB54" s="1071">
        <f t="shared" si="9"/>
        <v>-0.25803195656746131</v>
      </c>
      <c r="AC54" s="1065">
        <f t="shared" si="9"/>
        <v>2.5933932385229874</v>
      </c>
      <c r="AD54" s="949"/>
      <c r="AE54" s="949"/>
      <c r="AF54" s="949"/>
      <c r="AG54" s="2129"/>
      <c r="AH54" s="949"/>
      <c r="AI54" s="949"/>
      <c r="AJ54" s="949"/>
      <c r="AK54" s="949"/>
      <c r="AL54" s="949"/>
      <c r="AM54" s="949"/>
      <c r="AN54" s="949"/>
      <c r="AO54" s="949"/>
      <c r="AP54" s="949"/>
      <c r="AQ54" s="949"/>
      <c r="AR54" s="110"/>
      <c r="AS54" s="110"/>
      <c r="AT54" s="110"/>
      <c r="AU54" s="949"/>
      <c r="AV54" s="949"/>
      <c r="AW54" s="949"/>
      <c r="AX54" s="949"/>
      <c r="AY54" s="949"/>
      <c r="AZ54" s="949"/>
      <c r="BA54" s="949"/>
      <c r="BB54" s="949"/>
      <c r="BC54" s="949"/>
      <c r="BD54" s="949"/>
      <c r="BE54" s="2267"/>
    </row>
    <row r="55" spans="1:57">
      <c r="A55" s="1090" t="s">
        <v>27</v>
      </c>
      <c r="B55" s="73" t="s">
        <v>54</v>
      </c>
      <c r="C55" s="115">
        <f t="shared" si="7"/>
        <v>4745.1447857142857</v>
      </c>
      <c r="D55" s="113">
        <f t="shared" si="7"/>
        <v>1.2158216408516635E-2</v>
      </c>
      <c r="E55" s="1060">
        <f t="shared" si="7"/>
        <v>-0.63447330491761056</v>
      </c>
      <c r="F55" s="1060">
        <f t="shared" si="7"/>
        <v>-0.53269772601197163</v>
      </c>
      <c r="G55" s="1061">
        <f t="shared" si="7"/>
        <v>2680.5724</v>
      </c>
      <c r="H55" s="1062">
        <f t="shared" si="7"/>
        <v>7.4230283738025878E-3</v>
      </c>
      <c r="I55" s="1063">
        <f t="shared" si="7"/>
        <v>1.3569881249181368</v>
      </c>
      <c r="J55" s="1063">
        <f t="shared" si="7"/>
        <v>1.0332545966156574</v>
      </c>
      <c r="K55" s="1064">
        <f t="shared" si="7"/>
        <v>6.3422811159545107</v>
      </c>
      <c r="L55" s="1060">
        <f t="shared" si="7"/>
        <v>-0.24924595564935845</v>
      </c>
      <c r="M55" s="1065">
        <f t="shared" si="8"/>
        <v>5.3369406950798908</v>
      </c>
      <c r="N55" s="1066">
        <f t="shared" si="8"/>
        <v>0.48460704112825509</v>
      </c>
      <c r="O55" s="1067">
        <f t="shared" si="8"/>
        <v>-0.18079580514885477</v>
      </c>
      <c r="P55" s="1068">
        <f t="shared" si="8"/>
        <v>0.49497857034449522</v>
      </c>
      <c r="Q55" s="1066">
        <f t="shared" si="8"/>
        <v>0.56717095077467305</v>
      </c>
      <c r="R55" s="1067">
        <f t="shared" si="8"/>
        <v>0.64731222518720821</v>
      </c>
      <c r="S55" s="1068">
        <f t="shared" si="8"/>
        <v>0.74754623070756221</v>
      </c>
      <c r="T55" s="1066">
        <f t="shared" si="8"/>
        <v>0.5748403529709204</v>
      </c>
      <c r="U55" s="1067">
        <f t="shared" si="8"/>
        <v>0.5906099669472562</v>
      </c>
      <c r="V55" s="1068">
        <f t="shared" si="8"/>
        <v>0.7506672643344422</v>
      </c>
      <c r="W55" s="1060">
        <f t="shared" si="8"/>
        <v>7.6694021962473435E-3</v>
      </c>
      <c r="X55" s="1060">
        <f t="shared" si="8"/>
        <v>1.3522205581530675E-2</v>
      </c>
      <c r="Y55" s="1069" t="str">
        <f t="shared" si="8"/>
        <v>BBB-</v>
      </c>
      <c r="Z55" s="1070" t="str">
        <f t="shared" si="10"/>
        <v>¯  ¯ ¯</v>
      </c>
      <c r="AA55" s="1064">
        <f t="shared" si="9"/>
        <v>3.4278891827637503</v>
      </c>
      <c r="AB55" s="1071">
        <f t="shared" si="9"/>
        <v>0.24423537898737996</v>
      </c>
      <c r="AC55" s="1065">
        <f t="shared" si="9"/>
        <v>3.8230610288109381</v>
      </c>
      <c r="AD55" s="949"/>
      <c r="AE55" s="949"/>
      <c r="AF55" s="949"/>
      <c r="AG55" s="2129"/>
      <c r="AH55" s="949"/>
      <c r="AI55" s="949"/>
      <c r="AJ55" s="949"/>
      <c r="AK55" s="949"/>
      <c r="AL55" s="949"/>
      <c r="AM55" s="949"/>
      <c r="AN55" s="949"/>
      <c r="AO55" s="949"/>
      <c r="AP55" s="949"/>
      <c r="AQ55" s="949"/>
      <c r="AR55" s="110"/>
      <c r="AS55" s="110"/>
      <c r="AT55" s="110"/>
      <c r="AU55" s="949"/>
      <c r="AV55" s="949"/>
      <c r="AW55" s="949"/>
      <c r="AX55" s="949"/>
      <c r="AY55" s="949"/>
      <c r="AZ55" s="949"/>
      <c r="BA55" s="949"/>
      <c r="BB55" s="949"/>
      <c r="BC55" s="949"/>
      <c r="BD55" s="949"/>
      <c r="BE55" s="2267"/>
    </row>
    <row r="56" spans="1:57">
      <c r="A56" s="1090" t="s">
        <v>502</v>
      </c>
      <c r="B56" s="73" t="s">
        <v>287</v>
      </c>
      <c r="C56" s="115">
        <f t="shared" si="7"/>
        <v>4580.8423286191064</v>
      </c>
      <c r="D56" s="113">
        <f t="shared" si="7"/>
        <v>1.1737233504933111E-2</v>
      </c>
      <c r="E56" s="1060">
        <f t="shared" si="7"/>
        <v>-0.49577837871365099</v>
      </c>
      <c r="F56" s="1060">
        <f t="shared" si="7"/>
        <v>-0.39400279980801206</v>
      </c>
      <c r="G56" s="1061">
        <f t="shared" si="7"/>
        <v>2322.4005110115481</v>
      </c>
      <c r="H56" s="1062">
        <f t="shared" si="7"/>
        <v>6.4311804779353665E-3</v>
      </c>
      <c r="I56" s="1063">
        <f t="shared" si="7"/>
        <v>1.4234279787340207</v>
      </c>
      <c r="J56" s="1063">
        <f t="shared" si="7"/>
        <v>0.8056764866383116</v>
      </c>
      <c r="K56" s="1064">
        <f t="shared" si="7"/>
        <v>4.3531629475873661</v>
      </c>
      <c r="L56" s="1060">
        <f t="shared" si="7"/>
        <v>-8.1025400882275472E-2</v>
      </c>
      <c r="M56" s="1065">
        <f t="shared" si="8"/>
        <v>3.4400754167452243</v>
      </c>
      <c r="N56" s="1066">
        <f t="shared" si="8"/>
        <v>0.42290073595624156</v>
      </c>
      <c r="O56" s="1067">
        <f t="shared" si="8"/>
        <v>-9.0086339251873371E-2</v>
      </c>
      <c r="P56" s="1068">
        <f t="shared" si="8"/>
        <v>0.44946685046944856</v>
      </c>
      <c r="Q56" s="1066">
        <f t="shared" si="8"/>
        <v>0.16307046534988884</v>
      </c>
      <c r="R56" s="1067">
        <f t="shared" si="8"/>
        <v>1.3005419282788433</v>
      </c>
      <c r="S56" s="1068">
        <f t="shared" si="8"/>
        <v>0.30950096360373897</v>
      </c>
      <c r="T56" s="1066">
        <f t="shared" si="8"/>
        <v>0.18570292678335293</v>
      </c>
      <c r="U56" s="1067">
        <f t="shared" si="8"/>
        <v>1.251733079461073</v>
      </c>
      <c r="V56" s="1068">
        <f t="shared" si="8"/>
        <v>0.34197601038246805</v>
      </c>
      <c r="W56" s="1060">
        <f t="shared" si="8"/>
        <v>2.2632461433464091E-2</v>
      </c>
      <c r="X56" s="1060">
        <f t="shared" si="8"/>
        <v>0.13878945758144007</v>
      </c>
      <c r="Y56" s="1069" t="str">
        <f t="shared" si="8"/>
        <v>BBB</v>
      </c>
      <c r="Z56" s="1070" t="str">
        <f t="shared" si="10"/>
        <v>=  ¯ -</v>
      </c>
      <c r="AA56" s="1064">
        <f t="shared" si="9"/>
        <v>0.77886477042851432</v>
      </c>
      <c r="AB56" s="1071">
        <f t="shared" si="9"/>
        <v>1.0703005310133176</v>
      </c>
      <c r="AC56" s="1065">
        <f t="shared" si="9"/>
        <v>1.1762690733772538</v>
      </c>
      <c r="AD56" s="949"/>
      <c r="AE56" s="949"/>
      <c r="AF56" s="949"/>
      <c r="AG56" s="2129"/>
      <c r="AH56" s="949"/>
      <c r="AI56" s="949"/>
      <c r="AJ56" s="949"/>
      <c r="AK56" s="949"/>
      <c r="AL56" s="949"/>
      <c r="AM56" s="949"/>
      <c r="AN56" s="949"/>
      <c r="AO56" s="949"/>
      <c r="AP56" s="949"/>
      <c r="AQ56" s="949"/>
      <c r="AR56" s="110"/>
      <c r="AS56" s="110"/>
      <c r="AT56" s="110"/>
      <c r="AU56" s="949"/>
      <c r="AV56" s="949"/>
      <c r="AW56" s="949"/>
      <c r="AX56" s="949"/>
      <c r="AY56" s="949"/>
      <c r="AZ56" s="949"/>
      <c r="BA56" s="949"/>
      <c r="BB56" s="949"/>
      <c r="BC56" s="949"/>
      <c r="BD56" s="949"/>
      <c r="BE56" s="2267"/>
    </row>
    <row r="57" spans="1:57">
      <c r="A57" s="1090" t="s">
        <v>385</v>
      </c>
      <c r="B57" s="73" t="s">
        <v>276</v>
      </c>
      <c r="C57" s="115">
        <f t="shared" si="7"/>
        <v>3544.0522571428578</v>
      </c>
      <c r="D57" s="113">
        <f t="shared" si="7"/>
        <v>9.0807248780183369E-3</v>
      </c>
      <c r="E57" s="1060">
        <f t="shared" si="7"/>
        <v>-0.4675424361384804</v>
      </c>
      <c r="F57" s="1060">
        <f t="shared" si="7"/>
        <v>-0.36576685723284147</v>
      </c>
      <c r="G57" s="1061">
        <f t="shared" si="7"/>
        <v>2152.6311000000001</v>
      </c>
      <c r="H57" s="1062">
        <f t="shared" si="7"/>
        <v>5.9610558303255963E-3</v>
      </c>
      <c r="I57" s="1063">
        <f t="shared" si="7"/>
        <v>3.4941691326062152</v>
      </c>
      <c r="J57" s="1063">
        <f t="shared" si="7"/>
        <v>2.2961398399999999</v>
      </c>
      <c r="K57" s="1064">
        <f t="shared" si="7"/>
        <v>4.4246190982470868</v>
      </c>
      <c r="L57" s="1060">
        <f t="shared" si="7"/>
        <v>-2.9835823683801648E-2</v>
      </c>
      <c r="M57" s="1065">
        <f t="shared" si="8"/>
        <v>4.0530525032062261</v>
      </c>
      <c r="N57" s="1066">
        <f t="shared" si="8"/>
        <v>0.60910298289809772</v>
      </c>
      <c r="O57" s="1067">
        <f t="shared" si="8"/>
        <v>-5.2071170724915891E-2</v>
      </c>
      <c r="P57" s="1068">
        <f t="shared" si="8"/>
        <v>0.6207941242005639</v>
      </c>
      <c r="Q57" s="1066">
        <f t="shared" si="8"/>
        <v>0.49050145598877937</v>
      </c>
      <c r="R57" s="1067">
        <f t="shared" si="8"/>
        <v>0.42102559519407173</v>
      </c>
      <c r="S57" s="1068">
        <f t="shared" si="8"/>
        <v>0.61744816018521742</v>
      </c>
      <c r="T57" s="1066">
        <f t="shared" si="8"/>
        <v>0.49698573886957192</v>
      </c>
      <c r="U57" s="1067">
        <f t="shared" si="8"/>
        <v>0.41032171167013903</v>
      </c>
      <c r="V57" s="1068">
        <f t="shared" si="8"/>
        <v>0.62319136029119382</v>
      </c>
      <c r="W57" s="1060">
        <f t="shared" si="8"/>
        <v>6.4842828807925579E-3</v>
      </c>
      <c r="X57" s="1060">
        <f t="shared" si="8"/>
        <v>1.3219701596443154E-2</v>
      </c>
      <c r="Y57" s="1069" t="str">
        <f t="shared" si="8"/>
        <v>BBB</v>
      </c>
      <c r="Z57" s="1070" t="str">
        <f t="shared" si="10"/>
        <v>=  ¯ -</v>
      </c>
      <c r="AA57" s="1064">
        <f t="shared" si="9"/>
        <v>2.1902281092407181</v>
      </c>
      <c r="AB57" s="1071">
        <f t="shared" si="9"/>
        <v>0.36844726500440206</v>
      </c>
      <c r="AC57" s="1065">
        <f t="shared" si="9"/>
        <v>2.5252968522290931</v>
      </c>
      <c r="AD57" s="949"/>
      <c r="AE57" s="949"/>
      <c r="AF57" s="949"/>
      <c r="AG57" s="2129"/>
      <c r="AH57" s="949"/>
      <c r="AI57" s="949"/>
      <c r="AJ57" s="949"/>
      <c r="AK57" s="949"/>
      <c r="AL57" s="949"/>
      <c r="AM57" s="949"/>
      <c r="AN57" s="949"/>
      <c r="AO57" s="949"/>
      <c r="AP57" s="949"/>
      <c r="AQ57" s="949"/>
      <c r="AR57" s="110"/>
      <c r="AS57" s="110"/>
      <c r="AT57" s="110"/>
      <c r="AU57" s="949"/>
      <c r="AV57" s="949"/>
      <c r="AW57" s="949"/>
      <c r="AX57" s="949"/>
      <c r="AY57" s="949"/>
      <c r="AZ57" s="949"/>
      <c r="BA57" s="949"/>
      <c r="BB57" s="949"/>
      <c r="BC57" s="949"/>
      <c r="BD57" s="949"/>
      <c r="BE57" s="2267"/>
    </row>
    <row r="58" spans="1:57">
      <c r="A58" s="1091" t="s">
        <v>319</v>
      </c>
      <c r="B58" s="691" t="s">
        <v>752</v>
      </c>
      <c r="C58" s="1006">
        <f t="shared" si="7"/>
        <v>3541.6238999999996</v>
      </c>
      <c r="D58" s="1007">
        <f t="shared" si="7"/>
        <v>9.0745028357006995E-3</v>
      </c>
      <c r="E58" s="1072">
        <f t="shared" si="7"/>
        <v>0.67327297771392325</v>
      </c>
      <c r="F58" s="1072">
        <f t="shared" si="7"/>
        <v>0.77504855661956218</v>
      </c>
      <c r="G58" s="1073">
        <f t="shared" si="7"/>
        <v>4048.9897999999998</v>
      </c>
      <c r="H58" s="1074">
        <f t="shared" si="7"/>
        <v>1.1212443346293226E-2</v>
      </c>
      <c r="I58" s="1075">
        <f t="shared" si="7"/>
        <v>-1.4186196832586249</v>
      </c>
      <c r="J58" s="1075">
        <f t="shared" si="7"/>
        <v>-2.7147098893731143</v>
      </c>
      <c r="K58" s="1076">
        <f t="shared" si="7"/>
        <v>8.5213348378460623</v>
      </c>
      <c r="L58" s="1072">
        <f t="shared" si="7"/>
        <v>0.26215680659638446</v>
      </c>
      <c r="M58" s="1077">
        <f t="shared" si="8"/>
        <v>9.0506669895995948</v>
      </c>
      <c r="N58" s="1078">
        <f t="shared" si="8"/>
        <v>6.4385445236561381E-2</v>
      </c>
      <c r="O58" s="1079">
        <f t="shared" si="8"/>
        <v>14.697799124913645</v>
      </c>
      <c r="P58" s="1080">
        <f t="shared" si="8"/>
        <v>0.15462918080465343</v>
      </c>
      <c r="Q58" s="1078">
        <f t="shared" si="8"/>
        <v>0.42399287000325037</v>
      </c>
      <c r="R58" s="1079">
        <f t="shared" si="8"/>
        <v>4.5742782667206161E-2</v>
      </c>
      <c r="S58" s="1080">
        <f t="shared" si="8"/>
        <v>0.48144640266975475</v>
      </c>
      <c r="T58" s="1078">
        <f t="shared" si="8"/>
        <v>0.42695023434228802</v>
      </c>
      <c r="U58" s="1079">
        <f t="shared" si="8"/>
        <v>4.1366838913311048E-2</v>
      </c>
      <c r="V58" s="1080">
        <f t="shared" si="8"/>
        <v>0.4832654138496531</v>
      </c>
      <c r="W58" s="1072">
        <f t="shared" si="8"/>
        <v>2.9573643390376492E-3</v>
      </c>
      <c r="X58" s="1072">
        <f t="shared" si="8"/>
        <v>6.9750331863245195E-3</v>
      </c>
      <c r="Y58" s="1081" t="str">
        <f t="shared" si="8"/>
        <v>B+</v>
      </c>
      <c r="Z58" s="1082" t="str">
        <f t="shared" si="10"/>
        <v>=  =  =</v>
      </c>
      <c r="AA58" s="1076">
        <f t="shared" si="9"/>
        <v>3.7014756930154613</v>
      </c>
      <c r="AB58" s="1083">
        <f t="shared" si="9"/>
        <v>0.31334582285320112</v>
      </c>
      <c r="AC58" s="1077">
        <f t="shared" si="9"/>
        <v>4.3704719780651446</v>
      </c>
      <c r="AD58" s="949"/>
      <c r="AE58" s="949"/>
      <c r="AF58" s="949"/>
      <c r="AG58" s="2129"/>
      <c r="AH58" s="949"/>
      <c r="AI58" s="949"/>
      <c r="AJ58" s="949"/>
      <c r="AK58" s="949"/>
      <c r="AL58" s="949"/>
      <c r="AM58" s="949"/>
      <c r="AN58" s="949"/>
      <c r="AO58" s="949"/>
      <c r="AP58" s="949"/>
      <c r="AQ58" s="949"/>
      <c r="AR58" s="110"/>
      <c r="AS58" s="110"/>
      <c r="AT58" s="110"/>
      <c r="AU58" s="949"/>
      <c r="AV58" s="949"/>
      <c r="AW58" s="949"/>
      <c r="AX58" s="949"/>
      <c r="AY58" s="949"/>
      <c r="AZ58" s="949"/>
      <c r="BA58" s="949"/>
      <c r="BB58" s="949"/>
      <c r="BC58" s="949"/>
      <c r="BD58" s="949"/>
      <c r="BE58" s="2267"/>
    </row>
    <row r="59" spans="1:57">
      <c r="A59" s="1090" t="s">
        <v>73</v>
      </c>
      <c r="B59" s="73" t="s">
        <v>283</v>
      </c>
      <c r="C59" s="115">
        <f t="shared" si="7"/>
        <v>2461.5190857142857</v>
      </c>
      <c r="D59" s="113">
        <f t="shared" si="7"/>
        <v>6.3070112903421734E-3</v>
      </c>
      <c r="E59" s="1060">
        <f t="shared" si="7"/>
        <v>6.738754525599433E-2</v>
      </c>
      <c r="F59" s="1060">
        <f t="shared" si="7"/>
        <v>0.16916312416163326</v>
      </c>
      <c r="G59" s="1061">
        <f t="shared" si="7"/>
        <v>2364.3629999999998</v>
      </c>
      <c r="H59" s="1062">
        <f t="shared" si="7"/>
        <v>6.5473828033777437E-3</v>
      </c>
      <c r="I59" s="1063">
        <f t="shared" si="7"/>
        <v>3.1397518024733277</v>
      </c>
      <c r="J59" s="1063">
        <f t="shared" si="7"/>
        <v>3.0995844257996854</v>
      </c>
      <c r="K59" s="1064">
        <f t="shared" si="7"/>
        <v>6.6917014692746157</v>
      </c>
      <c r="L59" s="1060">
        <f t="shared" si="7"/>
        <v>0.14721542174528052</v>
      </c>
      <c r="M59" s="1065">
        <f t="shared" si="8"/>
        <v>7.0127743881429545</v>
      </c>
      <c r="N59" s="1066">
        <f t="shared" si="8"/>
        <v>0.62657499999999999</v>
      </c>
      <c r="O59" s="1067">
        <f t="shared" si="8"/>
        <v>5.5614710459497153E-2</v>
      </c>
      <c r="P59" s="1068">
        <f t="shared" si="8"/>
        <v>0.64439999999999997</v>
      </c>
      <c r="Q59" s="1066">
        <f t="shared" si="8"/>
        <v>0.24190098439360719</v>
      </c>
      <c r="R59" s="1067">
        <f t="shared" si="8"/>
        <v>0.20667512064869559</v>
      </c>
      <c r="S59" s="1068">
        <f t="shared" si="8"/>
        <v>0.30597960586046052</v>
      </c>
      <c r="T59" s="1066">
        <f t="shared" si="8"/>
        <v>0.2616424852780464</v>
      </c>
      <c r="U59" s="1067">
        <f t="shared" si="8"/>
        <v>0.20296552626351777</v>
      </c>
      <c r="V59" s="1068">
        <f t="shared" si="8"/>
        <v>0.32061814749302248</v>
      </c>
      <c r="W59" s="1060">
        <f t="shared" si="8"/>
        <v>1.9741500884439211E-2</v>
      </c>
      <c r="X59" s="1060">
        <f t="shared" si="8"/>
        <v>8.1609841042717679E-2</v>
      </c>
      <c r="Y59" s="1069" t="str">
        <f t="shared" si="8"/>
        <v>BBB</v>
      </c>
      <c r="Z59" s="1070" t="str">
        <f t="shared" si="10"/>
        <v>=  =  -</v>
      </c>
      <c r="AA59" s="1064">
        <f t="shared" si="9"/>
        <v>1.7511002028712532</v>
      </c>
      <c r="AB59" s="1071">
        <f t="shared" si="9"/>
        <v>0.37093258903528414</v>
      </c>
      <c r="AC59" s="1065">
        <f t="shared" si="9"/>
        <v>2.2311132077757287</v>
      </c>
      <c r="AD59" s="949"/>
      <c r="AE59" s="949"/>
      <c r="AF59" s="949"/>
      <c r="AG59" s="2129"/>
      <c r="AH59" s="949"/>
      <c r="AI59" s="949"/>
      <c r="AJ59" s="949"/>
      <c r="AK59" s="949"/>
      <c r="AL59" s="949"/>
      <c r="AM59" s="949"/>
      <c r="AN59" s="949"/>
      <c r="AO59" s="949"/>
      <c r="AP59" s="949"/>
      <c r="AQ59" s="949"/>
      <c r="AR59" s="110"/>
      <c r="AS59" s="110"/>
      <c r="AT59" s="110"/>
      <c r="AU59" s="949"/>
      <c r="AV59" s="949"/>
      <c r="AW59" s="949"/>
      <c r="AX59" s="949"/>
      <c r="AY59" s="949"/>
      <c r="AZ59" s="949"/>
      <c r="BA59" s="949"/>
      <c r="BB59" s="949"/>
      <c r="BC59" s="949"/>
      <c r="BD59" s="949"/>
      <c r="BE59" s="2267"/>
    </row>
    <row r="60" spans="1:57">
      <c r="A60" s="1090" t="s">
        <v>374</v>
      </c>
      <c r="B60" s="73" t="s">
        <v>42</v>
      </c>
      <c r="C60" s="115">
        <f t="shared" si="7"/>
        <v>2432.5463571428577</v>
      </c>
      <c r="D60" s="113">
        <f t="shared" si="7"/>
        <v>6.2327761047315808E-3</v>
      </c>
      <c r="E60" s="1060">
        <f t="shared" si="7"/>
        <v>-3.2258071946582277E-2</v>
      </c>
      <c r="F60" s="1060">
        <f t="shared" si="7"/>
        <v>6.9517506959056674E-2</v>
      </c>
      <c r="G60" s="1061">
        <f t="shared" si="7"/>
        <v>2940.9023000000002</v>
      </c>
      <c r="H60" s="1062">
        <f t="shared" si="7"/>
        <v>8.143932697912316E-3</v>
      </c>
      <c r="I60" s="1063">
        <f t="shared" si="7"/>
        <v>1.2689619717468461</v>
      </c>
      <c r="J60" s="1063">
        <f t="shared" si="7"/>
        <v>1.312316956715752</v>
      </c>
      <c r="K60" s="1064">
        <f t="shared" si="7"/>
        <v>3.8459062845563983</v>
      </c>
      <c r="L60" s="1060">
        <f t="shared" si="7"/>
        <v>3.4291324439135469E-2</v>
      </c>
      <c r="M60" s="1065">
        <f t="shared" si="8"/>
        <v>3.7439277362047823</v>
      </c>
      <c r="N60" s="1066">
        <f t="shared" si="8"/>
        <v>0.56323171407839789</v>
      </c>
      <c r="O60" s="1067">
        <f t="shared" si="8"/>
        <v>-0.12023286586287618</v>
      </c>
      <c r="P60" s="1068">
        <f t="shared" si="8"/>
        <v>0.53987730061349704</v>
      </c>
      <c r="Q60" s="1066">
        <f t="shared" si="8"/>
        <v>0.60887331285954671</v>
      </c>
      <c r="R60" s="1067">
        <f t="shared" si="8"/>
        <v>-0.37303497156800469</v>
      </c>
      <c r="S60" s="1068">
        <f t="shared" si="8"/>
        <v>0.37659759063604481</v>
      </c>
      <c r="T60" s="1066">
        <f t="shared" si="8"/>
        <v>0.63388271448107447</v>
      </c>
      <c r="U60" s="1067">
        <f t="shared" si="8"/>
        <v>-0.25869992498286548</v>
      </c>
      <c r="V60" s="1068">
        <f t="shared" si="8"/>
        <v>0.44527495080222473</v>
      </c>
      <c r="W60" s="1060">
        <f t="shared" si="8"/>
        <v>2.500940162152776E-2</v>
      </c>
      <c r="X60" s="1060">
        <f t="shared" si="8"/>
        <v>4.1074885519406669E-2</v>
      </c>
      <c r="Y60" s="1069" t="str">
        <f t="shared" si="8"/>
        <v>B-</v>
      </c>
      <c r="Z60" s="1070" t="str">
        <f t="shared" si="10"/>
        <v>=  =  -</v>
      </c>
      <c r="AA60" s="1064">
        <f t="shared" si="9"/>
        <v>2.172629043332774</v>
      </c>
      <c r="AB60" s="1071">
        <f t="shared" si="9"/>
        <v>-0.22035736928264804</v>
      </c>
      <c r="AC60" s="1065">
        <f t="shared" si="9"/>
        <v>1.5517268924243866</v>
      </c>
      <c r="AD60" s="949"/>
      <c r="AE60" s="949"/>
      <c r="AF60" s="949"/>
      <c r="AG60" s="2129"/>
      <c r="AH60" s="949"/>
      <c r="AI60" s="949"/>
      <c r="AJ60" s="949"/>
      <c r="AK60" s="949"/>
      <c r="AL60" s="949"/>
      <c r="AM60" s="949"/>
      <c r="AN60" s="949"/>
      <c r="AO60" s="949"/>
      <c r="AP60" s="949"/>
      <c r="AQ60" s="949"/>
      <c r="AR60" s="110"/>
      <c r="AS60" s="110"/>
      <c r="AT60" s="110"/>
      <c r="AU60" s="949"/>
      <c r="AV60" s="949"/>
      <c r="AW60" s="949"/>
      <c r="AX60" s="949"/>
      <c r="AY60" s="949"/>
      <c r="AZ60" s="949"/>
      <c r="BA60" s="949"/>
      <c r="BB60" s="949"/>
      <c r="BC60" s="949"/>
      <c r="BD60" s="949"/>
      <c r="BE60" s="2267"/>
    </row>
    <row r="61" spans="1:57">
      <c r="A61" s="1091" t="s">
        <v>319</v>
      </c>
      <c r="B61" s="691" t="s">
        <v>751</v>
      </c>
      <c r="C61" s="1006">
        <f t="shared" si="7"/>
        <v>2121.4584571428572</v>
      </c>
      <c r="D61" s="1007">
        <f t="shared" si="7"/>
        <v>5.4356931534045982E-3</v>
      </c>
      <c r="E61" s="1072">
        <f t="shared" si="7"/>
        <v>-0.63331383871554725</v>
      </c>
      <c r="F61" s="1072">
        <f t="shared" si="7"/>
        <v>-0.53153825980990832</v>
      </c>
      <c r="G61" s="1073">
        <f t="shared" si="7"/>
        <v>960.23059999999998</v>
      </c>
      <c r="H61" s="1074">
        <f t="shared" si="7"/>
        <v>2.6590660223142948E-3</v>
      </c>
      <c r="I61" s="1075">
        <f t="shared" si="7"/>
        <v>6.3820660890696566</v>
      </c>
      <c r="J61" s="1075">
        <f t="shared" si="7"/>
        <v>3.126768479322696</v>
      </c>
      <c r="K61" s="1076">
        <f t="shared" si="7"/>
        <v>4.988018554669714</v>
      </c>
      <c r="L61" s="1072">
        <f t="shared" si="7"/>
        <v>-0.2975700901517318</v>
      </c>
      <c r="M61" s="1077">
        <f t="shared" si="8"/>
        <v>3.6764587184436395</v>
      </c>
      <c r="N61" s="1078">
        <f t="shared" si="8"/>
        <v>0.95644485424869818</v>
      </c>
      <c r="O61" s="1079">
        <f t="shared" si="8"/>
        <v>5.7346309608293736E-3</v>
      </c>
      <c r="P61" s="1080">
        <f t="shared" si="8"/>
        <v>0.97265268915223335</v>
      </c>
      <c r="Q61" s="1078">
        <f t="shared" si="8"/>
        <v>0.16489915086810925</v>
      </c>
      <c r="R61" s="1079">
        <f t="shared" si="8"/>
        <v>2.0043608623878186</v>
      </c>
      <c r="S61" s="1080">
        <f t="shared" si="8"/>
        <v>0.32988338723452482</v>
      </c>
      <c r="T61" s="1078">
        <f t="shared" si="8"/>
        <v>0.27218937885351913</v>
      </c>
      <c r="U61" s="1079">
        <f t="shared" si="8"/>
        <v>1.2181747217666232</v>
      </c>
      <c r="V61" s="1080">
        <f t="shared" si="8"/>
        <v>0.4561905930983241</v>
      </c>
      <c r="W61" s="1072">
        <f t="shared" si="8"/>
        <v>0.10729022798540988</v>
      </c>
      <c r="X61" s="1072">
        <f t="shared" si="8"/>
        <v>0.65064148250965514</v>
      </c>
      <c r="Y61" s="1081" t="str">
        <f t="shared" si="8"/>
        <v>Not rated</v>
      </c>
      <c r="Z61" s="1082"/>
      <c r="AA61" s="1076">
        <f t="shared" si="9"/>
        <v>1.2440956586918632</v>
      </c>
      <c r="AB61" s="1083">
        <f t="shared" si="9"/>
        <v>0.5581122698382367</v>
      </c>
      <c r="AC61" s="1077">
        <f t="shared" si="9"/>
        <v>1.6771658832683087</v>
      </c>
      <c r="AD61" s="949"/>
      <c r="AE61" s="949"/>
      <c r="AF61" s="949"/>
      <c r="AG61" s="2129"/>
      <c r="AH61" s="949"/>
      <c r="AI61" s="949"/>
      <c r="AJ61" s="949"/>
      <c r="AK61" s="949"/>
      <c r="AL61" s="949"/>
      <c r="AM61" s="949"/>
      <c r="AN61" s="949"/>
      <c r="AO61" s="949"/>
      <c r="AP61" s="949"/>
      <c r="AQ61" s="949"/>
      <c r="AR61" s="110"/>
      <c r="AS61" s="110"/>
      <c r="AT61" s="110"/>
      <c r="AU61" s="949"/>
      <c r="AV61" s="949"/>
      <c r="AW61" s="949"/>
      <c r="AX61" s="949"/>
      <c r="AY61" s="949"/>
      <c r="AZ61" s="949"/>
      <c r="BA61" s="949"/>
      <c r="BB61" s="949"/>
      <c r="BC61" s="949"/>
      <c r="BD61" s="949"/>
      <c r="BE61" s="2267"/>
    </row>
    <row r="62" spans="1:57">
      <c r="A62" s="1090" t="s">
        <v>27</v>
      </c>
      <c r="B62" s="73" t="s">
        <v>353</v>
      </c>
      <c r="C62" s="115">
        <f t="shared" si="7"/>
        <v>504.56125714285719</v>
      </c>
      <c r="D62" s="113">
        <f t="shared" si="7"/>
        <v>1.292808804099037E-3</v>
      </c>
      <c r="E62" s="1060">
        <f t="shared" si="7"/>
        <v>0.11241291049139049</v>
      </c>
      <c r="F62" s="1060">
        <f t="shared" si="7"/>
        <v>0.21418848939702945</v>
      </c>
      <c r="G62" s="1061">
        <f t="shared" si="7"/>
        <v>562.64409999999998</v>
      </c>
      <c r="H62" s="1062">
        <f t="shared" si="7"/>
        <v>1.5580713726115437E-3</v>
      </c>
      <c r="I62" s="1063">
        <f t="shared" si="7"/>
        <v>0.48825120153947199</v>
      </c>
      <c r="J62" s="1063">
        <f t="shared" si="7"/>
        <v>0.52140126030951717</v>
      </c>
      <c r="K62" s="1064">
        <f t="shared" si="7"/>
        <v>4.0370208841188875</v>
      </c>
      <c r="L62" s="1060">
        <f t="shared" si="7"/>
        <v>-0.11001004882442665</v>
      </c>
      <c r="M62" s="1065">
        <f t="shared" si="8"/>
        <v>3.9063069179772585</v>
      </c>
      <c r="N62" s="1060">
        <f t="shared" si="8"/>
        <v>0.90539538726018864</v>
      </c>
      <c r="O62" s="1067">
        <f t="shared" si="8"/>
        <v>-4.1189056985539901E-2</v>
      </c>
      <c r="P62" s="1068">
        <f t="shared" si="8"/>
        <v>0.90138346931536006</v>
      </c>
      <c r="Q62" s="1066">
        <f t="shared" si="8"/>
        <v>0.38160323267486906</v>
      </c>
      <c r="R62" s="1067">
        <f t="shared" si="8"/>
        <v>0.13281779457810056</v>
      </c>
      <c r="S62" s="1068">
        <f t="shared" si="8"/>
        <v>0.39444904186551905</v>
      </c>
      <c r="T62" s="1066">
        <f t="shared" si="8"/>
        <v>0.47841518539184064</v>
      </c>
      <c r="U62" s="1067">
        <f t="shared" si="8"/>
        <v>1.1717685634717274E-2</v>
      </c>
      <c r="V62" s="1068">
        <f t="shared" si="8"/>
        <v>0.46507375880431212</v>
      </c>
      <c r="W62" s="1060">
        <f t="shared" si="8"/>
        <v>9.6811952716971572E-2</v>
      </c>
      <c r="X62" s="1060">
        <f t="shared" si="8"/>
        <v>0.25369793656715856</v>
      </c>
      <c r="Y62" s="1069" t="str">
        <f t="shared" si="8"/>
        <v>Not rated</v>
      </c>
      <c r="Z62" s="1070"/>
      <c r="AA62" s="1064">
        <f t="shared" si="9"/>
        <v>1.832329792526622</v>
      </c>
      <c r="AB62" s="1071">
        <f t="shared" si="9"/>
        <v>-9.9442962217240083E-2</v>
      </c>
      <c r="AC62" s="1065">
        <f t="shared" si="9"/>
        <v>1.8160302149559577</v>
      </c>
      <c r="AD62" s="949"/>
      <c r="AE62" s="949"/>
      <c r="AF62" s="949"/>
      <c r="AG62" s="2129"/>
      <c r="AH62" s="949"/>
      <c r="AI62" s="949"/>
      <c r="AJ62" s="949"/>
      <c r="AK62" s="949"/>
      <c r="AL62" s="949"/>
      <c r="AM62" s="949"/>
      <c r="AN62" s="949"/>
      <c r="AO62" s="949"/>
      <c r="AP62" s="949"/>
      <c r="AQ62" s="949"/>
      <c r="AR62" s="110"/>
      <c r="AS62" s="110"/>
      <c r="AT62" s="110"/>
      <c r="AU62" s="949"/>
      <c r="AV62" s="949"/>
      <c r="AW62" s="949"/>
      <c r="AX62" s="949"/>
      <c r="AY62" s="949"/>
      <c r="AZ62" s="949"/>
      <c r="BA62" s="949"/>
      <c r="BB62" s="949"/>
      <c r="BC62" s="949"/>
      <c r="BD62" s="949"/>
      <c r="BE62" s="2267"/>
    </row>
    <row r="63" spans="1:57">
      <c r="A63" s="1090"/>
      <c r="B63" s="949"/>
      <c r="C63" s="949"/>
      <c r="D63" s="119"/>
      <c r="E63" s="949"/>
      <c r="F63" s="949"/>
      <c r="G63" s="949"/>
      <c r="H63" s="119"/>
      <c r="I63" s="119"/>
      <c r="J63" s="119"/>
      <c r="K63" s="949"/>
      <c r="L63" s="949"/>
      <c r="M63" s="949"/>
      <c r="N63" s="949"/>
      <c r="O63" s="949"/>
      <c r="P63" s="949"/>
      <c r="Q63" s="1005"/>
      <c r="R63" s="1005"/>
      <c r="S63" s="1005"/>
      <c r="T63" s="949"/>
      <c r="U63" s="949"/>
      <c r="V63" s="949"/>
      <c r="W63" s="1005"/>
      <c r="X63" s="1005"/>
      <c r="Y63" s="949"/>
      <c r="Z63" s="949"/>
      <c r="AA63" s="949"/>
      <c r="AB63" s="949"/>
      <c r="AC63" s="949"/>
      <c r="AD63" s="949"/>
      <c r="AE63" s="949"/>
      <c r="AF63" s="949"/>
      <c r="AG63" s="2129"/>
      <c r="AH63" s="949"/>
      <c r="AI63" s="949"/>
      <c r="AJ63" s="949"/>
      <c r="AK63" s="949"/>
      <c r="AL63" s="949"/>
      <c r="AM63" s="949"/>
      <c r="AN63" s="949"/>
      <c r="AO63" s="949"/>
      <c r="AP63" s="949"/>
      <c r="AQ63" s="949"/>
      <c r="AR63" s="110"/>
      <c r="AS63" s="110"/>
      <c r="AT63" s="110"/>
      <c r="AU63" s="949"/>
      <c r="AV63" s="949"/>
      <c r="AW63" s="949"/>
      <c r="AX63" s="949"/>
      <c r="AY63" s="949"/>
      <c r="AZ63" s="949"/>
      <c r="BA63" s="949"/>
      <c r="BB63" s="949"/>
      <c r="BC63" s="949"/>
      <c r="BD63" s="949"/>
      <c r="BE63" s="2267"/>
    </row>
    <row r="64" spans="1:57">
      <c r="A64" s="1090"/>
      <c r="B64" s="1222"/>
      <c r="C64" s="1222"/>
      <c r="D64" s="119"/>
      <c r="E64" s="1222"/>
      <c r="F64" s="1222"/>
      <c r="G64" s="1222"/>
      <c r="H64" s="119"/>
      <c r="I64" s="119"/>
      <c r="J64" s="119"/>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2129"/>
      <c r="AH64" s="1222"/>
      <c r="AI64" s="1222"/>
      <c r="AJ64" s="1222"/>
      <c r="AK64" s="1222"/>
      <c r="AL64" s="1222"/>
      <c r="AM64" s="1222"/>
      <c r="AN64" s="1222"/>
      <c r="AO64" s="1222"/>
      <c r="AP64" s="1222"/>
      <c r="AQ64" s="1222"/>
      <c r="AR64" s="110"/>
      <c r="AS64" s="110"/>
      <c r="AT64" s="110"/>
      <c r="AU64" s="1222"/>
      <c r="AV64" s="1222"/>
      <c r="AW64" s="1222"/>
      <c r="AX64" s="1222"/>
      <c r="AY64" s="1222"/>
      <c r="AZ64" s="1222"/>
      <c r="BA64" s="1222"/>
      <c r="BB64" s="1222"/>
      <c r="BC64" s="1222"/>
      <c r="BD64" s="1222"/>
      <c r="BE64" s="2267"/>
    </row>
    <row r="65" spans="1:57">
      <c r="A65" s="3315" t="s">
        <v>1010</v>
      </c>
      <c r="B65" s="1286" t="s">
        <v>1178</v>
      </c>
      <c r="C65" s="1222"/>
      <c r="D65" s="119"/>
      <c r="E65" s="1222"/>
      <c r="F65" s="1222"/>
      <c r="G65" s="1222"/>
      <c r="H65" s="119"/>
      <c r="I65" s="119"/>
      <c r="J65" s="119"/>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2129"/>
      <c r="AH65" s="1222"/>
      <c r="AI65" s="1222"/>
      <c r="AJ65" s="1222"/>
      <c r="AK65" s="1222"/>
      <c r="AL65" s="1222"/>
      <c r="AM65" s="1222"/>
      <c r="AN65" s="1222"/>
      <c r="AO65" s="1222"/>
      <c r="AP65" s="1222"/>
      <c r="AQ65" s="1222"/>
      <c r="AR65" s="110"/>
      <c r="AS65" s="110"/>
      <c r="AT65" s="110"/>
      <c r="AU65" s="1222"/>
      <c r="AV65" s="1222"/>
      <c r="AW65" s="1222"/>
      <c r="AX65" s="1222"/>
      <c r="AY65" s="1222"/>
      <c r="AZ65" s="1222"/>
      <c r="BA65" s="1222"/>
      <c r="BB65" s="1222"/>
      <c r="BC65" s="1222"/>
      <c r="BD65" s="1222"/>
      <c r="BE65" s="2267"/>
    </row>
    <row r="66" spans="1:57">
      <c r="A66" s="1090" t="s">
        <v>32</v>
      </c>
      <c r="B66" s="73" t="s">
        <v>277</v>
      </c>
      <c r="C66" s="1250">
        <f t="shared" ref="C66:L74" si="11">VLOOKUP($B66,$B$7:$AC$28,C$37+1,FALSE)</f>
        <v>103061.53572524291</v>
      </c>
      <c r="D66" s="1251">
        <f t="shared" si="11"/>
        <v>0.26406875054982143</v>
      </c>
      <c r="E66" s="1060">
        <f t="shared" si="11"/>
        <v>7.5306160052783275E-2</v>
      </c>
      <c r="F66" s="1060">
        <f t="shared" si="11"/>
        <v>0.17708173895842222</v>
      </c>
      <c r="G66" s="117">
        <f t="shared" si="11"/>
        <v>106720.85775234729</v>
      </c>
      <c r="H66" s="114">
        <f t="shared" si="11"/>
        <v>0.29553089301830604</v>
      </c>
      <c r="I66" s="1063">
        <f t="shared" si="11"/>
        <v>1.0837821931217524</v>
      </c>
      <c r="J66" s="1063">
        <f t="shared" si="11"/>
        <v>1.259272460269286</v>
      </c>
      <c r="K66" s="1064">
        <f t="shared" si="11"/>
        <v>7.534246564629953</v>
      </c>
      <c r="L66" s="1060">
        <f t="shared" si="11"/>
        <v>0.12910548637067604</v>
      </c>
      <c r="M66" s="1065">
        <f t="shared" ref="M66:V74" si="12">VLOOKUP($B66,$B$7:$AC$28,M$37+1,FALSE)</f>
        <v>8.6584668441025876</v>
      </c>
      <c r="N66" s="1066">
        <f t="shared" si="12"/>
        <v>0.91487499999999988</v>
      </c>
      <c r="O66" s="1067">
        <f t="shared" si="12"/>
        <v>-4.3736501079913587E-2</v>
      </c>
      <c r="P66" s="1068">
        <f t="shared" si="12"/>
        <v>0.89481420237931208</v>
      </c>
      <c r="Q66" s="1066">
        <f t="shared" si="12"/>
        <v>0.24509229252810941</v>
      </c>
      <c r="R66" s="1067">
        <f t="shared" si="12"/>
        <v>-0.16501821733667812</v>
      </c>
      <c r="S66" s="1068">
        <f t="shared" si="12"/>
        <v>0.23828807339295358</v>
      </c>
      <c r="T66" s="1066">
        <f t="shared" si="12"/>
        <v>0.27870192226407053</v>
      </c>
      <c r="U66" s="1067">
        <f t="shared" si="12"/>
        <v>-0.14309331637647091</v>
      </c>
      <c r="V66" s="1068">
        <f t="shared" si="12"/>
        <v>0.2718321660431175</v>
      </c>
      <c r="W66" s="1060">
        <f t="shared" ref="W66:AC74" si="13">VLOOKUP($B66,$B$7:$AC$28,W$37+1,FALSE)</f>
        <v>3.3609629735961127E-2</v>
      </c>
      <c r="X66" s="1060">
        <f t="shared" si="13"/>
        <v>0.13713050455108242</v>
      </c>
      <c r="Y66" s="1069" t="str">
        <f t="shared" si="13"/>
        <v>A-</v>
      </c>
      <c r="Z66" s="1070" t="str">
        <f t="shared" si="13"/>
        <v>=  =  =</v>
      </c>
      <c r="AA66" s="1064">
        <f t="shared" si="13"/>
        <v>2.0880314655341889</v>
      </c>
      <c r="AB66" s="1071">
        <f t="shared" si="13"/>
        <v>-3.7762767487534328E-2</v>
      </c>
      <c r="AC66" s="1065">
        <f t="shared" si="13"/>
        <v>2.3348198024327131</v>
      </c>
      <c r="AD66" s="1222"/>
      <c r="AE66" s="1222"/>
      <c r="AF66" s="1222"/>
      <c r="AG66" s="2129"/>
      <c r="AH66" s="1222"/>
      <c r="AI66" s="1222"/>
      <c r="AJ66" s="1222"/>
      <c r="AK66" s="1222"/>
      <c r="AL66" s="1222"/>
      <c r="AM66" s="1222"/>
      <c r="AN66" s="1222"/>
      <c r="AO66" s="1222"/>
      <c r="AP66" s="1222"/>
      <c r="AQ66" s="1222"/>
      <c r="AR66" s="110"/>
      <c r="AS66" s="110"/>
      <c r="AT66" s="110"/>
      <c r="AU66" s="1222"/>
      <c r="AV66" s="1222"/>
      <c r="AW66" s="1222"/>
      <c r="AX66" s="1222"/>
      <c r="AY66" s="1222"/>
      <c r="AZ66" s="1222"/>
      <c r="BA66" s="1222"/>
      <c r="BB66" s="1222"/>
      <c r="BC66" s="1222"/>
      <c r="BD66" s="1222"/>
      <c r="BE66" s="2267"/>
    </row>
    <row r="67" spans="1:57" s="2331" customFormat="1" ht="13.15" customHeight="1">
      <c r="A67" s="1090" t="s">
        <v>217</v>
      </c>
      <c r="B67" s="73" t="s">
        <v>53</v>
      </c>
      <c r="C67" s="1250">
        <f t="shared" si="11"/>
        <v>60036.853628571422</v>
      </c>
      <c r="D67" s="1251">
        <f t="shared" si="11"/>
        <v>0.15382903828354536</v>
      </c>
      <c r="E67" s="1060">
        <f t="shared" si="11"/>
        <v>-0.3618479655094986</v>
      </c>
      <c r="F67" s="1060">
        <f t="shared" si="11"/>
        <v>-0.26007238660385967</v>
      </c>
      <c r="G67" s="117">
        <f t="shared" si="11"/>
        <v>44430.485000000001</v>
      </c>
      <c r="H67" s="114">
        <f t="shared" si="11"/>
        <v>0.1230366882897139</v>
      </c>
      <c r="I67" s="1063">
        <f t="shared" si="11"/>
        <v>2.2644833808097031</v>
      </c>
      <c r="J67" s="1063">
        <f t="shared" si="11"/>
        <v>1.7716210773954304</v>
      </c>
      <c r="K67" s="1064">
        <f t="shared" si="11"/>
        <v>5.7304428558288603</v>
      </c>
      <c r="L67" s="1060">
        <f t="shared" si="11"/>
        <v>-7.3155042359885195E-2</v>
      </c>
      <c r="M67" s="1065">
        <f t="shared" si="12"/>
        <v>5.1937231412225326</v>
      </c>
      <c r="N67" s="1066">
        <f t="shared" si="12"/>
        <v>0.6158872479982318</v>
      </c>
      <c r="O67" s="1067">
        <f t="shared" si="12"/>
        <v>0.11044311863454735</v>
      </c>
      <c r="P67" s="1068">
        <f t="shared" si="12"/>
        <v>0.66127040038880336</v>
      </c>
      <c r="Q67" s="1066">
        <f t="shared" si="12"/>
        <v>0.48384306036910518</v>
      </c>
      <c r="R67" s="1067">
        <f t="shared" si="12"/>
        <v>0.2595878527386451</v>
      </c>
      <c r="S67" s="1068">
        <f t="shared" si="12"/>
        <v>0.54381370963962039</v>
      </c>
      <c r="T67" s="1066">
        <f t="shared" si="12"/>
        <v>0.51513010935716153</v>
      </c>
      <c r="U67" s="1067">
        <f t="shared" si="12"/>
        <v>0.26130995158024306</v>
      </c>
      <c r="V67" s="1068">
        <f t="shared" si="12"/>
        <v>0.57929804018594233</v>
      </c>
      <c r="W67" s="1060">
        <f t="shared" si="13"/>
        <v>3.1287048988056343E-2</v>
      </c>
      <c r="X67" s="1060">
        <f t="shared" si="13"/>
        <v>6.4663630732222685E-2</v>
      </c>
      <c r="Y67" s="1069" t="str">
        <f t="shared" si="13"/>
        <v>BBB</v>
      </c>
      <c r="Z67" s="1070" t="str">
        <f t="shared" si="13"/>
        <v>¯  ¯ ¯</v>
      </c>
      <c r="AA67" s="1064">
        <f t="shared" si="13"/>
        <v>2.7929780820851775</v>
      </c>
      <c r="AB67" s="1071">
        <f t="shared" si="13"/>
        <v>0.12404595260605845</v>
      </c>
      <c r="AC67" s="1065">
        <f t="shared" si="13"/>
        <v>2.8353348809740444</v>
      </c>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747"/>
    </row>
    <row r="68" spans="1:57" s="2331" customFormat="1" ht="13.15" customHeight="1">
      <c r="A68" s="1090" t="s">
        <v>498</v>
      </c>
      <c r="B68" s="73" t="s">
        <v>52</v>
      </c>
      <c r="C68" s="1250">
        <f t="shared" si="11"/>
        <v>40464.923042857146</v>
      </c>
      <c r="D68" s="1251">
        <f t="shared" si="11"/>
        <v>0.1036809862557167</v>
      </c>
      <c r="E68" s="1060">
        <f t="shared" si="11"/>
        <v>-6.1458653761923776E-2</v>
      </c>
      <c r="F68" s="1060">
        <f t="shared" si="11"/>
        <v>4.0316925143715168E-2</v>
      </c>
      <c r="G68" s="117">
        <f t="shared" si="11"/>
        <v>39791.94</v>
      </c>
      <c r="H68" s="114">
        <f t="shared" si="11"/>
        <v>0.1101916514803518</v>
      </c>
      <c r="I68" s="1063">
        <f t="shared" si="11"/>
        <v>1.0840589348936991</v>
      </c>
      <c r="J68" s="1063">
        <f t="shared" si="11"/>
        <v>1.2733420800000002</v>
      </c>
      <c r="K68" s="1064">
        <f t="shared" si="11"/>
        <v>4.9157277486128619</v>
      </c>
      <c r="L68" s="1060">
        <f t="shared" si="11"/>
        <v>0.1448238320606966</v>
      </c>
      <c r="M68" s="1065">
        <f t="shared" si="12"/>
        <v>5.2964626193065953</v>
      </c>
      <c r="N68" s="1066">
        <f t="shared" si="12"/>
        <v>0.61</v>
      </c>
      <c r="O68" s="1067">
        <f t="shared" si="12"/>
        <v>0</v>
      </c>
      <c r="P68" s="1068">
        <f t="shared" si="12"/>
        <v>0.62983042679437373</v>
      </c>
      <c r="Q68" s="1066">
        <f t="shared" si="12"/>
        <v>0.51528895508035288</v>
      </c>
      <c r="R68" s="1067">
        <f t="shared" si="12"/>
        <v>-2.4931247740904369E-2</v>
      </c>
      <c r="S68" s="1068">
        <f t="shared" si="12"/>
        <v>0.51939744871548044</v>
      </c>
      <c r="T68" s="1066">
        <f t="shared" si="12"/>
        <v>0.58808850315066874</v>
      </c>
      <c r="U68" s="1067">
        <f t="shared" si="12"/>
        <v>-2.8226553900756759E-2</v>
      </c>
      <c r="V68" s="1068">
        <f t="shared" si="12"/>
        <v>0.59074959904524027</v>
      </c>
      <c r="W68" s="1060">
        <f t="shared" si="13"/>
        <v>7.2799548070315856E-2</v>
      </c>
      <c r="X68" s="1060">
        <f t="shared" si="13"/>
        <v>0.14127907721011346</v>
      </c>
      <c r="Y68" s="1069" t="str">
        <f t="shared" si="13"/>
        <v>BBB+</v>
      </c>
      <c r="Z68" s="1070" t="str">
        <f t="shared" si="13"/>
        <v>=  =  =</v>
      </c>
      <c r="AA68" s="1064">
        <f t="shared" si="13"/>
        <v>2.7906818261625395</v>
      </c>
      <c r="AB68" s="1071">
        <f t="shared" si="13"/>
        <v>8.5841806528642844E-2</v>
      </c>
      <c r="AC68" s="1065">
        <f t="shared" si="13"/>
        <v>2.9178287645268703</v>
      </c>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747"/>
    </row>
    <row r="69" spans="1:57">
      <c r="A69" s="1090" t="s">
        <v>32</v>
      </c>
      <c r="B69" s="73" t="s">
        <v>50</v>
      </c>
      <c r="C69" s="1250">
        <f t="shared" si="11"/>
        <v>19515.355899391296</v>
      </c>
      <c r="D69" s="1251">
        <f t="shared" si="11"/>
        <v>5.0003093905237848E-2</v>
      </c>
      <c r="E69" s="1060">
        <f t="shared" si="11"/>
        <v>1.1994936816856254</v>
      </c>
      <c r="F69" s="1060">
        <f t="shared" si="11"/>
        <v>1.3012692605912644</v>
      </c>
      <c r="G69" s="117">
        <f t="shared" si="11"/>
        <v>28491.576306321644</v>
      </c>
      <c r="H69" s="114">
        <f t="shared" si="11"/>
        <v>7.8898737947233621E-2</v>
      </c>
      <c r="I69" s="1063">
        <f t="shared" si="11"/>
        <v>-0.89894076859195104</v>
      </c>
      <c r="J69" s="1063">
        <f t="shared" si="11"/>
        <v>39.625784878048783</v>
      </c>
      <c r="K69" s="1064">
        <f t="shared" si="11"/>
        <v>4.7123747267525307</v>
      </c>
      <c r="L69" s="1060">
        <f t="shared" si="11"/>
        <v>0.4140020451008824</v>
      </c>
      <c r="M69" s="1065">
        <f t="shared" si="12"/>
        <v>5.7096258695546744</v>
      </c>
      <c r="N69" s="1066">
        <f t="shared" si="12"/>
        <v>0</v>
      </c>
      <c r="O69" s="1067">
        <f t="shared" si="12"/>
        <v>0</v>
      </c>
      <c r="P69" s="1068">
        <f t="shared" si="12"/>
        <v>0</v>
      </c>
      <c r="Q69" s="1066">
        <f t="shared" si="12"/>
        <v>0.37025195227815472</v>
      </c>
      <c r="R69" s="1067">
        <f t="shared" si="12"/>
        <v>-0.46222821771061889</v>
      </c>
      <c r="S69" s="1068">
        <f t="shared" si="12"/>
        <v>0.26403640782716253</v>
      </c>
      <c r="T69" s="1066">
        <f t="shared" si="12"/>
        <v>0.48927059752514818</v>
      </c>
      <c r="U69" s="1067">
        <f t="shared" si="12"/>
        <v>-0.38189416595312975</v>
      </c>
      <c r="V69" s="1068">
        <f t="shared" si="12"/>
        <v>0.37414035756341019</v>
      </c>
      <c r="W69" s="1060">
        <f t="shared" si="13"/>
        <v>0.11901864524699346</v>
      </c>
      <c r="X69" s="1060">
        <f t="shared" si="13"/>
        <v>0.32145312000294263</v>
      </c>
      <c r="Y69" s="1069" t="str">
        <f t="shared" si="13"/>
        <v>BBB</v>
      </c>
      <c r="Z69" s="1070" t="str">
        <f t="shared" si="13"/>
        <v xml:space="preserve">=  -  = </v>
      </c>
      <c r="AA69" s="1064">
        <f t="shared" si="13"/>
        <v>2.2664974928712622</v>
      </c>
      <c r="AB69" s="1071">
        <f t="shared" si="13"/>
        <v>-0.12537902502142731</v>
      </c>
      <c r="AC69" s="1065">
        <f t="shared" si="13"/>
        <v>2.136201464388483</v>
      </c>
      <c r="AD69" s="1222"/>
      <c r="AE69" s="1222"/>
      <c r="AF69" s="1222"/>
      <c r="AG69" s="2129"/>
      <c r="AH69" s="1222"/>
      <c r="AI69" s="1222"/>
      <c r="AJ69" s="1222"/>
      <c r="AK69" s="1222"/>
      <c r="AL69" s="1222"/>
      <c r="AM69" s="1222"/>
      <c r="AN69" s="1222"/>
      <c r="AO69" s="1222"/>
      <c r="AP69" s="1222"/>
      <c r="AQ69" s="1222"/>
      <c r="AR69" s="110"/>
      <c r="AS69" s="110"/>
      <c r="AT69" s="110"/>
      <c r="AU69" s="1222"/>
      <c r="AV69" s="1222"/>
      <c r="AW69" s="1222"/>
      <c r="AX69" s="1222"/>
      <c r="AY69" s="1222"/>
      <c r="AZ69" s="1222"/>
      <c r="BA69" s="1222"/>
      <c r="BB69" s="1222"/>
      <c r="BC69" s="1222"/>
      <c r="BD69" s="1222"/>
      <c r="BE69" s="2267"/>
    </row>
    <row r="70" spans="1:57">
      <c r="A70" s="1090" t="s">
        <v>500</v>
      </c>
      <c r="B70" s="73" t="s">
        <v>279</v>
      </c>
      <c r="C70" s="1250">
        <f t="shared" si="11"/>
        <v>20617.292984255655</v>
      </c>
      <c r="D70" s="1251">
        <f t="shared" si="11"/>
        <v>5.2826525044090682E-2</v>
      </c>
      <c r="E70" s="1060">
        <f t="shared" si="11"/>
        <v>0.37985561177970401</v>
      </c>
      <c r="F70" s="1060">
        <f t="shared" si="11"/>
        <v>0.48163119068534294</v>
      </c>
      <c r="G70" s="117">
        <f t="shared" si="11"/>
        <v>23766.623796323693</v>
      </c>
      <c r="H70" s="114">
        <f t="shared" si="11"/>
        <v>6.5814421871090864E-2</v>
      </c>
      <c r="I70" s="1063">
        <f t="shared" si="11"/>
        <v>1.8990159277875758</v>
      </c>
      <c r="J70" s="1063">
        <f t="shared" si="11"/>
        <v>2.509154465418888</v>
      </c>
      <c r="K70" s="1064">
        <f t="shared" si="11"/>
        <v>5.7229254321128114</v>
      </c>
      <c r="L70" s="1060">
        <f t="shared" si="11"/>
        <v>4.5724350121793801E-2</v>
      </c>
      <c r="M70" s="1065">
        <f t="shared" si="12"/>
        <v>6.1939465303838475</v>
      </c>
      <c r="N70" s="1066">
        <f t="shared" si="12"/>
        <v>0.7344324868237998</v>
      </c>
      <c r="O70" s="1067">
        <f t="shared" si="12"/>
        <v>0.10784712869930438</v>
      </c>
      <c r="P70" s="1068">
        <f t="shared" si="12"/>
        <v>0.74956908795771016</v>
      </c>
      <c r="Q70" s="1066">
        <f t="shared" si="12"/>
        <v>0.14726898954609682</v>
      </c>
      <c r="R70" s="1067">
        <f t="shared" si="12"/>
        <v>4.9939774449528171E-2</v>
      </c>
      <c r="S70" s="1068">
        <f t="shared" si="12"/>
        <v>0.17272839211728983</v>
      </c>
      <c r="T70" s="1066">
        <f t="shared" si="12"/>
        <v>0.18443136241749356</v>
      </c>
      <c r="U70" s="1067">
        <f t="shared" si="12"/>
        <v>-5.7258906752796622E-2</v>
      </c>
      <c r="V70" s="1068">
        <f t="shared" si="12"/>
        <v>0.198117589718218</v>
      </c>
      <c r="W70" s="1060">
        <f t="shared" si="13"/>
        <v>3.7162372871396732E-2</v>
      </c>
      <c r="X70" s="1060">
        <f t="shared" si="13"/>
        <v>0.25234350412762557</v>
      </c>
      <c r="Y70" s="1069" t="str">
        <f t="shared" si="13"/>
        <v>A-</v>
      </c>
      <c r="Z70" s="1070" t="str">
        <f t="shared" si="13"/>
        <v>=  =  -</v>
      </c>
      <c r="AA70" s="1064">
        <f t="shared" si="13"/>
        <v>1.0395975936863313</v>
      </c>
      <c r="AB70" s="1071">
        <f t="shared" si="13"/>
        <v>2.9438923535487854E-2</v>
      </c>
      <c r="AC70" s="1065">
        <f t="shared" si="13"/>
        <v>1.2087727199953455</v>
      </c>
      <c r="AD70" s="1222"/>
      <c r="AE70" s="1222"/>
      <c r="AF70" s="1222"/>
      <c r="AG70" s="2129"/>
      <c r="AH70" s="1222"/>
      <c r="AI70" s="1222"/>
      <c r="AJ70" s="1222"/>
      <c r="AK70" s="1222"/>
      <c r="AL70" s="1222"/>
      <c r="AM70" s="1222"/>
      <c r="AN70" s="1222"/>
      <c r="AO70" s="1222"/>
      <c r="AP70" s="1222"/>
      <c r="AQ70" s="1222"/>
      <c r="AR70" s="110"/>
      <c r="AS70" s="110"/>
      <c r="AT70" s="110"/>
      <c r="AU70" s="1222"/>
      <c r="AV70" s="1222"/>
      <c r="AW70" s="1222"/>
      <c r="AX70" s="1222"/>
      <c r="AY70" s="1222"/>
      <c r="AZ70" s="1222"/>
      <c r="BA70" s="1222"/>
      <c r="BB70" s="1222"/>
      <c r="BC70" s="1222"/>
      <c r="BD70" s="1222"/>
      <c r="BE70" s="2267"/>
    </row>
    <row r="71" spans="1:57">
      <c r="A71" s="1090" t="s">
        <v>503</v>
      </c>
      <c r="B71" s="73" t="s">
        <v>282</v>
      </c>
      <c r="C71" s="1250">
        <f t="shared" si="11"/>
        <v>22949.481858519866</v>
      </c>
      <c r="D71" s="1251">
        <f t="shared" si="11"/>
        <v>5.8802160840116385E-2</v>
      </c>
      <c r="E71" s="1060">
        <f t="shared" si="11"/>
        <v>-8.3288171902550459E-2</v>
      </c>
      <c r="F71" s="1060">
        <f t="shared" si="11"/>
        <v>1.8487407003088485E-2</v>
      </c>
      <c r="G71" s="117">
        <f t="shared" si="11"/>
        <v>21731.57918967646</v>
      </c>
      <c r="H71" s="114">
        <f t="shared" si="11"/>
        <v>6.0178986000343146E-2</v>
      </c>
      <c r="I71" s="1063">
        <f t="shared" si="11"/>
        <v>1.7647070716020126</v>
      </c>
      <c r="J71" s="1063">
        <f t="shared" si="11"/>
        <v>1.7786623686113903</v>
      </c>
      <c r="K71" s="1064">
        <f t="shared" si="11"/>
        <v>7.5628972253366413</v>
      </c>
      <c r="L71" s="1060">
        <f t="shared" si="11"/>
        <v>2.1076957712408067E-2</v>
      </c>
      <c r="M71" s="1065">
        <f t="shared" si="12"/>
        <v>7.6896404016441506</v>
      </c>
      <c r="N71" s="1066">
        <f t="shared" si="12"/>
        <v>0.67984865616162071</v>
      </c>
      <c r="O71" s="1067">
        <f t="shared" si="12"/>
        <v>0.13956056160252914</v>
      </c>
      <c r="P71" s="1068">
        <f t="shared" si="12"/>
        <v>0.7167630057803468</v>
      </c>
      <c r="Q71" s="1066">
        <f t="shared" si="12"/>
        <v>0.23215418017261674</v>
      </c>
      <c r="R71" s="1067">
        <f t="shared" si="12"/>
        <v>0.36187217108516367</v>
      </c>
      <c r="S71" s="1068">
        <f t="shared" si="12"/>
        <v>0.26525179681706468</v>
      </c>
      <c r="T71" s="1066">
        <f t="shared" si="12"/>
        <v>0.2501311526811702</v>
      </c>
      <c r="U71" s="1067">
        <f t="shared" si="12"/>
        <v>0.31916438327965047</v>
      </c>
      <c r="V71" s="1068">
        <f t="shared" si="12"/>
        <v>0.28287599661626001</v>
      </c>
      <c r="W71" s="1060">
        <f t="shared" si="13"/>
        <v>1.7976972508553457E-2</v>
      </c>
      <c r="X71" s="1060">
        <f t="shared" si="13"/>
        <v>7.7435489187344358E-2</v>
      </c>
      <c r="Y71" s="1069" t="str">
        <f t="shared" si="13"/>
        <v>A-</v>
      </c>
      <c r="Z71" s="1070" t="str">
        <f t="shared" si="13"/>
        <v>=  =  =</v>
      </c>
      <c r="AA71" s="1064">
        <f t="shared" si="13"/>
        <v>1.845874038975184</v>
      </c>
      <c r="AB71" s="1071">
        <f t="shared" si="13"/>
        <v>0.36079457239176377</v>
      </c>
      <c r="AC71" s="1065">
        <f t="shared" si="13"/>
        <v>2.1424428051274771</v>
      </c>
      <c r="AD71" s="1222"/>
      <c r="AE71" s="1222"/>
      <c r="AF71" s="1222"/>
      <c r="AG71" s="2129"/>
      <c r="AH71" s="1222"/>
      <c r="AI71" s="1222"/>
      <c r="AJ71" s="1222"/>
      <c r="AK71" s="1222"/>
      <c r="AL71" s="1222"/>
      <c r="AM71" s="1222"/>
      <c r="AN71" s="1222"/>
      <c r="AO71" s="1222"/>
      <c r="AP71" s="1222"/>
      <c r="AQ71" s="1222"/>
      <c r="AR71" s="110"/>
      <c r="AS71" s="110"/>
      <c r="AT71" s="110"/>
      <c r="AU71" s="1222"/>
      <c r="AV71" s="1222"/>
      <c r="AW71" s="1222"/>
      <c r="AX71" s="1222"/>
      <c r="AY71" s="1222"/>
      <c r="AZ71" s="1222"/>
      <c r="BA71" s="1222"/>
      <c r="BB71" s="1222"/>
      <c r="BC71" s="1222"/>
      <c r="BD71" s="1222"/>
      <c r="BE71" s="2267"/>
    </row>
    <row r="72" spans="1:57">
      <c r="A72" s="1090" t="s">
        <v>19</v>
      </c>
      <c r="B72" s="150" t="s">
        <v>286</v>
      </c>
      <c r="C72" s="1250">
        <f t="shared" si="11"/>
        <v>31174.883771428573</v>
      </c>
      <c r="D72" s="1251">
        <f t="shared" si="11"/>
        <v>7.9877643469276421E-2</v>
      </c>
      <c r="E72" s="1060">
        <f t="shared" si="11"/>
        <v>-0.49416922878378883</v>
      </c>
      <c r="F72" s="1060">
        <f t="shared" si="11"/>
        <v>-0.3923936498781499</v>
      </c>
      <c r="G72" s="117">
        <f t="shared" si="11"/>
        <v>19124.593099999998</v>
      </c>
      <c r="H72" s="114">
        <f t="shared" si="11"/>
        <v>5.2959732488004868E-2</v>
      </c>
      <c r="I72" s="1063">
        <f t="shared" si="11"/>
        <v>1.0546425468926217</v>
      </c>
      <c r="J72" s="1063">
        <f t="shared" si="11"/>
        <v>0.72989058468819168</v>
      </c>
      <c r="K72" s="1064">
        <f t="shared" si="11"/>
        <v>4.913128503955539</v>
      </c>
      <c r="L72" s="1060">
        <f t="shared" si="11"/>
        <v>-0.19812930900653591</v>
      </c>
      <c r="M72" s="1065">
        <f t="shared" si="12"/>
        <v>4.438539176760524</v>
      </c>
      <c r="N72" s="1066">
        <f t="shared" si="12"/>
        <v>0.60741568747204655</v>
      </c>
      <c r="O72" s="1067">
        <f t="shared" si="12"/>
        <v>4.0950219141690898E-2</v>
      </c>
      <c r="P72" s="1068">
        <f t="shared" si="12"/>
        <v>0.62738172243152124</v>
      </c>
      <c r="Q72" s="1066">
        <f t="shared" si="12"/>
        <v>0.50834561454306215</v>
      </c>
      <c r="R72" s="1067">
        <f t="shared" si="12"/>
        <v>0.27477182203191691</v>
      </c>
      <c r="S72" s="1068">
        <f t="shared" si="12"/>
        <v>0.61196382356206247</v>
      </c>
      <c r="T72" s="1066">
        <f t="shared" si="12"/>
        <v>0.54898628094174651</v>
      </c>
      <c r="U72" s="1067">
        <f t="shared" si="12"/>
        <v>0.26756473067663017</v>
      </c>
      <c r="V72" s="1068">
        <f t="shared" si="12"/>
        <v>0.65530118542007598</v>
      </c>
      <c r="W72" s="1060">
        <f t="shared" si="13"/>
        <v>4.0640666398684355E-2</v>
      </c>
      <c r="X72" s="1060">
        <f t="shared" si="13"/>
        <v>7.9946920433679999E-2</v>
      </c>
      <c r="Y72" s="1069" t="str">
        <f t="shared" si="13"/>
        <v>BBB+</v>
      </c>
      <c r="Z72" s="1070" t="str">
        <f t="shared" si="13"/>
        <v>=  ¯ ¯</v>
      </c>
      <c r="AA72" s="1064">
        <f t="shared" si="13"/>
        <v>2.5321561588471506</v>
      </c>
      <c r="AB72" s="1071">
        <f t="shared" si="13"/>
        <v>1.3257606300410854E-2</v>
      </c>
      <c r="AC72" s="1065">
        <f t="shared" si="13"/>
        <v>2.8138910595815916</v>
      </c>
      <c r="AD72" s="1222"/>
      <c r="AE72" s="1222"/>
      <c r="AF72" s="1222"/>
      <c r="AG72" s="2129"/>
      <c r="AH72" s="1222"/>
      <c r="AI72" s="1222"/>
      <c r="AJ72" s="1222"/>
      <c r="AK72" s="1222"/>
      <c r="AL72" s="1222"/>
      <c r="AM72" s="1222"/>
      <c r="AN72" s="1222"/>
      <c r="AO72" s="1222"/>
      <c r="AP72" s="1222"/>
      <c r="AQ72" s="1222"/>
      <c r="AR72" s="110"/>
      <c r="AS72" s="110"/>
      <c r="AT72" s="110"/>
      <c r="AU72" s="1222"/>
      <c r="AV72" s="1222"/>
      <c r="AW72" s="1222"/>
      <c r="AX72" s="1222"/>
      <c r="AY72" s="1222"/>
      <c r="AZ72" s="1222"/>
      <c r="BA72" s="1222"/>
      <c r="BB72" s="1222"/>
      <c r="BC72" s="1222"/>
      <c r="BD72" s="1222"/>
      <c r="BE72" s="2267"/>
    </row>
    <row r="73" spans="1:57">
      <c r="A73" s="1090" t="s">
        <v>504</v>
      </c>
      <c r="B73" s="73" t="s">
        <v>288</v>
      </c>
      <c r="C73" s="1250">
        <f t="shared" si="11"/>
        <v>16250.837973523972</v>
      </c>
      <c r="D73" s="1251">
        <f t="shared" si="11"/>
        <v>4.1638604052015776E-2</v>
      </c>
      <c r="E73" s="1060">
        <f t="shared" si="11"/>
        <v>0.20894195471198634</v>
      </c>
      <c r="F73" s="1060">
        <f t="shared" si="11"/>
        <v>0.31071753361762527</v>
      </c>
      <c r="G73" s="117">
        <f t="shared" si="11"/>
        <v>17428.290742138299</v>
      </c>
      <c r="H73" s="114">
        <f t="shared" si="11"/>
        <v>4.826234004564605E-2</v>
      </c>
      <c r="I73" s="1063">
        <f t="shared" si="11"/>
        <v>4.0995220850209826</v>
      </c>
      <c r="J73" s="1063">
        <f t="shared" si="11"/>
        <v>4.5731712273212377</v>
      </c>
      <c r="K73" s="1064">
        <f t="shared" si="11"/>
        <v>6.7450557383311427</v>
      </c>
      <c r="L73" s="1060">
        <f t="shared" si="11"/>
        <v>0.2149868566781509</v>
      </c>
      <c r="M73" s="1065">
        <f t="shared" si="12"/>
        <v>7.5822149145373468</v>
      </c>
      <c r="N73" s="1066">
        <f t="shared" si="12"/>
        <v>0.32615050588405037</v>
      </c>
      <c r="O73" s="1067">
        <f t="shared" si="12"/>
        <v>-8.7660674172335792E-2</v>
      </c>
      <c r="P73" s="1068">
        <f t="shared" si="12"/>
        <v>0.30985103942866765</v>
      </c>
      <c r="Q73" s="1066">
        <f t="shared" si="12"/>
        <v>0.30558583418722468</v>
      </c>
      <c r="R73" s="1067">
        <f t="shared" si="12"/>
        <v>-0.13620468181810452</v>
      </c>
      <c r="S73" s="1068">
        <f t="shared" si="12"/>
        <v>0.29018390059321952</v>
      </c>
      <c r="T73" s="1066">
        <f t="shared" si="12"/>
        <v>0.31922230141848357</v>
      </c>
      <c r="U73" s="1067">
        <f t="shared" si="12"/>
        <v>-0.13496032758973828</v>
      </c>
      <c r="V73" s="1068">
        <f t="shared" si="12"/>
        <v>0.30362227391248225</v>
      </c>
      <c r="W73" s="1060">
        <f t="shared" si="13"/>
        <v>1.3636467231258886E-2</v>
      </c>
      <c r="X73" s="1060">
        <f t="shared" si="13"/>
        <v>4.4624016252350789E-2</v>
      </c>
      <c r="Y73" s="1069" t="str">
        <f t="shared" si="13"/>
        <v>A</v>
      </c>
      <c r="Z73" s="1070" t="str">
        <f t="shared" si="13"/>
        <v>=  =  -</v>
      </c>
      <c r="AA73" s="1064">
        <f t="shared" si="13"/>
        <v>2.1579177629636748</v>
      </c>
      <c r="AB73" s="1071">
        <f t="shared" si="13"/>
        <v>6.0078851309961184E-2</v>
      </c>
      <c r="AC73" s="1065">
        <f t="shared" si="13"/>
        <v>2.3009327536910358</v>
      </c>
      <c r="AD73" s="1222"/>
      <c r="AE73" s="1222"/>
      <c r="AF73" s="1222"/>
      <c r="AG73" s="2129"/>
      <c r="AH73" s="1222"/>
      <c r="AI73" s="1222"/>
      <c r="AJ73" s="1222"/>
      <c r="AK73" s="1222"/>
      <c r="AL73" s="1222"/>
      <c r="AM73" s="1222"/>
      <c r="AN73" s="1222"/>
      <c r="AO73" s="1222"/>
      <c r="AP73" s="1222"/>
      <c r="AQ73" s="1222"/>
      <c r="AR73" s="110"/>
      <c r="AS73" s="110"/>
      <c r="AT73" s="110"/>
      <c r="AU73" s="1222"/>
      <c r="AV73" s="1222"/>
      <c r="AW73" s="1222"/>
      <c r="AX73" s="1222"/>
      <c r="AY73" s="1222"/>
      <c r="AZ73" s="1222"/>
      <c r="BA73" s="1222"/>
      <c r="BB73" s="1222"/>
      <c r="BC73" s="1222"/>
      <c r="BD73" s="1222"/>
      <c r="BE73" s="2267"/>
    </row>
    <row r="74" spans="1:57">
      <c r="A74" s="1090" t="s">
        <v>499</v>
      </c>
      <c r="B74" s="73" t="s">
        <v>284</v>
      </c>
      <c r="C74" s="1250">
        <f t="shared" si="11"/>
        <v>15596.516285714286</v>
      </c>
      <c r="D74" s="1251">
        <f t="shared" si="11"/>
        <v>3.9962072557101963E-2</v>
      </c>
      <c r="E74" s="1060">
        <f t="shared" si="11"/>
        <v>-0.41209116095583281</v>
      </c>
      <c r="F74" s="1060">
        <f t="shared" si="11"/>
        <v>-0.31031558205019388</v>
      </c>
      <c r="G74" s="117">
        <f t="shared" si="11"/>
        <v>10295.917100000001</v>
      </c>
      <c r="H74" s="114">
        <f t="shared" si="11"/>
        <v>2.8511404790864545E-2</v>
      </c>
      <c r="I74" s="1063">
        <f t="shared" si="11"/>
        <v>0.58081043687158529</v>
      </c>
      <c r="J74" s="1063">
        <f t="shared" si="11"/>
        <v>0.5027794267018264</v>
      </c>
      <c r="K74" s="1064">
        <f t="shared" si="11"/>
        <v>4.6475023511824993</v>
      </c>
      <c r="L74" s="1060">
        <f t="shared" si="11"/>
        <v>-0.18379111287045302</v>
      </c>
      <c r="M74" s="1065">
        <f t="shared" si="12"/>
        <v>4.0606354500113753</v>
      </c>
      <c r="N74" s="1066">
        <f t="shared" si="12"/>
        <v>0.34534166666666666</v>
      </c>
      <c r="O74" s="1067">
        <f t="shared" si="12"/>
        <v>-5.4500069338510607E-2</v>
      </c>
      <c r="P74" s="1068">
        <f t="shared" si="12"/>
        <v>0.3626280111015483</v>
      </c>
      <c r="Q74" s="1066">
        <f t="shared" si="12"/>
        <v>0.67997702229572432</v>
      </c>
      <c r="R74" s="1067">
        <f t="shared" si="12"/>
        <v>0.10658020511075152</v>
      </c>
      <c r="S74" s="1068">
        <f t="shared" si="12"/>
        <v>0.75270955685414354</v>
      </c>
      <c r="T74" s="1066">
        <f t="shared" si="12"/>
        <v>0.68457317243488636</v>
      </c>
      <c r="U74" s="1067">
        <f t="shared" si="12"/>
        <v>0.10522314957078965</v>
      </c>
      <c r="V74" s="1068">
        <f t="shared" si="12"/>
        <v>0.75672107111582532</v>
      </c>
      <c r="W74" s="1060">
        <f t="shared" si="13"/>
        <v>4.5961501391620363E-3</v>
      </c>
      <c r="X74" s="1060">
        <f t="shared" si="13"/>
        <v>6.7592727231349809E-3</v>
      </c>
      <c r="Y74" s="1069" t="str">
        <f t="shared" si="13"/>
        <v>BBB-</v>
      </c>
      <c r="Z74" s="1070" t="str">
        <f t="shared" si="13"/>
        <v>=  ¯ ¯</v>
      </c>
      <c r="AA74" s="1064">
        <f t="shared" si="13"/>
        <v>2.9152503149286035</v>
      </c>
      <c r="AB74" s="1071">
        <f t="shared" si="13"/>
        <v>-0.14664752669478531</v>
      </c>
      <c r="AC74" s="1065">
        <f t="shared" si="13"/>
        <v>2.8370691340232916</v>
      </c>
      <c r="AD74" s="1222"/>
      <c r="AE74" s="1222"/>
      <c r="AF74" s="1222"/>
      <c r="AG74" s="2129"/>
      <c r="AH74" s="1222"/>
      <c r="AI74" s="1222"/>
      <c r="AJ74" s="1222"/>
      <c r="AK74" s="1222"/>
      <c r="AL74" s="1222"/>
      <c r="AM74" s="1222"/>
      <c r="AN74" s="1222"/>
      <c r="AO74" s="1222"/>
      <c r="AP74" s="1222"/>
      <c r="AQ74" s="1222"/>
      <c r="AR74" s="110"/>
      <c r="AS74" s="110"/>
      <c r="AT74" s="110"/>
      <c r="AU74" s="1222"/>
      <c r="AV74" s="1222"/>
      <c r="AW74" s="1222"/>
      <c r="AX74" s="1222"/>
      <c r="AY74" s="1222"/>
      <c r="AZ74" s="1222"/>
      <c r="BA74" s="1222"/>
      <c r="BB74" s="1222"/>
      <c r="BC74" s="1222"/>
      <c r="BD74" s="1222"/>
      <c r="BE74" s="2267"/>
    </row>
    <row r="75" spans="1:57">
      <c r="A75" s="1090" t="s">
        <v>19</v>
      </c>
      <c r="B75" s="73" t="s">
        <v>285</v>
      </c>
      <c r="C75" s="1250">
        <f t="shared" ref="C75:L87" si="14">VLOOKUP($B75,$B$7:$AC$28,C$37+1,FALSE)</f>
        <v>6002.7646707914537</v>
      </c>
      <c r="D75" s="1251">
        <f t="shared" si="14"/>
        <v>1.538054479108892E-2</v>
      </c>
      <c r="E75" s="1060">
        <f t="shared" si="14"/>
        <v>1.7468659495150733</v>
      </c>
      <c r="F75" s="1060">
        <f t="shared" si="14"/>
        <v>1.8486415284207123</v>
      </c>
      <c r="G75" s="117">
        <f t="shared" si="14"/>
        <v>9571.524995540176</v>
      </c>
      <c r="H75" s="114">
        <f t="shared" si="14"/>
        <v>2.6505421611613778E-2</v>
      </c>
      <c r="I75" s="1063">
        <f t="shared" si="14"/>
        <v>4.1497848696984878</v>
      </c>
      <c r="J75" s="1063">
        <f t="shared" si="14"/>
        <v>5.1075046454025781</v>
      </c>
      <c r="K75" s="1064">
        <f t="shared" si="14"/>
        <v>7.8090133066846761</v>
      </c>
      <c r="L75" s="1060">
        <f t="shared" si="14"/>
        <v>0.8464659845431286</v>
      </c>
      <c r="M75" s="1065">
        <f t="shared" ref="M75:Y87" si="15">VLOOKUP($B75,$B$7:$AC$28,M$37+1,FALSE)</f>
        <v>9.6719476082953495</v>
      </c>
      <c r="N75" s="1066">
        <f t="shared" si="15"/>
        <v>9.1630231095150338E-2</v>
      </c>
      <c r="O75" s="1084" t="str">
        <f t="shared" si="15"/>
        <v>¥</v>
      </c>
      <c r="P75" s="1068">
        <f t="shared" si="15"/>
        <v>0.34976819018989347</v>
      </c>
      <c r="Q75" s="1066">
        <f t="shared" si="15"/>
        <v>0.13477545507373562</v>
      </c>
      <c r="R75" s="1067">
        <f t="shared" si="15"/>
        <v>-0.4264373226073967</v>
      </c>
      <c r="S75" s="1068">
        <f t="shared" si="15"/>
        <v>9.7905485588969735E-2</v>
      </c>
      <c r="T75" s="1066">
        <f t="shared" si="15"/>
        <v>0.16024846762312819</v>
      </c>
      <c r="U75" s="1067">
        <f t="shared" si="15"/>
        <v>-0.25253039609468159</v>
      </c>
      <c r="V75" s="1068">
        <f t="shared" si="15"/>
        <v>0.12849893093161849</v>
      </c>
      <c r="W75" s="1060">
        <f t="shared" si="15"/>
        <v>2.5473012549392576E-2</v>
      </c>
      <c r="X75" s="1060">
        <f t="shared" si="15"/>
        <v>0.18900335031669008</v>
      </c>
      <c r="Y75" s="1069" t="str">
        <f t="shared" si="15"/>
        <v>Not rated</v>
      </c>
      <c r="Z75" s="1070"/>
      <c r="AA75" s="1064">
        <f t="shared" ref="AA75:AC87" si="16">VLOOKUP($B75,$B$7:$AC$28,AA$37+1,FALSE)</f>
        <v>1.265551414722516</v>
      </c>
      <c r="AB75" s="1071">
        <f t="shared" si="16"/>
        <v>0.38040351489576829</v>
      </c>
      <c r="AC75" s="1065">
        <f t="shared" si="16"/>
        <v>1.242834927692577</v>
      </c>
      <c r="AD75" s="1222"/>
      <c r="AE75" s="1222"/>
      <c r="AF75" s="1222"/>
      <c r="AG75" s="2129"/>
      <c r="AH75" s="1222"/>
      <c r="AI75" s="1222"/>
      <c r="AJ75" s="1222"/>
      <c r="AK75" s="1222"/>
      <c r="AL75" s="1222"/>
      <c r="AM75" s="1222"/>
      <c r="AN75" s="1222"/>
      <c r="AO75" s="1222"/>
      <c r="AP75" s="1222"/>
      <c r="AQ75" s="1222"/>
      <c r="AR75" s="110"/>
      <c r="AS75" s="110"/>
      <c r="AT75" s="110"/>
      <c r="AU75" s="1222"/>
      <c r="AV75" s="1222"/>
      <c r="AW75" s="1222"/>
      <c r="AX75" s="1222"/>
      <c r="AY75" s="1222"/>
      <c r="AZ75" s="1222"/>
      <c r="BA75" s="1222"/>
      <c r="BB75" s="1222"/>
      <c r="BC75" s="1222"/>
      <c r="BD75" s="1222"/>
      <c r="BE75" s="2267"/>
    </row>
    <row r="76" spans="1:57">
      <c r="A76" s="1090" t="s">
        <v>501</v>
      </c>
      <c r="B76" s="73" t="s">
        <v>44</v>
      </c>
      <c r="C76" s="1250">
        <f t="shared" si="14"/>
        <v>12234.494271428572</v>
      </c>
      <c r="D76" s="1251">
        <f t="shared" si="14"/>
        <v>3.1347753486597643E-2</v>
      </c>
      <c r="E76" s="1060">
        <f t="shared" si="14"/>
        <v>-0.59766521701552</v>
      </c>
      <c r="F76" s="1060">
        <f t="shared" si="14"/>
        <v>-0.49588963810988107</v>
      </c>
      <c r="G76" s="117">
        <f t="shared" si="14"/>
        <v>6819.5967000000001</v>
      </c>
      <c r="H76" s="114">
        <f t="shared" si="14"/>
        <v>1.8884794830384175E-2</v>
      </c>
      <c r="I76" s="1063">
        <f t="shared" si="14"/>
        <v>3.9295455833111754</v>
      </c>
      <c r="J76" s="1063">
        <f t="shared" si="14"/>
        <v>1.2175677021960365</v>
      </c>
      <c r="K76" s="1064">
        <f t="shared" si="14"/>
        <v>5.0345645887817243</v>
      </c>
      <c r="L76" s="1060">
        <f t="shared" si="14"/>
        <v>-0.26680842971581226</v>
      </c>
      <c r="M76" s="1065">
        <f t="shared" si="15"/>
        <v>4.0325018858098245</v>
      </c>
      <c r="N76" s="1066">
        <f t="shared" si="15"/>
        <v>0.5805147103617575</v>
      </c>
      <c r="O76" s="1067">
        <f t="shared" si="15"/>
        <v>8.4948466413752491E-2</v>
      </c>
      <c r="P76" s="1068">
        <f t="shared" si="15"/>
        <v>0.6264024463118032</v>
      </c>
      <c r="Q76" s="1066">
        <f t="shared" si="15"/>
        <v>0.51826084585195908</v>
      </c>
      <c r="R76" s="1067">
        <f t="shared" si="15"/>
        <v>0.40005999871326348</v>
      </c>
      <c r="S76" s="1068">
        <f t="shared" si="15"/>
        <v>0.58973938770950263</v>
      </c>
      <c r="T76" s="1066">
        <f t="shared" si="15"/>
        <v>0.5495689942142129</v>
      </c>
      <c r="U76" s="1067">
        <f t="shared" si="15"/>
        <v>0.40637993517884302</v>
      </c>
      <c r="V76" s="1068">
        <f t="shared" si="15"/>
        <v>0.63323863537070213</v>
      </c>
      <c r="W76" s="1060">
        <f t="shared" si="15"/>
        <v>3.1308148362253818E-2</v>
      </c>
      <c r="X76" s="1060">
        <f t="shared" si="15"/>
        <v>6.0410020577161203E-2</v>
      </c>
      <c r="Y76" s="1069" t="str">
        <f t="shared" si="15"/>
        <v>BBB-</v>
      </c>
      <c r="Z76" s="1070" t="str">
        <f>VLOOKUP($B76,$B$7:$AC$28,Z$37+1,FALSE)</f>
        <v>=  ¯ =</v>
      </c>
      <c r="AA76" s="1064">
        <f t="shared" si="16"/>
        <v>2.643581803383519</v>
      </c>
      <c r="AB76" s="1071">
        <f t="shared" si="16"/>
        <v>2.8580691559688957E-2</v>
      </c>
      <c r="AC76" s="1065">
        <f t="shared" si="16"/>
        <v>2.5466878830879209</v>
      </c>
      <c r="AD76" s="1222"/>
      <c r="AE76" s="1222"/>
      <c r="AF76" s="1222"/>
      <c r="AG76" s="2129"/>
      <c r="AH76" s="1222"/>
      <c r="AI76" s="1222"/>
      <c r="AJ76" s="1222"/>
      <c r="AK76" s="1222"/>
      <c r="AL76" s="1222"/>
      <c r="AM76" s="1222"/>
      <c r="AN76" s="1222"/>
      <c r="AO76" s="1222"/>
      <c r="AP76" s="1222"/>
      <c r="AQ76" s="1222"/>
      <c r="AR76" s="110"/>
      <c r="AS76" s="110"/>
      <c r="AT76" s="110"/>
      <c r="AU76" s="1222"/>
      <c r="AV76" s="1222"/>
      <c r="AW76" s="1222"/>
      <c r="AX76" s="1222"/>
      <c r="AY76" s="1222"/>
      <c r="AZ76" s="1222"/>
      <c r="BA76" s="1222"/>
      <c r="BB76" s="1222"/>
      <c r="BC76" s="1222"/>
      <c r="BD76" s="1222"/>
      <c r="BE76" s="2267"/>
    </row>
    <row r="77" spans="1:57">
      <c r="A77" s="1091" t="s">
        <v>319</v>
      </c>
      <c r="B77" s="691" t="s">
        <v>750</v>
      </c>
      <c r="C77" s="1252">
        <f t="shared" si="14"/>
        <v>7616.907214285714</v>
      </c>
      <c r="D77" s="1253">
        <f t="shared" si="14"/>
        <v>1.9516371039653539E-2</v>
      </c>
      <c r="E77" s="1072">
        <f t="shared" si="14"/>
        <v>-0.33365525120929096</v>
      </c>
      <c r="F77" s="1072">
        <f t="shared" si="14"/>
        <v>-0.23187967230365203</v>
      </c>
      <c r="G77" s="1009">
        <f t="shared" si="14"/>
        <v>5825.8631999999998</v>
      </c>
      <c r="H77" s="1010">
        <f t="shared" si="14"/>
        <v>1.6132952736323161E-2</v>
      </c>
      <c r="I77" s="1075">
        <f t="shared" si="14"/>
        <v>2.4107651340270966</v>
      </c>
      <c r="J77" s="1075">
        <f t="shared" si="14"/>
        <v>2.0327505931612002</v>
      </c>
      <c r="K77" s="1076">
        <f t="shared" si="14"/>
        <v>4.7469851722287064</v>
      </c>
      <c r="L77" s="1072">
        <f t="shared" si="14"/>
        <v>0.1951757211867983</v>
      </c>
      <c r="M77" s="1077">
        <f t="shared" si="15"/>
        <v>4.6619962755533297</v>
      </c>
      <c r="N77" s="1078">
        <f t="shared" si="15"/>
        <v>0.37158673775730477</v>
      </c>
      <c r="O77" s="1079">
        <f t="shared" si="15"/>
        <v>-0.1153634304384116</v>
      </c>
      <c r="P77" s="1080">
        <f t="shared" si="15"/>
        <v>0.36037883142173305</v>
      </c>
      <c r="Q77" s="1078">
        <f t="shared" si="15"/>
        <v>0.17383796150947908</v>
      </c>
      <c r="R77" s="1079">
        <f t="shared" si="15"/>
        <v>0.54445307336528614</v>
      </c>
      <c r="S77" s="1080">
        <f t="shared" si="15"/>
        <v>0.26356163003804695</v>
      </c>
      <c r="T77" s="1078">
        <f t="shared" si="15"/>
        <v>0.19702478682132593</v>
      </c>
      <c r="U77" s="1079">
        <f t="shared" si="15"/>
        <v>0.50034734616182497</v>
      </c>
      <c r="V77" s="1080">
        <f t="shared" si="15"/>
        <v>0.28756363720088318</v>
      </c>
      <c r="W77" s="1072">
        <f t="shared" si="15"/>
        <v>2.3186825311846848E-2</v>
      </c>
      <c r="X77" s="1072">
        <f t="shared" si="15"/>
        <v>0.13338182932260462</v>
      </c>
      <c r="Y77" s="1081" t="str">
        <f t="shared" si="15"/>
        <v>A</v>
      </c>
      <c r="Z77" s="1082" t="str">
        <f>VLOOKUP($B77,$B$7:$AC$28,Z$37+1,FALSE)</f>
        <v>=  =  -</v>
      </c>
      <c r="AA77" s="1076">
        <f t="shared" si="16"/>
        <v>0.93248540191552354</v>
      </c>
      <c r="AB77" s="1083">
        <f t="shared" si="16"/>
        <v>0.78949919521054279</v>
      </c>
      <c r="AC77" s="1077">
        <f t="shared" si="16"/>
        <v>1.3109622071604587</v>
      </c>
      <c r="AD77" s="1222"/>
      <c r="AE77" s="1222"/>
      <c r="AF77" s="1222"/>
      <c r="AG77" s="2129"/>
      <c r="AH77" s="1222"/>
      <c r="AI77" s="1222"/>
      <c r="AJ77" s="1222"/>
      <c r="AK77" s="1222"/>
      <c r="AL77" s="1222"/>
      <c r="AM77" s="1222"/>
      <c r="AN77" s="1222"/>
      <c r="AO77" s="1222"/>
      <c r="AP77" s="1222"/>
      <c r="AQ77" s="1222"/>
      <c r="AR77" s="110"/>
      <c r="AS77" s="110"/>
      <c r="AT77" s="110"/>
      <c r="AU77" s="1222"/>
      <c r="AV77" s="1222"/>
      <c r="AW77" s="1222"/>
      <c r="AX77" s="1222"/>
      <c r="AY77" s="1222"/>
      <c r="AZ77" s="1222"/>
      <c r="BA77" s="1222"/>
      <c r="BB77" s="1222"/>
      <c r="BC77" s="1222"/>
      <c r="BD77" s="1222"/>
      <c r="BE77" s="2267"/>
    </row>
    <row r="78" spans="1:57">
      <c r="A78" s="1090" t="s">
        <v>539</v>
      </c>
      <c r="B78" s="73" t="s">
        <v>39</v>
      </c>
      <c r="C78" s="1250">
        <f t="shared" si="14"/>
        <v>5059.5155870714543</v>
      </c>
      <c r="D78" s="1251">
        <f t="shared" si="14"/>
        <v>1.2963710952524294E-2</v>
      </c>
      <c r="E78" s="1060">
        <f t="shared" si="14"/>
        <v>-0.13366823909704381</v>
      </c>
      <c r="F78" s="1060">
        <f t="shared" si="14"/>
        <v>-3.1892660191404867E-2</v>
      </c>
      <c r="G78" s="117">
        <f t="shared" si="14"/>
        <v>5057.8123335929276</v>
      </c>
      <c r="H78" s="114">
        <f t="shared" si="14"/>
        <v>1.4006069920599414E-2</v>
      </c>
      <c r="I78" s="1063">
        <f t="shared" si="14"/>
        <v>1.6858649053444912</v>
      </c>
      <c r="J78" s="1063">
        <f t="shared" si="14"/>
        <v>1.7703056194544857</v>
      </c>
      <c r="K78" s="1064">
        <f t="shared" si="14"/>
        <v>6.1343182706324946</v>
      </c>
      <c r="L78" s="1060">
        <f t="shared" si="14"/>
        <v>-0.19036897853308513</v>
      </c>
      <c r="M78" s="1065">
        <f t="shared" si="15"/>
        <v>5.9052222685092017</v>
      </c>
      <c r="N78" s="1066">
        <f t="shared" si="15"/>
        <v>0.31054928118178421</v>
      </c>
      <c r="O78" s="1067">
        <f t="shared" si="15"/>
        <v>-0.11491916916279199</v>
      </c>
      <c r="P78" s="1068">
        <f t="shared" si="15"/>
        <v>0.28165979767703259</v>
      </c>
      <c r="Q78" s="1066">
        <f t="shared" si="15"/>
        <v>0.3899242463002407</v>
      </c>
      <c r="R78" s="1067">
        <f t="shared" si="15"/>
        <v>-0.1197676600756727</v>
      </c>
      <c r="S78" s="1068">
        <f t="shared" si="15"/>
        <v>0.37944762378701169</v>
      </c>
      <c r="T78" s="1066">
        <f t="shared" si="15"/>
        <v>0.45093517146474416</v>
      </c>
      <c r="U78" s="1067">
        <f t="shared" si="15"/>
        <v>-8.3572610535330494E-2</v>
      </c>
      <c r="V78" s="1068">
        <f t="shared" si="15"/>
        <v>0.43916945384982109</v>
      </c>
      <c r="W78" s="1060">
        <f t="shared" si="15"/>
        <v>6.101092516450346E-2</v>
      </c>
      <c r="X78" s="1060">
        <f t="shared" si="15"/>
        <v>0.15646866216553562</v>
      </c>
      <c r="Y78" s="1069" t="str">
        <f t="shared" si="15"/>
        <v>BBB</v>
      </c>
      <c r="Z78" s="1070" t="str">
        <f>VLOOKUP($B78,$B$7:$AC$28,Z$37+1,FALSE)</f>
        <v>­  = =</v>
      </c>
      <c r="AA78" s="1064">
        <f t="shared" si="16"/>
        <v>2.6587814840492587</v>
      </c>
      <c r="AB78" s="1071">
        <f t="shared" si="16"/>
        <v>-0.25803195656746131</v>
      </c>
      <c r="AC78" s="1065">
        <f t="shared" si="16"/>
        <v>2.5933932385229874</v>
      </c>
      <c r="AD78" s="1222"/>
      <c r="AE78" s="1222"/>
      <c r="AF78" s="1222"/>
      <c r="AG78" s="2129"/>
      <c r="AH78" s="1222"/>
      <c r="AI78" s="1222"/>
      <c r="AJ78" s="1222"/>
      <c r="AK78" s="1222"/>
      <c r="AL78" s="1222"/>
      <c r="AM78" s="1222"/>
      <c r="AN78" s="1222"/>
      <c r="AO78" s="1222"/>
      <c r="AP78" s="1222"/>
      <c r="AQ78" s="1222"/>
      <c r="AR78" s="110"/>
      <c r="AS78" s="110"/>
      <c r="AT78" s="110"/>
      <c r="AU78" s="1222"/>
      <c r="AV78" s="1222"/>
      <c r="AW78" s="1222"/>
      <c r="AX78" s="1222"/>
      <c r="AY78" s="1222"/>
      <c r="AZ78" s="1222"/>
      <c r="BA78" s="1222"/>
      <c r="BB78" s="1222"/>
      <c r="BC78" s="1222"/>
      <c r="BD78" s="1222"/>
      <c r="BE78" s="2267"/>
    </row>
    <row r="79" spans="1:57">
      <c r="A79" s="1091" t="s">
        <v>319</v>
      </c>
      <c r="B79" s="691" t="s">
        <v>752</v>
      </c>
      <c r="C79" s="1252">
        <f t="shared" si="14"/>
        <v>3541.6238999999996</v>
      </c>
      <c r="D79" s="1253">
        <f t="shared" si="14"/>
        <v>9.0745028357006995E-3</v>
      </c>
      <c r="E79" s="1072">
        <f t="shared" si="14"/>
        <v>0.67327297771392325</v>
      </c>
      <c r="F79" s="1072">
        <f t="shared" si="14"/>
        <v>0.77504855661956218</v>
      </c>
      <c r="G79" s="1009">
        <f t="shared" si="14"/>
        <v>4048.9897999999998</v>
      </c>
      <c r="H79" s="1010">
        <f t="shared" si="14"/>
        <v>1.1212443346293226E-2</v>
      </c>
      <c r="I79" s="1075">
        <f t="shared" si="14"/>
        <v>-1.4186196832586249</v>
      </c>
      <c r="J79" s="1075">
        <f t="shared" si="14"/>
        <v>-2.7147098893731143</v>
      </c>
      <c r="K79" s="1076">
        <f t="shared" si="14"/>
        <v>8.5213348378460623</v>
      </c>
      <c r="L79" s="1072">
        <f t="shared" si="14"/>
        <v>0.26215680659638446</v>
      </c>
      <c r="M79" s="1077">
        <f t="shared" si="15"/>
        <v>9.0506669895995948</v>
      </c>
      <c r="N79" s="1078">
        <f t="shared" si="15"/>
        <v>6.4385445236561381E-2</v>
      </c>
      <c r="O79" s="1079">
        <f t="shared" si="15"/>
        <v>14.697799124913645</v>
      </c>
      <c r="P79" s="1080">
        <f t="shared" si="15"/>
        <v>0.15462918080465343</v>
      </c>
      <c r="Q79" s="1078">
        <f t="shared" si="15"/>
        <v>0.42399287000325037</v>
      </c>
      <c r="R79" s="1079">
        <f t="shared" si="15"/>
        <v>4.5742782667206161E-2</v>
      </c>
      <c r="S79" s="1080">
        <f t="shared" si="15"/>
        <v>0.48144640266975475</v>
      </c>
      <c r="T79" s="1078">
        <f t="shared" si="15"/>
        <v>0.42695023434228802</v>
      </c>
      <c r="U79" s="1079">
        <f t="shared" si="15"/>
        <v>4.1366838913311048E-2</v>
      </c>
      <c r="V79" s="1080">
        <f t="shared" si="15"/>
        <v>0.4832654138496531</v>
      </c>
      <c r="W79" s="1072">
        <f t="shared" si="15"/>
        <v>2.9573643390376492E-3</v>
      </c>
      <c r="X79" s="1072">
        <f t="shared" si="15"/>
        <v>6.9750331863245195E-3</v>
      </c>
      <c r="Y79" s="1081" t="str">
        <f t="shared" si="15"/>
        <v>B+</v>
      </c>
      <c r="Z79" s="1082" t="str">
        <f>VLOOKUP($B79,$B$7:$AC$28,Z$37+1,FALSE)</f>
        <v>=  =  =</v>
      </c>
      <c r="AA79" s="1076">
        <f t="shared" si="16"/>
        <v>3.7014756930154613</v>
      </c>
      <c r="AB79" s="1083">
        <f t="shared" si="16"/>
        <v>0.31334582285320112</v>
      </c>
      <c r="AC79" s="1077">
        <f t="shared" si="16"/>
        <v>4.3704719780651446</v>
      </c>
      <c r="AD79" s="1222"/>
      <c r="AE79" s="1222"/>
      <c r="AF79" s="1222"/>
      <c r="AG79" s="2129"/>
      <c r="AH79" s="1222"/>
      <c r="AI79" s="1222"/>
      <c r="AJ79" s="1222"/>
      <c r="AK79" s="1222"/>
      <c r="AL79" s="1222"/>
      <c r="AM79" s="1222"/>
      <c r="AN79" s="1222"/>
      <c r="AO79" s="1222"/>
      <c r="AP79" s="1222"/>
      <c r="AQ79" s="1222"/>
      <c r="AR79" s="110"/>
      <c r="AS79" s="110"/>
      <c r="AT79" s="110"/>
      <c r="AU79" s="1222"/>
      <c r="AV79" s="1222"/>
      <c r="AW79" s="1222"/>
      <c r="AX79" s="1222"/>
      <c r="AY79" s="1222"/>
      <c r="AZ79" s="1222"/>
      <c r="BA79" s="1222"/>
      <c r="BB79" s="1222"/>
      <c r="BC79" s="1222"/>
      <c r="BD79" s="1222"/>
      <c r="BE79" s="2267"/>
    </row>
    <row r="80" spans="1:57">
      <c r="A80" s="1090" t="s">
        <v>503</v>
      </c>
      <c r="B80" s="73" t="s">
        <v>280</v>
      </c>
      <c r="C80" s="1250">
        <f t="shared" si="14"/>
        <v>5769.8566757446433</v>
      </c>
      <c r="D80" s="1251">
        <f t="shared" si="14"/>
        <v>1.4783777793466828E-2</v>
      </c>
      <c r="E80" s="1060">
        <f t="shared" si="14"/>
        <v>-0.24705029723080094</v>
      </c>
      <c r="F80" s="1060">
        <f t="shared" si="14"/>
        <v>-0.14527471832516198</v>
      </c>
      <c r="G80" s="117">
        <f t="shared" si="14"/>
        <v>4026.3480952657014</v>
      </c>
      <c r="H80" s="114">
        <f t="shared" si="14"/>
        <v>1.1149744044952231E-2</v>
      </c>
      <c r="I80" s="1063">
        <f t="shared" si="14"/>
        <v>2.446298838298576</v>
      </c>
      <c r="J80" s="1063">
        <f t="shared" si="14"/>
        <v>1.6476276710656086</v>
      </c>
      <c r="K80" s="1064">
        <f t="shared" si="14"/>
        <v>6.5589809256196414</v>
      </c>
      <c r="L80" s="1060">
        <f t="shared" si="14"/>
        <v>1.2127469272410992E-3</v>
      </c>
      <c r="M80" s="1065">
        <f t="shared" si="15"/>
        <v>5.5145354419406587</v>
      </c>
      <c r="N80" s="1066">
        <f t="shared" si="15"/>
        <v>0.67083419702973635</v>
      </c>
      <c r="O80" s="1067">
        <f t="shared" si="15"/>
        <v>-0.11335389957676706</v>
      </c>
      <c r="P80" s="1068">
        <f t="shared" si="15"/>
        <v>0.63639387890884902</v>
      </c>
      <c r="Q80" s="1066">
        <f t="shared" si="15"/>
        <v>0.1536920907726812</v>
      </c>
      <c r="R80" s="1067">
        <f t="shared" si="15"/>
        <v>1.6283818604559013</v>
      </c>
      <c r="S80" s="1068">
        <f t="shared" si="15"/>
        <v>0.2022242346359609</v>
      </c>
      <c r="T80" s="1066">
        <f t="shared" si="15"/>
        <v>0.20961441125119315</v>
      </c>
      <c r="U80" s="1067">
        <f t="shared" si="15"/>
        <v>0.84200521424561081</v>
      </c>
      <c r="V80" s="1068">
        <f t="shared" si="15"/>
        <v>0.28147528322389997</v>
      </c>
      <c r="W80" s="1060">
        <f t="shared" si="15"/>
        <v>5.592232047851195E-2</v>
      </c>
      <c r="X80" s="1060">
        <f t="shared" si="15"/>
        <v>0.36385945559959909</v>
      </c>
      <c r="Y80" s="1069" t="str">
        <f t="shared" si="15"/>
        <v>Not rated</v>
      </c>
      <c r="Z80" s="1070"/>
      <c r="AA80" s="1064">
        <f t="shared" si="16"/>
        <v>1.4399592566697517</v>
      </c>
      <c r="AB80" s="1071">
        <f t="shared" si="16"/>
        <v>0.8442860967329926</v>
      </c>
      <c r="AC80" s="1065">
        <f t="shared" si="16"/>
        <v>1.5521418473212367</v>
      </c>
      <c r="AD80" s="1222"/>
      <c r="AE80" s="1222"/>
      <c r="AF80" s="1222"/>
      <c r="AG80" s="2129"/>
      <c r="AH80" s="1222"/>
      <c r="AI80" s="1222"/>
      <c r="AJ80" s="1222"/>
      <c r="AK80" s="1222"/>
      <c r="AL80" s="1222"/>
      <c r="AM80" s="1222"/>
      <c r="AN80" s="1222"/>
      <c r="AO80" s="1222"/>
      <c r="AP80" s="1222"/>
      <c r="AQ80" s="1222"/>
      <c r="AR80" s="110"/>
      <c r="AS80" s="110"/>
      <c r="AT80" s="110"/>
      <c r="AU80" s="1222"/>
      <c r="AV80" s="1222"/>
      <c r="AW80" s="1222"/>
      <c r="AX80" s="1222"/>
      <c r="AY80" s="1222"/>
      <c r="AZ80" s="1222"/>
      <c r="BA80" s="1222"/>
      <c r="BB80" s="1222"/>
      <c r="BC80" s="1222"/>
      <c r="BD80" s="1222"/>
      <c r="BE80" s="2267"/>
    </row>
    <row r="81" spans="1:57">
      <c r="A81" s="1090" t="s">
        <v>374</v>
      </c>
      <c r="B81" s="73" t="s">
        <v>42</v>
      </c>
      <c r="C81" s="1250">
        <f t="shared" si="14"/>
        <v>2432.5463571428577</v>
      </c>
      <c r="D81" s="1251">
        <f t="shared" si="14"/>
        <v>6.2327761047315808E-3</v>
      </c>
      <c r="E81" s="1060">
        <f t="shared" si="14"/>
        <v>-3.2258071946582277E-2</v>
      </c>
      <c r="F81" s="1060">
        <f t="shared" si="14"/>
        <v>6.9517506959056674E-2</v>
      </c>
      <c r="G81" s="117">
        <f t="shared" si="14"/>
        <v>2940.9023000000002</v>
      </c>
      <c r="H81" s="114">
        <f t="shared" si="14"/>
        <v>8.143932697912316E-3</v>
      </c>
      <c r="I81" s="1063">
        <f t="shared" si="14"/>
        <v>1.2689619717468461</v>
      </c>
      <c r="J81" s="1063">
        <f t="shared" si="14"/>
        <v>1.312316956715752</v>
      </c>
      <c r="K81" s="1064">
        <f t="shared" si="14"/>
        <v>3.8459062845563983</v>
      </c>
      <c r="L81" s="1060">
        <f t="shared" si="14"/>
        <v>3.4291324439135469E-2</v>
      </c>
      <c r="M81" s="1065">
        <f t="shared" si="15"/>
        <v>3.7439277362047823</v>
      </c>
      <c r="N81" s="1066">
        <f t="shared" si="15"/>
        <v>0.56323171407839789</v>
      </c>
      <c r="O81" s="1067">
        <f t="shared" si="15"/>
        <v>-0.12023286586287618</v>
      </c>
      <c r="P81" s="1068">
        <f t="shared" si="15"/>
        <v>0.53987730061349704</v>
      </c>
      <c r="Q81" s="1066">
        <f t="shared" si="15"/>
        <v>0.60887331285954671</v>
      </c>
      <c r="R81" s="1067">
        <f t="shared" si="15"/>
        <v>-0.37303497156800469</v>
      </c>
      <c r="S81" s="1068">
        <f t="shared" si="15"/>
        <v>0.37659759063604481</v>
      </c>
      <c r="T81" s="1066">
        <f t="shared" si="15"/>
        <v>0.63388271448107447</v>
      </c>
      <c r="U81" s="1067">
        <f t="shared" si="15"/>
        <v>-0.25869992498286548</v>
      </c>
      <c r="V81" s="1068">
        <f t="shared" si="15"/>
        <v>0.44527495080222473</v>
      </c>
      <c r="W81" s="1060">
        <f t="shared" si="15"/>
        <v>2.500940162152776E-2</v>
      </c>
      <c r="X81" s="1060">
        <f t="shared" si="15"/>
        <v>4.1074885519406669E-2</v>
      </c>
      <c r="Y81" s="1069" t="str">
        <f t="shared" si="15"/>
        <v>B-</v>
      </c>
      <c r="Z81" s="1070" t="str">
        <f>VLOOKUP($B81,$B$7:$AC$28,Z$37+1,FALSE)</f>
        <v>=  =  -</v>
      </c>
      <c r="AA81" s="1064">
        <f t="shared" si="16"/>
        <v>2.172629043332774</v>
      </c>
      <c r="AB81" s="1071">
        <f t="shared" si="16"/>
        <v>-0.22035736928264804</v>
      </c>
      <c r="AC81" s="1065">
        <f t="shared" si="16"/>
        <v>1.5517268924243866</v>
      </c>
      <c r="AD81" s="1222"/>
      <c r="AE81" s="1222"/>
      <c r="AF81" s="1222"/>
      <c r="AG81" s="2129"/>
      <c r="AH81" s="1222"/>
      <c r="AI81" s="1222"/>
      <c r="AJ81" s="1222"/>
      <c r="AK81" s="1222"/>
      <c r="AL81" s="1222"/>
      <c r="AM81" s="1222"/>
      <c r="AN81" s="1222"/>
      <c r="AO81" s="1222"/>
      <c r="AP81" s="1222"/>
      <c r="AQ81" s="1222"/>
      <c r="AR81" s="110"/>
      <c r="AS81" s="110"/>
      <c r="AT81" s="110"/>
      <c r="AU81" s="1222"/>
      <c r="AV81" s="1222"/>
      <c r="AW81" s="1222"/>
      <c r="AX81" s="1222"/>
      <c r="AY81" s="1222"/>
      <c r="AZ81" s="1222"/>
      <c r="BA81" s="1222"/>
      <c r="BB81" s="1222"/>
      <c r="BC81" s="1222"/>
      <c r="BD81" s="1222"/>
      <c r="BE81" s="2267"/>
    </row>
    <row r="82" spans="1:57">
      <c r="A82" s="1090" t="s">
        <v>27</v>
      </c>
      <c r="B82" s="73" t="s">
        <v>54</v>
      </c>
      <c r="C82" s="1250">
        <f t="shared" si="14"/>
        <v>4745.1447857142857</v>
      </c>
      <c r="D82" s="1251">
        <f t="shared" si="14"/>
        <v>1.2158216408516635E-2</v>
      </c>
      <c r="E82" s="1060">
        <f t="shared" si="14"/>
        <v>-0.63447330491761056</v>
      </c>
      <c r="F82" s="1060">
        <f t="shared" si="14"/>
        <v>-0.53269772601197163</v>
      </c>
      <c r="G82" s="117">
        <f t="shared" si="14"/>
        <v>2680.5724</v>
      </c>
      <c r="H82" s="114">
        <f t="shared" si="14"/>
        <v>7.4230283738025878E-3</v>
      </c>
      <c r="I82" s="1063">
        <f t="shared" si="14"/>
        <v>1.3569881249181368</v>
      </c>
      <c r="J82" s="1063">
        <f t="shared" si="14"/>
        <v>1.0332545966156574</v>
      </c>
      <c r="K82" s="1064">
        <f t="shared" si="14"/>
        <v>6.3422811159545107</v>
      </c>
      <c r="L82" s="1060">
        <f t="shared" si="14"/>
        <v>-0.24924595564935845</v>
      </c>
      <c r="M82" s="1065">
        <f t="shared" si="15"/>
        <v>5.3369406950798908</v>
      </c>
      <c r="N82" s="1066">
        <f t="shared" si="15"/>
        <v>0.48460704112825509</v>
      </c>
      <c r="O82" s="1067">
        <f t="shared" si="15"/>
        <v>-0.18079580514885477</v>
      </c>
      <c r="P82" s="1068">
        <f t="shared" si="15"/>
        <v>0.49497857034449522</v>
      </c>
      <c r="Q82" s="1066">
        <f t="shared" si="15"/>
        <v>0.56717095077467305</v>
      </c>
      <c r="R82" s="1067">
        <f t="shared" si="15"/>
        <v>0.64731222518720821</v>
      </c>
      <c r="S82" s="1068">
        <f t="shared" si="15"/>
        <v>0.74754623070756221</v>
      </c>
      <c r="T82" s="1066">
        <f t="shared" si="15"/>
        <v>0.5748403529709204</v>
      </c>
      <c r="U82" s="1067">
        <f t="shared" si="15"/>
        <v>0.5906099669472562</v>
      </c>
      <c r="V82" s="1068">
        <f t="shared" si="15"/>
        <v>0.7506672643344422</v>
      </c>
      <c r="W82" s="1060">
        <f t="shared" si="15"/>
        <v>7.6694021962473435E-3</v>
      </c>
      <c r="X82" s="1060">
        <f t="shared" si="15"/>
        <v>1.3522205581530675E-2</v>
      </c>
      <c r="Y82" s="1069" t="str">
        <f t="shared" si="15"/>
        <v>BBB-</v>
      </c>
      <c r="Z82" s="1070" t="str">
        <f>VLOOKUP($B82,$B$7:$AC$28,Z$37+1,FALSE)</f>
        <v>¯  ¯ ¯</v>
      </c>
      <c r="AA82" s="1064">
        <f t="shared" si="16"/>
        <v>3.4278891827637503</v>
      </c>
      <c r="AB82" s="1071">
        <f t="shared" si="16"/>
        <v>0.24423537898737996</v>
      </c>
      <c r="AC82" s="1065">
        <f t="shared" si="16"/>
        <v>3.8230610288109381</v>
      </c>
      <c r="AD82" s="1222"/>
      <c r="AE82" s="1222"/>
      <c r="AF82" s="1222"/>
      <c r="AG82" s="2129"/>
      <c r="AH82" s="1222"/>
      <c r="AI82" s="1222"/>
      <c r="AJ82" s="1222"/>
      <c r="AK82" s="1222"/>
      <c r="AL82" s="1222"/>
      <c r="AM82" s="1222"/>
      <c r="AN82" s="1222"/>
      <c r="AO82" s="1222"/>
      <c r="AP82" s="1222"/>
      <c r="AQ82" s="1222"/>
      <c r="AR82" s="110"/>
      <c r="AS82" s="110"/>
      <c r="AT82" s="110"/>
      <c r="AU82" s="1222"/>
      <c r="AV82" s="1222"/>
      <c r="AW82" s="1222"/>
      <c r="AX82" s="1222"/>
      <c r="AY82" s="1222"/>
      <c r="AZ82" s="1222"/>
      <c r="BA82" s="1222"/>
      <c r="BB82" s="1222"/>
      <c r="BC82" s="1222"/>
      <c r="BD82" s="1222"/>
      <c r="BE82" s="2267"/>
    </row>
    <row r="83" spans="1:57">
      <c r="A83" s="1090" t="s">
        <v>73</v>
      </c>
      <c r="B83" s="73" t="s">
        <v>283</v>
      </c>
      <c r="C83" s="1250">
        <f t="shared" si="14"/>
        <v>2461.5190857142857</v>
      </c>
      <c r="D83" s="1251">
        <f t="shared" si="14"/>
        <v>6.3070112903421734E-3</v>
      </c>
      <c r="E83" s="1060">
        <f t="shared" si="14"/>
        <v>6.738754525599433E-2</v>
      </c>
      <c r="F83" s="1060">
        <f t="shared" si="14"/>
        <v>0.16916312416163326</v>
      </c>
      <c r="G83" s="117">
        <f t="shared" si="14"/>
        <v>2364.3629999999998</v>
      </c>
      <c r="H83" s="114">
        <f t="shared" si="14"/>
        <v>6.5473828033777437E-3</v>
      </c>
      <c r="I83" s="1063">
        <f t="shared" si="14"/>
        <v>3.1397518024733277</v>
      </c>
      <c r="J83" s="1063">
        <f t="shared" si="14"/>
        <v>3.0995844257996854</v>
      </c>
      <c r="K83" s="1064">
        <f t="shared" si="14"/>
        <v>6.6917014692746157</v>
      </c>
      <c r="L83" s="1060">
        <f t="shared" si="14"/>
        <v>0.14721542174528052</v>
      </c>
      <c r="M83" s="1065">
        <f t="shared" si="15"/>
        <v>7.0127743881429545</v>
      </c>
      <c r="N83" s="1066">
        <f t="shared" si="15"/>
        <v>0.62657499999999999</v>
      </c>
      <c r="O83" s="1067">
        <f t="shared" si="15"/>
        <v>5.5614710459497153E-2</v>
      </c>
      <c r="P83" s="1068">
        <f t="shared" si="15"/>
        <v>0.64439999999999997</v>
      </c>
      <c r="Q83" s="1066">
        <f t="shared" si="15"/>
        <v>0.24190098439360719</v>
      </c>
      <c r="R83" s="1067">
        <f t="shared" si="15"/>
        <v>0.20667512064869559</v>
      </c>
      <c r="S83" s="1068">
        <f t="shared" si="15"/>
        <v>0.30597960586046052</v>
      </c>
      <c r="T83" s="1066">
        <f t="shared" si="15"/>
        <v>0.2616424852780464</v>
      </c>
      <c r="U83" s="1067">
        <f t="shared" si="15"/>
        <v>0.20296552626351777</v>
      </c>
      <c r="V83" s="1068">
        <f t="shared" si="15"/>
        <v>0.32061814749302248</v>
      </c>
      <c r="W83" s="1060">
        <f t="shared" si="15"/>
        <v>1.9741500884439211E-2</v>
      </c>
      <c r="X83" s="1060">
        <f t="shared" si="15"/>
        <v>8.1609841042717679E-2</v>
      </c>
      <c r="Y83" s="1069" t="str">
        <f t="shared" si="15"/>
        <v>BBB</v>
      </c>
      <c r="Z83" s="1070" t="str">
        <f>VLOOKUP($B83,$B$7:$AC$28,Z$37+1,FALSE)</f>
        <v>=  =  -</v>
      </c>
      <c r="AA83" s="1064">
        <f t="shared" si="16"/>
        <v>1.7511002028712532</v>
      </c>
      <c r="AB83" s="1071">
        <f t="shared" si="16"/>
        <v>0.37093258903528414</v>
      </c>
      <c r="AC83" s="1065">
        <f t="shared" si="16"/>
        <v>2.2311132077757287</v>
      </c>
      <c r="AD83" s="1222"/>
      <c r="AE83" s="1222"/>
      <c r="AF83" s="1222"/>
      <c r="AG83" s="2129"/>
      <c r="AH83" s="1222"/>
      <c r="AI83" s="1222"/>
      <c r="AJ83" s="1222"/>
      <c r="AK83" s="1222"/>
      <c r="AL83" s="1222"/>
      <c r="AM83" s="1222"/>
      <c r="AN83" s="1222"/>
      <c r="AO83" s="1222"/>
      <c r="AP83" s="1222"/>
      <c r="AQ83" s="1222"/>
      <c r="AR83" s="110"/>
      <c r="AS83" s="110"/>
      <c r="AT83" s="110"/>
      <c r="AU83" s="1222"/>
      <c r="AV83" s="1222"/>
      <c r="AW83" s="1222"/>
      <c r="AX83" s="1222"/>
      <c r="AY83" s="1222"/>
      <c r="AZ83" s="1222"/>
      <c r="BA83" s="1222"/>
      <c r="BB83" s="1222"/>
      <c r="BC83" s="1222"/>
      <c r="BD83" s="1222"/>
      <c r="BE83" s="2267"/>
    </row>
    <row r="84" spans="1:57">
      <c r="A84" s="1090" t="s">
        <v>502</v>
      </c>
      <c r="B84" s="73" t="s">
        <v>287</v>
      </c>
      <c r="C84" s="1250">
        <f t="shared" si="14"/>
        <v>4580.8423286191064</v>
      </c>
      <c r="D84" s="1251">
        <f t="shared" si="14"/>
        <v>1.1737233504933111E-2</v>
      </c>
      <c r="E84" s="1060">
        <f t="shared" si="14"/>
        <v>-0.49577837871365099</v>
      </c>
      <c r="F84" s="1060">
        <f t="shared" si="14"/>
        <v>-0.39400279980801206</v>
      </c>
      <c r="G84" s="117">
        <f t="shared" si="14"/>
        <v>2322.4005110115481</v>
      </c>
      <c r="H84" s="114">
        <f t="shared" si="14"/>
        <v>6.4311804779353665E-3</v>
      </c>
      <c r="I84" s="1063">
        <f t="shared" si="14"/>
        <v>1.4234279787340207</v>
      </c>
      <c r="J84" s="1063">
        <f t="shared" si="14"/>
        <v>0.8056764866383116</v>
      </c>
      <c r="K84" s="1064">
        <f t="shared" si="14"/>
        <v>4.3531629475873661</v>
      </c>
      <c r="L84" s="1060">
        <f t="shared" si="14"/>
        <v>-8.1025400882275472E-2</v>
      </c>
      <c r="M84" s="1065">
        <f t="shared" si="15"/>
        <v>3.4400754167452243</v>
      </c>
      <c r="N84" s="1066">
        <f t="shared" si="15"/>
        <v>0.42290073595624156</v>
      </c>
      <c r="O84" s="1067">
        <f t="shared" si="15"/>
        <v>-9.0086339251873371E-2</v>
      </c>
      <c r="P84" s="1068">
        <f t="shared" si="15"/>
        <v>0.44946685046944856</v>
      </c>
      <c r="Q84" s="1066">
        <f t="shared" si="15"/>
        <v>0.16307046534988884</v>
      </c>
      <c r="R84" s="1067">
        <f t="shared" si="15"/>
        <v>1.3005419282788433</v>
      </c>
      <c r="S84" s="1068">
        <f t="shared" si="15"/>
        <v>0.30950096360373897</v>
      </c>
      <c r="T84" s="1066">
        <f t="shared" si="15"/>
        <v>0.18570292678335293</v>
      </c>
      <c r="U84" s="1067">
        <f t="shared" si="15"/>
        <v>1.251733079461073</v>
      </c>
      <c r="V84" s="1068">
        <f t="shared" si="15"/>
        <v>0.34197601038246805</v>
      </c>
      <c r="W84" s="1060">
        <f t="shared" si="15"/>
        <v>2.2632461433464091E-2</v>
      </c>
      <c r="X84" s="1060">
        <f t="shared" si="15"/>
        <v>0.13878945758144007</v>
      </c>
      <c r="Y84" s="1069" t="str">
        <f t="shared" si="15"/>
        <v>BBB</v>
      </c>
      <c r="Z84" s="1070" t="str">
        <f>VLOOKUP($B84,$B$7:$AC$28,Z$37+1,FALSE)</f>
        <v>=  ¯ -</v>
      </c>
      <c r="AA84" s="1064">
        <f t="shared" si="16"/>
        <v>0.77886477042851432</v>
      </c>
      <c r="AB84" s="1071">
        <f t="shared" si="16"/>
        <v>1.0703005310133176</v>
      </c>
      <c r="AC84" s="1065">
        <f t="shared" si="16"/>
        <v>1.1762690733772538</v>
      </c>
      <c r="AD84" s="1222"/>
      <c r="AE84" s="1222"/>
      <c r="AF84" s="1222"/>
      <c r="AG84" s="2129"/>
      <c r="AH84" s="1222"/>
      <c r="AI84" s="1222"/>
      <c r="AJ84" s="1222"/>
      <c r="AK84" s="1222"/>
      <c r="AL84" s="1222"/>
      <c r="AM84" s="1222"/>
      <c r="AN84" s="1222"/>
      <c r="AO84" s="1222"/>
      <c r="AP84" s="1222"/>
      <c r="AQ84" s="1222"/>
      <c r="AR84" s="110"/>
      <c r="AS84" s="110"/>
      <c r="AT84" s="110"/>
      <c r="AU84" s="1222"/>
      <c r="AV84" s="1222"/>
      <c r="AW84" s="1222"/>
      <c r="AX84" s="1222"/>
      <c r="AY84" s="1222"/>
      <c r="AZ84" s="1222"/>
      <c r="BA84" s="1222"/>
      <c r="BB84" s="1222"/>
      <c r="BC84" s="1222"/>
      <c r="BD84" s="1222"/>
      <c r="BE84" s="2267"/>
    </row>
    <row r="85" spans="1:57">
      <c r="A85" s="1090" t="s">
        <v>385</v>
      </c>
      <c r="B85" s="73" t="s">
        <v>276</v>
      </c>
      <c r="C85" s="1250">
        <f t="shared" si="14"/>
        <v>3544.0522571428578</v>
      </c>
      <c r="D85" s="1251">
        <f t="shared" si="14"/>
        <v>9.0807248780183369E-3</v>
      </c>
      <c r="E85" s="1060">
        <f t="shared" si="14"/>
        <v>-0.4675424361384804</v>
      </c>
      <c r="F85" s="1060">
        <f t="shared" si="14"/>
        <v>-0.36576685723284147</v>
      </c>
      <c r="G85" s="117">
        <f t="shared" si="14"/>
        <v>2152.6311000000001</v>
      </c>
      <c r="H85" s="114">
        <f t="shared" si="14"/>
        <v>5.9610558303255963E-3</v>
      </c>
      <c r="I85" s="1063">
        <f t="shared" si="14"/>
        <v>3.4941691326062152</v>
      </c>
      <c r="J85" s="1063">
        <f t="shared" si="14"/>
        <v>2.2961398399999999</v>
      </c>
      <c r="K85" s="1064">
        <f t="shared" si="14"/>
        <v>4.4246190982470868</v>
      </c>
      <c r="L85" s="1060">
        <f t="shared" si="14"/>
        <v>-2.9835823683801648E-2</v>
      </c>
      <c r="M85" s="1065">
        <f t="shared" si="15"/>
        <v>4.0530525032062261</v>
      </c>
      <c r="N85" s="1066">
        <f t="shared" si="15"/>
        <v>0.60910298289809772</v>
      </c>
      <c r="O85" s="1067">
        <f t="shared" si="15"/>
        <v>-5.2071170724915891E-2</v>
      </c>
      <c r="P85" s="1068">
        <f t="shared" si="15"/>
        <v>0.6207941242005639</v>
      </c>
      <c r="Q85" s="1066">
        <f t="shared" si="15"/>
        <v>0.49050145598877937</v>
      </c>
      <c r="R85" s="1067">
        <f t="shared" si="15"/>
        <v>0.42102559519407173</v>
      </c>
      <c r="S85" s="1068">
        <f t="shared" si="15"/>
        <v>0.61744816018521742</v>
      </c>
      <c r="T85" s="1066">
        <f t="shared" si="15"/>
        <v>0.49698573886957192</v>
      </c>
      <c r="U85" s="1067">
        <f t="shared" si="15"/>
        <v>0.41032171167013903</v>
      </c>
      <c r="V85" s="1068">
        <f t="shared" si="15"/>
        <v>0.62319136029119382</v>
      </c>
      <c r="W85" s="1060">
        <f t="shared" si="15"/>
        <v>6.4842828807925579E-3</v>
      </c>
      <c r="X85" s="1060">
        <f t="shared" si="15"/>
        <v>1.3219701596443154E-2</v>
      </c>
      <c r="Y85" s="1069" t="str">
        <f t="shared" si="15"/>
        <v>BBB</v>
      </c>
      <c r="Z85" s="1070" t="str">
        <f>VLOOKUP($B85,$B$7:$AC$28,Z$37+1,FALSE)</f>
        <v>=  ¯ -</v>
      </c>
      <c r="AA85" s="1064">
        <f t="shared" si="16"/>
        <v>2.1902281092407181</v>
      </c>
      <c r="AB85" s="1071">
        <f t="shared" si="16"/>
        <v>0.36844726500440206</v>
      </c>
      <c r="AC85" s="1065">
        <f t="shared" si="16"/>
        <v>2.5252968522290931</v>
      </c>
      <c r="AD85" s="1222"/>
      <c r="AE85" s="1222"/>
      <c r="AF85" s="1222"/>
      <c r="AG85" s="2129"/>
      <c r="AH85" s="1222"/>
      <c r="AI85" s="1222"/>
      <c r="AJ85" s="1222"/>
      <c r="AK85" s="1222"/>
      <c r="AL85" s="1222"/>
      <c r="AM85" s="1222"/>
      <c r="AN85" s="1222"/>
      <c r="AO85" s="1222"/>
      <c r="AP85" s="1222"/>
      <c r="AQ85" s="1222"/>
      <c r="AR85" s="110"/>
      <c r="AS85" s="110"/>
      <c r="AT85" s="110"/>
      <c r="AU85" s="1222"/>
      <c r="AV85" s="1222"/>
      <c r="AW85" s="1222"/>
      <c r="AX85" s="1222"/>
      <c r="AY85" s="1222"/>
      <c r="AZ85" s="1222"/>
      <c r="BA85" s="1222"/>
      <c r="BB85" s="1222"/>
      <c r="BC85" s="1222"/>
      <c r="BD85" s="1222"/>
      <c r="BE85" s="2267"/>
    </row>
    <row r="86" spans="1:57">
      <c r="A86" s="1091" t="s">
        <v>319</v>
      </c>
      <c r="B86" s="691" t="s">
        <v>751</v>
      </c>
      <c r="C86" s="1252">
        <f t="shared" si="14"/>
        <v>2121.4584571428572</v>
      </c>
      <c r="D86" s="1253">
        <f t="shared" si="14"/>
        <v>5.4356931534045982E-3</v>
      </c>
      <c r="E86" s="1072">
        <f t="shared" si="14"/>
        <v>-0.63331383871554725</v>
      </c>
      <c r="F86" s="1072">
        <f t="shared" si="14"/>
        <v>-0.53153825980990832</v>
      </c>
      <c r="G86" s="1009">
        <f t="shared" si="14"/>
        <v>960.23059999999998</v>
      </c>
      <c r="H86" s="1010">
        <f t="shared" si="14"/>
        <v>2.6590660223142948E-3</v>
      </c>
      <c r="I86" s="1075">
        <f t="shared" si="14"/>
        <v>6.3820660890696566</v>
      </c>
      <c r="J86" s="1075">
        <f t="shared" si="14"/>
        <v>3.126768479322696</v>
      </c>
      <c r="K86" s="1076">
        <f t="shared" si="14"/>
        <v>4.988018554669714</v>
      </c>
      <c r="L86" s="1072">
        <f t="shared" si="14"/>
        <v>-0.2975700901517318</v>
      </c>
      <c r="M86" s="1077">
        <f t="shared" si="15"/>
        <v>3.6764587184436395</v>
      </c>
      <c r="N86" s="1078">
        <f t="shared" si="15"/>
        <v>0.95644485424869818</v>
      </c>
      <c r="O86" s="1079">
        <f t="shared" si="15"/>
        <v>5.7346309608293736E-3</v>
      </c>
      <c r="P86" s="1080">
        <f t="shared" si="15"/>
        <v>0.97265268915223335</v>
      </c>
      <c r="Q86" s="1078">
        <f t="shared" si="15"/>
        <v>0.16489915086810925</v>
      </c>
      <c r="R86" s="1079">
        <f t="shared" si="15"/>
        <v>2.0043608623878186</v>
      </c>
      <c r="S86" s="1080">
        <f t="shared" si="15"/>
        <v>0.32988338723452482</v>
      </c>
      <c r="T86" s="1078">
        <f t="shared" si="15"/>
        <v>0.27218937885351913</v>
      </c>
      <c r="U86" s="1079">
        <f t="shared" si="15"/>
        <v>1.2181747217666232</v>
      </c>
      <c r="V86" s="1080">
        <f t="shared" si="15"/>
        <v>0.4561905930983241</v>
      </c>
      <c r="W86" s="1072">
        <f t="shared" si="15"/>
        <v>0.10729022798540988</v>
      </c>
      <c r="X86" s="1072">
        <f t="shared" si="15"/>
        <v>0.65064148250965514</v>
      </c>
      <c r="Y86" s="1081" t="str">
        <f t="shared" si="15"/>
        <v>Not rated</v>
      </c>
      <c r="Z86" s="1082"/>
      <c r="AA86" s="1076">
        <f t="shared" si="16"/>
        <v>1.2440956586918632</v>
      </c>
      <c r="AB86" s="1083">
        <f t="shared" si="16"/>
        <v>0.5581122698382367</v>
      </c>
      <c r="AC86" s="1077">
        <f t="shared" si="16"/>
        <v>1.6771658832683087</v>
      </c>
      <c r="AD86" s="1222"/>
      <c r="AE86" s="1222"/>
      <c r="AF86" s="1222"/>
      <c r="AG86" s="2129"/>
      <c r="AH86" s="1222"/>
      <c r="AI86" s="1222"/>
      <c r="AJ86" s="1222"/>
      <c r="AK86" s="1222"/>
      <c r="AL86" s="1222"/>
      <c r="AM86" s="1222"/>
      <c r="AN86" s="1222"/>
      <c r="AO86" s="1222"/>
      <c r="AP86" s="1222"/>
      <c r="AQ86" s="1222"/>
      <c r="AR86" s="110"/>
      <c r="AS86" s="110"/>
      <c r="AT86" s="110"/>
      <c r="AU86" s="1222"/>
      <c r="AV86" s="1222"/>
      <c r="AW86" s="1222"/>
      <c r="AX86" s="1222"/>
      <c r="AY86" s="1222"/>
      <c r="AZ86" s="1222"/>
      <c r="BA86" s="1222"/>
      <c r="BB86" s="1222"/>
      <c r="BC86" s="1222"/>
      <c r="BD86" s="1222"/>
      <c r="BE86" s="2267"/>
    </row>
    <row r="87" spans="1:57">
      <c r="A87" s="1090" t="s">
        <v>27</v>
      </c>
      <c r="B87" s="73" t="s">
        <v>353</v>
      </c>
      <c r="C87" s="1250">
        <f t="shared" si="14"/>
        <v>504.56125714285719</v>
      </c>
      <c r="D87" s="1251">
        <f t="shared" si="14"/>
        <v>1.292808804099037E-3</v>
      </c>
      <c r="E87" s="1060">
        <f t="shared" si="14"/>
        <v>0.11241291049139049</v>
      </c>
      <c r="F87" s="1060">
        <f t="shared" si="14"/>
        <v>0.21418848939702945</v>
      </c>
      <c r="G87" s="117">
        <f t="shared" si="14"/>
        <v>562.64409999999998</v>
      </c>
      <c r="H87" s="114">
        <f t="shared" si="14"/>
        <v>1.5580713726115437E-3</v>
      </c>
      <c r="I87" s="1063">
        <f t="shared" si="14"/>
        <v>0.48825120153947199</v>
      </c>
      <c r="J87" s="1063">
        <f t="shared" si="14"/>
        <v>0.52140126030951717</v>
      </c>
      <c r="K87" s="1064">
        <f t="shared" si="14"/>
        <v>4.0370208841188875</v>
      </c>
      <c r="L87" s="1060">
        <f t="shared" si="14"/>
        <v>-0.11001004882442665</v>
      </c>
      <c r="M87" s="1065">
        <f t="shared" si="15"/>
        <v>3.9063069179772585</v>
      </c>
      <c r="N87" s="1060">
        <f t="shared" si="15"/>
        <v>0.90539538726018864</v>
      </c>
      <c r="O87" s="1067">
        <f t="shared" si="15"/>
        <v>-4.1189056985539901E-2</v>
      </c>
      <c r="P87" s="1068">
        <f t="shared" si="15"/>
        <v>0.90138346931536006</v>
      </c>
      <c r="Q87" s="1066">
        <f t="shared" si="15"/>
        <v>0.38160323267486906</v>
      </c>
      <c r="R87" s="1067">
        <f t="shared" si="15"/>
        <v>0.13281779457810056</v>
      </c>
      <c r="S87" s="1068">
        <f t="shared" si="15"/>
        <v>0.39444904186551905</v>
      </c>
      <c r="T87" s="1066">
        <f t="shared" si="15"/>
        <v>0.47841518539184064</v>
      </c>
      <c r="U87" s="1067">
        <f t="shared" si="15"/>
        <v>1.1717685634717274E-2</v>
      </c>
      <c r="V87" s="1068">
        <f t="shared" si="15"/>
        <v>0.46507375880431212</v>
      </c>
      <c r="W87" s="1060">
        <f t="shared" si="15"/>
        <v>9.6811952716971572E-2</v>
      </c>
      <c r="X87" s="1060">
        <f t="shared" si="15"/>
        <v>0.25369793656715856</v>
      </c>
      <c r="Y87" s="1069" t="str">
        <f t="shared" si="15"/>
        <v>Not rated</v>
      </c>
      <c r="Z87" s="1070"/>
      <c r="AA87" s="1064">
        <f t="shared" si="16"/>
        <v>1.832329792526622</v>
      </c>
      <c r="AB87" s="1071">
        <f t="shared" si="16"/>
        <v>-9.9442962217240083E-2</v>
      </c>
      <c r="AC87" s="1065">
        <f t="shared" si="16"/>
        <v>1.8160302149559577</v>
      </c>
      <c r="AD87" s="1222"/>
      <c r="AE87" s="1222"/>
      <c r="AF87" s="1222"/>
      <c r="AG87" s="2129"/>
      <c r="AH87" s="1222"/>
      <c r="AI87" s="1222"/>
      <c r="AJ87" s="1222"/>
      <c r="AK87" s="1222"/>
      <c r="AL87" s="1222"/>
      <c r="AM87" s="1222"/>
      <c r="AN87" s="1222"/>
      <c r="AO87" s="1222"/>
      <c r="AP87" s="1222"/>
      <c r="AQ87" s="1222"/>
      <c r="AR87" s="110"/>
      <c r="AS87" s="110"/>
      <c r="AT87" s="110"/>
      <c r="AU87" s="1222"/>
      <c r="AV87" s="1222"/>
      <c r="AW87" s="1222"/>
      <c r="AX87" s="1222"/>
      <c r="AY87" s="1222"/>
      <c r="AZ87" s="1222"/>
      <c r="BA87" s="1222"/>
      <c r="BB87" s="1222"/>
      <c r="BC87" s="1222"/>
      <c r="BD87" s="1222"/>
      <c r="BE87" s="2267"/>
    </row>
    <row r="88" spans="1:57">
      <c r="A88" s="1090"/>
      <c r="B88" s="1222"/>
      <c r="C88" s="1222"/>
      <c r="D88" s="119"/>
      <c r="E88" s="1222"/>
      <c r="F88" s="1222"/>
      <c r="G88" s="1222"/>
      <c r="H88" s="119"/>
      <c r="I88" s="119"/>
      <c r="J88" s="119"/>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2129"/>
      <c r="AH88" s="1222"/>
      <c r="AI88" s="1222"/>
      <c r="AJ88" s="1222"/>
      <c r="AK88" s="1222"/>
      <c r="AL88" s="1222"/>
      <c r="AM88" s="1222"/>
      <c r="AN88" s="1222"/>
      <c r="AO88" s="1222"/>
      <c r="AP88" s="1222"/>
      <c r="AQ88" s="1222"/>
      <c r="AR88" s="110"/>
      <c r="AS88" s="110"/>
      <c r="AT88" s="110"/>
      <c r="AU88" s="1222"/>
      <c r="AV88" s="1222"/>
      <c r="AW88" s="1222"/>
      <c r="AX88" s="1222"/>
      <c r="AY88" s="1222"/>
      <c r="AZ88" s="1222"/>
      <c r="BA88" s="1222"/>
      <c r="BB88" s="1222"/>
      <c r="BC88" s="1222"/>
      <c r="BD88" s="1222"/>
      <c r="BE88" s="2267"/>
    </row>
    <row r="89" spans="1:57">
      <c r="A89" s="1090"/>
      <c r="B89" s="1005"/>
      <c r="C89" s="1005"/>
      <c r="D89" s="119"/>
      <c r="E89" s="1005"/>
      <c r="F89" s="1005"/>
      <c r="G89" s="1005"/>
      <c r="H89" s="119"/>
      <c r="I89" s="119"/>
      <c r="J89" s="119"/>
      <c r="K89" s="1005"/>
      <c r="L89" s="1005"/>
      <c r="M89" s="1005"/>
      <c r="N89" s="1005"/>
      <c r="O89" s="1005"/>
      <c r="P89" s="1005"/>
      <c r="Q89" s="1005"/>
      <c r="R89" s="1005"/>
      <c r="S89" s="1005"/>
      <c r="T89" s="1005"/>
      <c r="U89" s="1005"/>
      <c r="V89" s="1005"/>
      <c r="W89" s="1005"/>
      <c r="X89" s="1005"/>
      <c r="Y89" s="1005"/>
      <c r="Z89" s="1005"/>
      <c r="AA89" s="1005"/>
      <c r="AB89" s="1005"/>
      <c r="AC89" s="1005"/>
      <c r="AD89" s="1005"/>
      <c r="AE89" s="1005"/>
      <c r="AF89" s="1005"/>
      <c r="AG89" s="2129"/>
      <c r="AH89" s="1005"/>
      <c r="AI89" s="1005"/>
      <c r="AJ89" s="1005"/>
      <c r="AK89" s="1005"/>
      <c r="AL89" s="1005"/>
      <c r="AM89" s="1005"/>
      <c r="AN89" s="1005"/>
      <c r="AO89" s="1005"/>
      <c r="AP89" s="1005"/>
      <c r="AQ89" s="1005"/>
      <c r="AR89" s="110"/>
      <c r="AS89" s="110"/>
      <c r="AT89" s="110"/>
      <c r="AU89" s="1005"/>
      <c r="AV89" s="1005"/>
      <c r="AW89" s="1005"/>
      <c r="AX89" s="1005"/>
      <c r="AY89" s="1005"/>
      <c r="AZ89" s="1005"/>
      <c r="BA89" s="1005"/>
      <c r="BB89" s="1005"/>
      <c r="BC89" s="1005"/>
      <c r="BD89" s="1005"/>
      <c r="BE89" s="2267"/>
    </row>
    <row r="90" spans="1:57">
      <c r="A90" s="3315" t="s">
        <v>1011</v>
      </c>
      <c r="B90" s="1286" t="s">
        <v>1013</v>
      </c>
      <c r="C90" s="949"/>
      <c r="D90" s="119"/>
      <c r="E90" s="949"/>
      <c r="F90" s="949"/>
      <c r="G90" s="949"/>
      <c r="H90" s="119"/>
      <c r="I90" s="119"/>
      <c r="J90" s="119"/>
      <c r="K90" s="949"/>
      <c r="L90" s="949"/>
      <c r="M90" s="949"/>
      <c r="N90" s="949"/>
      <c r="O90" s="949"/>
      <c r="P90" s="949"/>
      <c r="Q90" s="1005"/>
      <c r="R90" s="1005"/>
      <c r="S90" s="1005"/>
      <c r="T90" s="949"/>
      <c r="U90" s="949"/>
      <c r="V90" s="949"/>
      <c r="W90" s="1005"/>
      <c r="X90" s="1005"/>
      <c r="Y90" s="949"/>
      <c r="Z90" s="949"/>
      <c r="AA90" s="949"/>
      <c r="AB90" s="949"/>
      <c r="AC90" s="949"/>
      <c r="AD90" s="949"/>
      <c r="AE90" s="949"/>
      <c r="AF90" s="949"/>
      <c r="AG90" s="2129"/>
      <c r="AH90" s="949"/>
      <c r="AI90" s="949"/>
      <c r="AJ90" s="949"/>
      <c r="AK90" s="949"/>
      <c r="AL90" s="949"/>
      <c r="AM90" s="949"/>
      <c r="AN90" s="949"/>
      <c r="AO90" s="949"/>
      <c r="AP90" s="949"/>
      <c r="AQ90" s="949"/>
      <c r="AR90" s="110"/>
      <c r="AS90" s="110"/>
      <c r="AT90" s="110"/>
      <c r="AU90" s="949"/>
      <c r="AV90" s="949"/>
      <c r="AW90" s="949"/>
      <c r="AX90" s="949"/>
      <c r="AY90" s="949"/>
      <c r="AZ90" s="949"/>
      <c r="BA90" s="949"/>
      <c r="BB90" s="949"/>
      <c r="BC90" s="949"/>
      <c r="BD90" s="949"/>
      <c r="BE90" s="2267"/>
    </row>
    <row r="91" spans="1:57">
      <c r="A91" s="1090" t="s">
        <v>19</v>
      </c>
      <c r="B91" s="73" t="s">
        <v>285</v>
      </c>
      <c r="C91" s="1085">
        <f t="shared" ref="C91:L100" si="17">VLOOKUP($B91,$B$7:$AC$28,C$37+1,FALSE)</f>
        <v>6002.7646707914537</v>
      </c>
      <c r="D91" s="1086">
        <f t="shared" si="17"/>
        <v>1.538054479108892E-2</v>
      </c>
      <c r="E91" s="116">
        <f t="shared" si="17"/>
        <v>1.7468659495150733</v>
      </c>
      <c r="F91" s="116">
        <f t="shared" si="17"/>
        <v>1.8486415284207123</v>
      </c>
      <c r="G91" s="1061">
        <f t="shared" si="17"/>
        <v>9571.524995540176</v>
      </c>
      <c r="H91" s="1062">
        <f t="shared" si="17"/>
        <v>2.6505421611613778E-2</v>
      </c>
      <c r="I91" s="1063">
        <f t="shared" si="17"/>
        <v>4.1497848696984878</v>
      </c>
      <c r="J91" s="1063">
        <f t="shared" si="17"/>
        <v>5.1075046454025781</v>
      </c>
      <c r="K91" s="1064">
        <f t="shared" si="17"/>
        <v>7.8090133066846761</v>
      </c>
      <c r="L91" s="1060">
        <f t="shared" si="17"/>
        <v>0.8464659845431286</v>
      </c>
      <c r="M91" s="1065">
        <f t="shared" ref="M91:Y100" si="18">VLOOKUP($B91,$B$7:$AC$28,M$37+1,FALSE)</f>
        <v>9.6719476082953495</v>
      </c>
      <c r="N91" s="1066">
        <f t="shared" si="18"/>
        <v>9.1630231095150338E-2</v>
      </c>
      <c r="O91" s="1084" t="str">
        <f t="shared" si="18"/>
        <v>¥</v>
      </c>
      <c r="P91" s="1068">
        <f t="shared" si="18"/>
        <v>0.34976819018989347</v>
      </c>
      <c r="Q91" s="1066">
        <f t="shared" si="18"/>
        <v>0.13477545507373562</v>
      </c>
      <c r="R91" s="1067">
        <f t="shared" si="18"/>
        <v>-0.4264373226073967</v>
      </c>
      <c r="S91" s="1068">
        <f t="shared" si="18"/>
        <v>9.7905485588969735E-2</v>
      </c>
      <c r="T91" s="1066">
        <f t="shared" si="18"/>
        <v>0.16024846762312819</v>
      </c>
      <c r="U91" s="1067">
        <f t="shared" si="18"/>
        <v>-0.25253039609468159</v>
      </c>
      <c r="V91" s="1068">
        <f t="shared" si="18"/>
        <v>0.12849893093161849</v>
      </c>
      <c r="W91" s="1060">
        <f t="shared" si="18"/>
        <v>2.5473012549392576E-2</v>
      </c>
      <c r="X91" s="1060">
        <f t="shared" si="18"/>
        <v>0.18900335031669008</v>
      </c>
      <c r="Y91" s="1069" t="str">
        <f t="shared" si="18"/>
        <v>Not rated</v>
      </c>
      <c r="Z91" s="1070"/>
      <c r="AA91" s="1064">
        <f t="shared" ref="AA91:AC112" si="19">VLOOKUP($B91,$B$7:$AC$28,AA$37+1,FALSE)</f>
        <v>1.265551414722516</v>
      </c>
      <c r="AB91" s="1071">
        <f t="shared" si="19"/>
        <v>0.38040351489576829</v>
      </c>
      <c r="AC91" s="1065">
        <f t="shared" si="19"/>
        <v>1.242834927692577</v>
      </c>
      <c r="AD91" s="949"/>
      <c r="AE91" s="949"/>
      <c r="AF91" s="949"/>
      <c r="AG91" s="2129"/>
      <c r="AH91" s="949"/>
      <c r="AI91" s="949"/>
      <c r="AJ91" s="949"/>
      <c r="AK91" s="949"/>
      <c r="AL91" s="949"/>
      <c r="AM91" s="949"/>
      <c r="AN91" s="949"/>
      <c r="AO91" s="949"/>
      <c r="AP91" s="949"/>
      <c r="AQ91" s="949"/>
      <c r="AR91" s="110"/>
      <c r="AS91" s="110"/>
      <c r="AT91" s="110"/>
      <c r="AU91" s="949"/>
      <c r="AV91" s="949"/>
      <c r="AW91" s="949"/>
      <c r="AX91" s="949"/>
      <c r="AY91" s="949"/>
      <c r="AZ91" s="949"/>
      <c r="BA91" s="949"/>
      <c r="BB91" s="949"/>
      <c r="BC91" s="949"/>
      <c r="BD91" s="949"/>
      <c r="BE91" s="2267"/>
    </row>
    <row r="92" spans="1:57">
      <c r="A92" s="1090" t="s">
        <v>32</v>
      </c>
      <c r="B92" s="73" t="s">
        <v>50</v>
      </c>
      <c r="C92" s="1085">
        <f t="shared" si="17"/>
        <v>19515.355899391296</v>
      </c>
      <c r="D92" s="1086">
        <f t="shared" si="17"/>
        <v>5.0003093905237848E-2</v>
      </c>
      <c r="E92" s="116">
        <f t="shared" si="17"/>
        <v>1.1994936816856254</v>
      </c>
      <c r="F92" s="116">
        <f t="shared" si="17"/>
        <v>1.3012692605912644</v>
      </c>
      <c r="G92" s="1061">
        <f t="shared" si="17"/>
        <v>28491.576306321644</v>
      </c>
      <c r="H92" s="1062">
        <f t="shared" si="17"/>
        <v>7.8898737947233621E-2</v>
      </c>
      <c r="I92" s="1063">
        <f t="shared" si="17"/>
        <v>-0.89894076859195104</v>
      </c>
      <c r="J92" s="1063">
        <f t="shared" si="17"/>
        <v>39.625784878048783</v>
      </c>
      <c r="K92" s="1064">
        <f t="shared" si="17"/>
        <v>4.7123747267525307</v>
      </c>
      <c r="L92" s="1060">
        <f t="shared" si="17"/>
        <v>0.4140020451008824</v>
      </c>
      <c r="M92" s="1065">
        <f t="shared" si="18"/>
        <v>5.7096258695546744</v>
      </c>
      <c r="N92" s="1066">
        <f t="shared" si="18"/>
        <v>0</v>
      </c>
      <c r="O92" s="1067">
        <f t="shared" si="18"/>
        <v>0</v>
      </c>
      <c r="P92" s="1068">
        <f t="shared" si="18"/>
        <v>0</v>
      </c>
      <c r="Q92" s="1066">
        <f t="shared" si="18"/>
        <v>0.37025195227815472</v>
      </c>
      <c r="R92" s="1067">
        <f t="shared" si="18"/>
        <v>-0.46222821771061889</v>
      </c>
      <c r="S92" s="1068">
        <f t="shared" si="18"/>
        <v>0.26403640782716253</v>
      </c>
      <c r="T92" s="1066">
        <f t="shared" si="18"/>
        <v>0.48927059752514818</v>
      </c>
      <c r="U92" s="1067">
        <f t="shared" si="18"/>
        <v>-0.38189416595312975</v>
      </c>
      <c r="V92" s="1068">
        <f t="shared" si="18"/>
        <v>0.37414035756341019</v>
      </c>
      <c r="W92" s="1060">
        <f t="shared" si="18"/>
        <v>0.11901864524699346</v>
      </c>
      <c r="X92" s="1060">
        <f t="shared" si="18"/>
        <v>0.32145312000294263</v>
      </c>
      <c r="Y92" s="1069" t="str">
        <f t="shared" si="18"/>
        <v>BBB</v>
      </c>
      <c r="Z92" s="1070" t="str">
        <f>VLOOKUP($B92,$B$7:$AC$28,Z$37+1,FALSE)</f>
        <v xml:space="preserve">=  -  = </v>
      </c>
      <c r="AA92" s="1064">
        <f t="shared" si="19"/>
        <v>2.2664974928712622</v>
      </c>
      <c r="AB92" s="1071">
        <f t="shared" si="19"/>
        <v>-0.12537902502142731</v>
      </c>
      <c r="AC92" s="1065">
        <f t="shared" si="19"/>
        <v>2.136201464388483</v>
      </c>
      <c r="AD92" s="949"/>
      <c r="AE92" s="949"/>
      <c r="AF92" s="949"/>
      <c r="AG92" s="2129"/>
      <c r="AH92" s="949"/>
      <c r="AI92" s="949"/>
      <c r="AJ92" s="949"/>
      <c r="AK92" s="949"/>
      <c r="AL92" s="949"/>
      <c r="AM92" s="949"/>
      <c r="AN92" s="949"/>
      <c r="AO92" s="949"/>
      <c r="AP92" s="949"/>
      <c r="AQ92" s="949"/>
      <c r="AR92" s="110"/>
      <c r="AS92" s="110"/>
      <c r="AT92" s="110"/>
      <c r="AU92" s="949"/>
      <c r="AV92" s="949"/>
      <c r="AW92" s="949"/>
      <c r="AX92" s="949"/>
      <c r="AY92" s="949"/>
      <c r="AZ92" s="949"/>
      <c r="BA92" s="949"/>
      <c r="BB92" s="949"/>
      <c r="BC92" s="949"/>
      <c r="BD92" s="949"/>
      <c r="BE92" s="2267"/>
    </row>
    <row r="93" spans="1:57">
      <c r="A93" s="1091" t="s">
        <v>319</v>
      </c>
      <c r="B93" s="691" t="s">
        <v>752</v>
      </c>
      <c r="C93" s="1087">
        <f t="shared" si="17"/>
        <v>3541.6238999999996</v>
      </c>
      <c r="D93" s="1088">
        <f t="shared" si="17"/>
        <v>9.0745028357006995E-3</v>
      </c>
      <c r="E93" s="1008">
        <f t="shared" si="17"/>
        <v>0.67327297771392325</v>
      </c>
      <c r="F93" s="1008">
        <f t="shared" si="17"/>
        <v>0.77504855661956218</v>
      </c>
      <c r="G93" s="1073">
        <f t="shared" si="17"/>
        <v>4048.9897999999998</v>
      </c>
      <c r="H93" s="1074">
        <f t="shared" si="17"/>
        <v>1.1212443346293226E-2</v>
      </c>
      <c r="I93" s="1075">
        <f t="shared" si="17"/>
        <v>-1.4186196832586249</v>
      </c>
      <c r="J93" s="1075">
        <f t="shared" si="17"/>
        <v>-2.7147098893731143</v>
      </c>
      <c r="K93" s="1076">
        <f t="shared" si="17"/>
        <v>8.5213348378460623</v>
      </c>
      <c r="L93" s="1072">
        <f t="shared" si="17"/>
        <v>0.26215680659638446</v>
      </c>
      <c r="M93" s="1077">
        <f t="shared" si="18"/>
        <v>9.0506669895995948</v>
      </c>
      <c r="N93" s="1078">
        <f t="shared" si="18"/>
        <v>6.4385445236561381E-2</v>
      </c>
      <c r="O93" s="1079">
        <f t="shared" si="18"/>
        <v>14.697799124913645</v>
      </c>
      <c r="P93" s="1080">
        <f t="shared" si="18"/>
        <v>0.15462918080465343</v>
      </c>
      <c r="Q93" s="1078">
        <f t="shared" si="18"/>
        <v>0.42399287000325037</v>
      </c>
      <c r="R93" s="1079">
        <f t="shared" si="18"/>
        <v>4.5742782667206161E-2</v>
      </c>
      <c r="S93" s="1080">
        <f t="shared" si="18"/>
        <v>0.48144640266975475</v>
      </c>
      <c r="T93" s="1078">
        <f t="shared" si="18"/>
        <v>0.42695023434228802</v>
      </c>
      <c r="U93" s="1079">
        <f t="shared" si="18"/>
        <v>4.1366838913311048E-2</v>
      </c>
      <c r="V93" s="1080">
        <f t="shared" si="18"/>
        <v>0.4832654138496531</v>
      </c>
      <c r="W93" s="1072">
        <f t="shared" si="18"/>
        <v>2.9573643390376492E-3</v>
      </c>
      <c r="X93" s="1072">
        <f t="shared" si="18"/>
        <v>6.9750331863245195E-3</v>
      </c>
      <c r="Y93" s="1081" t="str">
        <f t="shared" si="18"/>
        <v>B+</v>
      </c>
      <c r="Z93" s="1082" t="str">
        <f>VLOOKUP($B93,$B$7:$AC$28,Z$37+1,FALSE)</f>
        <v>=  =  =</v>
      </c>
      <c r="AA93" s="1076">
        <f t="shared" si="19"/>
        <v>3.7014756930154613</v>
      </c>
      <c r="AB93" s="1083">
        <f t="shared" si="19"/>
        <v>0.31334582285320112</v>
      </c>
      <c r="AC93" s="1077">
        <f t="shared" si="19"/>
        <v>4.3704719780651446</v>
      </c>
      <c r="AD93" s="949"/>
      <c r="AE93" s="949"/>
      <c r="AF93" s="949"/>
      <c r="AG93" s="2129"/>
      <c r="AH93" s="949"/>
      <c r="AI93" s="949"/>
      <c r="AJ93" s="949"/>
      <c r="AK93" s="949"/>
      <c r="AL93" s="949"/>
      <c r="AM93" s="949"/>
      <c r="AN93" s="949"/>
      <c r="AO93" s="949"/>
      <c r="AP93" s="949"/>
      <c r="AQ93" s="949"/>
      <c r="AR93" s="110"/>
      <c r="AS93" s="110"/>
      <c r="AT93" s="110"/>
      <c r="AU93" s="949"/>
      <c r="AV93" s="949"/>
      <c r="AW93" s="949"/>
      <c r="AX93" s="949"/>
      <c r="AY93" s="949"/>
      <c r="AZ93" s="949"/>
      <c r="BA93" s="949"/>
      <c r="BB93" s="949"/>
      <c r="BC93" s="949"/>
      <c r="BD93" s="949"/>
      <c r="BE93" s="2267"/>
    </row>
    <row r="94" spans="1:57">
      <c r="A94" s="1090" t="s">
        <v>500</v>
      </c>
      <c r="B94" s="73" t="s">
        <v>279</v>
      </c>
      <c r="C94" s="1085">
        <f t="shared" si="17"/>
        <v>20617.292984255655</v>
      </c>
      <c r="D94" s="1086">
        <f t="shared" si="17"/>
        <v>5.2826525044090682E-2</v>
      </c>
      <c r="E94" s="116">
        <f t="shared" si="17"/>
        <v>0.37985561177970401</v>
      </c>
      <c r="F94" s="116">
        <f t="shared" si="17"/>
        <v>0.48163119068534294</v>
      </c>
      <c r="G94" s="1061">
        <f t="shared" si="17"/>
        <v>23766.623796323693</v>
      </c>
      <c r="H94" s="1062">
        <f t="shared" si="17"/>
        <v>6.5814421871090864E-2</v>
      </c>
      <c r="I94" s="1063">
        <f t="shared" si="17"/>
        <v>1.8990159277875758</v>
      </c>
      <c r="J94" s="1063">
        <f t="shared" si="17"/>
        <v>2.509154465418888</v>
      </c>
      <c r="K94" s="1064">
        <f t="shared" si="17"/>
        <v>5.7229254321128114</v>
      </c>
      <c r="L94" s="1060">
        <f t="shared" si="17"/>
        <v>4.5724350121793801E-2</v>
      </c>
      <c r="M94" s="1065">
        <f t="shared" si="18"/>
        <v>6.1939465303838475</v>
      </c>
      <c r="N94" s="1066">
        <f t="shared" si="18"/>
        <v>0.7344324868237998</v>
      </c>
      <c r="O94" s="1067">
        <f t="shared" si="18"/>
        <v>0.10784712869930438</v>
      </c>
      <c r="P94" s="1068">
        <f t="shared" si="18"/>
        <v>0.74956908795771016</v>
      </c>
      <c r="Q94" s="1066">
        <f t="shared" si="18"/>
        <v>0.14726898954609682</v>
      </c>
      <c r="R94" s="1067">
        <f t="shared" si="18"/>
        <v>4.9939774449528171E-2</v>
      </c>
      <c r="S94" s="1068">
        <f t="shared" si="18"/>
        <v>0.17272839211728983</v>
      </c>
      <c r="T94" s="1066">
        <f t="shared" si="18"/>
        <v>0.18443136241749356</v>
      </c>
      <c r="U94" s="1067">
        <f t="shared" si="18"/>
        <v>-5.7258906752796622E-2</v>
      </c>
      <c r="V94" s="1068">
        <f t="shared" si="18"/>
        <v>0.198117589718218</v>
      </c>
      <c r="W94" s="1060">
        <f t="shared" si="18"/>
        <v>3.7162372871396732E-2</v>
      </c>
      <c r="X94" s="1060">
        <f t="shared" si="18"/>
        <v>0.25234350412762557</v>
      </c>
      <c r="Y94" s="1069" t="str">
        <f t="shared" si="18"/>
        <v>A-</v>
      </c>
      <c r="Z94" s="1070" t="str">
        <f>VLOOKUP($B94,$B$7:$AC$28,Z$37+1,FALSE)</f>
        <v>=  =  -</v>
      </c>
      <c r="AA94" s="1064">
        <f t="shared" si="19"/>
        <v>1.0395975936863313</v>
      </c>
      <c r="AB94" s="1071">
        <f t="shared" si="19"/>
        <v>2.9438923535487854E-2</v>
      </c>
      <c r="AC94" s="1065">
        <f t="shared" si="19"/>
        <v>1.2087727199953455</v>
      </c>
      <c r="AD94" s="949"/>
      <c r="AE94" s="949"/>
      <c r="AF94" s="949"/>
      <c r="AG94" s="2129"/>
      <c r="AH94" s="949"/>
      <c r="AI94" s="949"/>
      <c r="AJ94" s="949"/>
      <c r="AK94" s="949"/>
      <c r="AL94" s="949"/>
      <c r="AM94" s="949"/>
      <c r="AN94" s="949"/>
      <c r="AO94" s="949"/>
      <c r="AP94" s="949"/>
      <c r="AQ94" s="949"/>
      <c r="AR94" s="110"/>
      <c r="AS94" s="110"/>
      <c r="AT94" s="110"/>
      <c r="AU94" s="949"/>
      <c r="AV94" s="949"/>
      <c r="AW94" s="949"/>
      <c r="AX94" s="949"/>
      <c r="AY94" s="949"/>
      <c r="AZ94" s="949"/>
      <c r="BA94" s="949"/>
      <c r="BB94" s="949"/>
      <c r="BC94" s="949"/>
      <c r="BD94" s="949"/>
      <c r="BE94" s="2267"/>
    </row>
    <row r="95" spans="1:57">
      <c r="A95" s="1090" t="s">
        <v>504</v>
      </c>
      <c r="B95" s="73" t="s">
        <v>288</v>
      </c>
      <c r="C95" s="1085">
        <f t="shared" si="17"/>
        <v>16250.837973523972</v>
      </c>
      <c r="D95" s="1086">
        <f t="shared" si="17"/>
        <v>4.1638604052015776E-2</v>
      </c>
      <c r="E95" s="116">
        <f t="shared" si="17"/>
        <v>0.20894195471198634</v>
      </c>
      <c r="F95" s="116">
        <f t="shared" si="17"/>
        <v>0.31071753361762527</v>
      </c>
      <c r="G95" s="1061">
        <f t="shared" si="17"/>
        <v>17428.290742138299</v>
      </c>
      <c r="H95" s="1062">
        <f t="shared" si="17"/>
        <v>4.826234004564605E-2</v>
      </c>
      <c r="I95" s="1063">
        <f t="shared" si="17"/>
        <v>4.0995220850209826</v>
      </c>
      <c r="J95" s="1063">
        <f t="shared" si="17"/>
        <v>4.5731712273212377</v>
      </c>
      <c r="K95" s="1064">
        <f t="shared" si="17"/>
        <v>6.7450557383311427</v>
      </c>
      <c r="L95" s="1060">
        <f t="shared" si="17"/>
        <v>0.2149868566781509</v>
      </c>
      <c r="M95" s="1065">
        <f t="shared" si="18"/>
        <v>7.5822149145373468</v>
      </c>
      <c r="N95" s="1066">
        <f t="shared" si="18"/>
        <v>0.32615050588405037</v>
      </c>
      <c r="O95" s="1067">
        <f t="shared" si="18"/>
        <v>-8.7660674172335792E-2</v>
      </c>
      <c r="P95" s="1068">
        <f t="shared" si="18"/>
        <v>0.30985103942866765</v>
      </c>
      <c r="Q95" s="1066">
        <f t="shared" si="18"/>
        <v>0.30558583418722468</v>
      </c>
      <c r="R95" s="1067">
        <f t="shared" si="18"/>
        <v>-0.13620468181810452</v>
      </c>
      <c r="S95" s="1068">
        <f t="shared" si="18"/>
        <v>0.29018390059321952</v>
      </c>
      <c r="T95" s="1066">
        <f t="shared" si="18"/>
        <v>0.31922230141848357</v>
      </c>
      <c r="U95" s="1067">
        <f t="shared" si="18"/>
        <v>-0.13496032758973828</v>
      </c>
      <c r="V95" s="1068">
        <f t="shared" si="18"/>
        <v>0.30362227391248225</v>
      </c>
      <c r="W95" s="1060">
        <f t="shared" si="18"/>
        <v>1.3636467231258886E-2</v>
      </c>
      <c r="X95" s="1060">
        <f t="shared" si="18"/>
        <v>4.4624016252350789E-2</v>
      </c>
      <c r="Y95" s="1069" t="str">
        <f t="shared" si="18"/>
        <v>A</v>
      </c>
      <c r="Z95" s="1070" t="str">
        <f>VLOOKUP($B95,$B$7:$AC$28,Z$37+1,FALSE)</f>
        <v>=  =  -</v>
      </c>
      <c r="AA95" s="1064">
        <f t="shared" si="19"/>
        <v>2.1579177629636748</v>
      </c>
      <c r="AB95" s="1071">
        <f t="shared" si="19"/>
        <v>6.0078851309961184E-2</v>
      </c>
      <c r="AC95" s="1065">
        <f t="shared" si="19"/>
        <v>2.3009327536910358</v>
      </c>
      <c r="AD95" s="949"/>
      <c r="AE95" s="949"/>
      <c r="AF95" s="949"/>
      <c r="AG95" s="2129"/>
      <c r="AH95" s="949"/>
      <c r="AI95" s="949"/>
      <c r="AJ95" s="949"/>
      <c r="AK95" s="949"/>
      <c r="AL95" s="949"/>
      <c r="AM95" s="949"/>
      <c r="AN95" s="949"/>
      <c r="AO95" s="949"/>
      <c r="AP95" s="949"/>
      <c r="AQ95" s="949"/>
      <c r="AR95" s="110"/>
      <c r="AS95" s="110"/>
      <c r="AT95" s="110"/>
      <c r="AU95" s="949"/>
      <c r="AV95" s="949"/>
      <c r="AW95" s="949"/>
      <c r="AX95" s="949"/>
      <c r="AY95" s="949"/>
      <c r="AZ95" s="949"/>
      <c r="BA95" s="949"/>
      <c r="BB95" s="949"/>
      <c r="BC95" s="949"/>
      <c r="BD95" s="949"/>
      <c r="BE95" s="2267"/>
    </row>
    <row r="96" spans="1:57">
      <c r="A96" s="1090" t="s">
        <v>27</v>
      </c>
      <c r="B96" s="73" t="s">
        <v>353</v>
      </c>
      <c r="C96" s="1085">
        <f t="shared" si="17"/>
        <v>504.56125714285719</v>
      </c>
      <c r="D96" s="1086">
        <f t="shared" si="17"/>
        <v>1.292808804099037E-3</v>
      </c>
      <c r="E96" s="116">
        <f t="shared" si="17"/>
        <v>0.11241291049139049</v>
      </c>
      <c r="F96" s="116">
        <f t="shared" si="17"/>
        <v>0.21418848939702945</v>
      </c>
      <c r="G96" s="1061">
        <f t="shared" si="17"/>
        <v>562.64409999999998</v>
      </c>
      <c r="H96" s="1062">
        <f t="shared" si="17"/>
        <v>1.5580713726115437E-3</v>
      </c>
      <c r="I96" s="1063">
        <f t="shared" si="17"/>
        <v>0.48825120153947199</v>
      </c>
      <c r="J96" s="1063">
        <f t="shared" si="17"/>
        <v>0.52140126030951717</v>
      </c>
      <c r="K96" s="1064">
        <f t="shared" si="17"/>
        <v>4.0370208841188875</v>
      </c>
      <c r="L96" s="1060">
        <f t="shared" si="17"/>
        <v>-0.11001004882442665</v>
      </c>
      <c r="M96" s="1065">
        <f t="shared" si="18"/>
        <v>3.9063069179772585</v>
      </c>
      <c r="N96" s="1066">
        <f t="shared" si="18"/>
        <v>0.90539538726018864</v>
      </c>
      <c r="O96" s="1067">
        <f t="shared" si="18"/>
        <v>-4.1189056985539901E-2</v>
      </c>
      <c r="P96" s="1068">
        <f t="shared" si="18"/>
        <v>0.90138346931536006</v>
      </c>
      <c r="Q96" s="1066">
        <f t="shared" si="18"/>
        <v>0.38160323267486906</v>
      </c>
      <c r="R96" s="1067">
        <f t="shared" si="18"/>
        <v>0.13281779457810056</v>
      </c>
      <c r="S96" s="1068">
        <f t="shared" si="18"/>
        <v>0.39444904186551905</v>
      </c>
      <c r="T96" s="1066">
        <f t="shared" si="18"/>
        <v>0.47841518539184064</v>
      </c>
      <c r="U96" s="1067">
        <f t="shared" si="18"/>
        <v>1.1717685634717274E-2</v>
      </c>
      <c r="V96" s="1068">
        <f t="shared" si="18"/>
        <v>0.46507375880431212</v>
      </c>
      <c r="W96" s="1060">
        <f t="shared" si="18"/>
        <v>9.6811952716971572E-2</v>
      </c>
      <c r="X96" s="1060">
        <f t="shared" si="18"/>
        <v>0.25369793656715856</v>
      </c>
      <c r="Y96" s="1069" t="str">
        <f t="shared" si="18"/>
        <v>Not rated</v>
      </c>
      <c r="Z96" s="1070"/>
      <c r="AA96" s="1064">
        <f t="shared" si="19"/>
        <v>1.832329792526622</v>
      </c>
      <c r="AB96" s="1071">
        <f t="shared" si="19"/>
        <v>-9.9442962217240083E-2</v>
      </c>
      <c r="AC96" s="1065">
        <f t="shared" si="19"/>
        <v>1.8160302149559577</v>
      </c>
      <c r="AD96" s="949"/>
      <c r="AE96" s="949"/>
      <c r="AF96" s="949"/>
      <c r="AG96" s="2129"/>
      <c r="AH96" s="949"/>
      <c r="AI96" s="949"/>
      <c r="AJ96" s="949"/>
      <c r="AK96" s="949"/>
      <c r="AL96" s="949"/>
      <c r="AM96" s="949"/>
      <c r="AN96" s="949"/>
      <c r="AO96" s="949"/>
      <c r="AP96" s="949"/>
      <c r="AQ96" s="949"/>
      <c r="AR96" s="110"/>
      <c r="AS96" s="110"/>
      <c r="AT96" s="110"/>
      <c r="AU96" s="949"/>
      <c r="AV96" s="949"/>
      <c r="AW96" s="949"/>
      <c r="AX96" s="949"/>
      <c r="AY96" s="949"/>
      <c r="AZ96" s="949"/>
      <c r="BA96" s="949"/>
      <c r="BB96" s="949"/>
      <c r="BC96" s="949"/>
      <c r="BD96" s="949"/>
      <c r="BE96" s="2267"/>
    </row>
    <row r="97" spans="1:57">
      <c r="A97" s="1090" t="s">
        <v>32</v>
      </c>
      <c r="B97" s="73" t="s">
        <v>277</v>
      </c>
      <c r="C97" s="1085">
        <f t="shared" si="17"/>
        <v>103061.53572524291</v>
      </c>
      <c r="D97" s="1086">
        <f t="shared" si="17"/>
        <v>0.26406875054982143</v>
      </c>
      <c r="E97" s="116">
        <f t="shared" si="17"/>
        <v>7.5306160052783275E-2</v>
      </c>
      <c r="F97" s="116">
        <f t="shared" si="17"/>
        <v>0.17708173895842222</v>
      </c>
      <c r="G97" s="1061">
        <f t="shared" si="17"/>
        <v>106720.85775234729</v>
      </c>
      <c r="H97" s="1062">
        <f t="shared" si="17"/>
        <v>0.29553089301830604</v>
      </c>
      <c r="I97" s="1063">
        <f t="shared" si="17"/>
        <v>1.0837821931217524</v>
      </c>
      <c r="J97" s="1063">
        <f t="shared" si="17"/>
        <v>1.259272460269286</v>
      </c>
      <c r="K97" s="1064">
        <f t="shared" si="17"/>
        <v>7.534246564629953</v>
      </c>
      <c r="L97" s="1060">
        <f t="shared" si="17"/>
        <v>0.12910548637067604</v>
      </c>
      <c r="M97" s="1065">
        <f t="shared" si="18"/>
        <v>8.6584668441025876</v>
      </c>
      <c r="N97" s="1066">
        <f t="shared" si="18"/>
        <v>0.91487499999999988</v>
      </c>
      <c r="O97" s="1067">
        <f t="shared" si="18"/>
        <v>-4.3736501079913587E-2</v>
      </c>
      <c r="P97" s="1068">
        <f t="shared" si="18"/>
        <v>0.89481420237931208</v>
      </c>
      <c r="Q97" s="1066">
        <f t="shared" si="18"/>
        <v>0.24509229252810941</v>
      </c>
      <c r="R97" s="1067">
        <f t="shared" si="18"/>
        <v>-0.16501821733667812</v>
      </c>
      <c r="S97" s="1068">
        <f t="shared" si="18"/>
        <v>0.23828807339295358</v>
      </c>
      <c r="T97" s="1066">
        <f t="shared" si="18"/>
        <v>0.27870192226407053</v>
      </c>
      <c r="U97" s="1067">
        <f t="shared" si="18"/>
        <v>-0.14309331637647091</v>
      </c>
      <c r="V97" s="1068">
        <f t="shared" si="18"/>
        <v>0.2718321660431175</v>
      </c>
      <c r="W97" s="1060">
        <f t="shared" si="18"/>
        <v>3.3609629735961127E-2</v>
      </c>
      <c r="X97" s="1060">
        <f t="shared" si="18"/>
        <v>0.13713050455108242</v>
      </c>
      <c r="Y97" s="1069" t="str">
        <f t="shared" si="18"/>
        <v>A-</v>
      </c>
      <c r="Z97" s="1070" t="str">
        <f t="shared" ref="Z97:Z102" si="20">VLOOKUP($B97,$B$7:$AC$28,Z$37+1,FALSE)</f>
        <v>=  =  =</v>
      </c>
      <c r="AA97" s="1064">
        <f t="shared" si="19"/>
        <v>2.0880314655341889</v>
      </c>
      <c r="AB97" s="1071">
        <f t="shared" si="19"/>
        <v>-3.7762767487534328E-2</v>
      </c>
      <c r="AC97" s="1065">
        <f t="shared" si="19"/>
        <v>2.3348198024327131</v>
      </c>
      <c r="AD97" s="949"/>
      <c r="AE97" s="949"/>
      <c r="AF97" s="949"/>
      <c r="AG97" s="2129"/>
      <c r="AH97" s="949"/>
      <c r="AI97" s="949"/>
      <c r="AJ97" s="949"/>
      <c r="AK97" s="949"/>
      <c r="AL97" s="949"/>
      <c r="AM97" s="949"/>
      <c r="AN97" s="949"/>
      <c r="AO97" s="949"/>
      <c r="AP97" s="949"/>
      <c r="AQ97" s="949"/>
      <c r="AR97" s="110"/>
      <c r="AS97" s="110"/>
      <c r="AT97" s="110"/>
      <c r="AU97" s="949"/>
      <c r="AV97" s="949"/>
      <c r="AW97" s="949"/>
      <c r="AX97" s="949"/>
      <c r="AY97" s="949"/>
      <c r="AZ97" s="949"/>
      <c r="BA97" s="949"/>
      <c r="BB97" s="949"/>
      <c r="BC97" s="949"/>
      <c r="BD97" s="949"/>
      <c r="BE97" s="2267"/>
    </row>
    <row r="98" spans="1:57">
      <c r="A98" s="1090" t="s">
        <v>73</v>
      </c>
      <c r="B98" s="73" t="s">
        <v>283</v>
      </c>
      <c r="C98" s="1085">
        <f t="shared" si="17"/>
        <v>2461.5190857142857</v>
      </c>
      <c r="D98" s="1086">
        <f t="shared" si="17"/>
        <v>6.3070112903421734E-3</v>
      </c>
      <c r="E98" s="116">
        <f t="shared" si="17"/>
        <v>6.738754525599433E-2</v>
      </c>
      <c r="F98" s="116">
        <f t="shared" si="17"/>
        <v>0.16916312416163326</v>
      </c>
      <c r="G98" s="1061">
        <f t="shared" si="17"/>
        <v>2364.3629999999998</v>
      </c>
      <c r="H98" s="1062">
        <f t="shared" si="17"/>
        <v>6.5473828033777437E-3</v>
      </c>
      <c r="I98" s="1063">
        <f t="shared" si="17"/>
        <v>3.1397518024733277</v>
      </c>
      <c r="J98" s="1063">
        <f t="shared" si="17"/>
        <v>3.0995844257996854</v>
      </c>
      <c r="K98" s="1064">
        <f t="shared" si="17"/>
        <v>6.6917014692746157</v>
      </c>
      <c r="L98" s="1060">
        <f t="shared" si="17"/>
        <v>0.14721542174528052</v>
      </c>
      <c r="M98" s="1065">
        <f t="shared" si="18"/>
        <v>7.0127743881429545</v>
      </c>
      <c r="N98" s="1066">
        <f t="shared" si="18"/>
        <v>0.62657499999999999</v>
      </c>
      <c r="O98" s="1067">
        <f t="shared" si="18"/>
        <v>5.5614710459497153E-2</v>
      </c>
      <c r="P98" s="1068">
        <f t="shared" si="18"/>
        <v>0.64439999999999997</v>
      </c>
      <c r="Q98" s="1066">
        <f t="shared" si="18"/>
        <v>0.24190098439360719</v>
      </c>
      <c r="R98" s="1067">
        <f t="shared" si="18"/>
        <v>0.20667512064869559</v>
      </c>
      <c r="S98" s="1068">
        <f t="shared" si="18"/>
        <v>0.30597960586046052</v>
      </c>
      <c r="T98" s="1066">
        <f t="shared" si="18"/>
        <v>0.2616424852780464</v>
      </c>
      <c r="U98" s="1067">
        <f t="shared" si="18"/>
        <v>0.20296552626351777</v>
      </c>
      <c r="V98" s="1068">
        <f t="shared" si="18"/>
        <v>0.32061814749302248</v>
      </c>
      <c r="W98" s="1060">
        <f t="shared" si="18"/>
        <v>1.9741500884439211E-2</v>
      </c>
      <c r="X98" s="1060">
        <f t="shared" si="18"/>
        <v>8.1609841042717679E-2</v>
      </c>
      <c r="Y98" s="1069" t="str">
        <f t="shared" si="18"/>
        <v>BBB</v>
      </c>
      <c r="Z98" s="1070" t="str">
        <f t="shared" si="20"/>
        <v>=  =  -</v>
      </c>
      <c r="AA98" s="1064">
        <f t="shared" si="19"/>
        <v>1.7511002028712532</v>
      </c>
      <c r="AB98" s="1071">
        <f t="shared" si="19"/>
        <v>0.37093258903528414</v>
      </c>
      <c r="AC98" s="1065">
        <f t="shared" si="19"/>
        <v>2.2311132077757287</v>
      </c>
      <c r="AD98" s="949"/>
      <c r="AE98" s="949"/>
      <c r="AF98" s="949"/>
      <c r="AG98" s="2129"/>
      <c r="AH98" s="949"/>
      <c r="AI98" s="949"/>
      <c r="AJ98" s="949"/>
      <c r="AK98" s="949"/>
      <c r="AL98" s="949"/>
      <c r="AM98" s="949"/>
      <c r="AN98" s="949"/>
      <c r="AO98" s="949"/>
      <c r="AP98" s="949"/>
      <c r="AQ98" s="949"/>
      <c r="AR98" s="110"/>
      <c r="AS98" s="110"/>
      <c r="AT98" s="110"/>
      <c r="AU98" s="949"/>
      <c r="AV98" s="949"/>
      <c r="AW98" s="949"/>
      <c r="AX98" s="949"/>
      <c r="AY98" s="949"/>
      <c r="AZ98" s="949"/>
      <c r="BA98" s="949"/>
      <c r="BB98" s="949"/>
      <c r="BC98" s="949"/>
      <c r="BD98" s="949"/>
      <c r="BE98" s="2267"/>
    </row>
    <row r="99" spans="1:57">
      <c r="A99" s="1090" t="s">
        <v>374</v>
      </c>
      <c r="B99" s="73" t="s">
        <v>42</v>
      </c>
      <c r="C99" s="1085">
        <f t="shared" si="17"/>
        <v>2432.5463571428577</v>
      </c>
      <c r="D99" s="1086">
        <f t="shared" si="17"/>
        <v>6.2327761047315808E-3</v>
      </c>
      <c r="E99" s="116">
        <f t="shared" si="17"/>
        <v>-3.2258071946582277E-2</v>
      </c>
      <c r="F99" s="116">
        <f t="shared" si="17"/>
        <v>6.9517506959056674E-2</v>
      </c>
      <c r="G99" s="1061">
        <f t="shared" si="17"/>
        <v>2940.9023000000002</v>
      </c>
      <c r="H99" s="1062">
        <f t="shared" si="17"/>
        <v>8.143932697912316E-3</v>
      </c>
      <c r="I99" s="1063">
        <f t="shared" si="17"/>
        <v>1.2689619717468461</v>
      </c>
      <c r="J99" s="1063">
        <f t="shared" si="17"/>
        <v>1.312316956715752</v>
      </c>
      <c r="K99" s="1064">
        <f t="shared" si="17"/>
        <v>3.8459062845563983</v>
      </c>
      <c r="L99" s="1060">
        <f t="shared" si="17"/>
        <v>3.4291324439135469E-2</v>
      </c>
      <c r="M99" s="1065">
        <f t="shared" si="18"/>
        <v>3.7439277362047823</v>
      </c>
      <c r="N99" s="1066">
        <f t="shared" si="18"/>
        <v>0.56323171407839789</v>
      </c>
      <c r="O99" s="1067">
        <f t="shared" si="18"/>
        <v>-0.12023286586287618</v>
      </c>
      <c r="P99" s="1068">
        <f t="shared" si="18"/>
        <v>0.53987730061349704</v>
      </c>
      <c r="Q99" s="1066">
        <f t="shared" si="18"/>
        <v>0.60887331285954671</v>
      </c>
      <c r="R99" s="1067">
        <f t="shared" si="18"/>
        <v>-0.37303497156800469</v>
      </c>
      <c r="S99" s="1068">
        <f t="shared" si="18"/>
        <v>0.37659759063604481</v>
      </c>
      <c r="T99" s="1066">
        <f t="shared" si="18"/>
        <v>0.63388271448107447</v>
      </c>
      <c r="U99" s="1067">
        <f t="shared" si="18"/>
        <v>-0.25869992498286548</v>
      </c>
      <c r="V99" s="1068">
        <f t="shared" si="18"/>
        <v>0.44527495080222473</v>
      </c>
      <c r="W99" s="1060">
        <f t="shared" si="18"/>
        <v>2.500940162152776E-2</v>
      </c>
      <c r="X99" s="1060">
        <f t="shared" si="18"/>
        <v>4.1074885519406669E-2</v>
      </c>
      <c r="Y99" s="1069" t="str">
        <f t="shared" si="18"/>
        <v>B-</v>
      </c>
      <c r="Z99" s="1070" t="str">
        <f t="shared" si="20"/>
        <v>=  =  -</v>
      </c>
      <c r="AA99" s="1064">
        <f t="shared" si="19"/>
        <v>2.172629043332774</v>
      </c>
      <c r="AB99" s="1071">
        <f t="shared" si="19"/>
        <v>-0.22035736928264804</v>
      </c>
      <c r="AC99" s="1065">
        <f t="shared" si="19"/>
        <v>1.5517268924243866</v>
      </c>
      <c r="AD99" s="949"/>
      <c r="AE99" s="949"/>
      <c r="AF99" s="949"/>
      <c r="AG99" s="2129"/>
      <c r="AH99" s="949"/>
      <c r="AI99" s="949"/>
      <c r="AJ99" s="949"/>
      <c r="AK99" s="949"/>
      <c r="AL99" s="949"/>
      <c r="AM99" s="949"/>
      <c r="AN99" s="949"/>
      <c r="AO99" s="949"/>
      <c r="AP99" s="949"/>
      <c r="AQ99" s="949"/>
      <c r="AR99" s="110"/>
      <c r="AS99" s="110"/>
      <c r="AT99" s="110"/>
      <c r="AU99" s="949"/>
      <c r="AV99" s="949"/>
      <c r="AW99" s="949"/>
      <c r="AX99" s="949"/>
      <c r="AY99" s="949"/>
      <c r="AZ99" s="949"/>
      <c r="BA99" s="949"/>
      <c r="BB99" s="949"/>
      <c r="BC99" s="949"/>
      <c r="BD99" s="949"/>
      <c r="BE99" s="2267"/>
    </row>
    <row r="100" spans="1:57">
      <c r="A100" s="1090" t="s">
        <v>498</v>
      </c>
      <c r="B100" s="73" t="s">
        <v>52</v>
      </c>
      <c r="C100" s="1085">
        <f t="shared" si="17"/>
        <v>40464.923042857146</v>
      </c>
      <c r="D100" s="1086">
        <f t="shared" si="17"/>
        <v>0.1036809862557167</v>
      </c>
      <c r="E100" s="116">
        <f t="shared" si="17"/>
        <v>-6.1458653761923776E-2</v>
      </c>
      <c r="F100" s="116">
        <f t="shared" si="17"/>
        <v>4.0316925143715168E-2</v>
      </c>
      <c r="G100" s="1061">
        <f t="shared" si="17"/>
        <v>39791.94</v>
      </c>
      <c r="H100" s="1062">
        <f t="shared" si="17"/>
        <v>0.1101916514803518</v>
      </c>
      <c r="I100" s="1063">
        <f t="shared" si="17"/>
        <v>1.0840589348936991</v>
      </c>
      <c r="J100" s="1063">
        <f t="shared" si="17"/>
        <v>1.2733420800000002</v>
      </c>
      <c r="K100" s="1064">
        <f t="shared" si="17"/>
        <v>4.9157277486128619</v>
      </c>
      <c r="L100" s="1060">
        <f t="shared" si="17"/>
        <v>0.1448238320606966</v>
      </c>
      <c r="M100" s="1065">
        <f t="shared" si="18"/>
        <v>5.2964626193065953</v>
      </c>
      <c r="N100" s="1066">
        <f t="shared" si="18"/>
        <v>0.61</v>
      </c>
      <c r="O100" s="1067">
        <f t="shared" si="18"/>
        <v>0</v>
      </c>
      <c r="P100" s="1068">
        <f t="shared" si="18"/>
        <v>0.62983042679437373</v>
      </c>
      <c r="Q100" s="1066">
        <f t="shared" si="18"/>
        <v>0.51528895508035288</v>
      </c>
      <c r="R100" s="1067">
        <f t="shared" si="18"/>
        <v>-2.4931247740904369E-2</v>
      </c>
      <c r="S100" s="1068">
        <f t="shared" si="18"/>
        <v>0.51939744871548044</v>
      </c>
      <c r="T100" s="1066">
        <f t="shared" si="18"/>
        <v>0.58808850315066874</v>
      </c>
      <c r="U100" s="1067">
        <f t="shared" si="18"/>
        <v>-2.8226553900756759E-2</v>
      </c>
      <c r="V100" s="1068">
        <f t="shared" si="18"/>
        <v>0.59074959904524027</v>
      </c>
      <c r="W100" s="1060">
        <f t="shared" si="18"/>
        <v>7.2799548070315856E-2</v>
      </c>
      <c r="X100" s="1060">
        <f t="shared" si="18"/>
        <v>0.14127907721011346</v>
      </c>
      <c r="Y100" s="1069" t="str">
        <f t="shared" si="18"/>
        <v>BBB+</v>
      </c>
      <c r="Z100" s="1070" t="str">
        <f t="shared" si="20"/>
        <v>=  =  =</v>
      </c>
      <c r="AA100" s="1064">
        <f t="shared" si="19"/>
        <v>2.7906818261625395</v>
      </c>
      <c r="AB100" s="1071">
        <f t="shared" si="19"/>
        <v>8.5841806528642844E-2</v>
      </c>
      <c r="AC100" s="1065">
        <f t="shared" si="19"/>
        <v>2.9178287645268703</v>
      </c>
      <c r="AD100" s="949"/>
      <c r="AE100" s="949"/>
      <c r="AF100" s="949"/>
      <c r="AG100" s="2129"/>
      <c r="AH100" s="949"/>
      <c r="AI100" s="949"/>
      <c r="AJ100" s="949"/>
      <c r="AK100" s="949"/>
      <c r="AL100" s="949"/>
      <c r="AM100" s="949"/>
      <c r="AN100" s="949"/>
      <c r="AO100" s="949"/>
      <c r="AP100" s="949"/>
      <c r="AQ100" s="949"/>
      <c r="AR100" s="110"/>
      <c r="AS100" s="110"/>
      <c r="AT100" s="110"/>
      <c r="AU100" s="949"/>
      <c r="AV100" s="949"/>
      <c r="AW100" s="949"/>
      <c r="AX100" s="949"/>
      <c r="AY100" s="949"/>
      <c r="AZ100" s="949"/>
      <c r="BA100" s="949"/>
      <c r="BB100" s="949"/>
      <c r="BC100" s="949"/>
      <c r="BD100" s="949"/>
      <c r="BE100" s="2267"/>
    </row>
    <row r="101" spans="1:57">
      <c r="A101" s="1090" t="s">
        <v>503</v>
      </c>
      <c r="B101" s="73" t="s">
        <v>282</v>
      </c>
      <c r="C101" s="1085">
        <f t="shared" ref="C101:L112" si="21">VLOOKUP($B101,$B$7:$AC$28,C$37+1,FALSE)</f>
        <v>22949.481858519866</v>
      </c>
      <c r="D101" s="1086">
        <f t="shared" si="21"/>
        <v>5.8802160840116385E-2</v>
      </c>
      <c r="E101" s="116">
        <f t="shared" si="21"/>
        <v>-8.3288171902550459E-2</v>
      </c>
      <c r="F101" s="116">
        <f t="shared" si="21"/>
        <v>1.8487407003088485E-2</v>
      </c>
      <c r="G101" s="1061">
        <f t="shared" si="21"/>
        <v>21731.57918967646</v>
      </c>
      <c r="H101" s="1062">
        <f t="shared" si="21"/>
        <v>6.0178986000343146E-2</v>
      </c>
      <c r="I101" s="1063">
        <f t="shared" si="21"/>
        <v>1.7647070716020126</v>
      </c>
      <c r="J101" s="1063">
        <f t="shared" si="21"/>
        <v>1.7786623686113903</v>
      </c>
      <c r="K101" s="1064">
        <f t="shared" si="21"/>
        <v>7.5628972253366413</v>
      </c>
      <c r="L101" s="1060">
        <f t="shared" si="21"/>
        <v>2.1076957712408067E-2</v>
      </c>
      <c r="M101" s="1065">
        <f t="shared" ref="M101:Y112" si="22">VLOOKUP($B101,$B$7:$AC$28,M$37+1,FALSE)</f>
        <v>7.6896404016441506</v>
      </c>
      <c r="N101" s="1066">
        <f t="shared" si="22"/>
        <v>0.67984865616162071</v>
      </c>
      <c r="O101" s="1067">
        <f t="shared" si="22"/>
        <v>0.13956056160252914</v>
      </c>
      <c r="P101" s="1068">
        <f t="shared" si="22"/>
        <v>0.7167630057803468</v>
      </c>
      <c r="Q101" s="1066">
        <f t="shared" si="22"/>
        <v>0.23215418017261674</v>
      </c>
      <c r="R101" s="1067">
        <f t="shared" si="22"/>
        <v>0.36187217108516367</v>
      </c>
      <c r="S101" s="1068">
        <f t="shared" si="22"/>
        <v>0.26525179681706468</v>
      </c>
      <c r="T101" s="1066">
        <f t="shared" si="22"/>
        <v>0.2501311526811702</v>
      </c>
      <c r="U101" s="1067">
        <f t="shared" si="22"/>
        <v>0.31916438327965047</v>
      </c>
      <c r="V101" s="1068">
        <f t="shared" si="22"/>
        <v>0.28287599661626001</v>
      </c>
      <c r="W101" s="1060">
        <f t="shared" si="22"/>
        <v>1.7976972508553457E-2</v>
      </c>
      <c r="X101" s="1060">
        <f t="shared" si="22"/>
        <v>7.7435489187344358E-2</v>
      </c>
      <c r="Y101" s="1069" t="str">
        <f t="shared" si="22"/>
        <v>A-</v>
      </c>
      <c r="Z101" s="1070" t="str">
        <f t="shared" si="20"/>
        <v>=  =  =</v>
      </c>
      <c r="AA101" s="1064">
        <f t="shared" si="19"/>
        <v>1.845874038975184</v>
      </c>
      <c r="AB101" s="1071">
        <f t="shared" si="19"/>
        <v>0.36079457239176377</v>
      </c>
      <c r="AC101" s="1065">
        <f t="shared" si="19"/>
        <v>2.1424428051274771</v>
      </c>
      <c r="AD101" s="949"/>
      <c r="AE101" s="949"/>
      <c r="AF101" s="949"/>
      <c r="AG101" s="2129"/>
      <c r="AH101" s="949"/>
      <c r="AI101" s="949"/>
      <c r="AJ101" s="949"/>
      <c r="AK101" s="949"/>
      <c r="AL101" s="949"/>
      <c r="AM101" s="949"/>
      <c r="AN101" s="949"/>
      <c r="AO101" s="949"/>
      <c r="AP101" s="949"/>
      <c r="AQ101" s="949"/>
      <c r="AR101" s="110"/>
      <c r="AS101" s="110"/>
      <c r="AT101" s="110"/>
      <c r="AU101" s="949"/>
      <c r="AV101" s="949"/>
      <c r="AW101" s="949"/>
      <c r="AX101" s="949"/>
      <c r="AY101" s="949"/>
      <c r="AZ101" s="949"/>
      <c r="BA101" s="949"/>
      <c r="BB101" s="949"/>
      <c r="BC101" s="949"/>
      <c r="BD101" s="949"/>
      <c r="BE101" s="2267"/>
    </row>
    <row r="102" spans="1:57">
      <c r="A102" s="1090" t="s">
        <v>539</v>
      </c>
      <c r="B102" s="73" t="s">
        <v>39</v>
      </c>
      <c r="C102" s="1085">
        <f t="shared" si="21"/>
        <v>5059.5155870714543</v>
      </c>
      <c r="D102" s="1086">
        <f t="shared" si="21"/>
        <v>1.2963710952524294E-2</v>
      </c>
      <c r="E102" s="116">
        <f t="shared" si="21"/>
        <v>-0.13366823909704381</v>
      </c>
      <c r="F102" s="116">
        <f t="shared" si="21"/>
        <v>-3.1892660191404867E-2</v>
      </c>
      <c r="G102" s="1061">
        <f t="shared" si="21"/>
        <v>5057.8123335929276</v>
      </c>
      <c r="H102" s="1062">
        <f t="shared" si="21"/>
        <v>1.4006069920599414E-2</v>
      </c>
      <c r="I102" s="1063">
        <f t="shared" si="21"/>
        <v>1.6858649053444912</v>
      </c>
      <c r="J102" s="1063">
        <f t="shared" si="21"/>
        <v>1.7703056194544857</v>
      </c>
      <c r="K102" s="1064">
        <f t="shared" si="21"/>
        <v>6.1343182706324946</v>
      </c>
      <c r="L102" s="1060">
        <f t="shared" si="21"/>
        <v>-0.19036897853308513</v>
      </c>
      <c r="M102" s="1065">
        <f t="shared" si="22"/>
        <v>5.9052222685092017</v>
      </c>
      <c r="N102" s="1066">
        <f t="shared" si="22"/>
        <v>0.31054928118178421</v>
      </c>
      <c r="O102" s="1067">
        <f t="shared" si="22"/>
        <v>-0.11491916916279199</v>
      </c>
      <c r="P102" s="1068">
        <f t="shared" si="22"/>
        <v>0.28165979767703259</v>
      </c>
      <c r="Q102" s="1066">
        <f t="shared" si="22"/>
        <v>0.3899242463002407</v>
      </c>
      <c r="R102" s="1067">
        <f t="shared" si="22"/>
        <v>-0.1197676600756727</v>
      </c>
      <c r="S102" s="1068">
        <f t="shared" si="22"/>
        <v>0.37944762378701169</v>
      </c>
      <c r="T102" s="1066">
        <f t="shared" si="22"/>
        <v>0.45093517146474416</v>
      </c>
      <c r="U102" s="1067">
        <f t="shared" si="22"/>
        <v>-8.3572610535330494E-2</v>
      </c>
      <c r="V102" s="1068">
        <f t="shared" si="22"/>
        <v>0.43916945384982109</v>
      </c>
      <c r="W102" s="1060">
        <f t="shared" si="22"/>
        <v>6.101092516450346E-2</v>
      </c>
      <c r="X102" s="1060">
        <f t="shared" si="22"/>
        <v>0.15646866216553562</v>
      </c>
      <c r="Y102" s="1069" t="str">
        <f t="shared" si="22"/>
        <v>BBB</v>
      </c>
      <c r="Z102" s="1070" t="str">
        <f t="shared" si="20"/>
        <v>­  = =</v>
      </c>
      <c r="AA102" s="1064">
        <f t="shared" si="19"/>
        <v>2.6587814840492587</v>
      </c>
      <c r="AB102" s="1071">
        <f t="shared" si="19"/>
        <v>-0.25803195656746131</v>
      </c>
      <c r="AC102" s="1065">
        <f t="shared" si="19"/>
        <v>2.5933932385229874</v>
      </c>
      <c r="AD102" s="949"/>
      <c r="AE102" s="949"/>
      <c r="AF102" s="949"/>
      <c r="AG102" s="2129"/>
      <c r="AH102" s="949"/>
      <c r="AI102" s="949"/>
      <c r="AJ102" s="949"/>
      <c r="AK102" s="949"/>
      <c r="AL102" s="949"/>
      <c r="AM102" s="949"/>
      <c r="AN102" s="949"/>
      <c r="AO102" s="949"/>
      <c r="AP102" s="949"/>
      <c r="AQ102" s="949"/>
      <c r="AR102" s="110"/>
      <c r="AS102" s="110"/>
      <c r="AT102" s="110"/>
      <c r="AU102" s="949"/>
      <c r="AV102" s="949"/>
      <c r="AW102" s="949"/>
      <c r="AX102" s="949"/>
      <c r="AY102" s="949"/>
      <c r="AZ102" s="949"/>
      <c r="BA102" s="949"/>
      <c r="BB102" s="949"/>
      <c r="BC102" s="949"/>
      <c r="BD102" s="949"/>
      <c r="BE102" s="2267"/>
    </row>
    <row r="103" spans="1:57">
      <c r="A103" s="1090" t="s">
        <v>503</v>
      </c>
      <c r="B103" s="73" t="s">
        <v>280</v>
      </c>
      <c r="C103" s="1085">
        <f t="shared" si="21"/>
        <v>5769.8566757446433</v>
      </c>
      <c r="D103" s="1086">
        <f t="shared" si="21"/>
        <v>1.4783777793466828E-2</v>
      </c>
      <c r="E103" s="116">
        <f t="shared" si="21"/>
        <v>-0.24705029723080094</v>
      </c>
      <c r="F103" s="116">
        <f t="shared" si="21"/>
        <v>-0.14527471832516198</v>
      </c>
      <c r="G103" s="1061">
        <f t="shared" si="21"/>
        <v>4026.3480952657014</v>
      </c>
      <c r="H103" s="1062">
        <f t="shared" si="21"/>
        <v>1.1149744044952231E-2</v>
      </c>
      <c r="I103" s="1063">
        <f t="shared" si="21"/>
        <v>2.446298838298576</v>
      </c>
      <c r="J103" s="1063">
        <f t="shared" si="21"/>
        <v>1.6476276710656086</v>
      </c>
      <c r="K103" s="1064">
        <f t="shared" si="21"/>
        <v>6.5589809256196414</v>
      </c>
      <c r="L103" s="1060">
        <f t="shared" si="21"/>
        <v>1.2127469272410992E-3</v>
      </c>
      <c r="M103" s="1065">
        <f t="shared" si="22"/>
        <v>5.5145354419406587</v>
      </c>
      <c r="N103" s="1066">
        <f t="shared" si="22"/>
        <v>0.67083419702973635</v>
      </c>
      <c r="O103" s="1067">
        <f t="shared" si="22"/>
        <v>-0.11335389957676706</v>
      </c>
      <c r="P103" s="1068">
        <f t="shared" si="22"/>
        <v>0.63639387890884902</v>
      </c>
      <c r="Q103" s="1066">
        <f t="shared" si="22"/>
        <v>0.1536920907726812</v>
      </c>
      <c r="R103" s="1067">
        <f t="shared" si="22"/>
        <v>1.6283818604559013</v>
      </c>
      <c r="S103" s="1068">
        <f t="shared" si="22"/>
        <v>0.2022242346359609</v>
      </c>
      <c r="T103" s="1066">
        <f t="shared" si="22"/>
        <v>0.20961441125119315</v>
      </c>
      <c r="U103" s="1067">
        <f t="shared" si="22"/>
        <v>0.84200521424561081</v>
      </c>
      <c r="V103" s="1068">
        <f t="shared" si="22"/>
        <v>0.28147528322389997</v>
      </c>
      <c r="W103" s="1060">
        <f t="shared" si="22"/>
        <v>5.592232047851195E-2</v>
      </c>
      <c r="X103" s="1060">
        <f t="shared" si="22"/>
        <v>0.36385945559959909</v>
      </c>
      <c r="Y103" s="1069" t="str">
        <f t="shared" si="22"/>
        <v>Not rated</v>
      </c>
      <c r="Z103" s="1070"/>
      <c r="AA103" s="1064">
        <f t="shared" si="19"/>
        <v>1.4399592566697517</v>
      </c>
      <c r="AB103" s="1071">
        <f t="shared" si="19"/>
        <v>0.8442860967329926</v>
      </c>
      <c r="AC103" s="1065">
        <f t="shared" si="19"/>
        <v>1.5521418473212367</v>
      </c>
      <c r="AD103" s="949"/>
      <c r="AE103" s="949"/>
      <c r="AF103" s="949"/>
      <c r="AG103" s="2129"/>
      <c r="AH103" s="949"/>
      <c r="AI103" s="949"/>
      <c r="AJ103" s="949"/>
      <c r="AK103" s="949"/>
      <c r="AL103" s="949"/>
      <c r="AM103" s="949"/>
      <c r="AN103" s="949"/>
      <c r="AO103" s="949"/>
      <c r="AP103" s="949"/>
      <c r="AQ103" s="949"/>
      <c r="AR103" s="110"/>
      <c r="AS103" s="110"/>
      <c r="AT103" s="110"/>
      <c r="AU103" s="949"/>
      <c r="AV103" s="949"/>
      <c r="AW103" s="949"/>
      <c r="AX103" s="949"/>
      <c r="AY103" s="949"/>
      <c r="AZ103" s="949"/>
      <c r="BA103" s="949"/>
      <c r="BB103" s="949"/>
      <c r="BC103" s="949"/>
      <c r="BD103" s="949"/>
      <c r="BE103" s="2267"/>
    </row>
    <row r="104" spans="1:57">
      <c r="A104" s="1091" t="s">
        <v>319</v>
      </c>
      <c r="B104" s="691" t="s">
        <v>750</v>
      </c>
      <c r="C104" s="1087">
        <f t="shared" si="21"/>
        <v>7616.907214285714</v>
      </c>
      <c r="D104" s="1088">
        <f t="shared" si="21"/>
        <v>1.9516371039653539E-2</v>
      </c>
      <c r="E104" s="1008">
        <f t="shared" si="21"/>
        <v>-0.33365525120929096</v>
      </c>
      <c r="F104" s="1008">
        <f t="shared" si="21"/>
        <v>-0.23187967230365203</v>
      </c>
      <c r="G104" s="1073">
        <f t="shared" si="21"/>
        <v>5825.8631999999998</v>
      </c>
      <c r="H104" s="1074">
        <f t="shared" si="21"/>
        <v>1.6132952736323161E-2</v>
      </c>
      <c r="I104" s="1075">
        <f t="shared" si="21"/>
        <v>2.4107651340270966</v>
      </c>
      <c r="J104" s="1075">
        <f t="shared" si="21"/>
        <v>2.0327505931612002</v>
      </c>
      <c r="K104" s="1076">
        <f t="shared" si="21"/>
        <v>4.7469851722287064</v>
      </c>
      <c r="L104" s="1072">
        <f t="shared" si="21"/>
        <v>0.1951757211867983</v>
      </c>
      <c r="M104" s="1077">
        <f t="shared" si="22"/>
        <v>4.6619962755533297</v>
      </c>
      <c r="N104" s="1078">
        <f t="shared" si="22"/>
        <v>0.37158673775730477</v>
      </c>
      <c r="O104" s="1079">
        <f t="shared" si="22"/>
        <v>-0.1153634304384116</v>
      </c>
      <c r="P104" s="1080">
        <f t="shared" si="22"/>
        <v>0.36037883142173305</v>
      </c>
      <c r="Q104" s="1078">
        <f t="shared" si="22"/>
        <v>0.17383796150947908</v>
      </c>
      <c r="R104" s="1079">
        <f t="shared" si="22"/>
        <v>0.54445307336528614</v>
      </c>
      <c r="S104" s="1080">
        <f t="shared" si="22"/>
        <v>0.26356163003804695</v>
      </c>
      <c r="T104" s="1078">
        <f t="shared" si="22"/>
        <v>0.19702478682132593</v>
      </c>
      <c r="U104" s="1079">
        <f t="shared" si="22"/>
        <v>0.50034734616182497</v>
      </c>
      <c r="V104" s="1080">
        <f t="shared" si="22"/>
        <v>0.28756363720088318</v>
      </c>
      <c r="W104" s="1072">
        <f t="shared" si="22"/>
        <v>2.3186825311846848E-2</v>
      </c>
      <c r="X104" s="1072">
        <f t="shared" si="22"/>
        <v>0.13338182932260462</v>
      </c>
      <c r="Y104" s="1081" t="str">
        <f t="shared" si="22"/>
        <v>A</v>
      </c>
      <c r="Z104" s="1082" t="str">
        <f t="shared" ref="Z104:Z110" si="23">VLOOKUP($B104,$B$7:$AC$28,Z$37+1,FALSE)</f>
        <v>=  =  -</v>
      </c>
      <c r="AA104" s="1076">
        <f t="shared" si="19"/>
        <v>0.93248540191552354</v>
      </c>
      <c r="AB104" s="1083">
        <f t="shared" si="19"/>
        <v>0.78949919521054279</v>
      </c>
      <c r="AC104" s="1077">
        <f t="shared" si="19"/>
        <v>1.3109622071604587</v>
      </c>
      <c r="AD104" s="949"/>
      <c r="AE104" s="949"/>
      <c r="AF104" s="949"/>
      <c r="AG104" s="2129"/>
      <c r="AH104" s="949"/>
      <c r="AI104" s="949"/>
      <c r="AJ104" s="949"/>
      <c r="AK104" s="949"/>
      <c r="AL104" s="949"/>
      <c r="AM104" s="949"/>
      <c r="AN104" s="949"/>
      <c r="AO104" s="949"/>
      <c r="AP104" s="949"/>
      <c r="AQ104" s="949"/>
      <c r="AR104" s="110"/>
      <c r="AS104" s="110"/>
      <c r="AT104" s="110"/>
      <c r="AU104" s="949"/>
      <c r="AV104" s="949"/>
      <c r="AW104" s="949"/>
      <c r="AX104" s="949"/>
      <c r="AY104" s="949"/>
      <c r="AZ104" s="949"/>
      <c r="BA104" s="949"/>
      <c r="BB104" s="949"/>
      <c r="BC104" s="949"/>
      <c r="BD104" s="949"/>
      <c r="BE104" s="2267"/>
    </row>
    <row r="105" spans="1:57">
      <c r="A105" s="1090" t="s">
        <v>217</v>
      </c>
      <c r="B105" s="73" t="s">
        <v>53</v>
      </c>
      <c r="C105" s="1085">
        <f t="shared" si="21"/>
        <v>60036.853628571422</v>
      </c>
      <c r="D105" s="1086">
        <f t="shared" si="21"/>
        <v>0.15382903828354536</v>
      </c>
      <c r="E105" s="116">
        <f t="shared" si="21"/>
        <v>-0.3618479655094986</v>
      </c>
      <c r="F105" s="116">
        <f t="shared" si="21"/>
        <v>-0.26007238660385967</v>
      </c>
      <c r="G105" s="1061">
        <f t="shared" si="21"/>
        <v>44430.485000000001</v>
      </c>
      <c r="H105" s="1062">
        <f t="shared" si="21"/>
        <v>0.1230366882897139</v>
      </c>
      <c r="I105" s="1063">
        <f t="shared" si="21"/>
        <v>2.2644833808097031</v>
      </c>
      <c r="J105" s="1063">
        <f t="shared" si="21"/>
        <v>1.7716210773954304</v>
      </c>
      <c r="K105" s="1064">
        <f t="shared" si="21"/>
        <v>5.7304428558288603</v>
      </c>
      <c r="L105" s="1060">
        <f t="shared" si="21"/>
        <v>-7.3155042359885195E-2</v>
      </c>
      <c r="M105" s="1065">
        <f t="shared" si="22"/>
        <v>5.1937231412225326</v>
      </c>
      <c r="N105" s="1066">
        <f t="shared" si="22"/>
        <v>0.6158872479982318</v>
      </c>
      <c r="O105" s="1067">
        <f t="shared" si="22"/>
        <v>0.11044311863454735</v>
      </c>
      <c r="P105" s="1068">
        <f t="shared" si="22"/>
        <v>0.66127040038880336</v>
      </c>
      <c r="Q105" s="1066">
        <f t="shared" si="22"/>
        <v>0.48384306036910518</v>
      </c>
      <c r="R105" s="1067">
        <f t="shared" si="22"/>
        <v>0.2595878527386451</v>
      </c>
      <c r="S105" s="1068">
        <f t="shared" si="22"/>
        <v>0.54381370963962039</v>
      </c>
      <c r="T105" s="1066">
        <f t="shared" si="22"/>
        <v>0.51513010935716153</v>
      </c>
      <c r="U105" s="1067">
        <f t="shared" si="22"/>
        <v>0.26130995158024306</v>
      </c>
      <c r="V105" s="1068">
        <f t="shared" si="22"/>
        <v>0.57929804018594233</v>
      </c>
      <c r="W105" s="1060">
        <f t="shared" si="22"/>
        <v>3.1287048988056343E-2</v>
      </c>
      <c r="X105" s="1060">
        <f t="shared" si="22"/>
        <v>6.4663630732222685E-2</v>
      </c>
      <c r="Y105" s="1069" t="str">
        <f t="shared" si="22"/>
        <v>BBB</v>
      </c>
      <c r="Z105" s="1070" t="str">
        <f t="shared" si="23"/>
        <v>¯  ¯ ¯</v>
      </c>
      <c r="AA105" s="1064">
        <f t="shared" si="19"/>
        <v>2.7929780820851775</v>
      </c>
      <c r="AB105" s="1071">
        <f t="shared" si="19"/>
        <v>0.12404595260605845</v>
      </c>
      <c r="AC105" s="1065">
        <f t="shared" si="19"/>
        <v>2.8353348809740444</v>
      </c>
      <c r="AD105" s="949"/>
      <c r="AE105" s="949"/>
      <c r="AF105" s="949"/>
      <c r="AG105" s="2129"/>
      <c r="AH105" s="949"/>
      <c r="AI105" s="949"/>
      <c r="AJ105" s="949"/>
      <c r="AK105" s="949"/>
      <c r="AL105" s="949"/>
      <c r="AM105" s="949"/>
      <c r="AN105" s="949"/>
      <c r="AO105" s="949"/>
      <c r="AP105" s="949"/>
      <c r="AQ105" s="949"/>
      <c r="AR105" s="110"/>
      <c r="AS105" s="110"/>
      <c r="AT105" s="110"/>
      <c r="AU105" s="949"/>
      <c r="AV105" s="949"/>
      <c r="AW105" s="949"/>
      <c r="AX105" s="949"/>
      <c r="AY105" s="949"/>
      <c r="AZ105" s="949"/>
      <c r="BA105" s="949"/>
      <c r="BB105" s="949"/>
      <c r="BC105" s="949"/>
      <c r="BD105" s="949"/>
      <c r="BE105" s="2267"/>
    </row>
    <row r="106" spans="1:57">
      <c r="A106" s="1090" t="s">
        <v>499</v>
      </c>
      <c r="B106" s="73" t="s">
        <v>284</v>
      </c>
      <c r="C106" s="1085">
        <f t="shared" si="21"/>
        <v>15596.516285714286</v>
      </c>
      <c r="D106" s="1086">
        <f t="shared" si="21"/>
        <v>3.9962072557101963E-2</v>
      </c>
      <c r="E106" s="116">
        <f t="shared" si="21"/>
        <v>-0.41209116095583281</v>
      </c>
      <c r="F106" s="116">
        <f t="shared" si="21"/>
        <v>-0.31031558205019388</v>
      </c>
      <c r="G106" s="1061">
        <f t="shared" si="21"/>
        <v>10295.917100000001</v>
      </c>
      <c r="H106" s="1062">
        <f t="shared" si="21"/>
        <v>2.8511404790864545E-2</v>
      </c>
      <c r="I106" s="1063">
        <f t="shared" si="21"/>
        <v>0.58081043687158529</v>
      </c>
      <c r="J106" s="1063">
        <f t="shared" si="21"/>
        <v>0.5027794267018264</v>
      </c>
      <c r="K106" s="1064">
        <f t="shared" si="21"/>
        <v>4.6475023511824993</v>
      </c>
      <c r="L106" s="1060">
        <f t="shared" si="21"/>
        <v>-0.18379111287045302</v>
      </c>
      <c r="M106" s="1065">
        <f t="shared" si="22"/>
        <v>4.0606354500113753</v>
      </c>
      <c r="N106" s="1066">
        <f t="shared" si="22"/>
        <v>0.34534166666666666</v>
      </c>
      <c r="O106" s="1067">
        <f t="shared" si="22"/>
        <v>-5.4500069338510607E-2</v>
      </c>
      <c r="P106" s="1068">
        <f t="shared" si="22"/>
        <v>0.3626280111015483</v>
      </c>
      <c r="Q106" s="1066">
        <f t="shared" si="22"/>
        <v>0.67997702229572432</v>
      </c>
      <c r="R106" s="1067">
        <f t="shared" si="22"/>
        <v>0.10658020511075152</v>
      </c>
      <c r="S106" s="1068">
        <f t="shared" si="22"/>
        <v>0.75270955685414354</v>
      </c>
      <c r="T106" s="1066">
        <f t="shared" si="22"/>
        <v>0.68457317243488636</v>
      </c>
      <c r="U106" s="1067">
        <f t="shared" si="22"/>
        <v>0.10522314957078965</v>
      </c>
      <c r="V106" s="1068">
        <f t="shared" si="22"/>
        <v>0.75672107111582532</v>
      </c>
      <c r="W106" s="1060">
        <f t="shared" si="22"/>
        <v>4.5961501391620363E-3</v>
      </c>
      <c r="X106" s="1060">
        <f t="shared" si="22"/>
        <v>6.7592727231349809E-3</v>
      </c>
      <c r="Y106" s="1069" t="str">
        <f t="shared" si="22"/>
        <v>BBB-</v>
      </c>
      <c r="Z106" s="1070" t="str">
        <f t="shared" si="23"/>
        <v>=  ¯ ¯</v>
      </c>
      <c r="AA106" s="1064">
        <f t="shared" si="19"/>
        <v>2.9152503149286035</v>
      </c>
      <c r="AB106" s="1071">
        <f t="shared" si="19"/>
        <v>-0.14664752669478531</v>
      </c>
      <c r="AC106" s="1065">
        <f t="shared" si="19"/>
        <v>2.8370691340232916</v>
      </c>
      <c r="AD106" s="949"/>
      <c r="AE106" s="949"/>
      <c r="AF106" s="949"/>
      <c r="AG106" s="2129"/>
      <c r="AH106" s="949"/>
      <c r="AI106" s="949"/>
      <c r="AJ106" s="949"/>
      <c r="AK106" s="949"/>
      <c r="AL106" s="949"/>
      <c r="AM106" s="949"/>
      <c r="AN106" s="949"/>
      <c r="AO106" s="949"/>
      <c r="AP106" s="949"/>
      <c r="AQ106" s="949"/>
      <c r="AR106" s="110"/>
      <c r="AS106" s="110"/>
      <c r="AT106" s="110"/>
      <c r="AU106" s="949"/>
      <c r="AV106" s="949"/>
      <c r="AW106" s="949"/>
      <c r="AX106" s="949"/>
      <c r="AY106" s="949"/>
      <c r="AZ106" s="949"/>
      <c r="BA106" s="949"/>
      <c r="BB106" s="949"/>
      <c r="BC106" s="949"/>
      <c r="BD106" s="949"/>
      <c r="BE106" s="2267"/>
    </row>
    <row r="107" spans="1:57">
      <c r="A107" s="1090" t="s">
        <v>385</v>
      </c>
      <c r="B107" s="73" t="s">
        <v>276</v>
      </c>
      <c r="C107" s="1085">
        <f t="shared" si="21"/>
        <v>3544.0522571428578</v>
      </c>
      <c r="D107" s="1086">
        <f t="shared" si="21"/>
        <v>9.0807248780183369E-3</v>
      </c>
      <c r="E107" s="116">
        <f t="shared" si="21"/>
        <v>-0.4675424361384804</v>
      </c>
      <c r="F107" s="116">
        <f t="shared" si="21"/>
        <v>-0.36576685723284147</v>
      </c>
      <c r="G107" s="1061">
        <f t="shared" si="21"/>
        <v>2152.6311000000001</v>
      </c>
      <c r="H107" s="1062">
        <f t="shared" si="21"/>
        <v>5.9610558303255963E-3</v>
      </c>
      <c r="I107" s="1063">
        <f t="shared" si="21"/>
        <v>3.4941691326062152</v>
      </c>
      <c r="J107" s="1063">
        <f t="shared" si="21"/>
        <v>2.2961398399999999</v>
      </c>
      <c r="K107" s="1064">
        <f t="shared" si="21"/>
        <v>4.4246190982470868</v>
      </c>
      <c r="L107" s="1060">
        <f t="shared" si="21"/>
        <v>-2.9835823683801648E-2</v>
      </c>
      <c r="M107" s="1065">
        <f t="shared" si="22"/>
        <v>4.0530525032062261</v>
      </c>
      <c r="N107" s="1066">
        <f t="shared" si="22"/>
        <v>0.60910298289809772</v>
      </c>
      <c r="O107" s="1067">
        <f t="shared" si="22"/>
        <v>-5.2071170724915891E-2</v>
      </c>
      <c r="P107" s="1068">
        <f t="shared" si="22"/>
        <v>0.6207941242005639</v>
      </c>
      <c r="Q107" s="1066">
        <f t="shared" si="22"/>
        <v>0.49050145598877937</v>
      </c>
      <c r="R107" s="1067">
        <f t="shared" si="22"/>
        <v>0.42102559519407173</v>
      </c>
      <c r="S107" s="1068">
        <f t="shared" si="22"/>
        <v>0.61744816018521742</v>
      </c>
      <c r="T107" s="1066">
        <f t="shared" si="22"/>
        <v>0.49698573886957192</v>
      </c>
      <c r="U107" s="1067">
        <f t="shared" si="22"/>
        <v>0.41032171167013903</v>
      </c>
      <c r="V107" s="1068">
        <f t="shared" si="22"/>
        <v>0.62319136029119382</v>
      </c>
      <c r="W107" s="1060">
        <f t="shared" si="22"/>
        <v>6.4842828807925579E-3</v>
      </c>
      <c r="X107" s="1060">
        <f t="shared" si="22"/>
        <v>1.3219701596443154E-2</v>
      </c>
      <c r="Y107" s="1069" t="str">
        <f t="shared" si="22"/>
        <v>BBB</v>
      </c>
      <c r="Z107" s="1070" t="str">
        <f t="shared" si="23"/>
        <v>=  ¯ -</v>
      </c>
      <c r="AA107" s="1064">
        <f t="shared" si="19"/>
        <v>2.1902281092407181</v>
      </c>
      <c r="AB107" s="1071">
        <f t="shared" si="19"/>
        <v>0.36844726500440206</v>
      </c>
      <c r="AC107" s="1065">
        <f t="shared" si="19"/>
        <v>2.5252968522290931</v>
      </c>
      <c r="AD107" s="949"/>
      <c r="AE107" s="949"/>
      <c r="AF107" s="949"/>
      <c r="AG107" s="2129"/>
      <c r="AH107" s="949"/>
      <c r="AI107" s="949"/>
      <c r="AJ107" s="949"/>
      <c r="AK107" s="949"/>
      <c r="AL107" s="949"/>
      <c r="AM107" s="949"/>
      <c r="AN107" s="949"/>
      <c r="AO107" s="949"/>
      <c r="AP107" s="949"/>
      <c r="AQ107" s="949"/>
      <c r="AR107" s="110"/>
      <c r="AS107" s="110"/>
      <c r="AT107" s="110"/>
      <c r="AU107" s="949"/>
      <c r="AV107" s="949"/>
      <c r="AW107" s="949"/>
      <c r="AX107" s="949"/>
      <c r="AY107" s="949"/>
      <c r="AZ107" s="949"/>
      <c r="BA107" s="949"/>
      <c r="BB107" s="949"/>
      <c r="BC107" s="949"/>
      <c r="BD107" s="949"/>
      <c r="BE107" s="2267"/>
    </row>
    <row r="108" spans="1:57">
      <c r="A108" s="1090" t="s">
        <v>19</v>
      </c>
      <c r="B108" s="150" t="s">
        <v>286</v>
      </c>
      <c r="C108" s="1085">
        <f t="shared" si="21"/>
        <v>31174.883771428573</v>
      </c>
      <c r="D108" s="1086">
        <f t="shared" si="21"/>
        <v>7.9877643469276421E-2</v>
      </c>
      <c r="E108" s="116">
        <f t="shared" si="21"/>
        <v>-0.49416922878378883</v>
      </c>
      <c r="F108" s="116">
        <f t="shared" si="21"/>
        <v>-0.3923936498781499</v>
      </c>
      <c r="G108" s="1061">
        <f t="shared" si="21"/>
        <v>19124.593099999998</v>
      </c>
      <c r="H108" s="1062">
        <f t="shared" si="21"/>
        <v>5.2959732488004868E-2</v>
      </c>
      <c r="I108" s="1063">
        <f t="shared" si="21"/>
        <v>1.0546425468926217</v>
      </c>
      <c r="J108" s="1063">
        <f t="shared" si="21"/>
        <v>0.72989058468819168</v>
      </c>
      <c r="K108" s="1064">
        <f t="shared" si="21"/>
        <v>4.913128503955539</v>
      </c>
      <c r="L108" s="1060">
        <f t="shared" si="21"/>
        <v>-0.19812930900653591</v>
      </c>
      <c r="M108" s="1065">
        <f t="shared" si="22"/>
        <v>4.438539176760524</v>
      </c>
      <c r="N108" s="1066">
        <f t="shared" si="22"/>
        <v>0.60741568747204655</v>
      </c>
      <c r="O108" s="1067">
        <f t="shared" si="22"/>
        <v>4.0950219141690898E-2</v>
      </c>
      <c r="P108" s="1068">
        <f t="shared" si="22"/>
        <v>0.62738172243152124</v>
      </c>
      <c r="Q108" s="1066">
        <f t="shared" si="22"/>
        <v>0.50834561454306215</v>
      </c>
      <c r="R108" s="1067">
        <f t="shared" si="22"/>
        <v>0.27477182203191691</v>
      </c>
      <c r="S108" s="1068">
        <f t="shared" si="22"/>
        <v>0.61196382356206247</v>
      </c>
      <c r="T108" s="1066">
        <f t="shared" si="22"/>
        <v>0.54898628094174651</v>
      </c>
      <c r="U108" s="1067">
        <f t="shared" si="22"/>
        <v>0.26756473067663017</v>
      </c>
      <c r="V108" s="1068">
        <f t="shared" si="22"/>
        <v>0.65530118542007598</v>
      </c>
      <c r="W108" s="1060">
        <f t="shared" si="22"/>
        <v>4.0640666398684355E-2</v>
      </c>
      <c r="X108" s="1060">
        <f t="shared" si="22"/>
        <v>7.9946920433679999E-2</v>
      </c>
      <c r="Y108" s="1069" t="str">
        <f t="shared" si="22"/>
        <v>BBB+</v>
      </c>
      <c r="Z108" s="1070" t="str">
        <f t="shared" si="23"/>
        <v>=  ¯ ¯</v>
      </c>
      <c r="AA108" s="1064">
        <f t="shared" si="19"/>
        <v>2.5321561588471506</v>
      </c>
      <c r="AB108" s="1071">
        <f t="shared" si="19"/>
        <v>1.3257606300410854E-2</v>
      </c>
      <c r="AC108" s="1065">
        <f t="shared" si="19"/>
        <v>2.8138910595815916</v>
      </c>
      <c r="AD108" s="949"/>
      <c r="AE108" s="949"/>
      <c r="AF108" s="949"/>
      <c r="AG108" s="2129"/>
      <c r="AH108" s="949"/>
      <c r="AI108" s="949"/>
      <c r="AJ108" s="949"/>
      <c r="AK108" s="949"/>
      <c r="AL108" s="949"/>
      <c r="AM108" s="949"/>
      <c r="AN108" s="949"/>
      <c r="AO108" s="949"/>
      <c r="AP108" s="949"/>
      <c r="AQ108" s="949"/>
      <c r="AR108" s="110"/>
      <c r="AS108" s="110"/>
      <c r="AT108" s="110"/>
      <c r="AU108" s="949"/>
      <c r="AV108" s="949"/>
      <c r="AW108" s="949"/>
      <c r="AX108" s="949"/>
      <c r="AY108" s="949"/>
      <c r="AZ108" s="949"/>
      <c r="BA108" s="949"/>
      <c r="BB108" s="949"/>
      <c r="BC108" s="949"/>
      <c r="BD108" s="949"/>
      <c r="BE108" s="2267"/>
    </row>
    <row r="109" spans="1:57">
      <c r="A109" s="1090" t="s">
        <v>502</v>
      </c>
      <c r="B109" s="73" t="s">
        <v>287</v>
      </c>
      <c r="C109" s="1085">
        <f t="shared" si="21"/>
        <v>4580.8423286191064</v>
      </c>
      <c r="D109" s="1086">
        <f t="shared" si="21"/>
        <v>1.1737233504933111E-2</v>
      </c>
      <c r="E109" s="116">
        <f t="shared" si="21"/>
        <v>-0.49577837871365099</v>
      </c>
      <c r="F109" s="116">
        <f t="shared" si="21"/>
        <v>-0.39400279980801206</v>
      </c>
      <c r="G109" s="1061">
        <f t="shared" si="21"/>
        <v>2322.4005110115481</v>
      </c>
      <c r="H109" s="1062">
        <f t="shared" si="21"/>
        <v>6.4311804779353665E-3</v>
      </c>
      <c r="I109" s="1063">
        <f t="shared" si="21"/>
        <v>1.4234279787340207</v>
      </c>
      <c r="J109" s="1063">
        <f t="shared" si="21"/>
        <v>0.8056764866383116</v>
      </c>
      <c r="K109" s="1064">
        <f t="shared" si="21"/>
        <v>4.3531629475873661</v>
      </c>
      <c r="L109" s="1060">
        <f t="shared" si="21"/>
        <v>-8.1025400882275472E-2</v>
      </c>
      <c r="M109" s="1065">
        <f t="shared" si="22"/>
        <v>3.4400754167452243</v>
      </c>
      <c r="N109" s="1066">
        <f t="shared" si="22"/>
        <v>0.42290073595624156</v>
      </c>
      <c r="O109" s="1067">
        <f t="shared" si="22"/>
        <v>-9.0086339251873371E-2</v>
      </c>
      <c r="P109" s="1068">
        <f t="shared" si="22"/>
        <v>0.44946685046944856</v>
      </c>
      <c r="Q109" s="1066">
        <f t="shared" si="22"/>
        <v>0.16307046534988884</v>
      </c>
      <c r="R109" s="1067">
        <f t="shared" si="22"/>
        <v>1.3005419282788433</v>
      </c>
      <c r="S109" s="1068">
        <f t="shared" si="22"/>
        <v>0.30950096360373897</v>
      </c>
      <c r="T109" s="1066">
        <f t="shared" si="22"/>
        <v>0.18570292678335293</v>
      </c>
      <c r="U109" s="1067">
        <f t="shared" si="22"/>
        <v>1.251733079461073</v>
      </c>
      <c r="V109" s="1068">
        <f t="shared" si="22"/>
        <v>0.34197601038246805</v>
      </c>
      <c r="W109" s="1060">
        <f t="shared" si="22"/>
        <v>2.2632461433464091E-2</v>
      </c>
      <c r="X109" s="1060">
        <f t="shared" si="22"/>
        <v>0.13878945758144007</v>
      </c>
      <c r="Y109" s="1069" t="str">
        <f t="shared" si="22"/>
        <v>BBB</v>
      </c>
      <c r="Z109" s="1070" t="str">
        <f t="shared" si="23"/>
        <v>=  ¯ -</v>
      </c>
      <c r="AA109" s="1064">
        <f t="shared" si="19"/>
        <v>0.77886477042851432</v>
      </c>
      <c r="AB109" s="1071">
        <f t="shared" si="19"/>
        <v>1.0703005310133176</v>
      </c>
      <c r="AC109" s="1065">
        <f t="shared" si="19"/>
        <v>1.1762690733772538</v>
      </c>
      <c r="AD109" s="949"/>
      <c r="AE109" s="949"/>
      <c r="AF109" s="949"/>
      <c r="AG109" s="2129"/>
      <c r="AH109" s="949"/>
      <c r="AI109" s="949"/>
      <c r="AJ109" s="949"/>
      <c r="AK109" s="949"/>
      <c r="AL109" s="949"/>
      <c r="AM109" s="949"/>
      <c r="AN109" s="949"/>
      <c r="AO109" s="949"/>
      <c r="AP109" s="949"/>
      <c r="AQ109" s="949"/>
      <c r="AR109" s="110"/>
      <c r="AS109" s="110"/>
      <c r="AT109" s="110"/>
      <c r="AU109" s="949"/>
      <c r="AV109" s="949"/>
      <c r="AW109" s="949"/>
      <c r="AX109" s="949"/>
      <c r="AY109" s="949"/>
      <c r="AZ109" s="949"/>
      <c r="BA109" s="949"/>
      <c r="BB109" s="949"/>
      <c r="BC109" s="949"/>
      <c r="BD109" s="949"/>
      <c r="BE109" s="2267"/>
    </row>
    <row r="110" spans="1:57">
      <c r="A110" s="1090" t="s">
        <v>501</v>
      </c>
      <c r="B110" s="73" t="s">
        <v>44</v>
      </c>
      <c r="C110" s="1085">
        <f t="shared" si="21"/>
        <v>12234.494271428572</v>
      </c>
      <c r="D110" s="1086">
        <f t="shared" si="21"/>
        <v>3.1347753486597643E-2</v>
      </c>
      <c r="E110" s="116">
        <f t="shared" si="21"/>
        <v>-0.59766521701552</v>
      </c>
      <c r="F110" s="116">
        <f t="shared" si="21"/>
        <v>-0.49588963810988107</v>
      </c>
      <c r="G110" s="1061">
        <f t="shared" si="21"/>
        <v>6819.5967000000001</v>
      </c>
      <c r="H110" s="1062">
        <f t="shared" si="21"/>
        <v>1.8884794830384175E-2</v>
      </c>
      <c r="I110" s="1063">
        <f t="shared" si="21"/>
        <v>3.9295455833111754</v>
      </c>
      <c r="J110" s="1063">
        <f t="shared" si="21"/>
        <v>1.2175677021960365</v>
      </c>
      <c r="K110" s="1064">
        <f t="shared" si="21"/>
        <v>5.0345645887817243</v>
      </c>
      <c r="L110" s="1060">
        <f t="shared" si="21"/>
        <v>-0.26680842971581226</v>
      </c>
      <c r="M110" s="1065">
        <f t="shared" si="22"/>
        <v>4.0325018858098245</v>
      </c>
      <c r="N110" s="1066">
        <f t="shared" si="22"/>
        <v>0.5805147103617575</v>
      </c>
      <c r="O110" s="1067">
        <f t="shared" si="22"/>
        <v>8.4948466413752491E-2</v>
      </c>
      <c r="P110" s="1068">
        <f t="shared" si="22"/>
        <v>0.6264024463118032</v>
      </c>
      <c r="Q110" s="1066">
        <f t="shared" si="22"/>
        <v>0.51826084585195908</v>
      </c>
      <c r="R110" s="1067">
        <f t="shared" si="22"/>
        <v>0.40005999871326348</v>
      </c>
      <c r="S110" s="1068">
        <f t="shared" si="22"/>
        <v>0.58973938770950263</v>
      </c>
      <c r="T110" s="1066">
        <f t="shared" si="22"/>
        <v>0.5495689942142129</v>
      </c>
      <c r="U110" s="1067">
        <f t="shared" si="22"/>
        <v>0.40637993517884302</v>
      </c>
      <c r="V110" s="1068">
        <f t="shared" si="22"/>
        <v>0.63323863537070213</v>
      </c>
      <c r="W110" s="1060">
        <f t="shared" si="22"/>
        <v>3.1308148362253818E-2</v>
      </c>
      <c r="X110" s="1060">
        <f t="shared" si="22"/>
        <v>6.0410020577161203E-2</v>
      </c>
      <c r="Y110" s="1069" t="str">
        <f t="shared" si="22"/>
        <v>BBB-</v>
      </c>
      <c r="Z110" s="1070" t="str">
        <f t="shared" si="23"/>
        <v>=  ¯ =</v>
      </c>
      <c r="AA110" s="1064">
        <f t="shared" si="19"/>
        <v>2.643581803383519</v>
      </c>
      <c r="AB110" s="1071">
        <f t="shared" si="19"/>
        <v>2.8580691559688957E-2</v>
      </c>
      <c r="AC110" s="1065">
        <f t="shared" si="19"/>
        <v>2.5466878830879209</v>
      </c>
      <c r="AD110" s="949"/>
      <c r="AE110" s="949"/>
      <c r="AF110" s="949"/>
      <c r="AG110" s="2129"/>
      <c r="AH110" s="949"/>
      <c r="AI110" s="949"/>
      <c r="AJ110" s="949"/>
      <c r="AK110" s="949"/>
      <c r="AL110" s="949"/>
      <c r="AM110" s="949"/>
      <c r="AN110" s="949"/>
      <c r="AO110" s="949"/>
      <c r="AP110" s="949"/>
      <c r="AQ110" s="949"/>
      <c r="AR110" s="110"/>
      <c r="AS110" s="110"/>
      <c r="AT110" s="110"/>
      <c r="AU110" s="949"/>
      <c r="AV110" s="949"/>
      <c r="AW110" s="949"/>
      <c r="AX110" s="949"/>
      <c r="AY110" s="949"/>
      <c r="AZ110" s="949"/>
      <c r="BA110" s="949"/>
      <c r="BB110" s="949"/>
      <c r="BC110" s="949"/>
      <c r="BD110" s="949"/>
      <c r="BE110" s="2267"/>
    </row>
    <row r="111" spans="1:57">
      <c r="A111" s="1091" t="s">
        <v>319</v>
      </c>
      <c r="B111" s="691" t="s">
        <v>751</v>
      </c>
      <c r="C111" s="1087">
        <f t="shared" si="21"/>
        <v>2121.4584571428572</v>
      </c>
      <c r="D111" s="1088">
        <f t="shared" si="21"/>
        <v>5.4356931534045982E-3</v>
      </c>
      <c r="E111" s="1008">
        <f t="shared" si="21"/>
        <v>-0.63331383871554725</v>
      </c>
      <c r="F111" s="1008">
        <f t="shared" si="21"/>
        <v>-0.53153825980990832</v>
      </c>
      <c r="G111" s="1073">
        <f t="shared" si="21"/>
        <v>960.23059999999998</v>
      </c>
      <c r="H111" s="1074">
        <f t="shared" si="21"/>
        <v>2.6590660223142948E-3</v>
      </c>
      <c r="I111" s="1075">
        <f t="shared" si="21"/>
        <v>6.3820660890696566</v>
      </c>
      <c r="J111" s="1075">
        <f t="shared" si="21"/>
        <v>3.126768479322696</v>
      </c>
      <c r="K111" s="1076">
        <f t="shared" si="21"/>
        <v>4.988018554669714</v>
      </c>
      <c r="L111" s="1072">
        <f t="shared" si="21"/>
        <v>-0.2975700901517318</v>
      </c>
      <c r="M111" s="1077">
        <f t="shared" si="22"/>
        <v>3.6764587184436395</v>
      </c>
      <c r="N111" s="1078">
        <f t="shared" si="22"/>
        <v>0.95644485424869818</v>
      </c>
      <c r="O111" s="1079">
        <f t="shared" si="22"/>
        <v>5.7346309608293736E-3</v>
      </c>
      <c r="P111" s="1080">
        <f t="shared" si="22"/>
        <v>0.97265268915223335</v>
      </c>
      <c r="Q111" s="1078">
        <f t="shared" si="22"/>
        <v>0.16489915086810925</v>
      </c>
      <c r="R111" s="1079">
        <f t="shared" si="22"/>
        <v>2.0043608623878186</v>
      </c>
      <c r="S111" s="1080">
        <f t="shared" si="22"/>
        <v>0.32988338723452482</v>
      </c>
      <c r="T111" s="1078">
        <f t="shared" si="22"/>
        <v>0.27218937885351913</v>
      </c>
      <c r="U111" s="1079">
        <f t="shared" si="22"/>
        <v>1.2181747217666232</v>
      </c>
      <c r="V111" s="1080">
        <f t="shared" si="22"/>
        <v>0.4561905930983241</v>
      </c>
      <c r="W111" s="1072">
        <f t="shared" si="22"/>
        <v>0.10729022798540988</v>
      </c>
      <c r="X111" s="1072">
        <f t="shared" si="22"/>
        <v>0.65064148250965514</v>
      </c>
      <c r="Y111" s="1081" t="str">
        <f t="shared" si="22"/>
        <v>Not rated</v>
      </c>
      <c r="Z111" s="1082"/>
      <c r="AA111" s="1076">
        <f t="shared" si="19"/>
        <v>1.2440956586918632</v>
      </c>
      <c r="AB111" s="1083">
        <f t="shared" si="19"/>
        <v>0.5581122698382367</v>
      </c>
      <c r="AC111" s="1077">
        <f t="shared" si="19"/>
        <v>1.6771658832683087</v>
      </c>
      <c r="AD111" s="949"/>
      <c r="AE111" s="949"/>
      <c r="AF111" s="949"/>
      <c r="AG111" s="2129"/>
      <c r="AH111" s="949"/>
      <c r="AI111" s="949"/>
      <c r="AJ111" s="949"/>
      <c r="AK111" s="949"/>
      <c r="AL111" s="949"/>
      <c r="AM111" s="949"/>
      <c r="AN111" s="949"/>
      <c r="AO111" s="949"/>
      <c r="AP111" s="949"/>
      <c r="AQ111" s="949"/>
      <c r="AR111" s="110"/>
      <c r="AS111" s="110"/>
      <c r="AT111" s="110"/>
      <c r="AU111" s="949"/>
      <c r="AV111" s="949"/>
      <c r="AW111" s="949"/>
      <c r="AX111" s="949"/>
      <c r="AY111" s="949"/>
      <c r="AZ111" s="949"/>
      <c r="BA111" s="949"/>
      <c r="BB111" s="949"/>
      <c r="BC111" s="949"/>
      <c r="BD111" s="949"/>
      <c r="BE111" s="2267"/>
    </row>
    <row r="112" spans="1:57">
      <c r="A112" s="1090" t="s">
        <v>27</v>
      </c>
      <c r="B112" s="73" t="s">
        <v>54</v>
      </c>
      <c r="C112" s="1085">
        <f t="shared" si="21"/>
        <v>4745.1447857142857</v>
      </c>
      <c r="D112" s="1086">
        <f t="shared" si="21"/>
        <v>1.2158216408516635E-2</v>
      </c>
      <c r="E112" s="116">
        <f t="shared" si="21"/>
        <v>-0.63447330491761056</v>
      </c>
      <c r="F112" s="116">
        <f t="shared" si="21"/>
        <v>-0.53269772601197163</v>
      </c>
      <c r="G112" s="1061">
        <f t="shared" si="21"/>
        <v>2680.5724</v>
      </c>
      <c r="H112" s="1062">
        <f t="shared" si="21"/>
        <v>7.4230283738025878E-3</v>
      </c>
      <c r="I112" s="1063">
        <f t="shared" si="21"/>
        <v>1.3569881249181368</v>
      </c>
      <c r="J112" s="1063">
        <f t="shared" si="21"/>
        <v>1.0332545966156574</v>
      </c>
      <c r="K112" s="1064">
        <f t="shared" si="21"/>
        <v>6.3422811159545107</v>
      </c>
      <c r="L112" s="1060">
        <f t="shared" si="21"/>
        <v>-0.24924595564935845</v>
      </c>
      <c r="M112" s="1065">
        <f t="shared" si="22"/>
        <v>5.3369406950798908</v>
      </c>
      <c r="N112" s="1060">
        <f t="shared" si="22"/>
        <v>0.48460704112825509</v>
      </c>
      <c r="O112" s="1067">
        <f t="shared" si="22"/>
        <v>-0.18079580514885477</v>
      </c>
      <c r="P112" s="1068">
        <f t="shared" si="22"/>
        <v>0.49497857034449522</v>
      </c>
      <c r="Q112" s="1066">
        <f t="shared" si="22"/>
        <v>0.56717095077467305</v>
      </c>
      <c r="R112" s="1067">
        <f t="shared" si="22"/>
        <v>0.64731222518720821</v>
      </c>
      <c r="S112" s="1068">
        <f t="shared" si="22"/>
        <v>0.74754623070756221</v>
      </c>
      <c r="T112" s="1066">
        <f t="shared" si="22"/>
        <v>0.5748403529709204</v>
      </c>
      <c r="U112" s="1067">
        <f t="shared" si="22"/>
        <v>0.5906099669472562</v>
      </c>
      <c r="V112" s="1068">
        <f t="shared" si="22"/>
        <v>0.7506672643344422</v>
      </c>
      <c r="W112" s="1060">
        <f t="shared" si="22"/>
        <v>7.6694021962473435E-3</v>
      </c>
      <c r="X112" s="1060">
        <f t="shared" si="22"/>
        <v>1.3522205581530675E-2</v>
      </c>
      <c r="Y112" s="1069" t="str">
        <f t="shared" si="22"/>
        <v>BBB-</v>
      </c>
      <c r="Z112" s="1070" t="str">
        <f>VLOOKUP($B112,$B$7:$AC$28,Z$37+1,FALSE)</f>
        <v>¯  ¯ ¯</v>
      </c>
      <c r="AA112" s="1064">
        <f t="shared" si="19"/>
        <v>3.4278891827637503</v>
      </c>
      <c r="AB112" s="1071">
        <f t="shared" si="19"/>
        <v>0.24423537898737996</v>
      </c>
      <c r="AC112" s="1065">
        <f t="shared" si="19"/>
        <v>3.8230610288109381</v>
      </c>
      <c r="AD112" s="949"/>
      <c r="AE112" s="949"/>
      <c r="AF112" s="949"/>
      <c r="AG112" s="2129"/>
      <c r="AH112" s="949"/>
      <c r="AI112" s="949"/>
      <c r="AJ112" s="949"/>
      <c r="AK112" s="949"/>
      <c r="AL112" s="949"/>
      <c r="AM112" s="949"/>
      <c r="AN112" s="949"/>
      <c r="AO112" s="949"/>
      <c r="AP112" s="949"/>
      <c r="AQ112" s="949"/>
      <c r="AR112" s="110"/>
      <c r="AS112" s="110"/>
      <c r="AT112" s="110"/>
      <c r="AU112" s="949"/>
      <c r="AV112" s="949"/>
      <c r="AW112" s="949"/>
      <c r="AX112" s="949"/>
      <c r="AY112" s="949"/>
      <c r="AZ112" s="949"/>
      <c r="BA112" s="949"/>
      <c r="BB112" s="949"/>
      <c r="BC112" s="949"/>
      <c r="BD112" s="949"/>
      <c r="BE112" s="2267"/>
    </row>
    <row r="113" spans="1:57">
      <c r="A113" s="1090"/>
      <c r="B113" s="949"/>
      <c r="C113" s="949"/>
      <c r="D113" s="119"/>
      <c r="E113" s="949"/>
      <c r="F113" s="949"/>
      <c r="G113" s="949"/>
      <c r="H113" s="119"/>
      <c r="I113" s="119"/>
      <c r="J113" s="119"/>
      <c r="K113" s="949"/>
      <c r="L113" s="949"/>
      <c r="M113" s="949"/>
      <c r="N113" s="949"/>
      <c r="O113" s="949"/>
      <c r="P113" s="949"/>
      <c r="Q113" s="1005"/>
      <c r="R113" s="1005"/>
      <c r="S113" s="1005"/>
      <c r="T113" s="949"/>
      <c r="U113" s="949"/>
      <c r="V113" s="949"/>
      <c r="W113" s="1005"/>
      <c r="X113" s="1005"/>
      <c r="Y113" s="949"/>
      <c r="Z113" s="949"/>
      <c r="AA113" s="949"/>
      <c r="AB113" s="949"/>
      <c r="AC113" s="949"/>
      <c r="AD113" s="949"/>
      <c r="AE113" s="949"/>
      <c r="AF113" s="949"/>
      <c r="AG113" s="2129"/>
      <c r="AH113" s="949"/>
      <c r="AI113" s="949"/>
      <c r="AJ113" s="949"/>
      <c r="AK113" s="949"/>
      <c r="AL113" s="949"/>
      <c r="AM113" s="949"/>
      <c r="AN113" s="949"/>
      <c r="AO113" s="949"/>
      <c r="AP113" s="949"/>
      <c r="AQ113" s="949"/>
      <c r="AR113" s="110"/>
      <c r="AS113" s="110"/>
      <c r="AT113" s="110"/>
      <c r="AU113" s="949"/>
      <c r="AV113" s="949"/>
      <c r="AW113" s="949"/>
      <c r="AX113" s="949"/>
      <c r="AY113" s="949"/>
      <c r="AZ113" s="949"/>
      <c r="BA113" s="949"/>
      <c r="BB113" s="949"/>
      <c r="BC113" s="949"/>
      <c r="BD113" s="949"/>
      <c r="BE113" s="2267"/>
    </row>
    <row r="114" spans="1:57">
      <c r="A114" s="1090"/>
      <c r="B114" s="949"/>
      <c r="C114" s="949"/>
      <c r="D114" s="119"/>
      <c r="E114" s="949"/>
      <c r="F114" s="949"/>
      <c r="G114" s="949"/>
      <c r="H114" s="119"/>
      <c r="I114" s="119"/>
      <c r="J114" s="119"/>
      <c r="K114" s="949"/>
      <c r="L114" s="949"/>
      <c r="M114" s="949"/>
      <c r="N114" s="949"/>
      <c r="O114" s="949"/>
      <c r="P114" s="949"/>
      <c r="Q114" s="1005"/>
      <c r="R114" s="1005"/>
      <c r="S114" s="1005"/>
      <c r="T114" s="949"/>
      <c r="U114" s="949"/>
      <c r="V114" s="949"/>
      <c r="W114" s="1005"/>
      <c r="X114" s="1005"/>
      <c r="Y114" s="949"/>
      <c r="Z114" s="949"/>
      <c r="AA114" s="949"/>
      <c r="AB114" s="949"/>
      <c r="AC114" s="949"/>
      <c r="AD114" s="949"/>
      <c r="AE114" s="949"/>
      <c r="AF114" s="949"/>
      <c r="AG114" s="2129"/>
      <c r="AH114" s="949"/>
      <c r="AI114" s="949"/>
      <c r="AJ114" s="949"/>
      <c r="AK114" s="949"/>
      <c r="AL114" s="949"/>
      <c r="AM114" s="949"/>
      <c r="AN114" s="949"/>
      <c r="AO114" s="949"/>
      <c r="AP114" s="949"/>
      <c r="AQ114" s="949"/>
      <c r="AR114" s="110"/>
      <c r="AS114" s="110"/>
      <c r="AT114" s="110"/>
      <c r="AU114" s="949"/>
      <c r="AV114" s="949"/>
      <c r="AW114" s="949"/>
      <c r="AX114" s="949"/>
      <c r="AY114" s="949"/>
      <c r="AZ114" s="949"/>
      <c r="BA114" s="949"/>
      <c r="BB114" s="949"/>
      <c r="BC114" s="949"/>
      <c r="BD114" s="949"/>
      <c r="BE114" s="2267"/>
    </row>
    <row r="115" spans="1:57">
      <c r="A115" s="3315" t="s">
        <v>764</v>
      </c>
      <c r="B115" s="1286" t="s">
        <v>1012</v>
      </c>
      <c r="C115" s="1005"/>
      <c r="D115" s="119"/>
      <c r="E115" s="1005"/>
      <c r="F115" s="1005"/>
      <c r="G115" s="1005"/>
      <c r="H115" s="119"/>
      <c r="I115" s="119"/>
      <c r="J115" s="119"/>
      <c r="K115" s="1005"/>
      <c r="L115" s="1005"/>
      <c r="M115" s="1005"/>
      <c r="N115" s="1005"/>
      <c r="O115" s="1005"/>
      <c r="P115" s="1005"/>
      <c r="Q115" s="1005"/>
      <c r="R115" s="1005"/>
      <c r="S115" s="1005"/>
      <c r="T115" s="1005"/>
      <c r="U115" s="1005"/>
      <c r="V115" s="1005"/>
      <c r="W115" s="1005"/>
      <c r="X115" s="1005"/>
      <c r="Y115" s="1005"/>
      <c r="Z115" s="1005"/>
      <c r="AA115" s="1005"/>
      <c r="AB115" s="1005"/>
      <c r="AC115" s="1005"/>
      <c r="AD115" s="949"/>
      <c r="AE115" s="1089" t="s">
        <v>1012</v>
      </c>
      <c r="AF115" s="1089" t="s">
        <v>1811</v>
      </c>
      <c r="AG115" s="1089"/>
      <c r="AH115" s="949"/>
      <c r="AI115" s="949"/>
      <c r="AJ115" s="949"/>
      <c r="AK115" s="949"/>
      <c r="AL115" s="949"/>
      <c r="AM115" s="949"/>
      <c r="AN115" s="949"/>
      <c r="AO115" s="949"/>
      <c r="AP115" s="949"/>
      <c r="AQ115" s="949"/>
      <c r="AR115" s="110"/>
      <c r="AS115" s="110"/>
      <c r="AT115" s="110"/>
      <c r="AU115" s="949"/>
      <c r="AV115" s="949"/>
      <c r="AW115" s="949"/>
      <c r="AX115" s="949"/>
      <c r="AY115" s="949"/>
      <c r="AZ115" s="949"/>
      <c r="BA115" s="949"/>
      <c r="BB115" s="949"/>
      <c r="BC115" s="949"/>
      <c r="BD115" s="949"/>
      <c r="BE115" s="2267"/>
    </row>
    <row r="116" spans="1:57">
      <c r="A116" s="1091" t="s">
        <v>319</v>
      </c>
      <c r="B116" s="691" t="s">
        <v>752</v>
      </c>
      <c r="C116" s="1087">
        <f t="shared" ref="C116:AC116" si="24">VLOOKUP($B116,$B$7:$AC$28,C$37+1,FALSE)</f>
        <v>3541.6238999999996</v>
      </c>
      <c r="D116" s="1088">
        <f t="shared" si="24"/>
        <v>9.0745028357006995E-3</v>
      </c>
      <c r="E116" s="1072">
        <f t="shared" si="24"/>
        <v>0.67327297771392325</v>
      </c>
      <c r="F116" s="1072">
        <f t="shared" si="24"/>
        <v>0.77504855661956218</v>
      </c>
      <c r="G116" s="1073">
        <f t="shared" si="24"/>
        <v>4048.9897999999998</v>
      </c>
      <c r="H116" s="1074">
        <f t="shared" si="24"/>
        <v>1.1212443346293226E-2</v>
      </c>
      <c r="I116" s="1075">
        <f t="shared" si="24"/>
        <v>-1.4186196832586249</v>
      </c>
      <c r="J116" s="1075">
        <f t="shared" si="24"/>
        <v>-2.7147098893731143</v>
      </c>
      <c r="K116" s="1011">
        <f t="shared" si="24"/>
        <v>8.5213348378460623</v>
      </c>
      <c r="L116" s="1072">
        <f t="shared" si="24"/>
        <v>0.26215680659638446</v>
      </c>
      <c r="M116" s="1077">
        <f t="shared" si="24"/>
        <v>9.0506669895995948</v>
      </c>
      <c r="N116" s="1078">
        <f t="shared" si="24"/>
        <v>6.4385445236561381E-2</v>
      </c>
      <c r="O116" s="1079">
        <f t="shared" si="24"/>
        <v>14.697799124913645</v>
      </c>
      <c r="P116" s="1080">
        <f t="shared" si="24"/>
        <v>0.15462918080465343</v>
      </c>
      <c r="Q116" s="1078">
        <f t="shared" si="24"/>
        <v>0.42399287000325037</v>
      </c>
      <c r="R116" s="1079">
        <f t="shared" si="24"/>
        <v>4.5742782667206161E-2</v>
      </c>
      <c r="S116" s="1080">
        <f t="shared" si="24"/>
        <v>0.48144640266975475</v>
      </c>
      <c r="T116" s="1078">
        <f t="shared" si="24"/>
        <v>0.42695023434228802</v>
      </c>
      <c r="U116" s="1079">
        <f t="shared" si="24"/>
        <v>4.1366838913311048E-2</v>
      </c>
      <c r="V116" s="1080">
        <f t="shared" si="24"/>
        <v>0.4832654138496531</v>
      </c>
      <c r="W116" s="1072">
        <f t="shared" si="24"/>
        <v>2.9573643390376492E-3</v>
      </c>
      <c r="X116" s="1072">
        <f t="shared" si="24"/>
        <v>6.9750331863245195E-3</v>
      </c>
      <c r="Y116" s="1081" t="str">
        <f t="shared" si="24"/>
        <v>B+</v>
      </c>
      <c r="Z116" s="1082" t="str">
        <f t="shared" si="24"/>
        <v>=  =  =</v>
      </c>
      <c r="AA116" s="1076">
        <f t="shared" si="24"/>
        <v>3.7014756930154613</v>
      </c>
      <c r="AB116" s="1083">
        <f t="shared" si="24"/>
        <v>0.31334582285320112</v>
      </c>
      <c r="AC116" s="1077">
        <f t="shared" si="24"/>
        <v>4.3704719780651446</v>
      </c>
      <c r="AD116" s="949"/>
      <c r="AE116" s="1695" t="s">
        <v>752</v>
      </c>
      <c r="AF116" s="1909">
        <f>CALCULATIONS!FD9</f>
        <v>8.7131538461538458</v>
      </c>
      <c r="AG116" s="2223">
        <f>K116-AF116</f>
        <v>-0.19181900830778353</v>
      </c>
      <c r="AH116" s="949"/>
      <c r="AI116" s="949"/>
      <c r="AJ116" s="949"/>
      <c r="AK116" s="949"/>
      <c r="AL116" s="949"/>
      <c r="AM116" s="949"/>
      <c r="AN116" s="949"/>
      <c r="AO116" s="949"/>
      <c r="AP116" s="949"/>
      <c r="AQ116" s="949"/>
      <c r="AR116" s="110"/>
      <c r="AS116" s="110"/>
      <c r="AT116" s="110"/>
      <c r="AU116" s="949"/>
      <c r="AV116" s="949"/>
      <c r="AW116" s="949"/>
      <c r="AX116" s="949"/>
      <c r="AY116" s="949"/>
      <c r="AZ116" s="949"/>
      <c r="BA116" s="949"/>
      <c r="BB116" s="949"/>
      <c r="BC116" s="949"/>
      <c r="BD116" s="949"/>
      <c r="BE116" s="2267"/>
    </row>
    <row r="117" spans="1:57">
      <c r="A117" s="1090" t="s">
        <v>19</v>
      </c>
      <c r="B117" s="73" t="s">
        <v>285</v>
      </c>
      <c r="C117" s="1085">
        <f t="shared" ref="C117:L126" si="25">VLOOKUP($B117,$B$7:$AC$28,C$37+1,FALSE)</f>
        <v>6002.7646707914537</v>
      </c>
      <c r="D117" s="1086">
        <f t="shared" si="25"/>
        <v>1.538054479108892E-2</v>
      </c>
      <c r="E117" s="1060">
        <f t="shared" si="25"/>
        <v>1.7468659495150733</v>
      </c>
      <c r="F117" s="1060">
        <f t="shared" si="25"/>
        <v>1.8486415284207123</v>
      </c>
      <c r="G117" s="1061">
        <f t="shared" si="25"/>
        <v>9571.524995540176</v>
      </c>
      <c r="H117" s="1062">
        <f t="shared" si="25"/>
        <v>2.6505421611613778E-2</v>
      </c>
      <c r="I117" s="1063">
        <f t="shared" si="25"/>
        <v>4.1497848696984878</v>
      </c>
      <c r="J117" s="1063">
        <f t="shared" si="25"/>
        <v>5.1075046454025781</v>
      </c>
      <c r="K117" s="130">
        <f t="shared" si="25"/>
        <v>7.8090133066846761</v>
      </c>
      <c r="L117" s="1060">
        <f t="shared" si="25"/>
        <v>0.8464659845431286</v>
      </c>
      <c r="M117" s="1065">
        <f t="shared" ref="M117:Y126" si="26">VLOOKUP($B117,$B$7:$AC$28,M$37+1,FALSE)</f>
        <v>9.6719476082953495</v>
      </c>
      <c r="N117" s="1066">
        <f t="shared" si="26"/>
        <v>9.1630231095150338E-2</v>
      </c>
      <c r="O117" s="1084" t="str">
        <f t="shared" si="26"/>
        <v>¥</v>
      </c>
      <c r="P117" s="1068">
        <f t="shared" si="26"/>
        <v>0.34976819018989347</v>
      </c>
      <c r="Q117" s="1066">
        <f t="shared" si="26"/>
        <v>0.13477545507373562</v>
      </c>
      <c r="R117" s="1067">
        <f t="shared" si="26"/>
        <v>-0.4264373226073967</v>
      </c>
      <c r="S117" s="1068">
        <f t="shared" si="26"/>
        <v>9.7905485588969735E-2</v>
      </c>
      <c r="T117" s="1066">
        <f t="shared" si="26"/>
        <v>0.16024846762312819</v>
      </c>
      <c r="U117" s="1067">
        <f t="shared" si="26"/>
        <v>-0.25253039609468159</v>
      </c>
      <c r="V117" s="1068">
        <f t="shared" si="26"/>
        <v>0.12849893093161849</v>
      </c>
      <c r="W117" s="1060">
        <f t="shared" si="26"/>
        <v>2.5473012549392576E-2</v>
      </c>
      <c r="X117" s="1060">
        <f t="shared" si="26"/>
        <v>0.18900335031669008</v>
      </c>
      <c r="Y117" s="1069" t="str">
        <f t="shared" si="26"/>
        <v>Not rated</v>
      </c>
      <c r="Z117" s="1070"/>
      <c r="AA117" s="1064">
        <f t="shared" ref="AA117:AC137" si="27">VLOOKUP($B117,$B$7:$AC$28,AA$37+1,FALSE)</f>
        <v>1.265551414722516</v>
      </c>
      <c r="AB117" s="1071">
        <f t="shared" si="27"/>
        <v>0.38040351489576829</v>
      </c>
      <c r="AC117" s="1065">
        <f t="shared" si="27"/>
        <v>1.242834927692577</v>
      </c>
      <c r="AD117" s="949"/>
      <c r="AE117" s="1694" t="s">
        <v>285</v>
      </c>
      <c r="AF117" s="1560">
        <f>CALCULATIONS!FD13</f>
        <v>7.9689265918365058</v>
      </c>
      <c r="AG117" s="134">
        <f t="shared" ref="AG117:AG137" si="28">K117-AF117</f>
        <v>-0.15991328515182968</v>
      </c>
      <c r="AH117" s="949"/>
      <c r="AI117" s="949"/>
      <c r="AJ117" s="949"/>
      <c r="AK117" s="949"/>
      <c r="AL117" s="949"/>
      <c r="AM117" s="949"/>
      <c r="AN117" s="949"/>
      <c r="AO117" s="949"/>
      <c r="AP117" s="949"/>
      <c r="AQ117" s="949"/>
      <c r="AR117" s="110"/>
      <c r="AS117" s="110"/>
      <c r="AT117" s="110"/>
      <c r="AU117" s="949"/>
      <c r="AV117" s="949"/>
      <c r="AW117" s="949"/>
      <c r="AX117" s="949"/>
      <c r="AY117" s="949"/>
      <c r="AZ117" s="949"/>
      <c r="BA117" s="949"/>
      <c r="BB117" s="949"/>
      <c r="BC117" s="949"/>
      <c r="BD117" s="949"/>
      <c r="BE117" s="2267"/>
    </row>
    <row r="118" spans="1:57">
      <c r="A118" s="1090" t="s">
        <v>503</v>
      </c>
      <c r="B118" s="73" t="s">
        <v>282</v>
      </c>
      <c r="C118" s="1085">
        <f t="shared" si="25"/>
        <v>22949.481858519866</v>
      </c>
      <c r="D118" s="1086">
        <f t="shared" si="25"/>
        <v>5.8802160840116385E-2</v>
      </c>
      <c r="E118" s="1060">
        <f t="shared" si="25"/>
        <v>-8.3288171902550459E-2</v>
      </c>
      <c r="F118" s="1060">
        <f t="shared" si="25"/>
        <v>1.8487407003088485E-2</v>
      </c>
      <c r="G118" s="1061">
        <f t="shared" si="25"/>
        <v>21731.57918967646</v>
      </c>
      <c r="H118" s="1062">
        <f t="shared" si="25"/>
        <v>6.0178986000343146E-2</v>
      </c>
      <c r="I118" s="1063">
        <f t="shared" si="25"/>
        <v>1.7647070716020126</v>
      </c>
      <c r="J118" s="1063">
        <f t="shared" si="25"/>
        <v>1.7786623686113903</v>
      </c>
      <c r="K118" s="130">
        <f t="shared" si="25"/>
        <v>7.5628972253366413</v>
      </c>
      <c r="L118" s="1060">
        <f t="shared" si="25"/>
        <v>2.1076957712408067E-2</v>
      </c>
      <c r="M118" s="1065">
        <f t="shared" si="26"/>
        <v>7.6896404016441506</v>
      </c>
      <c r="N118" s="1066">
        <f t="shared" si="26"/>
        <v>0.67984865616162071</v>
      </c>
      <c r="O118" s="1067">
        <f t="shared" si="26"/>
        <v>0.13956056160252914</v>
      </c>
      <c r="P118" s="1068">
        <f t="shared" si="26"/>
        <v>0.7167630057803468</v>
      </c>
      <c r="Q118" s="1066">
        <f t="shared" si="26"/>
        <v>0.23215418017261674</v>
      </c>
      <c r="R118" s="1067">
        <f t="shared" si="26"/>
        <v>0.36187217108516367</v>
      </c>
      <c r="S118" s="1068">
        <f t="shared" si="26"/>
        <v>0.26525179681706468</v>
      </c>
      <c r="T118" s="1066">
        <f t="shared" si="26"/>
        <v>0.2501311526811702</v>
      </c>
      <c r="U118" s="1067">
        <f t="shared" si="26"/>
        <v>0.31916438327965047</v>
      </c>
      <c r="V118" s="1068">
        <f t="shared" si="26"/>
        <v>0.28287599661626001</v>
      </c>
      <c r="W118" s="1060">
        <f t="shared" si="26"/>
        <v>1.7976972508553457E-2</v>
      </c>
      <c r="X118" s="1060">
        <f t="shared" si="26"/>
        <v>7.7435489187344358E-2</v>
      </c>
      <c r="Y118" s="1069" t="str">
        <f t="shared" si="26"/>
        <v>A-</v>
      </c>
      <c r="Z118" s="1070" t="str">
        <f>VLOOKUP($B118,$B$7:$AC$28,Z$37+1,FALSE)</f>
        <v>=  =  =</v>
      </c>
      <c r="AA118" s="1064">
        <f t="shared" si="27"/>
        <v>1.845874038975184</v>
      </c>
      <c r="AB118" s="1071">
        <f t="shared" si="27"/>
        <v>0.36079457239176377</v>
      </c>
      <c r="AC118" s="1065">
        <f t="shared" si="27"/>
        <v>2.1424428051274771</v>
      </c>
      <c r="AD118" s="949"/>
      <c r="AE118" s="1694" t="s">
        <v>277</v>
      </c>
      <c r="AF118" s="1560">
        <f>CALCULATIONS!FD22</f>
        <v>7.5914538461538452</v>
      </c>
      <c r="AG118" s="134">
        <f t="shared" si="28"/>
        <v>-2.8556620817203893E-2</v>
      </c>
      <c r="AH118" s="949"/>
      <c r="AI118" s="949"/>
      <c r="AJ118" s="949"/>
      <c r="AK118" s="949"/>
      <c r="AL118" s="949"/>
      <c r="AM118" s="949"/>
      <c r="AN118" s="949"/>
      <c r="AO118" s="949"/>
      <c r="AP118" s="949"/>
      <c r="AQ118" s="949"/>
      <c r="AR118" s="110"/>
      <c r="AS118" s="110"/>
      <c r="AT118" s="110"/>
      <c r="AU118" s="949"/>
      <c r="AV118" s="949"/>
      <c r="AW118" s="949"/>
      <c r="AX118" s="949"/>
      <c r="AY118" s="949"/>
      <c r="AZ118" s="949"/>
      <c r="BA118" s="949"/>
      <c r="BB118" s="949"/>
      <c r="BC118" s="949"/>
      <c r="BD118" s="949"/>
      <c r="BE118" s="2267"/>
    </row>
    <row r="119" spans="1:57">
      <c r="A119" s="1090" t="s">
        <v>32</v>
      </c>
      <c r="B119" s="73" t="s">
        <v>277</v>
      </c>
      <c r="C119" s="1085">
        <f t="shared" si="25"/>
        <v>103061.53572524291</v>
      </c>
      <c r="D119" s="1086">
        <f t="shared" si="25"/>
        <v>0.26406875054982143</v>
      </c>
      <c r="E119" s="1060">
        <f t="shared" si="25"/>
        <v>7.5306160052783275E-2</v>
      </c>
      <c r="F119" s="1060">
        <f t="shared" si="25"/>
        <v>0.17708173895842222</v>
      </c>
      <c r="G119" s="1061">
        <f t="shared" si="25"/>
        <v>106720.85775234729</v>
      </c>
      <c r="H119" s="1062">
        <f t="shared" si="25"/>
        <v>0.29553089301830604</v>
      </c>
      <c r="I119" s="1063">
        <f t="shared" si="25"/>
        <v>1.0837821931217524</v>
      </c>
      <c r="J119" s="1063">
        <f t="shared" si="25"/>
        <v>1.259272460269286</v>
      </c>
      <c r="K119" s="130">
        <f t="shared" si="25"/>
        <v>7.534246564629953</v>
      </c>
      <c r="L119" s="1060">
        <f t="shared" si="25"/>
        <v>0.12910548637067604</v>
      </c>
      <c r="M119" s="1065">
        <f t="shared" si="26"/>
        <v>8.6584668441025876</v>
      </c>
      <c r="N119" s="1066">
        <f t="shared" si="26"/>
        <v>0.91487499999999988</v>
      </c>
      <c r="O119" s="1067">
        <f t="shared" si="26"/>
        <v>-4.3736501079913587E-2</v>
      </c>
      <c r="P119" s="1068">
        <f t="shared" si="26"/>
        <v>0.89481420237931208</v>
      </c>
      <c r="Q119" s="1066">
        <f t="shared" si="26"/>
        <v>0.24509229252810941</v>
      </c>
      <c r="R119" s="1067">
        <f t="shared" si="26"/>
        <v>-0.16501821733667812</v>
      </c>
      <c r="S119" s="1068">
        <f t="shared" si="26"/>
        <v>0.23828807339295358</v>
      </c>
      <c r="T119" s="1066">
        <f t="shared" si="26"/>
        <v>0.27870192226407053</v>
      </c>
      <c r="U119" s="1067">
        <f t="shared" si="26"/>
        <v>-0.14309331637647091</v>
      </c>
      <c r="V119" s="1068">
        <f t="shared" si="26"/>
        <v>0.2718321660431175</v>
      </c>
      <c r="W119" s="1060">
        <f t="shared" si="26"/>
        <v>3.3609629735961127E-2</v>
      </c>
      <c r="X119" s="1060">
        <f t="shared" si="26"/>
        <v>0.13713050455108242</v>
      </c>
      <c r="Y119" s="1069" t="str">
        <f t="shared" si="26"/>
        <v>A-</v>
      </c>
      <c r="Z119" s="1070" t="str">
        <f>VLOOKUP($B119,$B$7:$AC$28,Z$37+1,FALSE)</f>
        <v>=  =  =</v>
      </c>
      <c r="AA119" s="1064">
        <f t="shared" si="27"/>
        <v>2.0880314655341889</v>
      </c>
      <c r="AB119" s="1071">
        <f t="shared" si="27"/>
        <v>-3.7762767487534328E-2</v>
      </c>
      <c r="AC119" s="1065">
        <f t="shared" si="27"/>
        <v>2.3348198024327131</v>
      </c>
      <c r="AD119" s="949"/>
      <c r="AE119" s="1694" t="s">
        <v>282</v>
      </c>
      <c r="AF119" s="1560">
        <f>CALCULATIONS!FD23</f>
        <v>7.5677461538461541</v>
      </c>
      <c r="AG119" s="134">
        <f t="shared" si="28"/>
        <v>-3.3499589216201109E-2</v>
      </c>
      <c r="AH119" s="949"/>
      <c r="AI119" s="949"/>
      <c r="AJ119" s="949"/>
      <c r="AK119" s="949"/>
      <c r="AL119" s="949"/>
      <c r="AM119" s="949"/>
      <c r="AN119" s="949"/>
      <c r="AO119" s="949"/>
      <c r="AP119" s="949"/>
      <c r="AQ119" s="949"/>
      <c r="AR119" s="110"/>
      <c r="AS119" s="110"/>
      <c r="AT119" s="110"/>
      <c r="AU119" s="949"/>
      <c r="AV119" s="949"/>
      <c r="AW119" s="949"/>
      <c r="AX119" s="949"/>
      <c r="AY119" s="949"/>
      <c r="AZ119" s="949"/>
      <c r="BA119" s="949"/>
      <c r="BB119" s="949"/>
      <c r="BC119" s="949"/>
      <c r="BD119" s="949"/>
      <c r="BE119" s="2267"/>
    </row>
    <row r="120" spans="1:57">
      <c r="A120" s="1090" t="s">
        <v>504</v>
      </c>
      <c r="B120" s="73" t="s">
        <v>288</v>
      </c>
      <c r="C120" s="1085">
        <f t="shared" si="25"/>
        <v>16250.837973523972</v>
      </c>
      <c r="D120" s="1086">
        <f t="shared" si="25"/>
        <v>4.1638604052015776E-2</v>
      </c>
      <c r="E120" s="1060">
        <f t="shared" si="25"/>
        <v>0.20894195471198634</v>
      </c>
      <c r="F120" s="1060">
        <f t="shared" si="25"/>
        <v>0.31071753361762527</v>
      </c>
      <c r="G120" s="1061">
        <f t="shared" si="25"/>
        <v>17428.290742138299</v>
      </c>
      <c r="H120" s="1062">
        <f t="shared" si="25"/>
        <v>4.826234004564605E-2</v>
      </c>
      <c r="I120" s="1063">
        <f t="shared" si="25"/>
        <v>4.0995220850209826</v>
      </c>
      <c r="J120" s="1063">
        <f t="shared" si="25"/>
        <v>4.5731712273212377</v>
      </c>
      <c r="K120" s="130">
        <f t="shared" si="25"/>
        <v>6.7450557383311427</v>
      </c>
      <c r="L120" s="1060">
        <f t="shared" si="25"/>
        <v>0.2149868566781509</v>
      </c>
      <c r="M120" s="1065">
        <f t="shared" si="26"/>
        <v>7.5822149145373468</v>
      </c>
      <c r="N120" s="1066">
        <f t="shared" si="26"/>
        <v>0.32615050588405037</v>
      </c>
      <c r="O120" s="1067">
        <f t="shared" si="26"/>
        <v>-8.7660674172335792E-2</v>
      </c>
      <c r="P120" s="1068">
        <f t="shared" si="26"/>
        <v>0.30985103942866765</v>
      </c>
      <c r="Q120" s="1066">
        <f t="shared" si="26"/>
        <v>0.30558583418722468</v>
      </c>
      <c r="R120" s="1067">
        <f t="shared" si="26"/>
        <v>-0.13620468181810452</v>
      </c>
      <c r="S120" s="1068">
        <f t="shared" si="26"/>
        <v>0.29018390059321952</v>
      </c>
      <c r="T120" s="1066">
        <f t="shared" si="26"/>
        <v>0.31922230141848357</v>
      </c>
      <c r="U120" s="1067">
        <f t="shared" si="26"/>
        <v>-0.13496032758973828</v>
      </c>
      <c r="V120" s="1068">
        <f t="shared" si="26"/>
        <v>0.30362227391248225</v>
      </c>
      <c r="W120" s="1060">
        <f t="shared" si="26"/>
        <v>1.3636467231258886E-2</v>
      </c>
      <c r="X120" s="1060">
        <f t="shared" si="26"/>
        <v>4.4624016252350789E-2</v>
      </c>
      <c r="Y120" s="1069" t="str">
        <f t="shared" si="26"/>
        <v>A</v>
      </c>
      <c r="Z120" s="1070" t="str">
        <f>VLOOKUP($B120,$B$7:$AC$28,Z$37+1,FALSE)</f>
        <v>=  =  -</v>
      </c>
      <c r="AA120" s="1064">
        <f t="shared" si="27"/>
        <v>2.1579177629636748</v>
      </c>
      <c r="AB120" s="1071">
        <f t="shared" si="27"/>
        <v>6.0078851309961184E-2</v>
      </c>
      <c r="AC120" s="1065">
        <f t="shared" si="27"/>
        <v>2.3009327536910358</v>
      </c>
      <c r="AD120" s="949"/>
      <c r="AE120" s="1694" t="s">
        <v>288</v>
      </c>
      <c r="AF120" s="1560">
        <f>CALCULATIONS!FD25</f>
        <v>6.8029538461538461</v>
      </c>
      <c r="AG120" s="134">
        <f t="shared" si="28"/>
        <v>-5.7898107822703437E-2</v>
      </c>
      <c r="AH120" s="949"/>
      <c r="AI120" s="949"/>
      <c r="AJ120" s="949"/>
      <c r="AK120" s="949"/>
      <c r="AL120" s="949"/>
      <c r="AM120" s="949"/>
      <c r="AN120" s="949"/>
      <c r="AO120" s="949"/>
      <c r="AP120" s="949"/>
      <c r="AQ120" s="949"/>
      <c r="AR120" s="110"/>
      <c r="AS120" s="110"/>
      <c r="AT120" s="110"/>
      <c r="AU120" s="949"/>
      <c r="AV120" s="949"/>
      <c r="AW120" s="949"/>
      <c r="AX120" s="949"/>
      <c r="AY120" s="949"/>
      <c r="AZ120" s="949"/>
      <c r="BA120" s="949"/>
      <c r="BB120" s="949"/>
      <c r="BC120" s="949"/>
      <c r="BD120" s="949"/>
      <c r="BE120" s="2267"/>
    </row>
    <row r="121" spans="1:57">
      <c r="A121" s="1090" t="s">
        <v>73</v>
      </c>
      <c r="B121" s="73" t="s">
        <v>283</v>
      </c>
      <c r="C121" s="1085">
        <f t="shared" si="25"/>
        <v>2461.5190857142857</v>
      </c>
      <c r="D121" s="1086">
        <f t="shared" si="25"/>
        <v>6.3070112903421734E-3</v>
      </c>
      <c r="E121" s="1060">
        <f t="shared" si="25"/>
        <v>6.738754525599433E-2</v>
      </c>
      <c r="F121" s="1060">
        <f t="shared" si="25"/>
        <v>0.16916312416163326</v>
      </c>
      <c r="G121" s="1061">
        <f t="shared" si="25"/>
        <v>2364.3629999999998</v>
      </c>
      <c r="H121" s="1062">
        <f t="shared" si="25"/>
        <v>6.5473828033777437E-3</v>
      </c>
      <c r="I121" s="1063">
        <f t="shared" si="25"/>
        <v>3.1397518024733277</v>
      </c>
      <c r="J121" s="1063">
        <f t="shared" si="25"/>
        <v>3.0995844257996854</v>
      </c>
      <c r="K121" s="130">
        <f t="shared" si="25"/>
        <v>6.6917014692746157</v>
      </c>
      <c r="L121" s="1060">
        <f t="shared" si="25"/>
        <v>0.14721542174528052</v>
      </c>
      <c r="M121" s="1065">
        <f t="shared" si="26"/>
        <v>7.0127743881429545</v>
      </c>
      <c r="N121" s="1066">
        <f t="shared" si="26"/>
        <v>0.62657499999999999</v>
      </c>
      <c r="O121" s="1067">
        <f t="shared" si="26"/>
        <v>5.5614710459497153E-2</v>
      </c>
      <c r="P121" s="1068">
        <f t="shared" si="26"/>
        <v>0.64439999999999997</v>
      </c>
      <c r="Q121" s="1066">
        <f t="shared" si="26"/>
        <v>0.24190098439360719</v>
      </c>
      <c r="R121" s="1067">
        <f t="shared" si="26"/>
        <v>0.20667512064869559</v>
      </c>
      <c r="S121" s="1068">
        <f t="shared" si="26"/>
        <v>0.30597960586046052</v>
      </c>
      <c r="T121" s="1066">
        <f t="shared" si="26"/>
        <v>0.2616424852780464</v>
      </c>
      <c r="U121" s="1067">
        <f t="shared" si="26"/>
        <v>0.20296552626351777</v>
      </c>
      <c r="V121" s="1068">
        <f t="shared" si="26"/>
        <v>0.32061814749302248</v>
      </c>
      <c r="W121" s="1060">
        <f t="shared" si="26"/>
        <v>1.9741500884439211E-2</v>
      </c>
      <c r="X121" s="1060">
        <f t="shared" si="26"/>
        <v>8.1609841042717679E-2</v>
      </c>
      <c r="Y121" s="1069" t="str">
        <f t="shared" si="26"/>
        <v>BBB</v>
      </c>
      <c r="Z121" s="1070" t="str">
        <f>VLOOKUP($B121,$B$7:$AC$28,Z$37+1,FALSE)</f>
        <v>=  =  -</v>
      </c>
      <c r="AA121" s="1064">
        <f t="shared" si="27"/>
        <v>1.7511002028712532</v>
      </c>
      <c r="AB121" s="1071">
        <f t="shared" si="27"/>
        <v>0.37093258903528414</v>
      </c>
      <c r="AC121" s="1065">
        <f t="shared" si="27"/>
        <v>2.2311132077757287</v>
      </c>
      <c r="AD121" s="949"/>
      <c r="AE121" s="1694" t="s">
        <v>283</v>
      </c>
      <c r="AF121" s="1560">
        <f>CALCULATIONS!FD12</f>
        <v>6.7117230769230778</v>
      </c>
      <c r="AG121" s="134">
        <f t="shared" si="28"/>
        <v>-2.0021607648462059E-2</v>
      </c>
      <c r="AH121" s="949"/>
      <c r="AI121" s="949"/>
      <c r="AJ121" s="949"/>
      <c r="AK121" s="949"/>
      <c r="AL121" s="949"/>
      <c r="AM121" s="949"/>
      <c r="AN121" s="949"/>
      <c r="AO121" s="949"/>
      <c r="AP121" s="949"/>
      <c r="AQ121" s="949"/>
      <c r="AR121" s="110"/>
      <c r="AS121" s="110"/>
      <c r="AT121" s="110"/>
      <c r="AU121" s="949"/>
      <c r="AV121" s="949"/>
      <c r="AW121" s="949"/>
      <c r="AX121" s="949"/>
      <c r="AY121" s="949"/>
      <c r="AZ121" s="949"/>
      <c r="BA121" s="949"/>
      <c r="BB121" s="949"/>
      <c r="BC121" s="949"/>
      <c r="BD121" s="949"/>
      <c r="BE121" s="2267"/>
    </row>
    <row r="122" spans="1:57">
      <c r="A122" s="1090" t="s">
        <v>503</v>
      </c>
      <c r="B122" s="73" t="s">
        <v>280</v>
      </c>
      <c r="C122" s="1085">
        <f t="shared" si="25"/>
        <v>5769.8566757446433</v>
      </c>
      <c r="D122" s="1086">
        <f t="shared" si="25"/>
        <v>1.4783777793466828E-2</v>
      </c>
      <c r="E122" s="1060">
        <f t="shared" si="25"/>
        <v>-0.24705029723080094</v>
      </c>
      <c r="F122" s="1060">
        <f t="shared" si="25"/>
        <v>-0.14527471832516198</v>
      </c>
      <c r="G122" s="1061">
        <f t="shared" si="25"/>
        <v>4026.3480952657014</v>
      </c>
      <c r="H122" s="1062">
        <f t="shared" si="25"/>
        <v>1.1149744044952231E-2</v>
      </c>
      <c r="I122" s="1063">
        <f t="shared" si="25"/>
        <v>2.446298838298576</v>
      </c>
      <c r="J122" s="1063">
        <f t="shared" si="25"/>
        <v>1.6476276710656086</v>
      </c>
      <c r="K122" s="130">
        <f t="shared" si="25"/>
        <v>6.5589809256196414</v>
      </c>
      <c r="L122" s="1060">
        <f t="shared" si="25"/>
        <v>1.2127469272410992E-3</v>
      </c>
      <c r="M122" s="1065">
        <f t="shared" si="26"/>
        <v>5.5145354419406587</v>
      </c>
      <c r="N122" s="1066">
        <f t="shared" si="26"/>
        <v>0.67083419702973635</v>
      </c>
      <c r="O122" s="1067">
        <f t="shared" si="26"/>
        <v>-0.11335389957676706</v>
      </c>
      <c r="P122" s="1068">
        <f t="shared" si="26"/>
        <v>0.63639387890884902</v>
      </c>
      <c r="Q122" s="1066">
        <f t="shared" si="26"/>
        <v>0.1536920907726812</v>
      </c>
      <c r="R122" s="1067">
        <f t="shared" si="26"/>
        <v>1.6283818604559013</v>
      </c>
      <c r="S122" s="1068">
        <f t="shared" si="26"/>
        <v>0.2022242346359609</v>
      </c>
      <c r="T122" s="1066">
        <f t="shared" si="26"/>
        <v>0.20961441125119315</v>
      </c>
      <c r="U122" s="1067">
        <f t="shared" si="26"/>
        <v>0.84200521424561081</v>
      </c>
      <c r="V122" s="1068">
        <f t="shared" si="26"/>
        <v>0.28147528322389997</v>
      </c>
      <c r="W122" s="1060">
        <f t="shared" si="26"/>
        <v>5.592232047851195E-2</v>
      </c>
      <c r="X122" s="1060">
        <f t="shared" si="26"/>
        <v>0.36385945559959909</v>
      </c>
      <c r="Y122" s="1069" t="str">
        <f t="shared" si="26"/>
        <v>Not rated</v>
      </c>
      <c r="Z122" s="1070"/>
      <c r="AA122" s="1064">
        <f t="shared" si="27"/>
        <v>1.4399592566697517</v>
      </c>
      <c r="AB122" s="1071">
        <f t="shared" si="27"/>
        <v>0.8442860967329926</v>
      </c>
      <c r="AC122" s="1065">
        <f t="shared" si="27"/>
        <v>1.5521418473212367</v>
      </c>
      <c r="AD122" s="949"/>
      <c r="AE122" s="1694" t="s">
        <v>280</v>
      </c>
      <c r="AF122" s="1560">
        <f>CALCULATIONS!FD24</f>
        <v>6.700453846153847</v>
      </c>
      <c r="AG122" s="134">
        <f t="shared" si="28"/>
        <v>-0.14147292053420557</v>
      </c>
      <c r="AH122" s="949"/>
      <c r="AI122" s="949"/>
      <c r="AJ122" s="949"/>
      <c r="AK122" s="949"/>
      <c r="AL122" s="949"/>
      <c r="AM122" s="949"/>
      <c r="AN122" s="949"/>
      <c r="AO122" s="949"/>
      <c r="AP122" s="949"/>
      <c r="AQ122" s="949"/>
      <c r="AR122" s="110"/>
      <c r="AS122" s="110"/>
      <c r="AT122" s="110"/>
      <c r="AU122" s="949"/>
      <c r="AV122" s="949"/>
      <c r="AW122" s="949"/>
      <c r="AX122" s="949"/>
      <c r="AY122" s="949"/>
      <c r="AZ122" s="949"/>
      <c r="BA122" s="949"/>
      <c r="BB122" s="949"/>
      <c r="BC122" s="949"/>
      <c r="BD122" s="949"/>
      <c r="BE122" s="2267"/>
    </row>
    <row r="123" spans="1:57">
      <c r="A123" s="1090" t="s">
        <v>27</v>
      </c>
      <c r="B123" s="73" t="s">
        <v>54</v>
      </c>
      <c r="C123" s="1085">
        <f t="shared" si="25"/>
        <v>4745.1447857142857</v>
      </c>
      <c r="D123" s="1086">
        <f t="shared" si="25"/>
        <v>1.2158216408516635E-2</v>
      </c>
      <c r="E123" s="1060">
        <f t="shared" si="25"/>
        <v>-0.63447330491761056</v>
      </c>
      <c r="F123" s="1060">
        <f t="shared" si="25"/>
        <v>-0.53269772601197163</v>
      </c>
      <c r="G123" s="1061">
        <f t="shared" si="25"/>
        <v>2680.5724</v>
      </c>
      <c r="H123" s="1062">
        <f t="shared" si="25"/>
        <v>7.4230283738025878E-3</v>
      </c>
      <c r="I123" s="1063">
        <f t="shared" si="25"/>
        <v>1.3569881249181368</v>
      </c>
      <c r="J123" s="1063">
        <f t="shared" si="25"/>
        <v>1.0332545966156574</v>
      </c>
      <c r="K123" s="130">
        <f t="shared" si="25"/>
        <v>6.3422811159545107</v>
      </c>
      <c r="L123" s="1060">
        <f t="shared" si="25"/>
        <v>-0.24924595564935845</v>
      </c>
      <c r="M123" s="1065">
        <f t="shared" si="26"/>
        <v>5.3369406950798908</v>
      </c>
      <c r="N123" s="1066">
        <f t="shared" si="26"/>
        <v>0.48460704112825509</v>
      </c>
      <c r="O123" s="1067">
        <f t="shared" si="26"/>
        <v>-0.18079580514885477</v>
      </c>
      <c r="P123" s="1068">
        <f t="shared" si="26"/>
        <v>0.49497857034449522</v>
      </c>
      <c r="Q123" s="1066">
        <f t="shared" si="26"/>
        <v>0.56717095077467305</v>
      </c>
      <c r="R123" s="1067">
        <f t="shared" si="26"/>
        <v>0.64731222518720821</v>
      </c>
      <c r="S123" s="1068">
        <f t="shared" si="26"/>
        <v>0.74754623070756221</v>
      </c>
      <c r="T123" s="1066">
        <f t="shared" si="26"/>
        <v>0.5748403529709204</v>
      </c>
      <c r="U123" s="1067">
        <f t="shared" si="26"/>
        <v>0.5906099669472562</v>
      </c>
      <c r="V123" s="1068">
        <f t="shared" si="26"/>
        <v>0.7506672643344422</v>
      </c>
      <c r="W123" s="1060">
        <f t="shared" si="26"/>
        <v>7.6694021962473435E-3</v>
      </c>
      <c r="X123" s="1060">
        <f t="shared" si="26"/>
        <v>1.3522205581530675E-2</v>
      </c>
      <c r="Y123" s="1069" t="str">
        <f t="shared" si="26"/>
        <v>BBB-</v>
      </c>
      <c r="Z123" s="1070" t="str">
        <f>VLOOKUP($B123,$B$7:$AC$28,Z$37+1,FALSE)</f>
        <v>¯  ¯ ¯</v>
      </c>
      <c r="AA123" s="1064">
        <f t="shared" si="27"/>
        <v>3.4278891827637503</v>
      </c>
      <c r="AB123" s="1071">
        <f t="shared" si="27"/>
        <v>0.24423537898737996</v>
      </c>
      <c r="AC123" s="1065">
        <f t="shared" si="27"/>
        <v>3.8230610288109381</v>
      </c>
      <c r="AD123" s="949"/>
      <c r="AE123" s="1694" t="s">
        <v>54</v>
      </c>
      <c r="AF123" s="1560">
        <f>CALCULATIONS!FD20</f>
        <v>6.4140395313242591</v>
      </c>
      <c r="AG123" s="134">
        <f t="shared" si="28"/>
        <v>-7.1758415369748363E-2</v>
      </c>
      <c r="AH123" s="949"/>
      <c r="AI123" s="949"/>
      <c r="AJ123" s="949"/>
      <c r="AK123" s="949"/>
      <c r="AL123" s="949"/>
      <c r="AM123" s="949"/>
      <c r="AN123" s="949"/>
      <c r="AO123" s="949"/>
      <c r="AP123" s="949"/>
      <c r="AQ123" s="949"/>
      <c r="AR123" s="110"/>
      <c r="AS123" s="110"/>
      <c r="AT123" s="110"/>
      <c r="AU123" s="949"/>
      <c r="AV123" s="949"/>
      <c r="AW123" s="949"/>
      <c r="AX123" s="949"/>
      <c r="AY123" s="949"/>
      <c r="AZ123" s="949"/>
      <c r="BA123" s="949"/>
      <c r="BB123" s="949"/>
      <c r="BC123" s="949"/>
      <c r="BD123" s="949"/>
      <c r="BE123" s="2267"/>
    </row>
    <row r="124" spans="1:57">
      <c r="A124" s="1090" t="s">
        <v>539</v>
      </c>
      <c r="B124" s="73" t="s">
        <v>39</v>
      </c>
      <c r="C124" s="1085">
        <f t="shared" si="25"/>
        <v>5059.5155870714543</v>
      </c>
      <c r="D124" s="1086">
        <f t="shared" si="25"/>
        <v>1.2963710952524294E-2</v>
      </c>
      <c r="E124" s="1060">
        <f t="shared" si="25"/>
        <v>-0.13366823909704381</v>
      </c>
      <c r="F124" s="1060">
        <f t="shared" si="25"/>
        <v>-3.1892660191404867E-2</v>
      </c>
      <c r="G124" s="1061">
        <f t="shared" si="25"/>
        <v>5057.8123335929276</v>
      </c>
      <c r="H124" s="1062">
        <f t="shared" si="25"/>
        <v>1.4006069920599414E-2</v>
      </c>
      <c r="I124" s="1063">
        <f t="shared" si="25"/>
        <v>1.6858649053444912</v>
      </c>
      <c r="J124" s="1063">
        <f t="shared" si="25"/>
        <v>1.7703056194544857</v>
      </c>
      <c r="K124" s="130">
        <f t="shared" si="25"/>
        <v>6.1343182706324946</v>
      </c>
      <c r="L124" s="1060">
        <f t="shared" si="25"/>
        <v>-0.19036897853308513</v>
      </c>
      <c r="M124" s="1065">
        <f t="shared" si="26"/>
        <v>5.9052222685092017</v>
      </c>
      <c r="N124" s="1066">
        <f t="shared" si="26"/>
        <v>0.31054928118178421</v>
      </c>
      <c r="O124" s="1067">
        <f t="shared" si="26"/>
        <v>-0.11491916916279199</v>
      </c>
      <c r="P124" s="1068">
        <f t="shared" si="26"/>
        <v>0.28165979767703259</v>
      </c>
      <c r="Q124" s="1066">
        <f t="shared" si="26"/>
        <v>0.3899242463002407</v>
      </c>
      <c r="R124" s="1067">
        <f t="shared" si="26"/>
        <v>-0.1197676600756727</v>
      </c>
      <c r="S124" s="1068">
        <f t="shared" si="26"/>
        <v>0.37944762378701169</v>
      </c>
      <c r="T124" s="1066">
        <f t="shared" si="26"/>
        <v>0.45093517146474416</v>
      </c>
      <c r="U124" s="1067">
        <f t="shared" si="26"/>
        <v>-8.3572610535330494E-2</v>
      </c>
      <c r="V124" s="1068">
        <f t="shared" si="26"/>
        <v>0.43916945384982109</v>
      </c>
      <c r="W124" s="1060">
        <f t="shared" si="26"/>
        <v>6.101092516450346E-2</v>
      </c>
      <c r="X124" s="1060">
        <f t="shared" si="26"/>
        <v>0.15646866216553562</v>
      </c>
      <c r="Y124" s="1069" t="str">
        <f t="shared" si="26"/>
        <v>BBB</v>
      </c>
      <c r="Z124" s="1070" t="str">
        <f>VLOOKUP($B124,$B$7:$AC$28,Z$37+1,FALSE)</f>
        <v>­  = =</v>
      </c>
      <c r="AA124" s="1064">
        <f t="shared" si="27"/>
        <v>2.6587814840492587</v>
      </c>
      <c r="AB124" s="1071">
        <f t="shared" si="27"/>
        <v>-0.25803195656746131</v>
      </c>
      <c r="AC124" s="1065">
        <f t="shared" si="27"/>
        <v>2.5933932385229874</v>
      </c>
      <c r="AD124" s="949"/>
      <c r="AE124" s="1694" t="s">
        <v>39</v>
      </c>
      <c r="AF124" s="1560">
        <f>CALCULATIONS!FD10</f>
        <v>5.8423769230769222</v>
      </c>
      <c r="AG124" s="134">
        <f t="shared" si="28"/>
        <v>0.29194134755557233</v>
      </c>
      <c r="AH124" s="949"/>
      <c r="AI124" s="949"/>
      <c r="AJ124" s="949"/>
      <c r="AK124" s="949"/>
      <c r="AL124" s="949"/>
      <c r="AM124" s="949"/>
      <c r="AN124" s="949"/>
      <c r="AO124" s="949"/>
      <c r="AP124" s="949"/>
      <c r="AQ124" s="949"/>
      <c r="AR124" s="110"/>
      <c r="AS124" s="110"/>
      <c r="AT124" s="110"/>
      <c r="AU124" s="949"/>
      <c r="AV124" s="949"/>
      <c r="AW124" s="949"/>
      <c r="AX124" s="949"/>
      <c r="AY124" s="949"/>
      <c r="AZ124" s="949"/>
      <c r="BA124" s="949"/>
      <c r="BB124" s="949"/>
      <c r="BC124" s="949"/>
      <c r="BD124" s="949"/>
      <c r="BE124" s="2267"/>
    </row>
    <row r="125" spans="1:57">
      <c r="A125" s="1090" t="s">
        <v>500</v>
      </c>
      <c r="B125" s="73" t="s">
        <v>279</v>
      </c>
      <c r="C125" s="1085">
        <f t="shared" si="25"/>
        <v>20617.292984255655</v>
      </c>
      <c r="D125" s="1086">
        <f t="shared" si="25"/>
        <v>5.2826525044090682E-2</v>
      </c>
      <c r="E125" s="1060">
        <f t="shared" si="25"/>
        <v>0.37985561177970401</v>
      </c>
      <c r="F125" s="1060">
        <f t="shared" si="25"/>
        <v>0.48163119068534294</v>
      </c>
      <c r="G125" s="1061">
        <f t="shared" si="25"/>
        <v>23766.623796323693</v>
      </c>
      <c r="H125" s="1062">
        <f t="shared" si="25"/>
        <v>6.5814421871090864E-2</v>
      </c>
      <c r="I125" s="1063">
        <f t="shared" si="25"/>
        <v>1.8990159277875758</v>
      </c>
      <c r="J125" s="1063">
        <f t="shared" si="25"/>
        <v>2.509154465418888</v>
      </c>
      <c r="K125" s="130">
        <f t="shared" si="25"/>
        <v>5.7229254321128114</v>
      </c>
      <c r="L125" s="1060">
        <f t="shared" si="25"/>
        <v>4.5724350121793801E-2</v>
      </c>
      <c r="M125" s="1065">
        <f t="shared" si="26"/>
        <v>6.1939465303838475</v>
      </c>
      <c r="N125" s="1066">
        <f t="shared" si="26"/>
        <v>0.7344324868237998</v>
      </c>
      <c r="O125" s="1067">
        <f t="shared" si="26"/>
        <v>0.10784712869930438</v>
      </c>
      <c r="P125" s="1068">
        <f t="shared" si="26"/>
        <v>0.74956908795771016</v>
      </c>
      <c r="Q125" s="1066">
        <f t="shared" si="26"/>
        <v>0.14726898954609682</v>
      </c>
      <c r="R125" s="1067">
        <f t="shared" si="26"/>
        <v>4.9939774449528171E-2</v>
      </c>
      <c r="S125" s="1068">
        <f t="shared" si="26"/>
        <v>0.17272839211728983</v>
      </c>
      <c r="T125" s="1066">
        <f t="shared" si="26"/>
        <v>0.18443136241749356</v>
      </c>
      <c r="U125" s="1067">
        <f t="shared" si="26"/>
        <v>-5.7258906752796622E-2</v>
      </c>
      <c r="V125" s="1068">
        <f t="shared" si="26"/>
        <v>0.198117589718218</v>
      </c>
      <c r="W125" s="1060">
        <f t="shared" si="26"/>
        <v>3.7162372871396732E-2</v>
      </c>
      <c r="X125" s="1060">
        <f t="shared" si="26"/>
        <v>0.25234350412762557</v>
      </c>
      <c r="Y125" s="1069" t="str">
        <f t="shared" si="26"/>
        <v>A-</v>
      </c>
      <c r="Z125" s="1070" t="str">
        <f>VLOOKUP($B125,$B$7:$AC$28,Z$37+1,FALSE)</f>
        <v>=  =  -</v>
      </c>
      <c r="AA125" s="1064">
        <f t="shared" si="27"/>
        <v>1.0395975936863313</v>
      </c>
      <c r="AB125" s="1071">
        <f t="shared" si="27"/>
        <v>2.9438923535487854E-2</v>
      </c>
      <c r="AC125" s="1065">
        <f t="shared" si="27"/>
        <v>1.2087727199953455</v>
      </c>
      <c r="AD125" s="949"/>
      <c r="AE125" s="1694" t="s">
        <v>279</v>
      </c>
      <c r="AF125" s="1560">
        <f>CALCULATIONS!FD17</f>
        <v>5.7751384615384618</v>
      </c>
      <c r="AG125" s="134">
        <f t="shared" si="28"/>
        <v>-5.2213029425650426E-2</v>
      </c>
      <c r="AH125" s="949"/>
      <c r="AI125" s="949"/>
      <c r="AJ125" s="949"/>
      <c r="AK125" s="949"/>
      <c r="AL125" s="949"/>
      <c r="AM125" s="949"/>
      <c r="AN125" s="949"/>
      <c r="AO125" s="949"/>
      <c r="AP125" s="949"/>
      <c r="AQ125" s="949"/>
      <c r="AR125" s="110"/>
      <c r="AS125" s="110"/>
      <c r="AT125" s="110"/>
      <c r="AU125" s="949"/>
      <c r="AV125" s="949"/>
      <c r="AW125" s="949"/>
      <c r="AX125" s="949"/>
      <c r="AY125" s="949"/>
      <c r="AZ125" s="949"/>
      <c r="BA125" s="949"/>
      <c r="BB125" s="949"/>
      <c r="BC125" s="949"/>
      <c r="BD125" s="949"/>
      <c r="BE125" s="2267"/>
    </row>
    <row r="126" spans="1:57">
      <c r="A126" s="1090" t="s">
        <v>217</v>
      </c>
      <c r="B126" s="73" t="s">
        <v>53</v>
      </c>
      <c r="C126" s="1085">
        <f t="shared" si="25"/>
        <v>60036.853628571422</v>
      </c>
      <c r="D126" s="1086">
        <f t="shared" si="25"/>
        <v>0.15382903828354536</v>
      </c>
      <c r="E126" s="1060">
        <f t="shared" si="25"/>
        <v>-0.3618479655094986</v>
      </c>
      <c r="F126" s="1060">
        <f t="shared" si="25"/>
        <v>-0.26007238660385967</v>
      </c>
      <c r="G126" s="1061">
        <f t="shared" si="25"/>
        <v>44430.485000000001</v>
      </c>
      <c r="H126" s="1062">
        <f t="shared" si="25"/>
        <v>0.1230366882897139</v>
      </c>
      <c r="I126" s="1063">
        <f t="shared" si="25"/>
        <v>2.2644833808097031</v>
      </c>
      <c r="J126" s="1063">
        <f t="shared" si="25"/>
        <v>1.7716210773954304</v>
      </c>
      <c r="K126" s="130">
        <f t="shared" si="25"/>
        <v>5.7304428558288603</v>
      </c>
      <c r="L126" s="1060">
        <f t="shared" si="25"/>
        <v>-7.3155042359885195E-2</v>
      </c>
      <c r="M126" s="1065">
        <f t="shared" si="26"/>
        <v>5.1937231412225326</v>
      </c>
      <c r="N126" s="1066">
        <f t="shared" si="26"/>
        <v>0.6158872479982318</v>
      </c>
      <c r="O126" s="1067">
        <f t="shared" si="26"/>
        <v>0.11044311863454735</v>
      </c>
      <c r="P126" s="1068">
        <f t="shared" si="26"/>
        <v>0.66127040038880336</v>
      </c>
      <c r="Q126" s="1066">
        <f t="shared" si="26"/>
        <v>0.48384306036910518</v>
      </c>
      <c r="R126" s="1067">
        <f t="shared" si="26"/>
        <v>0.2595878527386451</v>
      </c>
      <c r="S126" s="1068">
        <f t="shared" si="26"/>
        <v>0.54381370963962039</v>
      </c>
      <c r="T126" s="1066">
        <f t="shared" si="26"/>
        <v>0.51513010935716153</v>
      </c>
      <c r="U126" s="1067">
        <f t="shared" si="26"/>
        <v>0.26130995158024306</v>
      </c>
      <c r="V126" s="1068">
        <f t="shared" si="26"/>
        <v>0.57929804018594233</v>
      </c>
      <c r="W126" s="1060">
        <f t="shared" si="26"/>
        <v>3.1287048988056343E-2</v>
      </c>
      <c r="X126" s="1060">
        <f t="shared" si="26"/>
        <v>6.4663630732222685E-2</v>
      </c>
      <c r="Y126" s="1069" t="str">
        <f t="shared" si="26"/>
        <v>BBB</v>
      </c>
      <c r="Z126" s="1070" t="str">
        <f>VLOOKUP($B126,$B$7:$AC$28,Z$37+1,FALSE)</f>
        <v>¯  ¯ ¯</v>
      </c>
      <c r="AA126" s="1064">
        <f t="shared" si="27"/>
        <v>2.7929780820851775</v>
      </c>
      <c r="AB126" s="1071">
        <f t="shared" si="27"/>
        <v>0.12404595260605845</v>
      </c>
      <c r="AC126" s="1065">
        <f t="shared" si="27"/>
        <v>2.8353348809740444</v>
      </c>
      <c r="AD126" s="949"/>
      <c r="AE126" s="1694" t="s">
        <v>53</v>
      </c>
      <c r="AF126" s="1560">
        <f>CALCULATIONS!FD11</f>
        <v>5.6540307692307685</v>
      </c>
      <c r="AG126" s="134">
        <f t="shared" si="28"/>
        <v>7.6412086598091733E-2</v>
      </c>
      <c r="AH126" s="949"/>
      <c r="AI126" s="949"/>
      <c r="AJ126" s="949"/>
      <c r="AK126" s="949"/>
      <c r="AL126" s="949"/>
      <c r="AM126" s="949"/>
      <c r="AN126" s="949"/>
      <c r="AO126" s="949"/>
      <c r="AP126" s="949"/>
      <c r="AQ126" s="949"/>
      <c r="AR126" s="110"/>
      <c r="AS126" s="110"/>
      <c r="AT126" s="110"/>
      <c r="AU126" s="949"/>
      <c r="AV126" s="949"/>
      <c r="AW126" s="949"/>
      <c r="AX126" s="949"/>
      <c r="AY126" s="949"/>
      <c r="AZ126" s="949"/>
      <c r="BA126" s="949"/>
      <c r="BB126" s="949"/>
      <c r="BC126" s="949"/>
      <c r="BD126" s="949"/>
      <c r="BE126" s="2267"/>
    </row>
    <row r="127" spans="1:57">
      <c r="A127" s="1090" t="s">
        <v>498</v>
      </c>
      <c r="B127" s="73" t="s">
        <v>52</v>
      </c>
      <c r="C127" s="1085">
        <f t="shared" ref="C127:L137" si="29">VLOOKUP($B127,$B$7:$AC$28,C$37+1,FALSE)</f>
        <v>40464.923042857146</v>
      </c>
      <c r="D127" s="1086">
        <f t="shared" si="29"/>
        <v>0.1036809862557167</v>
      </c>
      <c r="E127" s="1060">
        <f t="shared" si="29"/>
        <v>-6.1458653761923776E-2</v>
      </c>
      <c r="F127" s="1060">
        <f t="shared" si="29"/>
        <v>4.0316925143715168E-2</v>
      </c>
      <c r="G127" s="1061">
        <f t="shared" si="29"/>
        <v>39791.94</v>
      </c>
      <c r="H127" s="1062">
        <f t="shared" si="29"/>
        <v>0.1101916514803518</v>
      </c>
      <c r="I127" s="1063">
        <f t="shared" si="29"/>
        <v>1.0840589348936991</v>
      </c>
      <c r="J127" s="1063">
        <f t="shared" si="29"/>
        <v>1.2733420800000002</v>
      </c>
      <c r="K127" s="130">
        <f t="shared" si="29"/>
        <v>4.9157277486128619</v>
      </c>
      <c r="L127" s="1060">
        <f t="shared" si="29"/>
        <v>0.1448238320606966</v>
      </c>
      <c r="M127" s="1065">
        <f t="shared" ref="M127:Y137" si="30">VLOOKUP($B127,$B$7:$AC$28,M$37+1,FALSE)</f>
        <v>5.2964626193065953</v>
      </c>
      <c r="N127" s="1066">
        <f t="shared" si="30"/>
        <v>0.61</v>
      </c>
      <c r="O127" s="1067">
        <f t="shared" si="30"/>
        <v>0</v>
      </c>
      <c r="P127" s="1068">
        <f t="shared" si="30"/>
        <v>0.62983042679437373</v>
      </c>
      <c r="Q127" s="1066">
        <f t="shared" si="30"/>
        <v>0.51528895508035288</v>
      </c>
      <c r="R127" s="1067">
        <f t="shared" si="30"/>
        <v>-2.4931247740904369E-2</v>
      </c>
      <c r="S127" s="1068">
        <f t="shared" si="30"/>
        <v>0.51939744871548044</v>
      </c>
      <c r="T127" s="1066">
        <f t="shared" si="30"/>
        <v>0.58808850315066874</v>
      </c>
      <c r="U127" s="1067">
        <f t="shared" si="30"/>
        <v>-2.8226553900756759E-2</v>
      </c>
      <c r="V127" s="1068">
        <f t="shared" si="30"/>
        <v>0.59074959904524027</v>
      </c>
      <c r="W127" s="1060">
        <f t="shared" si="30"/>
        <v>7.2799548070315856E-2</v>
      </c>
      <c r="X127" s="1060">
        <f t="shared" si="30"/>
        <v>0.14127907721011346</v>
      </c>
      <c r="Y127" s="1069" t="str">
        <f t="shared" si="30"/>
        <v>BBB+</v>
      </c>
      <c r="Z127" s="1070" t="str">
        <f>VLOOKUP($B127,$B$7:$AC$28,Z$37+1,FALSE)</f>
        <v>=  =  =</v>
      </c>
      <c r="AA127" s="1064">
        <f t="shared" si="27"/>
        <v>2.7906818261625395</v>
      </c>
      <c r="AB127" s="1071">
        <f t="shared" si="27"/>
        <v>8.5841806528642844E-2</v>
      </c>
      <c r="AC127" s="1065">
        <f t="shared" si="27"/>
        <v>2.9178287645268703</v>
      </c>
      <c r="AD127" s="949"/>
      <c r="AE127" s="1694" t="s">
        <v>44</v>
      </c>
      <c r="AF127" s="1560">
        <f>CALCULATIONS!FD18</f>
        <v>4.8451615384615376</v>
      </c>
      <c r="AG127" s="134">
        <f t="shared" si="28"/>
        <v>7.0566210151324249E-2</v>
      </c>
      <c r="AH127" s="949"/>
      <c r="AI127" s="949"/>
      <c r="AJ127" s="949"/>
      <c r="AK127" s="949"/>
      <c r="AL127" s="949"/>
      <c r="AM127" s="949"/>
      <c r="AN127" s="949"/>
      <c r="AO127" s="949"/>
      <c r="AP127" s="949"/>
      <c r="AQ127" s="949"/>
      <c r="AR127" s="110"/>
      <c r="AS127" s="110"/>
      <c r="AT127" s="110"/>
      <c r="AU127" s="949"/>
      <c r="AV127" s="949"/>
      <c r="AW127" s="949"/>
      <c r="AX127" s="949"/>
      <c r="AY127" s="949"/>
      <c r="AZ127" s="949"/>
      <c r="BA127" s="949"/>
      <c r="BB127" s="949"/>
      <c r="BC127" s="949"/>
      <c r="BD127" s="949"/>
      <c r="BE127" s="2267"/>
    </row>
    <row r="128" spans="1:57">
      <c r="A128" s="1091" t="s">
        <v>319</v>
      </c>
      <c r="B128" s="691" t="s">
        <v>751</v>
      </c>
      <c r="C128" s="1087">
        <f t="shared" si="29"/>
        <v>2121.4584571428572</v>
      </c>
      <c r="D128" s="1088">
        <f t="shared" si="29"/>
        <v>5.4356931534045982E-3</v>
      </c>
      <c r="E128" s="1072">
        <f t="shared" si="29"/>
        <v>-0.63331383871554725</v>
      </c>
      <c r="F128" s="1072">
        <f t="shared" si="29"/>
        <v>-0.53153825980990832</v>
      </c>
      <c r="G128" s="1073">
        <f t="shared" si="29"/>
        <v>960.23059999999998</v>
      </c>
      <c r="H128" s="1074">
        <f t="shared" si="29"/>
        <v>2.6590660223142948E-3</v>
      </c>
      <c r="I128" s="1075">
        <f t="shared" si="29"/>
        <v>6.3820660890696566</v>
      </c>
      <c r="J128" s="1075">
        <f t="shared" si="29"/>
        <v>3.126768479322696</v>
      </c>
      <c r="K128" s="1011">
        <f t="shared" si="29"/>
        <v>4.988018554669714</v>
      </c>
      <c r="L128" s="1072">
        <f t="shared" si="29"/>
        <v>-0.2975700901517318</v>
      </c>
      <c r="M128" s="1077">
        <f t="shared" si="30"/>
        <v>3.6764587184436395</v>
      </c>
      <c r="N128" s="1078">
        <f t="shared" si="30"/>
        <v>0.95644485424869818</v>
      </c>
      <c r="O128" s="1079">
        <f t="shared" si="30"/>
        <v>5.7346309608293736E-3</v>
      </c>
      <c r="P128" s="1080">
        <f t="shared" si="30"/>
        <v>0.97265268915223335</v>
      </c>
      <c r="Q128" s="1078">
        <f t="shared" si="30"/>
        <v>0.16489915086810925</v>
      </c>
      <c r="R128" s="1079">
        <f t="shared" si="30"/>
        <v>2.0043608623878186</v>
      </c>
      <c r="S128" s="1080">
        <f t="shared" si="30"/>
        <v>0.32988338723452482</v>
      </c>
      <c r="T128" s="1078">
        <f t="shared" si="30"/>
        <v>0.27218937885351913</v>
      </c>
      <c r="U128" s="1079">
        <f t="shared" si="30"/>
        <v>1.2181747217666232</v>
      </c>
      <c r="V128" s="1080">
        <f t="shared" si="30"/>
        <v>0.4561905930983241</v>
      </c>
      <c r="W128" s="1072">
        <f t="shared" si="30"/>
        <v>0.10729022798540988</v>
      </c>
      <c r="X128" s="1072">
        <f t="shared" si="30"/>
        <v>0.65064148250965514</v>
      </c>
      <c r="Y128" s="1081" t="str">
        <f t="shared" si="30"/>
        <v>Not rated</v>
      </c>
      <c r="Z128" s="1082"/>
      <c r="AA128" s="1076">
        <f t="shared" si="27"/>
        <v>1.2440956586918632</v>
      </c>
      <c r="AB128" s="1083">
        <f t="shared" si="27"/>
        <v>0.5581122698382367</v>
      </c>
      <c r="AC128" s="1077">
        <f t="shared" si="27"/>
        <v>1.6771658832683087</v>
      </c>
      <c r="AD128" s="949"/>
      <c r="AE128" s="1695" t="s">
        <v>750</v>
      </c>
      <c r="AF128" s="1909">
        <f>CALCULATIONS!FD7</f>
        <v>4.8064307692307704</v>
      </c>
      <c r="AG128" s="2223">
        <f t="shared" si="28"/>
        <v>0.18158778543894361</v>
      </c>
      <c r="AH128" s="949"/>
      <c r="AI128" s="949"/>
      <c r="AJ128" s="949"/>
      <c r="AK128" s="949"/>
      <c r="AL128" s="949"/>
      <c r="AM128" s="949"/>
      <c r="AN128" s="949"/>
      <c r="AO128" s="949"/>
      <c r="AP128" s="949"/>
      <c r="AQ128" s="949"/>
      <c r="AR128" s="110"/>
      <c r="AS128" s="110"/>
      <c r="AT128" s="110"/>
      <c r="AU128" s="949"/>
      <c r="AV128" s="949"/>
      <c r="AW128" s="949"/>
      <c r="AX128" s="949"/>
      <c r="AY128" s="949"/>
      <c r="AZ128" s="949"/>
      <c r="BA128" s="949"/>
      <c r="BB128" s="949"/>
      <c r="BC128" s="949"/>
      <c r="BD128" s="949"/>
      <c r="BE128" s="2267"/>
    </row>
    <row r="129" spans="1:57">
      <c r="A129" s="1090" t="s">
        <v>501</v>
      </c>
      <c r="B129" s="73" t="s">
        <v>44</v>
      </c>
      <c r="C129" s="1085">
        <f t="shared" si="29"/>
        <v>12234.494271428572</v>
      </c>
      <c r="D129" s="1086">
        <f t="shared" si="29"/>
        <v>3.1347753486597643E-2</v>
      </c>
      <c r="E129" s="1060">
        <f t="shared" si="29"/>
        <v>-0.59766521701552</v>
      </c>
      <c r="F129" s="1060">
        <f t="shared" si="29"/>
        <v>-0.49588963810988107</v>
      </c>
      <c r="G129" s="1061">
        <f t="shared" si="29"/>
        <v>6819.5967000000001</v>
      </c>
      <c r="H129" s="1062">
        <f t="shared" si="29"/>
        <v>1.8884794830384175E-2</v>
      </c>
      <c r="I129" s="1063">
        <f t="shared" si="29"/>
        <v>3.9295455833111754</v>
      </c>
      <c r="J129" s="1063">
        <f t="shared" si="29"/>
        <v>1.2175677021960365</v>
      </c>
      <c r="K129" s="130">
        <f t="shared" si="29"/>
        <v>5.0345645887817243</v>
      </c>
      <c r="L129" s="1060">
        <f t="shared" si="29"/>
        <v>-0.26680842971581226</v>
      </c>
      <c r="M129" s="1065">
        <f t="shared" si="30"/>
        <v>4.0325018858098245</v>
      </c>
      <c r="N129" s="1066">
        <f t="shared" si="30"/>
        <v>0.5805147103617575</v>
      </c>
      <c r="O129" s="1067">
        <f t="shared" si="30"/>
        <v>8.4948466413752491E-2</v>
      </c>
      <c r="P129" s="1068">
        <f t="shared" si="30"/>
        <v>0.6264024463118032</v>
      </c>
      <c r="Q129" s="1066">
        <f t="shared" si="30"/>
        <v>0.51826084585195908</v>
      </c>
      <c r="R129" s="1067">
        <f t="shared" si="30"/>
        <v>0.40005999871326348</v>
      </c>
      <c r="S129" s="1068">
        <f t="shared" si="30"/>
        <v>0.58973938770950263</v>
      </c>
      <c r="T129" s="1066">
        <f t="shared" si="30"/>
        <v>0.5495689942142129</v>
      </c>
      <c r="U129" s="1067">
        <f t="shared" si="30"/>
        <v>0.40637993517884302</v>
      </c>
      <c r="V129" s="1068">
        <f t="shared" si="30"/>
        <v>0.63323863537070213</v>
      </c>
      <c r="W129" s="1060">
        <f t="shared" si="30"/>
        <v>3.1308148362253818E-2</v>
      </c>
      <c r="X129" s="1060">
        <f t="shared" si="30"/>
        <v>6.0410020577161203E-2</v>
      </c>
      <c r="Y129" s="1069" t="str">
        <f t="shared" si="30"/>
        <v>BBB-</v>
      </c>
      <c r="Z129" s="1070" t="str">
        <f t="shared" ref="Z129:Z135" si="31">VLOOKUP($B129,$B$7:$AC$28,Z$37+1,FALSE)</f>
        <v>=  ¯ =</v>
      </c>
      <c r="AA129" s="1064">
        <f t="shared" si="27"/>
        <v>2.643581803383519</v>
      </c>
      <c r="AB129" s="1071">
        <f t="shared" si="27"/>
        <v>2.8580691559688957E-2</v>
      </c>
      <c r="AC129" s="1065">
        <f t="shared" si="27"/>
        <v>2.5466878830879209</v>
      </c>
      <c r="AD129" s="949"/>
      <c r="AE129" s="1694" t="s">
        <v>52</v>
      </c>
      <c r="AF129" s="1560">
        <f>CALCULATIONS!FD5</f>
        <v>4.8039846153846151</v>
      </c>
      <c r="AG129" s="134">
        <f t="shared" si="28"/>
        <v>0.23057997339710923</v>
      </c>
      <c r="AH129" s="949"/>
      <c r="AI129" s="949"/>
      <c r="AJ129" s="949"/>
      <c r="AK129" s="949"/>
      <c r="AL129" s="949"/>
      <c r="AM129" s="949"/>
      <c r="AN129" s="949"/>
      <c r="AO129" s="949"/>
      <c r="AP129" s="949"/>
      <c r="AQ129" s="949"/>
      <c r="AR129" s="110"/>
      <c r="AS129" s="110"/>
      <c r="AT129" s="110"/>
      <c r="AU129" s="949"/>
      <c r="AV129" s="949"/>
      <c r="AW129" s="949"/>
      <c r="AX129" s="949"/>
      <c r="AY129" s="949"/>
      <c r="AZ129" s="949"/>
      <c r="BA129" s="949"/>
      <c r="BB129" s="949"/>
      <c r="BC129" s="949"/>
      <c r="BD129" s="949"/>
      <c r="BE129" s="2267"/>
    </row>
    <row r="130" spans="1:57">
      <c r="A130" s="1091" t="s">
        <v>319</v>
      </c>
      <c r="B130" s="691" t="s">
        <v>750</v>
      </c>
      <c r="C130" s="1087">
        <f t="shared" si="29"/>
        <v>7616.907214285714</v>
      </c>
      <c r="D130" s="1088">
        <f t="shared" si="29"/>
        <v>1.9516371039653539E-2</v>
      </c>
      <c r="E130" s="1072">
        <f t="shared" si="29"/>
        <v>-0.33365525120929096</v>
      </c>
      <c r="F130" s="1072">
        <f t="shared" si="29"/>
        <v>-0.23187967230365203</v>
      </c>
      <c r="G130" s="1073">
        <f t="shared" si="29"/>
        <v>5825.8631999999998</v>
      </c>
      <c r="H130" s="1074">
        <f t="shared" si="29"/>
        <v>1.6132952736323161E-2</v>
      </c>
      <c r="I130" s="1075">
        <f t="shared" si="29"/>
        <v>2.4107651340270966</v>
      </c>
      <c r="J130" s="1075">
        <f t="shared" si="29"/>
        <v>2.0327505931612002</v>
      </c>
      <c r="K130" s="1011">
        <f t="shared" si="29"/>
        <v>4.7469851722287064</v>
      </c>
      <c r="L130" s="1072">
        <f t="shared" si="29"/>
        <v>0.1951757211867983</v>
      </c>
      <c r="M130" s="1077">
        <f t="shared" si="30"/>
        <v>4.6619962755533297</v>
      </c>
      <c r="N130" s="1078">
        <f t="shared" si="30"/>
        <v>0.37158673775730477</v>
      </c>
      <c r="O130" s="1079">
        <f t="shared" si="30"/>
        <v>-0.1153634304384116</v>
      </c>
      <c r="P130" s="1080">
        <f t="shared" si="30"/>
        <v>0.36037883142173305</v>
      </c>
      <c r="Q130" s="1078">
        <f t="shared" si="30"/>
        <v>0.17383796150947908</v>
      </c>
      <c r="R130" s="1079">
        <f t="shared" si="30"/>
        <v>0.54445307336528614</v>
      </c>
      <c r="S130" s="1080">
        <f t="shared" si="30"/>
        <v>0.26356163003804695</v>
      </c>
      <c r="T130" s="1078">
        <f t="shared" si="30"/>
        <v>0.19702478682132593</v>
      </c>
      <c r="U130" s="1079">
        <f t="shared" si="30"/>
        <v>0.50034734616182497</v>
      </c>
      <c r="V130" s="1080">
        <f t="shared" si="30"/>
        <v>0.28756363720088318</v>
      </c>
      <c r="W130" s="1072">
        <f t="shared" si="30"/>
        <v>2.3186825311846848E-2</v>
      </c>
      <c r="X130" s="1072">
        <f t="shared" si="30"/>
        <v>0.13338182932260462</v>
      </c>
      <c r="Y130" s="1081" t="str">
        <f t="shared" si="30"/>
        <v>A</v>
      </c>
      <c r="Z130" s="1082" t="str">
        <f t="shared" si="31"/>
        <v>=  =  -</v>
      </c>
      <c r="AA130" s="1076">
        <f t="shared" si="27"/>
        <v>0.93248540191552354</v>
      </c>
      <c r="AB130" s="1083">
        <f t="shared" si="27"/>
        <v>0.78949919521054279</v>
      </c>
      <c r="AC130" s="1077">
        <f t="shared" si="27"/>
        <v>1.3109622071604587</v>
      </c>
      <c r="AD130" s="949"/>
      <c r="AE130" s="1695" t="s">
        <v>751</v>
      </c>
      <c r="AF130" s="1909">
        <f>CALCULATIONS!FD8</f>
        <v>4.7652692307692304</v>
      </c>
      <c r="AG130" s="2223">
        <f t="shared" si="28"/>
        <v>-1.8284058540523951E-2</v>
      </c>
      <c r="AH130" s="949"/>
      <c r="AI130" s="949"/>
      <c r="AJ130" s="949"/>
      <c r="AK130" s="949"/>
      <c r="AL130" s="949"/>
      <c r="AM130" s="949"/>
      <c r="AN130" s="949"/>
      <c r="AO130" s="949"/>
      <c r="AP130" s="949"/>
      <c r="AQ130" s="949"/>
      <c r="AR130" s="110"/>
      <c r="AS130" s="110"/>
      <c r="AT130" s="110"/>
      <c r="AU130" s="949"/>
      <c r="AV130" s="949"/>
      <c r="AW130" s="949"/>
      <c r="AX130" s="949"/>
      <c r="AY130" s="949"/>
      <c r="AZ130" s="949"/>
      <c r="BA130" s="949"/>
      <c r="BB130" s="949"/>
      <c r="BC130" s="949"/>
      <c r="BD130" s="949"/>
      <c r="BE130" s="2267"/>
    </row>
    <row r="131" spans="1:57">
      <c r="A131" s="1090" t="s">
        <v>19</v>
      </c>
      <c r="B131" s="150" t="s">
        <v>286</v>
      </c>
      <c r="C131" s="1085">
        <f t="shared" si="29"/>
        <v>31174.883771428573</v>
      </c>
      <c r="D131" s="1086">
        <f t="shared" si="29"/>
        <v>7.9877643469276421E-2</v>
      </c>
      <c r="E131" s="1060">
        <f t="shared" si="29"/>
        <v>-0.49416922878378883</v>
      </c>
      <c r="F131" s="1060">
        <f t="shared" si="29"/>
        <v>-0.3923936498781499</v>
      </c>
      <c r="G131" s="1061">
        <f t="shared" si="29"/>
        <v>19124.593099999998</v>
      </c>
      <c r="H131" s="1062">
        <f t="shared" si="29"/>
        <v>5.2959732488004868E-2</v>
      </c>
      <c r="I131" s="1063">
        <f t="shared" si="29"/>
        <v>1.0546425468926217</v>
      </c>
      <c r="J131" s="1063">
        <f t="shared" si="29"/>
        <v>0.72989058468819168</v>
      </c>
      <c r="K131" s="130">
        <f t="shared" si="29"/>
        <v>4.913128503955539</v>
      </c>
      <c r="L131" s="1060">
        <f t="shared" si="29"/>
        <v>-0.19812930900653591</v>
      </c>
      <c r="M131" s="1065">
        <f t="shared" si="30"/>
        <v>4.438539176760524</v>
      </c>
      <c r="N131" s="1066">
        <f t="shared" si="30"/>
        <v>0.60741568747204655</v>
      </c>
      <c r="O131" s="1067">
        <f t="shared" si="30"/>
        <v>4.0950219141690898E-2</v>
      </c>
      <c r="P131" s="1068">
        <f t="shared" si="30"/>
        <v>0.62738172243152124</v>
      </c>
      <c r="Q131" s="1066">
        <f t="shared" si="30"/>
        <v>0.50834561454306215</v>
      </c>
      <c r="R131" s="1067">
        <f t="shared" si="30"/>
        <v>0.27477182203191691</v>
      </c>
      <c r="S131" s="1068">
        <f t="shared" si="30"/>
        <v>0.61196382356206247</v>
      </c>
      <c r="T131" s="1066">
        <f t="shared" si="30"/>
        <v>0.54898628094174651</v>
      </c>
      <c r="U131" s="1067">
        <f t="shared" si="30"/>
        <v>0.26756473067663017</v>
      </c>
      <c r="V131" s="1068">
        <f t="shared" si="30"/>
        <v>0.65530118542007598</v>
      </c>
      <c r="W131" s="1060">
        <f t="shared" si="30"/>
        <v>4.0640666398684355E-2</v>
      </c>
      <c r="X131" s="1060">
        <f t="shared" si="30"/>
        <v>7.9946920433679999E-2</v>
      </c>
      <c r="Y131" s="1069" t="str">
        <f t="shared" si="30"/>
        <v>BBB+</v>
      </c>
      <c r="Z131" s="1070" t="str">
        <f t="shared" si="31"/>
        <v>=  ¯ ¯</v>
      </c>
      <c r="AA131" s="1064">
        <f t="shared" si="27"/>
        <v>2.5321561588471506</v>
      </c>
      <c r="AB131" s="1071">
        <f t="shared" si="27"/>
        <v>1.3257606300410854E-2</v>
      </c>
      <c r="AC131" s="1065">
        <f t="shared" si="27"/>
        <v>2.8138910595815916</v>
      </c>
      <c r="AD131" s="949"/>
      <c r="AE131" s="1694" t="s">
        <v>286</v>
      </c>
      <c r="AF131" s="1560">
        <f>CALCULATIONS!FD14</f>
        <v>4.6694538461538473</v>
      </c>
      <c r="AG131" s="134">
        <f t="shared" si="28"/>
        <v>0.24367465780169173</v>
      </c>
      <c r="AH131" s="949"/>
      <c r="AI131" s="949"/>
      <c r="AJ131" s="949"/>
      <c r="AK131" s="949"/>
      <c r="AL131" s="949"/>
      <c r="AM131" s="949"/>
      <c r="AN131" s="949"/>
      <c r="AO131" s="949"/>
      <c r="AP131" s="949"/>
      <c r="AQ131" s="949"/>
      <c r="AR131" s="110"/>
      <c r="AS131" s="110"/>
      <c r="AT131" s="110"/>
      <c r="AU131" s="949"/>
      <c r="AV131" s="949"/>
      <c r="AW131" s="949"/>
      <c r="AX131" s="949"/>
      <c r="AY131" s="949"/>
      <c r="AZ131" s="949"/>
      <c r="BA131" s="949"/>
      <c r="BB131" s="949"/>
      <c r="BC131" s="949"/>
      <c r="BD131" s="949"/>
      <c r="BE131" s="2267"/>
    </row>
    <row r="132" spans="1:57">
      <c r="A132" s="1090" t="s">
        <v>32</v>
      </c>
      <c r="B132" s="73" t="s">
        <v>50</v>
      </c>
      <c r="C132" s="1085">
        <f t="shared" si="29"/>
        <v>19515.355899391296</v>
      </c>
      <c r="D132" s="1086">
        <f t="shared" si="29"/>
        <v>5.0003093905237848E-2</v>
      </c>
      <c r="E132" s="1060">
        <f t="shared" si="29"/>
        <v>1.1994936816856254</v>
      </c>
      <c r="F132" s="1060">
        <f t="shared" si="29"/>
        <v>1.3012692605912644</v>
      </c>
      <c r="G132" s="1061">
        <f t="shared" si="29"/>
        <v>28491.576306321644</v>
      </c>
      <c r="H132" s="1062">
        <f t="shared" si="29"/>
        <v>7.8898737947233621E-2</v>
      </c>
      <c r="I132" s="1063">
        <f t="shared" si="29"/>
        <v>-0.89894076859195104</v>
      </c>
      <c r="J132" s="1063">
        <f t="shared" si="29"/>
        <v>39.625784878048783</v>
      </c>
      <c r="K132" s="130">
        <f t="shared" si="29"/>
        <v>4.7123747267525307</v>
      </c>
      <c r="L132" s="1060">
        <f t="shared" si="29"/>
        <v>0.4140020451008824</v>
      </c>
      <c r="M132" s="1065">
        <f t="shared" si="30"/>
        <v>5.7096258695546744</v>
      </c>
      <c r="N132" s="1066">
        <f t="shared" si="30"/>
        <v>0</v>
      </c>
      <c r="O132" s="1067">
        <f t="shared" si="30"/>
        <v>0</v>
      </c>
      <c r="P132" s="1068">
        <f t="shared" si="30"/>
        <v>0</v>
      </c>
      <c r="Q132" s="1066">
        <f t="shared" si="30"/>
        <v>0.37025195227815472</v>
      </c>
      <c r="R132" s="1067">
        <f t="shared" si="30"/>
        <v>-0.46222821771061889</v>
      </c>
      <c r="S132" s="1068">
        <f t="shared" si="30"/>
        <v>0.26403640782716253</v>
      </c>
      <c r="T132" s="1066">
        <f t="shared" si="30"/>
        <v>0.48927059752514818</v>
      </c>
      <c r="U132" s="1067">
        <f t="shared" si="30"/>
        <v>-0.38189416595312975</v>
      </c>
      <c r="V132" s="1068">
        <f t="shared" si="30"/>
        <v>0.37414035756341019</v>
      </c>
      <c r="W132" s="1060">
        <f t="shared" si="30"/>
        <v>0.11901864524699346</v>
      </c>
      <c r="X132" s="1060">
        <f t="shared" si="30"/>
        <v>0.32145312000294263</v>
      </c>
      <c r="Y132" s="1069" t="str">
        <f t="shared" si="30"/>
        <v>BBB</v>
      </c>
      <c r="Z132" s="1070" t="str">
        <f t="shared" si="31"/>
        <v xml:space="preserve">=  -  = </v>
      </c>
      <c r="AA132" s="1064">
        <f t="shared" si="27"/>
        <v>2.2664974928712622</v>
      </c>
      <c r="AB132" s="1071">
        <f t="shared" si="27"/>
        <v>-0.12537902502142731</v>
      </c>
      <c r="AC132" s="1065">
        <f t="shared" si="27"/>
        <v>2.136201464388483</v>
      </c>
      <c r="AD132" s="949"/>
      <c r="AE132" s="1694" t="s">
        <v>284</v>
      </c>
      <c r="AF132" s="1560">
        <f>CALCULATIONS!FD16</f>
        <v>4.5437999999999992</v>
      </c>
      <c r="AG132" s="134">
        <f t="shared" si="28"/>
        <v>0.16857472675253149</v>
      </c>
      <c r="AH132" s="949"/>
      <c r="AI132" s="949"/>
      <c r="AJ132" s="949"/>
      <c r="AK132" s="949"/>
      <c r="AL132" s="949"/>
      <c r="AM132" s="949"/>
      <c r="AN132" s="949"/>
      <c r="AO132" s="949"/>
      <c r="AP132" s="949"/>
      <c r="AQ132" s="949"/>
      <c r="AR132" s="110"/>
      <c r="AS132" s="110"/>
      <c r="AT132" s="110"/>
      <c r="AU132" s="949"/>
      <c r="AV132" s="949"/>
      <c r="AW132" s="949"/>
      <c r="AX132" s="949"/>
      <c r="AY132" s="949"/>
      <c r="AZ132" s="949"/>
      <c r="BA132" s="949"/>
      <c r="BB132" s="949"/>
      <c r="BC132" s="949"/>
      <c r="BD132" s="949"/>
      <c r="BE132" s="2267"/>
    </row>
    <row r="133" spans="1:57">
      <c r="A133" s="1090" t="s">
        <v>499</v>
      </c>
      <c r="B133" s="73" t="s">
        <v>284</v>
      </c>
      <c r="C133" s="1085">
        <f t="shared" si="29"/>
        <v>15596.516285714286</v>
      </c>
      <c r="D133" s="1086">
        <f t="shared" si="29"/>
        <v>3.9962072557101963E-2</v>
      </c>
      <c r="E133" s="1060">
        <f t="shared" si="29"/>
        <v>-0.41209116095583281</v>
      </c>
      <c r="F133" s="1060">
        <f t="shared" si="29"/>
        <v>-0.31031558205019388</v>
      </c>
      <c r="G133" s="1061">
        <f t="shared" si="29"/>
        <v>10295.917100000001</v>
      </c>
      <c r="H133" s="1062">
        <f t="shared" si="29"/>
        <v>2.8511404790864545E-2</v>
      </c>
      <c r="I133" s="1063">
        <f t="shared" si="29"/>
        <v>0.58081043687158529</v>
      </c>
      <c r="J133" s="1063">
        <f t="shared" si="29"/>
        <v>0.5027794267018264</v>
      </c>
      <c r="K133" s="130">
        <f t="shared" si="29"/>
        <v>4.6475023511824993</v>
      </c>
      <c r="L133" s="1060">
        <f t="shared" si="29"/>
        <v>-0.18379111287045302</v>
      </c>
      <c r="M133" s="1065">
        <f t="shared" si="30"/>
        <v>4.0606354500113753</v>
      </c>
      <c r="N133" s="1066">
        <f t="shared" si="30"/>
        <v>0.34534166666666666</v>
      </c>
      <c r="O133" s="1067">
        <f t="shared" si="30"/>
        <v>-5.4500069338510607E-2</v>
      </c>
      <c r="P133" s="1068">
        <f t="shared" si="30"/>
        <v>0.3626280111015483</v>
      </c>
      <c r="Q133" s="1066">
        <f t="shared" si="30"/>
        <v>0.67997702229572432</v>
      </c>
      <c r="R133" s="1067">
        <f t="shared" si="30"/>
        <v>0.10658020511075152</v>
      </c>
      <c r="S133" s="1068">
        <f t="shared" si="30"/>
        <v>0.75270955685414354</v>
      </c>
      <c r="T133" s="1066">
        <f t="shared" si="30"/>
        <v>0.68457317243488636</v>
      </c>
      <c r="U133" s="1067">
        <f t="shared" si="30"/>
        <v>0.10522314957078965</v>
      </c>
      <c r="V133" s="1068">
        <f t="shared" si="30"/>
        <v>0.75672107111582532</v>
      </c>
      <c r="W133" s="1060">
        <f t="shared" si="30"/>
        <v>4.5961501391620363E-3</v>
      </c>
      <c r="X133" s="1060">
        <f t="shared" si="30"/>
        <v>6.7592727231349809E-3</v>
      </c>
      <c r="Y133" s="1069" t="str">
        <f t="shared" si="30"/>
        <v>BBB-</v>
      </c>
      <c r="Z133" s="1070" t="str">
        <f t="shared" si="31"/>
        <v>=  ¯ ¯</v>
      </c>
      <c r="AA133" s="1064">
        <f t="shared" si="27"/>
        <v>2.9152503149286035</v>
      </c>
      <c r="AB133" s="1071">
        <f t="shared" si="27"/>
        <v>-0.14664752669478531</v>
      </c>
      <c r="AC133" s="1065">
        <f t="shared" si="27"/>
        <v>2.8370691340232916</v>
      </c>
      <c r="AD133" s="949"/>
      <c r="AE133" s="1694" t="s">
        <v>276</v>
      </c>
      <c r="AF133" s="1560">
        <f>CALCULATIONS!FD6</f>
        <v>4.4325692307692313</v>
      </c>
      <c r="AG133" s="134">
        <f t="shared" si="28"/>
        <v>0.21493312041326806</v>
      </c>
      <c r="AH133" s="949"/>
      <c r="AI133" s="949"/>
      <c r="AJ133" s="949"/>
      <c r="AK133" s="949"/>
      <c r="AL133" s="949"/>
      <c r="AM133" s="949"/>
      <c r="AN133" s="949"/>
      <c r="AO133" s="949"/>
      <c r="AP133" s="949"/>
      <c r="AQ133" s="949"/>
      <c r="AR133" s="110"/>
      <c r="AS133" s="110"/>
      <c r="AT133" s="110"/>
      <c r="AU133" s="949"/>
      <c r="AV133" s="949"/>
      <c r="AW133" s="949"/>
      <c r="AX133" s="949"/>
      <c r="AY133" s="949"/>
      <c r="AZ133" s="949"/>
      <c r="BA133" s="949"/>
      <c r="BB133" s="949"/>
      <c r="BC133" s="949"/>
      <c r="BD133" s="949"/>
      <c r="BE133" s="2267"/>
    </row>
    <row r="134" spans="1:57">
      <c r="A134" s="1090" t="s">
        <v>385</v>
      </c>
      <c r="B134" s="73" t="s">
        <v>276</v>
      </c>
      <c r="C134" s="1085">
        <f t="shared" si="29"/>
        <v>3544.0522571428578</v>
      </c>
      <c r="D134" s="1086">
        <f t="shared" si="29"/>
        <v>9.0807248780183369E-3</v>
      </c>
      <c r="E134" s="1060">
        <f t="shared" si="29"/>
        <v>-0.4675424361384804</v>
      </c>
      <c r="F134" s="1060">
        <f t="shared" si="29"/>
        <v>-0.36576685723284147</v>
      </c>
      <c r="G134" s="1061">
        <f t="shared" si="29"/>
        <v>2152.6311000000001</v>
      </c>
      <c r="H134" s="1062">
        <f t="shared" si="29"/>
        <v>5.9610558303255963E-3</v>
      </c>
      <c r="I134" s="1063">
        <f t="shared" si="29"/>
        <v>3.4941691326062152</v>
      </c>
      <c r="J134" s="1063">
        <f t="shared" si="29"/>
        <v>2.2961398399999999</v>
      </c>
      <c r="K134" s="130">
        <f t="shared" si="29"/>
        <v>4.4246190982470868</v>
      </c>
      <c r="L134" s="1060">
        <f t="shared" si="29"/>
        <v>-2.9835823683801648E-2</v>
      </c>
      <c r="M134" s="1065">
        <f t="shared" si="30"/>
        <v>4.0530525032062261</v>
      </c>
      <c r="N134" s="1066">
        <f t="shared" si="30"/>
        <v>0.60910298289809772</v>
      </c>
      <c r="O134" s="1067">
        <f t="shared" si="30"/>
        <v>-5.2071170724915891E-2</v>
      </c>
      <c r="P134" s="1068">
        <f t="shared" si="30"/>
        <v>0.6207941242005639</v>
      </c>
      <c r="Q134" s="1066">
        <f t="shared" si="30"/>
        <v>0.49050145598877937</v>
      </c>
      <c r="R134" s="1067">
        <f t="shared" si="30"/>
        <v>0.42102559519407173</v>
      </c>
      <c r="S134" s="1068">
        <f t="shared" si="30"/>
        <v>0.61744816018521742</v>
      </c>
      <c r="T134" s="1066">
        <f t="shared" si="30"/>
        <v>0.49698573886957192</v>
      </c>
      <c r="U134" s="1067">
        <f t="shared" si="30"/>
        <v>0.41032171167013903</v>
      </c>
      <c r="V134" s="1068">
        <f t="shared" si="30"/>
        <v>0.62319136029119382</v>
      </c>
      <c r="W134" s="1060">
        <f t="shared" si="30"/>
        <v>6.4842828807925579E-3</v>
      </c>
      <c r="X134" s="1060">
        <f t="shared" si="30"/>
        <v>1.3219701596443154E-2</v>
      </c>
      <c r="Y134" s="1069" t="str">
        <f t="shared" si="30"/>
        <v>BBB</v>
      </c>
      <c r="Z134" s="1070" t="str">
        <f t="shared" si="31"/>
        <v>=  ¯ -</v>
      </c>
      <c r="AA134" s="1064">
        <f t="shared" si="27"/>
        <v>2.1902281092407181</v>
      </c>
      <c r="AB134" s="1071">
        <f t="shared" si="27"/>
        <v>0.36844726500440206</v>
      </c>
      <c r="AC134" s="1065">
        <f t="shared" si="27"/>
        <v>2.5252968522290931</v>
      </c>
      <c r="AD134" s="949"/>
      <c r="AE134" s="1694" t="s">
        <v>50</v>
      </c>
      <c r="AF134" s="1560">
        <f>CALCULATIONS!FD21</f>
        <v>4.4203692307692313</v>
      </c>
      <c r="AG134" s="134">
        <f t="shared" si="28"/>
        <v>4.2498674778554957E-3</v>
      </c>
      <c r="AH134" s="949"/>
      <c r="AI134" s="949"/>
      <c r="AJ134" s="949"/>
      <c r="AK134" s="949"/>
      <c r="AL134" s="949"/>
      <c r="AM134" s="949"/>
      <c r="AN134" s="949"/>
      <c r="AO134" s="949"/>
      <c r="AP134" s="949"/>
      <c r="AQ134" s="949"/>
      <c r="AR134" s="110"/>
      <c r="AS134" s="110"/>
      <c r="AT134" s="110"/>
      <c r="AU134" s="949"/>
      <c r="AV134" s="949"/>
      <c r="AW134" s="949"/>
      <c r="AX134" s="949"/>
      <c r="AY134" s="949"/>
      <c r="AZ134" s="949"/>
      <c r="BA134" s="949"/>
      <c r="BB134" s="949"/>
      <c r="BC134" s="949"/>
      <c r="BD134" s="949"/>
      <c r="BE134" s="2267"/>
    </row>
    <row r="135" spans="1:57">
      <c r="A135" s="1090" t="s">
        <v>502</v>
      </c>
      <c r="B135" s="73" t="s">
        <v>287</v>
      </c>
      <c r="C135" s="1085">
        <f t="shared" si="29"/>
        <v>4580.8423286191064</v>
      </c>
      <c r="D135" s="1086">
        <f t="shared" si="29"/>
        <v>1.1737233504933111E-2</v>
      </c>
      <c r="E135" s="1060">
        <f t="shared" si="29"/>
        <v>-0.49577837871365099</v>
      </c>
      <c r="F135" s="1060">
        <f t="shared" si="29"/>
        <v>-0.39400279980801206</v>
      </c>
      <c r="G135" s="1061">
        <f t="shared" si="29"/>
        <v>2322.4005110115481</v>
      </c>
      <c r="H135" s="1062">
        <f t="shared" si="29"/>
        <v>6.4311804779353665E-3</v>
      </c>
      <c r="I135" s="1063">
        <f t="shared" si="29"/>
        <v>1.4234279787340207</v>
      </c>
      <c r="J135" s="1063">
        <f t="shared" si="29"/>
        <v>0.8056764866383116</v>
      </c>
      <c r="K135" s="130">
        <f t="shared" si="29"/>
        <v>4.3531629475873661</v>
      </c>
      <c r="L135" s="1060">
        <f t="shared" si="29"/>
        <v>-8.1025400882275472E-2</v>
      </c>
      <c r="M135" s="1065">
        <f t="shared" si="30"/>
        <v>3.4400754167452243</v>
      </c>
      <c r="N135" s="1066">
        <f t="shared" si="30"/>
        <v>0.42290073595624156</v>
      </c>
      <c r="O135" s="1067">
        <f t="shared" si="30"/>
        <v>-9.0086339251873371E-2</v>
      </c>
      <c r="P135" s="1068">
        <f t="shared" si="30"/>
        <v>0.44946685046944856</v>
      </c>
      <c r="Q135" s="1066">
        <f t="shared" si="30"/>
        <v>0.16307046534988884</v>
      </c>
      <c r="R135" s="1067">
        <f t="shared" si="30"/>
        <v>1.3005419282788433</v>
      </c>
      <c r="S135" s="1068">
        <f t="shared" si="30"/>
        <v>0.30950096360373897</v>
      </c>
      <c r="T135" s="1066">
        <f t="shared" si="30"/>
        <v>0.18570292678335293</v>
      </c>
      <c r="U135" s="1067">
        <f t="shared" si="30"/>
        <v>1.251733079461073</v>
      </c>
      <c r="V135" s="1068">
        <f t="shared" si="30"/>
        <v>0.34197601038246805</v>
      </c>
      <c r="W135" s="1060">
        <f t="shared" si="30"/>
        <v>2.2632461433464091E-2</v>
      </c>
      <c r="X135" s="1060">
        <f t="shared" si="30"/>
        <v>0.13878945758144007</v>
      </c>
      <c r="Y135" s="1069" t="str">
        <f t="shared" si="30"/>
        <v>BBB</v>
      </c>
      <c r="Z135" s="1070" t="str">
        <f t="shared" si="31"/>
        <v>=  ¯ -</v>
      </c>
      <c r="AA135" s="1064">
        <f t="shared" si="27"/>
        <v>0.77886477042851432</v>
      </c>
      <c r="AB135" s="1071">
        <f t="shared" si="27"/>
        <v>1.0703005310133176</v>
      </c>
      <c r="AC135" s="1065">
        <f t="shared" si="27"/>
        <v>1.1762690733772538</v>
      </c>
      <c r="AD135" s="949"/>
      <c r="AE135" s="1694" t="s">
        <v>287</v>
      </c>
      <c r="AF135" s="1560">
        <f>CALCULATIONS!FD19</f>
        <v>4.3466846153846159</v>
      </c>
      <c r="AG135" s="134">
        <f t="shared" si="28"/>
        <v>6.4783322027501811E-3</v>
      </c>
      <c r="AH135" s="949"/>
      <c r="AI135" s="949"/>
      <c r="AJ135" s="949"/>
      <c r="AK135" s="949"/>
      <c r="AL135" s="949"/>
      <c r="AM135" s="949"/>
      <c r="AN135" s="949"/>
      <c r="AO135" s="949"/>
      <c r="AP135" s="949"/>
      <c r="AQ135" s="949"/>
      <c r="AR135" s="110"/>
      <c r="AS135" s="110"/>
      <c r="AT135" s="110"/>
      <c r="AU135" s="949"/>
      <c r="AV135" s="949"/>
      <c r="AW135" s="949"/>
      <c r="AX135" s="949"/>
      <c r="AY135" s="949"/>
      <c r="AZ135" s="949"/>
      <c r="BA135" s="949"/>
      <c r="BB135" s="949"/>
      <c r="BC135" s="949"/>
      <c r="BD135" s="949"/>
      <c r="BE135" s="2267"/>
    </row>
    <row r="136" spans="1:57">
      <c r="A136" s="1090" t="s">
        <v>27</v>
      </c>
      <c r="B136" s="73" t="s">
        <v>353</v>
      </c>
      <c r="C136" s="1085">
        <f t="shared" si="29"/>
        <v>504.56125714285719</v>
      </c>
      <c r="D136" s="1086">
        <f t="shared" si="29"/>
        <v>1.292808804099037E-3</v>
      </c>
      <c r="E136" s="1060">
        <f t="shared" si="29"/>
        <v>0.11241291049139049</v>
      </c>
      <c r="F136" s="1060">
        <f t="shared" si="29"/>
        <v>0.21418848939702945</v>
      </c>
      <c r="G136" s="1061">
        <f t="shared" si="29"/>
        <v>562.64409999999998</v>
      </c>
      <c r="H136" s="1062">
        <f t="shared" si="29"/>
        <v>1.5580713726115437E-3</v>
      </c>
      <c r="I136" s="1063">
        <f t="shared" si="29"/>
        <v>0.48825120153947199</v>
      </c>
      <c r="J136" s="1063">
        <f t="shared" si="29"/>
        <v>0.52140126030951717</v>
      </c>
      <c r="K136" s="130">
        <f t="shared" si="29"/>
        <v>4.0370208841188875</v>
      </c>
      <c r="L136" s="1060">
        <f t="shared" si="29"/>
        <v>-0.11001004882442665</v>
      </c>
      <c r="M136" s="1065">
        <f t="shared" si="30"/>
        <v>3.9063069179772585</v>
      </c>
      <c r="N136" s="1066">
        <f t="shared" si="30"/>
        <v>0.90539538726018864</v>
      </c>
      <c r="O136" s="1067">
        <f t="shared" si="30"/>
        <v>-4.1189056985539901E-2</v>
      </c>
      <c r="P136" s="1068">
        <f t="shared" si="30"/>
        <v>0.90138346931536006</v>
      </c>
      <c r="Q136" s="1066">
        <f t="shared" si="30"/>
        <v>0.38160323267486906</v>
      </c>
      <c r="R136" s="1067">
        <f t="shared" si="30"/>
        <v>0.13281779457810056</v>
      </c>
      <c r="S136" s="1068">
        <f t="shared" si="30"/>
        <v>0.39444904186551905</v>
      </c>
      <c r="T136" s="1066">
        <f t="shared" si="30"/>
        <v>0.47841518539184064</v>
      </c>
      <c r="U136" s="1067">
        <f t="shared" si="30"/>
        <v>1.1717685634717274E-2</v>
      </c>
      <c r="V136" s="1068">
        <f t="shared" si="30"/>
        <v>0.46507375880431212</v>
      </c>
      <c r="W136" s="1060">
        <f t="shared" si="30"/>
        <v>9.6811952716971572E-2</v>
      </c>
      <c r="X136" s="1060">
        <f t="shared" si="30"/>
        <v>0.25369793656715856</v>
      </c>
      <c r="Y136" s="1069" t="str">
        <f t="shared" si="30"/>
        <v>Not rated</v>
      </c>
      <c r="Z136" s="1070"/>
      <c r="AA136" s="1064">
        <f t="shared" si="27"/>
        <v>1.832329792526622</v>
      </c>
      <c r="AB136" s="1071">
        <f t="shared" si="27"/>
        <v>-9.9442962217240083E-2</v>
      </c>
      <c r="AC136" s="1065">
        <f t="shared" si="27"/>
        <v>1.8160302149559577</v>
      </c>
      <c r="AD136" s="949"/>
      <c r="AE136" s="1694" t="s">
        <v>42</v>
      </c>
      <c r="AF136" s="1560">
        <f>CALCULATIONS!FD15</f>
        <v>3.687323076923076</v>
      </c>
      <c r="AG136" s="134">
        <f t="shared" si="28"/>
        <v>0.34969780719581145</v>
      </c>
      <c r="AH136" s="949"/>
      <c r="AI136" s="949"/>
      <c r="AJ136" s="949"/>
      <c r="AK136" s="949"/>
      <c r="AL136" s="949"/>
      <c r="AM136" s="949"/>
      <c r="AN136" s="949"/>
      <c r="AO136" s="949"/>
      <c r="AP136" s="949"/>
      <c r="AQ136" s="949"/>
      <c r="AR136" s="110"/>
      <c r="AS136" s="110"/>
      <c r="AT136" s="110"/>
      <c r="AU136" s="949"/>
      <c r="AV136" s="949"/>
      <c r="AW136" s="949"/>
      <c r="AX136" s="949"/>
      <c r="AY136" s="949"/>
      <c r="AZ136" s="949"/>
      <c r="BA136" s="949"/>
      <c r="BB136" s="949"/>
      <c r="BC136" s="949"/>
      <c r="BD136" s="949"/>
      <c r="BE136" s="2267"/>
    </row>
    <row r="137" spans="1:57">
      <c r="A137" s="1090" t="s">
        <v>374</v>
      </c>
      <c r="B137" s="73" t="s">
        <v>42</v>
      </c>
      <c r="C137" s="1085">
        <f t="shared" si="29"/>
        <v>2432.5463571428577</v>
      </c>
      <c r="D137" s="1086">
        <f t="shared" si="29"/>
        <v>6.2327761047315808E-3</v>
      </c>
      <c r="E137" s="1060">
        <f t="shared" si="29"/>
        <v>-3.2258071946582277E-2</v>
      </c>
      <c r="F137" s="1060">
        <f t="shared" si="29"/>
        <v>6.9517506959056674E-2</v>
      </c>
      <c r="G137" s="1061">
        <f t="shared" si="29"/>
        <v>2940.9023000000002</v>
      </c>
      <c r="H137" s="1062">
        <f t="shared" si="29"/>
        <v>8.143932697912316E-3</v>
      </c>
      <c r="I137" s="1063">
        <f t="shared" si="29"/>
        <v>1.2689619717468461</v>
      </c>
      <c r="J137" s="1063">
        <f t="shared" si="29"/>
        <v>1.312316956715752</v>
      </c>
      <c r="K137" s="130">
        <f t="shared" si="29"/>
        <v>3.8459062845563983</v>
      </c>
      <c r="L137" s="1060">
        <f t="shared" si="29"/>
        <v>3.4291324439135469E-2</v>
      </c>
      <c r="M137" s="1065">
        <f t="shared" si="30"/>
        <v>3.7439277362047823</v>
      </c>
      <c r="N137" s="1060">
        <f t="shared" si="30"/>
        <v>0.56323171407839789</v>
      </c>
      <c r="O137" s="1067">
        <f t="shared" si="30"/>
        <v>-0.12023286586287618</v>
      </c>
      <c r="P137" s="1068">
        <f t="shared" si="30"/>
        <v>0.53987730061349704</v>
      </c>
      <c r="Q137" s="1066">
        <f t="shared" si="30"/>
        <v>0.60887331285954671</v>
      </c>
      <c r="R137" s="1067">
        <f t="shared" si="30"/>
        <v>-0.37303497156800469</v>
      </c>
      <c r="S137" s="1068">
        <f t="shared" si="30"/>
        <v>0.37659759063604481</v>
      </c>
      <c r="T137" s="1066">
        <f t="shared" si="30"/>
        <v>0.63388271448107447</v>
      </c>
      <c r="U137" s="1067">
        <f t="shared" si="30"/>
        <v>-0.25869992498286548</v>
      </c>
      <c r="V137" s="1068">
        <f t="shared" si="30"/>
        <v>0.44527495080222473</v>
      </c>
      <c r="W137" s="1060">
        <f t="shared" si="30"/>
        <v>2.500940162152776E-2</v>
      </c>
      <c r="X137" s="1060">
        <f t="shared" si="30"/>
        <v>4.1074885519406669E-2</v>
      </c>
      <c r="Y137" s="1069" t="str">
        <f t="shared" si="30"/>
        <v>B-</v>
      </c>
      <c r="Z137" s="1070" t="str">
        <f>VLOOKUP($B137,$B$7:$AC$28,Z$37+1,FALSE)</f>
        <v>=  =  -</v>
      </c>
      <c r="AA137" s="1064">
        <f t="shared" si="27"/>
        <v>2.172629043332774</v>
      </c>
      <c r="AB137" s="1071">
        <f t="shared" si="27"/>
        <v>-0.22035736928264804</v>
      </c>
      <c r="AC137" s="1065">
        <f t="shared" si="27"/>
        <v>1.5517268924243866</v>
      </c>
      <c r="AD137" s="949"/>
      <c r="AE137" s="1694" t="s">
        <v>353</v>
      </c>
      <c r="AF137" s="1560">
        <f>CALCULATIONS!FD26</f>
        <v>3.6451000000000002</v>
      </c>
      <c r="AG137" s="134">
        <f t="shared" si="28"/>
        <v>0.20080628455639804</v>
      </c>
      <c r="AH137" s="949"/>
      <c r="AI137" s="949"/>
      <c r="AJ137" s="949"/>
      <c r="AK137" s="949"/>
      <c r="AL137" s="949"/>
      <c r="AM137" s="949"/>
      <c r="AN137" s="949"/>
      <c r="AO137" s="949"/>
      <c r="AP137" s="949"/>
      <c r="AQ137" s="949"/>
      <c r="AR137" s="110"/>
      <c r="AS137" s="110"/>
      <c r="AT137" s="110"/>
      <c r="AU137" s="949"/>
      <c r="AV137" s="949"/>
      <c r="AW137" s="949"/>
      <c r="AX137" s="949"/>
      <c r="AY137" s="949"/>
      <c r="AZ137" s="949"/>
      <c r="BA137" s="949"/>
      <c r="BB137" s="949"/>
      <c r="BC137" s="949"/>
      <c r="BD137" s="949"/>
      <c r="BE137" s="2267"/>
    </row>
    <row r="138" spans="1:57">
      <c r="A138" s="1090"/>
      <c r="B138" s="949"/>
      <c r="C138" s="949"/>
      <c r="D138" s="119"/>
      <c r="E138" s="949"/>
      <c r="F138" s="949"/>
      <c r="G138" s="949"/>
      <c r="H138" s="119"/>
      <c r="I138" s="119"/>
      <c r="J138" s="119"/>
      <c r="K138" s="949"/>
      <c r="L138" s="949"/>
      <c r="M138" s="949"/>
      <c r="N138" s="949"/>
      <c r="O138" s="949"/>
      <c r="P138" s="949"/>
      <c r="Q138" s="1005"/>
      <c r="R138" s="1005"/>
      <c r="S138" s="1005"/>
      <c r="T138" s="949"/>
      <c r="U138" s="949"/>
      <c r="V138" s="949"/>
      <c r="W138" s="1005"/>
      <c r="X138" s="1005"/>
      <c r="Y138" s="949"/>
      <c r="Z138" s="949"/>
      <c r="AA138" s="949"/>
      <c r="AB138" s="949"/>
      <c r="AC138" s="949"/>
      <c r="AD138" s="949"/>
      <c r="AE138" s="949"/>
      <c r="AF138" s="949"/>
      <c r="AG138" s="2129"/>
      <c r="AH138" s="949"/>
      <c r="AI138" s="949"/>
      <c r="AJ138" s="949"/>
      <c r="AK138" s="949"/>
      <c r="AL138" s="949"/>
      <c r="AM138" s="949"/>
      <c r="AN138" s="949"/>
      <c r="AO138" s="949"/>
      <c r="AP138" s="949"/>
      <c r="AQ138" s="949"/>
      <c r="AR138" s="110"/>
      <c r="AS138" s="110"/>
      <c r="AT138" s="110"/>
      <c r="AU138" s="949"/>
      <c r="AV138" s="949"/>
      <c r="AW138" s="949"/>
      <c r="AX138" s="949"/>
      <c r="AY138" s="949"/>
      <c r="AZ138" s="949"/>
      <c r="BA138" s="949"/>
      <c r="BB138" s="949"/>
      <c r="BC138" s="949"/>
      <c r="BD138" s="949"/>
      <c r="BE138" s="2267"/>
    </row>
    <row r="139" spans="1:57">
      <c r="A139" s="1090"/>
      <c r="B139" s="949"/>
      <c r="C139" s="949"/>
      <c r="D139" s="119"/>
      <c r="E139" s="949"/>
      <c r="F139" s="949"/>
      <c r="G139" s="949"/>
      <c r="H139" s="119"/>
      <c r="I139" s="119"/>
      <c r="J139" s="119"/>
      <c r="K139" s="949"/>
      <c r="L139" s="949"/>
      <c r="M139" s="949"/>
      <c r="N139" s="949"/>
      <c r="O139" s="949"/>
      <c r="P139" s="949"/>
      <c r="Q139" s="1005"/>
      <c r="R139" s="1005"/>
      <c r="S139" s="1005"/>
      <c r="T139" s="949"/>
      <c r="U139" s="949"/>
      <c r="V139" s="949"/>
      <c r="W139" s="1005"/>
      <c r="X139" s="1005"/>
      <c r="Y139" s="949"/>
      <c r="Z139" s="949"/>
      <c r="AA139" s="949"/>
      <c r="AB139" s="949"/>
      <c r="AC139" s="949"/>
      <c r="AD139" s="949"/>
      <c r="AE139" s="949"/>
      <c r="AF139" s="949"/>
      <c r="AG139" s="2129"/>
      <c r="AH139" s="949"/>
      <c r="AI139" s="949"/>
      <c r="AJ139" s="949"/>
      <c r="AK139" s="949"/>
      <c r="AL139" s="949"/>
      <c r="AM139" s="949"/>
      <c r="AN139" s="949"/>
      <c r="AO139" s="949"/>
      <c r="AP139" s="949"/>
      <c r="AQ139" s="949"/>
      <c r="AR139" s="110"/>
      <c r="AS139" s="110"/>
      <c r="AT139" s="110"/>
      <c r="AU139" s="949"/>
      <c r="AV139" s="949"/>
      <c r="AW139" s="949"/>
      <c r="AX139" s="949"/>
      <c r="AY139" s="949"/>
      <c r="AZ139" s="949"/>
      <c r="BA139" s="949"/>
      <c r="BB139" s="949"/>
      <c r="BC139" s="949"/>
      <c r="BD139" s="949"/>
      <c r="BE139" s="2267"/>
    </row>
    <row r="140" spans="1:57">
      <c r="A140" s="3315" t="s">
        <v>764</v>
      </c>
      <c r="B140" s="1286" t="s">
        <v>1178</v>
      </c>
      <c r="C140" s="1005"/>
      <c r="D140" s="119"/>
      <c r="E140" s="1005"/>
      <c r="F140" s="1005"/>
      <c r="G140" s="1005"/>
      <c r="H140" s="119"/>
      <c r="I140" s="119"/>
      <c r="J140" s="119"/>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949"/>
      <c r="AE140" s="949"/>
      <c r="AF140" s="949"/>
      <c r="AG140" s="2129"/>
      <c r="AH140" s="949"/>
      <c r="AI140" s="949"/>
      <c r="AJ140" s="949"/>
      <c r="AK140" s="949"/>
      <c r="AL140" s="949"/>
      <c r="AM140" s="949"/>
      <c r="AN140" s="949"/>
      <c r="AO140" s="949"/>
      <c r="AP140" s="949"/>
      <c r="AQ140" s="949"/>
      <c r="AR140" s="110"/>
      <c r="AS140" s="110"/>
      <c r="AT140" s="110"/>
      <c r="AU140" s="949"/>
      <c r="AV140" s="949"/>
      <c r="AW140" s="949"/>
      <c r="AX140" s="949"/>
      <c r="AY140" s="949"/>
      <c r="AZ140" s="949"/>
      <c r="BA140" s="949"/>
      <c r="BB140" s="949"/>
      <c r="BC140" s="949"/>
      <c r="BD140" s="949"/>
      <c r="BE140" s="2267"/>
    </row>
    <row r="141" spans="1:57">
      <c r="A141" s="1090" t="s">
        <v>19</v>
      </c>
      <c r="B141" s="73" t="s">
        <v>285</v>
      </c>
      <c r="C141" s="1085">
        <f t="shared" ref="C141:L150" si="32">VLOOKUP($B141,$B$7:$AC$28,C$37+1,FALSE)</f>
        <v>6002.7646707914537</v>
      </c>
      <c r="D141" s="1086">
        <f t="shared" si="32"/>
        <v>1.538054479108892E-2</v>
      </c>
      <c r="E141" s="1060">
        <f t="shared" si="32"/>
        <v>1.7468659495150733</v>
      </c>
      <c r="F141" s="1060">
        <f t="shared" si="32"/>
        <v>1.8486415284207123</v>
      </c>
      <c r="G141" s="1061">
        <f t="shared" si="32"/>
        <v>9571.524995540176</v>
      </c>
      <c r="H141" s="1062">
        <f t="shared" si="32"/>
        <v>2.6505421611613778E-2</v>
      </c>
      <c r="I141" s="1063">
        <f t="shared" si="32"/>
        <v>4.1497848696984878</v>
      </c>
      <c r="J141" s="1063">
        <f t="shared" si="32"/>
        <v>5.1075046454025781</v>
      </c>
      <c r="K141" s="1064">
        <f t="shared" si="32"/>
        <v>7.8090133066846761</v>
      </c>
      <c r="L141" s="1060">
        <f t="shared" si="32"/>
        <v>0.8464659845431286</v>
      </c>
      <c r="M141" s="129">
        <f t="shared" ref="M141:Y150" si="33">VLOOKUP($B141,$B$7:$AC$28,M$37+1,FALSE)</f>
        <v>9.6719476082953495</v>
      </c>
      <c r="N141" s="1066">
        <f t="shared" si="33"/>
        <v>9.1630231095150338E-2</v>
      </c>
      <c r="O141" s="1084" t="str">
        <f t="shared" si="33"/>
        <v>¥</v>
      </c>
      <c r="P141" s="1068">
        <f t="shared" si="33"/>
        <v>0.34976819018989347</v>
      </c>
      <c r="Q141" s="1066">
        <f t="shared" si="33"/>
        <v>0.13477545507373562</v>
      </c>
      <c r="R141" s="1067">
        <f t="shared" si="33"/>
        <v>-0.4264373226073967</v>
      </c>
      <c r="S141" s="1068">
        <f t="shared" si="33"/>
        <v>9.7905485588969735E-2</v>
      </c>
      <c r="T141" s="1066">
        <f t="shared" si="33"/>
        <v>0.16024846762312819</v>
      </c>
      <c r="U141" s="1067">
        <f t="shared" si="33"/>
        <v>-0.25253039609468159</v>
      </c>
      <c r="V141" s="1068">
        <f t="shared" si="33"/>
        <v>0.12849893093161849</v>
      </c>
      <c r="W141" s="1060">
        <f t="shared" si="33"/>
        <v>2.5473012549392576E-2</v>
      </c>
      <c r="X141" s="1060">
        <f t="shared" si="33"/>
        <v>0.18900335031669008</v>
      </c>
      <c r="Y141" s="1069" t="str">
        <f t="shared" si="33"/>
        <v>Not rated</v>
      </c>
      <c r="Z141" s="1070"/>
      <c r="AA141" s="1064">
        <f t="shared" ref="AA141:AC162" si="34">VLOOKUP($B141,$B$7:$AC$28,AA$37+1,FALSE)</f>
        <v>1.265551414722516</v>
      </c>
      <c r="AB141" s="1071">
        <f t="shared" si="34"/>
        <v>0.38040351489576829</v>
      </c>
      <c r="AC141" s="1065">
        <f t="shared" si="34"/>
        <v>1.242834927692577</v>
      </c>
      <c r="AD141" s="949"/>
      <c r="AE141" s="949"/>
      <c r="AF141" s="949"/>
      <c r="AG141" s="2129"/>
      <c r="AH141" s="949"/>
      <c r="AI141" s="949"/>
      <c r="AJ141" s="949"/>
      <c r="AK141" s="949"/>
      <c r="AL141" s="949"/>
      <c r="AM141" s="949"/>
      <c r="AN141" s="949"/>
      <c r="AO141" s="949"/>
      <c r="AP141" s="949"/>
      <c r="AQ141" s="949"/>
      <c r="AR141" s="110"/>
      <c r="AS141" s="110"/>
      <c r="AT141" s="110"/>
      <c r="AU141" s="949"/>
      <c r="AV141" s="949"/>
      <c r="AW141" s="949"/>
      <c r="AX141" s="949"/>
      <c r="AY141" s="949"/>
      <c r="AZ141" s="949"/>
      <c r="BA141" s="949"/>
      <c r="BB141" s="949"/>
      <c r="BC141" s="949"/>
      <c r="BD141" s="949"/>
      <c r="BE141" s="2267"/>
    </row>
    <row r="142" spans="1:57">
      <c r="A142" s="1091" t="s">
        <v>319</v>
      </c>
      <c r="B142" s="691" t="s">
        <v>752</v>
      </c>
      <c r="C142" s="1087">
        <f t="shared" si="32"/>
        <v>3541.6238999999996</v>
      </c>
      <c r="D142" s="1088">
        <f t="shared" si="32"/>
        <v>9.0745028357006995E-3</v>
      </c>
      <c r="E142" s="1072">
        <f t="shared" si="32"/>
        <v>0.67327297771392325</v>
      </c>
      <c r="F142" s="1072">
        <f t="shared" si="32"/>
        <v>0.77504855661956218</v>
      </c>
      <c r="G142" s="1073">
        <f t="shared" si="32"/>
        <v>4048.9897999999998</v>
      </c>
      <c r="H142" s="1074">
        <f t="shared" si="32"/>
        <v>1.1212443346293226E-2</v>
      </c>
      <c r="I142" s="1075">
        <f t="shared" si="32"/>
        <v>-1.4186196832586249</v>
      </c>
      <c r="J142" s="1075">
        <f t="shared" si="32"/>
        <v>-2.7147098893731143</v>
      </c>
      <c r="K142" s="1076">
        <f t="shared" si="32"/>
        <v>8.5213348378460623</v>
      </c>
      <c r="L142" s="1072">
        <f t="shared" si="32"/>
        <v>0.26215680659638446</v>
      </c>
      <c r="M142" s="1012">
        <f t="shared" si="33"/>
        <v>9.0506669895995948</v>
      </c>
      <c r="N142" s="1078">
        <f t="shared" si="33"/>
        <v>6.4385445236561381E-2</v>
      </c>
      <c r="O142" s="1079">
        <f t="shared" si="33"/>
        <v>14.697799124913645</v>
      </c>
      <c r="P142" s="1080">
        <f t="shared" si="33"/>
        <v>0.15462918080465343</v>
      </c>
      <c r="Q142" s="1078">
        <f t="shared" si="33"/>
        <v>0.42399287000325037</v>
      </c>
      <c r="R142" s="1079">
        <f t="shared" si="33"/>
        <v>4.5742782667206161E-2</v>
      </c>
      <c r="S142" s="1080">
        <f t="shared" si="33"/>
        <v>0.48144640266975475</v>
      </c>
      <c r="T142" s="1078">
        <f t="shared" si="33"/>
        <v>0.42695023434228802</v>
      </c>
      <c r="U142" s="1079">
        <f t="shared" si="33"/>
        <v>4.1366838913311048E-2</v>
      </c>
      <c r="V142" s="1080">
        <f t="shared" si="33"/>
        <v>0.4832654138496531</v>
      </c>
      <c r="W142" s="1072">
        <f t="shared" si="33"/>
        <v>2.9573643390376492E-3</v>
      </c>
      <c r="X142" s="1072">
        <f t="shared" si="33"/>
        <v>6.9750331863245195E-3</v>
      </c>
      <c r="Y142" s="1081" t="str">
        <f t="shared" si="33"/>
        <v>B+</v>
      </c>
      <c r="Z142" s="1082" t="str">
        <f t="shared" ref="Z142:Z149" si="35">VLOOKUP($B142,$B$7:$AC$28,Z$37+1,FALSE)</f>
        <v>=  =  =</v>
      </c>
      <c r="AA142" s="1076">
        <f t="shared" si="34"/>
        <v>3.7014756930154613</v>
      </c>
      <c r="AB142" s="1083">
        <f t="shared" si="34"/>
        <v>0.31334582285320112</v>
      </c>
      <c r="AC142" s="1077">
        <f t="shared" si="34"/>
        <v>4.3704719780651446</v>
      </c>
      <c r="AD142" s="949"/>
      <c r="AE142" s="949"/>
      <c r="AF142" s="949"/>
      <c r="AG142" s="2129"/>
      <c r="AH142" s="949"/>
      <c r="AI142" s="949"/>
      <c r="AJ142" s="949"/>
      <c r="AK142" s="949"/>
      <c r="AL142" s="949"/>
      <c r="AM142" s="949"/>
      <c r="AN142" s="949"/>
      <c r="AO142" s="949"/>
      <c r="AP142" s="949"/>
      <c r="AQ142" s="949"/>
      <c r="AR142" s="110"/>
      <c r="AS142" s="110"/>
      <c r="AT142" s="110"/>
      <c r="AU142" s="949"/>
      <c r="AV142" s="949"/>
      <c r="AW142" s="949"/>
      <c r="AX142" s="949"/>
      <c r="AY142" s="949"/>
      <c r="AZ142" s="949"/>
      <c r="BA142" s="949"/>
      <c r="BB142" s="949"/>
      <c r="BC142" s="949"/>
      <c r="BD142" s="949"/>
      <c r="BE142" s="2267"/>
    </row>
    <row r="143" spans="1:57">
      <c r="A143" s="1090" t="s">
        <v>32</v>
      </c>
      <c r="B143" s="73" t="s">
        <v>277</v>
      </c>
      <c r="C143" s="1085">
        <f t="shared" si="32"/>
        <v>103061.53572524291</v>
      </c>
      <c r="D143" s="1086">
        <f t="shared" si="32"/>
        <v>0.26406875054982143</v>
      </c>
      <c r="E143" s="1060">
        <f t="shared" si="32"/>
        <v>7.5306160052783275E-2</v>
      </c>
      <c r="F143" s="1060">
        <f t="shared" si="32"/>
        <v>0.17708173895842222</v>
      </c>
      <c r="G143" s="1061">
        <f t="shared" si="32"/>
        <v>106720.85775234729</v>
      </c>
      <c r="H143" s="1062">
        <f t="shared" si="32"/>
        <v>0.29553089301830604</v>
      </c>
      <c r="I143" s="1063">
        <f t="shared" si="32"/>
        <v>1.0837821931217524</v>
      </c>
      <c r="J143" s="1063">
        <f t="shared" si="32"/>
        <v>1.259272460269286</v>
      </c>
      <c r="K143" s="1064">
        <f t="shared" si="32"/>
        <v>7.534246564629953</v>
      </c>
      <c r="L143" s="1060">
        <f t="shared" si="32"/>
        <v>0.12910548637067604</v>
      </c>
      <c r="M143" s="129">
        <f t="shared" si="33"/>
        <v>8.6584668441025876</v>
      </c>
      <c r="N143" s="1066">
        <f t="shared" si="33"/>
        <v>0.91487499999999988</v>
      </c>
      <c r="O143" s="1067">
        <f t="shared" si="33"/>
        <v>-4.3736501079913587E-2</v>
      </c>
      <c r="P143" s="1068">
        <f t="shared" si="33"/>
        <v>0.89481420237931208</v>
      </c>
      <c r="Q143" s="1066">
        <f t="shared" si="33"/>
        <v>0.24509229252810941</v>
      </c>
      <c r="R143" s="1067">
        <f t="shared" si="33"/>
        <v>-0.16501821733667812</v>
      </c>
      <c r="S143" s="1068">
        <f t="shared" si="33"/>
        <v>0.23828807339295358</v>
      </c>
      <c r="T143" s="1066">
        <f t="shared" si="33"/>
        <v>0.27870192226407053</v>
      </c>
      <c r="U143" s="1067">
        <f t="shared" si="33"/>
        <v>-0.14309331637647091</v>
      </c>
      <c r="V143" s="1068">
        <f t="shared" si="33"/>
        <v>0.2718321660431175</v>
      </c>
      <c r="W143" s="1060">
        <f t="shared" si="33"/>
        <v>3.3609629735961127E-2</v>
      </c>
      <c r="X143" s="1060">
        <f t="shared" si="33"/>
        <v>0.13713050455108242</v>
      </c>
      <c r="Y143" s="1069" t="str">
        <f t="shared" si="33"/>
        <v>A-</v>
      </c>
      <c r="Z143" s="1070" t="str">
        <f t="shared" si="35"/>
        <v>=  =  =</v>
      </c>
      <c r="AA143" s="1064">
        <f t="shared" si="34"/>
        <v>2.0880314655341889</v>
      </c>
      <c r="AB143" s="1071">
        <f t="shared" si="34"/>
        <v>-3.7762767487534328E-2</v>
      </c>
      <c r="AC143" s="1065">
        <f t="shared" si="34"/>
        <v>2.3348198024327131</v>
      </c>
      <c r="AD143" s="949"/>
      <c r="AE143" s="949"/>
      <c r="AF143" s="949"/>
      <c r="AG143" s="2129"/>
      <c r="AH143" s="949"/>
      <c r="AI143" s="949"/>
      <c r="AJ143" s="949"/>
      <c r="AK143" s="949"/>
      <c r="AL143" s="949"/>
      <c r="AM143" s="949"/>
      <c r="AN143" s="949"/>
      <c r="AO143" s="949"/>
      <c r="AP143" s="949"/>
      <c r="AQ143" s="949"/>
      <c r="AR143" s="110"/>
      <c r="AS143" s="110"/>
      <c r="AT143" s="110"/>
      <c r="AU143" s="949"/>
      <c r="AV143" s="949"/>
      <c r="AW143" s="949"/>
      <c r="AX143" s="949"/>
      <c r="AY143" s="949"/>
      <c r="AZ143" s="949"/>
      <c r="BA143" s="949"/>
      <c r="BB143" s="949"/>
      <c r="BC143" s="949"/>
      <c r="BD143" s="949"/>
      <c r="BE143" s="2267"/>
    </row>
    <row r="144" spans="1:57">
      <c r="A144" s="1090" t="s">
        <v>503</v>
      </c>
      <c r="B144" s="73" t="s">
        <v>282</v>
      </c>
      <c r="C144" s="1085">
        <f t="shared" si="32"/>
        <v>22949.481858519866</v>
      </c>
      <c r="D144" s="1086">
        <f t="shared" si="32"/>
        <v>5.8802160840116385E-2</v>
      </c>
      <c r="E144" s="1060">
        <f t="shared" si="32"/>
        <v>-8.3288171902550459E-2</v>
      </c>
      <c r="F144" s="1060">
        <f t="shared" si="32"/>
        <v>1.8487407003088485E-2</v>
      </c>
      <c r="G144" s="1061">
        <f t="shared" si="32"/>
        <v>21731.57918967646</v>
      </c>
      <c r="H144" s="1062">
        <f t="shared" si="32"/>
        <v>6.0178986000343146E-2</v>
      </c>
      <c r="I144" s="1063">
        <f t="shared" si="32"/>
        <v>1.7647070716020126</v>
      </c>
      <c r="J144" s="1063">
        <f t="shared" si="32"/>
        <v>1.7786623686113903</v>
      </c>
      <c r="K144" s="1064">
        <f t="shared" si="32"/>
        <v>7.5628972253366413</v>
      </c>
      <c r="L144" s="1060">
        <f t="shared" si="32"/>
        <v>2.1076957712408067E-2</v>
      </c>
      <c r="M144" s="129">
        <f t="shared" si="33"/>
        <v>7.6896404016441506</v>
      </c>
      <c r="N144" s="1066">
        <f t="shared" si="33"/>
        <v>0.67984865616162071</v>
      </c>
      <c r="O144" s="1067">
        <f t="shared" si="33"/>
        <v>0.13956056160252914</v>
      </c>
      <c r="P144" s="1068">
        <f t="shared" si="33"/>
        <v>0.7167630057803468</v>
      </c>
      <c r="Q144" s="1066">
        <f t="shared" si="33"/>
        <v>0.23215418017261674</v>
      </c>
      <c r="R144" s="1067">
        <f t="shared" si="33"/>
        <v>0.36187217108516367</v>
      </c>
      <c r="S144" s="1068">
        <f t="shared" si="33"/>
        <v>0.26525179681706468</v>
      </c>
      <c r="T144" s="1066">
        <f t="shared" si="33"/>
        <v>0.2501311526811702</v>
      </c>
      <c r="U144" s="1067">
        <f t="shared" si="33"/>
        <v>0.31916438327965047</v>
      </c>
      <c r="V144" s="1068">
        <f t="shared" si="33"/>
        <v>0.28287599661626001</v>
      </c>
      <c r="W144" s="1060">
        <f t="shared" si="33"/>
        <v>1.7976972508553457E-2</v>
      </c>
      <c r="X144" s="1060">
        <f t="shared" si="33"/>
        <v>7.7435489187344358E-2</v>
      </c>
      <c r="Y144" s="1069" t="str">
        <f t="shared" si="33"/>
        <v>A-</v>
      </c>
      <c r="Z144" s="1070" t="str">
        <f t="shared" si="35"/>
        <v>=  =  =</v>
      </c>
      <c r="AA144" s="1064">
        <f t="shared" si="34"/>
        <v>1.845874038975184</v>
      </c>
      <c r="AB144" s="1071">
        <f t="shared" si="34"/>
        <v>0.36079457239176377</v>
      </c>
      <c r="AC144" s="1065">
        <f t="shared" si="34"/>
        <v>2.1424428051274771</v>
      </c>
      <c r="AD144" s="949"/>
      <c r="AE144" s="949"/>
      <c r="AF144" s="949"/>
      <c r="AG144" s="2129"/>
      <c r="AH144" s="949"/>
      <c r="AI144" s="949"/>
      <c r="AJ144" s="949"/>
      <c r="AK144" s="949"/>
      <c r="AL144" s="949"/>
      <c r="AM144" s="949"/>
      <c r="AN144" s="949"/>
      <c r="AO144" s="949"/>
      <c r="AP144" s="949"/>
      <c r="AQ144" s="949"/>
      <c r="AR144" s="110"/>
      <c r="AS144" s="110"/>
      <c r="AT144" s="110"/>
      <c r="AU144" s="949"/>
      <c r="AV144" s="949"/>
      <c r="AW144" s="949"/>
      <c r="AX144" s="949"/>
      <c r="AY144" s="949"/>
      <c r="AZ144" s="949"/>
      <c r="BA144" s="949"/>
      <c r="BB144" s="949"/>
      <c r="BC144" s="949"/>
      <c r="BD144" s="949"/>
      <c r="BE144" s="2267"/>
    </row>
    <row r="145" spans="1:57">
      <c r="A145" s="1090" t="s">
        <v>504</v>
      </c>
      <c r="B145" s="73" t="s">
        <v>288</v>
      </c>
      <c r="C145" s="1085">
        <f t="shared" si="32"/>
        <v>16250.837973523972</v>
      </c>
      <c r="D145" s="1086">
        <f t="shared" si="32"/>
        <v>4.1638604052015776E-2</v>
      </c>
      <c r="E145" s="1060">
        <f t="shared" si="32"/>
        <v>0.20894195471198634</v>
      </c>
      <c r="F145" s="1060">
        <f t="shared" si="32"/>
        <v>0.31071753361762527</v>
      </c>
      <c r="G145" s="1061">
        <f t="shared" si="32"/>
        <v>17428.290742138299</v>
      </c>
      <c r="H145" s="1062">
        <f t="shared" si="32"/>
        <v>4.826234004564605E-2</v>
      </c>
      <c r="I145" s="1063">
        <f t="shared" si="32"/>
        <v>4.0995220850209826</v>
      </c>
      <c r="J145" s="1063">
        <f t="shared" si="32"/>
        <v>4.5731712273212377</v>
      </c>
      <c r="K145" s="1064">
        <f t="shared" si="32"/>
        <v>6.7450557383311427</v>
      </c>
      <c r="L145" s="1060">
        <f t="shared" si="32"/>
        <v>0.2149868566781509</v>
      </c>
      <c r="M145" s="129">
        <f t="shared" si="33"/>
        <v>7.5822149145373468</v>
      </c>
      <c r="N145" s="1066">
        <f t="shared" si="33"/>
        <v>0.32615050588405037</v>
      </c>
      <c r="O145" s="1067">
        <f t="shared" si="33"/>
        <v>-8.7660674172335792E-2</v>
      </c>
      <c r="P145" s="1068">
        <f t="shared" si="33"/>
        <v>0.30985103942866765</v>
      </c>
      <c r="Q145" s="1066">
        <f t="shared" si="33"/>
        <v>0.30558583418722468</v>
      </c>
      <c r="R145" s="1067">
        <f t="shared" si="33"/>
        <v>-0.13620468181810452</v>
      </c>
      <c r="S145" s="1068">
        <f t="shared" si="33"/>
        <v>0.29018390059321952</v>
      </c>
      <c r="T145" s="1066">
        <f t="shared" si="33"/>
        <v>0.31922230141848357</v>
      </c>
      <c r="U145" s="1067">
        <f t="shared" si="33"/>
        <v>-0.13496032758973828</v>
      </c>
      <c r="V145" s="1068">
        <f t="shared" si="33"/>
        <v>0.30362227391248225</v>
      </c>
      <c r="W145" s="1060">
        <f t="shared" si="33"/>
        <v>1.3636467231258886E-2</v>
      </c>
      <c r="X145" s="1060">
        <f t="shared" si="33"/>
        <v>4.4624016252350789E-2</v>
      </c>
      <c r="Y145" s="1069" t="str">
        <f t="shared" si="33"/>
        <v>A</v>
      </c>
      <c r="Z145" s="1070" t="str">
        <f t="shared" si="35"/>
        <v>=  =  -</v>
      </c>
      <c r="AA145" s="1064">
        <f t="shared" si="34"/>
        <v>2.1579177629636748</v>
      </c>
      <c r="AB145" s="1071">
        <f t="shared" si="34"/>
        <v>6.0078851309961184E-2</v>
      </c>
      <c r="AC145" s="1065">
        <f t="shared" si="34"/>
        <v>2.3009327536910358</v>
      </c>
      <c r="AD145" s="949"/>
      <c r="AE145" s="949"/>
      <c r="AF145" s="949"/>
      <c r="AG145" s="2129"/>
      <c r="AH145" s="949"/>
      <c r="AI145" s="949"/>
      <c r="AJ145" s="949"/>
      <c r="AK145" s="949"/>
      <c r="AL145" s="949"/>
      <c r="AM145" s="949"/>
      <c r="AN145" s="949"/>
      <c r="AO145" s="949"/>
      <c r="AP145" s="949"/>
      <c r="AQ145" s="949"/>
      <c r="AR145" s="110"/>
      <c r="AS145" s="110"/>
      <c r="AT145" s="110"/>
      <c r="AU145" s="949"/>
      <c r="AV145" s="949"/>
      <c r="AW145" s="949"/>
      <c r="AX145" s="949"/>
      <c r="AY145" s="949"/>
      <c r="AZ145" s="949"/>
      <c r="BA145" s="949"/>
      <c r="BB145" s="949"/>
      <c r="BC145" s="949"/>
      <c r="BD145" s="949"/>
      <c r="BE145" s="2267"/>
    </row>
    <row r="146" spans="1:57">
      <c r="A146" s="1090" t="s">
        <v>73</v>
      </c>
      <c r="B146" s="73" t="s">
        <v>283</v>
      </c>
      <c r="C146" s="1085">
        <f t="shared" si="32"/>
        <v>2461.5190857142857</v>
      </c>
      <c r="D146" s="1086">
        <f t="shared" si="32"/>
        <v>6.3070112903421734E-3</v>
      </c>
      <c r="E146" s="1060">
        <f t="shared" si="32"/>
        <v>6.738754525599433E-2</v>
      </c>
      <c r="F146" s="1060">
        <f t="shared" si="32"/>
        <v>0.16916312416163326</v>
      </c>
      <c r="G146" s="1061">
        <f t="shared" si="32"/>
        <v>2364.3629999999998</v>
      </c>
      <c r="H146" s="1062">
        <f t="shared" si="32"/>
        <v>6.5473828033777437E-3</v>
      </c>
      <c r="I146" s="1063">
        <f t="shared" si="32"/>
        <v>3.1397518024733277</v>
      </c>
      <c r="J146" s="1063">
        <f t="shared" si="32"/>
        <v>3.0995844257996854</v>
      </c>
      <c r="K146" s="1064">
        <f t="shared" si="32"/>
        <v>6.6917014692746157</v>
      </c>
      <c r="L146" s="1060">
        <f t="shared" si="32"/>
        <v>0.14721542174528052</v>
      </c>
      <c r="M146" s="129">
        <f t="shared" si="33"/>
        <v>7.0127743881429545</v>
      </c>
      <c r="N146" s="1066">
        <f t="shared" si="33"/>
        <v>0.62657499999999999</v>
      </c>
      <c r="O146" s="1067">
        <f t="shared" si="33"/>
        <v>5.5614710459497153E-2</v>
      </c>
      <c r="P146" s="1068">
        <f t="shared" si="33"/>
        <v>0.64439999999999997</v>
      </c>
      <c r="Q146" s="1066">
        <f t="shared" si="33"/>
        <v>0.24190098439360719</v>
      </c>
      <c r="R146" s="1067">
        <f t="shared" si="33"/>
        <v>0.20667512064869559</v>
      </c>
      <c r="S146" s="1068">
        <f t="shared" si="33"/>
        <v>0.30597960586046052</v>
      </c>
      <c r="T146" s="1066">
        <f t="shared" si="33"/>
        <v>0.2616424852780464</v>
      </c>
      <c r="U146" s="1067">
        <f t="shared" si="33"/>
        <v>0.20296552626351777</v>
      </c>
      <c r="V146" s="1068">
        <f t="shared" si="33"/>
        <v>0.32061814749302248</v>
      </c>
      <c r="W146" s="1060">
        <f t="shared" si="33"/>
        <v>1.9741500884439211E-2</v>
      </c>
      <c r="X146" s="1060">
        <f t="shared" si="33"/>
        <v>8.1609841042717679E-2</v>
      </c>
      <c r="Y146" s="1069" t="str">
        <f t="shared" si="33"/>
        <v>BBB</v>
      </c>
      <c r="Z146" s="1070" t="str">
        <f t="shared" si="35"/>
        <v>=  =  -</v>
      </c>
      <c r="AA146" s="1064">
        <f t="shared" si="34"/>
        <v>1.7511002028712532</v>
      </c>
      <c r="AB146" s="1071">
        <f t="shared" si="34"/>
        <v>0.37093258903528414</v>
      </c>
      <c r="AC146" s="1065">
        <f t="shared" si="34"/>
        <v>2.2311132077757287</v>
      </c>
      <c r="AD146" s="949"/>
      <c r="AE146" s="949"/>
      <c r="AF146" s="949"/>
      <c r="AG146" s="2129"/>
      <c r="AH146" s="949"/>
      <c r="AI146" s="949"/>
      <c r="AJ146" s="949"/>
      <c r="AK146" s="949"/>
      <c r="AL146" s="949"/>
      <c r="AM146" s="949"/>
      <c r="AN146" s="949"/>
      <c r="AO146" s="949"/>
      <c r="AP146" s="949"/>
      <c r="AQ146" s="949"/>
      <c r="AR146" s="110"/>
      <c r="AS146" s="110"/>
      <c r="AT146" s="110"/>
      <c r="AU146" s="949"/>
      <c r="AV146" s="949"/>
      <c r="AW146" s="949"/>
      <c r="AX146" s="949"/>
      <c r="AY146" s="949"/>
      <c r="AZ146" s="949"/>
      <c r="BA146" s="949"/>
      <c r="BB146" s="949"/>
      <c r="BC146" s="949"/>
      <c r="BD146" s="949"/>
      <c r="BE146" s="2267"/>
    </row>
    <row r="147" spans="1:57">
      <c r="A147" s="1090" t="s">
        <v>500</v>
      </c>
      <c r="B147" s="73" t="s">
        <v>279</v>
      </c>
      <c r="C147" s="1085">
        <f t="shared" si="32"/>
        <v>20617.292984255655</v>
      </c>
      <c r="D147" s="1086">
        <f t="shared" si="32"/>
        <v>5.2826525044090682E-2</v>
      </c>
      <c r="E147" s="1060">
        <f t="shared" si="32"/>
        <v>0.37985561177970401</v>
      </c>
      <c r="F147" s="1060">
        <f t="shared" si="32"/>
        <v>0.48163119068534294</v>
      </c>
      <c r="G147" s="1061">
        <f t="shared" si="32"/>
        <v>23766.623796323693</v>
      </c>
      <c r="H147" s="1062">
        <f t="shared" si="32"/>
        <v>6.5814421871090864E-2</v>
      </c>
      <c r="I147" s="1063">
        <f t="shared" si="32"/>
        <v>1.8990159277875758</v>
      </c>
      <c r="J147" s="1063">
        <f t="shared" si="32"/>
        <v>2.509154465418888</v>
      </c>
      <c r="K147" s="1064">
        <f t="shared" si="32"/>
        <v>5.7229254321128114</v>
      </c>
      <c r="L147" s="1060">
        <f t="shared" si="32"/>
        <v>4.5724350121793801E-2</v>
      </c>
      <c r="M147" s="129">
        <f t="shared" si="33"/>
        <v>6.1939465303838475</v>
      </c>
      <c r="N147" s="1066">
        <f t="shared" si="33"/>
        <v>0.7344324868237998</v>
      </c>
      <c r="O147" s="1067">
        <f t="shared" si="33"/>
        <v>0.10784712869930438</v>
      </c>
      <c r="P147" s="1068">
        <f t="shared" si="33"/>
        <v>0.74956908795771016</v>
      </c>
      <c r="Q147" s="1066">
        <f t="shared" si="33"/>
        <v>0.14726898954609682</v>
      </c>
      <c r="R147" s="1067">
        <f t="shared" si="33"/>
        <v>4.9939774449528171E-2</v>
      </c>
      <c r="S147" s="1068">
        <f t="shared" si="33"/>
        <v>0.17272839211728983</v>
      </c>
      <c r="T147" s="1066">
        <f t="shared" si="33"/>
        <v>0.18443136241749356</v>
      </c>
      <c r="U147" s="1067">
        <f t="shared" si="33"/>
        <v>-5.7258906752796622E-2</v>
      </c>
      <c r="V147" s="1068">
        <f t="shared" si="33"/>
        <v>0.198117589718218</v>
      </c>
      <c r="W147" s="1060">
        <f t="shared" si="33"/>
        <v>3.7162372871396732E-2</v>
      </c>
      <c r="X147" s="1060">
        <f t="shared" si="33"/>
        <v>0.25234350412762557</v>
      </c>
      <c r="Y147" s="1069" t="str">
        <f t="shared" si="33"/>
        <v>A-</v>
      </c>
      <c r="Z147" s="1070" t="str">
        <f t="shared" si="35"/>
        <v>=  =  -</v>
      </c>
      <c r="AA147" s="1064">
        <f t="shared" si="34"/>
        <v>1.0395975936863313</v>
      </c>
      <c r="AB147" s="1071">
        <f t="shared" si="34"/>
        <v>2.9438923535487854E-2</v>
      </c>
      <c r="AC147" s="1065">
        <f t="shared" si="34"/>
        <v>1.2087727199953455</v>
      </c>
      <c r="AD147" s="949"/>
      <c r="AE147" s="949"/>
      <c r="AF147" s="949"/>
      <c r="AG147" s="2129"/>
      <c r="AH147" s="949"/>
      <c r="AI147" s="949"/>
      <c r="AJ147" s="949"/>
      <c r="AK147" s="949"/>
      <c r="AL147" s="949"/>
      <c r="AM147" s="949"/>
      <c r="AN147" s="949"/>
      <c r="AO147" s="949"/>
      <c r="AP147" s="949"/>
      <c r="AQ147" s="949"/>
      <c r="AR147" s="110"/>
      <c r="AS147" s="110"/>
      <c r="AT147" s="110"/>
      <c r="AU147" s="949"/>
      <c r="AV147" s="949"/>
      <c r="AW147" s="949"/>
      <c r="AX147" s="949"/>
      <c r="AY147" s="949"/>
      <c r="AZ147" s="949"/>
      <c r="BA147" s="949"/>
      <c r="BB147" s="949"/>
      <c r="BC147" s="949"/>
      <c r="BD147" s="949"/>
      <c r="BE147" s="2267"/>
    </row>
    <row r="148" spans="1:57">
      <c r="A148" s="1090" t="s">
        <v>539</v>
      </c>
      <c r="B148" s="73" t="s">
        <v>39</v>
      </c>
      <c r="C148" s="1085">
        <f t="shared" si="32"/>
        <v>5059.5155870714543</v>
      </c>
      <c r="D148" s="1086">
        <f t="shared" si="32"/>
        <v>1.2963710952524294E-2</v>
      </c>
      <c r="E148" s="1060">
        <f t="shared" si="32"/>
        <v>-0.13366823909704381</v>
      </c>
      <c r="F148" s="1060">
        <f t="shared" si="32"/>
        <v>-3.1892660191404867E-2</v>
      </c>
      <c r="G148" s="1061">
        <f t="shared" si="32"/>
        <v>5057.8123335929276</v>
      </c>
      <c r="H148" s="1062">
        <f t="shared" si="32"/>
        <v>1.4006069920599414E-2</v>
      </c>
      <c r="I148" s="1063">
        <f t="shared" si="32"/>
        <v>1.6858649053444912</v>
      </c>
      <c r="J148" s="1063">
        <f t="shared" si="32"/>
        <v>1.7703056194544857</v>
      </c>
      <c r="K148" s="1064">
        <f t="shared" si="32"/>
        <v>6.1343182706324946</v>
      </c>
      <c r="L148" s="1060">
        <f t="shared" si="32"/>
        <v>-0.19036897853308513</v>
      </c>
      <c r="M148" s="129">
        <f t="shared" si="33"/>
        <v>5.9052222685092017</v>
      </c>
      <c r="N148" s="1066">
        <f t="shared" si="33"/>
        <v>0.31054928118178421</v>
      </c>
      <c r="O148" s="1067">
        <f t="shared" si="33"/>
        <v>-0.11491916916279199</v>
      </c>
      <c r="P148" s="1068">
        <f t="shared" si="33"/>
        <v>0.28165979767703259</v>
      </c>
      <c r="Q148" s="1066">
        <f t="shared" si="33"/>
        <v>0.3899242463002407</v>
      </c>
      <c r="R148" s="1067">
        <f t="shared" si="33"/>
        <v>-0.1197676600756727</v>
      </c>
      <c r="S148" s="1068">
        <f t="shared" si="33"/>
        <v>0.37944762378701169</v>
      </c>
      <c r="T148" s="1066">
        <f t="shared" si="33"/>
        <v>0.45093517146474416</v>
      </c>
      <c r="U148" s="1067">
        <f t="shared" si="33"/>
        <v>-8.3572610535330494E-2</v>
      </c>
      <c r="V148" s="1068">
        <f t="shared" si="33"/>
        <v>0.43916945384982109</v>
      </c>
      <c r="W148" s="1060">
        <f t="shared" si="33"/>
        <v>6.101092516450346E-2</v>
      </c>
      <c r="X148" s="1060">
        <f t="shared" si="33"/>
        <v>0.15646866216553562</v>
      </c>
      <c r="Y148" s="1069" t="str">
        <f t="shared" si="33"/>
        <v>BBB</v>
      </c>
      <c r="Z148" s="1070" t="str">
        <f t="shared" si="35"/>
        <v>­  = =</v>
      </c>
      <c r="AA148" s="1064">
        <f t="shared" si="34"/>
        <v>2.6587814840492587</v>
      </c>
      <c r="AB148" s="1071">
        <f t="shared" si="34"/>
        <v>-0.25803195656746131</v>
      </c>
      <c r="AC148" s="1065">
        <f t="shared" si="34"/>
        <v>2.5933932385229874</v>
      </c>
      <c r="AD148" s="949"/>
      <c r="AE148" s="949"/>
      <c r="AF148" s="949"/>
      <c r="AG148" s="2129"/>
      <c r="AH148" s="949"/>
      <c r="AI148" s="949"/>
      <c r="AJ148" s="949"/>
      <c r="AK148" s="949"/>
      <c r="AL148" s="949"/>
      <c r="AM148" s="949"/>
      <c r="AN148" s="949"/>
      <c r="AO148" s="949"/>
      <c r="AP148" s="949"/>
      <c r="AQ148" s="949"/>
      <c r="AR148" s="110"/>
      <c r="AS148" s="110"/>
      <c r="AT148" s="110"/>
      <c r="AU148" s="949"/>
      <c r="AV148" s="949"/>
      <c r="AW148" s="949"/>
      <c r="AX148" s="949"/>
      <c r="AY148" s="949"/>
      <c r="AZ148" s="949"/>
      <c r="BA148" s="949"/>
      <c r="BB148" s="949"/>
      <c r="BC148" s="949"/>
      <c r="BD148" s="949"/>
      <c r="BE148" s="2267"/>
    </row>
    <row r="149" spans="1:57">
      <c r="A149" s="1090" t="s">
        <v>32</v>
      </c>
      <c r="B149" s="73" t="s">
        <v>50</v>
      </c>
      <c r="C149" s="1085">
        <f t="shared" si="32"/>
        <v>19515.355899391296</v>
      </c>
      <c r="D149" s="1086">
        <f t="shared" si="32"/>
        <v>5.0003093905237848E-2</v>
      </c>
      <c r="E149" s="1060">
        <f t="shared" si="32"/>
        <v>1.1994936816856254</v>
      </c>
      <c r="F149" s="1060">
        <f t="shared" si="32"/>
        <v>1.3012692605912644</v>
      </c>
      <c r="G149" s="1061">
        <f t="shared" si="32"/>
        <v>28491.576306321644</v>
      </c>
      <c r="H149" s="1062">
        <f t="shared" si="32"/>
        <v>7.8898737947233621E-2</v>
      </c>
      <c r="I149" s="1063">
        <f t="shared" si="32"/>
        <v>-0.89894076859195104</v>
      </c>
      <c r="J149" s="1063">
        <f t="shared" si="32"/>
        <v>39.625784878048783</v>
      </c>
      <c r="K149" s="1064">
        <f t="shared" si="32"/>
        <v>4.7123747267525307</v>
      </c>
      <c r="L149" s="1060">
        <f t="shared" si="32"/>
        <v>0.4140020451008824</v>
      </c>
      <c r="M149" s="129">
        <f t="shared" si="33"/>
        <v>5.7096258695546744</v>
      </c>
      <c r="N149" s="1066">
        <f t="shared" si="33"/>
        <v>0</v>
      </c>
      <c r="O149" s="1067">
        <f t="shared" si="33"/>
        <v>0</v>
      </c>
      <c r="P149" s="1068">
        <f t="shared" si="33"/>
        <v>0</v>
      </c>
      <c r="Q149" s="1066">
        <f t="shared" si="33"/>
        <v>0.37025195227815472</v>
      </c>
      <c r="R149" s="1067">
        <f t="shared" si="33"/>
        <v>-0.46222821771061889</v>
      </c>
      <c r="S149" s="1068">
        <f t="shared" si="33"/>
        <v>0.26403640782716253</v>
      </c>
      <c r="T149" s="1066">
        <f t="shared" si="33"/>
        <v>0.48927059752514818</v>
      </c>
      <c r="U149" s="1067">
        <f t="shared" si="33"/>
        <v>-0.38189416595312975</v>
      </c>
      <c r="V149" s="1068">
        <f t="shared" si="33"/>
        <v>0.37414035756341019</v>
      </c>
      <c r="W149" s="1060">
        <f t="shared" si="33"/>
        <v>0.11901864524699346</v>
      </c>
      <c r="X149" s="1060">
        <f t="shared" si="33"/>
        <v>0.32145312000294263</v>
      </c>
      <c r="Y149" s="1069" t="str">
        <f t="shared" si="33"/>
        <v>BBB</v>
      </c>
      <c r="Z149" s="1070" t="str">
        <f t="shared" si="35"/>
        <v xml:space="preserve">=  -  = </v>
      </c>
      <c r="AA149" s="1064">
        <f t="shared" si="34"/>
        <v>2.2664974928712622</v>
      </c>
      <c r="AB149" s="1071">
        <f t="shared" si="34"/>
        <v>-0.12537902502142731</v>
      </c>
      <c r="AC149" s="1065">
        <f t="shared" si="34"/>
        <v>2.136201464388483</v>
      </c>
      <c r="AD149" s="949"/>
      <c r="AE149" s="949"/>
      <c r="AF149" s="949"/>
      <c r="AG149" s="2129"/>
      <c r="AH149" s="949"/>
      <c r="AI149" s="949"/>
      <c r="AJ149" s="949"/>
      <c r="AK149" s="949"/>
      <c r="AL149" s="949"/>
      <c r="AM149" s="949"/>
      <c r="AN149" s="949"/>
      <c r="AO149" s="949"/>
      <c r="AP149" s="949"/>
      <c r="AQ149" s="949"/>
      <c r="AR149" s="110"/>
      <c r="AS149" s="110"/>
      <c r="AT149" s="110"/>
      <c r="AU149" s="949"/>
      <c r="AV149" s="949"/>
      <c r="AW149" s="949"/>
      <c r="AX149" s="949"/>
      <c r="AY149" s="949"/>
      <c r="AZ149" s="949"/>
      <c r="BA149" s="949"/>
      <c r="BB149" s="949"/>
      <c r="BC149" s="949"/>
      <c r="BD149" s="949"/>
      <c r="BE149" s="2267"/>
    </row>
    <row r="150" spans="1:57">
      <c r="A150" s="1090" t="s">
        <v>503</v>
      </c>
      <c r="B150" s="73" t="s">
        <v>280</v>
      </c>
      <c r="C150" s="1085">
        <f t="shared" si="32"/>
        <v>5769.8566757446433</v>
      </c>
      <c r="D150" s="1086">
        <f t="shared" si="32"/>
        <v>1.4783777793466828E-2</v>
      </c>
      <c r="E150" s="1060">
        <f t="shared" si="32"/>
        <v>-0.24705029723080094</v>
      </c>
      <c r="F150" s="1060">
        <f t="shared" si="32"/>
        <v>-0.14527471832516198</v>
      </c>
      <c r="G150" s="1061">
        <f t="shared" si="32"/>
        <v>4026.3480952657014</v>
      </c>
      <c r="H150" s="1062">
        <f t="shared" si="32"/>
        <v>1.1149744044952231E-2</v>
      </c>
      <c r="I150" s="1063">
        <f t="shared" si="32"/>
        <v>2.446298838298576</v>
      </c>
      <c r="J150" s="1063">
        <f t="shared" si="32"/>
        <v>1.6476276710656086</v>
      </c>
      <c r="K150" s="1064">
        <f t="shared" si="32"/>
        <v>6.5589809256196414</v>
      </c>
      <c r="L150" s="1060">
        <f t="shared" si="32"/>
        <v>1.2127469272410992E-3</v>
      </c>
      <c r="M150" s="129">
        <f t="shared" si="33"/>
        <v>5.5145354419406587</v>
      </c>
      <c r="N150" s="1066">
        <f t="shared" si="33"/>
        <v>0.67083419702973635</v>
      </c>
      <c r="O150" s="1067">
        <f t="shared" si="33"/>
        <v>-0.11335389957676706</v>
      </c>
      <c r="P150" s="1068">
        <f t="shared" si="33"/>
        <v>0.63639387890884902</v>
      </c>
      <c r="Q150" s="1066">
        <f t="shared" si="33"/>
        <v>0.1536920907726812</v>
      </c>
      <c r="R150" s="1067">
        <f t="shared" si="33"/>
        <v>1.6283818604559013</v>
      </c>
      <c r="S150" s="1068">
        <f t="shared" si="33"/>
        <v>0.2022242346359609</v>
      </c>
      <c r="T150" s="1066">
        <f t="shared" si="33"/>
        <v>0.20961441125119315</v>
      </c>
      <c r="U150" s="1067">
        <f t="shared" si="33"/>
        <v>0.84200521424561081</v>
      </c>
      <c r="V150" s="1068">
        <f t="shared" si="33"/>
        <v>0.28147528322389997</v>
      </c>
      <c r="W150" s="1060">
        <f t="shared" si="33"/>
        <v>5.592232047851195E-2</v>
      </c>
      <c r="X150" s="1060">
        <f t="shared" si="33"/>
        <v>0.36385945559959909</v>
      </c>
      <c r="Y150" s="1069" t="str">
        <f t="shared" si="33"/>
        <v>Not rated</v>
      </c>
      <c r="Z150" s="1070"/>
      <c r="AA150" s="1064">
        <f t="shared" si="34"/>
        <v>1.4399592566697517</v>
      </c>
      <c r="AB150" s="1071">
        <f t="shared" si="34"/>
        <v>0.8442860967329926</v>
      </c>
      <c r="AC150" s="1065">
        <f t="shared" si="34"/>
        <v>1.5521418473212367</v>
      </c>
      <c r="AD150" s="949"/>
      <c r="AE150" s="949"/>
      <c r="AF150" s="949"/>
      <c r="AG150" s="2129"/>
      <c r="AH150" s="949"/>
      <c r="AI150" s="949"/>
      <c r="AJ150" s="949"/>
      <c r="AK150" s="949"/>
      <c r="AL150" s="949"/>
      <c r="AM150" s="949"/>
      <c r="AN150" s="949"/>
      <c r="AO150" s="949"/>
      <c r="AP150" s="949"/>
      <c r="AQ150" s="949"/>
      <c r="AR150" s="110"/>
      <c r="AS150" s="110"/>
      <c r="AT150" s="110"/>
      <c r="AU150" s="949"/>
      <c r="AV150" s="949"/>
      <c r="AW150" s="949"/>
      <c r="AX150" s="949"/>
      <c r="AY150" s="949"/>
      <c r="AZ150" s="949"/>
      <c r="BA150" s="949"/>
      <c r="BB150" s="949"/>
      <c r="BC150" s="949"/>
      <c r="BD150" s="949"/>
      <c r="BE150" s="2267"/>
    </row>
    <row r="151" spans="1:57">
      <c r="A151" s="1090" t="s">
        <v>498</v>
      </c>
      <c r="B151" s="73" t="s">
        <v>52</v>
      </c>
      <c r="C151" s="1085">
        <f t="shared" ref="C151:L162" si="36">VLOOKUP($B151,$B$7:$AC$28,C$37+1,FALSE)</f>
        <v>40464.923042857146</v>
      </c>
      <c r="D151" s="1086">
        <f t="shared" si="36"/>
        <v>0.1036809862557167</v>
      </c>
      <c r="E151" s="1060">
        <f t="shared" si="36"/>
        <v>-6.1458653761923776E-2</v>
      </c>
      <c r="F151" s="1060">
        <f t="shared" si="36"/>
        <v>4.0316925143715168E-2</v>
      </c>
      <c r="G151" s="1061">
        <f t="shared" si="36"/>
        <v>39791.94</v>
      </c>
      <c r="H151" s="1062">
        <f t="shared" si="36"/>
        <v>0.1101916514803518</v>
      </c>
      <c r="I151" s="1063">
        <f t="shared" si="36"/>
        <v>1.0840589348936991</v>
      </c>
      <c r="J151" s="1063">
        <f t="shared" si="36"/>
        <v>1.2733420800000002</v>
      </c>
      <c r="K151" s="1064">
        <f t="shared" si="36"/>
        <v>4.9157277486128619</v>
      </c>
      <c r="L151" s="1060">
        <f t="shared" si="36"/>
        <v>0.1448238320606966</v>
      </c>
      <c r="M151" s="129">
        <f t="shared" ref="M151:Y162" si="37">VLOOKUP($B151,$B$7:$AC$28,M$37+1,FALSE)</f>
        <v>5.2964626193065953</v>
      </c>
      <c r="N151" s="1066">
        <f t="shared" si="37"/>
        <v>0.61</v>
      </c>
      <c r="O151" s="1067">
        <f t="shared" si="37"/>
        <v>0</v>
      </c>
      <c r="P151" s="1068">
        <f t="shared" si="37"/>
        <v>0.62983042679437373</v>
      </c>
      <c r="Q151" s="1066">
        <f t="shared" si="37"/>
        <v>0.51528895508035288</v>
      </c>
      <c r="R151" s="1067">
        <f t="shared" si="37"/>
        <v>-2.4931247740904369E-2</v>
      </c>
      <c r="S151" s="1068">
        <f t="shared" si="37"/>
        <v>0.51939744871548044</v>
      </c>
      <c r="T151" s="1066">
        <f t="shared" si="37"/>
        <v>0.58808850315066874</v>
      </c>
      <c r="U151" s="1067">
        <f t="shared" si="37"/>
        <v>-2.8226553900756759E-2</v>
      </c>
      <c r="V151" s="1068">
        <f t="shared" si="37"/>
        <v>0.59074959904524027</v>
      </c>
      <c r="W151" s="1060">
        <f t="shared" si="37"/>
        <v>7.2799548070315856E-2</v>
      </c>
      <c r="X151" s="1060">
        <f t="shared" si="37"/>
        <v>0.14127907721011346</v>
      </c>
      <c r="Y151" s="1069" t="str">
        <f t="shared" si="37"/>
        <v>BBB+</v>
      </c>
      <c r="Z151" s="1070" t="str">
        <f t="shared" ref="Z151:Z158" si="38">VLOOKUP($B151,$B$7:$AC$28,Z$37+1,FALSE)</f>
        <v>=  =  =</v>
      </c>
      <c r="AA151" s="1064">
        <f t="shared" si="34"/>
        <v>2.7906818261625395</v>
      </c>
      <c r="AB151" s="1071">
        <f t="shared" si="34"/>
        <v>8.5841806528642844E-2</v>
      </c>
      <c r="AC151" s="1065">
        <f t="shared" si="34"/>
        <v>2.9178287645268703</v>
      </c>
      <c r="AD151" s="949"/>
      <c r="AE151" s="949"/>
      <c r="AF151" s="949"/>
      <c r="AG151" s="2129"/>
      <c r="AH151" s="949"/>
      <c r="AI151" s="949"/>
      <c r="AJ151" s="949"/>
      <c r="AK151" s="949"/>
      <c r="AL151" s="949"/>
      <c r="AM151" s="949"/>
      <c r="AN151" s="949"/>
      <c r="AO151" s="949"/>
      <c r="AP151" s="949"/>
      <c r="AQ151" s="949"/>
      <c r="AR151" s="110"/>
      <c r="AS151" s="110"/>
      <c r="AT151" s="110"/>
      <c r="AU151" s="949"/>
      <c r="AV151" s="949"/>
      <c r="AW151" s="949"/>
      <c r="AX151" s="949"/>
      <c r="AY151" s="949"/>
      <c r="AZ151" s="949"/>
      <c r="BA151" s="949"/>
      <c r="BB151" s="949"/>
      <c r="BC151" s="949"/>
      <c r="BD151" s="949"/>
      <c r="BE151" s="2267"/>
    </row>
    <row r="152" spans="1:57">
      <c r="A152" s="1090" t="s">
        <v>27</v>
      </c>
      <c r="B152" s="73" t="s">
        <v>54</v>
      </c>
      <c r="C152" s="1085">
        <f t="shared" si="36"/>
        <v>4745.1447857142857</v>
      </c>
      <c r="D152" s="1086">
        <f t="shared" si="36"/>
        <v>1.2158216408516635E-2</v>
      </c>
      <c r="E152" s="1060">
        <f t="shared" si="36"/>
        <v>-0.63447330491761056</v>
      </c>
      <c r="F152" s="1060">
        <f t="shared" si="36"/>
        <v>-0.53269772601197163</v>
      </c>
      <c r="G152" s="1061">
        <f t="shared" si="36"/>
        <v>2680.5724</v>
      </c>
      <c r="H152" s="1062">
        <f t="shared" si="36"/>
        <v>7.4230283738025878E-3</v>
      </c>
      <c r="I152" s="1063">
        <f t="shared" si="36"/>
        <v>1.3569881249181368</v>
      </c>
      <c r="J152" s="1063">
        <f t="shared" si="36"/>
        <v>1.0332545966156574</v>
      </c>
      <c r="K152" s="1064">
        <f t="shared" si="36"/>
        <v>6.3422811159545107</v>
      </c>
      <c r="L152" s="1060">
        <f t="shared" si="36"/>
        <v>-0.24924595564935845</v>
      </c>
      <c r="M152" s="129">
        <f t="shared" si="37"/>
        <v>5.3369406950798908</v>
      </c>
      <c r="N152" s="1066">
        <f t="shared" si="37"/>
        <v>0.48460704112825509</v>
      </c>
      <c r="O152" s="1067">
        <f t="shared" si="37"/>
        <v>-0.18079580514885477</v>
      </c>
      <c r="P152" s="1068">
        <f t="shared" si="37"/>
        <v>0.49497857034449522</v>
      </c>
      <c r="Q152" s="1066">
        <f t="shared" si="37"/>
        <v>0.56717095077467305</v>
      </c>
      <c r="R152" s="1067">
        <f t="shared" si="37"/>
        <v>0.64731222518720821</v>
      </c>
      <c r="S152" s="1068">
        <f t="shared" si="37"/>
        <v>0.74754623070756221</v>
      </c>
      <c r="T152" s="1066">
        <f t="shared" si="37"/>
        <v>0.5748403529709204</v>
      </c>
      <c r="U152" s="1067">
        <f t="shared" si="37"/>
        <v>0.5906099669472562</v>
      </c>
      <c r="V152" s="1068">
        <f t="shared" si="37"/>
        <v>0.7506672643344422</v>
      </c>
      <c r="W152" s="1060">
        <f t="shared" si="37"/>
        <v>7.6694021962473435E-3</v>
      </c>
      <c r="X152" s="1060">
        <f t="shared" si="37"/>
        <v>1.3522205581530675E-2</v>
      </c>
      <c r="Y152" s="1069" t="str">
        <f t="shared" si="37"/>
        <v>BBB-</v>
      </c>
      <c r="Z152" s="1070" t="str">
        <f t="shared" si="38"/>
        <v>¯  ¯ ¯</v>
      </c>
      <c r="AA152" s="1064">
        <f t="shared" si="34"/>
        <v>3.4278891827637503</v>
      </c>
      <c r="AB152" s="1071">
        <f t="shared" si="34"/>
        <v>0.24423537898737996</v>
      </c>
      <c r="AC152" s="1065">
        <f t="shared" si="34"/>
        <v>3.8230610288109381</v>
      </c>
      <c r="AD152" s="949"/>
      <c r="AE152" s="949"/>
      <c r="AF152" s="949"/>
      <c r="AG152" s="2129"/>
      <c r="AH152" s="949"/>
      <c r="AI152" s="949"/>
      <c r="AJ152" s="949"/>
      <c r="AK152" s="949"/>
      <c r="AL152" s="949"/>
      <c r="AM152" s="949"/>
      <c r="AN152" s="949"/>
      <c r="AO152" s="949"/>
      <c r="AP152" s="949"/>
      <c r="AQ152" s="949"/>
      <c r="AR152" s="110"/>
      <c r="AS152" s="110"/>
      <c r="AT152" s="110"/>
      <c r="AU152" s="949"/>
      <c r="AV152" s="949"/>
      <c r="AW152" s="949"/>
      <c r="AX152" s="949"/>
      <c r="AY152" s="949"/>
      <c r="AZ152" s="949"/>
      <c r="BA152" s="949"/>
      <c r="BB152" s="949"/>
      <c r="BC152" s="949"/>
      <c r="BD152" s="949"/>
      <c r="BE152" s="2267"/>
    </row>
    <row r="153" spans="1:57">
      <c r="A153" s="1090" t="s">
        <v>217</v>
      </c>
      <c r="B153" s="73" t="s">
        <v>53</v>
      </c>
      <c r="C153" s="1085">
        <f t="shared" si="36"/>
        <v>60036.853628571422</v>
      </c>
      <c r="D153" s="1086">
        <f t="shared" si="36"/>
        <v>0.15382903828354536</v>
      </c>
      <c r="E153" s="1060">
        <f t="shared" si="36"/>
        <v>-0.3618479655094986</v>
      </c>
      <c r="F153" s="1060">
        <f t="shared" si="36"/>
        <v>-0.26007238660385967</v>
      </c>
      <c r="G153" s="1061">
        <f t="shared" si="36"/>
        <v>44430.485000000001</v>
      </c>
      <c r="H153" s="1062">
        <f t="shared" si="36"/>
        <v>0.1230366882897139</v>
      </c>
      <c r="I153" s="1063">
        <f t="shared" si="36"/>
        <v>2.2644833808097031</v>
      </c>
      <c r="J153" s="1063">
        <f t="shared" si="36"/>
        <v>1.7716210773954304</v>
      </c>
      <c r="K153" s="1064">
        <f t="shared" si="36"/>
        <v>5.7304428558288603</v>
      </c>
      <c r="L153" s="1060">
        <f t="shared" si="36"/>
        <v>-7.3155042359885195E-2</v>
      </c>
      <c r="M153" s="129">
        <f t="shared" si="37"/>
        <v>5.1937231412225326</v>
      </c>
      <c r="N153" s="1066">
        <f t="shared" si="37"/>
        <v>0.6158872479982318</v>
      </c>
      <c r="O153" s="1067">
        <f t="shared" si="37"/>
        <v>0.11044311863454735</v>
      </c>
      <c r="P153" s="1068">
        <f t="shared" si="37"/>
        <v>0.66127040038880336</v>
      </c>
      <c r="Q153" s="1066">
        <f t="shared" si="37"/>
        <v>0.48384306036910518</v>
      </c>
      <c r="R153" s="1067">
        <f t="shared" si="37"/>
        <v>0.2595878527386451</v>
      </c>
      <c r="S153" s="1068">
        <f t="shared" si="37"/>
        <v>0.54381370963962039</v>
      </c>
      <c r="T153" s="1066">
        <f t="shared" si="37"/>
        <v>0.51513010935716153</v>
      </c>
      <c r="U153" s="1067">
        <f t="shared" si="37"/>
        <v>0.26130995158024306</v>
      </c>
      <c r="V153" s="1068">
        <f t="shared" si="37"/>
        <v>0.57929804018594233</v>
      </c>
      <c r="W153" s="1060">
        <f t="shared" si="37"/>
        <v>3.1287048988056343E-2</v>
      </c>
      <c r="X153" s="1060">
        <f t="shared" si="37"/>
        <v>6.4663630732222685E-2</v>
      </c>
      <c r="Y153" s="1069" t="str">
        <f t="shared" si="37"/>
        <v>BBB</v>
      </c>
      <c r="Z153" s="1070" t="str">
        <f t="shared" si="38"/>
        <v>¯  ¯ ¯</v>
      </c>
      <c r="AA153" s="1064">
        <f t="shared" si="34"/>
        <v>2.7929780820851775</v>
      </c>
      <c r="AB153" s="1071">
        <f t="shared" si="34"/>
        <v>0.12404595260605845</v>
      </c>
      <c r="AC153" s="1065">
        <f t="shared" si="34"/>
        <v>2.8353348809740444</v>
      </c>
      <c r="AD153" s="949"/>
      <c r="AE153" s="949"/>
      <c r="AF153" s="949"/>
      <c r="AG153" s="2129"/>
      <c r="AH153" s="949"/>
      <c r="AI153" s="949"/>
      <c r="AJ153" s="949"/>
      <c r="AK153" s="949"/>
      <c r="AL153" s="949"/>
      <c r="AM153" s="949"/>
      <c r="AN153" s="949"/>
      <c r="AO153" s="949"/>
      <c r="AP153" s="949"/>
      <c r="AQ153" s="949"/>
      <c r="AR153" s="110"/>
      <c r="AS153" s="110"/>
      <c r="AT153" s="110"/>
      <c r="AU153" s="949"/>
      <c r="AV153" s="949"/>
      <c r="AW153" s="949"/>
      <c r="AX153" s="949"/>
      <c r="AY153" s="949"/>
      <c r="AZ153" s="949"/>
      <c r="BA153" s="949"/>
      <c r="BB153" s="949"/>
      <c r="BC153" s="949"/>
      <c r="BD153" s="949"/>
      <c r="BE153" s="2267"/>
    </row>
    <row r="154" spans="1:57">
      <c r="A154" s="1091" t="s">
        <v>319</v>
      </c>
      <c r="B154" s="691" t="s">
        <v>750</v>
      </c>
      <c r="C154" s="1087">
        <f t="shared" si="36"/>
        <v>7616.907214285714</v>
      </c>
      <c r="D154" s="1088">
        <f t="shared" si="36"/>
        <v>1.9516371039653539E-2</v>
      </c>
      <c r="E154" s="1072">
        <f t="shared" si="36"/>
        <v>-0.33365525120929096</v>
      </c>
      <c r="F154" s="1072">
        <f t="shared" si="36"/>
        <v>-0.23187967230365203</v>
      </c>
      <c r="G154" s="1073">
        <f t="shared" si="36"/>
        <v>5825.8631999999998</v>
      </c>
      <c r="H154" s="1074">
        <f t="shared" si="36"/>
        <v>1.6132952736323161E-2</v>
      </c>
      <c r="I154" s="1075">
        <f t="shared" si="36"/>
        <v>2.4107651340270966</v>
      </c>
      <c r="J154" s="1075">
        <f t="shared" si="36"/>
        <v>2.0327505931612002</v>
      </c>
      <c r="K154" s="1076">
        <f t="shared" si="36"/>
        <v>4.7469851722287064</v>
      </c>
      <c r="L154" s="1072">
        <f t="shared" si="36"/>
        <v>0.1951757211867983</v>
      </c>
      <c r="M154" s="1012">
        <f t="shared" si="37"/>
        <v>4.6619962755533297</v>
      </c>
      <c r="N154" s="1078">
        <f t="shared" si="37"/>
        <v>0.37158673775730477</v>
      </c>
      <c r="O154" s="1079">
        <f t="shared" si="37"/>
        <v>-0.1153634304384116</v>
      </c>
      <c r="P154" s="1080">
        <f t="shared" si="37"/>
        <v>0.36037883142173305</v>
      </c>
      <c r="Q154" s="1078">
        <f t="shared" si="37"/>
        <v>0.17383796150947908</v>
      </c>
      <c r="R154" s="1079">
        <f t="shared" si="37"/>
        <v>0.54445307336528614</v>
      </c>
      <c r="S154" s="1080">
        <f t="shared" si="37"/>
        <v>0.26356163003804695</v>
      </c>
      <c r="T154" s="1078">
        <f t="shared" si="37"/>
        <v>0.19702478682132593</v>
      </c>
      <c r="U154" s="1079">
        <f t="shared" si="37"/>
        <v>0.50034734616182497</v>
      </c>
      <c r="V154" s="1080">
        <f t="shared" si="37"/>
        <v>0.28756363720088318</v>
      </c>
      <c r="W154" s="1072">
        <f t="shared" si="37"/>
        <v>2.3186825311846848E-2</v>
      </c>
      <c r="X154" s="1072">
        <f t="shared" si="37"/>
        <v>0.13338182932260462</v>
      </c>
      <c r="Y154" s="1081" t="str">
        <f t="shared" si="37"/>
        <v>A</v>
      </c>
      <c r="Z154" s="1082" t="str">
        <f t="shared" si="38"/>
        <v>=  =  -</v>
      </c>
      <c r="AA154" s="1076">
        <f t="shared" si="34"/>
        <v>0.93248540191552354</v>
      </c>
      <c r="AB154" s="1083">
        <f t="shared" si="34"/>
        <v>0.78949919521054279</v>
      </c>
      <c r="AC154" s="1077">
        <f t="shared" si="34"/>
        <v>1.3109622071604587</v>
      </c>
      <c r="AD154" s="949"/>
      <c r="AE154" s="949"/>
      <c r="AF154" s="949"/>
      <c r="AG154" s="2129"/>
      <c r="AH154" s="949"/>
      <c r="AI154" s="949"/>
      <c r="AJ154" s="949"/>
      <c r="AK154" s="949"/>
      <c r="AL154" s="949"/>
      <c r="AM154" s="949"/>
      <c r="AN154" s="949"/>
      <c r="AO154" s="949"/>
      <c r="AP154" s="949"/>
      <c r="AQ154" s="949"/>
      <c r="AR154" s="110"/>
      <c r="AS154" s="110"/>
      <c r="AT154" s="110"/>
      <c r="AU154" s="949"/>
      <c r="AV154" s="949"/>
      <c r="AW154" s="949"/>
      <c r="AX154" s="949"/>
      <c r="AY154" s="949"/>
      <c r="AZ154" s="949"/>
      <c r="BA154" s="949"/>
      <c r="BB154" s="949"/>
      <c r="BC154" s="949"/>
      <c r="BD154" s="949"/>
      <c r="BE154" s="2267"/>
    </row>
    <row r="155" spans="1:57">
      <c r="A155" s="1090" t="s">
        <v>19</v>
      </c>
      <c r="B155" s="150" t="s">
        <v>286</v>
      </c>
      <c r="C155" s="1085">
        <f t="shared" si="36"/>
        <v>31174.883771428573</v>
      </c>
      <c r="D155" s="1086">
        <f t="shared" si="36"/>
        <v>7.9877643469276421E-2</v>
      </c>
      <c r="E155" s="1060">
        <f t="shared" si="36"/>
        <v>-0.49416922878378883</v>
      </c>
      <c r="F155" s="1060">
        <f t="shared" si="36"/>
        <v>-0.3923936498781499</v>
      </c>
      <c r="G155" s="1061">
        <f t="shared" si="36"/>
        <v>19124.593099999998</v>
      </c>
      <c r="H155" s="1062">
        <f t="shared" si="36"/>
        <v>5.2959732488004868E-2</v>
      </c>
      <c r="I155" s="1063">
        <f t="shared" si="36"/>
        <v>1.0546425468926217</v>
      </c>
      <c r="J155" s="1063">
        <f t="shared" si="36"/>
        <v>0.72989058468819168</v>
      </c>
      <c r="K155" s="1064">
        <f t="shared" si="36"/>
        <v>4.913128503955539</v>
      </c>
      <c r="L155" s="1060">
        <f t="shared" si="36"/>
        <v>-0.19812930900653591</v>
      </c>
      <c r="M155" s="129">
        <f t="shared" si="37"/>
        <v>4.438539176760524</v>
      </c>
      <c r="N155" s="1066">
        <f t="shared" si="37"/>
        <v>0.60741568747204655</v>
      </c>
      <c r="O155" s="1067">
        <f t="shared" si="37"/>
        <v>4.0950219141690898E-2</v>
      </c>
      <c r="P155" s="1068">
        <f t="shared" si="37"/>
        <v>0.62738172243152124</v>
      </c>
      <c r="Q155" s="1066">
        <f t="shared" si="37"/>
        <v>0.50834561454306215</v>
      </c>
      <c r="R155" s="1067">
        <f t="shared" si="37"/>
        <v>0.27477182203191691</v>
      </c>
      <c r="S155" s="1068">
        <f t="shared" si="37"/>
        <v>0.61196382356206247</v>
      </c>
      <c r="T155" s="1066">
        <f t="shared" si="37"/>
        <v>0.54898628094174651</v>
      </c>
      <c r="U155" s="1067">
        <f t="shared" si="37"/>
        <v>0.26756473067663017</v>
      </c>
      <c r="V155" s="1068">
        <f t="shared" si="37"/>
        <v>0.65530118542007598</v>
      </c>
      <c r="W155" s="1060">
        <f t="shared" si="37"/>
        <v>4.0640666398684355E-2</v>
      </c>
      <c r="X155" s="1060">
        <f t="shared" si="37"/>
        <v>7.9946920433679999E-2</v>
      </c>
      <c r="Y155" s="1069" t="str">
        <f t="shared" si="37"/>
        <v>BBB+</v>
      </c>
      <c r="Z155" s="1070" t="str">
        <f t="shared" si="38"/>
        <v>=  ¯ ¯</v>
      </c>
      <c r="AA155" s="1064">
        <f t="shared" si="34"/>
        <v>2.5321561588471506</v>
      </c>
      <c r="AB155" s="1071">
        <f t="shared" si="34"/>
        <v>1.3257606300410854E-2</v>
      </c>
      <c r="AC155" s="1065">
        <f t="shared" si="34"/>
        <v>2.8138910595815916</v>
      </c>
      <c r="AD155" s="949"/>
      <c r="AE155" s="949"/>
      <c r="AF155" s="949"/>
      <c r="AG155" s="2129"/>
      <c r="AH155" s="949"/>
      <c r="AI155" s="949"/>
      <c r="AJ155" s="949"/>
      <c r="AK155" s="949"/>
      <c r="AL155" s="949"/>
      <c r="AM155" s="949"/>
      <c r="AN155" s="949"/>
      <c r="AO155" s="949"/>
      <c r="AP155" s="949"/>
      <c r="AQ155" s="949"/>
      <c r="AR155" s="110"/>
      <c r="AS155" s="110"/>
      <c r="AT155" s="110"/>
      <c r="AU155" s="949"/>
      <c r="AV155" s="949"/>
      <c r="AW155" s="949"/>
      <c r="AX155" s="949"/>
      <c r="AY155" s="949"/>
      <c r="AZ155" s="949"/>
      <c r="BA155" s="949"/>
      <c r="BB155" s="949"/>
      <c r="BC155" s="949"/>
      <c r="BD155" s="949"/>
      <c r="BE155" s="2267"/>
    </row>
    <row r="156" spans="1:57">
      <c r="A156" s="1090" t="s">
        <v>501</v>
      </c>
      <c r="B156" s="73" t="s">
        <v>44</v>
      </c>
      <c r="C156" s="1085">
        <f t="shared" si="36"/>
        <v>12234.494271428572</v>
      </c>
      <c r="D156" s="1086">
        <f t="shared" si="36"/>
        <v>3.1347753486597643E-2</v>
      </c>
      <c r="E156" s="1060">
        <f t="shared" si="36"/>
        <v>-0.59766521701552</v>
      </c>
      <c r="F156" s="1060">
        <f t="shared" si="36"/>
        <v>-0.49588963810988107</v>
      </c>
      <c r="G156" s="1061">
        <f t="shared" si="36"/>
        <v>6819.5967000000001</v>
      </c>
      <c r="H156" s="1062">
        <f t="shared" si="36"/>
        <v>1.8884794830384175E-2</v>
      </c>
      <c r="I156" s="1063">
        <f t="shared" si="36"/>
        <v>3.9295455833111754</v>
      </c>
      <c r="J156" s="1063">
        <f t="shared" si="36"/>
        <v>1.2175677021960365</v>
      </c>
      <c r="K156" s="1064">
        <f t="shared" si="36"/>
        <v>5.0345645887817243</v>
      </c>
      <c r="L156" s="1060">
        <f t="shared" si="36"/>
        <v>-0.26680842971581226</v>
      </c>
      <c r="M156" s="129">
        <f t="shared" si="37"/>
        <v>4.0325018858098245</v>
      </c>
      <c r="N156" s="1066">
        <f t="shared" si="37"/>
        <v>0.5805147103617575</v>
      </c>
      <c r="O156" s="1067">
        <f t="shared" si="37"/>
        <v>8.4948466413752491E-2</v>
      </c>
      <c r="P156" s="1068">
        <f t="shared" si="37"/>
        <v>0.6264024463118032</v>
      </c>
      <c r="Q156" s="1066">
        <f t="shared" si="37"/>
        <v>0.51826084585195908</v>
      </c>
      <c r="R156" s="1067">
        <f t="shared" si="37"/>
        <v>0.40005999871326348</v>
      </c>
      <c r="S156" s="1068">
        <f t="shared" si="37"/>
        <v>0.58973938770950263</v>
      </c>
      <c r="T156" s="1066">
        <f t="shared" si="37"/>
        <v>0.5495689942142129</v>
      </c>
      <c r="U156" s="1067">
        <f t="shared" si="37"/>
        <v>0.40637993517884302</v>
      </c>
      <c r="V156" s="1068">
        <f t="shared" si="37"/>
        <v>0.63323863537070213</v>
      </c>
      <c r="W156" s="1060">
        <f t="shared" si="37"/>
        <v>3.1308148362253818E-2</v>
      </c>
      <c r="X156" s="1060">
        <f t="shared" si="37"/>
        <v>6.0410020577161203E-2</v>
      </c>
      <c r="Y156" s="1069" t="str">
        <f t="shared" si="37"/>
        <v>BBB-</v>
      </c>
      <c r="Z156" s="1070" t="str">
        <f t="shared" si="38"/>
        <v>=  ¯ =</v>
      </c>
      <c r="AA156" s="1064">
        <f t="shared" si="34"/>
        <v>2.643581803383519</v>
      </c>
      <c r="AB156" s="1071">
        <f t="shared" si="34"/>
        <v>2.8580691559688957E-2</v>
      </c>
      <c r="AC156" s="1065">
        <f t="shared" si="34"/>
        <v>2.5466878830879209</v>
      </c>
      <c r="AD156" s="949"/>
      <c r="AE156" s="949"/>
      <c r="AF156" s="949"/>
      <c r="AG156" s="2129"/>
      <c r="AH156" s="949"/>
      <c r="AI156" s="949"/>
      <c r="AJ156" s="949"/>
      <c r="AK156" s="949"/>
      <c r="AL156" s="949"/>
      <c r="AM156" s="949"/>
      <c r="AN156" s="949"/>
      <c r="AO156" s="949"/>
      <c r="AP156" s="949"/>
      <c r="AQ156" s="949"/>
      <c r="AR156" s="110"/>
      <c r="AS156" s="110"/>
      <c r="AT156" s="110"/>
      <c r="AU156" s="949"/>
      <c r="AV156" s="949"/>
      <c r="AW156" s="949"/>
      <c r="AX156" s="949"/>
      <c r="AY156" s="949"/>
      <c r="AZ156" s="949"/>
      <c r="BA156" s="949"/>
      <c r="BB156" s="949"/>
      <c r="BC156" s="949"/>
      <c r="BD156" s="949"/>
      <c r="BE156" s="2267"/>
    </row>
    <row r="157" spans="1:57">
      <c r="A157" s="1090" t="s">
        <v>499</v>
      </c>
      <c r="B157" s="73" t="s">
        <v>284</v>
      </c>
      <c r="C157" s="1085">
        <f t="shared" si="36"/>
        <v>15596.516285714286</v>
      </c>
      <c r="D157" s="1086">
        <f t="shared" si="36"/>
        <v>3.9962072557101963E-2</v>
      </c>
      <c r="E157" s="1060">
        <f t="shared" si="36"/>
        <v>-0.41209116095583281</v>
      </c>
      <c r="F157" s="1060">
        <f t="shared" si="36"/>
        <v>-0.31031558205019388</v>
      </c>
      <c r="G157" s="1061">
        <f t="shared" si="36"/>
        <v>10295.917100000001</v>
      </c>
      <c r="H157" s="1062">
        <f t="shared" si="36"/>
        <v>2.8511404790864545E-2</v>
      </c>
      <c r="I157" s="1063">
        <f t="shared" si="36"/>
        <v>0.58081043687158529</v>
      </c>
      <c r="J157" s="1063">
        <f t="shared" si="36"/>
        <v>0.5027794267018264</v>
      </c>
      <c r="K157" s="1064">
        <f t="shared" si="36"/>
        <v>4.6475023511824993</v>
      </c>
      <c r="L157" s="1060">
        <f t="shared" si="36"/>
        <v>-0.18379111287045302</v>
      </c>
      <c r="M157" s="129">
        <f t="shared" si="37"/>
        <v>4.0606354500113753</v>
      </c>
      <c r="N157" s="1066">
        <f t="shared" si="37"/>
        <v>0.34534166666666666</v>
      </c>
      <c r="O157" s="1067">
        <f t="shared" si="37"/>
        <v>-5.4500069338510607E-2</v>
      </c>
      <c r="P157" s="1068">
        <f t="shared" si="37"/>
        <v>0.3626280111015483</v>
      </c>
      <c r="Q157" s="1066">
        <f t="shared" si="37"/>
        <v>0.67997702229572432</v>
      </c>
      <c r="R157" s="1067">
        <f t="shared" si="37"/>
        <v>0.10658020511075152</v>
      </c>
      <c r="S157" s="1068">
        <f t="shared" si="37"/>
        <v>0.75270955685414354</v>
      </c>
      <c r="T157" s="1066">
        <f t="shared" si="37"/>
        <v>0.68457317243488636</v>
      </c>
      <c r="U157" s="1067">
        <f t="shared" si="37"/>
        <v>0.10522314957078965</v>
      </c>
      <c r="V157" s="1068">
        <f t="shared" si="37"/>
        <v>0.75672107111582532</v>
      </c>
      <c r="W157" s="1060">
        <f t="shared" si="37"/>
        <v>4.5961501391620363E-3</v>
      </c>
      <c r="X157" s="1060">
        <f t="shared" si="37"/>
        <v>6.7592727231349809E-3</v>
      </c>
      <c r="Y157" s="1069" t="str">
        <f t="shared" si="37"/>
        <v>BBB-</v>
      </c>
      <c r="Z157" s="1070" t="str">
        <f t="shared" si="38"/>
        <v>=  ¯ ¯</v>
      </c>
      <c r="AA157" s="1064">
        <f t="shared" si="34"/>
        <v>2.9152503149286035</v>
      </c>
      <c r="AB157" s="1071">
        <f t="shared" si="34"/>
        <v>-0.14664752669478531</v>
      </c>
      <c r="AC157" s="1065">
        <f t="shared" si="34"/>
        <v>2.8370691340232916</v>
      </c>
      <c r="AD157" s="949"/>
      <c r="AE157" s="949"/>
      <c r="AF157" s="949"/>
      <c r="AG157" s="2129"/>
      <c r="AH157" s="949"/>
      <c r="AI157" s="949"/>
      <c r="AJ157" s="949"/>
      <c r="AK157" s="949"/>
      <c r="AL157" s="949"/>
      <c r="AM157" s="949"/>
      <c r="AN157" s="949"/>
      <c r="AO157" s="949"/>
      <c r="AP157" s="949"/>
      <c r="AQ157" s="949"/>
      <c r="AR157" s="110"/>
      <c r="AS157" s="110"/>
      <c r="AT157" s="110"/>
      <c r="AU157" s="949"/>
      <c r="AV157" s="949"/>
      <c r="AW157" s="949"/>
      <c r="AX157" s="949"/>
      <c r="AY157" s="949"/>
      <c r="AZ157" s="949"/>
      <c r="BA157" s="949"/>
      <c r="BB157" s="949"/>
      <c r="BC157" s="949"/>
      <c r="BD157" s="949"/>
      <c r="BE157" s="2267"/>
    </row>
    <row r="158" spans="1:57">
      <c r="A158" s="1090" t="s">
        <v>385</v>
      </c>
      <c r="B158" s="73" t="s">
        <v>276</v>
      </c>
      <c r="C158" s="1085">
        <f t="shared" si="36"/>
        <v>3544.0522571428578</v>
      </c>
      <c r="D158" s="1086">
        <f t="shared" si="36"/>
        <v>9.0807248780183369E-3</v>
      </c>
      <c r="E158" s="1060">
        <f t="shared" si="36"/>
        <v>-0.4675424361384804</v>
      </c>
      <c r="F158" s="1060">
        <f t="shared" si="36"/>
        <v>-0.36576685723284147</v>
      </c>
      <c r="G158" s="1061">
        <f t="shared" si="36"/>
        <v>2152.6311000000001</v>
      </c>
      <c r="H158" s="1062">
        <f t="shared" si="36"/>
        <v>5.9610558303255963E-3</v>
      </c>
      <c r="I158" s="1063">
        <f t="shared" si="36"/>
        <v>3.4941691326062152</v>
      </c>
      <c r="J158" s="1063">
        <f t="shared" si="36"/>
        <v>2.2961398399999999</v>
      </c>
      <c r="K158" s="1064">
        <f t="shared" si="36"/>
        <v>4.4246190982470868</v>
      </c>
      <c r="L158" s="1060">
        <f t="shared" si="36"/>
        <v>-2.9835823683801648E-2</v>
      </c>
      <c r="M158" s="129">
        <f t="shared" si="37"/>
        <v>4.0530525032062261</v>
      </c>
      <c r="N158" s="1066">
        <f t="shared" si="37"/>
        <v>0.60910298289809772</v>
      </c>
      <c r="O158" s="1067">
        <f t="shared" si="37"/>
        <v>-5.2071170724915891E-2</v>
      </c>
      <c r="P158" s="1068">
        <f t="shared" si="37"/>
        <v>0.6207941242005639</v>
      </c>
      <c r="Q158" s="1066">
        <f t="shared" si="37"/>
        <v>0.49050145598877937</v>
      </c>
      <c r="R158" s="1067">
        <f t="shared" si="37"/>
        <v>0.42102559519407173</v>
      </c>
      <c r="S158" s="1068">
        <f t="shared" si="37"/>
        <v>0.61744816018521742</v>
      </c>
      <c r="T158" s="1066">
        <f t="shared" si="37"/>
        <v>0.49698573886957192</v>
      </c>
      <c r="U158" s="1067">
        <f t="shared" si="37"/>
        <v>0.41032171167013903</v>
      </c>
      <c r="V158" s="1068">
        <f t="shared" si="37"/>
        <v>0.62319136029119382</v>
      </c>
      <c r="W158" s="1060">
        <f t="shared" si="37"/>
        <v>6.4842828807925579E-3</v>
      </c>
      <c r="X158" s="1060">
        <f t="shared" si="37"/>
        <v>1.3219701596443154E-2</v>
      </c>
      <c r="Y158" s="1069" t="str">
        <f t="shared" si="37"/>
        <v>BBB</v>
      </c>
      <c r="Z158" s="1070" t="str">
        <f t="shared" si="38"/>
        <v>=  ¯ -</v>
      </c>
      <c r="AA158" s="1064">
        <f t="shared" si="34"/>
        <v>2.1902281092407181</v>
      </c>
      <c r="AB158" s="1071">
        <f t="shared" si="34"/>
        <v>0.36844726500440206</v>
      </c>
      <c r="AC158" s="1065">
        <f t="shared" si="34"/>
        <v>2.5252968522290931</v>
      </c>
      <c r="AD158" s="949"/>
      <c r="AE158" s="949"/>
      <c r="AF158" s="949"/>
      <c r="AG158" s="2129"/>
      <c r="AH158" s="949"/>
      <c r="AI158" s="949"/>
      <c r="AJ158" s="949"/>
      <c r="AK158" s="949"/>
      <c r="AL158" s="949"/>
      <c r="AM158" s="949"/>
      <c r="AN158" s="949"/>
      <c r="AO158" s="949"/>
      <c r="AP158" s="949"/>
      <c r="AQ158" s="949"/>
      <c r="AR158" s="110"/>
      <c r="AS158" s="110"/>
      <c r="AT158" s="110"/>
      <c r="AU158" s="949"/>
      <c r="AV158" s="949"/>
      <c r="AW158" s="949"/>
      <c r="AX158" s="949"/>
      <c r="AY158" s="949"/>
      <c r="AZ158" s="949"/>
      <c r="BA158" s="949"/>
      <c r="BB158" s="949"/>
      <c r="BC158" s="949"/>
      <c r="BD158" s="949"/>
      <c r="BE158" s="2267"/>
    </row>
    <row r="159" spans="1:57">
      <c r="A159" s="1090" t="s">
        <v>27</v>
      </c>
      <c r="B159" s="73" t="s">
        <v>353</v>
      </c>
      <c r="C159" s="1085">
        <f t="shared" si="36"/>
        <v>504.56125714285719</v>
      </c>
      <c r="D159" s="1086">
        <f t="shared" si="36"/>
        <v>1.292808804099037E-3</v>
      </c>
      <c r="E159" s="1060">
        <f t="shared" si="36"/>
        <v>0.11241291049139049</v>
      </c>
      <c r="F159" s="1060">
        <f t="shared" si="36"/>
        <v>0.21418848939702945</v>
      </c>
      <c r="G159" s="1061">
        <f t="shared" si="36"/>
        <v>562.64409999999998</v>
      </c>
      <c r="H159" s="1062">
        <f t="shared" si="36"/>
        <v>1.5580713726115437E-3</v>
      </c>
      <c r="I159" s="1063">
        <f t="shared" si="36"/>
        <v>0.48825120153947199</v>
      </c>
      <c r="J159" s="1063">
        <f t="shared" si="36"/>
        <v>0.52140126030951717</v>
      </c>
      <c r="K159" s="1064">
        <f t="shared" si="36"/>
        <v>4.0370208841188875</v>
      </c>
      <c r="L159" s="1060">
        <f t="shared" si="36"/>
        <v>-0.11001004882442665</v>
      </c>
      <c r="M159" s="129">
        <f t="shared" si="37"/>
        <v>3.9063069179772585</v>
      </c>
      <c r="N159" s="1066">
        <f t="shared" si="37"/>
        <v>0.90539538726018864</v>
      </c>
      <c r="O159" s="1067">
        <f t="shared" si="37"/>
        <v>-4.1189056985539901E-2</v>
      </c>
      <c r="P159" s="1068">
        <f t="shared" si="37"/>
        <v>0.90138346931536006</v>
      </c>
      <c r="Q159" s="1066">
        <f t="shared" si="37"/>
        <v>0.38160323267486906</v>
      </c>
      <c r="R159" s="1067">
        <f t="shared" si="37"/>
        <v>0.13281779457810056</v>
      </c>
      <c r="S159" s="1068">
        <f t="shared" si="37"/>
        <v>0.39444904186551905</v>
      </c>
      <c r="T159" s="1066">
        <f t="shared" si="37"/>
        <v>0.47841518539184064</v>
      </c>
      <c r="U159" s="1067">
        <f t="shared" si="37"/>
        <v>1.1717685634717274E-2</v>
      </c>
      <c r="V159" s="1068">
        <f t="shared" si="37"/>
        <v>0.46507375880431212</v>
      </c>
      <c r="W159" s="1060">
        <f t="shared" si="37"/>
        <v>9.6811952716971572E-2</v>
      </c>
      <c r="X159" s="1060">
        <f t="shared" si="37"/>
        <v>0.25369793656715856</v>
      </c>
      <c r="Y159" s="1069" t="str">
        <f t="shared" si="37"/>
        <v>Not rated</v>
      </c>
      <c r="Z159" s="1070"/>
      <c r="AA159" s="1064">
        <f t="shared" si="34"/>
        <v>1.832329792526622</v>
      </c>
      <c r="AB159" s="1071">
        <f t="shared" si="34"/>
        <v>-9.9442962217240083E-2</v>
      </c>
      <c r="AC159" s="1065">
        <f t="shared" si="34"/>
        <v>1.8160302149559577</v>
      </c>
      <c r="AD159" s="949"/>
      <c r="AE159" s="949"/>
      <c r="AF159" s="949"/>
      <c r="AG159" s="2129"/>
      <c r="AH159" s="949"/>
      <c r="AI159" s="949"/>
      <c r="AJ159" s="949"/>
      <c r="AK159" s="949"/>
      <c r="AL159" s="949"/>
      <c r="AM159" s="949"/>
      <c r="AN159" s="949"/>
      <c r="AO159" s="949"/>
      <c r="AP159" s="949"/>
      <c r="AQ159" s="949"/>
      <c r="AR159" s="110"/>
      <c r="AS159" s="110"/>
      <c r="AT159" s="110"/>
      <c r="AU159" s="949"/>
      <c r="AV159" s="949"/>
      <c r="AW159" s="949"/>
      <c r="AX159" s="949"/>
      <c r="AY159" s="949"/>
      <c r="AZ159" s="949"/>
      <c r="BA159" s="949"/>
      <c r="BB159" s="949"/>
      <c r="BC159" s="949"/>
      <c r="BD159" s="949"/>
      <c r="BE159" s="2267"/>
    </row>
    <row r="160" spans="1:57">
      <c r="A160" s="1090" t="s">
        <v>374</v>
      </c>
      <c r="B160" s="73" t="s">
        <v>42</v>
      </c>
      <c r="C160" s="1085">
        <f t="shared" si="36"/>
        <v>2432.5463571428577</v>
      </c>
      <c r="D160" s="1086">
        <f t="shared" si="36"/>
        <v>6.2327761047315808E-3</v>
      </c>
      <c r="E160" s="1060">
        <f t="shared" si="36"/>
        <v>-3.2258071946582277E-2</v>
      </c>
      <c r="F160" s="1060">
        <f t="shared" si="36"/>
        <v>6.9517506959056674E-2</v>
      </c>
      <c r="G160" s="1061">
        <f t="shared" si="36"/>
        <v>2940.9023000000002</v>
      </c>
      <c r="H160" s="1062">
        <f t="shared" si="36"/>
        <v>8.143932697912316E-3</v>
      </c>
      <c r="I160" s="1063">
        <f t="shared" si="36"/>
        <v>1.2689619717468461</v>
      </c>
      <c r="J160" s="1063">
        <f t="shared" si="36"/>
        <v>1.312316956715752</v>
      </c>
      <c r="K160" s="1064">
        <f t="shared" si="36"/>
        <v>3.8459062845563983</v>
      </c>
      <c r="L160" s="1060">
        <f t="shared" si="36"/>
        <v>3.4291324439135469E-2</v>
      </c>
      <c r="M160" s="129">
        <f t="shared" si="37"/>
        <v>3.7439277362047823</v>
      </c>
      <c r="N160" s="1066">
        <f t="shared" si="37"/>
        <v>0.56323171407839789</v>
      </c>
      <c r="O160" s="1067">
        <f t="shared" si="37"/>
        <v>-0.12023286586287618</v>
      </c>
      <c r="P160" s="1068">
        <f t="shared" si="37"/>
        <v>0.53987730061349704</v>
      </c>
      <c r="Q160" s="1066">
        <f t="shared" si="37"/>
        <v>0.60887331285954671</v>
      </c>
      <c r="R160" s="1067">
        <f t="shared" si="37"/>
        <v>-0.37303497156800469</v>
      </c>
      <c r="S160" s="1068">
        <f t="shared" si="37"/>
        <v>0.37659759063604481</v>
      </c>
      <c r="T160" s="1066">
        <f t="shared" si="37"/>
        <v>0.63388271448107447</v>
      </c>
      <c r="U160" s="1067">
        <f t="shared" si="37"/>
        <v>-0.25869992498286548</v>
      </c>
      <c r="V160" s="1068">
        <f t="shared" si="37"/>
        <v>0.44527495080222473</v>
      </c>
      <c r="W160" s="1060">
        <f t="shared" si="37"/>
        <v>2.500940162152776E-2</v>
      </c>
      <c r="X160" s="1060">
        <f t="shared" si="37"/>
        <v>4.1074885519406669E-2</v>
      </c>
      <c r="Y160" s="1069" t="str">
        <f t="shared" si="37"/>
        <v>B-</v>
      </c>
      <c r="Z160" s="1070" t="str">
        <f>VLOOKUP($B160,$B$7:$AC$28,Z$37+1,FALSE)</f>
        <v>=  =  -</v>
      </c>
      <c r="AA160" s="1064">
        <f t="shared" si="34"/>
        <v>2.172629043332774</v>
      </c>
      <c r="AB160" s="1071">
        <f t="shared" si="34"/>
        <v>-0.22035736928264804</v>
      </c>
      <c r="AC160" s="1065">
        <f t="shared" si="34"/>
        <v>1.5517268924243866</v>
      </c>
      <c r="AD160" s="949"/>
      <c r="AE160" s="949"/>
      <c r="AF160" s="949"/>
      <c r="AG160" s="2129"/>
      <c r="AH160" s="949"/>
      <c r="AI160" s="949"/>
      <c r="AJ160" s="949"/>
      <c r="AK160" s="949"/>
      <c r="AL160" s="949"/>
      <c r="AM160" s="949"/>
      <c r="AN160" s="949"/>
      <c r="AO160" s="949"/>
      <c r="AP160" s="949"/>
      <c r="AQ160" s="949"/>
      <c r="AR160" s="110"/>
      <c r="AS160" s="110"/>
      <c r="AT160" s="110"/>
      <c r="AU160" s="949"/>
      <c r="AV160" s="949"/>
      <c r="AW160" s="949"/>
      <c r="AX160" s="949"/>
      <c r="AY160" s="949"/>
      <c r="AZ160" s="949"/>
      <c r="BA160" s="949"/>
      <c r="BB160" s="949"/>
      <c r="BC160" s="949"/>
      <c r="BD160" s="949"/>
      <c r="BE160" s="2267"/>
    </row>
    <row r="161" spans="1:57">
      <c r="A161" s="1091" t="s">
        <v>319</v>
      </c>
      <c r="B161" s="691" t="s">
        <v>751</v>
      </c>
      <c r="C161" s="1087">
        <f t="shared" si="36"/>
        <v>2121.4584571428572</v>
      </c>
      <c r="D161" s="1088">
        <f t="shared" si="36"/>
        <v>5.4356931534045982E-3</v>
      </c>
      <c r="E161" s="1072">
        <f t="shared" si="36"/>
        <v>-0.63331383871554725</v>
      </c>
      <c r="F161" s="1072">
        <f t="shared" si="36"/>
        <v>-0.53153825980990832</v>
      </c>
      <c r="G161" s="1073">
        <f t="shared" si="36"/>
        <v>960.23059999999998</v>
      </c>
      <c r="H161" s="1074">
        <f t="shared" si="36"/>
        <v>2.6590660223142948E-3</v>
      </c>
      <c r="I161" s="1075">
        <f t="shared" si="36"/>
        <v>6.3820660890696566</v>
      </c>
      <c r="J161" s="1075">
        <f t="shared" si="36"/>
        <v>3.126768479322696</v>
      </c>
      <c r="K161" s="1076">
        <f t="shared" si="36"/>
        <v>4.988018554669714</v>
      </c>
      <c r="L161" s="1072">
        <f t="shared" si="36"/>
        <v>-0.2975700901517318</v>
      </c>
      <c r="M161" s="1012">
        <f t="shared" si="37"/>
        <v>3.6764587184436395</v>
      </c>
      <c r="N161" s="1078">
        <f t="shared" si="37"/>
        <v>0.95644485424869818</v>
      </c>
      <c r="O161" s="1079">
        <f t="shared" si="37"/>
        <v>5.7346309608293736E-3</v>
      </c>
      <c r="P161" s="1080">
        <f t="shared" si="37"/>
        <v>0.97265268915223335</v>
      </c>
      <c r="Q161" s="1078">
        <f t="shared" si="37"/>
        <v>0.16489915086810925</v>
      </c>
      <c r="R161" s="1079">
        <f t="shared" si="37"/>
        <v>2.0043608623878186</v>
      </c>
      <c r="S161" s="1080">
        <f t="shared" si="37"/>
        <v>0.32988338723452482</v>
      </c>
      <c r="T161" s="1078">
        <f t="shared" si="37"/>
        <v>0.27218937885351913</v>
      </c>
      <c r="U161" s="1079">
        <f t="shared" si="37"/>
        <v>1.2181747217666232</v>
      </c>
      <c r="V161" s="1080">
        <f t="shared" si="37"/>
        <v>0.4561905930983241</v>
      </c>
      <c r="W161" s="1072">
        <f t="shared" si="37"/>
        <v>0.10729022798540988</v>
      </c>
      <c r="X161" s="1072">
        <f t="shared" si="37"/>
        <v>0.65064148250965514</v>
      </c>
      <c r="Y161" s="1081" t="str">
        <f t="shared" si="37"/>
        <v>Not rated</v>
      </c>
      <c r="Z161" s="1082"/>
      <c r="AA161" s="1076">
        <f t="shared" si="34"/>
        <v>1.2440956586918632</v>
      </c>
      <c r="AB161" s="1083">
        <f t="shared" si="34"/>
        <v>0.5581122698382367</v>
      </c>
      <c r="AC161" s="1077">
        <f t="shared" si="34"/>
        <v>1.6771658832683087</v>
      </c>
      <c r="AD161" s="949"/>
      <c r="AE161" s="949"/>
      <c r="AF161" s="949"/>
      <c r="AG161" s="2129"/>
      <c r="AH161" s="949"/>
      <c r="AI161" s="949"/>
      <c r="AJ161" s="949"/>
      <c r="AK161" s="949"/>
      <c r="AL161" s="949"/>
      <c r="AM161" s="949"/>
      <c r="AN161" s="949"/>
      <c r="AO161" s="949"/>
      <c r="AP161" s="949"/>
      <c r="AQ161" s="949"/>
      <c r="AR161" s="110"/>
      <c r="AS161" s="110"/>
      <c r="AT161" s="110"/>
      <c r="AU161" s="949"/>
      <c r="AV161" s="949"/>
      <c r="AW161" s="949"/>
      <c r="AX161" s="949"/>
      <c r="AY161" s="949"/>
      <c r="AZ161" s="949"/>
      <c r="BA161" s="949"/>
      <c r="BB161" s="949"/>
      <c r="BC161" s="949"/>
      <c r="BD161" s="949"/>
      <c r="BE161" s="2267"/>
    </row>
    <row r="162" spans="1:57">
      <c r="A162" s="1090" t="s">
        <v>502</v>
      </c>
      <c r="B162" s="73" t="s">
        <v>287</v>
      </c>
      <c r="C162" s="1085">
        <f t="shared" si="36"/>
        <v>4580.8423286191064</v>
      </c>
      <c r="D162" s="1086">
        <f t="shared" si="36"/>
        <v>1.1737233504933111E-2</v>
      </c>
      <c r="E162" s="1060">
        <f t="shared" si="36"/>
        <v>-0.49577837871365099</v>
      </c>
      <c r="F162" s="1060">
        <f t="shared" si="36"/>
        <v>-0.39400279980801206</v>
      </c>
      <c r="G162" s="1061">
        <f t="shared" si="36"/>
        <v>2322.4005110115481</v>
      </c>
      <c r="H162" s="1062">
        <f t="shared" si="36"/>
        <v>6.4311804779353665E-3</v>
      </c>
      <c r="I162" s="1063">
        <f t="shared" si="36"/>
        <v>1.4234279787340207</v>
      </c>
      <c r="J162" s="1063">
        <f t="shared" si="36"/>
        <v>0.8056764866383116</v>
      </c>
      <c r="K162" s="1064">
        <f t="shared" si="36"/>
        <v>4.3531629475873661</v>
      </c>
      <c r="L162" s="1060">
        <f t="shared" si="36"/>
        <v>-8.1025400882275472E-2</v>
      </c>
      <c r="M162" s="129">
        <f t="shared" si="37"/>
        <v>3.4400754167452243</v>
      </c>
      <c r="N162" s="1060">
        <f t="shared" si="37"/>
        <v>0.42290073595624156</v>
      </c>
      <c r="O162" s="1067">
        <f t="shared" si="37"/>
        <v>-9.0086339251873371E-2</v>
      </c>
      <c r="P162" s="1068">
        <f t="shared" si="37"/>
        <v>0.44946685046944856</v>
      </c>
      <c r="Q162" s="1066">
        <f t="shared" si="37"/>
        <v>0.16307046534988884</v>
      </c>
      <c r="R162" s="1067">
        <f t="shared" si="37"/>
        <v>1.3005419282788433</v>
      </c>
      <c r="S162" s="1068">
        <f t="shared" si="37"/>
        <v>0.30950096360373897</v>
      </c>
      <c r="T162" s="1066">
        <f t="shared" si="37"/>
        <v>0.18570292678335293</v>
      </c>
      <c r="U162" s="1067">
        <f t="shared" si="37"/>
        <v>1.251733079461073</v>
      </c>
      <c r="V162" s="1068">
        <f t="shared" si="37"/>
        <v>0.34197601038246805</v>
      </c>
      <c r="W162" s="1060">
        <f t="shared" si="37"/>
        <v>2.2632461433464091E-2</v>
      </c>
      <c r="X162" s="1060">
        <f t="shared" si="37"/>
        <v>0.13878945758144007</v>
      </c>
      <c r="Y162" s="1069" t="str">
        <f t="shared" si="37"/>
        <v>BBB</v>
      </c>
      <c r="Z162" s="1070" t="str">
        <f>VLOOKUP($B162,$B$7:$AC$28,Z$37+1,FALSE)</f>
        <v>=  ¯ -</v>
      </c>
      <c r="AA162" s="1064">
        <f t="shared" si="34"/>
        <v>0.77886477042851432</v>
      </c>
      <c r="AB162" s="1071">
        <f t="shared" si="34"/>
        <v>1.0703005310133176</v>
      </c>
      <c r="AC162" s="1065">
        <f t="shared" si="34"/>
        <v>1.1762690733772538</v>
      </c>
      <c r="AD162" s="949"/>
      <c r="AE162" s="949"/>
      <c r="AF162" s="949"/>
      <c r="AG162" s="2129"/>
      <c r="AH162" s="949"/>
      <c r="AI162" s="949"/>
      <c r="AJ162" s="949"/>
      <c r="AK162" s="949"/>
      <c r="AL162" s="949"/>
      <c r="AM162" s="949"/>
      <c r="AN162" s="949"/>
      <c r="AO162" s="949"/>
      <c r="AP162" s="949"/>
      <c r="AQ162" s="949"/>
      <c r="AR162" s="110"/>
      <c r="AS162" s="110"/>
      <c r="AT162" s="110"/>
      <c r="AU162" s="949"/>
      <c r="AV162" s="949"/>
      <c r="AW162" s="949"/>
      <c r="AX162" s="949"/>
      <c r="AY162" s="949"/>
      <c r="AZ162" s="949"/>
      <c r="BA162" s="949"/>
      <c r="BB162" s="949"/>
      <c r="BC162" s="949"/>
      <c r="BD162" s="949"/>
      <c r="BE162" s="2267"/>
    </row>
    <row r="163" spans="1:57">
      <c r="A163" s="1090"/>
      <c r="B163" s="949"/>
      <c r="C163" s="949"/>
      <c r="D163" s="119"/>
      <c r="E163" s="949"/>
      <c r="F163" s="949"/>
      <c r="G163" s="949"/>
      <c r="H163" s="119"/>
      <c r="I163" s="119"/>
      <c r="J163" s="119"/>
      <c r="K163" s="949"/>
      <c r="L163" s="949"/>
      <c r="M163" s="949"/>
      <c r="N163" s="949"/>
      <c r="O163" s="949"/>
      <c r="P163" s="949"/>
      <c r="Q163" s="1005"/>
      <c r="R163" s="1005"/>
      <c r="S163" s="1005"/>
      <c r="T163" s="949"/>
      <c r="U163" s="949"/>
      <c r="V163" s="949"/>
      <c r="W163" s="1005"/>
      <c r="X163" s="1005"/>
      <c r="Y163" s="949"/>
      <c r="Z163" s="949"/>
      <c r="AA163" s="949"/>
      <c r="AB163" s="949"/>
      <c r="AC163" s="949"/>
      <c r="AD163" s="949"/>
      <c r="AE163" s="949"/>
      <c r="AF163" s="949"/>
      <c r="AG163" s="2129"/>
      <c r="AH163" s="949"/>
      <c r="AI163" s="949"/>
      <c r="AJ163" s="949"/>
      <c r="AK163" s="949"/>
      <c r="AL163" s="949"/>
      <c r="AM163" s="949"/>
      <c r="AN163" s="949"/>
      <c r="AO163" s="949"/>
      <c r="AP163" s="949"/>
      <c r="AQ163" s="949"/>
      <c r="AR163" s="110"/>
      <c r="AS163" s="110"/>
      <c r="AT163" s="110"/>
      <c r="AU163" s="949"/>
      <c r="AV163" s="949"/>
      <c r="AW163" s="949"/>
      <c r="AX163" s="949"/>
      <c r="AY163" s="949"/>
      <c r="AZ163" s="949"/>
      <c r="BA163" s="949"/>
      <c r="BB163" s="949"/>
      <c r="BC163" s="949"/>
      <c r="BD163" s="949"/>
      <c r="BE163" s="2267"/>
    </row>
    <row r="164" spans="1:57">
      <c r="A164" s="1090"/>
      <c r="B164" s="949"/>
      <c r="C164" s="949"/>
      <c r="D164" s="119"/>
      <c r="E164" s="949"/>
      <c r="F164" s="949"/>
      <c r="G164" s="949"/>
      <c r="H164" s="119"/>
      <c r="I164" s="119"/>
      <c r="J164" s="119"/>
      <c r="K164" s="949"/>
      <c r="L164" s="949"/>
      <c r="M164" s="949"/>
      <c r="N164" s="949"/>
      <c r="O164" s="949"/>
      <c r="P164" s="949"/>
      <c r="Q164" s="1005"/>
      <c r="R164" s="1005"/>
      <c r="S164" s="1005"/>
      <c r="T164" s="949"/>
      <c r="U164" s="949"/>
      <c r="V164" s="949"/>
      <c r="W164" s="1005"/>
      <c r="X164" s="1005"/>
      <c r="Y164" s="949"/>
      <c r="Z164" s="949"/>
      <c r="AA164" s="949"/>
      <c r="AB164" s="949"/>
      <c r="AC164" s="949"/>
      <c r="AD164" s="949"/>
      <c r="AE164" s="949"/>
      <c r="AF164" s="949"/>
      <c r="AG164" s="2129"/>
      <c r="AH164" s="949"/>
      <c r="AI164" s="949"/>
      <c r="AJ164" s="949"/>
      <c r="AK164" s="949"/>
      <c r="AL164" s="949"/>
      <c r="AM164" s="949"/>
      <c r="AN164" s="949"/>
      <c r="AO164" s="949"/>
      <c r="AP164" s="949"/>
      <c r="AQ164" s="949"/>
      <c r="AR164" s="110"/>
      <c r="AS164" s="110"/>
      <c r="AT164" s="110"/>
      <c r="AU164" s="949"/>
      <c r="AV164" s="949"/>
      <c r="AW164" s="949"/>
      <c r="AX164" s="949"/>
      <c r="AY164" s="949"/>
      <c r="AZ164" s="949"/>
      <c r="BA164" s="949"/>
      <c r="BB164" s="949"/>
      <c r="BC164" s="949"/>
      <c r="BD164" s="949"/>
      <c r="BE164" s="2267"/>
    </row>
    <row r="165" spans="1:57">
      <c r="A165" s="3315" t="s">
        <v>1189</v>
      </c>
      <c r="B165" s="1286" t="s">
        <v>1012</v>
      </c>
      <c r="C165" s="1005"/>
      <c r="D165" s="119"/>
      <c r="E165" s="1005"/>
      <c r="F165" s="1005"/>
      <c r="G165" s="1005"/>
      <c r="H165" s="119"/>
      <c r="I165" s="119"/>
      <c r="J165" s="119"/>
      <c r="K165" s="1005"/>
      <c r="L165" s="1005"/>
      <c r="M165" s="1005"/>
      <c r="N165" s="1005"/>
      <c r="O165" s="1005"/>
      <c r="P165" s="1005"/>
      <c r="Q165" s="1005"/>
      <c r="R165" s="1005"/>
      <c r="S165" s="1005"/>
      <c r="T165" s="1005"/>
      <c r="U165" s="1005"/>
      <c r="V165" s="1005"/>
      <c r="W165" s="1005"/>
      <c r="X165" s="1005"/>
      <c r="Y165" s="1005"/>
      <c r="Z165" s="1005"/>
      <c r="AA165" s="1005"/>
      <c r="AB165" s="1005"/>
      <c r="AC165" s="1005"/>
      <c r="AD165" s="949"/>
      <c r="AE165" s="949"/>
      <c r="AF165" s="949"/>
      <c r="AG165" s="2129"/>
      <c r="AH165" s="949"/>
      <c r="AI165" s="949"/>
      <c r="AJ165" s="949"/>
      <c r="AK165" s="949"/>
      <c r="AL165" s="949"/>
      <c r="AM165" s="949"/>
      <c r="AN165" s="949"/>
      <c r="AO165" s="949"/>
      <c r="AP165" s="949"/>
      <c r="AQ165" s="949"/>
      <c r="AR165" s="110"/>
      <c r="AS165" s="110"/>
      <c r="AT165" s="110"/>
      <c r="AU165" s="949"/>
      <c r="AV165" s="949"/>
      <c r="AW165" s="949"/>
      <c r="AX165" s="949"/>
      <c r="AY165" s="949"/>
      <c r="AZ165" s="949"/>
      <c r="BA165" s="949"/>
      <c r="BB165" s="949"/>
      <c r="BC165" s="949"/>
      <c r="BD165" s="949"/>
      <c r="BE165" s="2267"/>
    </row>
    <row r="166" spans="1:57">
      <c r="A166" s="1091" t="s">
        <v>319</v>
      </c>
      <c r="B166" s="691" t="s">
        <v>751</v>
      </c>
      <c r="C166" s="1087">
        <f t="shared" ref="C166:L175" si="39">VLOOKUP($B166,$B$7:$AC$28,C$37+1,FALSE)</f>
        <v>2121.4584571428572</v>
      </c>
      <c r="D166" s="1088">
        <f t="shared" si="39"/>
        <v>5.4356931534045982E-3</v>
      </c>
      <c r="E166" s="1072">
        <f t="shared" si="39"/>
        <v>-0.63331383871554725</v>
      </c>
      <c r="F166" s="1072">
        <f t="shared" si="39"/>
        <v>-0.53153825980990832</v>
      </c>
      <c r="G166" s="1073">
        <f t="shared" si="39"/>
        <v>960.23059999999998</v>
      </c>
      <c r="H166" s="1074">
        <f t="shared" si="39"/>
        <v>2.6590660223142948E-3</v>
      </c>
      <c r="I166" s="1075">
        <f t="shared" si="39"/>
        <v>6.3820660890696566</v>
      </c>
      <c r="J166" s="1075">
        <f t="shared" si="39"/>
        <v>3.126768479322696</v>
      </c>
      <c r="K166" s="1076">
        <f t="shared" si="39"/>
        <v>4.988018554669714</v>
      </c>
      <c r="L166" s="1072">
        <f t="shared" si="39"/>
        <v>-0.2975700901517318</v>
      </c>
      <c r="M166" s="1077">
        <f t="shared" ref="M166:Y175" si="40">VLOOKUP($B166,$B$7:$AC$28,M$37+1,FALSE)</f>
        <v>3.6764587184436395</v>
      </c>
      <c r="N166" s="1013">
        <f t="shared" si="40"/>
        <v>0.95644485424869818</v>
      </c>
      <c r="O166" s="1079">
        <f t="shared" si="40"/>
        <v>5.7346309608293736E-3</v>
      </c>
      <c r="P166" s="1080">
        <f t="shared" si="40"/>
        <v>0.97265268915223335</v>
      </c>
      <c r="Q166" s="1078">
        <f t="shared" si="40"/>
        <v>0.16489915086810925</v>
      </c>
      <c r="R166" s="1079">
        <f t="shared" si="40"/>
        <v>2.0043608623878186</v>
      </c>
      <c r="S166" s="1080">
        <f t="shared" si="40"/>
        <v>0.32988338723452482</v>
      </c>
      <c r="T166" s="1078">
        <f t="shared" si="40"/>
        <v>0.27218937885351913</v>
      </c>
      <c r="U166" s="1079">
        <f t="shared" si="40"/>
        <v>1.2181747217666232</v>
      </c>
      <c r="V166" s="1080">
        <f t="shared" si="40"/>
        <v>0.4561905930983241</v>
      </c>
      <c r="W166" s="1072">
        <f t="shared" si="40"/>
        <v>0.10729022798540988</v>
      </c>
      <c r="X166" s="1072">
        <f t="shared" si="40"/>
        <v>0.65064148250965514</v>
      </c>
      <c r="Y166" s="1081" t="str">
        <f t="shared" si="40"/>
        <v>Not rated</v>
      </c>
      <c r="Z166" s="1082"/>
      <c r="AA166" s="1076">
        <f t="shared" ref="AA166:AC187" si="41">VLOOKUP($B166,$B$7:$AC$28,AA$37+1,FALSE)</f>
        <v>1.2440956586918632</v>
      </c>
      <c r="AB166" s="1083">
        <f t="shared" si="41"/>
        <v>0.5581122698382367</v>
      </c>
      <c r="AC166" s="1077">
        <f t="shared" si="41"/>
        <v>1.6771658832683087</v>
      </c>
      <c r="AD166" s="949"/>
      <c r="AE166" s="949"/>
      <c r="AF166" s="949"/>
      <c r="AG166" s="2129"/>
      <c r="AH166" s="949"/>
      <c r="AI166" s="949"/>
      <c r="AJ166" s="949"/>
      <c r="AK166" s="949"/>
      <c r="AL166" s="949"/>
      <c r="AM166" s="949"/>
      <c r="AN166" s="949"/>
      <c r="AO166" s="949"/>
      <c r="AP166" s="949"/>
      <c r="AQ166" s="949"/>
      <c r="AR166" s="110"/>
      <c r="AS166" s="110"/>
      <c r="AT166" s="110"/>
      <c r="AU166" s="949"/>
      <c r="AV166" s="949"/>
      <c r="AW166" s="949"/>
      <c r="AX166" s="949"/>
      <c r="AY166" s="949"/>
      <c r="AZ166" s="949"/>
      <c r="BA166" s="949"/>
      <c r="BB166" s="949"/>
      <c r="BC166" s="949"/>
      <c r="BD166" s="949"/>
      <c r="BE166" s="2267"/>
    </row>
    <row r="167" spans="1:57">
      <c r="A167" s="1090" t="s">
        <v>32</v>
      </c>
      <c r="B167" s="73" t="s">
        <v>277</v>
      </c>
      <c r="C167" s="1085">
        <f t="shared" si="39"/>
        <v>103061.53572524291</v>
      </c>
      <c r="D167" s="1086">
        <f t="shared" si="39"/>
        <v>0.26406875054982143</v>
      </c>
      <c r="E167" s="1060">
        <f t="shared" si="39"/>
        <v>7.5306160052783275E-2</v>
      </c>
      <c r="F167" s="1060">
        <f t="shared" si="39"/>
        <v>0.17708173895842222</v>
      </c>
      <c r="G167" s="1061">
        <f t="shared" si="39"/>
        <v>106720.85775234729</v>
      </c>
      <c r="H167" s="1062">
        <f t="shared" si="39"/>
        <v>0.29553089301830604</v>
      </c>
      <c r="I167" s="1063">
        <f t="shared" si="39"/>
        <v>1.0837821931217524</v>
      </c>
      <c r="J167" s="1063">
        <f t="shared" si="39"/>
        <v>1.259272460269286</v>
      </c>
      <c r="K167" s="1064">
        <f t="shared" si="39"/>
        <v>7.534246564629953</v>
      </c>
      <c r="L167" s="1060">
        <f t="shared" si="39"/>
        <v>0.12910548637067604</v>
      </c>
      <c r="M167" s="1065">
        <f t="shared" si="40"/>
        <v>8.6584668441025876</v>
      </c>
      <c r="N167" s="103">
        <f t="shared" si="40"/>
        <v>0.91487499999999988</v>
      </c>
      <c r="O167" s="1067">
        <f t="shared" si="40"/>
        <v>-4.3736501079913587E-2</v>
      </c>
      <c r="P167" s="1068">
        <f t="shared" si="40"/>
        <v>0.89481420237931208</v>
      </c>
      <c r="Q167" s="1066">
        <f t="shared" si="40"/>
        <v>0.24509229252810941</v>
      </c>
      <c r="R167" s="1067">
        <f t="shared" si="40"/>
        <v>-0.16501821733667812</v>
      </c>
      <c r="S167" s="1068">
        <f t="shared" si="40"/>
        <v>0.23828807339295358</v>
      </c>
      <c r="T167" s="1066">
        <f t="shared" si="40"/>
        <v>0.27870192226407053</v>
      </c>
      <c r="U167" s="1067">
        <f t="shared" si="40"/>
        <v>-0.14309331637647091</v>
      </c>
      <c r="V167" s="1068">
        <f t="shared" si="40"/>
        <v>0.2718321660431175</v>
      </c>
      <c r="W167" s="1060">
        <f t="shared" si="40"/>
        <v>3.3609629735961127E-2</v>
      </c>
      <c r="X167" s="1060">
        <f t="shared" si="40"/>
        <v>0.13713050455108242</v>
      </c>
      <c r="Y167" s="1069" t="str">
        <f t="shared" si="40"/>
        <v>A-</v>
      </c>
      <c r="Z167" s="1070" t="str">
        <f>VLOOKUP($B167,$B$7:$AC$28,Z$37+1,FALSE)</f>
        <v>=  =  =</v>
      </c>
      <c r="AA167" s="1064">
        <f t="shared" si="41"/>
        <v>2.0880314655341889</v>
      </c>
      <c r="AB167" s="1071">
        <f t="shared" si="41"/>
        <v>-3.7762767487534328E-2</v>
      </c>
      <c r="AC167" s="1065">
        <f t="shared" si="41"/>
        <v>2.3348198024327131</v>
      </c>
      <c r="AD167" s="949"/>
      <c r="AE167" s="949"/>
      <c r="AF167" s="949"/>
      <c r="AG167" s="2129"/>
      <c r="AH167" s="949"/>
      <c r="AI167" s="949"/>
      <c r="AJ167" s="949"/>
      <c r="AK167" s="949"/>
      <c r="AL167" s="949"/>
      <c r="AM167" s="949"/>
      <c r="AN167" s="949"/>
      <c r="AO167" s="949"/>
      <c r="AP167" s="949"/>
      <c r="AQ167" s="949"/>
      <c r="AR167" s="110"/>
      <c r="AS167" s="110"/>
      <c r="AT167" s="110"/>
      <c r="AU167" s="949"/>
      <c r="AV167" s="949"/>
      <c r="AW167" s="949"/>
      <c r="AX167" s="949"/>
      <c r="AY167" s="949"/>
      <c r="AZ167" s="949"/>
      <c r="BA167" s="949"/>
      <c r="BB167" s="949"/>
      <c r="BC167" s="949"/>
      <c r="BD167" s="949"/>
      <c r="BE167" s="2267"/>
    </row>
    <row r="168" spans="1:57">
      <c r="A168" s="1090" t="s">
        <v>27</v>
      </c>
      <c r="B168" s="73" t="s">
        <v>353</v>
      </c>
      <c r="C168" s="1085">
        <f t="shared" si="39"/>
        <v>504.56125714285719</v>
      </c>
      <c r="D168" s="1086">
        <f t="shared" si="39"/>
        <v>1.292808804099037E-3</v>
      </c>
      <c r="E168" s="1060">
        <f t="shared" si="39"/>
        <v>0.11241291049139049</v>
      </c>
      <c r="F168" s="1060">
        <f t="shared" si="39"/>
        <v>0.21418848939702945</v>
      </c>
      <c r="G168" s="1061">
        <f t="shared" si="39"/>
        <v>562.64409999999998</v>
      </c>
      <c r="H168" s="1062">
        <f t="shared" si="39"/>
        <v>1.5580713726115437E-3</v>
      </c>
      <c r="I168" s="1063">
        <f t="shared" si="39"/>
        <v>0.48825120153947199</v>
      </c>
      <c r="J168" s="1063">
        <f t="shared" si="39"/>
        <v>0.52140126030951717</v>
      </c>
      <c r="K168" s="1064">
        <f t="shared" si="39"/>
        <v>4.0370208841188875</v>
      </c>
      <c r="L168" s="1060">
        <f t="shared" si="39"/>
        <v>-0.11001004882442665</v>
      </c>
      <c r="M168" s="1065">
        <f t="shared" si="40"/>
        <v>3.9063069179772585</v>
      </c>
      <c r="N168" s="103">
        <f t="shared" si="40"/>
        <v>0.90539538726018864</v>
      </c>
      <c r="O168" s="1067">
        <f t="shared" si="40"/>
        <v>-4.1189056985539901E-2</v>
      </c>
      <c r="P168" s="1068">
        <f t="shared" si="40"/>
        <v>0.90138346931536006</v>
      </c>
      <c r="Q168" s="1066">
        <f t="shared" si="40"/>
        <v>0.38160323267486906</v>
      </c>
      <c r="R168" s="1067">
        <f t="shared" si="40"/>
        <v>0.13281779457810056</v>
      </c>
      <c r="S168" s="1068">
        <f t="shared" si="40"/>
        <v>0.39444904186551905</v>
      </c>
      <c r="T168" s="1066">
        <f t="shared" si="40"/>
        <v>0.47841518539184064</v>
      </c>
      <c r="U168" s="1067">
        <f t="shared" si="40"/>
        <v>1.1717685634717274E-2</v>
      </c>
      <c r="V168" s="1068">
        <f t="shared" si="40"/>
        <v>0.46507375880431212</v>
      </c>
      <c r="W168" s="1060">
        <f t="shared" si="40"/>
        <v>9.6811952716971572E-2</v>
      </c>
      <c r="X168" s="1060">
        <f t="shared" si="40"/>
        <v>0.25369793656715856</v>
      </c>
      <c r="Y168" s="1069" t="str">
        <f t="shared" si="40"/>
        <v>Not rated</v>
      </c>
      <c r="Z168" s="1070"/>
      <c r="AA168" s="1064">
        <f t="shared" si="41"/>
        <v>1.832329792526622</v>
      </c>
      <c r="AB168" s="1071">
        <f t="shared" si="41"/>
        <v>-9.9442962217240083E-2</v>
      </c>
      <c r="AC168" s="1065">
        <f t="shared" si="41"/>
        <v>1.8160302149559577</v>
      </c>
      <c r="AD168" s="949"/>
      <c r="AE168" s="949"/>
      <c r="AF168" s="949"/>
      <c r="AG168" s="2129"/>
      <c r="AH168" s="949"/>
      <c r="AI168" s="949"/>
      <c r="AJ168" s="949"/>
      <c r="AK168" s="949"/>
      <c r="AL168" s="949"/>
      <c r="AM168" s="949"/>
      <c r="AN168" s="949"/>
      <c r="AO168" s="949"/>
      <c r="AP168" s="949"/>
      <c r="AQ168" s="949"/>
      <c r="AR168" s="110"/>
      <c r="AS168" s="110"/>
      <c r="AT168" s="110"/>
      <c r="AU168" s="949"/>
      <c r="AV168" s="949"/>
      <c r="AW168" s="949"/>
      <c r="AX168" s="949"/>
      <c r="AY168" s="949"/>
      <c r="AZ168" s="949"/>
      <c r="BA168" s="949"/>
      <c r="BB168" s="949"/>
      <c r="BC168" s="949"/>
      <c r="BD168" s="949"/>
      <c r="BE168" s="2267"/>
    </row>
    <row r="169" spans="1:57">
      <c r="A169" s="1090" t="s">
        <v>500</v>
      </c>
      <c r="B169" s="73" t="s">
        <v>279</v>
      </c>
      <c r="C169" s="1085">
        <f t="shared" si="39"/>
        <v>20617.292984255655</v>
      </c>
      <c r="D169" s="1086">
        <f t="shared" si="39"/>
        <v>5.2826525044090682E-2</v>
      </c>
      <c r="E169" s="1060">
        <f t="shared" si="39"/>
        <v>0.37985561177970401</v>
      </c>
      <c r="F169" s="1060">
        <f t="shared" si="39"/>
        <v>0.48163119068534294</v>
      </c>
      <c r="G169" s="1061">
        <f t="shared" si="39"/>
        <v>23766.623796323693</v>
      </c>
      <c r="H169" s="1062">
        <f t="shared" si="39"/>
        <v>6.5814421871090864E-2</v>
      </c>
      <c r="I169" s="1063">
        <f t="shared" si="39"/>
        <v>1.8990159277875758</v>
      </c>
      <c r="J169" s="1063">
        <f t="shared" si="39"/>
        <v>2.509154465418888</v>
      </c>
      <c r="K169" s="1064">
        <f t="shared" si="39"/>
        <v>5.7229254321128114</v>
      </c>
      <c r="L169" s="1060">
        <f t="shared" si="39"/>
        <v>4.5724350121793801E-2</v>
      </c>
      <c r="M169" s="1065">
        <f t="shared" si="40"/>
        <v>6.1939465303838475</v>
      </c>
      <c r="N169" s="103">
        <f t="shared" si="40"/>
        <v>0.7344324868237998</v>
      </c>
      <c r="O169" s="1067">
        <f t="shared" si="40"/>
        <v>0.10784712869930438</v>
      </c>
      <c r="P169" s="1068">
        <f t="shared" si="40"/>
        <v>0.74956908795771016</v>
      </c>
      <c r="Q169" s="1066">
        <f t="shared" si="40"/>
        <v>0.14726898954609682</v>
      </c>
      <c r="R169" s="1067">
        <f t="shared" si="40"/>
        <v>4.9939774449528171E-2</v>
      </c>
      <c r="S169" s="1068">
        <f t="shared" si="40"/>
        <v>0.17272839211728983</v>
      </c>
      <c r="T169" s="1066">
        <f t="shared" si="40"/>
        <v>0.18443136241749356</v>
      </c>
      <c r="U169" s="1067">
        <f t="shared" si="40"/>
        <v>-5.7258906752796622E-2</v>
      </c>
      <c r="V169" s="1068">
        <f t="shared" si="40"/>
        <v>0.198117589718218</v>
      </c>
      <c r="W169" s="1060">
        <f t="shared" si="40"/>
        <v>3.7162372871396732E-2</v>
      </c>
      <c r="X169" s="1060">
        <f t="shared" si="40"/>
        <v>0.25234350412762557</v>
      </c>
      <c r="Y169" s="1069" t="str">
        <f t="shared" si="40"/>
        <v>A-</v>
      </c>
      <c r="Z169" s="1070" t="str">
        <f>VLOOKUP($B169,$B$7:$AC$28,Z$37+1,FALSE)</f>
        <v>=  =  -</v>
      </c>
      <c r="AA169" s="1064">
        <f t="shared" si="41"/>
        <v>1.0395975936863313</v>
      </c>
      <c r="AB169" s="1071">
        <f t="shared" si="41"/>
        <v>2.9438923535487854E-2</v>
      </c>
      <c r="AC169" s="1065">
        <f t="shared" si="41"/>
        <v>1.2087727199953455</v>
      </c>
      <c r="AD169" s="949"/>
      <c r="AE169" s="949"/>
      <c r="AF169" s="949"/>
      <c r="AG169" s="2129"/>
      <c r="AH169" s="949"/>
      <c r="AI169" s="949"/>
      <c r="AJ169" s="949"/>
      <c r="AK169" s="949"/>
      <c r="AL169" s="949"/>
      <c r="AM169" s="949"/>
      <c r="AN169" s="949"/>
      <c r="AO169" s="949"/>
      <c r="AP169" s="949"/>
      <c r="AQ169" s="949"/>
      <c r="AR169" s="110"/>
      <c r="AS169" s="110"/>
      <c r="AT169" s="110"/>
      <c r="AU169" s="949"/>
      <c r="AV169" s="949"/>
      <c r="AW169" s="949"/>
      <c r="AX169" s="949"/>
      <c r="AY169" s="949"/>
      <c r="AZ169" s="949"/>
      <c r="BA169" s="949"/>
      <c r="BB169" s="949"/>
      <c r="BC169" s="949"/>
      <c r="BD169" s="949"/>
      <c r="BE169" s="2267"/>
    </row>
    <row r="170" spans="1:57">
      <c r="A170" s="1090" t="s">
        <v>503</v>
      </c>
      <c r="B170" s="73" t="s">
        <v>282</v>
      </c>
      <c r="C170" s="1085">
        <f t="shared" si="39"/>
        <v>22949.481858519866</v>
      </c>
      <c r="D170" s="1086">
        <f t="shared" si="39"/>
        <v>5.8802160840116385E-2</v>
      </c>
      <c r="E170" s="1060">
        <f t="shared" si="39"/>
        <v>-8.3288171902550459E-2</v>
      </c>
      <c r="F170" s="1060">
        <f t="shared" si="39"/>
        <v>1.8487407003088485E-2</v>
      </c>
      <c r="G170" s="1061">
        <f t="shared" si="39"/>
        <v>21731.57918967646</v>
      </c>
      <c r="H170" s="1062">
        <f t="shared" si="39"/>
        <v>6.0178986000343146E-2</v>
      </c>
      <c r="I170" s="1063">
        <f t="shared" si="39"/>
        <v>1.7647070716020126</v>
      </c>
      <c r="J170" s="1063">
        <f t="shared" si="39"/>
        <v>1.7786623686113903</v>
      </c>
      <c r="K170" s="1064">
        <f t="shared" si="39"/>
        <v>7.5628972253366413</v>
      </c>
      <c r="L170" s="1060">
        <f t="shared" si="39"/>
        <v>2.1076957712408067E-2</v>
      </c>
      <c r="M170" s="1065">
        <f t="shared" si="40"/>
        <v>7.6896404016441506</v>
      </c>
      <c r="N170" s="103">
        <f t="shared" si="40"/>
        <v>0.67984865616162071</v>
      </c>
      <c r="O170" s="1067">
        <f t="shared" si="40"/>
        <v>0.13956056160252914</v>
      </c>
      <c r="P170" s="1068">
        <f t="shared" si="40"/>
        <v>0.7167630057803468</v>
      </c>
      <c r="Q170" s="1066">
        <f t="shared" si="40"/>
        <v>0.23215418017261674</v>
      </c>
      <c r="R170" s="1067">
        <f t="shared" si="40"/>
        <v>0.36187217108516367</v>
      </c>
      <c r="S170" s="1068">
        <f t="shared" si="40"/>
        <v>0.26525179681706468</v>
      </c>
      <c r="T170" s="1066">
        <f t="shared" si="40"/>
        <v>0.2501311526811702</v>
      </c>
      <c r="U170" s="1067">
        <f t="shared" si="40"/>
        <v>0.31916438327965047</v>
      </c>
      <c r="V170" s="1068">
        <f t="shared" si="40"/>
        <v>0.28287599661626001</v>
      </c>
      <c r="W170" s="1060">
        <f t="shared" si="40"/>
        <v>1.7976972508553457E-2</v>
      </c>
      <c r="X170" s="1060">
        <f t="shared" si="40"/>
        <v>7.7435489187344358E-2</v>
      </c>
      <c r="Y170" s="1069" t="str">
        <f t="shared" si="40"/>
        <v>A-</v>
      </c>
      <c r="Z170" s="1070" t="str">
        <f>VLOOKUP($B170,$B$7:$AC$28,Z$37+1,FALSE)</f>
        <v>=  =  =</v>
      </c>
      <c r="AA170" s="1064">
        <f t="shared" si="41"/>
        <v>1.845874038975184</v>
      </c>
      <c r="AB170" s="1071">
        <f t="shared" si="41"/>
        <v>0.36079457239176377</v>
      </c>
      <c r="AC170" s="1065">
        <f t="shared" si="41"/>
        <v>2.1424428051274771</v>
      </c>
      <c r="AD170" s="949"/>
      <c r="AE170" s="949"/>
      <c r="AF170" s="949"/>
      <c r="AG170" s="2129"/>
      <c r="AH170" s="949"/>
      <c r="AI170" s="949"/>
      <c r="AJ170" s="949"/>
      <c r="AK170" s="949"/>
      <c r="AL170" s="949"/>
      <c r="AM170" s="949"/>
      <c r="AN170" s="949"/>
      <c r="AO170" s="949"/>
      <c r="AP170" s="949"/>
      <c r="AQ170" s="949"/>
      <c r="AR170" s="110"/>
      <c r="AS170" s="110"/>
      <c r="AT170" s="110"/>
      <c r="AU170" s="949"/>
      <c r="AV170" s="949"/>
      <c r="AW170" s="949"/>
      <c r="AX170" s="949"/>
      <c r="AY170" s="949"/>
      <c r="AZ170" s="949"/>
      <c r="BA170" s="949"/>
      <c r="BB170" s="949"/>
      <c r="BC170" s="949"/>
      <c r="BD170" s="949"/>
      <c r="BE170" s="2267"/>
    </row>
    <row r="171" spans="1:57">
      <c r="A171" s="1090" t="s">
        <v>503</v>
      </c>
      <c r="B171" s="73" t="s">
        <v>280</v>
      </c>
      <c r="C171" s="1085">
        <f t="shared" si="39"/>
        <v>5769.8566757446433</v>
      </c>
      <c r="D171" s="1086">
        <f t="shared" si="39"/>
        <v>1.4783777793466828E-2</v>
      </c>
      <c r="E171" s="1060">
        <f t="shared" si="39"/>
        <v>-0.24705029723080094</v>
      </c>
      <c r="F171" s="1060">
        <f t="shared" si="39"/>
        <v>-0.14527471832516198</v>
      </c>
      <c r="G171" s="1061">
        <f t="shared" si="39"/>
        <v>4026.3480952657014</v>
      </c>
      <c r="H171" s="1062">
        <f t="shared" si="39"/>
        <v>1.1149744044952231E-2</v>
      </c>
      <c r="I171" s="1063">
        <f t="shared" si="39"/>
        <v>2.446298838298576</v>
      </c>
      <c r="J171" s="1063">
        <f t="shared" si="39"/>
        <v>1.6476276710656086</v>
      </c>
      <c r="K171" s="1064">
        <f t="shared" si="39"/>
        <v>6.5589809256196414</v>
      </c>
      <c r="L171" s="1060">
        <f t="shared" si="39"/>
        <v>1.2127469272410992E-3</v>
      </c>
      <c r="M171" s="1065">
        <f t="shared" si="40"/>
        <v>5.5145354419406587</v>
      </c>
      <c r="N171" s="103">
        <f t="shared" si="40"/>
        <v>0.67083419702973635</v>
      </c>
      <c r="O171" s="1067">
        <f t="shared" si="40"/>
        <v>-0.11335389957676706</v>
      </c>
      <c r="P171" s="1068">
        <f t="shared" si="40"/>
        <v>0.63639387890884902</v>
      </c>
      <c r="Q171" s="1066">
        <f t="shared" si="40"/>
        <v>0.1536920907726812</v>
      </c>
      <c r="R171" s="1067">
        <f t="shared" si="40"/>
        <v>1.6283818604559013</v>
      </c>
      <c r="S171" s="1068">
        <f t="shared" si="40"/>
        <v>0.2022242346359609</v>
      </c>
      <c r="T171" s="1066">
        <f t="shared" si="40"/>
        <v>0.20961441125119315</v>
      </c>
      <c r="U171" s="1067">
        <f t="shared" si="40"/>
        <v>0.84200521424561081</v>
      </c>
      <c r="V171" s="1068">
        <f t="shared" si="40"/>
        <v>0.28147528322389997</v>
      </c>
      <c r="W171" s="1060">
        <f t="shared" si="40"/>
        <v>5.592232047851195E-2</v>
      </c>
      <c r="X171" s="1060">
        <f t="shared" si="40"/>
        <v>0.36385945559959909</v>
      </c>
      <c r="Y171" s="1069" t="str">
        <f t="shared" si="40"/>
        <v>Not rated</v>
      </c>
      <c r="Z171" s="1070"/>
      <c r="AA171" s="1064">
        <f t="shared" si="41"/>
        <v>1.4399592566697517</v>
      </c>
      <c r="AB171" s="1071">
        <f t="shared" si="41"/>
        <v>0.8442860967329926</v>
      </c>
      <c r="AC171" s="1065">
        <f t="shared" si="41"/>
        <v>1.5521418473212367</v>
      </c>
      <c r="AD171" s="949"/>
      <c r="AE171" s="949"/>
      <c r="AF171" s="949"/>
      <c r="AG171" s="2129"/>
      <c r="AH171" s="949"/>
      <c r="AI171" s="949"/>
      <c r="AJ171" s="949"/>
      <c r="AK171" s="949"/>
      <c r="AL171" s="949"/>
      <c r="AM171" s="949"/>
      <c r="AN171" s="949"/>
      <c r="AO171" s="949"/>
      <c r="AP171" s="949"/>
      <c r="AQ171" s="949"/>
      <c r="AR171" s="110"/>
      <c r="AS171" s="110"/>
      <c r="AT171" s="110"/>
      <c r="AU171" s="949"/>
      <c r="AV171" s="949"/>
      <c r="AW171" s="949"/>
      <c r="AX171" s="949"/>
      <c r="AY171" s="949"/>
      <c r="AZ171" s="949"/>
      <c r="BA171" s="949"/>
      <c r="BB171" s="949"/>
      <c r="BC171" s="949"/>
      <c r="BD171" s="949"/>
      <c r="BE171" s="2267"/>
    </row>
    <row r="172" spans="1:57">
      <c r="A172" s="1090" t="s">
        <v>73</v>
      </c>
      <c r="B172" s="73" t="s">
        <v>283</v>
      </c>
      <c r="C172" s="1085">
        <f t="shared" si="39"/>
        <v>2461.5190857142857</v>
      </c>
      <c r="D172" s="1086">
        <f t="shared" si="39"/>
        <v>6.3070112903421734E-3</v>
      </c>
      <c r="E172" s="1060">
        <f t="shared" si="39"/>
        <v>6.738754525599433E-2</v>
      </c>
      <c r="F172" s="1060">
        <f t="shared" si="39"/>
        <v>0.16916312416163326</v>
      </c>
      <c r="G172" s="1061">
        <f t="shared" si="39"/>
        <v>2364.3629999999998</v>
      </c>
      <c r="H172" s="1062">
        <f t="shared" si="39"/>
        <v>6.5473828033777437E-3</v>
      </c>
      <c r="I172" s="1063">
        <f t="shared" si="39"/>
        <v>3.1397518024733277</v>
      </c>
      <c r="J172" s="1063">
        <f t="shared" si="39"/>
        <v>3.0995844257996854</v>
      </c>
      <c r="K172" s="1064">
        <f t="shared" si="39"/>
        <v>6.6917014692746157</v>
      </c>
      <c r="L172" s="1060">
        <f t="shared" si="39"/>
        <v>0.14721542174528052</v>
      </c>
      <c r="M172" s="1065">
        <f t="shared" si="40"/>
        <v>7.0127743881429545</v>
      </c>
      <c r="N172" s="103">
        <f t="shared" si="40"/>
        <v>0.62657499999999999</v>
      </c>
      <c r="O172" s="1067">
        <f t="shared" si="40"/>
        <v>5.5614710459497153E-2</v>
      </c>
      <c r="P172" s="1068">
        <f t="shared" si="40"/>
        <v>0.64439999999999997</v>
      </c>
      <c r="Q172" s="1066">
        <f t="shared" si="40"/>
        <v>0.24190098439360719</v>
      </c>
      <c r="R172" s="1067">
        <f t="shared" si="40"/>
        <v>0.20667512064869559</v>
      </c>
      <c r="S172" s="1068">
        <f t="shared" si="40"/>
        <v>0.30597960586046052</v>
      </c>
      <c r="T172" s="1066">
        <f t="shared" si="40"/>
        <v>0.2616424852780464</v>
      </c>
      <c r="U172" s="1067">
        <f t="shared" si="40"/>
        <v>0.20296552626351777</v>
      </c>
      <c r="V172" s="1068">
        <f t="shared" si="40"/>
        <v>0.32061814749302248</v>
      </c>
      <c r="W172" s="1060">
        <f t="shared" si="40"/>
        <v>1.9741500884439211E-2</v>
      </c>
      <c r="X172" s="1060">
        <f t="shared" si="40"/>
        <v>8.1609841042717679E-2</v>
      </c>
      <c r="Y172" s="1069" t="str">
        <f t="shared" si="40"/>
        <v>BBB</v>
      </c>
      <c r="Z172" s="1070" t="str">
        <f t="shared" ref="Z172:Z184" si="42">VLOOKUP($B172,$B$7:$AC$28,Z$37+1,FALSE)</f>
        <v>=  =  -</v>
      </c>
      <c r="AA172" s="1064">
        <f t="shared" si="41"/>
        <v>1.7511002028712532</v>
      </c>
      <c r="AB172" s="1071">
        <f t="shared" si="41"/>
        <v>0.37093258903528414</v>
      </c>
      <c r="AC172" s="1065">
        <f t="shared" si="41"/>
        <v>2.2311132077757287</v>
      </c>
      <c r="AD172" s="949"/>
      <c r="AE172" s="949"/>
      <c r="AF172" s="949"/>
      <c r="AG172" s="2129"/>
      <c r="AH172" s="949"/>
      <c r="AI172" s="949"/>
      <c r="AJ172" s="949"/>
      <c r="AK172" s="949"/>
      <c r="AL172" s="949"/>
      <c r="AM172" s="949"/>
      <c r="AN172" s="949"/>
      <c r="AO172" s="949"/>
      <c r="AP172" s="949"/>
      <c r="AQ172" s="949"/>
      <c r="AR172" s="110"/>
      <c r="AS172" s="110"/>
      <c r="AT172" s="110"/>
      <c r="AU172" s="949"/>
      <c r="AV172" s="949"/>
      <c r="AW172" s="949"/>
      <c r="AX172" s="949"/>
      <c r="AY172" s="949"/>
      <c r="AZ172" s="949"/>
      <c r="BA172" s="949"/>
      <c r="BB172" s="949"/>
      <c r="BC172" s="949"/>
      <c r="BD172" s="949"/>
      <c r="BE172" s="2267"/>
    </row>
    <row r="173" spans="1:57">
      <c r="A173" s="1090" t="s">
        <v>217</v>
      </c>
      <c r="B173" s="73" t="s">
        <v>53</v>
      </c>
      <c r="C173" s="1085">
        <f t="shared" si="39"/>
        <v>60036.853628571422</v>
      </c>
      <c r="D173" s="1086">
        <f t="shared" si="39"/>
        <v>0.15382903828354536</v>
      </c>
      <c r="E173" s="1060">
        <f t="shared" si="39"/>
        <v>-0.3618479655094986</v>
      </c>
      <c r="F173" s="1060">
        <f t="shared" si="39"/>
        <v>-0.26007238660385967</v>
      </c>
      <c r="G173" s="1061">
        <f t="shared" si="39"/>
        <v>44430.485000000001</v>
      </c>
      <c r="H173" s="1062">
        <f t="shared" si="39"/>
        <v>0.1230366882897139</v>
      </c>
      <c r="I173" s="1063">
        <f t="shared" si="39"/>
        <v>2.2644833808097031</v>
      </c>
      <c r="J173" s="1063">
        <f t="shared" si="39"/>
        <v>1.7716210773954304</v>
      </c>
      <c r="K173" s="1064">
        <f t="shared" si="39"/>
        <v>5.7304428558288603</v>
      </c>
      <c r="L173" s="1060">
        <f t="shared" si="39"/>
        <v>-7.3155042359885195E-2</v>
      </c>
      <c r="M173" s="1065">
        <f t="shared" si="40"/>
        <v>5.1937231412225326</v>
      </c>
      <c r="N173" s="103">
        <f t="shared" si="40"/>
        <v>0.6158872479982318</v>
      </c>
      <c r="O173" s="1067">
        <f t="shared" si="40"/>
        <v>0.11044311863454735</v>
      </c>
      <c r="P173" s="1068">
        <f t="shared" si="40"/>
        <v>0.66127040038880336</v>
      </c>
      <c r="Q173" s="1066">
        <f t="shared" si="40"/>
        <v>0.48384306036910518</v>
      </c>
      <c r="R173" s="1067">
        <f t="shared" si="40"/>
        <v>0.2595878527386451</v>
      </c>
      <c r="S173" s="1068">
        <f t="shared" si="40"/>
        <v>0.54381370963962039</v>
      </c>
      <c r="T173" s="1066">
        <f t="shared" si="40"/>
        <v>0.51513010935716153</v>
      </c>
      <c r="U173" s="1067">
        <f t="shared" si="40"/>
        <v>0.26130995158024306</v>
      </c>
      <c r="V173" s="1068">
        <f t="shared" si="40"/>
        <v>0.57929804018594233</v>
      </c>
      <c r="W173" s="1060">
        <f t="shared" si="40"/>
        <v>3.1287048988056343E-2</v>
      </c>
      <c r="X173" s="1060">
        <f t="shared" si="40"/>
        <v>6.4663630732222685E-2</v>
      </c>
      <c r="Y173" s="1069" t="str">
        <f t="shared" si="40"/>
        <v>BBB</v>
      </c>
      <c r="Z173" s="1070" t="str">
        <f t="shared" si="42"/>
        <v>¯  ¯ ¯</v>
      </c>
      <c r="AA173" s="1064">
        <f t="shared" si="41"/>
        <v>2.7929780820851775</v>
      </c>
      <c r="AB173" s="1071">
        <f t="shared" si="41"/>
        <v>0.12404595260605845</v>
      </c>
      <c r="AC173" s="1065">
        <f t="shared" si="41"/>
        <v>2.8353348809740444</v>
      </c>
      <c r="AD173" s="949"/>
      <c r="AE173" s="949"/>
      <c r="AF173" s="949"/>
      <c r="AG173" s="2129"/>
      <c r="AH173" s="949"/>
      <c r="AI173" s="949"/>
      <c r="AJ173" s="949"/>
      <c r="AK173" s="949"/>
      <c r="AL173" s="949"/>
      <c r="AM173" s="949"/>
      <c r="AN173" s="949"/>
      <c r="AO173" s="949"/>
      <c r="AP173" s="949"/>
      <c r="AQ173" s="949"/>
      <c r="AR173" s="110"/>
      <c r="AS173" s="110"/>
      <c r="AT173" s="110"/>
      <c r="AU173" s="949"/>
      <c r="AV173" s="949"/>
      <c r="AW173" s="949"/>
      <c r="AX173" s="949"/>
      <c r="AY173" s="949"/>
      <c r="AZ173" s="949"/>
      <c r="BA173" s="949"/>
      <c r="BB173" s="949"/>
      <c r="BC173" s="949"/>
      <c r="BD173" s="949"/>
      <c r="BE173" s="2267"/>
    </row>
    <row r="174" spans="1:57">
      <c r="A174" s="1090" t="s">
        <v>498</v>
      </c>
      <c r="B174" s="73" t="s">
        <v>52</v>
      </c>
      <c r="C174" s="1085">
        <f t="shared" si="39"/>
        <v>40464.923042857146</v>
      </c>
      <c r="D174" s="1086">
        <f t="shared" si="39"/>
        <v>0.1036809862557167</v>
      </c>
      <c r="E174" s="1060">
        <f t="shared" si="39"/>
        <v>-6.1458653761923776E-2</v>
      </c>
      <c r="F174" s="1060">
        <f t="shared" si="39"/>
        <v>4.0316925143715168E-2</v>
      </c>
      <c r="G174" s="1061">
        <f t="shared" si="39"/>
        <v>39791.94</v>
      </c>
      <c r="H174" s="1062">
        <f t="shared" si="39"/>
        <v>0.1101916514803518</v>
      </c>
      <c r="I174" s="1063">
        <f t="shared" si="39"/>
        <v>1.0840589348936991</v>
      </c>
      <c r="J174" s="1063">
        <f t="shared" si="39"/>
        <v>1.2733420800000002</v>
      </c>
      <c r="K174" s="1064">
        <f t="shared" si="39"/>
        <v>4.9157277486128619</v>
      </c>
      <c r="L174" s="1060">
        <f t="shared" si="39"/>
        <v>0.1448238320606966</v>
      </c>
      <c r="M174" s="1065">
        <f t="shared" si="40"/>
        <v>5.2964626193065953</v>
      </c>
      <c r="N174" s="103">
        <f t="shared" si="40"/>
        <v>0.61</v>
      </c>
      <c r="O174" s="1067">
        <f t="shared" si="40"/>
        <v>0</v>
      </c>
      <c r="P174" s="1068">
        <f t="shared" si="40"/>
        <v>0.62983042679437373</v>
      </c>
      <c r="Q174" s="1066">
        <f t="shared" si="40"/>
        <v>0.51528895508035288</v>
      </c>
      <c r="R174" s="1067">
        <f t="shared" si="40"/>
        <v>-2.4931247740904369E-2</v>
      </c>
      <c r="S174" s="1068">
        <f t="shared" si="40"/>
        <v>0.51939744871548044</v>
      </c>
      <c r="T174" s="1066">
        <f t="shared" si="40"/>
        <v>0.58808850315066874</v>
      </c>
      <c r="U174" s="1067">
        <f t="shared" si="40"/>
        <v>-2.8226553900756759E-2</v>
      </c>
      <c r="V174" s="1068">
        <f t="shared" si="40"/>
        <v>0.59074959904524027</v>
      </c>
      <c r="W174" s="1060">
        <f t="shared" si="40"/>
        <v>7.2799548070315856E-2</v>
      </c>
      <c r="X174" s="1060">
        <f t="shared" si="40"/>
        <v>0.14127907721011346</v>
      </c>
      <c r="Y174" s="1069" t="str">
        <f t="shared" si="40"/>
        <v>BBB+</v>
      </c>
      <c r="Z174" s="1070" t="str">
        <f t="shared" si="42"/>
        <v>=  =  =</v>
      </c>
      <c r="AA174" s="1064">
        <f t="shared" si="41"/>
        <v>2.7906818261625395</v>
      </c>
      <c r="AB174" s="1071">
        <f t="shared" si="41"/>
        <v>8.5841806528642844E-2</v>
      </c>
      <c r="AC174" s="1065">
        <f t="shared" si="41"/>
        <v>2.9178287645268703</v>
      </c>
      <c r="AD174" s="949"/>
      <c r="AE174" s="949"/>
      <c r="AF174" s="949"/>
      <c r="AG174" s="2129"/>
      <c r="AH174" s="949"/>
      <c r="AI174" s="949"/>
      <c r="AJ174" s="949"/>
      <c r="AK174" s="949"/>
      <c r="AL174" s="949"/>
      <c r="AM174" s="949"/>
      <c r="AN174" s="949"/>
      <c r="AO174" s="949"/>
      <c r="AP174" s="949"/>
      <c r="AQ174" s="949"/>
      <c r="AR174" s="110"/>
      <c r="AS174" s="110"/>
      <c r="AT174" s="110"/>
      <c r="AU174" s="949"/>
      <c r="AV174" s="949"/>
      <c r="AW174" s="949"/>
      <c r="AX174" s="949"/>
      <c r="AY174" s="949"/>
      <c r="AZ174" s="949"/>
      <c r="BA174" s="949"/>
      <c r="BB174" s="949"/>
      <c r="BC174" s="949"/>
      <c r="BD174" s="949"/>
      <c r="BE174" s="2267"/>
    </row>
    <row r="175" spans="1:57">
      <c r="A175" s="1090" t="s">
        <v>385</v>
      </c>
      <c r="B175" s="73" t="s">
        <v>276</v>
      </c>
      <c r="C175" s="1085">
        <f t="shared" si="39"/>
        <v>3544.0522571428578</v>
      </c>
      <c r="D175" s="1086">
        <f t="shared" si="39"/>
        <v>9.0807248780183369E-3</v>
      </c>
      <c r="E175" s="1060">
        <f t="shared" si="39"/>
        <v>-0.4675424361384804</v>
      </c>
      <c r="F175" s="1060">
        <f t="shared" si="39"/>
        <v>-0.36576685723284147</v>
      </c>
      <c r="G175" s="1061">
        <f t="shared" si="39"/>
        <v>2152.6311000000001</v>
      </c>
      <c r="H175" s="1062">
        <f t="shared" si="39"/>
        <v>5.9610558303255963E-3</v>
      </c>
      <c r="I175" s="1063">
        <f t="shared" si="39"/>
        <v>3.4941691326062152</v>
      </c>
      <c r="J175" s="1063">
        <f t="shared" si="39"/>
        <v>2.2961398399999999</v>
      </c>
      <c r="K175" s="1064">
        <f t="shared" si="39"/>
        <v>4.4246190982470868</v>
      </c>
      <c r="L175" s="1060">
        <f t="shared" si="39"/>
        <v>-2.9835823683801648E-2</v>
      </c>
      <c r="M175" s="1065">
        <f t="shared" si="40"/>
        <v>4.0530525032062261</v>
      </c>
      <c r="N175" s="103">
        <f t="shared" si="40"/>
        <v>0.60910298289809772</v>
      </c>
      <c r="O175" s="1067">
        <f t="shared" si="40"/>
        <v>-5.2071170724915891E-2</v>
      </c>
      <c r="P175" s="1068">
        <f t="shared" si="40"/>
        <v>0.6207941242005639</v>
      </c>
      <c r="Q175" s="1066">
        <f t="shared" si="40"/>
        <v>0.49050145598877937</v>
      </c>
      <c r="R175" s="1067">
        <f t="shared" si="40"/>
        <v>0.42102559519407173</v>
      </c>
      <c r="S175" s="1068">
        <f t="shared" si="40"/>
        <v>0.61744816018521742</v>
      </c>
      <c r="T175" s="1066">
        <f t="shared" si="40"/>
        <v>0.49698573886957192</v>
      </c>
      <c r="U175" s="1067">
        <f t="shared" si="40"/>
        <v>0.41032171167013903</v>
      </c>
      <c r="V175" s="1068">
        <f t="shared" si="40"/>
        <v>0.62319136029119382</v>
      </c>
      <c r="W175" s="1060">
        <f t="shared" si="40"/>
        <v>6.4842828807925579E-3</v>
      </c>
      <c r="X175" s="1060">
        <f t="shared" si="40"/>
        <v>1.3219701596443154E-2</v>
      </c>
      <c r="Y175" s="1069" t="str">
        <f t="shared" si="40"/>
        <v>BBB</v>
      </c>
      <c r="Z175" s="1070" t="str">
        <f t="shared" si="42"/>
        <v>=  ¯ -</v>
      </c>
      <c r="AA175" s="1064">
        <f t="shared" si="41"/>
        <v>2.1902281092407181</v>
      </c>
      <c r="AB175" s="1071">
        <f t="shared" si="41"/>
        <v>0.36844726500440206</v>
      </c>
      <c r="AC175" s="1065">
        <f t="shared" si="41"/>
        <v>2.5252968522290931</v>
      </c>
      <c r="AD175" s="949"/>
      <c r="AE175" s="949"/>
      <c r="AF175" s="949"/>
      <c r="AG175" s="2129"/>
      <c r="AH175" s="949"/>
      <c r="AI175" s="949"/>
      <c r="AJ175" s="949"/>
      <c r="AK175" s="949"/>
      <c r="AL175" s="949"/>
      <c r="AM175" s="949"/>
      <c r="AN175" s="949"/>
      <c r="AO175" s="949"/>
      <c r="AP175" s="949"/>
      <c r="AQ175" s="949"/>
      <c r="AR175" s="110"/>
      <c r="AS175" s="110"/>
      <c r="AT175" s="110"/>
      <c r="AU175" s="949"/>
      <c r="AV175" s="949"/>
      <c r="AW175" s="949"/>
      <c r="AX175" s="949"/>
      <c r="AY175" s="949"/>
      <c r="AZ175" s="949"/>
      <c r="BA175" s="949"/>
      <c r="BB175" s="949"/>
      <c r="BC175" s="949"/>
      <c r="BD175" s="949"/>
      <c r="BE175" s="2267"/>
    </row>
    <row r="176" spans="1:57">
      <c r="A176" s="1090" t="s">
        <v>19</v>
      </c>
      <c r="B176" s="150" t="s">
        <v>286</v>
      </c>
      <c r="C176" s="1085">
        <f t="shared" ref="C176:L187" si="43">VLOOKUP($B176,$B$7:$AC$28,C$37+1,FALSE)</f>
        <v>31174.883771428573</v>
      </c>
      <c r="D176" s="1086">
        <f t="shared" si="43"/>
        <v>7.9877643469276421E-2</v>
      </c>
      <c r="E176" s="1060">
        <f t="shared" si="43"/>
        <v>-0.49416922878378883</v>
      </c>
      <c r="F176" s="1060">
        <f t="shared" si="43"/>
        <v>-0.3923936498781499</v>
      </c>
      <c r="G176" s="1061">
        <f t="shared" si="43"/>
        <v>19124.593099999998</v>
      </c>
      <c r="H176" s="1062">
        <f t="shared" si="43"/>
        <v>5.2959732488004868E-2</v>
      </c>
      <c r="I176" s="1063">
        <f t="shared" si="43"/>
        <v>1.0546425468926217</v>
      </c>
      <c r="J176" s="1063">
        <f t="shared" si="43"/>
        <v>0.72989058468819168</v>
      </c>
      <c r="K176" s="1064">
        <f t="shared" si="43"/>
        <v>4.913128503955539</v>
      </c>
      <c r="L176" s="1060">
        <f t="shared" si="43"/>
        <v>-0.19812930900653591</v>
      </c>
      <c r="M176" s="1065">
        <f t="shared" ref="M176:Y187" si="44">VLOOKUP($B176,$B$7:$AC$28,M$37+1,FALSE)</f>
        <v>4.438539176760524</v>
      </c>
      <c r="N176" s="103">
        <f t="shared" si="44"/>
        <v>0.60741568747204655</v>
      </c>
      <c r="O176" s="1067">
        <f t="shared" si="44"/>
        <v>4.0950219141690898E-2</v>
      </c>
      <c r="P176" s="1068">
        <f t="shared" si="44"/>
        <v>0.62738172243152124</v>
      </c>
      <c r="Q176" s="1066">
        <f t="shared" si="44"/>
        <v>0.50834561454306215</v>
      </c>
      <c r="R176" s="1067">
        <f t="shared" si="44"/>
        <v>0.27477182203191691</v>
      </c>
      <c r="S176" s="1068">
        <f t="shared" si="44"/>
        <v>0.61196382356206247</v>
      </c>
      <c r="T176" s="1066">
        <f t="shared" si="44"/>
        <v>0.54898628094174651</v>
      </c>
      <c r="U176" s="1067">
        <f t="shared" si="44"/>
        <v>0.26756473067663017</v>
      </c>
      <c r="V176" s="1068">
        <f t="shared" si="44"/>
        <v>0.65530118542007598</v>
      </c>
      <c r="W176" s="1060">
        <f t="shared" si="44"/>
        <v>4.0640666398684355E-2</v>
      </c>
      <c r="X176" s="1060">
        <f t="shared" si="44"/>
        <v>7.9946920433679999E-2</v>
      </c>
      <c r="Y176" s="1069" t="str">
        <f t="shared" si="44"/>
        <v>BBB+</v>
      </c>
      <c r="Z176" s="1070" t="str">
        <f t="shared" si="42"/>
        <v>=  ¯ ¯</v>
      </c>
      <c r="AA176" s="1064">
        <f t="shared" si="41"/>
        <v>2.5321561588471506</v>
      </c>
      <c r="AB176" s="1071">
        <f t="shared" si="41"/>
        <v>1.3257606300410854E-2</v>
      </c>
      <c r="AC176" s="1065">
        <f t="shared" si="41"/>
        <v>2.8138910595815916</v>
      </c>
      <c r="AD176" s="949"/>
      <c r="AE176" s="949"/>
      <c r="AF176" s="949"/>
      <c r="AG176" s="2129"/>
      <c r="AH176" s="949"/>
      <c r="AI176" s="949"/>
      <c r="AJ176" s="949"/>
      <c r="AK176" s="949"/>
      <c r="AL176" s="949"/>
      <c r="AM176" s="949"/>
      <c r="AN176" s="949"/>
      <c r="AO176" s="949"/>
      <c r="AP176" s="949"/>
      <c r="AQ176" s="949"/>
      <c r="AR176" s="110"/>
      <c r="AS176" s="110"/>
      <c r="AT176" s="110"/>
      <c r="AU176" s="949"/>
      <c r="AV176" s="949"/>
      <c r="AW176" s="949"/>
      <c r="AX176" s="949"/>
      <c r="AY176" s="949"/>
      <c r="AZ176" s="949"/>
      <c r="BA176" s="949"/>
      <c r="BB176" s="949"/>
      <c r="BC176" s="949"/>
      <c r="BD176" s="949"/>
      <c r="BE176" s="2267"/>
    </row>
    <row r="177" spans="1:57">
      <c r="A177" s="1090" t="s">
        <v>501</v>
      </c>
      <c r="B177" s="73" t="s">
        <v>44</v>
      </c>
      <c r="C177" s="1085">
        <f t="shared" si="43"/>
        <v>12234.494271428572</v>
      </c>
      <c r="D177" s="1086">
        <f t="shared" si="43"/>
        <v>3.1347753486597643E-2</v>
      </c>
      <c r="E177" s="1060">
        <f t="shared" si="43"/>
        <v>-0.59766521701552</v>
      </c>
      <c r="F177" s="1060">
        <f t="shared" si="43"/>
        <v>-0.49588963810988107</v>
      </c>
      <c r="G177" s="1061">
        <f t="shared" si="43"/>
        <v>6819.5967000000001</v>
      </c>
      <c r="H177" s="1062">
        <f t="shared" si="43"/>
        <v>1.8884794830384175E-2</v>
      </c>
      <c r="I177" s="1063">
        <f t="shared" si="43"/>
        <v>3.9295455833111754</v>
      </c>
      <c r="J177" s="1063">
        <f t="shared" si="43"/>
        <v>1.2175677021960365</v>
      </c>
      <c r="K177" s="1064">
        <f t="shared" si="43"/>
        <v>5.0345645887817243</v>
      </c>
      <c r="L177" s="1060">
        <f t="shared" si="43"/>
        <v>-0.26680842971581226</v>
      </c>
      <c r="M177" s="1065">
        <f t="shared" si="44"/>
        <v>4.0325018858098245</v>
      </c>
      <c r="N177" s="103">
        <f t="shared" si="44"/>
        <v>0.5805147103617575</v>
      </c>
      <c r="O177" s="1067">
        <f t="shared" si="44"/>
        <v>8.4948466413752491E-2</v>
      </c>
      <c r="P177" s="1068">
        <f t="shared" si="44"/>
        <v>0.6264024463118032</v>
      </c>
      <c r="Q177" s="1066">
        <f t="shared" si="44"/>
        <v>0.51826084585195908</v>
      </c>
      <c r="R177" s="1067">
        <f t="shared" si="44"/>
        <v>0.40005999871326348</v>
      </c>
      <c r="S177" s="1068">
        <f t="shared" si="44"/>
        <v>0.58973938770950263</v>
      </c>
      <c r="T177" s="1066">
        <f t="shared" si="44"/>
        <v>0.5495689942142129</v>
      </c>
      <c r="U177" s="1067">
        <f t="shared" si="44"/>
        <v>0.40637993517884302</v>
      </c>
      <c r="V177" s="1068">
        <f t="shared" si="44"/>
        <v>0.63323863537070213</v>
      </c>
      <c r="W177" s="1060">
        <f t="shared" si="44"/>
        <v>3.1308148362253818E-2</v>
      </c>
      <c r="X177" s="1060">
        <f t="shared" si="44"/>
        <v>6.0410020577161203E-2</v>
      </c>
      <c r="Y177" s="1069" t="str">
        <f t="shared" si="44"/>
        <v>BBB-</v>
      </c>
      <c r="Z177" s="1070" t="str">
        <f t="shared" si="42"/>
        <v>=  ¯ =</v>
      </c>
      <c r="AA177" s="1064">
        <f t="shared" si="41"/>
        <v>2.643581803383519</v>
      </c>
      <c r="AB177" s="1071">
        <f t="shared" si="41"/>
        <v>2.8580691559688957E-2</v>
      </c>
      <c r="AC177" s="1065">
        <f t="shared" si="41"/>
        <v>2.5466878830879209</v>
      </c>
      <c r="AD177" s="949"/>
      <c r="AE177" s="949"/>
      <c r="AF177" s="949"/>
      <c r="AG177" s="2129"/>
      <c r="AH177" s="949"/>
      <c r="AI177" s="949"/>
      <c r="AJ177" s="949"/>
      <c r="AK177" s="949"/>
      <c r="AL177" s="949"/>
      <c r="AM177" s="949"/>
      <c r="AN177" s="949"/>
      <c r="AO177" s="949"/>
      <c r="AP177" s="949"/>
      <c r="AQ177" s="949"/>
      <c r="AR177" s="110"/>
      <c r="AS177" s="110"/>
      <c r="AT177" s="110"/>
      <c r="AU177" s="949"/>
      <c r="AV177" s="949"/>
      <c r="AW177" s="949"/>
      <c r="AX177" s="949"/>
      <c r="AY177" s="949"/>
      <c r="AZ177" s="949"/>
      <c r="BA177" s="949"/>
      <c r="BB177" s="949"/>
      <c r="BC177" s="949"/>
      <c r="BD177" s="949"/>
      <c r="BE177" s="2267"/>
    </row>
    <row r="178" spans="1:57">
      <c r="A178" s="1090" t="s">
        <v>374</v>
      </c>
      <c r="B178" s="73" t="s">
        <v>42</v>
      </c>
      <c r="C178" s="1085">
        <f t="shared" si="43"/>
        <v>2432.5463571428577</v>
      </c>
      <c r="D178" s="1086">
        <f t="shared" si="43"/>
        <v>6.2327761047315808E-3</v>
      </c>
      <c r="E178" s="1060">
        <f t="shared" si="43"/>
        <v>-3.2258071946582277E-2</v>
      </c>
      <c r="F178" s="1060">
        <f t="shared" si="43"/>
        <v>6.9517506959056674E-2</v>
      </c>
      <c r="G178" s="1061">
        <f t="shared" si="43"/>
        <v>2940.9023000000002</v>
      </c>
      <c r="H178" s="1062">
        <f t="shared" si="43"/>
        <v>8.143932697912316E-3</v>
      </c>
      <c r="I178" s="1063">
        <f t="shared" si="43"/>
        <v>1.2689619717468461</v>
      </c>
      <c r="J178" s="1063">
        <f t="shared" si="43"/>
        <v>1.312316956715752</v>
      </c>
      <c r="K178" s="1064">
        <f t="shared" si="43"/>
        <v>3.8459062845563983</v>
      </c>
      <c r="L178" s="1060">
        <f t="shared" si="43"/>
        <v>3.4291324439135469E-2</v>
      </c>
      <c r="M178" s="1065">
        <f t="shared" si="44"/>
        <v>3.7439277362047823</v>
      </c>
      <c r="N178" s="103">
        <f t="shared" si="44"/>
        <v>0.56323171407839789</v>
      </c>
      <c r="O178" s="1067">
        <f t="shared" si="44"/>
        <v>-0.12023286586287618</v>
      </c>
      <c r="P178" s="1068">
        <f t="shared" si="44"/>
        <v>0.53987730061349704</v>
      </c>
      <c r="Q178" s="1066">
        <f t="shared" si="44"/>
        <v>0.60887331285954671</v>
      </c>
      <c r="R178" s="1067">
        <f t="shared" si="44"/>
        <v>-0.37303497156800469</v>
      </c>
      <c r="S178" s="1068">
        <f t="shared" si="44"/>
        <v>0.37659759063604481</v>
      </c>
      <c r="T178" s="1066">
        <f t="shared" si="44"/>
        <v>0.63388271448107447</v>
      </c>
      <c r="U178" s="1067">
        <f t="shared" si="44"/>
        <v>-0.25869992498286548</v>
      </c>
      <c r="V178" s="1068">
        <f t="shared" si="44"/>
        <v>0.44527495080222473</v>
      </c>
      <c r="W178" s="1060">
        <f t="shared" si="44"/>
        <v>2.500940162152776E-2</v>
      </c>
      <c r="X178" s="1060">
        <f t="shared" si="44"/>
        <v>4.1074885519406669E-2</v>
      </c>
      <c r="Y178" s="1069" t="str">
        <f t="shared" si="44"/>
        <v>B-</v>
      </c>
      <c r="Z178" s="1070" t="str">
        <f t="shared" si="42"/>
        <v>=  =  -</v>
      </c>
      <c r="AA178" s="1064">
        <f t="shared" si="41"/>
        <v>2.172629043332774</v>
      </c>
      <c r="AB178" s="1071">
        <f t="shared" si="41"/>
        <v>-0.22035736928264804</v>
      </c>
      <c r="AC178" s="1065">
        <f t="shared" si="41"/>
        <v>1.5517268924243866</v>
      </c>
      <c r="AD178" s="949"/>
      <c r="AE178" s="949"/>
      <c r="AF178" s="949"/>
      <c r="AG178" s="2129"/>
      <c r="AH178" s="949"/>
      <c r="AI178" s="949"/>
      <c r="AJ178" s="949"/>
      <c r="AK178" s="949"/>
      <c r="AL178" s="949"/>
      <c r="AM178" s="949"/>
      <c r="AN178" s="949"/>
      <c r="AO178" s="949"/>
      <c r="AP178" s="949"/>
      <c r="AQ178" s="949"/>
      <c r="AR178" s="110"/>
      <c r="AS178" s="110"/>
      <c r="AT178" s="110"/>
      <c r="AU178" s="949"/>
      <c r="AV178" s="949"/>
      <c r="AW178" s="949"/>
      <c r="AX178" s="949"/>
      <c r="AY178" s="949"/>
      <c r="AZ178" s="949"/>
      <c r="BA178" s="949"/>
      <c r="BB178" s="949"/>
      <c r="BC178" s="949"/>
      <c r="BD178" s="949"/>
      <c r="BE178" s="2267"/>
    </row>
    <row r="179" spans="1:57">
      <c r="A179" s="1090" t="s">
        <v>27</v>
      </c>
      <c r="B179" s="73" t="s">
        <v>54</v>
      </c>
      <c r="C179" s="1085">
        <f t="shared" si="43"/>
        <v>4745.1447857142857</v>
      </c>
      <c r="D179" s="1086">
        <f t="shared" si="43"/>
        <v>1.2158216408516635E-2</v>
      </c>
      <c r="E179" s="1060">
        <f t="shared" si="43"/>
        <v>-0.63447330491761056</v>
      </c>
      <c r="F179" s="1060">
        <f t="shared" si="43"/>
        <v>-0.53269772601197163</v>
      </c>
      <c r="G179" s="1061">
        <f t="shared" si="43"/>
        <v>2680.5724</v>
      </c>
      <c r="H179" s="1062">
        <f t="shared" si="43"/>
        <v>7.4230283738025878E-3</v>
      </c>
      <c r="I179" s="1063">
        <f t="shared" si="43"/>
        <v>1.3569881249181368</v>
      </c>
      <c r="J179" s="1063">
        <f t="shared" si="43"/>
        <v>1.0332545966156574</v>
      </c>
      <c r="K179" s="1064">
        <f t="shared" si="43"/>
        <v>6.3422811159545107</v>
      </c>
      <c r="L179" s="1060">
        <f t="shared" si="43"/>
        <v>-0.24924595564935845</v>
      </c>
      <c r="M179" s="1065">
        <f t="shared" si="44"/>
        <v>5.3369406950798908</v>
      </c>
      <c r="N179" s="103">
        <f t="shared" si="44"/>
        <v>0.48460704112825509</v>
      </c>
      <c r="O179" s="1067">
        <f t="shared" si="44"/>
        <v>-0.18079580514885477</v>
      </c>
      <c r="P179" s="1068">
        <f t="shared" si="44"/>
        <v>0.49497857034449522</v>
      </c>
      <c r="Q179" s="1066">
        <f t="shared" si="44"/>
        <v>0.56717095077467305</v>
      </c>
      <c r="R179" s="1067">
        <f t="shared" si="44"/>
        <v>0.64731222518720821</v>
      </c>
      <c r="S179" s="1068">
        <f t="shared" si="44"/>
        <v>0.74754623070756221</v>
      </c>
      <c r="T179" s="1066">
        <f t="shared" si="44"/>
        <v>0.5748403529709204</v>
      </c>
      <c r="U179" s="1067">
        <f t="shared" si="44"/>
        <v>0.5906099669472562</v>
      </c>
      <c r="V179" s="1068">
        <f t="shared" si="44"/>
        <v>0.7506672643344422</v>
      </c>
      <c r="W179" s="1060">
        <f t="shared" si="44"/>
        <v>7.6694021962473435E-3</v>
      </c>
      <c r="X179" s="1060">
        <f t="shared" si="44"/>
        <v>1.3522205581530675E-2</v>
      </c>
      <c r="Y179" s="1069" t="str">
        <f t="shared" si="44"/>
        <v>BBB-</v>
      </c>
      <c r="Z179" s="1070" t="str">
        <f t="shared" si="42"/>
        <v>¯  ¯ ¯</v>
      </c>
      <c r="AA179" s="1064">
        <f t="shared" si="41"/>
        <v>3.4278891827637503</v>
      </c>
      <c r="AB179" s="1071">
        <f t="shared" si="41"/>
        <v>0.24423537898737996</v>
      </c>
      <c r="AC179" s="1065">
        <f t="shared" si="41"/>
        <v>3.8230610288109381</v>
      </c>
      <c r="AD179" s="949"/>
      <c r="AE179" s="949"/>
      <c r="AF179" s="949"/>
      <c r="AG179" s="2129"/>
      <c r="AH179" s="949"/>
      <c r="AI179" s="949"/>
      <c r="AJ179" s="949"/>
      <c r="AK179" s="949"/>
      <c r="AL179" s="949"/>
      <c r="AM179" s="949"/>
      <c r="AN179" s="949"/>
      <c r="AO179" s="949"/>
      <c r="AP179" s="949"/>
      <c r="AQ179" s="949"/>
      <c r="AR179" s="110"/>
      <c r="AS179" s="110"/>
      <c r="AT179" s="110"/>
      <c r="AU179" s="949"/>
      <c r="AV179" s="949"/>
      <c r="AW179" s="949"/>
      <c r="AX179" s="949"/>
      <c r="AY179" s="949"/>
      <c r="AZ179" s="949"/>
      <c r="BA179" s="949"/>
      <c r="BB179" s="949"/>
      <c r="BC179" s="949"/>
      <c r="BD179" s="949"/>
      <c r="BE179" s="2267"/>
    </row>
    <row r="180" spans="1:57">
      <c r="A180" s="1090" t="s">
        <v>502</v>
      </c>
      <c r="B180" s="73" t="s">
        <v>287</v>
      </c>
      <c r="C180" s="1085">
        <f t="shared" si="43"/>
        <v>4580.8423286191064</v>
      </c>
      <c r="D180" s="1086">
        <f t="shared" si="43"/>
        <v>1.1737233504933111E-2</v>
      </c>
      <c r="E180" s="1060">
        <f t="shared" si="43"/>
        <v>-0.49577837871365099</v>
      </c>
      <c r="F180" s="1060">
        <f t="shared" si="43"/>
        <v>-0.39400279980801206</v>
      </c>
      <c r="G180" s="1061">
        <f t="shared" si="43"/>
        <v>2322.4005110115481</v>
      </c>
      <c r="H180" s="1062">
        <f t="shared" si="43"/>
        <v>6.4311804779353665E-3</v>
      </c>
      <c r="I180" s="1063">
        <f t="shared" si="43"/>
        <v>1.4234279787340207</v>
      </c>
      <c r="J180" s="1063">
        <f t="shared" si="43"/>
        <v>0.8056764866383116</v>
      </c>
      <c r="K180" s="1064">
        <f t="shared" si="43"/>
        <v>4.3531629475873661</v>
      </c>
      <c r="L180" s="1060">
        <f t="shared" si="43"/>
        <v>-8.1025400882275472E-2</v>
      </c>
      <c r="M180" s="1065">
        <f t="shared" si="44"/>
        <v>3.4400754167452243</v>
      </c>
      <c r="N180" s="103">
        <f t="shared" si="44"/>
        <v>0.42290073595624156</v>
      </c>
      <c r="O180" s="1067">
        <f t="shared" si="44"/>
        <v>-9.0086339251873371E-2</v>
      </c>
      <c r="P180" s="1068">
        <f t="shared" si="44"/>
        <v>0.44946685046944856</v>
      </c>
      <c r="Q180" s="1066">
        <f t="shared" si="44"/>
        <v>0.16307046534988884</v>
      </c>
      <c r="R180" s="1067">
        <f t="shared" si="44"/>
        <v>1.3005419282788433</v>
      </c>
      <c r="S180" s="1068">
        <f t="shared" si="44"/>
        <v>0.30950096360373897</v>
      </c>
      <c r="T180" s="1066">
        <f t="shared" si="44"/>
        <v>0.18570292678335293</v>
      </c>
      <c r="U180" s="1067">
        <f t="shared" si="44"/>
        <v>1.251733079461073</v>
      </c>
      <c r="V180" s="1068">
        <f t="shared" si="44"/>
        <v>0.34197601038246805</v>
      </c>
      <c r="W180" s="1060">
        <f t="shared" si="44"/>
        <v>2.2632461433464091E-2</v>
      </c>
      <c r="X180" s="1060">
        <f t="shared" si="44"/>
        <v>0.13878945758144007</v>
      </c>
      <c r="Y180" s="1069" t="str">
        <f t="shared" si="44"/>
        <v>BBB</v>
      </c>
      <c r="Z180" s="1070" t="str">
        <f t="shared" si="42"/>
        <v>=  ¯ -</v>
      </c>
      <c r="AA180" s="1064">
        <f t="shared" si="41"/>
        <v>0.77886477042851432</v>
      </c>
      <c r="AB180" s="1071">
        <f t="shared" si="41"/>
        <v>1.0703005310133176</v>
      </c>
      <c r="AC180" s="1065">
        <f t="shared" si="41"/>
        <v>1.1762690733772538</v>
      </c>
      <c r="AD180" s="949"/>
      <c r="AE180" s="949"/>
      <c r="AF180" s="949"/>
      <c r="AG180" s="2129"/>
      <c r="AH180" s="949"/>
      <c r="AI180" s="949"/>
      <c r="AJ180" s="949"/>
      <c r="AK180" s="949"/>
      <c r="AL180" s="949"/>
      <c r="AM180" s="949"/>
      <c r="AN180" s="949"/>
      <c r="AO180" s="949"/>
      <c r="AP180" s="949"/>
      <c r="AQ180" s="949"/>
      <c r="AR180" s="110"/>
      <c r="AS180" s="110"/>
      <c r="AT180" s="110"/>
      <c r="AU180" s="949"/>
      <c r="AV180" s="949"/>
      <c r="AW180" s="949"/>
      <c r="AX180" s="949"/>
      <c r="AY180" s="949"/>
      <c r="AZ180" s="949"/>
      <c r="BA180" s="949"/>
      <c r="BB180" s="949"/>
      <c r="BC180" s="949"/>
      <c r="BD180" s="949"/>
      <c r="BE180" s="2267"/>
    </row>
    <row r="181" spans="1:57">
      <c r="A181" s="1091" t="s">
        <v>319</v>
      </c>
      <c r="B181" s="691" t="s">
        <v>750</v>
      </c>
      <c r="C181" s="1087">
        <f t="shared" si="43"/>
        <v>7616.907214285714</v>
      </c>
      <c r="D181" s="1088">
        <f t="shared" si="43"/>
        <v>1.9516371039653539E-2</v>
      </c>
      <c r="E181" s="1072">
        <f t="shared" si="43"/>
        <v>-0.33365525120929096</v>
      </c>
      <c r="F181" s="1072">
        <f t="shared" si="43"/>
        <v>-0.23187967230365203</v>
      </c>
      <c r="G181" s="1073">
        <f t="shared" si="43"/>
        <v>5825.8631999999998</v>
      </c>
      <c r="H181" s="1074">
        <f t="shared" si="43"/>
        <v>1.6132952736323161E-2</v>
      </c>
      <c r="I181" s="1075">
        <f t="shared" si="43"/>
        <v>2.4107651340270966</v>
      </c>
      <c r="J181" s="1075">
        <f t="shared" si="43"/>
        <v>2.0327505931612002</v>
      </c>
      <c r="K181" s="1076">
        <f t="shared" si="43"/>
        <v>4.7469851722287064</v>
      </c>
      <c r="L181" s="1072">
        <f t="shared" si="43"/>
        <v>0.1951757211867983</v>
      </c>
      <c r="M181" s="1077">
        <f t="shared" si="44"/>
        <v>4.6619962755533297</v>
      </c>
      <c r="N181" s="1013">
        <f t="shared" si="44"/>
        <v>0.37158673775730477</v>
      </c>
      <c r="O181" s="1079">
        <f t="shared" si="44"/>
        <v>-0.1153634304384116</v>
      </c>
      <c r="P181" s="1080">
        <f t="shared" si="44"/>
        <v>0.36037883142173305</v>
      </c>
      <c r="Q181" s="1078">
        <f t="shared" si="44"/>
        <v>0.17383796150947908</v>
      </c>
      <c r="R181" s="1079">
        <f t="shared" si="44"/>
        <v>0.54445307336528614</v>
      </c>
      <c r="S181" s="1080">
        <f t="shared" si="44"/>
        <v>0.26356163003804695</v>
      </c>
      <c r="T181" s="1078">
        <f t="shared" si="44"/>
        <v>0.19702478682132593</v>
      </c>
      <c r="U181" s="1079">
        <f t="shared" si="44"/>
        <v>0.50034734616182497</v>
      </c>
      <c r="V181" s="1080">
        <f t="shared" si="44"/>
        <v>0.28756363720088318</v>
      </c>
      <c r="W181" s="1072">
        <f t="shared" si="44"/>
        <v>2.3186825311846848E-2</v>
      </c>
      <c r="X181" s="1072">
        <f t="shared" si="44"/>
        <v>0.13338182932260462</v>
      </c>
      <c r="Y181" s="1081" t="str">
        <f t="shared" si="44"/>
        <v>A</v>
      </c>
      <c r="Z181" s="1082" t="str">
        <f t="shared" si="42"/>
        <v>=  =  -</v>
      </c>
      <c r="AA181" s="1076">
        <f t="shared" si="41"/>
        <v>0.93248540191552354</v>
      </c>
      <c r="AB181" s="1083">
        <f t="shared" si="41"/>
        <v>0.78949919521054279</v>
      </c>
      <c r="AC181" s="1077">
        <f t="shared" si="41"/>
        <v>1.3109622071604587</v>
      </c>
      <c r="AD181" s="949"/>
      <c r="AE181" s="949"/>
      <c r="AF181" s="949"/>
      <c r="AG181" s="2129"/>
      <c r="AH181" s="949"/>
      <c r="AI181" s="949"/>
      <c r="AJ181" s="949"/>
      <c r="AK181" s="949"/>
      <c r="AL181" s="949"/>
      <c r="AM181" s="949"/>
      <c r="AN181" s="949"/>
      <c r="AO181" s="949"/>
      <c r="AP181" s="949"/>
      <c r="AQ181" s="949"/>
      <c r="AR181" s="110"/>
      <c r="AS181" s="110"/>
      <c r="AT181" s="110"/>
      <c r="AU181" s="949"/>
      <c r="AV181" s="949"/>
      <c r="AW181" s="949"/>
      <c r="AX181" s="949"/>
      <c r="AY181" s="949"/>
      <c r="AZ181" s="949"/>
      <c r="BA181" s="949"/>
      <c r="BB181" s="949"/>
      <c r="BC181" s="949"/>
      <c r="BD181" s="949"/>
      <c r="BE181" s="2267"/>
    </row>
    <row r="182" spans="1:57">
      <c r="A182" s="1090" t="s">
        <v>499</v>
      </c>
      <c r="B182" s="73" t="s">
        <v>284</v>
      </c>
      <c r="C182" s="1085">
        <f t="shared" si="43"/>
        <v>15596.516285714286</v>
      </c>
      <c r="D182" s="1086">
        <f t="shared" si="43"/>
        <v>3.9962072557101963E-2</v>
      </c>
      <c r="E182" s="1060">
        <f t="shared" si="43"/>
        <v>-0.41209116095583281</v>
      </c>
      <c r="F182" s="1060">
        <f t="shared" si="43"/>
        <v>-0.31031558205019388</v>
      </c>
      <c r="G182" s="1061">
        <f t="shared" si="43"/>
        <v>10295.917100000001</v>
      </c>
      <c r="H182" s="1062">
        <f t="shared" si="43"/>
        <v>2.8511404790864545E-2</v>
      </c>
      <c r="I182" s="1063">
        <f t="shared" si="43"/>
        <v>0.58081043687158529</v>
      </c>
      <c r="J182" s="1063">
        <f t="shared" si="43"/>
        <v>0.5027794267018264</v>
      </c>
      <c r="K182" s="1064">
        <f t="shared" si="43"/>
        <v>4.6475023511824993</v>
      </c>
      <c r="L182" s="1060">
        <f t="shared" si="43"/>
        <v>-0.18379111287045302</v>
      </c>
      <c r="M182" s="1065">
        <f t="shared" si="44"/>
        <v>4.0606354500113753</v>
      </c>
      <c r="N182" s="103">
        <f t="shared" si="44"/>
        <v>0.34534166666666666</v>
      </c>
      <c r="O182" s="1067">
        <f t="shared" si="44"/>
        <v>-5.4500069338510607E-2</v>
      </c>
      <c r="P182" s="1068">
        <f t="shared" si="44"/>
        <v>0.3626280111015483</v>
      </c>
      <c r="Q182" s="1066">
        <f t="shared" si="44"/>
        <v>0.67997702229572432</v>
      </c>
      <c r="R182" s="1067">
        <f t="shared" si="44"/>
        <v>0.10658020511075152</v>
      </c>
      <c r="S182" s="1068">
        <f t="shared" si="44"/>
        <v>0.75270955685414354</v>
      </c>
      <c r="T182" s="1066">
        <f t="shared" si="44"/>
        <v>0.68457317243488636</v>
      </c>
      <c r="U182" s="1067">
        <f t="shared" si="44"/>
        <v>0.10522314957078965</v>
      </c>
      <c r="V182" s="1068">
        <f t="shared" si="44"/>
        <v>0.75672107111582532</v>
      </c>
      <c r="W182" s="1060">
        <f t="shared" si="44"/>
        <v>4.5961501391620363E-3</v>
      </c>
      <c r="X182" s="1060">
        <f t="shared" si="44"/>
        <v>6.7592727231349809E-3</v>
      </c>
      <c r="Y182" s="1069" t="str">
        <f t="shared" si="44"/>
        <v>BBB-</v>
      </c>
      <c r="Z182" s="1070" t="str">
        <f t="shared" si="42"/>
        <v>=  ¯ ¯</v>
      </c>
      <c r="AA182" s="1064">
        <f t="shared" si="41"/>
        <v>2.9152503149286035</v>
      </c>
      <c r="AB182" s="1071">
        <f t="shared" si="41"/>
        <v>-0.14664752669478531</v>
      </c>
      <c r="AC182" s="1065">
        <f t="shared" si="41"/>
        <v>2.8370691340232916</v>
      </c>
      <c r="AD182" s="949"/>
      <c r="AE182" s="949"/>
      <c r="AF182" s="949"/>
      <c r="AG182" s="2129"/>
      <c r="AH182" s="949"/>
      <c r="AI182" s="949"/>
      <c r="AJ182" s="949"/>
      <c r="AK182" s="949"/>
      <c r="AL182" s="949"/>
      <c r="AM182" s="949"/>
      <c r="AN182" s="949"/>
      <c r="AO182" s="949"/>
      <c r="AP182" s="949"/>
      <c r="AQ182" s="949"/>
      <c r="AR182" s="110"/>
      <c r="AS182" s="110"/>
      <c r="AT182" s="110"/>
      <c r="AU182" s="949"/>
      <c r="AV182" s="949"/>
      <c r="AW182" s="949"/>
      <c r="AX182" s="949"/>
      <c r="AY182" s="949"/>
      <c r="AZ182" s="949"/>
      <c r="BA182" s="949"/>
      <c r="BB182" s="949"/>
      <c r="BC182" s="949"/>
      <c r="BD182" s="949"/>
      <c r="BE182" s="2267"/>
    </row>
    <row r="183" spans="1:57">
      <c r="A183" s="1090" t="s">
        <v>504</v>
      </c>
      <c r="B183" s="73" t="s">
        <v>288</v>
      </c>
      <c r="C183" s="1085">
        <f t="shared" si="43"/>
        <v>16250.837973523972</v>
      </c>
      <c r="D183" s="1086">
        <f t="shared" si="43"/>
        <v>4.1638604052015776E-2</v>
      </c>
      <c r="E183" s="1060">
        <f t="shared" si="43"/>
        <v>0.20894195471198634</v>
      </c>
      <c r="F183" s="1060">
        <f t="shared" si="43"/>
        <v>0.31071753361762527</v>
      </c>
      <c r="G183" s="1061">
        <f t="shared" si="43"/>
        <v>17428.290742138299</v>
      </c>
      <c r="H183" s="1062">
        <f t="shared" si="43"/>
        <v>4.826234004564605E-2</v>
      </c>
      <c r="I183" s="1063">
        <f t="shared" si="43"/>
        <v>4.0995220850209826</v>
      </c>
      <c r="J183" s="1063">
        <f t="shared" si="43"/>
        <v>4.5731712273212377</v>
      </c>
      <c r="K183" s="1064">
        <f t="shared" si="43"/>
        <v>6.7450557383311427</v>
      </c>
      <c r="L183" s="1060">
        <f t="shared" si="43"/>
        <v>0.2149868566781509</v>
      </c>
      <c r="M183" s="1065">
        <f t="shared" si="44"/>
        <v>7.5822149145373468</v>
      </c>
      <c r="N183" s="103">
        <f t="shared" si="44"/>
        <v>0.32615050588405037</v>
      </c>
      <c r="O183" s="1067">
        <f t="shared" si="44"/>
        <v>-8.7660674172335792E-2</v>
      </c>
      <c r="P183" s="1068">
        <f t="shared" si="44"/>
        <v>0.30985103942866765</v>
      </c>
      <c r="Q183" s="1066">
        <f t="shared" si="44"/>
        <v>0.30558583418722468</v>
      </c>
      <c r="R183" s="1067">
        <f t="shared" si="44"/>
        <v>-0.13620468181810452</v>
      </c>
      <c r="S183" s="1068">
        <f t="shared" si="44"/>
        <v>0.29018390059321952</v>
      </c>
      <c r="T183" s="1066">
        <f t="shared" si="44"/>
        <v>0.31922230141848357</v>
      </c>
      <c r="U183" s="1067">
        <f t="shared" si="44"/>
        <v>-0.13496032758973828</v>
      </c>
      <c r="V183" s="1068">
        <f t="shared" si="44"/>
        <v>0.30362227391248225</v>
      </c>
      <c r="W183" s="1060">
        <f t="shared" si="44"/>
        <v>1.3636467231258886E-2</v>
      </c>
      <c r="X183" s="1060">
        <f t="shared" si="44"/>
        <v>4.4624016252350789E-2</v>
      </c>
      <c r="Y183" s="1069" t="str">
        <f t="shared" si="44"/>
        <v>A</v>
      </c>
      <c r="Z183" s="1070" t="str">
        <f t="shared" si="42"/>
        <v>=  =  -</v>
      </c>
      <c r="AA183" s="1064">
        <f t="shared" si="41"/>
        <v>2.1579177629636748</v>
      </c>
      <c r="AB183" s="1071">
        <f t="shared" si="41"/>
        <v>6.0078851309961184E-2</v>
      </c>
      <c r="AC183" s="1065">
        <f t="shared" si="41"/>
        <v>2.3009327536910358</v>
      </c>
      <c r="AD183" s="949"/>
      <c r="AE183" s="949"/>
      <c r="AF183" s="949"/>
      <c r="AG183" s="2129"/>
      <c r="AH183" s="949"/>
      <c r="AI183" s="949"/>
      <c r="AJ183" s="949"/>
      <c r="AK183" s="949"/>
      <c r="AL183" s="949"/>
      <c r="AM183" s="949"/>
      <c r="AN183" s="949"/>
      <c r="AO183" s="949"/>
      <c r="AP183" s="949"/>
      <c r="AQ183" s="949"/>
      <c r="AR183" s="110"/>
      <c r="AS183" s="110"/>
      <c r="AT183" s="110"/>
      <c r="AU183" s="949"/>
      <c r="AV183" s="949"/>
      <c r="AW183" s="949"/>
      <c r="AX183" s="949"/>
      <c r="AY183" s="949"/>
      <c r="AZ183" s="949"/>
      <c r="BA183" s="949"/>
      <c r="BB183" s="949"/>
      <c r="BC183" s="949"/>
      <c r="BD183" s="949"/>
      <c r="BE183" s="2267"/>
    </row>
    <row r="184" spans="1:57">
      <c r="A184" s="1090" t="s">
        <v>539</v>
      </c>
      <c r="B184" s="73" t="s">
        <v>39</v>
      </c>
      <c r="C184" s="1085">
        <f t="shared" si="43"/>
        <v>5059.5155870714543</v>
      </c>
      <c r="D184" s="1086">
        <f t="shared" si="43"/>
        <v>1.2963710952524294E-2</v>
      </c>
      <c r="E184" s="1060">
        <f t="shared" si="43"/>
        <v>-0.13366823909704381</v>
      </c>
      <c r="F184" s="1060">
        <f t="shared" si="43"/>
        <v>-3.1892660191404867E-2</v>
      </c>
      <c r="G184" s="1061">
        <f t="shared" si="43"/>
        <v>5057.8123335929276</v>
      </c>
      <c r="H184" s="1062">
        <f t="shared" si="43"/>
        <v>1.4006069920599414E-2</v>
      </c>
      <c r="I184" s="1063">
        <f t="shared" si="43"/>
        <v>1.6858649053444912</v>
      </c>
      <c r="J184" s="1063">
        <f t="shared" si="43"/>
        <v>1.7703056194544857</v>
      </c>
      <c r="K184" s="1064">
        <f t="shared" si="43"/>
        <v>6.1343182706324946</v>
      </c>
      <c r="L184" s="1060">
        <f t="shared" si="43"/>
        <v>-0.19036897853308513</v>
      </c>
      <c r="M184" s="1065">
        <f t="shared" si="44"/>
        <v>5.9052222685092017</v>
      </c>
      <c r="N184" s="103">
        <f t="shared" si="44"/>
        <v>0.31054928118178421</v>
      </c>
      <c r="O184" s="1067">
        <f t="shared" si="44"/>
        <v>-0.11491916916279199</v>
      </c>
      <c r="P184" s="1068">
        <f t="shared" si="44"/>
        <v>0.28165979767703259</v>
      </c>
      <c r="Q184" s="1066">
        <f t="shared" si="44"/>
        <v>0.3899242463002407</v>
      </c>
      <c r="R184" s="1067">
        <f t="shared" si="44"/>
        <v>-0.1197676600756727</v>
      </c>
      <c r="S184" s="1068">
        <f t="shared" si="44"/>
        <v>0.37944762378701169</v>
      </c>
      <c r="T184" s="1066">
        <f t="shared" si="44"/>
        <v>0.45093517146474416</v>
      </c>
      <c r="U184" s="1067">
        <f t="shared" si="44"/>
        <v>-8.3572610535330494E-2</v>
      </c>
      <c r="V184" s="1068">
        <f t="shared" si="44"/>
        <v>0.43916945384982109</v>
      </c>
      <c r="W184" s="1060">
        <f t="shared" si="44"/>
        <v>6.101092516450346E-2</v>
      </c>
      <c r="X184" s="1060">
        <f t="shared" si="44"/>
        <v>0.15646866216553562</v>
      </c>
      <c r="Y184" s="1069" t="str">
        <f t="shared" si="44"/>
        <v>BBB</v>
      </c>
      <c r="Z184" s="1070" t="str">
        <f t="shared" si="42"/>
        <v>­  = =</v>
      </c>
      <c r="AA184" s="1064">
        <f t="shared" si="41"/>
        <v>2.6587814840492587</v>
      </c>
      <c r="AB184" s="1071">
        <f t="shared" si="41"/>
        <v>-0.25803195656746131</v>
      </c>
      <c r="AC184" s="1065">
        <f t="shared" si="41"/>
        <v>2.5933932385229874</v>
      </c>
      <c r="AD184" s="949"/>
      <c r="AE184" s="949"/>
      <c r="AF184" s="949"/>
      <c r="AG184" s="2129"/>
      <c r="AH184" s="949"/>
      <c r="AI184" s="949"/>
      <c r="AJ184" s="949"/>
      <c r="AK184" s="949"/>
      <c r="AL184" s="949"/>
      <c r="AM184" s="949"/>
      <c r="AN184" s="949"/>
      <c r="AO184" s="949"/>
      <c r="AP184" s="949"/>
      <c r="AQ184" s="949"/>
      <c r="AR184" s="110"/>
      <c r="AS184" s="110"/>
      <c r="AT184" s="110"/>
      <c r="AU184" s="949"/>
      <c r="AV184" s="949"/>
      <c r="AW184" s="949"/>
      <c r="AX184" s="949"/>
      <c r="AY184" s="949"/>
      <c r="AZ184" s="949"/>
      <c r="BA184" s="949"/>
      <c r="BB184" s="949"/>
      <c r="BC184" s="949"/>
      <c r="BD184" s="949"/>
      <c r="BE184" s="2267"/>
    </row>
    <row r="185" spans="1:57">
      <c r="A185" s="1090" t="s">
        <v>19</v>
      </c>
      <c r="B185" s="73" t="s">
        <v>285</v>
      </c>
      <c r="C185" s="1085">
        <f t="shared" si="43"/>
        <v>6002.7646707914537</v>
      </c>
      <c r="D185" s="1086">
        <f t="shared" si="43"/>
        <v>1.538054479108892E-2</v>
      </c>
      <c r="E185" s="1060">
        <f t="shared" si="43"/>
        <v>1.7468659495150733</v>
      </c>
      <c r="F185" s="1060">
        <f t="shared" si="43"/>
        <v>1.8486415284207123</v>
      </c>
      <c r="G185" s="1061">
        <f t="shared" si="43"/>
        <v>9571.524995540176</v>
      </c>
      <c r="H185" s="1062">
        <f t="shared" si="43"/>
        <v>2.6505421611613778E-2</v>
      </c>
      <c r="I185" s="1063">
        <f t="shared" si="43"/>
        <v>4.1497848696984878</v>
      </c>
      <c r="J185" s="1063">
        <f t="shared" si="43"/>
        <v>5.1075046454025781</v>
      </c>
      <c r="K185" s="1064">
        <f t="shared" si="43"/>
        <v>7.8090133066846761</v>
      </c>
      <c r="L185" s="1060">
        <f t="shared" si="43"/>
        <v>0.8464659845431286</v>
      </c>
      <c r="M185" s="1065">
        <f t="shared" si="44"/>
        <v>9.6719476082953495</v>
      </c>
      <c r="N185" s="103">
        <f t="shared" si="44"/>
        <v>9.1630231095150338E-2</v>
      </c>
      <c r="O185" s="1084" t="str">
        <f t="shared" si="44"/>
        <v>¥</v>
      </c>
      <c r="P185" s="1068">
        <f t="shared" si="44"/>
        <v>0.34976819018989347</v>
      </c>
      <c r="Q185" s="1066">
        <f t="shared" si="44"/>
        <v>0.13477545507373562</v>
      </c>
      <c r="R185" s="1067">
        <f t="shared" si="44"/>
        <v>-0.4264373226073967</v>
      </c>
      <c r="S185" s="1068">
        <f t="shared" si="44"/>
        <v>9.7905485588969735E-2</v>
      </c>
      <c r="T185" s="1066">
        <f t="shared" si="44"/>
        <v>0.16024846762312819</v>
      </c>
      <c r="U185" s="1067">
        <f t="shared" si="44"/>
        <v>-0.25253039609468159</v>
      </c>
      <c r="V185" s="1068">
        <f t="shared" si="44"/>
        <v>0.12849893093161849</v>
      </c>
      <c r="W185" s="1060">
        <f t="shared" si="44"/>
        <v>2.5473012549392576E-2</v>
      </c>
      <c r="X185" s="1060">
        <f t="shared" si="44"/>
        <v>0.18900335031669008</v>
      </c>
      <c r="Y185" s="1069" t="str">
        <f t="shared" si="44"/>
        <v>Not rated</v>
      </c>
      <c r="Z185" s="1070"/>
      <c r="AA185" s="1064">
        <f t="shared" si="41"/>
        <v>1.265551414722516</v>
      </c>
      <c r="AB185" s="1071">
        <f t="shared" si="41"/>
        <v>0.38040351489576829</v>
      </c>
      <c r="AC185" s="1065">
        <f t="shared" si="41"/>
        <v>1.242834927692577</v>
      </c>
      <c r="AD185" s="949"/>
      <c r="AE185" s="949"/>
      <c r="AF185" s="949"/>
      <c r="AG185" s="2129"/>
      <c r="AH185" s="949"/>
      <c r="AI185" s="949"/>
      <c r="AJ185" s="949"/>
      <c r="AK185" s="949"/>
      <c r="AL185" s="949"/>
      <c r="AM185" s="949"/>
      <c r="AN185" s="949"/>
      <c r="AO185" s="949"/>
      <c r="AP185" s="949"/>
      <c r="AQ185" s="949"/>
      <c r="AR185" s="110"/>
      <c r="AS185" s="110"/>
      <c r="AT185" s="110"/>
      <c r="AU185" s="949"/>
      <c r="AV185" s="949"/>
      <c r="AW185" s="949"/>
      <c r="AX185" s="949"/>
      <c r="AY185" s="949"/>
      <c r="AZ185" s="949"/>
      <c r="BA185" s="949"/>
      <c r="BB185" s="949"/>
      <c r="BC185" s="949"/>
      <c r="BD185" s="949"/>
      <c r="BE185" s="2267"/>
    </row>
    <row r="186" spans="1:57">
      <c r="A186" s="1091" t="s">
        <v>319</v>
      </c>
      <c r="B186" s="691" t="s">
        <v>752</v>
      </c>
      <c r="C186" s="1087">
        <f t="shared" si="43"/>
        <v>3541.6238999999996</v>
      </c>
      <c r="D186" s="1088">
        <f t="shared" si="43"/>
        <v>9.0745028357006995E-3</v>
      </c>
      <c r="E186" s="1072">
        <f t="shared" si="43"/>
        <v>0.67327297771392325</v>
      </c>
      <c r="F186" s="1072">
        <f t="shared" si="43"/>
        <v>0.77504855661956218</v>
      </c>
      <c r="G186" s="1073">
        <f t="shared" si="43"/>
        <v>4048.9897999999998</v>
      </c>
      <c r="H186" s="1074">
        <f t="shared" si="43"/>
        <v>1.1212443346293226E-2</v>
      </c>
      <c r="I186" s="1075">
        <f t="shared" si="43"/>
        <v>-1.4186196832586249</v>
      </c>
      <c r="J186" s="1075">
        <f t="shared" si="43"/>
        <v>-2.7147098893731143</v>
      </c>
      <c r="K186" s="1076">
        <f t="shared" si="43"/>
        <v>8.5213348378460623</v>
      </c>
      <c r="L186" s="1072">
        <f t="shared" si="43"/>
        <v>0.26215680659638446</v>
      </c>
      <c r="M186" s="1077">
        <f t="shared" si="44"/>
        <v>9.0506669895995948</v>
      </c>
      <c r="N186" s="1013">
        <f t="shared" si="44"/>
        <v>6.4385445236561381E-2</v>
      </c>
      <c r="O186" s="1079">
        <f t="shared" si="44"/>
        <v>14.697799124913645</v>
      </c>
      <c r="P186" s="1080">
        <f t="shared" si="44"/>
        <v>0.15462918080465343</v>
      </c>
      <c r="Q186" s="1078">
        <f t="shared" si="44"/>
        <v>0.42399287000325037</v>
      </c>
      <c r="R186" s="1079">
        <f t="shared" si="44"/>
        <v>4.5742782667206161E-2</v>
      </c>
      <c r="S186" s="1080">
        <f t="shared" si="44"/>
        <v>0.48144640266975475</v>
      </c>
      <c r="T186" s="1078">
        <f t="shared" si="44"/>
        <v>0.42695023434228802</v>
      </c>
      <c r="U186" s="1079">
        <f t="shared" si="44"/>
        <v>4.1366838913311048E-2</v>
      </c>
      <c r="V186" s="1080">
        <f t="shared" si="44"/>
        <v>0.4832654138496531</v>
      </c>
      <c r="W186" s="1072">
        <f t="shared" si="44"/>
        <v>2.9573643390376492E-3</v>
      </c>
      <c r="X186" s="1072">
        <f t="shared" si="44"/>
        <v>6.9750331863245195E-3</v>
      </c>
      <c r="Y186" s="1081" t="str">
        <f t="shared" si="44"/>
        <v>B+</v>
      </c>
      <c r="Z186" s="1082" t="str">
        <f>VLOOKUP($B186,$B$7:$AC$28,Z$37+1,FALSE)</f>
        <v>=  =  =</v>
      </c>
      <c r="AA186" s="1076">
        <f t="shared" si="41"/>
        <v>3.7014756930154613</v>
      </c>
      <c r="AB186" s="1083">
        <f t="shared" si="41"/>
        <v>0.31334582285320112</v>
      </c>
      <c r="AC186" s="1077">
        <f t="shared" si="41"/>
        <v>4.3704719780651446</v>
      </c>
      <c r="AD186" s="949"/>
      <c r="AE186" s="949"/>
      <c r="AF186" s="949"/>
      <c r="AG186" s="2129"/>
      <c r="AH186" s="949"/>
      <c r="AI186" s="949"/>
      <c r="AJ186" s="949"/>
      <c r="AK186" s="949"/>
      <c r="AL186" s="949"/>
      <c r="AM186" s="949"/>
      <c r="AN186" s="949"/>
      <c r="AO186" s="949"/>
      <c r="AP186" s="949"/>
      <c r="AQ186" s="949"/>
      <c r="AR186" s="110"/>
      <c r="AS186" s="110"/>
      <c r="AT186" s="110"/>
      <c r="AU186" s="949"/>
      <c r="AV186" s="949"/>
      <c r="AW186" s="949"/>
      <c r="AX186" s="949"/>
      <c r="AY186" s="949"/>
      <c r="AZ186" s="949"/>
      <c r="BA186" s="949"/>
      <c r="BB186" s="949"/>
      <c r="BC186" s="949"/>
      <c r="BD186" s="949"/>
      <c r="BE186" s="2267"/>
    </row>
    <row r="187" spans="1:57">
      <c r="A187" s="1090" t="s">
        <v>32</v>
      </c>
      <c r="B187" s="73" t="s">
        <v>50</v>
      </c>
      <c r="C187" s="1085">
        <f t="shared" si="43"/>
        <v>19515.355899391296</v>
      </c>
      <c r="D187" s="1086">
        <f t="shared" si="43"/>
        <v>5.0003093905237848E-2</v>
      </c>
      <c r="E187" s="1060">
        <f t="shared" si="43"/>
        <v>1.1994936816856254</v>
      </c>
      <c r="F187" s="1060">
        <f t="shared" si="43"/>
        <v>1.3012692605912644</v>
      </c>
      <c r="G187" s="1061">
        <f t="shared" si="43"/>
        <v>28491.576306321644</v>
      </c>
      <c r="H187" s="1062">
        <f t="shared" si="43"/>
        <v>7.8898737947233621E-2</v>
      </c>
      <c r="I187" s="1063">
        <f t="shared" si="43"/>
        <v>-0.89894076859195104</v>
      </c>
      <c r="J187" s="1063">
        <f t="shared" si="43"/>
        <v>39.625784878048783</v>
      </c>
      <c r="K187" s="1064">
        <f t="shared" si="43"/>
        <v>4.7123747267525307</v>
      </c>
      <c r="L187" s="1060">
        <f t="shared" si="43"/>
        <v>0.4140020451008824</v>
      </c>
      <c r="M187" s="1065">
        <f t="shared" si="44"/>
        <v>5.7096258695546744</v>
      </c>
      <c r="N187" s="116">
        <f t="shared" si="44"/>
        <v>0</v>
      </c>
      <c r="O187" s="1067">
        <f t="shared" si="44"/>
        <v>0</v>
      </c>
      <c r="P187" s="1068">
        <f t="shared" si="44"/>
        <v>0</v>
      </c>
      <c r="Q187" s="1066">
        <f t="shared" si="44"/>
        <v>0.37025195227815472</v>
      </c>
      <c r="R187" s="1067">
        <f t="shared" si="44"/>
        <v>-0.46222821771061889</v>
      </c>
      <c r="S187" s="1068">
        <f t="shared" si="44"/>
        <v>0.26403640782716253</v>
      </c>
      <c r="T187" s="1066">
        <f t="shared" si="44"/>
        <v>0.48927059752514818</v>
      </c>
      <c r="U187" s="1067">
        <f t="shared" si="44"/>
        <v>-0.38189416595312975</v>
      </c>
      <c r="V187" s="1068">
        <f t="shared" si="44"/>
        <v>0.37414035756341019</v>
      </c>
      <c r="W187" s="1060">
        <f t="shared" si="44"/>
        <v>0.11901864524699346</v>
      </c>
      <c r="X187" s="1060">
        <f t="shared" si="44"/>
        <v>0.32145312000294263</v>
      </c>
      <c r="Y187" s="1069" t="str">
        <f t="shared" si="44"/>
        <v>BBB</v>
      </c>
      <c r="Z187" s="1070" t="str">
        <f>VLOOKUP($B187,$B$7:$AC$28,Z$37+1,FALSE)</f>
        <v xml:space="preserve">=  -  = </v>
      </c>
      <c r="AA187" s="1064">
        <f t="shared" si="41"/>
        <v>2.2664974928712622</v>
      </c>
      <c r="AB187" s="1071">
        <f t="shared" si="41"/>
        <v>-0.12537902502142731</v>
      </c>
      <c r="AC187" s="1065">
        <f t="shared" si="41"/>
        <v>2.136201464388483</v>
      </c>
      <c r="AD187" s="949"/>
      <c r="AE187" s="949"/>
      <c r="AF187" s="949"/>
      <c r="AG187" s="2129"/>
      <c r="AH187" s="949"/>
      <c r="AI187" s="949"/>
      <c r="AJ187" s="949"/>
      <c r="AK187" s="949"/>
      <c r="AL187" s="949"/>
      <c r="AM187" s="949"/>
      <c r="AN187" s="949"/>
      <c r="AO187" s="949"/>
      <c r="AP187" s="949"/>
      <c r="AQ187" s="949"/>
      <c r="AR187" s="110"/>
      <c r="AS187" s="110"/>
      <c r="AT187" s="110"/>
      <c r="AU187" s="949"/>
      <c r="AV187" s="949"/>
      <c r="AW187" s="949"/>
      <c r="AX187" s="949"/>
      <c r="AY187" s="949"/>
      <c r="AZ187" s="949"/>
      <c r="BA187" s="949"/>
      <c r="BB187" s="949"/>
      <c r="BC187" s="949"/>
      <c r="BD187" s="949"/>
      <c r="BE187" s="2267"/>
    </row>
    <row r="188" spans="1:57">
      <c r="A188" s="1090"/>
      <c r="B188" s="949"/>
      <c r="C188" s="949"/>
      <c r="D188" s="119"/>
      <c r="E188" s="949"/>
      <c r="F188" s="949"/>
      <c r="G188" s="949"/>
      <c r="H188" s="119"/>
      <c r="I188" s="119"/>
      <c r="J188" s="119"/>
      <c r="K188" s="949"/>
      <c r="L188" s="949"/>
      <c r="M188" s="949"/>
      <c r="N188" s="949"/>
      <c r="O188" s="949"/>
      <c r="P188" s="949"/>
      <c r="Q188" s="1005"/>
      <c r="R188" s="1005"/>
      <c r="S188" s="1005"/>
      <c r="T188" s="949"/>
      <c r="U188" s="949"/>
      <c r="V188" s="949"/>
      <c r="W188" s="1005"/>
      <c r="X188" s="1005"/>
      <c r="Y188" s="949"/>
      <c r="Z188" s="949"/>
      <c r="AA188" s="949"/>
      <c r="AB188" s="949"/>
      <c r="AC188" s="949"/>
      <c r="AD188" s="949"/>
      <c r="AE188" s="949"/>
      <c r="AF188" s="949"/>
      <c r="AG188" s="2129"/>
      <c r="AH188" s="949"/>
      <c r="AI188" s="949"/>
      <c r="AJ188" s="949"/>
      <c r="AK188" s="949"/>
      <c r="AL188" s="949"/>
      <c r="AM188" s="949"/>
      <c r="AN188" s="949"/>
      <c r="AO188" s="949"/>
      <c r="AP188" s="949"/>
      <c r="AQ188" s="949"/>
      <c r="AR188" s="110"/>
      <c r="AS188" s="110"/>
      <c r="AT188" s="110"/>
      <c r="AU188" s="949"/>
      <c r="AV188" s="949"/>
      <c r="AW188" s="949"/>
      <c r="AX188" s="949"/>
      <c r="AY188" s="949"/>
      <c r="AZ188" s="949"/>
      <c r="BA188" s="949"/>
      <c r="BB188" s="949"/>
      <c r="BC188" s="949"/>
      <c r="BD188" s="949"/>
      <c r="BE188" s="2267"/>
    </row>
    <row r="189" spans="1:57">
      <c r="A189" s="1090"/>
      <c r="B189" s="949"/>
      <c r="C189" s="949"/>
      <c r="D189" s="119"/>
      <c r="E189" s="949"/>
      <c r="F189" s="949"/>
      <c r="G189" s="949"/>
      <c r="H189" s="119"/>
      <c r="I189" s="119"/>
      <c r="J189" s="119"/>
      <c r="K189" s="949"/>
      <c r="L189" s="949"/>
      <c r="M189" s="949"/>
      <c r="N189" s="949"/>
      <c r="O189" s="949"/>
      <c r="P189" s="949"/>
      <c r="Q189" s="1005"/>
      <c r="R189" s="1005"/>
      <c r="S189" s="1005"/>
      <c r="T189" s="949"/>
      <c r="U189" s="949"/>
      <c r="V189" s="949"/>
      <c r="W189" s="1005"/>
      <c r="X189" s="1005"/>
      <c r="Y189" s="949"/>
      <c r="Z189" s="949"/>
      <c r="AA189" s="949"/>
      <c r="AB189" s="949"/>
      <c r="AC189" s="949"/>
      <c r="AD189" s="949"/>
      <c r="AE189" s="949"/>
      <c r="AF189" s="949"/>
      <c r="AG189" s="2129"/>
      <c r="AH189" s="949"/>
      <c r="AI189" s="949"/>
      <c r="AJ189" s="949"/>
      <c r="AK189" s="949"/>
      <c r="AL189" s="949"/>
      <c r="AM189" s="949"/>
      <c r="AN189" s="949"/>
      <c r="AO189" s="949"/>
      <c r="AP189" s="949"/>
      <c r="AQ189" s="949"/>
      <c r="AR189" s="110"/>
      <c r="AS189" s="110"/>
      <c r="AT189" s="110"/>
      <c r="AU189" s="949"/>
      <c r="AV189" s="949"/>
      <c r="AW189" s="949"/>
      <c r="AX189" s="949"/>
      <c r="AY189" s="949"/>
      <c r="AZ189" s="949"/>
      <c r="BA189" s="949"/>
      <c r="BB189" s="949"/>
      <c r="BC189" s="949"/>
      <c r="BD189" s="949"/>
      <c r="BE189" s="2267"/>
    </row>
    <row r="190" spans="1:57">
      <c r="A190" s="3315" t="s">
        <v>1189</v>
      </c>
      <c r="B190" s="1286" t="s">
        <v>363</v>
      </c>
      <c r="C190" s="1005"/>
      <c r="D190" s="119"/>
      <c r="E190" s="1005"/>
      <c r="F190" s="1005"/>
      <c r="G190" s="1005"/>
      <c r="H190" s="119"/>
      <c r="I190" s="119"/>
      <c r="J190" s="119"/>
      <c r="K190" s="1005"/>
      <c r="L190" s="1005"/>
      <c r="M190" s="1089"/>
      <c r="N190" s="1005"/>
      <c r="O190" s="1005"/>
      <c r="P190" s="1005"/>
      <c r="Q190" s="1005"/>
      <c r="R190" s="1005"/>
      <c r="S190" s="1005"/>
      <c r="T190" s="1005"/>
      <c r="U190" s="1005"/>
      <c r="V190" s="1005"/>
      <c r="W190" s="1005"/>
      <c r="X190" s="1005"/>
      <c r="Y190" s="1005"/>
      <c r="Z190" s="1005"/>
      <c r="AA190" s="1005"/>
      <c r="AB190" s="1005"/>
      <c r="AC190" s="1005"/>
      <c r="AD190" s="949"/>
      <c r="AE190" s="949"/>
      <c r="AF190" s="949"/>
      <c r="AG190" s="2129"/>
      <c r="AH190" s="949"/>
      <c r="AI190" s="949"/>
      <c r="AJ190" s="949"/>
      <c r="AK190" s="949"/>
      <c r="AL190" s="949"/>
      <c r="AM190" s="949"/>
      <c r="AN190" s="949"/>
      <c r="AO190" s="949"/>
      <c r="AP190" s="949"/>
      <c r="AQ190" s="949"/>
      <c r="AR190" s="110"/>
      <c r="AS190" s="110"/>
      <c r="AT190" s="110"/>
      <c r="AU190" s="949"/>
      <c r="AV190" s="949"/>
      <c r="AW190" s="949"/>
      <c r="AX190" s="949"/>
      <c r="AY190" s="949"/>
      <c r="AZ190" s="949"/>
      <c r="BA190" s="949"/>
      <c r="BB190" s="949"/>
      <c r="BC190" s="949"/>
      <c r="BD190" s="949"/>
      <c r="BE190" s="2267"/>
    </row>
    <row r="191" spans="1:57">
      <c r="A191" s="1091" t="s">
        <v>319</v>
      </c>
      <c r="B191" s="691" t="s">
        <v>751</v>
      </c>
      <c r="C191" s="1087">
        <f t="shared" ref="C191:L200" si="45">VLOOKUP($B191,$B$7:$AC$28,C$37+1,FALSE)</f>
        <v>2121.4584571428572</v>
      </c>
      <c r="D191" s="1088">
        <f t="shared" si="45"/>
        <v>5.4356931534045982E-3</v>
      </c>
      <c r="E191" s="1072">
        <f t="shared" si="45"/>
        <v>-0.63331383871554725</v>
      </c>
      <c r="F191" s="1072">
        <f t="shared" si="45"/>
        <v>-0.53153825980990832</v>
      </c>
      <c r="G191" s="1073">
        <f t="shared" si="45"/>
        <v>960.23059999999998</v>
      </c>
      <c r="H191" s="1074">
        <f t="shared" si="45"/>
        <v>2.6590660223142948E-3</v>
      </c>
      <c r="I191" s="1075">
        <f t="shared" si="45"/>
        <v>6.3820660890696566</v>
      </c>
      <c r="J191" s="1075">
        <f t="shared" si="45"/>
        <v>3.126768479322696</v>
      </c>
      <c r="K191" s="1076">
        <f t="shared" si="45"/>
        <v>4.988018554669714</v>
      </c>
      <c r="L191" s="1072">
        <f t="shared" si="45"/>
        <v>-0.2975700901517318</v>
      </c>
      <c r="M191" s="1077">
        <f t="shared" ref="M191:Y200" si="46">VLOOKUP($B191,$B$7:$AC$28,M$37+1,FALSE)</f>
        <v>3.6764587184436395</v>
      </c>
      <c r="N191" s="1078">
        <f t="shared" si="46"/>
        <v>0.95644485424869818</v>
      </c>
      <c r="O191" s="1079">
        <f t="shared" si="46"/>
        <v>5.7346309608293736E-3</v>
      </c>
      <c r="P191" s="1014">
        <f t="shared" si="46"/>
        <v>0.97265268915223335</v>
      </c>
      <c r="Q191" s="1078">
        <f t="shared" si="46"/>
        <v>0.16489915086810925</v>
      </c>
      <c r="R191" s="1079">
        <f t="shared" si="46"/>
        <v>2.0043608623878186</v>
      </c>
      <c r="S191" s="1080">
        <f t="shared" si="46"/>
        <v>0.32988338723452482</v>
      </c>
      <c r="T191" s="1078">
        <f t="shared" si="46"/>
        <v>0.27218937885351913</v>
      </c>
      <c r="U191" s="1079">
        <f t="shared" si="46"/>
        <v>1.2181747217666232</v>
      </c>
      <c r="V191" s="1080">
        <f t="shared" si="46"/>
        <v>0.4561905930983241</v>
      </c>
      <c r="W191" s="1072">
        <f t="shared" si="46"/>
        <v>0.10729022798540988</v>
      </c>
      <c r="X191" s="1072">
        <f t="shared" si="46"/>
        <v>0.65064148250965514</v>
      </c>
      <c r="Y191" s="1081" t="str">
        <f t="shared" si="46"/>
        <v>Not rated</v>
      </c>
      <c r="Z191" s="1082"/>
      <c r="AA191" s="1076">
        <f t="shared" ref="AA191:AC212" si="47">VLOOKUP($B191,$B$7:$AC$28,AA$37+1,FALSE)</f>
        <v>1.2440956586918632</v>
      </c>
      <c r="AB191" s="1083">
        <f t="shared" si="47"/>
        <v>0.5581122698382367</v>
      </c>
      <c r="AC191" s="1077">
        <f t="shared" si="47"/>
        <v>1.6771658832683087</v>
      </c>
      <c r="AD191" s="949"/>
      <c r="AE191" s="949"/>
      <c r="AF191" s="949"/>
      <c r="AG191" s="2129"/>
      <c r="AH191" s="949"/>
      <c r="AI191" s="949"/>
      <c r="AJ191" s="949"/>
      <c r="AK191" s="949"/>
      <c r="AL191" s="949"/>
      <c r="AM191" s="949"/>
      <c r="AN191" s="949"/>
      <c r="AO191" s="949"/>
      <c r="AP191" s="949"/>
      <c r="AQ191" s="949"/>
      <c r="AR191" s="110"/>
      <c r="AS191" s="110"/>
      <c r="AT191" s="110"/>
      <c r="AU191" s="949"/>
      <c r="AV191" s="949"/>
      <c r="AW191" s="949"/>
      <c r="AX191" s="949"/>
      <c r="AY191" s="949"/>
      <c r="AZ191" s="949"/>
      <c r="BA191" s="949"/>
      <c r="BB191" s="949"/>
      <c r="BC191" s="949"/>
      <c r="BD191" s="949"/>
      <c r="BE191" s="2267"/>
    </row>
    <row r="192" spans="1:57">
      <c r="A192" s="1090" t="s">
        <v>27</v>
      </c>
      <c r="B192" s="73" t="s">
        <v>353</v>
      </c>
      <c r="C192" s="1085">
        <f t="shared" si="45"/>
        <v>504.56125714285719</v>
      </c>
      <c r="D192" s="1086">
        <f t="shared" si="45"/>
        <v>1.292808804099037E-3</v>
      </c>
      <c r="E192" s="1060">
        <f t="shared" si="45"/>
        <v>0.11241291049139049</v>
      </c>
      <c r="F192" s="1060">
        <f t="shared" si="45"/>
        <v>0.21418848939702945</v>
      </c>
      <c r="G192" s="1061">
        <f t="shared" si="45"/>
        <v>562.64409999999998</v>
      </c>
      <c r="H192" s="1062">
        <f t="shared" si="45"/>
        <v>1.5580713726115437E-3</v>
      </c>
      <c r="I192" s="1063">
        <f t="shared" si="45"/>
        <v>0.48825120153947199</v>
      </c>
      <c r="J192" s="1063">
        <f t="shared" si="45"/>
        <v>0.52140126030951717</v>
      </c>
      <c r="K192" s="1064">
        <f t="shared" si="45"/>
        <v>4.0370208841188875</v>
      </c>
      <c r="L192" s="1060">
        <f t="shared" si="45"/>
        <v>-0.11001004882442665</v>
      </c>
      <c r="M192" s="1065">
        <f t="shared" si="46"/>
        <v>3.9063069179772585</v>
      </c>
      <c r="N192" s="1066">
        <f t="shared" si="46"/>
        <v>0.90539538726018864</v>
      </c>
      <c r="O192" s="1067">
        <f t="shared" si="46"/>
        <v>-4.1189056985539901E-2</v>
      </c>
      <c r="P192" s="104">
        <f t="shared" si="46"/>
        <v>0.90138346931536006</v>
      </c>
      <c r="Q192" s="1066">
        <f t="shared" si="46"/>
        <v>0.38160323267486906</v>
      </c>
      <c r="R192" s="1067">
        <f t="shared" si="46"/>
        <v>0.13281779457810056</v>
      </c>
      <c r="S192" s="1068">
        <f t="shared" si="46"/>
        <v>0.39444904186551905</v>
      </c>
      <c r="T192" s="1066">
        <f t="shared" si="46"/>
        <v>0.47841518539184064</v>
      </c>
      <c r="U192" s="1067">
        <f t="shared" si="46"/>
        <v>1.1717685634717274E-2</v>
      </c>
      <c r="V192" s="1068">
        <f t="shared" si="46"/>
        <v>0.46507375880431212</v>
      </c>
      <c r="W192" s="1060">
        <f t="shared" si="46"/>
        <v>9.6811952716971572E-2</v>
      </c>
      <c r="X192" s="1060">
        <f t="shared" si="46"/>
        <v>0.25369793656715856</v>
      </c>
      <c r="Y192" s="1069" t="str">
        <f t="shared" si="46"/>
        <v>Not rated</v>
      </c>
      <c r="Z192" s="1070"/>
      <c r="AA192" s="1064">
        <f t="shared" si="47"/>
        <v>1.832329792526622</v>
      </c>
      <c r="AB192" s="1071">
        <f t="shared" si="47"/>
        <v>-9.9442962217240083E-2</v>
      </c>
      <c r="AC192" s="1065">
        <f t="shared" si="47"/>
        <v>1.8160302149559577</v>
      </c>
      <c r="AD192" s="949"/>
      <c r="AE192" s="949"/>
      <c r="AF192" s="949"/>
      <c r="AG192" s="2129"/>
      <c r="AH192" s="949"/>
      <c r="AI192" s="949"/>
      <c r="AJ192" s="949"/>
      <c r="AK192" s="949"/>
      <c r="AL192" s="949"/>
      <c r="AM192" s="949"/>
      <c r="AN192" s="949"/>
      <c r="AO192" s="949"/>
      <c r="AP192" s="949"/>
      <c r="AQ192" s="949"/>
      <c r="AR192" s="110"/>
      <c r="AS192" s="110"/>
      <c r="AT192" s="110"/>
      <c r="AU192" s="949"/>
      <c r="AV192" s="949"/>
      <c r="AW192" s="949"/>
      <c r="AX192" s="949"/>
      <c r="AY192" s="949"/>
      <c r="AZ192" s="949"/>
      <c r="BA192" s="949"/>
      <c r="BB192" s="949"/>
      <c r="BC192" s="949"/>
      <c r="BD192" s="949"/>
      <c r="BE192" s="2267"/>
    </row>
    <row r="193" spans="1:57">
      <c r="A193" s="1090" t="s">
        <v>32</v>
      </c>
      <c r="B193" s="73" t="s">
        <v>277</v>
      </c>
      <c r="C193" s="1085">
        <f t="shared" si="45"/>
        <v>103061.53572524291</v>
      </c>
      <c r="D193" s="1086">
        <f t="shared" si="45"/>
        <v>0.26406875054982143</v>
      </c>
      <c r="E193" s="1060">
        <f t="shared" si="45"/>
        <v>7.5306160052783275E-2</v>
      </c>
      <c r="F193" s="1060">
        <f t="shared" si="45"/>
        <v>0.17708173895842222</v>
      </c>
      <c r="G193" s="1061">
        <f t="shared" si="45"/>
        <v>106720.85775234729</v>
      </c>
      <c r="H193" s="1062">
        <f t="shared" si="45"/>
        <v>0.29553089301830604</v>
      </c>
      <c r="I193" s="1063">
        <f t="shared" si="45"/>
        <v>1.0837821931217524</v>
      </c>
      <c r="J193" s="1063">
        <f t="shared" si="45"/>
        <v>1.259272460269286</v>
      </c>
      <c r="K193" s="1064">
        <f t="shared" si="45"/>
        <v>7.534246564629953</v>
      </c>
      <c r="L193" s="1060">
        <f t="shared" si="45"/>
        <v>0.12910548637067604</v>
      </c>
      <c r="M193" s="1065">
        <f t="shared" si="46"/>
        <v>8.6584668441025876</v>
      </c>
      <c r="N193" s="1066">
        <f t="shared" si="46"/>
        <v>0.91487499999999988</v>
      </c>
      <c r="O193" s="1067">
        <f t="shared" si="46"/>
        <v>-4.3736501079913587E-2</v>
      </c>
      <c r="P193" s="104">
        <f t="shared" si="46"/>
        <v>0.89481420237931208</v>
      </c>
      <c r="Q193" s="1066">
        <f t="shared" si="46"/>
        <v>0.24509229252810941</v>
      </c>
      <c r="R193" s="1067">
        <f t="shared" si="46"/>
        <v>-0.16501821733667812</v>
      </c>
      <c r="S193" s="1068">
        <f t="shared" si="46"/>
        <v>0.23828807339295358</v>
      </c>
      <c r="T193" s="1066">
        <f t="shared" si="46"/>
        <v>0.27870192226407053</v>
      </c>
      <c r="U193" s="1067">
        <f t="shared" si="46"/>
        <v>-0.14309331637647091</v>
      </c>
      <c r="V193" s="1068">
        <f t="shared" si="46"/>
        <v>0.2718321660431175</v>
      </c>
      <c r="W193" s="1060">
        <f t="shared" si="46"/>
        <v>3.3609629735961127E-2</v>
      </c>
      <c r="X193" s="1060">
        <f t="shared" si="46"/>
        <v>0.13713050455108242</v>
      </c>
      <c r="Y193" s="1069" t="str">
        <f t="shared" si="46"/>
        <v>A-</v>
      </c>
      <c r="Z193" s="1070" t="str">
        <f>VLOOKUP($B193,$B$7:$AC$28,Z$37+1,FALSE)</f>
        <v>=  =  =</v>
      </c>
      <c r="AA193" s="1064">
        <f t="shared" si="47"/>
        <v>2.0880314655341889</v>
      </c>
      <c r="AB193" s="1071">
        <f t="shared" si="47"/>
        <v>-3.7762767487534328E-2</v>
      </c>
      <c r="AC193" s="1065">
        <f t="shared" si="47"/>
        <v>2.3348198024327131</v>
      </c>
      <c r="AD193" s="949"/>
      <c r="AE193" s="949"/>
      <c r="AF193" s="949"/>
      <c r="AG193" s="2129"/>
      <c r="AH193" s="949"/>
      <c r="AI193" s="949"/>
      <c r="AJ193" s="949"/>
      <c r="AK193" s="949"/>
      <c r="AL193" s="949"/>
      <c r="AM193" s="949"/>
      <c r="AN193" s="949"/>
      <c r="AO193" s="949"/>
      <c r="AP193" s="949"/>
      <c r="AQ193" s="949"/>
      <c r="AR193" s="110"/>
      <c r="AS193" s="110"/>
      <c r="AT193" s="110"/>
      <c r="AU193" s="949"/>
      <c r="AV193" s="949"/>
      <c r="AW193" s="949"/>
      <c r="AX193" s="949"/>
      <c r="AY193" s="949"/>
      <c r="AZ193" s="949"/>
      <c r="BA193" s="949"/>
      <c r="BB193" s="949"/>
      <c r="BC193" s="949"/>
      <c r="BD193" s="949"/>
      <c r="BE193" s="2267"/>
    </row>
    <row r="194" spans="1:57">
      <c r="A194" s="1090" t="s">
        <v>500</v>
      </c>
      <c r="B194" s="73" t="s">
        <v>279</v>
      </c>
      <c r="C194" s="1085">
        <f t="shared" si="45"/>
        <v>20617.292984255655</v>
      </c>
      <c r="D194" s="1086">
        <f t="shared" si="45"/>
        <v>5.2826525044090682E-2</v>
      </c>
      <c r="E194" s="1060">
        <f t="shared" si="45"/>
        <v>0.37985561177970401</v>
      </c>
      <c r="F194" s="1060">
        <f t="shared" si="45"/>
        <v>0.48163119068534294</v>
      </c>
      <c r="G194" s="1061">
        <f t="shared" si="45"/>
        <v>23766.623796323693</v>
      </c>
      <c r="H194" s="1062">
        <f t="shared" si="45"/>
        <v>6.5814421871090864E-2</v>
      </c>
      <c r="I194" s="1063">
        <f t="shared" si="45"/>
        <v>1.8990159277875758</v>
      </c>
      <c r="J194" s="1063">
        <f t="shared" si="45"/>
        <v>2.509154465418888</v>
      </c>
      <c r="K194" s="1064">
        <f t="shared" si="45"/>
        <v>5.7229254321128114</v>
      </c>
      <c r="L194" s="1060">
        <f t="shared" si="45"/>
        <v>4.5724350121793801E-2</v>
      </c>
      <c r="M194" s="1065">
        <f t="shared" si="46"/>
        <v>6.1939465303838475</v>
      </c>
      <c r="N194" s="1066">
        <f t="shared" si="46"/>
        <v>0.7344324868237998</v>
      </c>
      <c r="O194" s="1067">
        <f t="shared" si="46"/>
        <v>0.10784712869930438</v>
      </c>
      <c r="P194" s="104">
        <f t="shared" si="46"/>
        <v>0.74956908795771016</v>
      </c>
      <c r="Q194" s="1066">
        <f t="shared" si="46"/>
        <v>0.14726898954609682</v>
      </c>
      <c r="R194" s="1067">
        <f t="shared" si="46"/>
        <v>4.9939774449528171E-2</v>
      </c>
      <c r="S194" s="1068">
        <f t="shared" si="46"/>
        <v>0.17272839211728983</v>
      </c>
      <c r="T194" s="1066">
        <f t="shared" si="46"/>
        <v>0.18443136241749356</v>
      </c>
      <c r="U194" s="1067">
        <f t="shared" si="46"/>
        <v>-5.7258906752796622E-2</v>
      </c>
      <c r="V194" s="1068">
        <f t="shared" si="46"/>
        <v>0.198117589718218</v>
      </c>
      <c r="W194" s="1060">
        <f t="shared" si="46"/>
        <v>3.7162372871396732E-2</v>
      </c>
      <c r="X194" s="1060">
        <f t="shared" si="46"/>
        <v>0.25234350412762557</v>
      </c>
      <c r="Y194" s="1069" t="str">
        <f t="shared" si="46"/>
        <v>A-</v>
      </c>
      <c r="Z194" s="1070" t="str">
        <f>VLOOKUP($B194,$B$7:$AC$28,Z$37+1,FALSE)</f>
        <v>=  =  -</v>
      </c>
      <c r="AA194" s="1064">
        <f t="shared" si="47"/>
        <v>1.0395975936863313</v>
      </c>
      <c r="AB194" s="1071">
        <f t="shared" si="47"/>
        <v>2.9438923535487854E-2</v>
      </c>
      <c r="AC194" s="1065">
        <f t="shared" si="47"/>
        <v>1.2087727199953455</v>
      </c>
      <c r="AD194" s="949"/>
      <c r="AE194" s="949"/>
      <c r="AF194" s="949"/>
      <c r="AG194" s="2129"/>
      <c r="AH194" s="949"/>
      <c r="AI194" s="949"/>
      <c r="AJ194" s="949"/>
      <c r="AK194" s="949"/>
      <c r="AL194" s="949"/>
      <c r="AM194" s="949"/>
      <c r="AN194" s="949"/>
      <c r="AO194" s="949"/>
      <c r="AP194" s="949"/>
      <c r="AQ194" s="949"/>
      <c r="AR194" s="110"/>
      <c r="AS194" s="110"/>
      <c r="AT194" s="110"/>
      <c r="AU194" s="949"/>
      <c r="AV194" s="949"/>
      <c r="AW194" s="949"/>
      <c r="AX194" s="949"/>
      <c r="AY194" s="949"/>
      <c r="AZ194" s="949"/>
      <c r="BA194" s="949"/>
      <c r="BB194" s="949"/>
      <c r="BC194" s="949"/>
      <c r="BD194" s="949"/>
      <c r="BE194" s="2267"/>
    </row>
    <row r="195" spans="1:57">
      <c r="A195" s="1090" t="s">
        <v>503</v>
      </c>
      <c r="B195" s="73" t="s">
        <v>282</v>
      </c>
      <c r="C195" s="1085">
        <f t="shared" si="45"/>
        <v>22949.481858519866</v>
      </c>
      <c r="D195" s="1086">
        <f t="shared" si="45"/>
        <v>5.8802160840116385E-2</v>
      </c>
      <c r="E195" s="1060">
        <f t="shared" si="45"/>
        <v>-8.3288171902550459E-2</v>
      </c>
      <c r="F195" s="1060">
        <f t="shared" si="45"/>
        <v>1.8487407003088485E-2</v>
      </c>
      <c r="G195" s="1061">
        <f t="shared" si="45"/>
        <v>21731.57918967646</v>
      </c>
      <c r="H195" s="1062">
        <f t="shared" si="45"/>
        <v>6.0178986000343146E-2</v>
      </c>
      <c r="I195" s="1063">
        <f t="shared" si="45"/>
        <v>1.7647070716020126</v>
      </c>
      <c r="J195" s="1063">
        <f t="shared" si="45"/>
        <v>1.7786623686113903</v>
      </c>
      <c r="K195" s="1064">
        <f t="shared" si="45"/>
        <v>7.5628972253366413</v>
      </c>
      <c r="L195" s="1060">
        <f t="shared" si="45"/>
        <v>2.1076957712408067E-2</v>
      </c>
      <c r="M195" s="1065">
        <f t="shared" si="46"/>
        <v>7.6896404016441506</v>
      </c>
      <c r="N195" s="1066">
        <f t="shared" si="46"/>
        <v>0.67984865616162071</v>
      </c>
      <c r="O195" s="1067">
        <f t="shared" si="46"/>
        <v>0.13956056160252914</v>
      </c>
      <c r="P195" s="104">
        <f t="shared" si="46"/>
        <v>0.7167630057803468</v>
      </c>
      <c r="Q195" s="1066">
        <f t="shared" si="46"/>
        <v>0.23215418017261674</v>
      </c>
      <c r="R195" s="1067">
        <f t="shared" si="46"/>
        <v>0.36187217108516367</v>
      </c>
      <c r="S195" s="1068">
        <f t="shared" si="46"/>
        <v>0.26525179681706468</v>
      </c>
      <c r="T195" s="1066">
        <f t="shared" si="46"/>
        <v>0.2501311526811702</v>
      </c>
      <c r="U195" s="1067">
        <f t="shared" si="46"/>
        <v>0.31916438327965047</v>
      </c>
      <c r="V195" s="1068">
        <f t="shared" si="46"/>
        <v>0.28287599661626001</v>
      </c>
      <c r="W195" s="1060">
        <f t="shared" si="46"/>
        <v>1.7976972508553457E-2</v>
      </c>
      <c r="X195" s="1060">
        <f t="shared" si="46"/>
        <v>7.7435489187344358E-2</v>
      </c>
      <c r="Y195" s="1069" t="str">
        <f t="shared" si="46"/>
        <v>A-</v>
      </c>
      <c r="Z195" s="1070" t="str">
        <f>VLOOKUP($B195,$B$7:$AC$28,Z$37+1,FALSE)</f>
        <v>=  =  =</v>
      </c>
      <c r="AA195" s="1064">
        <f t="shared" si="47"/>
        <v>1.845874038975184</v>
      </c>
      <c r="AB195" s="1071">
        <f t="shared" si="47"/>
        <v>0.36079457239176377</v>
      </c>
      <c r="AC195" s="1065">
        <f t="shared" si="47"/>
        <v>2.1424428051274771</v>
      </c>
      <c r="AD195" s="949"/>
      <c r="AE195" s="949"/>
      <c r="AF195" s="949"/>
      <c r="AG195" s="2129"/>
      <c r="AH195" s="949"/>
      <c r="AI195" s="949"/>
      <c r="AJ195" s="949"/>
      <c r="AK195" s="949"/>
      <c r="AL195" s="949"/>
      <c r="AM195" s="949"/>
      <c r="AN195" s="949"/>
      <c r="AO195" s="949"/>
      <c r="AP195" s="949"/>
      <c r="AQ195" s="949"/>
      <c r="AR195" s="110"/>
      <c r="AS195" s="110"/>
      <c r="AT195" s="110"/>
      <c r="AU195" s="949"/>
      <c r="AV195" s="949"/>
      <c r="AW195" s="949"/>
      <c r="AX195" s="949"/>
      <c r="AY195" s="949"/>
      <c r="AZ195" s="949"/>
      <c r="BA195" s="949"/>
      <c r="BB195" s="949"/>
      <c r="BC195" s="949"/>
      <c r="BD195" s="949"/>
      <c r="BE195" s="2267"/>
    </row>
    <row r="196" spans="1:57">
      <c r="A196" s="1090" t="s">
        <v>73</v>
      </c>
      <c r="B196" s="73" t="s">
        <v>283</v>
      </c>
      <c r="C196" s="1085">
        <f t="shared" si="45"/>
        <v>2461.5190857142857</v>
      </c>
      <c r="D196" s="1086">
        <f t="shared" si="45"/>
        <v>6.3070112903421734E-3</v>
      </c>
      <c r="E196" s="1060">
        <f t="shared" si="45"/>
        <v>6.738754525599433E-2</v>
      </c>
      <c r="F196" s="1060">
        <f t="shared" si="45"/>
        <v>0.16916312416163326</v>
      </c>
      <c r="G196" s="1061">
        <f t="shared" si="45"/>
        <v>2364.3629999999998</v>
      </c>
      <c r="H196" s="1062">
        <f t="shared" si="45"/>
        <v>6.5473828033777437E-3</v>
      </c>
      <c r="I196" s="1063">
        <f t="shared" si="45"/>
        <v>3.1397518024733277</v>
      </c>
      <c r="J196" s="1063">
        <f t="shared" si="45"/>
        <v>3.0995844257996854</v>
      </c>
      <c r="K196" s="1064">
        <f t="shared" si="45"/>
        <v>6.6917014692746157</v>
      </c>
      <c r="L196" s="1060">
        <f t="shared" si="45"/>
        <v>0.14721542174528052</v>
      </c>
      <c r="M196" s="1065">
        <f t="shared" si="46"/>
        <v>7.0127743881429545</v>
      </c>
      <c r="N196" s="1066">
        <f t="shared" si="46"/>
        <v>0.62657499999999999</v>
      </c>
      <c r="O196" s="1067">
        <f t="shared" si="46"/>
        <v>5.5614710459497153E-2</v>
      </c>
      <c r="P196" s="104">
        <f t="shared" si="46"/>
        <v>0.64439999999999997</v>
      </c>
      <c r="Q196" s="1066">
        <f t="shared" si="46"/>
        <v>0.24190098439360719</v>
      </c>
      <c r="R196" s="1067">
        <f t="shared" si="46"/>
        <v>0.20667512064869559</v>
      </c>
      <c r="S196" s="1068">
        <f t="shared" si="46"/>
        <v>0.30597960586046052</v>
      </c>
      <c r="T196" s="1066">
        <f t="shared" si="46"/>
        <v>0.2616424852780464</v>
      </c>
      <c r="U196" s="1067">
        <f t="shared" si="46"/>
        <v>0.20296552626351777</v>
      </c>
      <c r="V196" s="1068">
        <f t="shared" si="46"/>
        <v>0.32061814749302248</v>
      </c>
      <c r="W196" s="1060">
        <f t="shared" si="46"/>
        <v>1.9741500884439211E-2</v>
      </c>
      <c r="X196" s="1060">
        <f t="shared" si="46"/>
        <v>8.1609841042717679E-2</v>
      </c>
      <c r="Y196" s="1069" t="str">
        <f t="shared" si="46"/>
        <v>BBB</v>
      </c>
      <c r="Z196" s="1070" t="str">
        <f>VLOOKUP($B196,$B$7:$AC$28,Z$37+1,FALSE)</f>
        <v>=  =  -</v>
      </c>
      <c r="AA196" s="1064">
        <f t="shared" si="47"/>
        <v>1.7511002028712532</v>
      </c>
      <c r="AB196" s="1071">
        <f t="shared" si="47"/>
        <v>0.37093258903528414</v>
      </c>
      <c r="AC196" s="1065">
        <f t="shared" si="47"/>
        <v>2.2311132077757287</v>
      </c>
      <c r="AD196" s="949"/>
      <c r="AE196" s="949"/>
      <c r="AF196" s="949"/>
      <c r="AG196" s="2129"/>
      <c r="AH196" s="949"/>
      <c r="AI196" s="949"/>
      <c r="AJ196" s="949"/>
      <c r="AK196" s="949"/>
      <c r="AL196" s="949"/>
      <c r="AM196" s="949"/>
      <c r="AN196" s="949"/>
      <c r="AO196" s="949"/>
      <c r="AP196" s="949"/>
      <c r="AQ196" s="949"/>
      <c r="AR196" s="110"/>
      <c r="AS196" s="110"/>
      <c r="AT196" s="110"/>
      <c r="AU196" s="949"/>
      <c r="AV196" s="949"/>
      <c r="AW196" s="949"/>
      <c r="AX196" s="949"/>
      <c r="AY196" s="949"/>
      <c r="AZ196" s="949"/>
      <c r="BA196" s="949"/>
      <c r="BB196" s="949"/>
      <c r="BC196" s="949"/>
      <c r="BD196" s="949"/>
      <c r="BE196" s="2267"/>
    </row>
    <row r="197" spans="1:57">
      <c r="A197" s="1090" t="s">
        <v>217</v>
      </c>
      <c r="B197" s="73" t="s">
        <v>53</v>
      </c>
      <c r="C197" s="1085">
        <f t="shared" si="45"/>
        <v>60036.853628571422</v>
      </c>
      <c r="D197" s="1086">
        <f t="shared" si="45"/>
        <v>0.15382903828354536</v>
      </c>
      <c r="E197" s="1060">
        <f t="shared" si="45"/>
        <v>-0.3618479655094986</v>
      </c>
      <c r="F197" s="1060">
        <f t="shared" si="45"/>
        <v>-0.26007238660385967</v>
      </c>
      <c r="G197" s="1061">
        <f t="shared" si="45"/>
        <v>44430.485000000001</v>
      </c>
      <c r="H197" s="1062">
        <f t="shared" si="45"/>
        <v>0.1230366882897139</v>
      </c>
      <c r="I197" s="1063">
        <f t="shared" si="45"/>
        <v>2.2644833808097031</v>
      </c>
      <c r="J197" s="1063">
        <f t="shared" si="45"/>
        <v>1.7716210773954304</v>
      </c>
      <c r="K197" s="1064">
        <f t="shared" si="45"/>
        <v>5.7304428558288603</v>
      </c>
      <c r="L197" s="1060">
        <f t="shared" si="45"/>
        <v>-7.3155042359885195E-2</v>
      </c>
      <c r="M197" s="1065">
        <f t="shared" si="46"/>
        <v>5.1937231412225326</v>
      </c>
      <c r="N197" s="1066">
        <f t="shared" si="46"/>
        <v>0.6158872479982318</v>
      </c>
      <c r="O197" s="1067">
        <f t="shared" si="46"/>
        <v>0.11044311863454735</v>
      </c>
      <c r="P197" s="104">
        <f t="shared" si="46"/>
        <v>0.66127040038880336</v>
      </c>
      <c r="Q197" s="1066">
        <f t="shared" si="46"/>
        <v>0.48384306036910518</v>
      </c>
      <c r="R197" s="1067">
        <f t="shared" si="46"/>
        <v>0.2595878527386451</v>
      </c>
      <c r="S197" s="1068">
        <f t="shared" si="46"/>
        <v>0.54381370963962039</v>
      </c>
      <c r="T197" s="1066">
        <f t="shared" si="46"/>
        <v>0.51513010935716153</v>
      </c>
      <c r="U197" s="1067">
        <f t="shared" si="46"/>
        <v>0.26130995158024306</v>
      </c>
      <c r="V197" s="1068">
        <f t="shared" si="46"/>
        <v>0.57929804018594233</v>
      </c>
      <c r="W197" s="1060">
        <f t="shared" si="46"/>
        <v>3.1287048988056343E-2</v>
      </c>
      <c r="X197" s="1060">
        <f t="shared" si="46"/>
        <v>6.4663630732222685E-2</v>
      </c>
      <c r="Y197" s="1069" t="str">
        <f t="shared" si="46"/>
        <v>BBB</v>
      </c>
      <c r="Z197" s="1070" t="str">
        <f>VLOOKUP($B197,$B$7:$AC$28,Z$37+1,FALSE)</f>
        <v>¯  ¯ ¯</v>
      </c>
      <c r="AA197" s="1064">
        <f t="shared" si="47"/>
        <v>2.7929780820851775</v>
      </c>
      <c r="AB197" s="1071">
        <f t="shared" si="47"/>
        <v>0.12404595260605845</v>
      </c>
      <c r="AC197" s="1065">
        <f t="shared" si="47"/>
        <v>2.8353348809740444</v>
      </c>
      <c r="AD197" s="949"/>
      <c r="AE197" s="949"/>
      <c r="AF197" s="949"/>
      <c r="AG197" s="2129"/>
      <c r="AH197" s="949"/>
      <c r="AI197" s="949"/>
      <c r="AJ197" s="949"/>
      <c r="AK197" s="949"/>
      <c r="AL197" s="949"/>
      <c r="AM197" s="949"/>
      <c r="AN197" s="949"/>
      <c r="AO197" s="949"/>
      <c r="AP197" s="949"/>
      <c r="AQ197" s="949"/>
      <c r="AR197" s="110"/>
      <c r="AS197" s="110"/>
      <c r="AT197" s="110"/>
      <c r="AU197" s="949"/>
      <c r="AV197" s="949"/>
      <c r="AW197" s="949"/>
      <c r="AX197" s="949"/>
      <c r="AY197" s="949"/>
      <c r="AZ197" s="949"/>
      <c r="BA197" s="949"/>
      <c r="BB197" s="949"/>
      <c r="BC197" s="949"/>
      <c r="BD197" s="949"/>
      <c r="BE197" s="2267"/>
    </row>
    <row r="198" spans="1:57">
      <c r="A198" s="1090" t="s">
        <v>503</v>
      </c>
      <c r="B198" s="73" t="s">
        <v>280</v>
      </c>
      <c r="C198" s="1085">
        <f t="shared" si="45"/>
        <v>5769.8566757446433</v>
      </c>
      <c r="D198" s="1086">
        <f t="shared" si="45"/>
        <v>1.4783777793466828E-2</v>
      </c>
      <c r="E198" s="1060">
        <f t="shared" si="45"/>
        <v>-0.24705029723080094</v>
      </c>
      <c r="F198" s="1060">
        <f t="shared" si="45"/>
        <v>-0.14527471832516198</v>
      </c>
      <c r="G198" s="1061">
        <f t="shared" si="45"/>
        <v>4026.3480952657014</v>
      </c>
      <c r="H198" s="1062">
        <f t="shared" si="45"/>
        <v>1.1149744044952231E-2</v>
      </c>
      <c r="I198" s="1063">
        <f t="shared" si="45"/>
        <v>2.446298838298576</v>
      </c>
      <c r="J198" s="1063">
        <f t="shared" si="45"/>
        <v>1.6476276710656086</v>
      </c>
      <c r="K198" s="1064">
        <f t="shared" si="45"/>
        <v>6.5589809256196414</v>
      </c>
      <c r="L198" s="1060">
        <f t="shared" si="45"/>
        <v>1.2127469272410992E-3</v>
      </c>
      <c r="M198" s="1065">
        <f t="shared" si="46"/>
        <v>5.5145354419406587</v>
      </c>
      <c r="N198" s="1066">
        <f t="shared" si="46"/>
        <v>0.67083419702973635</v>
      </c>
      <c r="O198" s="1067">
        <f t="shared" si="46"/>
        <v>-0.11335389957676706</v>
      </c>
      <c r="P198" s="104">
        <f t="shared" si="46"/>
        <v>0.63639387890884902</v>
      </c>
      <c r="Q198" s="1066">
        <f t="shared" si="46"/>
        <v>0.1536920907726812</v>
      </c>
      <c r="R198" s="1067">
        <f t="shared" si="46"/>
        <v>1.6283818604559013</v>
      </c>
      <c r="S198" s="1068">
        <f t="shared" si="46"/>
        <v>0.2022242346359609</v>
      </c>
      <c r="T198" s="1066">
        <f t="shared" si="46"/>
        <v>0.20961441125119315</v>
      </c>
      <c r="U198" s="1067">
        <f t="shared" si="46"/>
        <v>0.84200521424561081</v>
      </c>
      <c r="V198" s="1068">
        <f t="shared" si="46"/>
        <v>0.28147528322389997</v>
      </c>
      <c r="W198" s="1060">
        <f t="shared" si="46"/>
        <v>5.592232047851195E-2</v>
      </c>
      <c r="X198" s="1060">
        <f t="shared" si="46"/>
        <v>0.36385945559959909</v>
      </c>
      <c r="Y198" s="1069" t="str">
        <f t="shared" si="46"/>
        <v>Not rated</v>
      </c>
      <c r="Z198" s="1070"/>
      <c r="AA198" s="1064">
        <f t="shared" si="47"/>
        <v>1.4399592566697517</v>
      </c>
      <c r="AB198" s="1071">
        <f t="shared" si="47"/>
        <v>0.8442860967329926</v>
      </c>
      <c r="AC198" s="1065">
        <f t="shared" si="47"/>
        <v>1.5521418473212367</v>
      </c>
      <c r="AD198" s="949"/>
      <c r="AE198" s="949"/>
      <c r="AF198" s="949"/>
      <c r="AG198" s="2129"/>
      <c r="AH198" s="949"/>
      <c r="AI198" s="949"/>
      <c r="AJ198" s="949"/>
      <c r="AK198" s="949"/>
      <c r="AL198" s="949"/>
      <c r="AM198" s="949"/>
      <c r="AN198" s="949"/>
      <c r="AO198" s="949"/>
      <c r="AP198" s="949"/>
      <c r="AQ198" s="949"/>
      <c r="AR198" s="110"/>
      <c r="AS198" s="110"/>
      <c r="AT198" s="110"/>
      <c r="AU198" s="949"/>
      <c r="AV198" s="949"/>
      <c r="AW198" s="949"/>
      <c r="AX198" s="949"/>
      <c r="AY198" s="949"/>
      <c r="AZ198" s="949"/>
      <c r="BA198" s="949"/>
      <c r="BB198" s="949"/>
      <c r="BC198" s="949"/>
      <c r="BD198" s="949"/>
      <c r="BE198" s="2267"/>
    </row>
    <row r="199" spans="1:57">
      <c r="A199" s="1090" t="s">
        <v>498</v>
      </c>
      <c r="B199" s="73" t="s">
        <v>52</v>
      </c>
      <c r="C199" s="1085">
        <f t="shared" si="45"/>
        <v>40464.923042857146</v>
      </c>
      <c r="D199" s="1086">
        <f t="shared" si="45"/>
        <v>0.1036809862557167</v>
      </c>
      <c r="E199" s="1060">
        <f t="shared" si="45"/>
        <v>-6.1458653761923776E-2</v>
      </c>
      <c r="F199" s="1060">
        <f t="shared" si="45"/>
        <v>4.0316925143715168E-2</v>
      </c>
      <c r="G199" s="1061">
        <f t="shared" si="45"/>
        <v>39791.94</v>
      </c>
      <c r="H199" s="1062">
        <f t="shared" si="45"/>
        <v>0.1101916514803518</v>
      </c>
      <c r="I199" s="1063">
        <f t="shared" si="45"/>
        <v>1.0840589348936991</v>
      </c>
      <c r="J199" s="1063">
        <f t="shared" si="45"/>
        <v>1.2733420800000002</v>
      </c>
      <c r="K199" s="1064">
        <f t="shared" si="45"/>
        <v>4.9157277486128619</v>
      </c>
      <c r="L199" s="1060">
        <f t="shared" si="45"/>
        <v>0.1448238320606966</v>
      </c>
      <c r="M199" s="1065">
        <f t="shared" si="46"/>
        <v>5.2964626193065953</v>
      </c>
      <c r="N199" s="1066">
        <f t="shared" si="46"/>
        <v>0.61</v>
      </c>
      <c r="O199" s="1067">
        <f t="shared" si="46"/>
        <v>0</v>
      </c>
      <c r="P199" s="104">
        <f t="shared" si="46"/>
        <v>0.62983042679437373</v>
      </c>
      <c r="Q199" s="1066">
        <f t="shared" si="46"/>
        <v>0.51528895508035288</v>
      </c>
      <c r="R199" s="1067">
        <f t="shared" si="46"/>
        <v>-2.4931247740904369E-2</v>
      </c>
      <c r="S199" s="1068">
        <f t="shared" si="46"/>
        <v>0.51939744871548044</v>
      </c>
      <c r="T199" s="1066">
        <f t="shared" si="46"/>
        <v>0.58808850315066874</v>
      </c>
      <c r="U199" s="1067">
        <f t="shared" si="46"/>
        <v>-2.8226553900756759E-2</v>
      </c>
      <c r="V199" s="1068">
        <f t="shared" si="46"/>
        <v>0.59074959904524027</v>
      </c>
      <c r="W199" s="1060">
        <f t="shared" si="46"/>
        <v>7.2799548070315856E-2</v>
      </c>
      <c r="X199" s="1060">
        <f t="shared" si="46"/>
        <v>0.14127907721011346</v>
      </c>
      <c r="Y199" s="1069" t="str">
        <f t="shared" si="46"/>
        <v>BBB+</v>
      </c>
      <c r="Z199" s="1070" t="str">
        <f t="shared" ref="Z199:Z207" si="48">VLOOKUP($B199,$B$7:$AC$28,Z$37+1,FALSE)</f>
        <v>=  =  =</v>
      </c>
      <c r="AA199" s="1064">
        <f t="shared" si="47"/>
        <v>2.7906818261625395</v>
      </c>
      <c r="AB199" s="1071">
        <f t="shared" si="47"/>
        <v>8.5841806528642844E-2</v>
      </c>
      <c r="AC199" s="1065">
        <f t="shared" si="47"/>
        <v>2.9178287645268703</v>
      </c>
      <c r="AD199" s="949"/>
      <c r="AE199" s="949"/>
      <c r="AF199" s="949"/>
      <c r="AG199" s="2129"/>
      <c r="AH199" s="949"/>
      <c r="AI199" s="949"/>
      <c r="AJ199" s="949"/>
      <c r="AK199" s="949"/>
      <c r="AL199" s="949"/>
      <c r="AM199" s="949"/>
      <c r="AN199" s="949"/>
      <c r="AO199" s="949"/>
      <c r="AP199" s="949"/>
      <c r="AQ199" s="949"/>
      <c r="AR199" s="110"/>
      <c r="AS199" s="110"/>
      <c r="AT199" s="110"/>
      <c r="AU199" s="949"/>
      <c r="AV199" s="949"/>
      <c r="AW199" s="949"/>
      <c r="AX199" s="949"/>
      <c r="AY199" s="949"/>
      <c r="AZ199" s="949"/>
      <c r="BA199" s="949"/>
      <c r="BB199" s="949"/>
      <c r="BC199" s="949"/>
      <c r="BD199" s="949"/>
      <c r="BE199" s="2267"/>
    </row>
    <row r="200" spans="1:57">
      <c r="A200" s="1090" t="s">
        <v>19</v>
      </c>
      <c r="B200" s="150" t="s">
        <v>286</v>
      </c>
      <c r="C200" s="1085">
        <f t="shared" si="45"/>
        <v>31174.883771428573</v>
      </c>
      <c r="D200" s="1086">
        <f t="shared" si="45"/>
        <v>7.9877643469276421E-2</v>
      </c>
      <c r="E200" s="1060">
        <f t="shared" si="45"/>
        <v>-0.49416922878378883</v>
      </c>
      <c r="F200" s="1060">
        <f t="shared" si="45"/>
        <v>-0.3923936498781499</v>
      </c>
      <c r="G200" s="1061">
        <f t="shared" si="45"/>
        <v>19124.593099999998</v>
      </c>
      <c r="H200" s="1062">
        <f t="shared" si="45"/>
        <v>5.2959732488004868E-2</v>
      </c>
      <c r="I200" s="1063">
        <f t="shared" si="45"/>
        <v>1.0546425468926217</v>
      </c>
      <c r="J200" s="1063">
        <f t="shared" si="45"/>
        <v>0.72989058468819168</v>
      </c>
      <c r="K200" s="1064">
        <f t="shared" si="45"/>
        <v>4.913128503955539</v>
      </c>
      <c r="L200" s="1060">
        <f t="shared" si="45"/>
        <v>-0.19812930900653591</v>
      </c>
      <c r="M200" s="1065">
        <f t="shared" si="46"/>
        <v>4.438539176760524</v>
      </c>
      <c r="N200" s="1066">
        <f t="shared" si="46"/>
        <v>0.60741568747204655</v>
      </c>
      <c r="O200" s="1067">
        <f t="shared" si="46"/>
        <v>4.0950219141690898E-2</v>
      </c>
      <c r="P200" s="104">
        <f t="shared" si="46"/>
        <v>0.62738172243152124</v>
      </c>
      <c r="Q200" s="1066">
        <f t="shared" si="46"/>
        <v>0.50834561454306215</v>
      </c>
      <c r="R200" s="1067">
        <f t="shared" si="46"/>
        <v>0.27477182203191691</v>
      </c>
      <c r="S200" s="1068">
        <f t="shared" si="46"/>
        <v>0.61196382356206247</v>
      </c>
      <c r="T200" s="1066">
        <f t="shared" si="46"/>
        <v>0.54898628094174651</v>
      </c>
      <c r="U200" s="1067">
        <f t="shared" si="46"/>
        <v>0.26756473067663017</v>
      </c>
      <c r="V200" s="1068">
        <f t="shared" si="46"/>
        <v>0.65530118542007598</v>
      </c>
      <c r="W200" s="1060">
        <f t="shared" si="46"/>
        <v>4.0640666398684355E-2</v>
      </c>
      <c r="X200" s="1060">
        <f t="shared" si="46"/>
        <v>7.9946920433679999E-2</v>
      </c>
      <c r="Y200" s="1069" t="str">
        <f t="shared" si="46"/>
        <v>BBB+</v>
      </c>
      <c r="Z200" s="1070" t="str">
        <f t="shared" si="48"/>
        <v>=  ¯ ¯</v>
      </c>
      <c r="AA200" s="1064">
        <f t="shared" si="47"/>
        <v>2.5321561588471506</v>
      </c>
      <c r="AB200" s="1071">
        <f t="shared" si="47"/>
        <v>1.3257606300410854E-2</v>
      </c>
      <c r="AC200" s="1065">
        <f t="shared" si="47"/>
        <v>2.8138910595815916</v>
      </c>
      <c r="AD200" s="949"/>
      <c r="AE200" s="949"/>
      <c r="AF200" s="949"/>
      <c r="AG200" s="2129"/>
      <c r="AH200" s="949"/>
      <c r="AI200" s="949"/>
      <c r="AJ200" s="949"/>
      <c r="AK200" s="949"/>
      <c r="AL200" s="949"/>
      <c r="AM200" s="949"/>
      <c r="AN200" s="949"/>
      <c r="AO200" s="949"/>
      <c r="AP200" s="949"/>
      <c r="AQ200" s="949"/>
      <c r="AR200" s="110"/>
      <c r="AS200" s="110"/>
      <c r="AT200" s="110"/>
      <c r="AU200" s="949"/>
      <c r="AV200" s="949"/>
      <c r="AW200" s="949"/>
      <c r="AX200" s="949"/>
      <c r="AY200" s="949"/>
      <c r="AZ200" s="949"/>
      <c r="BA200" s="949"/>
      <c r="BB200" s="949"/>
      <c r="BC200" s="949"/>
      <c r="BD200" s="949"/>
      <c r="BE200" s="2267"/>
    </row>
    <row r="201" spans="1:57">
      <c r="A201" s="1090" t="s">
        <v>501</v>
      </c>
      <c r="B201" s="73" t="s">
        <v>44</v>
      </c>
      <c r="C201" s="1085">
        <f t="shared" ref="C201:L212" si="49">VLOOKUP($B201,$B$7:$AC$28,C$37+1,FALSE)</f>
        <v>12234.494271428572</v>
      </c>
      <c r="D201" s="1086">
        <f t="shared" si="49"/>
        <v>3.1347753486597643E-2</v>
      </c>
      <c r="E201" s="1060">
        <f t="shared" si="49"/>
        <v>-0.59766521701552</v>
      </c>
      <c r="F201" s="1060">
        <f t="shared" si="49"/>
        <v>-0.49588963810988107</v>
      </c>
      <c r="G201" s="1061">
        <f t="shared" si="49"/>
        <v>6819.5967000000001</v>
      </c>
      <c r="H201" s="1062">
        <f t="shared" si="49"/>
        <v>1.8884794830384175E-2</v>
      </c>
      <c r="I201" s="1063">
        <f t="shared" si="49"/>
        <v>3.9295455833111754</v>
      </c>
      <c r="J201" s="1063">
        <f t="shared" si="49"/>
        <v>1.2175677021960365</v>
      </c>
      <c r="K201" s="1064">
        <f t="shared" si="49"/>
        <v>5.0345645887817243</v>
      </c>
      <c r="L201" s="1060">
        <f t="shared" si="49"/>
        <v>-0.26680842971581226</v>
      </c>
      <c r="M201" s="1065">
        <f t="shared" ref="M201:Y212" si="50">VLOOKUP($B201,$B$7:$AC$28,M$37+1,FALSE)</f>
        <v>4.0325018858098245</v>
      </c>
      <c r="N201" s="1066">
        <f t="shared" si="50"/>
        <v>0.5805147103617575</v>
      </c>
      <c r="O201" s="1067">
        <f t="shared" si="50"/>
        <v>8.4948466413752491E-2</v>
      </c>
      <c r="P201" s="104">
        <f t="shared" si="50"/>
        <v>0.6264024463118032</v>
      </c>
      <c r="Q201" s="1066">
        <f t="shared" si="50"/>
        <v>0.51826084585195908</v>
      </c>
      <c r="R201" s="1067">
        <f t="shared" si="50"/>
        <v>0.40005999871326348</v>
      </c>
      <c r="S201" s="1068">
        <f t="shared" si="50"/>
        <v>0.58973938770950263</v>
      </c>
      <c r="T201" s="1066">
        <f t="shared" si="50"/>
        <v>0.5495689942142129</v>
      </c>
      <c r="U201" s="1067">
        <f t="shared" si="50"/>
        <v>0.40637993517884302</v>
      </c>
      <c r="V201" s="1068">
        <f t="shared" si="50"/>
        <v>0.63323863537070213</v>
      </c>
      <c r="W201" s="1060">
        <f t="shared" si="50"/>
        <v>3.1308148362253818E-2</v>
      </c>
      <c r="X201" s="1060">
        <f t="shared" si="50"/>
        <v>6.0410020577161203E-2</v>
      </c>
      <c r="Y201" s="1069" t="str">
        <f t="shared" si="50"/>
        <v>BBB-</v>
      </c>
      <c r="Z201" s="1070" t="str">
        <f t="shared" si="48"/>
        <v>=  ¯ =</v>
      </c>
      <c r="AA201" s="1064">
        <f t="shared" si="47"/>
        <v>2.643581803383519</v>
      </c>
      <c r="AB201" s="1071">
        <f t="shared" si="47"/>
        <v>2.8580691559688957E-2</v>
      </c>
      <c r="AC201" s="1065">
        <f t="shared" si="47"/>
        <v>2.5466878830879209</v>
      </c>
      <c r="AD201" s="949"/>
      <c r="AE201" s="949"/>
      <c r="AF201" s="949"/>
      <c r="AG201" s="2129"/>
      <c r="AH201" s="949"/>
      <c r="AI201" s="949"/>
      <c r="AJ201" s="949"/>
      <c r="AK201" s="949"/>
      <c r="AL201" s="949"/>
      <c r="AM201" s="949"/>
      <c r="AN201" s="949"/>
      <c r="AO201" s="949"/>
      <c r="AP201" s="949"/>
      <c r="AQ201" s="949"/>
      <c r="AR201" s="110"/>
      <c r="AS201" s="110"/>
      <c r="AT201" s="110"/>
      <c r="AU201" s="949"/>
      <c r="AV201" s="949"/>
      <c r="AW201" s="949"/>
      <c r="AX201" s="949"/>
      <c r="AY201" s="949"/>
      <c r="AZ201" s="949"/>
      <c r="BA201" s="949"/>
      <c r="BB201" s="949"/>
      <c r="BC201" s="949"/>
      <c r="BD201" s="949"/>
      <c r="BE201" s="2267"/>
    </row>
    <row r="202" spans="1:57">
      <c r="A202" s="1090" t="s">
        <v>385</v>
      </c>
      <c r="B202" s="73" t="s">
        <v>276</v>
      </c>
      <c r="C202" s="1085">
        <f t="shared" si="49"/>
        <v>3544.0522571428578</v>
      </c>
      <c r="D202" s="1086">
        <f t="shared" si="49"/>
        <v>9.0807248780183369E-3</v>
      </c>
      <c r="E202" s="1060">
        <f t="shared" si="49"/>
        <v>-0.4675424361384804</v>
      </c>
      <c r="F202" s="1060">
        <f t="shared" si="49"/>
        <v>-0.36576685723284147</v>
      </c>
      <c r="G202" s="1061">
        <f t="shared" si="49"/>
        <v>2152.6311000000001</v>
      </c>
      <c r="H202" s="1062">
        <f t="shared" si="49"/>
        <v>5.9610558303255963E-3</v>
      </c>
      <c r="I202" s="1063">
        <f t="shared" si="49"/>
        <v>3.4941691326062152</v>
      </c>
      <c r="J202" s="1063">
        <f t="shared" si="49"/>
        <v>2.2961398399999999</v>
      </c>
      <c r="K202" s="1064">
        <f t="shared" si="49"/>
        <v>4.4246190982470868</v>
      </c>
      <c r="L202" s="1060">
        <f t="shared" si="49"/>
        <v>-2.9835823683801648E-2</v>
      </c>
      <c r="M202" s="1065">
        <f t="shared" si="50"/>
        <v>4.0530525032062261</v>
      </c>
      <c r="N202" s="1066">
        <f t="shared" si="50"/>
        <v>0.60910298289809772</v>
      </c>
      <c r="O202" s="1067">
        <f t="shared" si="50"/>
        <v>-5.2071170724915891E-2</v>
      </c>
      <c r="P202" s="104">
        <f t="shared" si="50"/>
        <v>0.6207941242005639</v>
      </c>
      <c r="Q202" s="1066">
        <f t="shared" si="50"/>
        <v>0.49050145598877937</v>
      </c>
      <c r="R202" s="1067">
        <f t="shared" si="50"/>
        <v>0.42102559519407173</v>
      </c>
      <c r="S202" s="1068">
        <f t="shared" si="50"/>
        <v>0.61744816018521742</v>
      </c>
      <c r="T202" s="1066">
        <f t="shared" si="50"/>
        <v>0.49698573886957192</v>
      </c>
      <c r="U202" s="1067">
        <f t="shared" si="50"/>
        <v>0.41032171167013903</v>
      </c>
      <c r="V202" s="1068">
        <f t="shared" si="50"/>
        <v>0.62319136029119382</v>
      </c>
      <c r="W202" s="1060">
        <f t="shared" si="50"/>
        <v>6.4842828807925579E-3</v>
      </c>
      <c r="X202" s="1060">
        <f t="shared" si="50"/>
        <v>1.3219701596443154E-2</v>
      </c>
      <c r="Y202" s="1069" t="str">
        <f t="shared" si="50"/>
        <v>BBB</v>
      </c>
      <c r="Z202" s="1070" t="str">
        <f t="shared" si="48"/>
        <v>=  ¯ -</v>
      </c>
      <c r="AA202" s="1064">
        <f t="shared" si="47"/>
        <v>2.1902281092407181</v>
      </c>
      <c r="AB202" s="1071">
        <f t="shared" si="47"/>
        <v>0.36844726500440206</v>
      </c>
      <c r="AC202" s="1065">
        <f t="shared" si="47"/>
        <v>2.5252968522290931</v>
      </c>
      <c r="AD202" s="949"/>
      <c r="AE202" s="949"/>
      <c r="AF202" s="949"/>
      <c r="AG202" s="2129"/>
      <c r="AH202" s="949"/>
      <c r="AI202" s="949"/>
      <c r="AJ202" s="949"/>
      <c r="AK202" s="949"/>
      <c r="AL202" s="949"/>
      <c r="AM202" s="949"/>
      <c r="AN202" s="949"/>
      <c r="AO202" s="949"/>
      <c r="AP202" s="949"/>
      <c r="AQ202" s="949"/>
      <c r="AR202" s="110"/>
      <c r="AS202" s="110"/>
      <c r="AT202" s="110"/>
      <c r="AU202" s="949"/>
      <c r="AV202" s="949"/>
      <c r="AW202" s="949"/>
      <c r="AX202" s="949"/>
      <c r="AY202" s="949"/>
      <c r="AZ202" s="949"/>
      <c r="BA202" s="949"/>
      <c r="BB202" s="949"/>
      <c r="BC202" s="949"/>
      <c r="BD202" s="949"/>
      <c r="BE202" s="2267"/>
    </row>
    <row r="203" spans="1:57">
      <c r="A203" s="1090" t="s">
        <v>374</v>
      </c>
      <c r="B203" s="73" t="s">
        <v>42</v>
      </c>
      <c r="C203" s="1085">
        <f t="shared" si="49"/>
        <v>2432.5463571428577</v>
      </c>
      <c r="D203" s="1086">
        <f t="shared" si="49"/>
        <v>6.2327761047315808E-3</v>
      </c>
      <c r="E203" s="1060">
        <f t="shared" si="49"/>
        <v>-3.2258071946582277E-2</v>
      </c>
      <c r="F203" s="1060">
        <f t="shared" si="49"/>
        <v>6.9517506959056674E-2</v>
      </c>
      <c r="G203" s="1061">
        <f t="shared" si="49"/>
        <v>2940.9023000000002</v>
      </c>
      <c r="H203" s="1062">
        <f t="shared" si="49"/>
        <v>8.143932697912316E-3</v>
      </c>
      <c r="I203" s="1063">
        <f t="shared" si="49"/>
        <v>1.2689619717468461</v>
      </c>
      <c r="J203" s="1063">
        <f t="shared" si="49"/>
        <v>1.312316956715752</v>
      </c>
      <c r="K203" s="1064">
        <f t="shared" si="49"/>
        <v>3.8459062845563983</v>
      </c>
      <c r="L203" s="1060">
        <f t="shared" si="49"/>
        <v>3.4291324439135469E-2</v>
      </c>
      <c r="M203" s="1065">
        <f t="shared" si="50"/>
        <v>3.7439277362047823</v>
      </c>
      <c r="N203" s="1066">
        <f t="shared" si="50"/>
        <v>0.56323171407839789</v>
      </c>
      <c r="O203" s="1067">
        <f t="shared" si="50"/>
        <v>-0.12023286586287618</v>
      </c>
      <c r="P203" s="104">
        <f t="shared" si="50"/>
        <v>0.53987730061349704</v>
      </c>
      <c r="Q203" s="1066">
        <f t="shared" si="50"/>
        <v>0.60887331285954671</v>
      </c>
      <c r="R203" s="1067">
        <f t="shared" si="50"/>
        <v>-0.37303497156800469</v>
      </c>
      <c r="S203" s="1068">
        <f t="shared" si="50"/>
        <v>0.37659759063604481</v>
      </c>
      <c r="T203" s="1066">
        <f t="shared" si="50"/>
        <v>0.63388271448107447</v>
      </c>
      <c r="U203" s="1067">
        <f t="shared" si="50"/>
        <v>-0.25869992498286548</v>
      </c>
      <c r="V203" s="1068">
        <f t="shared" si="50"/>
        <v>0.44527495080222473</v>
      </c>
      <c r="W203" s="1060">
        <f t="shared" si="50"/>
        <v>2.500940162152776E-2</v>
      </c>
      <c r="X203" s="1060">
        <f t="shared" si="50"/>
        <v>4.1074885519406669E-2</v>
      </c>
      <c r="Y203" s="1069" t="str">
        <f t="shared" si="50"/>
        <v>B-</v>
      </c>
      <c r="Z203" s="1070" t="str">
        <f t="shared" si="48"/>
        <v>=  =  -</v>
      </c>
      <c r="AA203" s="1064">
        <f t="shared" si="47"/>
        <v>2.172629043332774</v>
      </c>
      <c r="AB203" s="1071">
        <f t="shared" si="47"/>
        <v>-0.22035736928264804</v>
      </c>
      <c r="AC203" s="1065">
        <f t="shared" si="47"/>
        <v>1.5517268924243866</v>
      </c>
      <c r="AD203" s="949"/>
      <c r="AE203" s="949"/>
      <c r="AF203" s="949"/>
      <c r="AG203" s="2129"/>
      <c r="AH203" s="949"/>
      <c r="AI203" s="949"/>
      <c r="AJ203" s="949"/>
      <c r="AK203" s="949"/>
      <c r="AL203" s="949"/>
      <c r="AM203" s="949"/>
      <c r="AN203" s="949"/>
      <c r="AO203" s="949"/>
      <c r="AP203" s="949"/>
      <c r="AQ203" s="949"/>
      <c r="AR203" s="110"/>
      <c r="AS203" s="110"/>
      <c r="AT203" s="110"/>
      <c r="AU203" s="949"/>
      <c r="AV203" s="949"/>
      <c r="AW203" s="949"/>
      <c r="AX203" s="949"/>
      <c r="AY203" s="949"/>
      <c r="AZ203" s="949"/>
      <c r="BA203" s="949"/>
      <c r="BB203" s="949"/>
      <c r="BC203" s="949"/>
      <c r="BD203" s="949"/>
      <c r="BE203" s="2267"/>
    </row>
    <row r="204" spans="1:57">
      <c r="A204" s="1090" t="s">
        <v>27</v>
      </c>
      <c r="B204" s="73" t="s">
        <v>54</v>
      </c>
      <c r="C204" s="1085">
        <f t="shared" si="49"/>
        <v>4745.1447857142857</v>
      </c>
      <c r="D204" s="1086">
        <f t="shared" si="49"/>
        <v>1.2158216408516635E-2</v>
      </c>
      <c r="E204" s="1060">
        <f t="shared" si="49"/>
        <v>-0.63447330491761056</v>
      </c>
      <c r="F204" s="1060">
        <f t="shared" si="49"/>
        <v>-0.53269772601197163</v>
      </c>
      <c r="G204" s="1061">
        <f t="shared" si="49"/>
        <v>2680.5724</v>
      </c>
      <c r="H204" s="1062">
        <f t="shared" si="49"/>
        <v>7.4230283738025878E-3</v>
      </c>
      <c r="I204" s="1063">
        <f t="shared" si="49"/>
        <v>1.3569881249181368</v>
      </c>
      <c r="J204" s="1063">
        <f t="shared" si="49"/>
        <v>1.0332545966156574</v>
      </c>
      <c r="K204" s="1064">
        <f t="shared" si="49"/>
        <v>6.3422811159545107</v>
      </c>
      <c r="L204" s="1060">
        <f t="shared" si="49"/>
        <v>-0.24924595564935845</v>
      </c>
      <c r="M204" s="1065">
        <f t="shared" si="50"/>
        <v>5.3369406950798908</v>
      </c>
      <c r="N204" s="1066">
        <f t="shared" si="50"/>
        <v>0.48460704112825509</v>
      </c>
      <c r="O204" s="1067">
        <f t="shared" si="50"/>
        <v>-0.18079580514885477</v>
      </c>
      <c r="P204" s="104">
        <f t="shared" si="50"/>
        <v>0.49497857034449522</v>
      </c>
      <c r="Q204" s="1066">
        <f t="shared" si="50"/>
        <v>0.56717095077467305</v>
      </c>
      <c r="R204" s="1067">
        <f t="shared" si="50"/>
        <v>0.64731222518720821</v>
      </c>
      <c r="S204" s="1068">
        <f t="shared" si="50"/>
        <v>0.74754623070756221</v>
      </c>
      <c r="T204" s="1066">
        <f t="shared" si="50"/>
        <v>0.5748403529709204</v>
      </c>
      <c r="U204" s="1067">
        <f t="shared" si="50"/>
        <v>0.5906099669472562</v>
      </c>
      <c r="V204" s="1068">
        <f t="shared" si="50"/>
        <v>0.7506672643344422</v>
      </c>
      <c r="W204" s="1060">
        <f t="shared" si="50"/>
        <v>7.6694021962473435E-3</v>
      </c>
      <c r="X204" s="1060">
        <f t="shared" si="50"/>
        <v>1.3522205581530675E-2</v>
      </c>
      <c r="Y204" s="1069" t="str">
        <f t="shared" si="50"/>
        <v>BBB-</v>
      </c>
      <c r="Z204" s="1070" t="str">
        <f t="shared" si="48"/>
        <v>¯  ¯ ¯</v>
      </c>
      <c r="AA204" s="1064">
        <f t="shared" si="47"/>
        <v>3.4278891827637503</v>
      </c>
      <c r="AB204" s="1071">
        <f t="shared" si="47"/>
        <v>0.24423537898737996</v>
      </c>
      <c r="AC204" s="1065">
        <f t="shared" si="47"/>
        <v>3.8230610288109381</v>
      </c>
      <c r="AD204" s="949"/>
      <c r="AE204" s="949"/>
      <c r="AF204" s="949"/>
      <c r="AG204" s="2129"/>
      <c r="AH204" s="949"/>
      <c r="AI204" s="949"/>
      <c r="AJ204" s="949"/>
      <c r="AK204" s="949"/>
      <c r="AL204" s="949"/>
      <c r="AM204" s="949"/>
      <c r="AN204" s="949"/>
      <c r="AO204" s="949"/>
      <c r="AP204" s="949"/>
      <c r="AQ204" s="949"/>
      <c r="AR204" s="110"/>
      <c r="AS204" s="110"/>
      <c r="AT204" s="110"/>
      <c r="AU204" s="949"/>
      <c r="AV204" s="949"/>
      <c r="AW204" s="949"/>
      <c r="AX204" s="949"/>
      <c r="AY204" s="949"/>
      <c r="AZ204" s="949"/>
      <c r="BA204" s="949"/>
      <c r="BB204" s="949"/>
      <c r="BC204" s="949"/>
      <c r="BD204" s="949"/>
      <c r="BE204" s="2267"/>
    </row>
    <row r="205" spans="1:57">
      <c r="A205" s="1090" t="s">
        <v>502</v>
      </c>
      <c r="B205" s="73" t="s">
        <v>287</v>
      </c>
      <c r="C205" s="1085">
        <f t="shared" si="49"/>
        <v>4580.8423286191064</v>
      </c>
      <c r="D205" s="1086">
        <f t="shared" si="49"/>
        <v>1.1737233504933111E-2</v>
      </c>
      <c r="E205" s="1060">
        <f t="shared" si="49"/>
        <v>-0.49577837871365099</v>
      </c>
      <c r="F205" s="1060">
        <f t="shared" si="49"/>
        <v>-0.39400279980801206</v>
      </c>
      <c r="G205" s="1061">
        <f t="shared" si="49"/>
        <v>2322.4005110115481</v>
      </c>
      <c r="H205" s="1062">
        <f t="shared" si="49"/>
        <v>6.4311804779353665E-3</v>
      </c>
      <c r="I205" s="1063">
        <f t="shared" si="49"/>
        <v>1.4234279787340207</v>
      </c>
      <c r="J205" s="1063">
        <f t="shared" si="49"/>
        <v>0.8056764866383116</v>
      </c>
      <c r="K205" s="1064">
        <f t="shared" si="49"/>
        <v>4.3531629475873661</v>
      </c>
      <c r="L205" s="1060">
        <f t="shared" si="49"/>
        <v>-8.1025400882275472E-2</v>
      </c>
      <c r="M205" s="1065">
        <f t="shared" si="50"/>
        <v>3.4400754167452243</v>
      </c>
      <c r="N205" s="1066">
        <f t="shared" si="50"/>
        <v>0.42290073595624156</v>
      </c>
      <c r="O205" s="1067">
        <f t="shared" si="50"/>
        <v>-9.0086339251873371E-2</v>
      </c>
      <c r="P205" s="104">
        <f t="shared" si="50"/>
        <v>0.44946685046944856</v>
      </c>
      <c r="Q205" s="1066">
        <f t="shared" si="50"/>
        <v>0.16307046534988884</v>
      </c>
      <c r="R205" s="1067">
        <f t="shared" si="50"/>
        <v>1.3005419282788433</v>
      </c>
      <c r="S205" s="1068">
        <f t="shared" si="50"/>
        <v>0.30950096360373897</v>
      </c>
      <c r="T205" s="1066">
        <f t="shared" si="50"/>
        <v>0.18570292678335293</v>
      </c>
      <c r="U205" s="1067">
        <f t="shared" si="50"/>
        <v>1.251733079461073</v>
      </c>
      <c r="V205" s="1068">
        <f t="shared" si="50"/>
        <v>0.34197601038246805</v>
      </c>
      <c r="W205" s="1060">
        <f t="shared" si="50"/>
        <v>2.2632461433464091E-2</v>
      </c>
      <c r="X205" s="1060">
        <f t="shared" si="50"/>
        <v>0.13878945758144007</v>
      </c>
      <c r="Y205" s="1069" t="str">
        <f t="shared" si="50"/>
        <v>BBB</v>
      </c>
      <c r="Z205" s="1070" t="str">
        <f t="shared" si="48"/>
        <v>=  ¯ -</v>
      </c>
      <c r="AA205" s="1064">
        <f t="shared" si="47"/>
        <v>0.77886477042851432</v>
      </c>
      <c r="AB205" s="1071">
        <f t="shared" si="47"/>
        <v>1.0703005310133176</v>
      </c>
      <c r="AC205" s="1065">
        <f t="shared" si="47"/>
        <v>1.1762690733772538</v>
      </c>
      <c r="AD205" s="949"/>
      <c r="AE205" s="949"/>
      <c r="AF205" s="949"/>
      <c r="AG205" s="2129"/>
      <c r="AH205" s="949"/>
      <c r="AI205" s="949"/>
      <c r="AJ205" s="949"/>
      <c r="AK205" s="949"/>
      <c r="AL205" s="949"/>
      <c r="AM205" s="949"/>
      <c r="AN205" s="949"/>
      <c r="AO205" s="949"/>
      <c r="AP205" s="949"/>
      <c r="AQ205" s="949"/>
      <c r="AR205" s="110"/>
      <c r="AS205" s="110"/>
      <c r="AT205" s="110"/>
      <c r="AU205" s="949"/>
      <c r="AV205" s="949"/>
      <c r="AW205" s="949"/>
      <c r="AX205" s="949"/>
      <c r="AY205" s="949"/>
      <c r="AZ205" s="949"/>
      <c r="BA205" s="949"/>
      <c r="BB205" s="949"/>
      <c r="BC205" s="949"/>
      <c r="BD205" s="949"/>
      <c r="BE205" s="2267"/>
    </row>
    <row r="206" spans="1:57">
      <c r="A206" s="1090" t="s">
        <v>499</v>
      </c>
      <c r="B206" s="73" t="s">
        <v>284</v>
      </c>
      <c r="C206" s="1085">
        <f t="shared" si="49"/>
        <v>15596.516285714286</v>
      </c>
      <c r="D206" s="1086">
        <f t="shared" si="49"/>
        <v>3.9962072557101963E-2</v>
      </c>
      <c r="E206" s="1060">
        <f t="shared" si="49"/>
        <v>-0.41209116095583281</v>
      </c>
      <c r="F206" s="1060">
        <f t="shared" si="49"/>
        <v>-0.31031558205019388</v>
      </c>
      <c r="G206" s="1061">
        <f t="shared" si="49"/>
        <v>10295.917100000001</v>
      </c>
      <c r="H206" s="1062">
        <f t="shared" si="49"/>
        <v>2.8511404790864545E-2</v>
      </c>
      <c r="I206" s="1063">
        <f t="shared" si="49"/>
        <v>0.58081043687158529</v>
      </c>
      <c r="J206" s="1063">
        <f t="shared" si="49"/>
        <v>0.5027794267018264</v>
      </c>
      <c r="K206" s="1064">
        <f t="shared" si="49"/>
        <v>4.6475023511824993</v>
      </c>
      <c r="L206" s="1060">
        <f t="shared" si="49"/>
        <v>-0.18379111287045302</v>
      </c>
      <c r="M206" s="1065">
        <f t="shared" si="50"/>
        <v>4.0606354500113753</v>
      </c>
      <c r="N206" s="1066">
        <f t="shared" si="50"/>
        <v>0.34534166666666666</v>
      </c>
      <c r="O206" s="1067">
        <f t="shared" si="50"/>
        <v>-5.4500069338510607E-2</v>
      </c>
      <c r="P206" s="104">
        <f t="shared" si="50"/>
        <v>0.3626280111015483</v>
      </c>
      <c r="Q206" s="1066">
        <f t="shared" si="50"/>
        <v>0.67997702229572432</v>
      </c>
      <c r="R206" s="1067">
        <f t="shared" si="50"/>
        <v>0.10658020511075152</v>
      </c>
      <c r="S206" s="1068">
        <f t="shared" si="50"/>
        <v>0.75270955685414354</v>
      </c>
      <c r="T206" s="1066">
        <f t="shared" si="50"/>
        <v>0.68457317243488636</v>
      </c>
      <c r="U206" s="1067">
        <f t="shared" si="50"/>
        <v>0.10522314957078965</v>
      </c>
      <c r="V206" s="1068">
        <f t="shared" si="50"/>
        <v>0.75672107111582532</v>
      </c>
      <c r="W206" s="1060">
        <f t="shared" si="50"/>
        <v>4.5961501391620363E-3</v>
      </c>
      <c r="X206" s="1060">
        <f t="shared" si="50"/>
        <v>6.7592727231349809E-3</v>
      </c>
      <c r="Y206" s="1069" t="str">
        <f t="shared" si="50"/>
        <v>BBB-</v>
      </c>
      <c r="Z206" s="1070" t="str">
        <f t="shared" si="48"/>
        <v>=  ¯ ¯</v>
      </c>
      <c r="AA206" s="1064">
        <f t="shared" si="47"/>
        <v>2.9152503149286035</v>
      </c>
      <c r="AB206" s="1071">
        <f t="shared" si="47"/>
        <v>-0.14664752669478531</v>
      </c>
      <c r="AC206" s="1065">
        <f t="shared" si="47"/>
        <v>2.8370691340232916</v>
      </c>
      <c r="AD206" s="949"/>
      <c r="AE206" s="949"/>
      <c r="AF206" s="949"/>
      <c r="AG206" s="2129"/>
      <c r="AH206" s="949"/>
      <c r="AI206" s="949"/>
      <c r="AJ206" s="949"/>
      <c r="AK206" s="949"/>
      <c r="AL206" s="949"/>
      <c r="AM206" s="949"/>
      <c r="AN206" s="949"/>
      <c r="AO206" s="949"/>
      <c r="AP206" s="949"/>
      <c r="AQ206" s="949"/>
      <c r="AR206" s="110"/>
      <c r="AS206" s="110"/>
      <c r="AT206" s="110"/>
      <c r="AU206" s="949"/>
      <c r="AV206" s="949"/>
      <c r="AW206" s="949"/>
      <c r="AX206" s="949"/>
      <c r="AY206" s="949"/>
      <c r="AZ206" s="949"/>
      <c r="BA206" s="949"/>
      <c r="BB206" s="949"/>
      <c r="BC206" s="949"/>
      <c r="BD206" s="949"/>
      <c r="BE206" s="2267"/>
    </row>
    <row r="207" spans="1:57">
      <c r="A207" s="1091" t="s">
        <v>319</v>
      </c>
      <c r="B207" s="691" t="s">
        <v>750</v>
      </c>
      <c r="C207" s="1087">
        <f t="shared" si="49"/>
        <v>7616.907214285714</v>
      </c>
      <c r="D207" s="1088">
        <f t="shared" si="49"/>
        <v>1.9516371039653539E-2</v>
      </c>
      <c r="E207" s="1072">
        <f t="shared" si="49"/>
        <v>-0.33365525120929096</v>
      </c>
      <c r="F207" s="1072">
        <f t="shared" si="49"/>
        <v>-0.23187967230365203</v>
      </c>
      <c r="G207" s="1073">
        <f t="shared" si="49"/>
        <v>5825.8631999999998</v>
      </c>
      <c r="H207" s="1074">
        <f t="shared" si="49"/>
        <v>1.6132952736323161E-2</v>
      </c>
      <c r="I207" s="1075">
        <f t="shared" si="49"/>
        <v>2.4107651340270966</v>
      </c>
      <c r="J207" s="1075">
        <f t="shared" si="49"/>
        <v>2.0327505931612002</v>
      </c>
      <c r="K207" s="1076">
        <f t="shared" si="49"/>
        <v>4.7469851722287064</v>
      </c>
      <c r="L207" s="1072">
        <f t="shared" si="49"/>
        <v>0.1951757211867983</v>
      </c>
      <c r="M207" s="1077">
        <f t="shared" si="50"/>
        <v>4.6619962755533297</v>
      </c>
      <c r="N207" s="1078">
        <f t="shared" si="50"/>
        <v>0.37158673775730477</v>
      </c>
      <c r="O207" s="1079">
        <f t="shared" si="50"/>
        <v>-0.1153634304384116</v>
      </c>
      <c r="P207" s="1014">
        <f t="shared" si="50"/>
        <v>0.36037883142173305</v>
      </c>
      <c r="Q207" s="1078">
        <f t="shared" si="50"/>
        <v>0.17383796150947908</v>
      </c>
      <c r="R207" s="1079">
        <f t="shared" si="50"/>
        <v>0.54445307336528614</v>
      </c>
      <c r="S207" s="1080">
        <f t="shared" si="50"/>
        <v>0.26356163003804695</v>
      </c>
      <c r="T207" s="1078">
        <f t="shared" si="50"/>
        <v>0.19702478682132593</v>
      </c>
      <c r="U207" s="1079">
        <f t="shared" si="50"/>
        <v>0.50034734616182497</v>
      </c>
      <c r="V207" s="1080">
        <f t="shared" si="50"/>
        <v>0.28756363720088318</v>
      </c>
      <c r="W207" s="1072">
        <f t="shared" si="50"/>
        <v>2.3186825311846848E-2</v>
      </c>
      <c r="X207" s="1072">
        <f t="shared" si="50"/>
        <v>0.13338182932260462</v>
      </c>
      <c r="Y207" s="1081" t="str">
        <f t="shared" si="50"/>
        <v>A</v>
      </c>
      <c r="Z207" s="1082" t="str">
        <f t="shared" si="48"/>
        <v>=  =  -</v>
      </c>
      <c r="AA207" s="1076">
        <f t="shared" si="47"/>
        <v>0.93248540191552354</v>
      </c>
      <c r="AB207" s="1083">
        <f t="shared" si="47"/>
        <v>0.78949919521054279</v>
      </c>
      <c r="AC207" s="1077">
        <f t="shared" si="47"/>
        <v>1.3109622071604587</v>
      </c>
      <c r="AD207" s="949"/>
      <c r="AE207" s="949"/>
      <c r="AF207" s="949"/>
      <c r="AG207" s="2129"/>
      <c r="AH207" s="949"/>
      <c r="AI207" s="949"/>
      <c r="AJ207" s="949"/>
      <c r="AK207" s="949"/>
      <c r="AL207" s="949"/>
      <c r="AM207" s="949"/>
      <c r="AN207" s="949"/>
      <c r="AO207" s="949"/>
      <c r="AP207" s="949"/>
      <c r="AQ207" s="949"/>
      <c r="AR207" s="110"/>
      <c r="AS207" s="110"/>
      <c r="AT207" s="110"/>
      <c r="AU207" s="949"/>
      <c r="AV207" s="949"/>
      <c r="AW207" s="949"/>
      <c r="AX207" s="949"/>
      <c r="AY207" s="949"/>
      <c r="AZ207" s="949"/>
      <c r="BA207" s="949"/>
      <c r="BB207" s="949"/>
      <c r="BC207" s="949"/>
      <c r="BD207" s="949"/>
      <c r="BE207" s="2267"/>
    </row>
    <row r="208" spans="1:57">
      <c r="A208" s="1090" t="s">
        <v>19</v>
      </c>
      <c r="B208" s="73" t="s">
        <v>285</v>
      </c>
      <c r="C208" s="1085">
        <f t="shared" si="49"/>
        <v>6002.7646707914537</v>
      </c>
      <c r="D208" s="1086">
        <f t="shared" si="49"/>
        <v>1.538054479108892E-2</v>
      </c>
      <c r="E208" s="1060">
        <f t="shared" si="49"/>
        <v>1.7468659495150733</v>
      </c>
      <c r="F208" s="1060">
        <f t="shared" si="49"/>
        <v>1.8486415284207123</v>
      </c>
      <c r="G208" s="1061">
        <f t="shared" si="49"/>
        <v>9571.524995540176</v>
      </c>
      <c r="H208" s="1062">
        <f t="shared" si="49"/>
        <v>2.6505421611613778E-2</v>
      </c>
      <c r="I208" s="1063">
        <f t="shared" si="49"/>
        <v>4.1497848696984878</v>
      </c>
      <c r="J208" s="1063">
        <f t="shared" si="49"/>
        <v>5.1075046454025781</v>
      </c>
      <c r="K208" s="1064">
        <f t="shared" si="49"/>
        <v>7.8090133066846761</v>
      </c>
      <c r="L208" s="1060">
        <f t="shared" si="49"/>
        <v>0.8464659845431286</v>
      </c>
      <c r="M208" s="1065">
        <f t="shared" si="50"/>
        <v>9.6719476082953495</v>
      </c>
      <c r="N208" s="1066">
        <f t="shared" si="50"/>
        <v>9.1630231095150338E-2</v>
      </c>
      <c r="O208" s="1084" t="str">
        <f t="shared" si="50"/>
        <v>¥</v>
      </c>
      <c r="P208" s="104">
        <f t="shared" si="50"/>
        <v>0.34976819018989347</v>
      </c>
      <c r="Q208" s="1066">
        <f t="shared" si="50"/>
        <v>0.13477545507373562</v>
      </c>
      <c r="R208" s="1067">
        <f t="shared" si="50"/>
        <v>-0.4264373226073967</v>
      </c>
      <c r="S208" s="1068">
        <f t="shared" si="50"/>
        <v>9.7905485588969735E-2</v>
      </c>
      <c r="T208" s="1066">
        <f t="shared" si="50"/>
        <v>0.16024846762312819</v>
      </c>
      <c r="U208" s="1067">
        <f t="shared" si="50"/>
        <v>-0.25253039609468159</v>
      </c>
      <c r="V208" s="1068">
        <f t="shared" si="50"/>
        <v>0.12849893093161849</v>
      </c>
      <c r="W208" s="1060">
        <f t="shared" si="50"/>
        <v>2.5473012549392576E-2</v>
      </c>
      <c r="X208" s="1060">
        <f t="shared" si="50"/>
        <v>0.18900335031669008</v>
      </c>
      <c r="Y208" s="1069" t="str">
        <f t="shared" si="50"/>
        <v>Not rated</v>
      </c>
      <c r="Z208" s="1070"/>
      <c r="AA208" s="1064">
        <f t="shared" si="47"/>
        <v>1.265551414722516</v>
      </c>
      <c r="AB208" s="1071">
        <f t="shared" si="47"/>
        <v>0.38040351489576829</v>
      </c>
      <c r="AC208" s="1065">
        <f t="shared" si="47"/>
        <v>1.242834927692577</v>
      </c>
      <c r="AD208" s="949"/>
      <c r="AE208" s="949"/>
      <c r="AF208" s="949"/>
      <c r="AG208" s="2129"/>
      <c r="AH208" s="949"/>
      <c r="AI208" s="949"/>
      <c r="AJ208" s="949"/>
      <c r="AK208" s="949"/>
      <c r="AL208" s="949"/>
      <c r="AM208" s="949"/>
      <c r="AN208" s="949"/>
      <c r="AO208" s="949"/>
      <c r="AP208" s="949"/>
      <c r="AQ208" s="949"/>
      <c r="AR208" s="110"/>
      <c r="AS208" s="110"/>
      <c r="AT208" s="110"/>
      <c r="AU208" s="949"/>
      <c r="AV208" s="949"/>
      <c r="AW208" s="949"/>
      <c r="AX208" s="949"/>
      <c r="AY208" s="949"/>
      <c r="AZ208" s="949"/>
      <c r="BA208" s="949"/>
      <c r="BB208" s="949"/>
      <c r="BC208" s="949"/>
      <c r="BD208" s="949"/>
      <c r="BE208" s="2267"/>
    </row>
    <row r="209" spans="1:57">
      <c r="A209" s="1090" t="s">
        <v>504</v>
      </c>
      <c r="B209" s="73" t="s">
        <v>288</v>
      </c>
      <c r="C209" s="1085">
        <f t="shared" si="49"/>
        <v>16250.837973523972</v>
      </c>
      <c r="D209" s="1086">
        <f t="shared" si="49"/>
        <v>4.1638604052015776E-2</v>
      </c>
      <c r="E209" s="1060">
        <f t="shared" si="49"/>
        <v>0.20894195471198634</v>
      </c>
      <c r="F209" s="1060">
        <f t="shared" si="49"/>
        <v>0.31071753361762527</v>
      </c>
      <c r="G209" s="1061">
        <f t="shared" si="49"/>
        <v>17428.290742138299</v>
      </c>
      <c r="H209" s="1062">
        <f t="shared" si="49"/>
        <v>4.826234004564605E-2</v>
      </c>
      <c r="I209" s="1063">
        <f t="shared" si="49"/>
        <v>4.0995220850209826</v>
      </c>
      <c r="J209" s="1063">
        <f t="shared" si="49"/>
        <v>4.5731712273212377</v>
      </c>
      <c r="K209" s="1064">
        <f t="shared" si="49"/>
        <v>6.7450557383311427</v>
      </c>
      <c r="L209" s="1060">
        <f t="shared" si="49"/>
        <v>0.2149868566781509</v>
      </c>
      <c r="M209" s="1065">
        <f t="shared" si="50"/>
        <v>7.5822149145373468</v>
      </c>
      <c r="N209" s="1066">
        <f t="shared" si="50"/>
        <v>0.32615050588405037</v>
      </c>
      <c r="O209" s="1067">
        <f t="shared" si="50"/>
        <v>-8.7660674172335792E-2</v>
      </c>
      <c r="P209" s="104">
        <f t="shared" si="50"/>
        <v>0.30985103942866765</v>
      </c>
      <c r="Q209" s="1066">
        <f t="shared" si="50"/>
        <v>0.30558583418722468</v>
      </c>
      <c r="R209" s="1067">
        <f t="shared" si="50"/>
        <v>-0.13620468181810452</v>
      </c>
      <c r="S209" s="1068">
        <f t="shared" si="50"/>
        <v>0.29018390059321952</v>
      </c>
      <c r="T209" s="1066">
        <f t="shared" si="50"/>
        <v>0.31922230141848357</v>
      </c>
      <c r="U209" s="1067">
        <f t="shared" si="50"/>
        <v>-0.13496032758973828</v>
      </c>
      <c r="V209" s="1068">
        <f t="shared" si="50"/>
        <v>0.30362227391248225</v>
      </c>
      <c r="W209" s="1060">
        <f t="shared" si="50"/>
        <v>1.3636467231258886E-2</v>
      </c>
      <c r="X209" s="1060">
        <f t="shared" si="50"/>
        <v>4.4624016252350789E-2</v>
      </c>
      <c r="Y209" s="1069" t="str">
        <f t="shared" si="50"/>
        <v>A</v>
      </c>
      <c r="Z209" s="1070" t="str">
        <f>VLOOKUP($B209,$B$7:$AC$28,Z$37+1,FALSE)</f>
        <v>=  =  -</v>
      </c>
      <c r="AA209" s="1064">
        <f t="shared" si="47"/>
        <v>2.1579177629636748</v>
      </c>
      <c r="AB209" s="1071">
        <f t="shared" si="47"/>
        <v>6.0078851309961184E-2</v>
      </c>
      <c r="AC209" s="1065">
        <f t="shared" si="47"/>
        <v>2.3009327536910358</v>
      </c>
      <c r="AD209" s="949"/>
      <c r="AE209" s="949"/>
      <c r="AF209" s="949"/>
      <c r="AG209" s="2129"/>
      <c r="AH209" s="949"/>
      <c r="AI209" s="949"/>
      <c r="AJ209" s="949"/>
      <c r="AK209" s="949"/>
      <c r="AL209" s="949"/>
      <c r="AM209" s="949"/>
      <c r="AN209" s="949"/>
      <c r="AO209" s="949"/>
      <c r="AP209" s="949"/>
      <c r="AQ209" s="949"/>
      <c r="AR209" s="110"/>
      <c r="AS209" s="110"/>
      <c r="AT209" s="110"/>
      <c r="AU209" s="949"/>
      <c r="AV209" s="949"/>
      <c r="AW209" s="949"/>
      <c r="AX209" s="949"/>
      <c r="AY209" s="949"/>
      <c r="AZ209" s="949"/>
      <c r="BA209" s="949"/>
      <c r="BB209" s="949"/>
      <c r="BC209" s="949"/>
      <c r="BD209" s="949"/>
      <c r="BE209" s="2267"/>
    </row>
    <row r="210" spans="1:57">
      <c r="A210" s="1090" t="s">
        <v>539</v>
      </c>
      <c r="B210" s="73" t="s">
        <v>39</v>
      </c>
      <c r="C210" s="1085">
        <f t="shared" si="49"/>
        <v>5059.5155870714543</v>
      </c>
      <c r="D210" s="1086">
        <f t="shared" si="49"/>
        <v>1.2963710952524294E-2</v>
      </c>
      <c r="E210" s="1060">
        <f t="shared" si="49"/>
        <v>-0.13366823909704381</v>
      </c>
      <c r="F210" s="1060">
        <f t="shared" si="49"/>
        <v>-3.1892660191404867E-2</v>
      </c>
      <c r="G210" s="1061">
        <f t="shared" si="49"/>
        <v>5057.8123335929276</v>
      </c>
      <c r="H210" s="1062">
        <f t="shared" si="49"/>
        <v>1.4006069920599414E-2</v>
      </c>
      <c r="I210" s="1063">
        <f t="shared" si="49"/>
        <v>1.6858649053444912</v>
      </c>
      <c r="J210" s="1063">
        <f t="shared" si="49"/>
        <v>1.7703056194544857</v>
      </c>
      <c r="K210" s="1064">
        <f t="shared" si="49"/>
        <v>6.1343182706324946</v>
      </c>
      <c r="L210" s="1060">
        <f t="shared" si="49"/>
        <v>-0.19036897853308513</v>
      </c>
      <c r="M210" s="1065">
        <f t="shared" si="50"/>
        <v>5.9052222685092017</v>
      </c>
      <c r="N210" s="1066">
        <f t="shared" si="50"/>
        <v>0.31054928118178421</v>
      </c>
      <c r="O210" s="1067">
        <f t="shared" si="50"/>
        <v>-0.11491916916279199</v>
      </c>
      <c r="P210" s="104">
        <f t="shared" si="50"/>
        <v>0.28165979767703259</v>
      </c>
      <c r="Q210" s="1066">
        <f t="shared" si="50"/>
        <v>0.3899242463002407</v>
      </c>
      <c r="R210" s="1067">
        <f t="shared" si="50"/>
        <v>-0.1197676600756727</v>
      </c>
      <c r="S210" s="1068">
        <f t="shared" si="50"/>
        <v>0.37944762378701169</v>
      </c>
      <c r="T210" s="1066">
        <f t="shared" si="50"/>
        <v>0.45093517146474416</v>
      </c>
      <c r="U210" s="1067">
        <f t="shared" si="50"/>
        <v>-8.3572610535330494E-2</v>
      </c>
      <c r="V210" s="1068">
        <f t="shared" si="50"/>
        <v>0.43916945384982109</v>
      </c>
      <c r="W210" s="1060">
        <f t="shared" si="50"/>
        <v>6.101092516450346E-2</v>
      </c>
      <c r="X210" s="1060">
        <f t="shared" si="50"/>
        <v>0.15646866216553562</v>
      </c>
      <c r="Y210" s="1069" t="str">
        <f t="shared" si="50"/>
        <v>BBB</v>
      </c>
      <c r="Z210" s="1070" t="str">
        <f>VLOOKUP($B210,$B$7:$AC$28,Z$37+1,FALSE)</f>
        <v>­  = =</v>
      </c>
      <c r="AA210" s="1064">
        <f t="shared" si="47"/>
        <v>2.6587814840492587</v>
      </c>
      <c r="AB210" s="1071">
        <f t="shared" si="47"/>
        <v>-0.25803195656746131</v>
      </c>
      <c r="AC210" s="1065">
        <f t="shared" si="47"/>
        <v>2.5933932385229874</v>
      </c>
      <c r="AD210" s="949"/>
      <c r="AE210" s="949"/>
      <c r="AF210" s="949"/>
      <c r="AG210" s="2129"/>
      <c r="AH210" s="949"/>
      <c r="AI210" s="949"/>
      <c r="AJ210" s="949"/>
      <c r="AK210" s="949"/>
      <c r="AL210" s="949"/>
      <c r="AM210" s="949"/>
      <c r="AN210" s="949"/>
      <c r="AO210" s="949"/>
      <c r="AP210" s="949"/>
      <c r="AQ210" s="949"/>
      <c r="AR210" s="110"/>
      <c r="AS210" s="110"/>
      <c r="AT210" s="110"/>
      <c r="AU210" s="949"/>
      <c r="AV210" s="949"/>
      <c r="AW210" s="949"/>
      <c r="AX210" s="949"/>
      <c r="AY210" s="949"/>
      <c r="AZ210" s="949"/>
      <c r="BA210" s="949"/>
      <c r="BB210" s="949"/>
      <c r="BC210" s="949"/>
      <c r="BD210" s="949"/>
      <c r="BE210" s="2267"/>
    </row>
    <row r="211" spans="1:57">
      <c r="A211" s="1091" t="s">
        <v>319</v>
      </c>
      <c r="B211" s="691" t="s">
        <v>752</v>
      </c>
      <c r="C211" s="1087">
        <f t="shared" si="49"/>
        <v>3541.6238999999996</v>
      </c>
      <c r="D211" s="1088">
        <f t="shared" si="49"/>
        <v>9.0745028357006995E-3</v>
      </c>
      <c r="E211" s="1072">
        <f t="shared" si="49"/>
        <v>0.67327297771392325</v>
      </c>
      <c r="F211" s="1072">
        <f t="shared" si="49"/>
        <v>0.77504855661956218</v>
      </c>
      <c r="G211" s="1073">
        <f t="shared" si="49"/>
        <v>4048.9897999999998</v>
      </c>
      <c r="H211" s="1074">
        <f t="shared" si="49"/>
        <v>1.1212443346293226E-2</v>
      </c>
      <c r="I211" s="1075">
        <f t="shared" si="49"/>
        <v>-1.4186196832586249</v>
      </c>
      <c r="J211" s="1075">
        <f t="shared" si="49"/>
        <v>-2.7147098893731143</v>
      </c>
      <c r="K211" s="1076">
        <f t="shared" si="49"/>
        <v>8.5213348378460623</v>
      </c>
      <c r="L211" s="1072">
        <f t="shared" si="49"/>
        <v>0.26215680659638446</v>
      </c>
      <c r="M211" s="1077">
        <f t="shared" si="50"/>
        <v>9.0506669895995948</v>
      </c>
      <c r="N211" s="1078">
        <f t="shared" si="50"/>
        <v>6.4385445236561381E-2</v>
      </c>
      <c r="O211" s="1079">
        <f t="shared" si="50"/>
        <v>14.697799124913645</v>
      </c>
      <c r="P211" s="1014">
        <f t="shared" si="50"/>
        <v>0.15462918080465343</v>
      </c>
      <c r="Q211" s="1078">
        <f t="shared" si="50"/>
        <v>0.42399287000325037</v>
      </c>
      <c r="R211" s="1079">
        <f t="shared" si="50"/>
        <v>4.5742782667206161E-2</v>
      </c>
      <c r="S211" s="1080">
        <f t="shared" si="50"/>
        <v>0.48144640266975475</v>
      </c>
      <c r="T211" s="1078">
        <f t="shared" si="50"/>
        <v>0.42695023434228802</v>
      </c>
      <c r="U211" s="1079">
        <f t="shared" si="50"/>
        <v>4.1366838913311048E-2</v>
      </c>
      <c r="V211" s="1080">
        <f t="shared" si="50"/>
        <v>0.4832654138496531</v>
      </c>
      <c r="W211" s="1072">
        <f t="shared" si="50"/>
        <v>2.9573643390376492E-3</v>
      </c>
      <c r="X211" s="1072">
        <f t="shared" si="50"/>
        <v>6.9750331863245195E-3</v>
      </c>
      <c r="Y211" s="1081" t="str">
        <f t="shared" si="50"/>
        <v>B+</v>
      </c>
      <c r="Z211" s="1082" t="str">
        <f>VLOOKUP($B211,$B$7:$AC$28,Z$37+1,FALSE)</f>
        <v>=  =  =</v>
      </c>
      <c r="AA211" s="1076">
        <f t="shared" si="47"/>
        <v>3.7014756930154613</v>
      </c>
      <c r="AB211" s="1083">
        <f t="shared" si="47"/>
        <v>0.31334582285320112</v>
      </c>
      <c r="AC211" s="1077">
        <f t="shared" si="47"/>
        <v>4.3704719780651446</v>
      </c>
      <c r="AD211" s="949"/>
      <c r="AE211" s="949"/>
      <c r="AF211" s="949"/>
      <c r="AG211" s="2129"/>
      <c r="AH211" s="949"/>
      <c r="AI211" s="949"/>
      <c r="AJ211" s="949"/>
      <c r="AK211" s="949"/>
      <c r="AL211" s="949"/>
      <c r="AM211" s="949"/>
      <c r="AN211" s="949"/>
      <c r="AO211" s="949"/>
      <c r="AP211" s="949"/>
      <c r="AQ211" s="949"/>
      <c r="AR211" s="110"/>
      <c r="AS211" s="110"/>
      <c r="AT211" s="110"/>
      <c r="AU211" s="949"/>
      <c r="AV211" s="949"/>
      <c r="AW211" s="949"/>
      <c r="AX211" s="949"/>
      <c r="AY211" s="949"/>
      <c r="AZ211" s="949"/>
      <c r="BA211" s="949"/>
      <c r="BB211" s="949"/>
      <c r="BC211" s="949"/>
      <c r="BD211" s="949"/>
      <c r="BE211" s="2267"/>
    </row>
    <row r="212" spans="1:57">
      <c r="A212" s="1090" t="s">
        <v>32</v>
      </c>
      <c r="B212" s="73" t="s">
        <v>50</v>
      </c>
      <c r="C212" s="1085">
        <f t="shared" si="49"/>
        <v>19515.355899391296</v>
      </c>
      <c r="D212" s="1086">
        <f t="shared" si="49"/>
        <v>5.0003093905237848E-2</v>
      </c>
      <c r="E212" s="1060">
        <f t="shared" si="49"/>
        <v>1.1994936816856254</v>
      </c>
      <c r="F212" s="1060">
        <f t="shared" si="49"/>
        <v>1.3012692605912644</v>
      </c>
      <c r="G212" s="1061">
        <f t="shared" si="49"/>
        <v>28491.576306321644</v>
      </c>
      <c r="H212" s="1062">
        <f t="shared" si="49"/>
        <v>7.8898737947233621E-2</v>
      </c>
      <c r="I212" s="1063">
        <f t="shared" si="49"/>
        <v>-0.89894076859195104</v>
      </c>
      <c r="J212" s="1063">
        <f t="shared" si="49"/>
        <v>39.625784878048783</v>
      </c>
      <c r="K212" s="1064">
        <f t="shared" si="49"/>
        <v>4.7123747267525307</v>
      </c>
      <c r="L212" s="1060">
        <f t="shared" si="49"/>
        <v>0.4140020451008824</v>
      </c>
      <c r="M212" s="1065">
        <f t="shared" si="50"/>
        <v>5.7096258695546744</v>
      </c>
      <c r="N212" s="1060">
        <f t="shared" si="50"/>
        <v>0</v>
      </c>
      <c r="O212" s="1067">
        <f t="shared" si="50"/>
        <v>0</v>
      </c>
      <c r="P212" s="104">
        <f t="shared" si="50"/>
        <v>0</v>
      </c>
      <c r="Q212" s="1066">
        <f t="shared" si="50"/>
        <v>0.37025195227815472</v>
      </c>
      <c r="R212" s="1067">
        <f t="shared" si="50"/>
        <v>-0.46222821771061889</v>
      </c>
      <c r="S212" s="1068">
        <f t="shared" si="50"/>
        <v>0.26403640782716253</v>
      </c>
      <c r="T212" s="1066">
        <f t="shared" si="50"/>
        <v>0.48927059752514818</v>
      </c>
      <c r="U212" s="1067">
        <f t="shared" si="50"/>
        <v>-0.38189416595312975</v>
      </c>
      <c r="V212" s="1068">
        <f t="shared" si="50"/>
        <v>0.37414035756341019</v>
      </c>
      <c r="W212" s="1060">
        <f t="shared" si="50"/>
        <v>0.11901864524699346</v>
      </c>
      <c r="X212" s="1060">
        <f t="shared" si="50"/>
        <v>0.32145312000294263</v>
      </c>
      <c r="Y212" s="1069" t="str">
        <f t="shared" si="50"/>
        <v>BBB</v>
      </c>
      <c r="Z212" s="1070" t="str">
        <f>VLOOKUP($B212,$B$7:$AC$28,Z$37+1,FALSE)</f>
        <v xml:space="preserve">=  -  = </v>
      </c>
      <c r="AA212" s="1064">
        <f t="shared" si="47"/>
        <v>2.2664974928712622</v>
      </c>
      <c r="AB212" s="1071">
        <f t="shared" si="47"/>
        <v>-0.12537902502142731</v>
      </c>
      <c r="AC212" s="1065">
        <f t="shared" si="47"/>
        <v>2.136201464388483</v>
      </c>
      <c r="AD212" s="949"/>
      <c r="AE212" s="949"/>
      <c r="AF212" s="949"/>
      <c r="AG212" s="2129"/>
      <c r="AH212" s="949"/>
      <c r="AI212" s="949"/>
      <c r="AJ212" s="949"/>
      <c r="AK212" s="949"/>
      <c r="AL212" s="949"/>
      <c r="AM212" s="949"/>
      <c r="AN212" s="949"/>
      <c r="AO212" s="949"/>
      <c r="AP212" s="949"/>
      <c r="AQ212" s="949"/>
      <c r="AR212" s="110"/>
      <c r="AS212" s="110"/>
      <c r="AT212" s="110"/>
      <c r="AU212" s="949"/>
      <c r="AV212" s="949"/>
      <c r="AW212" s="949"/>
      <c r="AX212" s="949"/>
      <c r="AY212" s="949"/>
      <c r="AZ212" s="949"/>
      <c r="BA212" s="949"/>
      <c r="BB212" s="949"/>
      <c r="BC212" s="949"/>
      <c r="BD212" s="949"/>
      <c r="BE212" s="2267"/>
    </row>
    <row r="213" spans="1:57">
      <c r="A213" s="1090"/>
      <c r="B213" s="949"/>
      <c r="C213" s="949"/>
      <c r="D213" s="119"/>
      <c r="E213" s="949"/>
      <c r="F213" s="949"/>
      <c r="G213" s="949"/>
      <c r="H213" s="119"/>
      <c r="I213" s="119"/>
      <c r="J213" s="119"/>
      <c r="K213" s="949"/>
      <c r="L213" s="949"/>
      <c r="M213" s="1089"/>
      <c r="N213" s="949"/>
      <c r="O213" s="949"/>
      <c r="P213" s="949"/>
      <c r="Q213" s="1005"/>
      <c r="R213" s="1005"/>
      <c r="S213" s="1005"/>
      <c r="T213" s="949"/>
      <c r="U213" s="949"/>
      <c r="V213" s="949"/>
      <c r="W213" s="1005"/>
      <c r="X213" s="1005"/>
      <c r="Y213" s="949"/>
      <c r="Z213" s="949"/>
      <c r="AA213" s="949"/>
      <c r="AB213" s="949"/>
      <c r="AC213" s="949"/>
      <c r="AD213" s="949"/>
      <c r="AE213" s="949"/>
      <c r="AF213" s="949"/>
      <c r="AG213" s="2129"/>
      <c r="AH213" s="949"/>
      <c r="AI213" s="949"/>
      <c r="AJ213" s="949"/>
      <c r="AK213" s="949"/>
      <c r="AL213" s="949"/>
      <c r="AM213" s="949"/>
      <c r="AN213" s="949"/>
      <c r="AO213" s="949"/>
      <c r="AP213" s="949"/>
      <c r="AQ213" s="949"/>
      <c r="AR213" s="110"/>
      <c r="AS213" s="110"/>
      <c r="AT213" s="110"/>
      <c r="AU213" s="949"/>
      <c r="AV213" s="949"/>
      <c r="AW213" s="949"/>
      <c r="AX213" s="949"/>
      <c r="AY213" s="949"/>
      <c r="AZ213" s="949"/>
      <c r="BA213" s="949"/>
      <c r="BB213" s="949"/>
      <c r="BC213" s="949"/>
      <c r="BD213" s="949"/>
      <c r="BE213" s="2267"/>
    </row>
    <row r="214" spans="1:57">
      <c r="A214" s="1090"/>
      <c r="B214" s="949"/>
      <c r="C214" s="949"/>
      <c r="D214" s="119"/>
      <c r="E214" s="949"/>
      <c r="F214" s="949"/>
      <c r="G214" s="949"/>
      <c r="H214" s="119"/>
      <c r="I214" s="119"/>
      <c r="J214" s="119"/>
      <c r="K214" s="949"/>
      <c r="L214" s="949"/>
      <c r="M214" s="1089"/>
      <c r="N214" s="949"/>
      <c r="O214" s="949"/>
      <c r="P214" s="949"/>
      <c r="Q214" s="1005"/>
      <c r="R214" s="1005"/>
      <c r="S214" s="1005"/>
      <c r="T214" s="949"/>
      <c r="U214" s="949"/>
      <c r="V214" s="949"/>
      <c r="W214" s="1005"/>
      <c r="X214" s="1005"/>
      <c r="Y214" s="949"/>
      <c r="Z214" s="949"/>
      <c r="AA214" s="949"/>
      <c r="AB214" s="949"/>
      <c r="AC214" s="949"/>
      <c r="AD214" s="949"/>
      <c r="AE214" s="949"/>
      <c r="AF214" s="949"/>
      <c r="AG214" s="2129"/>
      <c r="AH214" s="949"/>
      <c r="AI214" s="949"/>
      <c r="AJ214" s="949"/>
      <c r="AK214" s="949"/>
      <c r="AL214" s="949"/>
      <c r="AM214" s="949"/>
      <c r="AN214" s="949"/>
      <c r="AO214" s="949"/>
      <c r="AP214" s="949"/>
      <c r="AQ214" s="949"/>
      <c r="AR214" s="110"/>
      <c r="AS214" s="110"/>
      <c r="AT214" s="110"/>
      <c r="AU214" s="949"/>
      <c r="AV214" s="949"/>
      <c r="AW214" s="949"/>
      <c r="AX214" s="949"/>
      <c r="AY214" s="949"/>
      <c r="AZ214" s="949"/>
      <c r="BA214" s="949"/>
      <c r="BB214" s="949"/>
      <c r="BC214" s="949"/>
      <c r="BD214" s="949"/>
      <c r="BE214" s="2267"/>
    </row>
    <row r="215" spans="1:57">
      <c r="A215" s="3315" t="s">
        <v>1014</v>
      </c>
      <c r="B215" s="1286" t="s">
        <v>1012</v>
      </c>
      <c r="C215" s="1005"/>
      <c r="D215" s="119"/>
      <c r="E215" s="1005"/>
      <c r="F215" s="1005"/>
      <c r="G215" s="1005"/>
      <c r="H215" s="119"/>
      <c r="I215" s="119"/>
      <c r="J215" s="119"/>
      <c r="K215" s="1005"/>
      <c r="L215" s="1005"/>
      <c r="M215" s="1089"/>
      <c r="N215" s="1005"/>
      <c r="O215" s="1005"/>
      <c r="P215" s="1005"/>
      <c r="Q215" s="1005"/>
      <c r="R215" s="1005"/>
      <c r="S215" s="1005"/>
      <c r="T215" s="1005"/>
      <c r="U215" s="1005"/>
      <c r="V215" s="1005"/>
      <c r="W215" s="1005"/>
      <c r="X215" s="1005"/>
      <c r="Y215" s="1005"/>
      <c r="Z215" s="1005"/>
      <c r="AA215" s="1005"/>
      <c r="AB215" s="1005"/>
      <c r="AC215" s="1005"/>
      <c r="AD215" s="949"/>
      <c r="AE215" s="949"/>
      <c r="AF215" s="949"/>
      <c r="AG215" s="2129"/>
      <c r="AH215" s="949"/>
      <c r="AI215" s="949"/>
      <c r="AJ215" s="949"/>
      <c r="AK215" s="949"/>
      <c r="AL215" s="949"/>
      <c r="AM215" s="949"/>
      <c r="AN215" s="949"/>
      <c r="AO215" s="949"/>
      <c r="AP215" s="949"/>
      <c r="AQ215" s="949"/>
      <c r="AR215" s="110"/>
      <c r="AS215" s="110"/>
      <c r="AT215" s="110"/>
      <c r="AU215" s="949"/>
      <c r="AV215" s="949"/>
      <c r="AW215" s="949"/>
      <c r="AX215" s="949"/>
      <c r="AY215" s="949"/>
      <c r="AZ215" s="949"/>
      <c r="BA215" s="949"/>
      <c r="BB215" s="949"/>
      <c r="BC215" s="949"/>
      <c r="BD215" s="949"/>
      <c r="BE215" s="2267"/>
    </row>
    <row r="216" spans="1:57">
      <c r="A216" s="1090" t="s">
        <v>32</v>
      </c>
      <c r="B216" s="73" t="s">
        <v>277</v>
      </c>
      <c r="C216" s="1085">
        <f t="shared" ref="C216:L224" si="51">VLOOKUP($B216,$B$7:$AC$28,C$37+1,FALSE)</f>
        <v>103061.53572524291</v>
      </c>
      <c r="D216" s="1086">
        <f t="shared" si="51"/>
        <v>0.26406875054982143</v>
      </c>
      <c r="E216" s="1060">
        <f t="shared" si="51"/>
        <v>7.5306160052783275E-2</v>
      </c>
      <c r="F216" s="1060">
        <f t="shared" si="51"/>
        <v>0.17708173895842222</v>
      </c>
      <c r="G216" s="1061">
        <f t="shared" si="51"/>
        <v>106720.85775234729</v>
      </c>
      <c r="H216" s="1062">
        <f t="shared" si="51"/>
        <v>0.29553089301830604</v>
      </c>
      <c r="I216" s="1063">
        <f t="shared" si="51"/>
        <v>1.0837821931217524</v>
      </c>
      <c r="J216" s="1063">
        <f t="shared" si="51"/>
        <v>1.259272460269286</v>
      </c>
      <c r="K216" s="1064">
        <f t="shared" si="51"/>
        <v>7.534246564629953</v>
      </c>
      <c r="L216" s="1060">
        <f t="shared" si="51"/>
        <v>0.12910548637067604</v>
      </c>
      <c r="M216" s="1065">
        <f t="shared" ref="M216:V224" si="52">VLOOKUP($B216,$B$7:$AC$28,M$37+1,FALSE)</f>
        <v>8.6584668441025876</v>
      </c>
      <c r="N216" s="1066">
        <f t="shared" si="52"/>
        <v>0.91487499999999988</v>
      </c>
      <c r="O216" s="1067">
        <f t="shared" si="52"/>
        <v>-4.3736501079913587E-2</v>
      </c>
      <c r="P216" s="1068">
        <f t="shared" si="52"/>
        <v>0.89481420237931208</v>
      </c>
      <c r="Q216" s="103">
        <f t="shared" si="52"/>
        <v>0.24509229252810941</v>
      </c>
      <c r="R216" s="1067">
        <f t="shared" si="52"/>
        <v>-0.16501821733667812</v>
      </c>
      <c r="S216" s="1068">
        <f t="shared" si="52"/>
        <v>0.23828807339295358</v>
      </c>
      <c r="T216" s="1066">
        <f t="shared" si="52"/>
        <v>0.27870192226407053</v>
      </c>
      <c r="U216" s="1067">
        <f t="shared" si="52"/>
        <v>-0.14309331637647091</v>
      </c>
      <c r="V216" s="1068">
        <f t="shared" si="52"/>
        <v>0.2718321660431175</v>
      </c>
      <c r="W216" s="1060">
        <f t="shared" ref="W216:AC224" si="53">VLOOKUP($B216,$B$7:$AC$28,W$37+1,FALSE)</f>
        <v>3.3609629735961127E-2</v>
      </c>
      <c r="X216" s="1060">
        <f t="shared" si="53"/>
        <v>0.13713050455108242</v>
      </c>
      <c r="Y216" s="1069" t="str">
        <f t="shared" si="53"/>
        <v>A-</v>
      </c>
      <c r="Z216" s="1070" t="str">
        <f t="shared" si="53"/>
        <v>=  =  =</v>
      </c>
      <c r="AA216" s="1064">
        <f t="shared" si="53"/>
        <v>2.0880314655341889</v>
      </c>
      <c r="AB216" s="1071">
        <f t="shared" si="53"/>
        <v>-3.7762767487534328E-2</v>
      </c>
      <c r="AC216" s="1065">
        <f t="shared" si="53"/>
        <v>2.3348198024327131</v>
      </c>
      <c r="AD216" s="949"/>
      <c r="AE216" s="949"/>
      <c r="AF216" s="949"/>
      <c r="AG216" s="2129"/>
      <c r="AH216" s="949"/>
      <c r="AI216" s="949"/>
      <c r="AJ216" s="949"/>
      <c r="AK216" s="949"/>
      <c r="AL216" s="949"/>
      <c r="AM216" s="949"/>
      <c r="AN216" s="949"/>
      <c r="AO216" s="949"/>
      <c r="AP216" s="949"/>
      <c r="AQ216" s="949"/>
      <c r="AR216" s="110"/>
      <c r="AS216" s="110"/>
      <c r="AT216" s="110"/>
      <c r="AU216" s="949"/>
      <c r="AV216" s="949"/>
      <c r="AW216" s="949"/>
      <c r="AX216" s="949"/>
      <c r="AY216" s="949"/>
      <c r="AZ216" s="949"/>
      <c r="BA216" s="949"/>
      <c r="BB216" s="949"/>
      <c r="BC216" s="949"/>
      <c r="BD216" s="949"/>
      <c r="BE216" s="2267"/>
    </row>
    <row r="217" spans="1:57">
      <c r="A217" s="1090" t="s">
        <v>217</v>
      </c>
      <c r="B217" s="73" t="s">
        <v>53</v>
      </c>
      <c r="C217" s="1085">
        <f t="shared" si="51"/>
        <v>60036.853628571422</v>
      </c>
      <c r="D217" s="1086">
        <f t="shared" si="51"/>
        <v>0.15382903828354536</v>
      </c>
      <c r="E217" s="1060">
        <f t="shared" si="51"/>
        <v>-0.3618479655094986</v>
      </c>
      <c r="F217" s="1060">
        <f t="shared" si="51"/>
        <v>-0.26007238660385967</v>
      </c>
      <c r="G217" s="1061">
        <f t="shared" si="51"/>
        <v>44430.485000000001</v>
      </c>
      <c r="H217" s="1062">
        <f t="shared" si="51"/>
        <v>0.1230366882897139</v>
      </c>
      <c r="I217" s="1063">
        <f t="shared" si="51"/>
        <v>2.2644833808097031</v>
      </c>
      <c r="J217" s="1063">
        <f t="shared" si="51"/>
        <v>1.7716210773954304</v>
      </c>
      <c r="K217" s="1064">
        <f t="shared" si="51"/>
        <v>5.7304428558288603</v>
      </c>
      <c r="L217" s="1060">
        <f t="shared" si="51"/>
        <v>-7.3155042359885195E-2</v>
      </c>
      <c r="M217" s="1065">
        <f t="shared" si="52"/>
        <v>5.1937231412225326</v>
      </c>
      <c r="N217" s="1066">
        <f t="shared" si="52"/>
        <v>0.6158872479982318</v>
      </c>
      <c r="O217" s="1067">
        <f t="shared" si="52"/>
        <v>0.11044311863454735</v>
      </c>
      <c r="P217" s="1068">
        <f t="shared" si="52"/>
        <v>0.66127040038880336</v>
      </c>
      <c r="Q217" s="103">
        <f t="shared" si="52"/>
        <v>0.48384306036910518</v>
      </c>
      <c r="R217" s="1067">
        <f t="shared" si="52"/>
        <v>0.2595878527386451</v>
      </c>
      <c r="S217" s="1068">
        <f t="shared" si="52"/>
        <v>0.54381370963962039</v>
      </c>
      <c r="T217" s="1066">
        <f t="shared" si="52"/>
        <v>0.51513010935716153</v>
      </c>
      <c r="U217" s="1067">
        <f t="shared" si="52"/>
        <v>0.26130995158024306</v>
      </c>
      <c r="V217" s="1068">
        <f t="shared" si="52"/>
        <v>0.57929804018594233</v>
      </c>
      <c r="W217" s="1060">
        <f t="shared" si="53"/>
        <v>3.1287048988056343E-2</v>
      </c>
      <c r="X217" s="1060">
        <f t="shared" si="53"/>
        <v>6.4663630732222685E-2</v>
      </c>
      <c r="Y217" s="1069" t="str">
        <f t="shared" si="53"/>
        <v>BBB</v>
      </c>
      <c r="Z217" s="1070" t="str">
        <f t="shared" si="53"/>
        <v>¯  ¯ ¯</v>
      </c>
      <c r="AA217" s="1064">
        <f t="shared" si="53"/>
        <v>2.7929780820851775</v>
      </c>
      <c r="AB217" s="1071">
        <f t="shared" si="53"/>
        <v>0.12404595260605845</v>
      </c>
      <c r="AC217" s="1065">
        <f t="shared" si="53"/>
        <v>2.8353348809740444</v>
      </c>
      <c r="AD217" s="949"/>
      <c r="AE217" s="949"/>
      <c r="AF217" s="949"/>
      <c r="AG217" s="2129"/>
      <c r="AH217" s="949"/>
      <c r="AI217" s="949"/>
      <c r="AJ217" s="949"/>
      <c r="AK217" s="949"/>
      <c r="AL217" s="949"/>
      <c r="AM217" s="949"/>
      <c r="AN217" s="949"/>
      <c r="AO217" s="949"/>
      <c r="AP217" s="949"/>
      <c r="AQ217" s="949"/>
      <c r="AR217" s="110"/>
      <c r="AS217" s="110"/>
      <c r="AT217" s="110"/>
      <c r="AU217" s="949"/>
      <c r="AV217" s="949"/>
      <c r="AW217" s="949"/>
      <c r="AX217" s="949"/>
      <c r="AY217" s="949"/>
      <c r="AZ217" s="949"/>
      <c r="BA217" s="949"/>
      <c r="BB217" s="949"/>
      <c r="BC217" s="949"/>
      <c r="BD217" s="949"/>
      <c r="BE217" s="2267"/>
    </row>
    <row r="218" spans="1:57">
      <c r="A218" s="1090" t="s">
        <v>498</v>
      </c>
      <c r="B218" s="73" t="s">
        <v>52</v>
      </c>
      <c r="C218" s="1085">
        <f t="shared" si="51"/>
        <v>40464.923042857146</v>
      </c>
      <c r="D218" s="1086">
        <f t="shared" si="51"/>
        <v>0.1036809862557167</v>
      </c>
      <c r="E218" s="1060">
        <f t="shared" si="51"/>
        <v>-6.1458653761923776E-2</v>
      </c>
      <c r="F218" s="1060">
        <f t="shared" si="51"/>
        <v>4.0316925143715168E-2</v>
      </c>
      <c r="G218" s="1061">
        <f t="shared" si="51"/>
        <v>39791.94</v>
      </c>
      <c r="H218" s="1062">
        <f t="shared" si="51"/>
        <v>0.1101916514803518</v>
      </c>
      <c r="I218" s="1063">
        <f t="shared" si="51"/>
        <v>1.0840589348936991</v>
      </c>
      <c r="J218" s="1063">
        <f t="shared" si="51"/>
        <v>1.2733420800000002</v>
      </c>
      <c r="K218" s="1064">
        <f t="shared" si="51"/>
        <v>4.9157277486128619</v>
      </c>
      <c r="L218" s="1060">
        <f t="shared" si="51"/>
        <v>0.1448238320606966</v>
      </c>
      <c r="M218" s="1065">
        <f t="shared" si="52"/>
        <v>5.2964626193065953</v>
      </c>
      <c r="N218" s="1066">
        <f t="shared" si="52"/>
        <v>0.61</v>
      </c>
      <c r="O218" s="1067">
        <f t="shared" si="52"/>
        <v>0</v>
      </c>
      <c r="P218" s="1068">
        <f t="shared" si="52"/>
        <v>0.62983042679437373</v>
      </c>
      <c r="Q218" s="103">
        <f t="shared" si="52"/>
        <v>0.51528895508035288</v>
      </c>
      <c r="R218" s="1067">
        <f t="shared" si="52"/>
        <v>-2.4931247740904369E-2</v>
      </c>
      <c r="S218" s="1068">
        <f t="shared" si="52"/>
        <v>0.51939744871548044</v>
      </c>
      <c r="T218" s="1066">
        <f t="shared" si="52"/>
        <v>0.58808850315066874</v>
      </c>
      <c r="U218" s="1067">
        <f t="shared" si="52"/>
        <v>-2.8226553900756759E-2</v>
      </c>
      <c r="V218" s="1068">
        <f t="shared" si="52"/>
        <v>0.59074959904524027</v>
      </c>
      <c r="W218" s="1060">
        <f t="shared" si="53"/>
        <v>7.2799548070315856E-2</v>
      </c>
      <c r="X218" s="1060">
        <f t="shared" si="53"/>
        <v>0.14127907721011346</v>
      </c>
      <c r="Y218" s="1069" t="str">
        <f t="shared" si="53"/>
        <v>BBB+</v>
      </c>
      <c r="Z218" s="1070" t="str">
        <f t="shared" si="53"/>
        <v>=  =  =</v>
      </c>
      <c r="AA218" s="1064">
        <f t="shared" si="53"/>
        <v>2.7906818261625395</v>
      </c>
      <c r="AB218" s="1071">
        <f t="shared" si="53"/>
        <v>8.5841806528642844E-2</v>
      </c>
      <c r="AC218" s="1065">
        <f t="shared" si="53"/>
        <v>2.9178287645268703</v>
      </c>
      <c r="AD218" s="949"/>
      <c r="AE218" s="949"/>
      <c r="AF218" s="949"/>
      <c r="AG218" s="2129"/>
      <c r="AH218" s="949"/>
      <c r="AI218" s="949"/>
      <c r="AJ218" s="949"/>
      <c r="AK218" s="949"/>
      <c r="AL218" s="949"/>
      <c r="AM218" s="949"/>
      <c r="AN218" s="949"/>
      <c r="AO218" s="949"/>
      <c r="AP218" s="949"/>
      <c r="AQ218" s="949"/>
      <c r="AR218" s="110"/>
      <c r="AS218" s="110"/>
      <c r="AT218" s="110"/>
      <c r="AU218" s="949"/>
      <c r="AV218" s="949"/>
      <c r="AW218" s="949"/>
      <c r="AX218" s="949"/>
      <c r="AY218" s="949"/>
      <c r="AZ218" s="949"/>
      <c r="BA218" s="949"/>
      <c r="BB218" s="949"/>
      <c r="BC218" s="949"/>
      <c r="BD218" s="949"/>
      <c r="BE218" s="2267"/>
    </row>
    <row r="219" spans="1:57">
      <c r="A219" s="1090" t="s">
        <v>32</v>
      </c>
      <c r="B219" s="73" t="s">
        <v>50</v>
      </c>
      <c r="C219" s="1085">
        <f t="shared" si="51"/>
        <v>19515.355899391296</v>
      </c>
      <c r="D219" s="1086">
        <f t="shared" si="51"/>
        <v>5.0003093905237848E-2</v>
      </c>
      <c r="E219" s="1060">
        <f t="shared" si="51"/>
        <v>1.1994936816856254</v>
      </c>
      <c r="F219" s="1060">
        <f t="shared" si="51"/>
        <v>1.3012692605912644</v>
      </c>
      <c r="G219" s="1061">
        <f t="shared" si="51"/>
        <v>28491.576306321644</v>
      </c>
      <c r="H219" s="1062">
        <f t="shared" si="51"/>
        <v>7.8898737947233621E-2</v>
      </c>
      <c r="I219" s="1063">
        <f t="shared" si="51"/>
        <v>-0.89894076859195104</v>
      </c>
      <c r="J219" s="1063">
        <f t="shared" si="51"/>
        <v>39.625784878048783</v>
      </c>
      <c r="K219" s="1064">
        <f t="shared" si="51"/>
        <v>4.7123747267525307</v>
      </c>
      <c r="L219" s="1060">
        <f t="shared" si="51"/>
        <v>0.4140020451008824</v>
      </c>
      <c r="M219" s="1065">
        <f t="shared" si="52"/>
        <v>5.7096258695546744</v>
      </c>
      <c r="N219" s="1066">
        <f t="shared" si="52"/>
        <v>0</v>
      </c>
      <c r="O219" s="1067">
        <f t="shared" si="52"/>
        <v>0</v>
      </c>
      <c r="P219" s="1068">
        <f t="shared" si="52"/>
        <v>0</v>
      </c>
      <c r="Q219" s="103">
        <f t="shared" si="52"/>
        <v>0.37025195227815472</v>
      </c>
      <c r="R219" s="1067">
        <f t="shared" si="52"/>
        <v>-0.46222821771061889</v>
      </c>
      <c r="S219" s="1068">
        <f t="shared" si="52"/>
        <v>0.26403640782716253</v>
      </c>
      <c r="T219" s="1066">
        <f t="shared" si="52"/>
        <v>0.48927059752514818</v>
      </c>
      <c r="U219" s="1067">
        <f t="shared" si="52"/>
        <v>-0.38189416595312975</v>
      </c>
      <c r="V219" s="1068">
        <f t="shared" si="52"/>
        <v>0.37414035756341019</v>
      </c>
      <c r="W219" s="1060">
        <f t="shared" si="53"/>
        <v>0.11901864524699346</v>
      </c>
      <c r="X219" s="1060">
        <f t="shared" si="53"/>
        <v>0.32145312000294263</v>
      </c>
      <c r="Y219" s="1069" t="str">
        <f t="shared" si="53"/>
        <v>BBB</v>
      </c>
      <c r="Z219" s="1070" t="str">
        <f t="shared" si="53"/>
        <v xml:space="preserve">=  -  = </v>
      </c>
      <c r="AA219" s="1064">
        <f t="shared" si="53"/>
        <v>2.2664974928712622</v>
      </c>
      <c r="AB219" s="1071">
        <f t="shared" si="53"/>
        <v>-0.12537902502142731</v>
      </c>
      <c r="AC219" s="1065">
        <f t="shared" si="53"/>
        <v>2.136201464388483</v>
      </c>
      <c r="AD219" s="949"/>
      <c r="AE219" s="949"/>
      <c r="AF219" s="949"/>
      <c r="AG219" s="2129"/>
      <c r="AH219" s="949"/>
      <c r="AI219" s="949"/>
      <c r="AJ219" s="949"/>
      <c r="AK219" s="949"/>
      <c r="AL219" s="949"/>
      <c r="AM219" s="949"/>
      <c r="AN219" s="949"/>
      <c r="AO219" s="949"/>
      <c r="AP219" s="949"/>
      <c r="AQ219" s="949"/>
      <c r="AR219" s="110"/>
      <c r="AS219" s="110"/>
      <c r="AT219" s="110"/>
      <c r="AU219" s="949"/>
      <c r="AV219" s="949"/>
      <c r="AW219" s="949"/>
      <c r="AX219" s="949"/>
      <c r="AY219" s="949"/>
      <c r="AZ219" s="949"/>
      <c r="BA219" s="949"/>
      <c r="BB219" s="949"/>
      <c r="BC219" s="949"/>
      <c r="BD219" s="949"/>
      <c r="BE219" s="2267"/>
    </row>
    <row r="220" spans="1:57">
      <c r="A220" s="1090" t="s">
        <v>500</v>
      </c>
      <c r="B220" s="73" t="s">
        <v>279</v>
      </c>
      <c r="C220" s="1085">
        <f t="shared" si="51"/>
        <v>20617.292984255655</v>
      </c>
      <c r="D220" s="1086">
        <f t="shared" si="51"/>
        <v>5.2826525044090682E-2</v>
      </c>
      <c r="E220" s="1060">
        <f t="shared" si="51"/>
        <v>0.37985561177970401</v>
      </c>
      <c r="F220" s="1060">
        <f t="shared" si="51"/>
        <v>0.48163119068534294</v>
      </c>
      <c r="G220" s="1061">
        <f t="shared" si="51"/>
        <v>23766.623796323693</v>
      </c>
      <c r="H220" s="1062">
        <f t="shared" si="51"/>
        <v>6.5814421871090864E-2</v>
      </c>
      <c r="I220" s="1063">
        <f t="shared" si="51"/>
        <v>1.8990159277875758</v>
      </c>
      <c r="J220" s="1063">
        <f t="shared" si="51"/>
        <v>2.509154465418888</v>
      </c>
      <c r="K220" s="1064">
        <f t="shared" si="51"/>
        <v>5.7229254321128114</v>
      </c>
      <c r="L220" s="1060">
        <f t="shared" si="51"/>
        <v>4.5724350121793801E-2</v>
      </c>
      <c r="M220" s="1065">
        <f t="shared" si="52"/>
        <v>6.1939465303838475</v>
      </c>
      <c r="N220" s="1066">
        <f t="shared" si="52"/>
        <v>0.7344324868237998</v>
      </c>
      <c r="O220" s="1067">
        <f t="shared" si="52"/>
        <v>0.10784712869930438</v>
      </c>
      <c r="P220" s="1068">
        <f t="shared" si="52"/>
        <v>0.74956908795771016</v>
      </c>
      <c r="Q220" s="103">
        <f t="shared" si="52"/>
        <v>0.14726898954609682</v>
      </c>
      <c r="R220" s="1067">
        <f t="shared" si="52"/>
        <v>4.9939774449528171E-2</v>
      </c>
      <c r="S220" s="1068">
        <f t="shared" si="52"/>
        <v>0.17272839211728983</v>
      </c>
      <c r="T220" s="1066">
        <f t="shared" si="52"/>
        <v>0.18443136241749356</v>
      </c>
      <c r="U220" s="1067">
        <f t="shared" si="52"/>
        <v>-5.7258906752796622E-2</v>
      </c>
      <c r="V220" s="1068">
        <f t="shared" si="52"/>
        <v>0.198117589718218</v>
      </c>
      <c r="W220" s="1060">
        <f t="shared" si="53"/>
        <v>3.7162372871396732E-2</v>
      </c>
      <c r="X220" s="1060">
        <f t="shared" si="53"/>
        <v>0.25234350412762557</v>
      </c>
      <c r="Y220" s="1069" t="str">
        <f t="shared" si="53"/>
        <v>A-</v>
      </c>
      <c r="Z220" s="1070" t="str">
        <f t="shared" si="53"/>
        <v>=  =  -</v>
      </c>
      <c r="AA220" s="1064">
        <f t="shared" si="53"/>
        <v>1.0395975936863313</v>
      </c>
      <c r="AB220" s="1071">
        <f t="shared" si="53"/>
        <v>2.9438923535487854E-2</v>
      </c>
      <c r="AC220" s="1065">
        <f t="shared" si="53"/>
        <v>1.2087727199953455</v>
      </c>
      <c r="AD220" s="949"/>
      <c r="AE220" s="949"/>
      <c r="AF220" s="949"/>
      <c r="AG220" s="2129"/>
      <c r="AH220" s="949"/>
      <c r="AI220" s="949"/>
      <c r="AJ220" s="949"/>
      <c r="AK220" s="949"/>
      <c r="AL220" s="949"/>
      <c r="AM220" s="949"/>
      <c r="AN220" s="949"/>
      <c r="AO220" s="949"/>
      <c r="AP220" s="949"/>
      <c r="AQ220" s="949"/>
      <c r="AR220" s="110"/>
      <c r="AS220" s="110"/>
      <c r="AT220" s="110"/>
      <c r="AU220" s="949"/>
      <c r="AV220" s="949"/>
      <c r="AW220" s="949"/>
      <c r="AX220" s="949"/>
      <c r="AY220" s="949"/>
      <c r="AZ220" s="949"/>
      <c r="BA220" s="949"/>
      <c r="BB220" s="949"/>
      <c r="BC220" s="949"/>
      <c r="BD220" s="949"/>
      <c r="BE220" s="2267"/>
    </row>
    <row r="221" spans="1:57">
      <c r="A221" s="1090" t="s">
        <v>503</v>
      </c>
      <c r="B221" s="73" t="s">
        <v>282</v>
      </c>
      <c r="C221" s="1085">
        <f t="shared" si="51"/>
        <v>22949.481858519866</v>
      </c>
      <c r="D221" s="1086">
        <f t="shared" si="51"/>
        <v>5.8802160840116385E-2</v>
      </c>
      <c r="E221" s="1060">
        <f t="shared" si="51"/>
        <v>-8.3288171902550459E-2</v>
      </c>
      <c r="F221" s="1060">
        <f t="shared" si="51"/>
        <v>1.8487407003088485E-2</v>
      </c>
      <c r="G221" s="1061">
        <f t="shared" si="51"/>
        <v>21731.57918967646</v>
      </c>
      <c r="H221" s="1062">
        <f t="shared" si="51"/>
        <v>6.0178986000343146E-2</v>
      </c>
      <c r="I221" s="1063">
        <f t="shared" si="51"/>
        <v>1.7647070716020126</v>
      </c>
      <c r="J221" s="1063">
        <f t="shared" si="51"/>
        <v>1.7786623686113903</v>
      </c>
      <c r="K221" s="1064">
        <f t="shared" si="51"/>
        <v>7.5628972253366413</v>
      </c>
      <c r="L221" s="1060">
        <f t="shared" si="51"/>
        <v>2.1076957712408067E-2</v>
      </c>
      <c r="M221" s="1065">
        <f t="shared" si="52"/>
        <v>7.6896404016441506</v>
      </c>
      <c r="N221" s="1066">
        <f t="shared" si="52"/>
        <v>0.67984865616162071</v>
      </c>
      <c r="O221" s="1067">
        <f t="shared" si="52"/>
        <v>0.13956056160252914</v>
      </c>
      <c r="P221" s="1068">
        <f t="shared" si="52"/>
        <v>0.7167630057803468</v>
      </c>
      <c r="Q221" s="103">
        <f t="shared" si="52"/>
        <v>0.23215418017261674</v>
      </c>
      <c r="R221" s="1067">
        <f t="shared" si="52"/>
        <v>0.36187217108516367</v>
      </c>
      <c r="S221" s="1068">
        <f t="shared" si="52"/>
        <v>0.26525179681706468</v>
      </c>
      <c r="T221" s="1066">
        <f t="shared" si="52"/>
        <v>0.2501311526811702</v>
      </c>
      <c r="U221" s="1067">
        <f t="shared" si="52"/>
        <v>0.31916438327965047</v>
      </c>
      <c r="V221" s="1068">
        <f t="shared" si="52"/>
        <v>0.28287599661626001</v>
      </c>
      <c r="W221" s="1060">
        <f t="shared" si="53"/>
        <v>1.7976972508553457E-2</v>
      </c>
      <c r="X221" s="1060">
        <f t="shared" si="53"/>
        <v>7.7435489187344358E-2</v>
      </c>
      <c r="Y221" s="1069" t="str">
        <f t="shared" si="53"/>
        <v>A-</v>
      </c>
      <c r="Z221" s="1070" t="str">
        <f t="shared" si="53"/>
        <v>=  =  =</v>
      </c>
      <c r="AA221" s="1064">
        <f t="shared" si="53"/>
        <v>1.845874038975184</v>
      </c>
      <c r="AB221" s="1071">
        <f t="shared" si="53"/>
        <v>0.36079457239176377</v>
      </c>
      <c r="AC221" s="1065">
        <f t="shared" si="53"/>
        <v>2.1424428051274771</v>
      </c>
      <c r="AD221" s="949"/>
      <c r="AE221" s="949"/>
      <c r="AF221" s="949"/>
      <c r="AG221" s="2129"/>
      <c r="AH221" s="949"/>
      <c r="AI221" s="949"/>
      <c r="AJ221" s="949"/>
      <c r="AK221" s="949"/>
      <c r="AL221" s="949"/>
      <c r="AM221" s="949"/>
      <c r="AN221" s="949"/>
      <c r="AO221" s="949"/>
      <c r="AP221" s="949"/>
      <c r="AQ221" s="949"/>
      <c r="AR221" s="110"/>
      <c r="AS221" s="110"/>
      <c r="AT221" s="110"/>
      <c r="AU221" s="949"/>
      <c r="AV221" s="949"/>
      <c r="AW221" s="949"/>
      <c r="AX221" s="949"/>
      <c r="AY221" s="949"/>
      <c r="AZ221" s="949"/>
      <c r="BA221" s="949"/>
      <c r="BB221" s="949"/>
      <c r="BC221" s="949"/>
      <c r="BD221" s="949"/>
      <c r="BE221" s="2267"/>
    </row>
    <row r="222" spans="1:57">
      <c r="A222" s="1090" t="s">
        <v>19</v>
      </c>
      <c r="B222" s="150" t="s">
        <v>286</v>
      </c>
      <c r="C222" s="1085">
        <f t="shared" si="51"/>
        <v>31174.883771428573</v>
      </c>
      <c r="D222" s="1086">
        <f t="shared" si="51"/>
        <v>7.9877643469276421E-2</v>
      </c>
      <c r="E222" s="1060">
        <f t="shared" si="51"/>
        <v>-0.49416922878378883</v>
      </c>
      <c r="F222" s="1060">
        <f t="shared" si="51"/>
        <v>-0.3923936498781499</v>
      </c>
      <c r="G222" s="1061">
        <f t="shared" si="51"/>
        <v>19124.593099999998</v>
      </c>
      <c r="H222" s="1062">
        <f t="shared" si="51"/>
        <v>5.2959732488004868E-2</v>
      </c>
      <c r="I222" s="1063">
        <f t="shared" si="51"/>
        <v>1.0546425468926217</v>
      </c>
      <c r="J222" s="1063">
        <f t="shared" si="51"/>
        <v>0.72989058468819168</v>
      </c>
      <c r="K222" s="1064">
        <f t="shared" si="51"/>
        <v>4.913128503955539</v>
      </c>
      <c r="L222" s="1060">
        <f t="shared" si="51"/>
        <v>-0.19812930900653591</v>
      </c>
      <c r="M222" s="1065">
        <f t="shared" si="52"/>
        <v>4.438539176760524</v>
      </c>
      <c r="N222" s="1066">
        <f t="shared" si="52"/>
        <v>0.60741568747204655</v>
      </c>
      <c r="O222" s="1067">
        <f t="shared" si="52"/>
        <v>4.0950219141690898E-2</v>
      </c>
      <c r="P222" s="1068">
        <f t="shared" si="52"/>
        <v>0.62738172243152124</v>
      </c>
      <c r="Q222" s="103">
        <f t="shared" si="52"/>
        <v>0.50834561454306215</v>
      </c>
      <c r="R222" s="1067">
        <f t="shared" si="52"/>
        <v>0.27477182203191691</v>
      </c>
      <c r="S222" s="1068">
        <f t="shared" si="52"/>
        <v>0.61196382356206247</v>
      </c>
      <c r="T222" s="1066">
        <f t="shared" si="52"/>
        <v>0.54898628094174651</v>
      </c>
      <c r="U222" s="1067">
        <f t="shared" si="52"/>
        <v>0.26756473067663017</v>
      </c>
      <c r="V222" s="1068">
        <f t="shared" si="52"/>
        <v>0.65530118542007598</v>
      </c>
      <c r="W222" s="1060">
        <f t="shared" si="53"/>
        <v>4.0640666398684355E-2</v>
      </c>
      <c r="X222" s="1060">
        <f t="shared" si="53"/>
        <v>7.9946920433679999E-2</v>
      </c>
      <c r="Y222" s="1069" t="str">
        <f t="shared" si="53"/>
        <v>BBB+</v>
      </c>
      <c r="Z222" s="1070" t="str">
        <f t="shared" si="53"/>
        <v>=  ¯ ¯</v>
      </c>
      <c r="AA222" s="1064">
        <f t="shared" si="53"/>
        <v>2.5321561588471506</v>
      </c>
      <c r="AB222" s="1071">
        <f t="shared" si="53"/>
        <v>1.3257606300410854E-2</v>
      </c>
      <c r="AC222" s="1065">
        <f t="shared" si="53"/>
        <v>2.8138910595815916</v>
      </c>
      <c r="AD222" s="949"/>
      <c r="AE222" s="949"/>
      <c r="AF222" s="949"/>
      <c r="AG222" s="2129"/>
      <c r="AH222" s="949"/>
      <c r="AI222" s="949"/>
      <c r="AJ222" s="949"/>
      <c r="AK222" s="949"/>
      <c r="AL222" s="949"/>
      <c r="AM222" s="949"/>
      <c r="AN222" s="949"/>
      <c r="AO222" s="949"/>
      <c r="AP222" s="949"/>
      <c r="AQ222" s="949"/>
      <c r="AR222" s="110"/>
      <c r="AS222" s="110"/>
      <c r="AT222" s="110"/>
      <c r="AU222" s="949"/>
      <c r="AV222" s="949"/>
      <c r="AW222" s="949"/>
      <c r="AX222" s="949"/>
      <c r="AY222" s="949"/>
      <c r="AZ222" s="949"/>
      <c r="BA222" s="949"/>
      <c r="BB222" s="949"/>
      <c r="BC222" s="949"/>
      <c r="BD222" s="949"/>
      <c r="BE222" s="2267"/>
    </row>
    <row r="223" spans="1:57">
      <c r="A223" s="1090" t="s">
        <v>504</v>
      </c>
      <c r="B223" s="73" t="s">
        <v>288</v>
      </c>
      <c r="C223" s="1085">
        <f t="shared" si="51"/>
        <v>16250.837973523972</v>
      </c>
      <c r="D223" s="1086">
        <f t="shared" si="51"/>
        <v>4.1638604052015776E-2</v>
      </c>
      <c r="E223" s="1060">
        <f t="shared" si="51"/>
        <v>0.20894195471198634</v>
      </c>
      <c r="F223" s="1060">
        <f t="shared" si="51"/>
        <v>0.31071753361762527</v>
      </c>
      <c r="G223" s="1061">
        <f t="shared" si="51"/>
        <v>17428.290742138299</v>
      </c>
      <c r="H223" s="1062">
        <f t="shared" si="51"/>
        <v>4.826234004564605E-2</v>
      </c>
      <c r="I223" s="1063">
        <f t="shared" si="51"/>
        <v>4.0995220850209826</v>
      </c>
      <c r="J223" s="1063">
        <f t="shared" si="51"/>
        <v>4.5731712273212377</v>
      </c>
      <c r="K223" s="1064">
        <f t="shared" si="51"/>
        <v>6.7450557383311427</v>
      </c>
      <c r="L223" s="1060">
        <f t="shared" si="51"/>
        <v>0.2149868566781509</v>
      </c>
      <c r="M223" s="1065">
        <f t="shared" si="52"/>
        <v>7.5822149145373468</v>
      </c>
      <c r="N223" s="1066">
        <f t="shared" si="52"/>
        <v>0.32615050588405037</v>
      </c>
      <c r="O223" s="1067">
        <f t="shared" si="52"/>
        <v>-8.7660674172335792E-2</v>
      </c>
      <c r="P223" s="1068">
        <f t="shared" si="52"/>
        <v>0.30985103942866765</v>
      </c>
      <c r="Q223" s="103">
        <f t="shared" si="52"/>
        <v>0.30558583418722468</v>
      </c>
      <c r="R223" s="1067">
        <f t="shared" si="52"/>
        <v>-0.13620468181810452</v>
      </c>
      <c r="S223" s="1068">
        <f t="shared" si="52"/>
        <v>0.29018390059321952</v>
      </c>
      <c r="T223" s="1066">
        <f t="shared" si="52"/>
        <v>0.31922230141848357</v>
      </c>
      <c r="U223" s="1067">
        <f t="shared" si="52"/>
        <v>-0.13496032758973828</v>
      </c>
      <c r="V223" s="1068">
        <f t="shared" si="52"/>
        <v>0.30362227391248225</v>
      </c>
      <c r="W223" s="1060">
        <f t="shared" si="53"/>
        <v>1.3636467231258886E-2</v>
      </c>
      <c r="X223" s="1060">
        <f t="shared" si="53"/>
        <v>4.4624016252350789E-2</v>
      </c>
      <c r="Y223" s="1069" t="str">
        <f t="shared" si="53"/>
        <v>A</v>
      </c>
      <c r="Z223" s="1070" t="str">
        <f t="shared" si="53"/>
        <v>=  =  -</v>
      </c>
      <c r="AA223" s="1064">
        <f t="shared" si="53"/>
        <v>2.1579177629636748</v>
      </c>
      <c r="AB223" s="1071">
        <f t="shared" si="53"/>
        <v>6.0078851309961184E-2</v>
      </c>
      <c r="AC223" s="1065">
        <f t="shared" si="53"/>
        <v>2.3009327536910358</v>
      </c>
      <c r="AD223" s="949"/>
      <c r="AE223" s="949"/>
      <c r="AF223" s="949"/>
      <c r="AG223" s="2129"/>
      <c r="AH223" s="949"/>
      <c r="AI223" s="949"/>
      <c r="AJ223" s="949"/>
      <c r="AK223" s="949"/>
      <c r="AL223" s="949"/>
      <c r="AM223" s="949"/>
      <c r="AN223" s="949"/>
      <c r="AO223" s="949"/>
      <c r="AP223" s="949"/>
      <c r="AQ223" s="949"/>
      <c r="AR223" s="110"/>
      <c r="AS223" s="110"/>
      <c r="AT223" s="110"/>
      <c r="AU223" s="949"/>
      <c r="AV223" s="949"/>
      <c r="AW223" s="949"/>
      <c r="AX223" s="949"/>
      <c r="AY223" s="949"/>
      <c r="AZ223" s="949"/>
      <c r="BA223" s="949"/>
      <c r="BB223" s="949"/>
      <c r="BC223" s="949"/>
      <c r="BD223" s="949"/>
      <c r="BE223" s="2267"/>
    </row>
    <row r="224" spans="1:57">
      <c r="A224" s="1090" t="s">
        <v>499</v>
      </c>
      <c r="B224" s="73" t="s">
        <v>284</v>
      </c>
      <c r="C224" s="1085">
        <f t="shared" si="51"/>
        <v>15596.516285714286</v>
      </c>
      <c r="D224" s="1086">
        <f t="shared" si="51"/>
        <v>3.9962072557101963E-2</v>
      </c>
      <c r="E224" s="1060">
        <f t="shared" si="51"/>
        <v>-0.41209116095583281</v>
      </c>
      <c r="F224" s="1060">
        <f t="shared" si="51"/>
        <v>-0.31031558205019388</v>
      </c>
      <c r="G224" s="1061">
        <f t="shared" si="51"/>
        <v>10295.917100000001</v>
      </c>
      <c r="H224" s="1062">
        <f t="shared" si="51"/>
        <v>2.8511404790864545E-2</v>
      </c>
      <c r="I224" s="1063">
        <f t="shared" si="51"/>
        <v>0.58081043687158529</v>
      </c>
      <c r="J224" s="1063">
        <f t="shared" si="51"/>
        <v>0.5027794267018264</v>
      </c>
      <c r="K224" s="1064">
        <f t="shared" si="51"/>
        <v>4.6475023511824993</v>
      </c>
      <c r="L224" s="1060">
        <f t="shared" si="51"/>
        <v>-0.18379111287045302</v>
      </c>
      <c r="M224" s="1065">
        <f t="shared" si="52"/>
        <v>4.0606354500113753</v>
      </c>
      <c r="N224" s="1066">
        <f t="shared" si="52"/>
        <v>0.34534166666666666</v>
      </c>
      <c r="O224" s="1067">
        <f t="shared" si="52"/>
        <v>-5.4500069338510607E-2</v>
      </c>
      <c r="P224" s="1068">
        <f t="shared" si="52"/>
        <v>0.3626280111015483</v>
      </c>
      <c r="Q224" s="103">
        <f t="shared" si="52"/>
        <v>0.67997702229572432</v>
      </c>
      <c r="R224" s="1067">
        <f t="shared" si="52"/>
        <v>0.10658020511075152</v>
      </c>
      <c r="S224" s="1068">
        <f t="shared" si="52"/>
        <v>0.75270955685414354</v>
      </c>
      <c r="T224" s="1066">
        <f t="shared" si="52"/>
        <v>0.68457317243488636</v>
      </c>
      <c r="U224" s="1067">
        <f t="shared" si="52"/>
        <v>0.10522314957078965</v>
      </c>
      <c r="V224" s="1068">
        <f t="shared" si="52"/>
        <v>0.75672107111582532</v>
      </c>
      <c r="W224" s="1060">
        <f t="shared" si="53"/>
        <v>4.5961501391620363E-3</v>
      </c>
      <c r="X224" s="1060">
        <f t="shared" si="53"/>
        <v>6.7592727231349809E-3</v>
      </c>
      <c r="Y224" s="1069" t="str">
        <f t="shared" si="53"/>
        <v>BBB-</v>
      </c>
      <c r="Z224" s="1070" t="str">
        <f t="shared" si="53"/>
        <v>=  ¯ ¯</v>
      </c>
      <c r="AA224" s="1064">
        <f t="shared" si="53"/>
        <v>2.9152503149286035</v>
      </c>
      <c r="AB224" s="1071">
        <f t="shared" si="53"/>
        <v>-0.14664752669478531</v>
      </c>
      <c r="AC224" s="1065">
        <f t="shared" si="53"/>
        <v>2.8370691340232916</v>
      </c>
      <c r="AD224" s="949"/>
      <c r="AE224" s="949"/>
      <c r="AF224" s="949"/>
      <c r="AG224" s="2129"/>
      <c r="AH224" s="949"/>
      <c r="AI224" s="949"/>
      <c r="AJ224" s="949"/>
      <c r="AK224" s="949"/>
      <c r="AL224" s="949"/>
      <c r="AM224" s="949"/>
      <c r="AN224" s="949"/>
      <c r="AO224" s="949"/>
      <c r="AP224" s="949"/>
      <c r="AQ224" s="949"/>
      <c r="AR224" s="110"/>
      <c r="AS224" s="110"/>
      <c r="AT224" s="110"/>
      <c r="AU224" s="949"/>
      <c r="AV224" s="949"/>
      <c r="AW224" s="949"/>
      <c r="AX224" s="949"/>
      <c r="AY224" s="949"/>
      <c r="AZ224" s="949"/>
      <c r="BA224" s="949"/>
      <c r="BB224" s="949"/>
      <c r="BC224" s="949"/>
      <c r="BD224" s="949"/>
      <c r="BE224" s="2267"/>
    </row>
    <row r="225" spans="1:57">
      <c r="A225" s="1090" t="s">
        <v>19</v>
      </c>
      <c r="B225" s="73" t="s">
        <v>285</v>
      </c>
      <c r="C225" s="1085">
        <f t="shared" ref="C225:L237" si="54">VLOOKUP($B225,$B$7:$AC$28,C$37+1,FALSE)</f>
        <v>6002.7646707914537</v>
      </c>
      <c r="D225" s="1086">
        <f t="shared" si="54"/>
        <v>1.538054479108892E-2</v>
      </c>
      <c r="E225" s="1060">
        <f t="shared" si="54"/>
        <v>1.7468659495150733</v>
      </c>
      <c r="F225" s="1060">
        <f t="shared" si="54"/>
        <v>1.8486415284207123</v>
      </c>
      <c r="G225" s="1061">
        <f t="shared" si="54"/>
        <v>9571.524995540176</v>
      </c>
      <c r="H225" s="1062">
        <f t="shared" si="54"/>
        <v>2.6505421611613778E-2</v>
      </c>
      <c r="I225" s="1063">
        <f t="shared" si="54"/>
        <v>4.1497848696984878</v>
      </c>
      <c r="J225" s="1063">
        <f t="shared" si="54"/>
        <v>5.1075046454025781</v>
      </c>
      <c r="K225" s="1064">
        <f t="shared" si="54"/>
        <v>7.8090133066846761</v>
      </c>
      <c r="L225" s="1060">
        <f t="shared" si="54"/>
        <v>0.8464659845431286</v>
      </c>
      <c r="M225" s="1065">
        <f t="shared" ref="M225:Y237" si="55">VLOOKUP($B225,$B$7:$AC$28,M$37+1,FALSE)</f>
        <v>9.6719476082953495</v>
      </c>
      <c r="N225" s="1066">
        <f t="shared" si="55"/>
        <v>9.1630231095150338E-2</v>
      </c>
      <c r="O225" s="1084" t="str">
        <f t="shared" si="55"/>
        <v>¥</v>
      </c>
      <c r="P225" s="1068">
        <f t="shared" si="55"/>
        <v>0.34976819018989347</v>
      </c>
      <c r="Q225" s="103">
        <f t="shared" si="55"/>
        <v>0.13477545507373562</v>
      </c>
      <c r="R225" s="1067">
        <f t="shared" si="55"/>
        <v>-0.4264373226073967</v>
      </c>
      <c r="S225" s="1068">
        <f t="shared" si="55"/>
        <v>9.7905485588969735E-2</v>
      </c>
      <c r="T225" s="1066">
        <f t="shared" si="55"/>
        <v>0.16024846762312819</v>
      </c>
      <c r="U225" s="1067">
        <f t="shared" si="55"/>
        <v>-0.25253039609468159</v>
      </c>
      <c r="V225" s="1068">
        <f t="shared" si="55"/>
        <v>0.12849893093161849</v>
      </c>
      <c r="W225" s="1060">
        <f t="shared" si="55"/>
        <v>2.5473012549392576E-2</v>
      </c>
      <c r="X225" s="1060">
        <f t="shared" si="55"/>
        <v>0.18900335031669008</v>
      </c>
      <c r="Y225" s="1069" t="str">
        <f t="shared" si="55"/>
        <v>Not rated</v>
      </c>
      <c r="Z225" s="1070"/>
      <c r="AA225" s="1064">
        <f t="shared" ref="AA225:AC237" si="56">VLOOKUP($B225,$B$7:$AC$28,AA$37+1,FALSE)</f>
        <v>1.265551414722516</v>
      </c>
      <c r="AB225" s="1071">
        <f t="shared" si="56"/>
        <v>0.38040351489576829</v>
      </c>
      <c r="AC225" s="1065">
        <f t="shared" si="56"/>
        <v>1.242834927692577</v>
      </c>
      <c r="AD225" s="949"/>
      <c r="AE225" s="949"/>
      <c r="AF225" s="949"/>
      <c r="AG225" s="2129"/>
      <c r="AH225" s="949"/>
      <c r="AI225" s="949"/>
      <c r="AJ225" s="949"/>
      <c r="AK225" s="949"/>
      <c r="AL225" s="949"/>
      <c r="AM225" s="949"/>
      <c r="AN225" s="949"/>
      <c r="AO225" s="949"/>
      <c r="AP225" s="949"/>
      <c r="AQ225" s="949"/>
      <c r="AR225" s="110"/>
      <c r="AS225" s="110"/>
      <c r="AT225" s="110"/>
      <c r="AU225" s="949"/>
      <c r="AV225" s="949"/>
      <c r="AW225" s="949"/>
      <c r="AX225" s="949"/>
      <c r="AY225" s="949"/>
      <c r="AZ225" s="949"/>
      <c r="BA225" s="949"/>
      <c r="BB225" s="949"/>
      <c r="BC225" s="949"/>
      <c r="BD225" s="949"/>
      <c r="BE225" s="2267"/>
    </row>
    <row r="226" spans="1:57">
      <c r="A226" s="1090" t="s">
        <v>501</v>
      </c>
      <c r="B226" s="73" t="s">
        <v>44</v>
      </c>
      <c r="C226" s="1085">
        <f t="shared" si="54"/>
        <v>12234.494271428572</v>
      </c>
      <c r="D226" s="1086">
        <f t="shared" si="54"/>
        <v>3.1347753486597643E-2</v>
      </c>
      <c r="E226" s="1060">
        <f t="shared" si="54"/>
        <v>-0.59766521701552</v>
      </c>
      <c r="F226" s="1060">
        <f t="shared" si="54"/>
        <v>-0.49588963810988107</v>
      </c>
      <c r="G226" s="1061">
        <f t="shared" si="54"/>
        <v>6819.5967000000001</v>
      </c>
      <c r="H226" s="1062">
        <f t="shared" si="54"/>
        <v>1.8884794830384175E-2</v>
      </c>
      <c r="I226" s="1063">
        <f t="shared" si="54"/>
        <v>3.9295455833111754</v>
      </c>
      <c r="J226" s="1063">
        <f t="shared" si="54"/>
        <v>1.2175677021960365</v>
      </c>
      <c r="K226" s="1064">
        <f t="shared" si="54"/>
        <v>5.0345645887817243</v>
      </c>
      <c r="L226" s="1060">
        <f t="shared" si="54"/>
        <v>-0.26680842971581226</v>
      </c>
      <c r="M226" s="1065">
        <f t="shared" si="55"/>
        <v>4.0325018858098245</v>
      </c>
      <c r="N226" s="1066">
        <f t="shared" si="55"/>
        <v>0.5805147103617575</v>
      </c>
      <c r="O226" s="1067">
        <f t="shared" si="55"/>
        <v>8.4948466413752491E-2</v>
      </c>
      <c r="P226" s="1068">
        <f t="shared" si="55"/>
        <v>0.6264024463118032</v>
      </c>
      <c r="Q226" s="103">
        <f t="shared" si="55"/>
        <v>0.51826084585195908</v>
      </c>
      <c r="R226" s="1067">
        <f t="shared" si="55"/>
        <v>0.40005999871326348</v>
      </c>
      <c r="S226" s="1068">
        <f t="shared" si="55"/>
        <v>0.58973938770950263</v>
      </c>
      <c r="T226" s="1066">
        <f t="shared" si="55"/>
        <v>0.5495689942142129</v>
      </c>
      <c r="U226" s="1067">
        <f t="shared" si="55"/>
        <v>0.40637993517884302</v>
      </c>
      <c r="V226" s="1068">
        <f t="shared" si="55"/>
        <v>0.63323863537070213</v>
      </c>
      <c r="W226" s="1060">
        <f t="shared" si="55"/>
        <v>3.1308148362253818E-2</v>
      </c>
      <c r="X226" s="1060">
        <f t="shared" si="55"/>
        <v>6.0410020577161203E-2</v>
      </c>
      <c r="Y226" s="1069" t="str">
        <f t="shared" si="55"/>
        <v>BBB-</v>
      </c>
      <c r="Z226" s="1070" t="str">
        <f>VLOOKUP($B226,$B$7:$AC$28,Z$37+1,FALSE)</f>
        <v>=  ¯ =</v>
      </c>
      <c r="AA226" s="1064">
        <f t="shared" si="56"/>
        <v>2.643581803383519</v>
      </c>
      <c r="AB226" s="1071">
        <f t="shared" si="56"/>
        <v>2.8580691559688957E-2</v>
      </c>
      <c r="AC226" s="1065">
        <f t="shared" si="56"/>
        <v>2.5466878830879209</v>
      </c>
      <c r="AD226" s="949"/>
      <c r="AE226" s="949"/>
      <c r="AF226" s="949"/>
      <c r="AG226" s="2129"/>
      <c r="AH226" s="949"/>
      <c r="AI226" s="949"/>
      <c r="AJ226" s="949"/>
      <c r="AK226" s="949"/>
      <c r="AL226" s="949"/>
      <c r="AM226" s="949"/>
      <c r="AN226" s="949"/>
      <c r="AO226" s="949"/>
      <c r="AP226" s="949"/>
      <c r="AQ226" s="949"/>
      <c r="AR226" s="110"/>
      <c r="AS226" s="110"/>
      <c r="AT226" s="110"/>
      <c r="AU226" s="949"/>
      <c r="AV226" s="949"/>
      <c r="AW226" s="949"/>
      <c r="AX226" s="949"/>
      <c r="AY226" s="949"/>
      <c r="AZ226" s="949"/>
      <c r="BA226" s="949"/>
      <c r="BB226" s="949"/>
      <c r="BC226" s="949"/>
      <c r="BD226" s="949"/>
      <c r="BE226" s="2267"/>
    </row>
    <row r="227" spans="1:57">
      <c r="A227" s="1091" t="s">
        <v>319</v>
      </c>
      <c r="B227" s="691" t="s">
        <v>750</v>
      </c>
      <c r="C227" s="1087">
        <f t="shared" si="54"/>
        <v>7616.907214285714</v>
      </c>
      <c r="D227" s="1088">
        <f t="shared" si="54"/>
        <v>1.9516371039653539E-2</v>
      </c>
      <c r="E227" s="1072">
        <f t="shared" si="54"/>
        <v>-0.33365525120929096</v>
      </c>
      <c r="F227" s="1072">
        <f t="shared" si="54"/>
        <v>-0.23187967230365203</v>
      </c>
      <c r="G227" s="1073">
        <f t="shared" si="54"/>
        <v>5825.8631999999998</v>
      </c>
      <c r="H227" s="1074">
        <f t="shared" si="54"/>
        <v>1.6132952736323161E-2</v>
      </c>
      <c r="I227" s="1075">
        <f t="shared" si="54"/>
        <v>2.4107651340270966</v>
      </c>
      <c r="J227" s="1075">
        <f t="shared" si="54"/>
        <v>2.0327505931612002</v>
      </c>
      <c r="K227" s="1076">
        <f t="shared" si="54"/>
        <v>4.7469851722287064</v>
      </c>
      <c r="L227" s="1072">
        <f t="shared" si="54"/>
        <v>0.1951757211867983</v>
      </c>
      <c r="M227" s="1077">
        <f t="shared" si="55"/>
        <v>4.6619962755533297</v>
      </c>
      <c r="N227" s="1078">
        <f t="shared" si="55"/>
        <v>0.37158673775730477</v>
      </c>
      <c r="O227" s="1079">
        <f t="shared" si="55"/>
        <v>-0.1153634304384116</v>
      </c>
      <c r="P227" s="1080">
        <f t="shared" si="55"/>
        <v>0.36037883142173305</v>
      </c>
      <c r="Q227" s="1013">
        <f t="shared" si="55"/>
        <v>0.17383796150947908</v>
      </c>
      <c r="R227" s="1079">
        <f t="shared" si="55"/>
        <v>0.54445307336528614</v>
      </c>
      <c r="S227" s="1080">
        <f t="shared" si="55"/>
        <v>0.26356163003804695</v>
      </c>
      <c r="T227" s="1078">
        <f t="shared" si="55"/>
        <v>0.19702478682132593</v>
      </c>
      <c r="U227" s="1079">
        <f t="shared" si="55"/>
        <v>0.50034734616182497</v>
      </c>
      <c r="V227" s="1080">
        <f t="shared" si="55"/>
        <v>0.28756363720088318</v>
      </c>
      <c r="W227" s="1072">
        <f t="shared" si="55"/>
        <v>2.3186825311846848E-2</v>
      </c>
      <c r="X227" s="1072">
        <f t="shared" si="55"/>
        <v>0.13338182932260462</v>
      </c>
      <c r="Y227" s="1081" t="str">
        <f t="shared" si="55"/>
        <v>A</v>
      </c>
      <c r="Z227" s="1082" t="str">
        <f>VLOOKUP($B227,$B$7:$AC$28,Z$37+1,FALSE)</f>
        <v>=  =  -</v>
      </c>
      <c r="AA227" s="1076">
        <f t="shared" si="56"/>
        <v>0.93248540191552354</v>
      </c>
      <c r="AB227" s="1083">
        <f t="shared" si="56"/>
        <v>0.78949919521054279</v>
      </c>
      <c r="AC227" s="1077">
        <f t="shared" si="56"/>
        <v>1.3109622071604587</v>
      </c>
      <c r="AD227" s="949"/>
      <c r="AE227" s="949"/>
      <c r="AF227" s="949"/>
      <c r="AG227" s="2129"/>
      <c r="AH227" s="949"/>
      <c r="AI227" s="949"/>
      <c r="AJ227" s="949"/>
      <c r="AK227" s="949"/>
      <c r="AL227" s="949"/>
      <c r="AM227" s="949"/>
      <c r="AN227" s="949"/>
      <c r="AO227" s="949"/>
      <c r="AP227" s="949"/>
      <c r="AQ227" s="949"/>
      <c r="AR227" s="110"/>
      <c r="AS227" s="110"/>
      <c r="AT227" s="110"/>
      <c r="AU227" s="949"/>
      <c r="AV227" s="949"/>
      <c r="AW227" s="949"/>
      <c r="AX227" s="949"/>
      <c r="AY227" s="949"/>
      <c r="AZ227" s="949"/>
      <c r="BA227" s="949"/>
      <c r="BB227" s="949"/>
      <c r="BC227" s="949"/>
      <c r="BD227" s="949"/>
      <c r="BE227" s="2267"/>
    </row>
    <row r="228" spans="1:57">
      <c r="A228" s="1090" t="s">
        <v>539</v>
      </c>
      <c r="B228" s="73" t="s">
        <v>39</v>
      </c>
      <c r="C228" s="1085">
        <f t="shared" si="54"/>
        <v>5059.5155870714543</v>
      </c>
      <c r="D228" s="1086">
        <f t="shared" si="54"/>
        <v>1.2963710952524294E-2</v>
      </c>
      <c r="E228" s="1060">
        <f t="shared" si="54"/>
        <v>-0.13366823909704381</v>
      </c>
      <c r="F228" s="1060">
        <f t="shared" si="54"/>
        <v>-3.1892660191404867E-2</v>
      </c>
      <c r="G228" s="1061">
        <f t="shared" si="54"/>
        <v>5057.8123335929276</v>
      </c>
      <c r="H228" s="1062">
        <f t="shared" si="54"/>
        <v>1.4006069920599414E-2</v>
      </c>
      <c r="I228" s="1063">
        <f t="shared" si="54"/>
        <v>1.6858649053444912</v>
      </c>
      <c r="J228" s="1063">
        <f t="shared" si="54"/>
        <v>1.7703056194544857</v>
      </c>
      <c r="K228" s="1064">
        <f t="shared" si="54"/>
        <v>6.1343182706324946</v>
      </c>
      <c r="L228" s="1060">
        <f t="shared" si="54"/>
        <v>-0.19036897853308513</v>
      </c>
      <c r="M228" s="1065">
        <f t="shared" si="55"/>
        <v>5.9052222685092017</v>
      </c>
      <c r="N228" s="1066">
        <f t="shared" si="55"/>
        <v>0.31054928118178421</v>
      </c>
      <c r="O228" s="1067">
        <f t="shared" si="55"/>
        <v>-0.11491916916279199</v>
      </c>
      <c r="P228" s="1068">
        <f t="shared" si="55"/>
        <v>0.28165979767703259</v>
      </c>
      <c r="Q228" s="103">
        <f t="shared" si="55"/>
        <v>0.3899242463002407</v>
      </c>
      <c r="R228" s="1067">
        <f t="shared" si="55"/>
        <v>-0.1197676600756727</v>
      </c>
      <c r="S228" s="1068">
        <f t="shared" si="55"/>
        <v>0.37944762378701169</v>
      </c>
      <c r="T228" s="1066">
        <f t="shared" si="55"/>
        <v>0.45093517146474416</v>
      </c>
      <c r="U228" s="1067">
        <f t="shared" si="55"/>
        <v>-8.3572610535330494E-2</v>
      </c>
      <c r="V228" s="1068">
        <f t="shared" si="55"/>
        <v>0.43916945384982109</v>
      </c>
      <c r="W228" s="1060">
        <f t="shared" si="55"/>
        <v>6.101092516450346E-2</v>
      </c>
      <c r="X228" s="1060">
        <f t="shared" si="55"/>
        <v>0.15646866216553562</v>
      </c>
      <c r="Y228" s="1069" t="str">
        <f t="shared" si="55"/>
        <v>BBB</v>
      </c>
      <c r="Z228" s="1070" t="str">
        <f>VLOOKUP($B228,$B$7:$AC$28,Z$37+1,FALSE)</f>
        <v>­  = =</v>
      </c>
      <c r="AA228" s="1064">
        <f t="shared" si="56"/>
        <v>2.6587814840492587</v>
      </c>
      <c r="AB228" s="1071">
        <f t="shared" si="56"/>
        <v>-0.25803195656746131</v>
      </c>
      <c r="AC228" s="1065">
        <f t="shared" si="56"/>
        <v>2.5933932385229874</v>
      </c>
      <c r="AD228" s="949"/>
      <c r="AE228" s="949"/>
      <c r="AF228" s="949"/>
      <c r="AG228" s="2129"/>
      <c r="AH228" s="949"/>
      <c r="AI228" s="949"/>
      <c r="AJ228" s="949"/>
      <c r="AK228" s="949"/>
      <c r="AL228" s="949"/>
      <c r="AM228" s="949"/>
      <c r="AN228" s="949"/>
      <c r="AO228" s="949"/>
      <c r="AP228" s="949"/>
      <c r="AQ228" s="949"/>
      <c r="AR228" s="110"/>
      <c r="AS228" s="110"/>
      <c r="AT228" s="110"/>
      <c r="AU228" s="949"/>
      <c r="AV228" s="949"/>
      <c r="AW228" s="949"/>
      <c r="AX228" s="949"/>
      <c r="AY228" s="949"/>
      <c r="AZ228" s="949"/>
      <c r="BA228" s="949"/>
      <c r="BB228" s="949"/>
      <c r="BC228" s="949"/>
      <c r="BD228" s="949"/>
      <c r="BE228" s="2267"/>
    </row>
    <row r="229" spans="1:57">
      <c r="A229" s="1091" t="s">
        <v>319</v>
      </c>
      <c r="B229" s="691" t="s">
        <v>752</v>
      </c>
      <c r="C229" s="1087">
        <f t="shared" si="54"/>
        <v>3541.6238999999996</v>
      </c>
      <c r="D229" s="1088">
        <f t="shared" si="54"/>
        <v>9.0745028357006995E-3</v>
      </c>
      <c r="E229" s="1072">
        <f t="shared" si="54"/>
        <v>0.67327297771392325</v>
      </c>
      <c r="F229" s="1072">
        <f t="shared" si="54"/>
        <v>0.77504855661956218</v>
      </c>
      <c r="G229" s="1073">
        <f t="shared" si="54"/>
        <v>4048.9897999999998</v>
      </c>
      <c r="H229" s="1074">
        <f t="shared" si="54"/>
        <v>1.1212443346293226E-2</v>
      </c>
      <c r="I229" s="1075">
        <f t="shared" si="54"/>
        <v>-1.4186196832586249</v>
      </c>
      <c r="J229" s="1075">
        <f t="shared" si="54"/>
        <v>-2.7147098893731143</v>
      </c>
      <c r="K229" s="1076">
        <f t="shared" si="54"/>
        <v>8.5213348378460623</v>
      </c>
      <c r="L229" s="1072">
        <f t="shared" si="54"/>
        <v>0.26215680659638446</v>
      </c>
      <c r="M229" s="1077">
        <f t="shared" si="55"/>
        <v>9.0506669895995948</v>
      </c>
      <c r="N229" s="1078">
        <f t="shared" si="55"/>
        <v>6.4385445236561381E-2</v>
      </c>
      <c r="O229" s="1079">
        <f t="shared" si="55"/>
        <v>14.697799124913645</v>
      </c>
      <c r="P229" s="1080">
        <f t="shared" si="55"/>
        <v>0.15462918080465343</v>
      </c>
      <c r="Q229" s="1013">
        <f t="shared" si="55"/>
        <v>0.42399287000325037</v>
      </c>
      <c r="R229" s="1079">
        <f t="shared" si="55"/>
        <v>4.5742782667206161E-2</v>
      </c>
      <c r="S229" s="1080">
        <f t="shared" si="55"/>
        <v>0.48144640266975475</v>
      </c>
      <c r="T229" s="1078">
        <f t="shared" si="55"/>
        <v>0.42695023434228802</v>
      </c>
      <c r="U229" s="1079">
        <f t="shared" si="55"/>
        <v>4.1366838913311048E-2</v>
      </c>
      <c r="V229" s="1080">
        <f t="shared" si="55"/>
        <v>0.4832654138496531</v>
      </c>
      <c r="W229" s="1072">
        <f t="shared" si="55"/>
        <v>2.9573643390376492E-3</v>
      </c>
      <c r="X229" s="1072">
        <f t="shared" si="55"/>
        <v>6.9750331863245195E-3</v>
      </c>
      <c r="Y229" s="1081" t="str">
        <f t="shared" si="55"/>
        <v>B+</v>
      </c>
      <c r="Z229" s="1082" t="str">
        <f>VLOOKUP($B229,$B$7:$AC$28,Z$37+1,FALSE)</f>
        <v>=  =  =</v>
      </c>
      <c r="AA229" s="1076">
        <f t="shared" si="56"/>
        <v>3.7014756930154613</v>
      </c>
      <c r="AB229" s="1083">
        <f t="shared" si="56"/>
        <v>0.31334582285320112</v>
      </c>
      <c r="AC229" s="1077">
        <f t="shared" si="56"/>
        <v>4.3704719780651446</v>
      </c>
      <c r="AD229" s="949"/>
      <c r="AE229" s="949"/>
      <c r="AF229" s="949"/>
      <c r="AG229" s="2129"/>
      <c r="AH229" s="949"/>
      <c r="AI229" s="949"/>
      <c r="AJ229" s="949"/>
      <c r="AK229" s="949"/>
      <c r="AL229" s="949"/>
      <c r="AM229" s="949"/>
      <c r="AN229" s="949"/>
      <c r="AO229" s="949"/>
      <c r="AP229" s="949"/>
      <c r="AQ229" s="949"/>
      <c r="AR229" s="110"/>
      <c r="AS229" s="110"/>
      <c r="AT229" s="110"/>
      <c r="AU229" s="949"/>
      <c r="AV229" s="949"/>
      <c r="AW229" s="949"/>
      <c r="AX229" s="949"/>
      <c r="AY229" s="949"/>
      <c r="AZ229" s="949"/>
      <c r="BA229" s="949"/>
      <c r="BB229" s="949"/>
      <c r="BC229" s="949"/>
      <c r="BD229" s="949"/>
      <c r="BE229" s="2267"/>
    </row>
    <row r="230" spans="1:57">
      <c r="A230" s="1090" t="s">
        <v>503</v>
      </c>
      <c r="B230" s="73" t="s">
        <v>280</v>
      </c>
      <c r="C230" s="1085">
        <f t="shared" si="54"/>
        <v>5769.8566757446433</v>
      </c>
      <c r="D230" s="1086">
        <f t="shared" si="54"/>
        <v>1.4783777793466828E-2</v>
      </c>
      <c r="E230" s="1060">
        <f t="shared" si="54"/>
        <v>-0.24705029723080094</v>
      </c>
      <c r="F230" s="1060">
        <f t="shared" si="54"/>
        <v>-0.14527471832516198</v>
      </c>
      <c r="G230" s="1061">
        <f t="shared" si="54"/>
        <v>4026.3480952657014</v>
      </c>
      <c r="H230" s="1062">
        <f t="shared" si="54"/>
        <v>1.1149744044952231E-2</v>
      </c>
      <c r="I230" s="1063">
        <f t="shared" si="54"/>
        <v>2.446298838298576</v>
      </c>
      <c r="J230" s="1063">
        <f t="shared" si="54"/>
        <v>1.6476276710656086</v>
      </c>
      <c r="K230" s="1064">
        <f t="shared" si="54"/>
        <v>6.5589809256196414</v>
      </c>
      <c r="L230" s="1060">
        <f t="shared" si="54"/>
        <v>1.2127469272410992E-3</v>
      </c>
      <c r="M230" s="1065">
        <f t="shared" si="55"/>
        <v>5.5145354419406587</v>
      </c>
      <c r="N230" s="1066">
        <f t="shared" si="55"/>
        <v>0.67083419702973635</v>
      </c>
      <c r="O230" s="1067">
        <f t="shared" si="55"/>
        <v>-0.11335389957676706</v>
      </c>
      <c r="P230" s="1068">
        <f t="shared" si="55"/>
        <v>0.63639387890884902</v>
      </c>
      <c r="Q230" s="103">
        <f t="shared" si="55"/>
        <v>0.1536920907726812</v>
      </c>
      <c r="R230" s="1067">
        <f t="shared" si="55"/>
        <v>1.6283818604559013</v>
      </c>
      <c r="S230" s="1068">
        <f t="shared" si="55"/>
        <v>0.2022242346359609</v>
      </c>
      <c r="T230" s="1066">
        <f t="shared" si="55"/>
        <v>0.20961441125119315</v>
      </c>
      <c r="U230" s="1067">
        <f t="shared" si="55"/>
        <v>0.84200521424561081</v>
      </c>
      <c r="V230" s="1068">
        <f t="shared" si="55"/>
        <v>0.28147528322389997</v>
      </c>
      <c r="W230" s="1060">
        <f t="shared" si="55"/>
        <v>5.592232047851195E-2</v>
      </c>
      <c r="X230" s="1060">
        <f t="shared" si="55"/>
        <v>0.36385945559959909</v>
      </c>
      <c r="Y230" s="1069" t="str">
        <f t="shared" si="55"/>
        <v>Not rated</v>
      </c>
      <c r="Z230" s="1070"/>
      <c r="AA230" s="1064">
        <f t="shared" si="56"/>
        <v>1.4399592566697517</v>
      </c>
      <c r="AB230" s="1071">
        <f t="shared" si="56"/>
        <v>0.8442860967329926</v>
      </c>
      <c r="AC230" s="1065">
        <f t="shared" si="56"/>
        <v>1.5521418473212367</v>
      </c>
      <c r="AD230" s="949"/>
      <c r="AE230" s="949"/>
      <c r="AF230" s="949"/>
      <c r="AG230" s="2129"/>
      <c r="AH230" s="949"/>
      <c r="AI230" s="949"/>
      <c r="AJ230" s="949"/>
      <c r="AK230" s="949"/>
      <c r="AL230" s="949"/>
      <c r="AM230" s="949"/>
      <c r="AN230" s="949"/>
      <c r="AO230" s="949"/>
      <c r="AP230" s="949"/>
      <c r="AQ230" s="949"/>
      <c r="AR230" s="110"/>
      <c r="AS230" s="110"/>
      <c r="AT230" s="110"/>
      <c r="AU230" s="949"/>
      <c r="AV230" s="949"/>
      <c r="AW230" s="949"/>
      <c r="AX230" s="949"/>
      <c r="AY230" s="949"/>
      <c r="AZ230" s="949"/>
      <c r="BA230" s="949"/>
      <c r="BB230" s="949"/>
      <c r="BC230" s="949"/>
      <c r="BD230" s="949"/>
      <c r="BE230" s="2267"/>
    </row>
    <row r="231" spans="1:57">
      <c r="A231" s="1090" t="s">
        <v>374</v>
      </c>
      <c r="B231" s="73" t="s">
        <v>42</v>
      </c>
      <c r="C231" s="1085">
        <f t="shared" si="54"/>
        <v>2432.5463571428577</v>
      </c>
      <c r="D231" s="1086">
        <f t="shared" si="54"/>
        <v>6.2327761047315808E-3</v>
      </c>
      <c r="E231" s="1060">
        <f t="shared" si="54"/>
        <v>-3.2258071946582277E-2</v>
      </c>
      <c r="F231" s="1060">
        <f t="shared" si="54"/>
        <v>6.9517506959056674E-2</v>
      </c>
      <c r="G231" s="1061">
        <f t="shared" si="54"/>
        <v>2940.9023000000002</v>
      </c>
      <c r="H231" s="1062">
        <f t="shared" si="54"/>
        <v>8.143932697912316E-3</v>
      </c>
      <c r="I231" s="1063">
        <f t="shared" si="54"/>
        <v>1.2689619717468461</v>
      </c>
      <c r="J231" s="1063">
        <f t="shared" si="54"/>
        <v>1.312316956715752</v>
      </c>
      <c r="K231" s="1064">
        <f t="shared" si="54"/>
        <v>3.8459062845563983</v>
      </c>
      <c r="L231" s="1060">
        <f t="shared" si="54"/>
        <v>3.4291324439135469E-2</v>
      </c>
      <c r="M231" s="1065">
        <f t="shared" si="55"/>
        <v>3.7439277362047823</v>
      </c>
      <c r="N231" s="1066">
        <f t="shared" si="55"/>
        <v>0.56323171407839789</v>
      </c>
      <c r="O231" s="1067">
        <f t="shared" si="55"/>
        <v>-0.12023286586287618</v>
      </c>
      <c r="P231" s="1068">
        <f t="shared" si="55"/>
        <v>0.53987730061349704</v>
      </c>
      <c r="Q231" s="103">
        <f t="shared" si="55"/>
        <v>0.60887331285954671</v>
      </c>
      <c r="R231" s="1067">
        <f t="shared" si="55"/>
        <v>-0.37303497156800469</v>
      </c>
      <c r="S231" s="1068">
        <f t="shared" si="55"/>
        <v>0.37659759063604481</v>
      </c>
      <c r="T231" s="1066">
        <f t="shared" si="55"/>
        <v>0.63388271448107447</v>
      </c>
      <c r="U231" s="1067">
        <f t="shared" si="55"/>
        <v>-0.25869992498286548</v>
      </c>
      <c r="V231" s="1068">
        <f t="shared" si="55"/>
        <v>0.44527495080222473</v>
      </c>
      <c r="W231" s="1060">
        <f t="shared" si="55"/>
        <v>2.500940162152776E-2</v>
      </c>
      <c r="X231" s="1060">
        <f t="shared" si="55"/>
        <v>4.1074885519406669E-2</v>
      </c>
      <c r="Y231" s="1069" t="str">
        <f t="shared" si="55"/>
        <v>B-</v>
      </c>
      <c r="Z231" s="1070" t="str">
        <f>VLOOKUP($B231,$B$7:$AC$28,Z$37+1,FALSE)</f>
        <v>=  =  -</v>
      </c>
      <c r="AA231" s="1064">
        <f t="shared" si="56"/>
        <v>2.172629043332774</v>
      </c>
      <c r="AB231" s="1071">
        <f t="shared" si="56"/>
        <v>-0.22035736928264804</v>
      </c>
      <c r="AC231" s="1065">
        <f t="shared" si="56"/>
        <v>1.5517268924243866</v>
      </c>
      <c r="AD231" s="949"/>
      <c r="AE231" s="949"/>
      <c r="AF231" s="949"/>
      <c r="AG231" s="2129"/>
      <c r="AH231" s="949"/>
      <c r="AI231" s="949"/>
      <c r="AJ231" s="949"/>
      <c r="AK231" s="949"/>
      <c r="AL231" s="949"/>
      <c r="AM231" s="949"/>
      <c r="AN231" s="949"/>
      <c r="AO231" s="949"/>
      <c r="AP231" s="949"/>
      <c r="AQ231" s="949"/>
      <c r="AR231" s="110"/>
      <c r="AS231" s="110"/>
      <c r="AT231" s="110"/>
      <c r="AU231" s="949"/>
      <c r="AV231" s="949"/>
      <c r="AW231" s="949"/>
      <c r="AX231" s="949"/>
      <c r="AY231" s="949"/>
      <c r="AZ231" s="949"/>
      <c r="BA231" s="949"/>
      <c r="BB231" s="949"/>
      <c r="BC231" s="949"/>
      <c r="BD231" s="949"/>
      <c r="BE231" s="2267"/>
    </row>
    <row r="232" spans="1:57">
      <c r="A232" s="1090" t="s">
        <v>27</v>
      </c>
      <c r="B232" s="73" t="s">
        <v>54</v>
      </c>
      <c r="C232" s="1085">
        <f t="shared" si="54"/>
        <v>4745.1447857142857</v>
      </c>
      <c r="D232" s="1086">
        <f t="shared" si="54"/>
        <v>1.2158216408516635E-2</v>
      </c>
      <c r="E232" s="1060">
        <f t="shared" si="54"/>
        <v>-0.63447330491761056</v>
      </c>
      <c r="F232" s="1060">
        <f t="shared" si="54"/>
        <v>-0.53269772601197163</v>
      </c>
      <c r="G232" s="1061">
        <f t="shared" si="54"/>
        <v>2680.5724</v>
      </c>
      <c r="H232" s="1062">
        <f t="shared" si="54"/>
        <v>7.4230283738025878E-3</v>
      </c>
      <c r="I232" s="1063">
        <f t="shared" si="54"/>
        <v>1.3569881249181368</v>
      </c>
      <c r="J232" s="1063">
        <f t="shared" si="54"/>
        <v>1.0332545966156574</v>
      </c>
      <c r="K232" s="1064">
        <f t="shared" si="54"/>
        <v>6.3422811159545107</v>
      </c>
      <c r="L232" s="1060">
        <f t="shared" si="54"/>
        <v>-0.24924595564935845</v>
      </c>
      <c r="M232" s="1065">
        <f t="shared" si="55"/>
        <v>5.3369406950798908</v>
      </c>
      <c r="N232" s="1066">
        <f t="shared" si="55"/>
        <v>0.48460704112825509</v>
      </c>
      <c r="O232" s="1067">
        <f t="shared" si="55"/>
        <v>-0.18079580514885477</v>
      </c>
      <c r="P232" s="1068">
        <f t="shared" si="55"/>
        <v>0.49497857034449522</v>
      </c>
      <c r="Q232" s="103">
        <f t="shared" si="55"/>
        <v>0.56717095077467305</v>
      </c>
      <c r="R232" s="1067">
        <f t="shared" si="55"/>
        <v>0.64731222518720821</v>
      </c>
      <c r="S232" s="1068">
        <f t="shared" si="55"/>
        <v>0.74754623070756221</v>
      </c>
      <c r="T232" s="1066">
        <f t="shared" si="55"/>
        <v>0.5748403529709204</v>
      </c>
      <c r="U232" s="1067">
        <f t="shared" si="55"/>
        <v>0.5906099669472562</v>
      </c>
      <c r="V232" s="1068">
        <f t="shared" si="55"/>
        <v>0.7506672643344422</v>
      </c>
      <c r="W232" s="1060">
        <f t="shared" si="55"/>
        <v>7.6694021962473435E-3</v>
      </c>
      <c r="X232" s="1060">
        <f t="shared" si="55"/>
        <v>1.3522205581530675E-2</v>
      </c>
      <c r="Y232" s="1069" t="str">
        <f t="shared" si="55"/>
        <v>BBB-</v>
      </c>
      <c r="Z232" s="1070" t="str">
        <f>VLOOKUP($B232,$B$7:$AC$28,Z$37+1,FALSE)</f>
        <v>¯  ¯ ¯</v>
      </c>
      <c r="AA232" s="1064">
        <f t="shared" si="56"/>
        <v>3.4278891827637503</v>
      </c>
      <c r="AB232" s="1071">
        <f t="shared" si="56"/>
        <v>0.24423537898737996</v>
      </c>
      <c r="AC232" s="1065">
        <f t="shared" si="56"/>
        <v>3.8230610288109381</v>
      </c>
      <c r="AD232" s="949"/>
      <c r="AE232" s="949"/>
      <c r="AF232" s="949"/>
      <c r="AG232" s="2129"/>
      <c r="AH232" s="949"/>
      <c r="AI232" s="949"/>
      <c r="AJ232" s="949"/>
      <c r="AK232" s="949"/>
      <c r="AL232" s="949"/>
      <c r="AM232" s="949"/>
      <c r="AN232" s="949"/>
      <c r="AO232" s="949"/>
      <c r="AP232" s="949"/>
      <c r="AQ232" s="949"/>
      <c r="AR232" s="110"/>
      <c r="AS232" s="110"/>
      <c r="AT232" s="110"/>
      <c r="AU232" s="949"/>
      <c r="AV232" s="949"/>
      <c r="AW232" s="949"/>
      <c r="AX232" s="949"/>
      <c r="AY232" s="949"/>
      <c r="AZ232" s="949"/>
      <c r="BA232" s="949"/>
      <c r="BB232" s="949"/>
      <c r="BC232" s="949"/>
      <c r="BD232" s="949"/>
      <c r="BE232" s="2267"/>
    </row>
    <row r="233" spans="1:57">
      <c r="A233" s="1090" t="s">
        <v>73</v>
      </c>
      <c r="B233" s="73" t="s">
        <v>283</v>
      </c>
      <c r="C233" s="1085">
        <f t="shared" si="54"/>
        <v>2461.5190857142857</v>
      </c>
      <c r="D233" s="1086">
        <f t="shared" si="54"/>
        <v>6.3070112903421734E-3</v>
      </c>
      <c r="E233" s="1060">
        <f t="shared" si="54"/>
        <v>6.738754525599433E-2</v>
      </c>
      <c r="F233" s="1060">
        <f t="shared" si="54"/>
        <v>0.16916312416163326</v>
      </c>
      <c r="G233" s="1061">
        <f t="shared" si="54"/>
        <v>2364.3629999999998</v>
      </c>
      <c r="H233" s="1062">
        <f t="shared" si="54"/>
        <v>6.5473828033777437E-3</v>
      </c>
      <c r="I233" s="1063">
        <f t="shared" si="54"/>
        <v>3.1397518024733277</v>
      </c>
      <c r="J233" s="1063">
        <f t="shared" si="54"/>
        <v>3.0995844257996854</v>
      </c>
      <c r="K233" s="1064">
        <f t="shared" si="54"/>
        <v>6.6917014692746157</v>
      </c>
      <c r="L233" s="1060">
        <f t="shared" si="54"/>
        <v>0.14721542174528052</v>
      </c>
      <c r="M233" s="1065">
        <f t="shared" si="55"/>
        <v>7.0127743881429545</v>
      </c>
      <c r="N233" s="1066">
        <f t="shared" si="55"/>
        <v>0.62657499999999999</v>
      </c>
      <c r="O233" s="1067">
        <f t="shared" si="55"/>
        <v>5.5614710459497153E-2</v>
      </c>
      <c r="P233" s="1068">
        <f t="shared" si="55"/>
        <v>0.64439999999999997</v>
      </c>
      <c r="Q233" s="103">
        <f t="shared" si="55"/>
        <v>0.24190098439360719</v>
      </c>
      <c r="R233" s="1067">
        <f t="shared" si="55"/>
        <v>0.20667512064869559</v>
      </c>
      <c r="S233" s="1068">
        <f t="shared" si="55"/>
        <v>0.30597960586046052</v>
      </c>
      <c r="T233" s="1066">
        <f t="shared" si="55"/>
        <v>0.2616424852780464</v>
      </c>
      <c r="U233" s="1067">
        <f t="shared" si="55"/>
        <v>0.20296552626351777</v>
      </c>
      <c r="V233" s="1068">
        <f t="shared" si="55"/>
        <v>0.32061814749302248</v>
      </c>
      <c r="W233" s="1060">
        <f t="shared" si="55"/>
        <v>1.9741500884439211E-2</v>
      </c>
      <c r="X233" s="1060">
        <f t="shared" si="55"/>
        <v>8.1609841042717679E-2</v>
      </c>
      <c r="Y233" s="1069" t="str">
        <f t="shared" si="55"/>
        <v>BBB</v>
      </c>
      <c r="Z233" s="1070" t="str">
        <f>VLOOKUP($B233,$B$7:$AC$28,Z$37+1,FALSE)</f>
        <v>=  =  -</v>
      </c>
      <c r="AA233" s="1064">
        <f t="shared" si="56"/>
        <v>1.7511002028712532</v>
      </c>
      <c r="AB233" s="1071">
        <f t="shared" si="56"/>
        <v>0.37093258903528414</v>
      </c>
      <c r="AC233" s="1065">
        <f t="shared" si="56"/>
        <v>2.2311132077757287</v>
      </c>
      <c r="AD233" s="949"/>
      <c r="AE233" s="949"/>
      <c r="AF233" s="949"/>
      <c r="AG233" s="2129"/>
      <c r="AH233" s="949"/>
      <c r="AI233" s="949"/>
      <c r="AJ233" s="949"/>
      <c r="AK233" s="949"/>
      <c r="AL233" s="949"/>
      <c r="AM233" s="949"/>
      <c r="AN233" s="949"/>
      <c r="AO233" s="949"/>
      <c r="AP233" s="949"/>
      <c r="AQ233" s="949"/>
      <c r="AR233" s="110"/>
      <c r="AS233" s="110"/>
      <c r="AT233" s="110"/>
      <c r="AU233" s="949"/>
      <c r="AV233" s="949"/>
      <c r="AW233" s="949"/>
      <c r="AX233" s="949"/>
      <c r="AY233" s="949"/>
      <c r="AZ233" s="949"/>
      <c r="BA233" s="949"/>
      <c r="BB233" s="949"/>
      <c r="BC233" s="949"/>
      <c r="BD233" s="949"/>
      <c r="BE233" s="2267"/>
    </row>
    <row r="234" spans="1:57">
      <c r="A234" s="1090" t="s">
        <v>502</v>
      </c>
      <c r="B234" s="73" t="s">
        <v>287</v>
      </c>
      <c r="C234" s="1085">
        <f t="shared" si="54"/>
        <v>4580.8423286191064</v>
      </c>
      <c r="D234" s="1086">
        <f t="shared" si="54"/>
        <v>1.1737233504933111E-2</v>
      </c>
      <c r="E234" s="1060">
        <f t="shared" si="54"/>
        <v>-0.49577837871365099</v>
      </c>
      <c r="F234" s="1060">
        <f t="shared" si="54"/>
        <v>-0.39400279980801206</v>
      </c>
      <c r="G234" s="1061">
        <f t="shared" si="54"/>
        <v>2322.4005110115481</v>
      </c>
      <c r="H234" s="1062">
        <f t="shared" si="54"/>
        <v>6.4311804779353665E-3</v>
      </c>
      <c r="I234" s="1063">
        <f t="shared" si="54"/>
        <v>1.4234279787340207</v>
      </c>
      <c r="J234" s="1063">
        <f t="shared" si="54"/>
        <v>0.8056764866383116</v>
      </c>
      <c r="K234" s="1064">
        <f t="shared" si="54"/>
        <v>4.3531629475873661</v>
      </c>
      <c r="L234" s="1060">
        <f t="shared" si="54"/>
        <v>-8.1025400882275472E-2</v>
      </c>
      <c r="M234" s="1065">
        <f t="shared" si="55"/>
        <v>3.4400754167452243</v>
      </c>
      <c r="N234" s="1066">
        <f t="shared" si="55"/>
        <v>0.42290073595624156</v>
      </c>
      <c r="O234" s="1067">
        <f t="shared" si="55"/>
        <v>-9.0086339251873371E-2</v>
      </c>
      <c r="P234" s="1068">
        <f t="shared" si="55"/>
        <v>0.44946685046944856</v>
      </c>
      <c r="Q234" s="103">
        <f t="shared" si="55"/>
        <v>0.16307046534988884</v>
      </c>
      <c r="R234" s="1067">
        <f t="shared" si="55"/>
        <v>1.3005419282788433</v>
      </c>
      <c r="S234" s="1068">
        <f t="shared" si="55"/>
        <v>0.30950096360373897</v>
      </c>
      <c r="T234" s="1066">
        <f t="shared" si="55"/>
        <v>0.18570292678335293</v>
      </c>
      <c r="U234" s="1067">
        <f t="shared" si="55"/>
        <v>1.251733079461073</v>
      </c>
      <c r="V234" s="1068">
        <f t="shared" si="55"/>
        <v>0.34197601038246805</v>
      </c>
      <c r="W234" s="1060">
        <f t="shared" si="55"/>
        <v>2.2632461433464091E-2</v>
      </c>
      <c r="X234" s="1060">
        <f t="shared" si="55"/>
        <v>0.13878945758144007</v>
      </c>
      <c r="Y234" s="1069" t="str">
        <f t="shared" si="55"/>
        <v>BBB</v>
      </c>
      <c r="Z234" s="1070" t="str">
        <f>VLOOKUP($B234,$B$7:$AC$28,Z$37+1,FALSE)</f>
        <v>=  ¯ -</v>
      </c>
      <c r="AA234" s="1064">
        <f t="shared" si="56"/>
        <v>0.77886477042851432</v>
      </c>
      <c r="AB234" s="1071">
        <f t="shared" si="56"/>
        <v>1.0703005310133176</v>
      </c>
      <c r="AC234" s="1065">
        <f t="shared" si="56"/>
        <v>1.1762690733772538</v>
      </c>
      <c r="AD234" s="949"/>
      <c r="AE234" s="949"/>
      <c r="AF234" s="949"/>
      <c r="AG234" s="2129"/>
      <c r="AH234" s="949"/>
      <c r="AI234" s="949"/>
      <c r="AJ234" s="949"/>
      <c r="AK234" s="949"/>
      <c r="AL234" s="949"/>
      <c r="AM234" s="949"/>
      <c r="AN234" s="949"/>
      <c r="AO234" s="949"/>
      <c r="AP234" s="949"/>
      <c r="AQ234" s="949"/>
      <c r="AR234" s="110"/>
      <c r="AS234" s="110"/>
      <c r="AT234" s="110"/>
      <c r="AU234" s="949"/>
      <c r="AV234" s="949"/>
      <c r="AW234" s="949"/>
      <c r="AX234" s="949"/>
      <c r="AY234" s="949"/>
      <c r="AZ234" s="949"/>
      <c r="BA234" s="949"/>
      <c r="BB234" s="949"/>
      <c r="BC234" s="949"/>
      <c r="BD234" s="949"/>
      <c r="BE234" s="2267"/>
    </row>
    <row r="235" spans="1:57">
      <c r="A235" s="1090" t="s">
        <v>385</v>
      </c>
      <c r="B235" s="73" t="s">
        <v>276</v>
      </c>
      <c r="C235" s="1085">
        <f t="shared" si="54"/>
        <v>3544.0522571428578</v>
      </c>
      <c r="D235" s="1086">
        <f t="shared" si="54"/>
        <v>9.0807248780183369E-3</v>
      </c>
      <c r="E235" s="1060">
        <f t="shared" si="54"/>
        <v>-0.4675424361384804</v>
      </c>
      <c r="F235" s="1060">
        <f t="shared" si="54"/>
        <v>-0.36576685723284147</v>
      </c>
      <c r="G235" s="1061">
        <f t="shared" si="54"/>
        <v>2152.6311000000001</v>
      </c>
      <c r="H235" s="1062">
        <f t="shared" si="54"/>
        <v>5.9610558303255963E-3</v>
      </c>
      <c r="I235" s="1063">
        <f t="shared" si="54"/>
        <v>3.4941691326062152</v>
      </c>
      <c r="J235" s="1063">
        <f t="shared" si="54"/>
        <v>2.2961398399999999</v>
      </c>
      <c r="K235" s="1064">
        <f t="shared" si="54"/>
        <v>4.4246190982470868</v>
      </c>
      <c r="L235" s="1060">
        <f t="shared" si="54"/>
        <v>-2.9835823683801648E-2</v>
      </c>
      <c r="M235" s="1065">
        <f t="shared" si="55"/>
        <v>4.0530525032062261</v>
      </c>
      <c r="N235" s="1066">
        <f t="shared" si="55"/>
        <v>0.60910298289809772</v>
      </c>
      <c r="O235" s="1067">
        <f t="shared" si="55"/>
        <v>-5.2071170724915891E-2</v>
      </c>
      <c r="P235" s="1068">
        <f t="shared" si="55"/>
        <v>0.6207941242005639</v>
      </c>
      <c r="Q235" s="103">
        <f t="shared" si="55"/>
        <v>0.49050145598877937</v>
      </c>
      <c r="R235" s="1067">
        <f t="shared" si="55"/>
        <v>0.42102559519407173</v>
      </c>
      <c r="S235" s="1068">
        <f t="shared" si="55"/>
        <v>0.61744816018521742</v>
      </c>
      <c r="T235" s="1066">
        <f t="shared" si="55"/>
        <v>0.49698573886957192</v>
      </c>
      <c r="U235" s="1067">
        <f t="shared" si="55"/>
        <v>0.41032171167013903</v>
      </c>
      <c r="V235" s="1068">
        <f t="shared" si="55"/>
        <v>0.62319136029119382</v>
      </c>
      <c r="W235" s="1060">
        <f t="shared" si="55"/>
        <v>6.4842828807925579E-3</v>
      </c>
      <c r="X235" s="1060">
        <f t="shared" si="55"/>
        <v>1.3219701596443154E-2</v>
      </c>
      <c r="Y235" s="1069" t="str">
        <f t="shared" si="55"/>
        <v>BBB</v>
      </c>
      <c r="Z235" s="1070" t="str">
        <f>VLOOKUP($B235,$B$7:$AC$28,Z$37+1,FALSE)</f>
        <v>=  ¯ -</v>
      </c>
      <c r="AA235" s="1064">
        <f t="shared" si="56"/>
        <v>2.1902281092407181</v>
      </c>
      <c r="AB235" s="1071">
        <f t="shared" si="56"/>
        <v>0.36844726500440206</v>
      </c>
      <c r="AC235" s="1065">
        <f t="shared" si="56"/>
        <v>2.5252968522290931</v>
      </c>
      <c r="AD235" s="949"/>
      <c r="AE235" s="949"/>
      <c r="AF235" s="949"/>
      <c r="AG235" s="2129"/>
      <c r="AH235" s="949"/>
      <c r="AI235" s="949"/>
      <c r="AJ235" s="949"/>
      <c r="AK235" s="949"/>
      <c r="AL235" s="949"/>
      <c r="AM235" s="949"/>
      <c r="AN235" s="949"/>
      <c r="AO235" s="949"/>
      <c r="AP235" s="949"/>
      <c r="AQ235" s="949"/>
      <c r="AR235" s="110"/>
      <c r="AS235" s="110"/>
      <c r="AT235" s="110"/>
      <c r="AU235" s="949"/>
      <c r="AV235" s="949"/>
      <c r="AW235" s="949"/>
      <c r="AX235" s="949"/>
      <c r="AY235" s="949"/>
      <c r="AZ235" s="949"/>
      <c r="BA235" s="949"/>
      <c r="BB235" s="949"/>
      <c r="BC235" s="949"/>
      <c r="BD235" s="949"/>
      <c r="BE235" s="2267"/>
    </row>
    <row r="236" spans="1:57">
      <c r="A236" s="1091" t="s">
        <v>319</v>
      </c>
      <c r="B236" s="691" t="s">
        <v>751</v>
      </c>
      <c r="C236" s="1087">
        <f t="shared" si="54"/>
        <v>2121.4584571428572</v>
      </c>
      <c r="D236" s="1088">
        <f t="shared" si="54"/>
        <v>5.4356931534045982E-3</v>
      </c>
      <c r="E236" s="1072">
        <f t="shared" si="54"/>
        <v>-0.63331383871554725</v>
      </c>
      <c r="F236" s="1072">
        <f t="shared" si="54"/>
        <v>-0.53153825980990832</v>
      </c>
      <c r="G236" s="1073">
        <f t="shared" si="54"/>
        <v>960.23059999999998</v>
      </c>
      <c r="H236" s="1074">
        <f t="shared" si="54"/>
        <v>2.6590660223142948E-3</v>
      </c>
      <c r="I236" s="1075">
        <f t="shared" si="54"/>
        <v>6.3820660890696566</v>
      </c>
      <c r="J236" s="1075">
        <f t="shared" si="54"/>
        <v>3.126768479322696</v>
      </c>
      <c r="K236" s="1076">
        <f t="shared" si="54"/>
        <v>4.988018554669714</v>
      </c>
      <c r="L236" s="1072">
        <f t="shared" si="54"/>
        <v>-0.2975700901517318</v>
      </c>
      <c r="M236" s="1077">
        <f t="shared" si="55"/>
        <v>3.6764587184436395</v>
      </c>
      <c r="N236" s="1078">
        <f t="shared" si="55"/>
        <v>0.95644485424869818</v>
      </c>
      <c r="O236" s="1079">
        <f t="shared" si="55"/>
        <v>5.7346309608293736E-3</v>
      </c>
      <c r="P236" s="1080">
        <f t="shared" si="55"/>
        <v>0.97265268915223335</v>
      </c>
      <c r="Q236" s="1013">
        <f t="shared" si="55"/>
        <v>0.16489915086810925</v>
      </c>
      <c r="R236" s="1079">
        <f t="shared" si="55"/>
        <v>2.0043608623878186</v>
      </c>
      <c r="S236" s="1080">
        <f t="shared" si="55"/>
        <v>0.32988338723452482</v>
      </c>
      <c r="T236" s="1078">
        <f t="shared" si="55"/>
        <v>0.27218937885351913</v>
      </c>
      <c r="U236" s="1079">
        <f t="shared" si="55"/>
        <v>1.2181747217666232</v>
      </c>
      <c r="V236" s="1080">
        <f t="shared" si="55"/>
        <v>0.4561905930983241</v>
      </c>
      <c r="W236" s="1072">
        <f t="shared" si="55"/>
        <v>0.10729022798540988</v>
      </c>
      <c r="X236" s="1072">
        <f t="shared" si="55"/>
        <v>0.65064148250965514</v>
      </c>
      <c r="Y236" s="1081" t="str">
        <f t="shared" si="55"/>
        <v>Not rated</v>
      </c>
      <c r="Z236" s="1082"/>
      <c r="AA236" s="1076">
        <f t="shared" si="56"/>
        <v>1.2440956586918632</v>
      </c>
      <c r="AB236" s="1083">
        <f t="shared" si="56"/>
        <v>0.5581122698382367</v>
      </c>
      <c r="AC236" s="1077">
        <f t="shared" si="56"/>
        <v>1.6771658832683087</v>
      </c>
      <c r="AD236" s="949"/>
      <c r="AE236" s="949"/>
      <c r="AF236" s="949"/>
      <c r="AG236" s="2129"/>
      <c r="AH236" s="949"/>
      <c r="AI236" s="949"/>
      <c r="AJ236" s="949"/>
      <c r="AK236" s="949"/>
      <c r="AL236" s="949"/>
      <c r="AM236" s="949"/>
      <c r="AN236" s="949"/>
      <c r="AO236" s="949"/>
      <c r="AP236" s="949"/>
      <c r="AQ236" s="949"/>
      <c r="AR236" s="110"/>
      <c r="AS236" s="110"/>
      <c r="AT236" s="110"/>
      <c r="AU236" s="949"/>
      <c r="AV236" s="949"/>
      <c r="AW236" s="949"/>
      <c r="AX236" s="949"/>
      <c r="AY236" s="949"/>
      <c r="AZ236" s="949"/>
      <c r="BA236" s="949"/>
      <c r="BB236" s="949"/>
      <c r="BC236" s="949"/>
      <c r="BD236" s="949"/>
      <c r="BE236" s="2267"/>
    </row>
    <row r="237" spans="1:57">
      <c r="A237" s="1090" t="s">
        <v>27</v>
      </c>
      <c r="B237" s="73" t="s">
        <v>353</v>
      </c>
      <c r="C237" s="1085">
        <f t="shared" si="54"/>
        <v>504.56125714285719</v>
      </c>
      <c r="D237" s="1086">
        <f t="shared" si="54"/>
        <v>1.292808804099037E-3</v>
      </c>
      <c r="E237" s="1060">
        <f t="shared" si="54"/>
        <v>0.11241291049139049</v>
      </c>
      <c r="F237" s="1060">
        <f t="shared" si="54"/>
        <v>0.21418848939702945</v>
      </c>
      <c r="G237" s="1061">
        <f t="shared" si="54"/>
        <v>562.64409999999998</v>
      </c>
      <c r="H237" s="1062">
        <f t="shared" si="54"/>
        <v>1.5580713726115437E-3</v>
      </c>
      <c r="I237" s="1063">
        <f t="shared" si="54"/>
        <v>0.48825120153947199</v>
      </c>
      <c r="J237" s="1063">
        <f t="shared" si="54"/>
        <v>0.52140126030951717</v>
      </c>
      <c r="K237" s="1064">
        <f t="shared" si="54"/>
        <v>4.0370208841188875</v>
      </c>
      <c r="L237" s="1060">
        <f t="shared" si="54"/>
        <v>-0.11001004882442665</v>
      </c>
      <c r="M237" s="1065">
        <f t="shared" si="55"/>
        <v>3.9063069179772585</v>
      </c>
      <c r="N237" s="1060">
        <f t="shared" si="55"/>
        <v>0.90539538726018864</v>
      </c>
      <c r="O237" s="1067">
        <f t="shared" si="55"/>
        <v>-4.1189056985539901E-2</v>
      </c>
      <c r="P237" s="1068">
        <f t="shared" si="55"/>
        <v>0.90138346931536006</v>
      </c>
      <c r="Q237" s="103">
        <f t="shared" si="55"/>
        <v>0.38160323267486906</v>
      </c>
      <c r="R237" s="1067">
        <f t="shared" si="55"/>
        <v>0.13281779457810056</v>
      </c>
      <c r="S237" s="1068">
        <f t="shared" si="55"/>
        <v>0.39444904186551905</v>
      </c>
      <c r="T237" s="1066">
        <f t="shared" si="55"/>
        <v>0.47841518539184064</v>
      </c>
      <c r="U237" s="1067">
        <f t="shared" si="55"/>
        <v>1.1717685634717274E-2</v>
      </c>
      <c r="V237" s="1068">
        <f t="shared" si="55"/>
        <v>0.46507375880431212</v>
      </c>
      <c r="W237" s="1060">
        <f t="shared" si="55"/>
        <v>9.6811952716971572E-2</v>
      </c>
      <c r="X237" s="1060">
        <f t="shared" si="55"/>
        <v>0.25369793656715856</v>
      </c>
      <c r="Y237" s="1069" t="str">
        <f t="shared" si="55"/>
        <v>Not rated</v>
      </c>
      <c r="Z237" s="1070"/>
      <c r="AA237" s="1064">
        <f t="shared" si="56"/>
        <v>1.832329792526622</v>
      </c>
      <c r="AB237" s="1071">
        <f t="shared" si="56"/>
        <v>-9.9442962217240083E-2</v>
      </c>
      <c r="AC237" s="1065">
        <f t="shared" si="56"/>
        <v>1.8160302149559577</v>
      </c>
      <c r="AD237" s="949"/>
      <c r="AE237" s="949"/>
      <c r="AF237" s="949"/>
      <c r="AG237" s="2129"/>
      <c r="AH237" s="949"/>
      <c r="AI237" s="949"/>
      <c r="AJ237" s="949"/>
      <c r="AK237" s="949"/>
      <c r="AL237" s="949"/>
      <c r="AM237" s="949"/>
      <c r="AN237" s="949"/>
      <c r="AO237" s="949"/>
      <c r="AP237" s="949"/>
      <c r="AQ237" s="949"/>
      <c r="AR237" s="110"/>
      <c r="AS237" s="110"/>
      <c r="AT237" s="110"/>
      <c r="AU237" s="949"/>
      <c r="AV237" s="949"/>
      <c r="AW237" s="949"/>
      <c r="AX237" s="949"/>
      <c r="AY237" s="949"/>
      <c r="AZ237" s="949"/>
      <c r="BA237" s="949"/>
      <c r="BB237" s="949"/>
      <c r="BC237" s="949"/>
      <c r="BD237" s="949"/>
      <c r="BE237" s="2267"/>
    </row>
    <row r="238" spans="1:57">
      <c r="A238" s="1090"/>
      <c r="B238" s="949"/>
      <c r="C238" s="949"/>
      <c r="D238" s="119"/>
      <c r="E238" s="949"/>
      <c r="F238" s="949"/>
      <c r="G238" s="949"/>
      <c r="H238" s="119"/>
      <c r="I238" s="119"/>
      <c r="J238" s="119"/>
      <c r="K238" s="949"/>
      <c r="L238" s="949"/>
      <c r="M238" s="1089"/>
      <c r="N238" s="949"/>
      <c r="O238" s="949"/>
      <c r="P238" s="949"/>
      <c r="Q238" s="1005"/>
      <c r="R238" s="1005"/>
      <c r="S238" s="1005"/>
      <c r="T238" s="949"/>
      <c r="U238" s="949"/>
      <c r="V238" s="949"/>
      <c r="W238" s="1005"/>
      <c r="X238" s="1005"/>
      <c r="Y238" s="949"/>
      <c r="Z238" s="949"/>
      <c r="AA238" s="949"/>
      <c r="AB238" s="949"/>
      <c r="AC238" s="949"/>
      <c r="AD238" s="949"/>
      <c r="AE238" s="949"/>
      <c r="AF238" s="949"/>
      <c r="AG238" s="2129"/>
      <c r="AH238" s="949"/>
      <c r="AI238" s="949"/>
      <c r="AJ238" s="949"/>
      <c r="AK238" s="949"/>
      <c r="AL238" s="949"/>
      <c r="AM238" s="949"/>
      <c r="AN238" s="949"/>
      <c r="AO238" s="949"/>
      <c r="AP238" s="949"/>
      <c r="AQ238" s="949"/>
      <c r="AR238" s="110"/>
      <c r="AS238" s="110"/>
      <c r="AT238" s="110"/>
      <c r="AU238" s="949"/>
      <c r="AV238" s="949"/>
      <c r="AW238" s="949"/>
      <c r="AX238" s="949"/>
      <c r="AY238" s="949"/>
      <c r="AZ238" s="949"/>
      <c r="BA238" s="949"/>
      <c r="BB238" s="949"/>
      <c r="BC238" s="949"/>
      <c r="BD238" s="949"/>
      <c r="BE238" s="2267"/>
    </row>
    <row r="239" spans="1:57">
      <c r="A239" s="1090"/>
      <c r="B239" s="949"/>
      <c r="C239" s="949"/>
      <c r="D239" s="119"/>
      <c r="E239" s="949"/>
      <c r="F239" s="949"/>
      <c r="G239" s="949"/>
      <c r="H239" s="119"/>
      <c r="I239" s="119"/>
      <c r="J239" s="119"/>
      <c r="K239" s="949"/>
      <c r="L239" s="949"/>
      <c r="M239" s="1089"/>
      <c r="N239" s="949"/>
      <c r="O239" s="949"/>
      <c r="P239" s="949"/>
      <c r="Q239" s="1005"/>
      <c r="R239" s="1005"/>
      <c r="S239" s="1005"/>
      <c r="T239" s="949"/>
      <c r="U239" s="949"/>
      <c r="V239" s="949"/>
      <c r="W239" s="1005"/>
      <c r="X239" s="1005"/>
      <c r="Y239" s="949"/>
      <c r="Z239" s="949"/>
      <c r="AA239" s="949"/>
      <c r="AB239" s="949"/>
      <c r="AC239" s="949"/>
      <c r="AD239" s="949"/>
      <c r="AE239" s="949"/>
      <c r="AF239" s="949"/>
      <c r="AG239" s="2129"/>
      <c r="AH239" s="949"/>
      <c r="AI239" s="949"/>
      <c r="AJ239" s="949"/>
      <c r="AK239" s="949"/>
      <c r="AL239" s="949"/>
      <c r="AM239" s="949"/>
      <c r="AN239" s="949"/>
      <c r="AO239" s="949"/>
      <c r="AP239" s="949"/>
      <c r="AQ239" s="949"/>
      <c r="AR239" s="110"/>
      <c r="AS239" s="110"/>
      <c r="AT239" s="110"/>
      <c r="AU239" s="949"/>
      <c r="AV239" s="949"/>
      <c r="AW239" s="949"/>
      <c r="AX239" s="949"/>
      <c r="AY239" s="949"/>
      <c r="AZ239" s="949"/>
      <c r="BA239" s="949"/>
      <c r="BB239" s="949"/>
      <c r="BC239" s="949"/>
      <c r="BD239" s="949"/>
      <c r="BE239" s="2267"/>
    </row>
    <row r="240" spans="1:57">
      <c r="A240" s="3315" t="s">
        <v>1016</v>
      </c>
      <c r="B240" s="1286" t="s">
        <v>1012</v>
      </c>
      <c r="C240" s="1005"/>
      <c r="D240" s="119"/>
      <c r="E240" s="1005"/>
      <c r="F240" s="1005"/>
      <c r="G240" s="1005"/>
      <c r="H240" s="119"/>
      <c r="I240" s="119"/>
      <c r="J240" s="119"/>
      <c r="K240" s="1005"/>
      <c r="L240" s="1005"/>
      <c r="M240" s="1089"/>
      <c r="N240" s="1005"/>
      <c r="O240" s="1005"/>
      <c r="P240" s="1005"/>
      <c r="Q240" s="1005"/>
      <c r="R240" s="1005"/>
      <c r="S240" s="1005"/>
      <c r="T240" s="1005"/>
      <c r="U240" s="1005"/>
      <c r="V240" s="1005"/>
      <c r="W240" s="1005"/>
      <c r="X240" s="1005"/>
      <c r="Y240" s="1005"/>
      <c r="Z240" s="1005"/>
      <c r="AA240" s="1005"/>
      <c r="AB240" s="1005"/>
      <c r="AC240" s="1005"/>
      <c r="AD240" s="949"/>
      <c r="AE240" s="949"/>
      <c r="AF240" s="949"/>
      <c r="AG240" s="2129"/>
      <c r="AH240" s="949"/>
      <c r="AI240" s="949"/>
      <c r="AJ240" s="949"/>
      <c r="AK240" s="949"/>
      <c r="AL240" s="949"/>
      <c r="AM240" s="949"/>
      <c r="AN240" s="949"/>
      <c r="AO240" s="949"/>
      <c r="AP240" s="949"/>
      <c r="AQ240" s="949"/>
      <c r="AR240" s="110"/>
      <c r="AS240" s="110"/>
      <c r="AT240" s="110"/>
      <c r="AU240" s="949"/>
      <c r="AV240" s="949"/>
      <c r="AW240" s="949"/>
      <c r="AX240" s="949"/>
      <c r="AY240" s="949"/>
      <c r="AZ240" s="949"/>
      <c r="BA240" s="949"/>
      <c r="BB240" s="949"/>
      <c r="BC240" s="949"/>
      <c r="BD240" s="949"/>
      <c r="BE240" s="2267"/>
    </row>
    <row r="241" spans="1:57">
      <c r="A241" s="1090" t="s">
        <v>499</v>
      </c>
      <c r="B241" s="73" t="s">
        <v>284</v>
      </c>
      <c r="C241" s="1085">
        <f t="shared" ref="C241:L249" si="57">VLOOKUP($B241,$B$7:$AC$28,C$37+1,FALSE)</f>
        <v>15596.516285714286</v>
      </c>
      <c r="D241" s="1086">
        <f t="shared" si="57"/>
        <v>3.9962072557101963E-2</v>
      </c>
      <c r="E241" s="1060">
        <f t="shared" si="57"/>
        <v>-0.41209116095583281</v>
      </c>
      <c r="F241" s="1060">
        <f t="shared" si="57"/>
        <v>-0.31031558205019388</v>
      </c>
      <c r="G241" s="1061">
        <f t="shared" si="57"/>
        <v>10295.917100000001</v>
      </c>
      <c r="H241" s="1062">
        <f t="shared" si="57"/>
        <v>2.8511404790864545E-2</v>
      </c>
      <c r="I241" s="1063">
        <f t="shared" si="57"/>
        <v>0.58081043687158529</v>
      </c>
      <c r="J241" s="1063">
        <f t="shared" si="57"/>
        <v>0.5027794267018264</v>
      </c>
      <c r="K241" s="1064">
        <f t="shared" si="57"/>
        <v>4.6475023511824993</v>
      </c>
      <c r="L241" s="1060">
        <f t="shared" si="57"/>
        <v>-0.18379111287045302</v>
      </c>
      <c r="M241" s="1065">
        <f t="shared" ref="M241:V249" si="58">VLOOKUP($B241,$B$7:$AC$28,M$37+1,FALSE)</f>
        <v>4.0606354500113753</v>
      </c>
      <c r="N241" s="1066">
        <f t="shared" si="58"/>
        <v>0.34534166666666666</v>
      </c>
      <c r="O241" s="1067">
        <f t="shared" si="58"/>
        <v>-5.4500069338510607E-2</v>
      </c>
      <c r="P241" s="1068">
        <f t="shared" si="58"/>
        <v>0.3626280111015483</v>
      </c>
      <c r="Q241" s="1066">
        <f t="shared" si="58"/>
        <v>0.67997702229572432</v>
      </c>
      <c r="R241" s="1067">
        <f t="shared" si="58"/>
        <v>0.10658020511075152</v>
      </c>
      <c r="S241" s="1068">
        <f t="shared" si="58"/>
        <v>0.75270955685414354</v>
      </c>
      <c r="T241" s="103">
        <f t="shared" si="58"/>
        <v>0.68457317243488636</v>
      </c>
      <c r="U241" s="1067">
        <f t="shared" si="58"/>
        <v>0.10522314957078965</v>
      </c>
      <c r="V241" s="1068">
        <f t="shared" si="58"/>
        <v>0.75672107111582532</v>
      </c>
      <c r="W241" s="1060">
        <f t="shared" ref="W241:AC249" si="59">VLOOKUP($B241,$B$7:$AC$28,W$37+1,FALSE)</f>
        <v>4.5961501391620363E-3</v>
      </c>
      <c r="X241" s="1060">
        <f t="shared" si="59"/>
        <v>6.7592727231349809E-3</v>
      </c>
      <c r="Y241" s="1069" t="str">
        <f t="shared" si="59"/>
        <v>BBB-</v>
      </c>
      <c r="Z241" s="1070" t="str">
        <f t="shared" si="59"/>
        <v>=  ¯ ¯</v>
      </c>
      <c r="AA241" s="1064">
        <f t="shared" si="59"/>
        <v>2.9152503149286035</v>
      </c>
      <c r="AB241" s="1071">
        <f t="shared" si="59"/>
        <v>-0.14664752669478531</v>
      </c>
      <c r="AC241" s="1065">
        <f t="shared" si="59"/>
        <v>2.8370691340232916</v>
      </c>
      <c r="AD241" s="949"/>
      <c r="AE241" s="949"/>
      <c r="AF241" s="949"/>
      <c r="AG241" s="2129"/>
      <c r="AH241" s="949"/>
      <c r="AI241" s="949"/>
      <c r="AJ241" s="949"/>
      <c r="AK241" s="949"/>
      <c r="AL241" s="949"/>
      <c r="AM241" s="949"/>
      <c r="AN241" s="949"/>
      <c r="AO241" s="949"/>
      <c r="AP241" s="949"/>
      <c r="AQ241" s="949"/>
      <c r="AR241" s="110"/>
      <c r="AS241" s="110"/>
      <c r="AT241" s="110"/>
      <c r="AU241" s="949"/>
      <c r="AV241" s="949"/>
      <c r="AW241" s="949"/>
      <c r="AX241" s="949"/>
      <c r="AY241" s="949"/>
      <c r="AZ241" s="949"/>
      <c r="BA241" s="949"/>
      <c r="BB241" s="949"/>
      <c r="BC241" s="949"/>
      <c r="BD241" s="949"/>
      <c r="BE241" s="2267"/>
    </row>
    <row r="242" spans="1:57">
      <c r="A242" s="1090" t="s">
        <v>374</v>
      </c>
      <c r="B242" s="73" t="s">
        <v>42</v>
      </c>
      <c r="C242" s="1085">
        <f t="shared" si="57"/>
        <v>2432.5463571428577</v>
      </c>
      <c r="D242" s="1086">
        <f t="shared" si="57"/>
        <v>6.2327761047315808E-3</v>
      </c>
      <c r="E242" s="1060">
        <f t="shared" si="57"/>
        <v>-3.2258071946582277E-2</v>
      </c>
      <c r="F242" s="1060">
        <f t="shared" si="57"/>
        <v>6.9517506959056674E-2</v>
      </c>
      <c r="G242" s="1061">
        <f t="shared" si="57"/>
        <v>2940.9023000000002</v>
      </c>
      <c r="H242" s="1062">
        <f t="shared" si="57"/>
        <v>8.143932697912316E-3</v>
      </c>
      <c r="I242" s="1063">
        <f t="shared" si="57"/>
        <v>1.2689619717468461</v>
      </c>
      <c r="J242" s="1063">
        <f t="shared" si="57"/>
        <v>1.312316956715752</v>
      </c>
      <c r="K242" s="1064">
        <f t="shared" si="57"/>
        <v>3.8459062845563983</v>
      </c>
      <c r="L242" s="1060">
        <f t="shared" si="57"/>
        <v>3.4291324439135469E-2</v>
      </c>
      <c r="M242" s="1065">
        <f t="shared" si="58"/>
        <v>3.7439277362047823</v>
      </c>
      <c r="N242" s="1066">
        <f t="shared" si="58"/>
        <v>0.56323171407839789</v>
      </c>
      <c r="O242" s="1067">
        <f t="shared" si="58"/>
        <v>-0.12023286586287618</v>
      </c>
      <c r="P242" s="1068">
        <f t="shared" si="58"/>
        <v>0.53987730061349704</v>
      </c>
      <c r="Q242" s="1066">
        <f t="shared" si="58"/>
        <v>0.60887331285954671</v>
      </c>
      <c r="R242" s="1067">
        <f t="shared" si="58"/>
        <v>-0.37303497156800469</v>
      </c>
      <c r="S242" s="1068">
        <f t="shared" si="58"/>
        <v>0.37659759063604481</v>
      </c>
      <c r="T242" s="103">
        <f t="shared" si="58"/>
        <v>0.63388271448107447</v>
      </c>
      <c r="U242" s="1067">
        <f t="shared" si="58"/>
        <v>-0.25869992498286548</v>
      </c>
      <c r="V242" s="1068">
        <f t="shared" si="58"/>
        <v>0.44527495080222473</v>
      </c>
      <c r="W242" s="1060">
        <f t="shared" si="59"/>
        <v>2.500940162152776E-2</v>
      </c>
      <c r="X242" s="1060">
        <f t="shared" si="59"/>
        <v>4.1074885519406669E-2</v>
      </c>
      <c r="Y242" s="1069" t="str">
        <f t="shared" si="59"/>
        <v>B-</v>
      </c>
      <c r="Z242" s="1070" t="str">
        <f t="shared" si="59"/>
        <v>=  =  -</v>
      </c>
      <c r="AA242" s="1064">
        <f t="shared" si="59"/>
        <v>2.172629043332774</v>
      </c>
      <c r="AB242" s="1071">
        <f t="shared" si="59"/>
        <v>-0.22035736928264804</v>
      </c>
      <c r="AC242" s="1065">
        <f t="shared" si="59"/>
        <v>1.5517268924243866</v>
      </c>
      <c r="AD242" s="949"/>
      <c r="AE242" s="949"/>
      <c r="AF242" s="949"/>
      <c r="AG242" s="2129"/>
      <c r="AH242" s="949"/>
      <c r="AI242" s="949"/>
      <c r="AJ242" s="949"/>
      <c r="AK242" s="949"/>
      <c r="AL242" s="949"/>
      <c r="AM242" s="949"/>
      <c r="AN242" s="949"/>
      <c r="AO242" s="949"/>
      <c r="AP242" s="949"/>
      <c r="AQ242" s="949"/>
      <c r="AR242" s="110"/>
      <c r="AS242" s="110"/>
      <c r="AT242" s="110"/>
      <c r="AU242" s="949"/>
      <c r="AV242" s="949"/>
      <c r="AW242" s="949"/>
      <c r="AX242" s="949"/>
      <c r="AY242" s="949"/>
      <c r="AZ242" s="949"/>
      <c r="BA242" s="949"/>
      <c r="BB242" s="949"/>
      <c r="BC242" s="949"/>
      <c r="BD242" s="949"/>
      <c r="BE242" s="2267"/>
    </row>
    <row r="243" spans="1:57">
      <c r="A243" s="1090" t="s">
        <v>498</v>
      </c>
      <c r="B243" s="73" t="s">
        <v>52</v>
      </c>
      <c r="C243" s="1085">
        <f t="shared" si="57"/>
        <v>40464.923042857146</v>
      </c>
      <c r="D243" s="1086">
        <f t="shared" si="57"/>
        <v>0.1036809862557167</v>
      </c>
      <c r="E243" s="1060">
        <f t="shared" si="57"/>
        <v>-6.1458653761923776E-2</v>
      </c>
      <c r="F243" s="1060">
        <f t="shared" si="57"/>
        <v>4.0316925143715168E-2</v>
      </c>
      <c r="G243" s="1061">
        <f t="shared" si="57"/>
        <v>39791.94</v>
      </c>
      <c r="H243" s="1062">
        <f t="shared" si="57"/>
        <v>0.1101916514803518</v>
      </c>
      <c r="I243" s="1063">
        <f t="shared" si="57"/>
        <v>1.0840589348936991</v>
      </c>
      <c r="J243" s="1063">
        <f t="shared" si="57"/>
        <v>1.2733420800000002</v>
      </c>
      <c r="K243" s="1064">
        <f t="shared" si="57"/>
        <v>4.9157277486128619</v>
      </c>
      <c r="L243" s="1060">
        <f t="shared" si="57"/>
        <v>0.1448238320606966</v>
      </c>
      <c r="M243" s="1065">
        <f t="shared" si="58"/>
        <v>5.2964626193065953</v>
      </c>
      <c r="N243" s="1066">
        <f t="shared" si="58"/>
        <v>0.61</v>
      </c>
      <c r="O243" s="1067">
        <f t="shared" si="58"/>
        <v>0</v>
      </c>
      <c r="P243" s="1068">
        <f t="shared" si="58"/>
        <v>0.62983042679437373</v>
      </c>
      <c r="Q243" s="1066">
        <f t="shared" si="58"/>
        <v>0.51528895508035288</v>
      </c>
      <c r="R243" s="1067">
        <f t="shared" si="58"/>
        <v>-2.4931247740904369E-2</v>
      </c>
      <c r="S243" s="1068">
        <f t="shared" si="58"/>
        <v>0.51939744871548044</v>
      </c>
      <c r="T243" s="103">
        <f t="shared" si="58"/>
        <v>0.58808850315066874</v>
      </c>
      <c r="U243" s="1067">
        <f t="shared" si="58"/>
        <v>-2.8226553900756759E-2</v>
      </c>
      <c r="V243" s="1068">
        <f t="shared" si="58"/>
        <v>0.59074959904524027</v>
      </c>
      <c r="W243" s="1060">
        <f t="shared" si="59"/>
        <v>7.2799548070315856E-2</v>
      </c>
      <c r="X243" s="1060">
        <f t="shared" si="59"/>
        <v>0.14127907721011346</v>
      </c>
      <c r="Y243" s="1069" t="str">
        <f t="shared" si="59"/>
        <v>BBB+</v>
      </c>
      <c r="Z243" s="1070" t="str">
        <f t="shared" si="59"/>
        <v>=  =  =</v>
      </c>
      <c r="AA243" s="1064">
        <f t="shared" si="59"/>
        <v>2.7906818261625395</v>
      </c>
      <c r="AB243" s="1071">
        <f t="shared" si="59"/>
        <v>8.5841806528642844E-2</v>
      </c>
      <c r="AC243" s="1065">
        <f t="shared" si="59"/>
        <v>2.9178287645268703</v>
      </c>
      <c r="AD243" s="949"/>
      <c r="AE243" s="949"/>
      <c r="AF243" s="949"/>
      <c r="AG243" s="2129"/>
      <c r="AH243" s="949"/>
      <c r="AI243" s="949"/>
      <c r="AJ243" s="949"/>
      <c r="AK243" s="949"/>
      <c r="AL243" s="949"/>
      <c r="AM243" s="949"/>
      <c r="AN243" s="949"/>
      <c r="AO243" s="949"/>
      <c r="AP243" s="949"/>
      <c r="AQ243" s="949"/>
      <c r="AR243" s="110"/>
      <c r="AS243" s="110"/>
      <c r="AT243" s="110"/>
      <c r="AU243" s="949"/>
      <c r="AV243" s="949"/>
      <c r="AW243" s="949"/>
      <c r="AX243" s="949"/>
      <c r="AY243" s="949"/>
      <c r="AZ243" s="949"/>
      <c r="BA243" s="949"/>
      <c r="BB243" s="949"/>
      <c r="BC243" s="949"/>
      <c r="BD243" s="949"/>
      <c r="BE243" s="2267"/>
    </row>
    <row r="244" spans="1:57">
      <c r="A244" s="1090" t="s">
        <v>27</v>
      </c>
      <c r="B244" s="73" t="s">
        <v>54</v>
      </c>
      <c r="C244" s="1085">
        <f t="shared" si="57"/>
        <v>4745.1447857142857</v>
      </c>
      <c r="D244" s="1086">
        <f t="shared" si="57"/>
        <v>1.2158216408516635E-2</v>
      </c>
      <c r="E244" s="1060">
        <f t="shared" si="57"/>
        <v>-0.63447330491761056</v>
      </c>
      <c r="F244" s="1060">
        <f t="shared" si="57"/>
        <v>-0.53269772601197163</v>
      </c>
      <c r="G244" s="1061">
        <f t="shared" si="57"/>
        <v>2680.5724</v>
      </c>
      <c r="H244" s="1062">
        <f t="shared" si="57"/>
        <v>7.4230283738025878E-3</v>
      </c>
      <c r="I244" s="1063">
        <f t="shared" si="57"/>
        <v>1.3569881249181368</v>
      </c>
      <c r="J244" s="1063">
        <f t="shared" si="57"/>
        <v>1.0332545966156574</v>
      </c>
      <c r="K244" s="1064">
        <f t="shared" si="57"/>
        <v>6.3422811159545107</v>
      </c>
      <c r="L244" s="1060">
        <f t="shared" si="57"/>
        <v>-0.24924595564935845</v>
      </c>
      <c r="M244" s="1065">
        <f t="shared" si="58"/>
        <v>5.3369406950798908</v>
      </c>
      <c r="N244" s="1066">
        <f t="shared" si="58"/>
        <v>0.48460704112825509</v>
      </c>
      <c r="O244" s="1067">
        <f t="shared" si="58"/>
        <v>-0.18079580514885477</v>
      </c>
      <c r="P244" s="1068">
        <f t="shared" si="58"/>
        <v>0.49497857034449522</v>
      </c>
      <c r="Q244" s="1066">
        <f t="shared" si="58"/>
        <v>0.56717095077467305</v>
      </c>
      <c r="R244" s="1067">
        <f t="shared" si="58"/>
        <v>0.64731222518720821</v>
      </c>
      <c r="S244" s="1068">
        <f t="shared" si="58"/>
        <v>0.74754623070756221</v>
      </c>
      <c r="T244" s="103">
        <f t="shared" si="58"/>
        <v>0.5748403529709204</v>
      </c>
      <c r="U244" s="1067">
        <f t="shared" si="58"/>
        <v>0.5906099669472562</v>
      </c>
      <c r="V244" s="1068">
        <f t="shared" si="58"/>
        <v>0.7506672643344422</v>
      </c>
      <c r="W244" s="1060">
        <f t="shared" si="59"/>
        <v>7.6694021962473435E-3</v>
      </c>
      <c r="X244" s="1060">
        <f t="shared" si="59"/>
        <v>1.3522205581530675E-2</v>
      </c>
      <c r="Y244" s="1069" t="str">
        <f t="shared" si="59"/>
        <v>BBB-</v>
      </c>
      <c r="Z244" s="1070" t="str">
        <f t="shared" si="59"/>
        <v>¯  ¯ ¯</v>
      </c>
      <c r="AA244" s="1064">
        <f t="shared" si="59"/>
        <v>3.4278891827637503</v>
      </c>
      <c r="AB244" s="1071">
        <f t="shared" si="59"/>
        <v>0.24423537898737996</v>
      </c>
      <c r="AC244" s="1065">
        <f t="shared" si="59"/>
        <v>3.8230610288109381</v>
      </c>
      <c r="AD244" s="949"/>
      <c r="AE244" s="949"/>
      <c r="AF244" s="949"/>
      <c r="AG244" s="2129"/>
      <c r="AH244" s="949"/>
      <c r="AI244" s="949"/>
      <c r="AJ244" s="949"/>
      <c r="AK244" s="949"/>
      <c r="AL244" s="949"/>
      <c r="AM244" s="949"/>
      <c r="AN244" s="949"/>
      <c r="AO244" s="949"/>
      <c r="AP244" s="949"/>
      <c r="AQ244" s="949"/>
      <c r="AR244" s="110"/>
      <c r="AS244" s="110"/>
      <c r="AT244" s="110"/>
      <c r="AU244" s="949"/>
      <c r="AV244" s="949"/>
      <c r="AW244" s="949"/>
      <c r="AX244" s="949"/>
      <c r="AY244" s="949"/>
      <c r="AZ244" s="949"/>
      <c r="BA244" s="949"/>
      <c r="BB244" s="949"/>
      <c r="BC244" s="949"/>
      <c r="BD244" s="949"/>
      <c r="BE244" s="2267"/>
    </row>
    <row r="245" spans="1:57">
      <c r="A245" s="1090" t="s">
        <v>501</v>
      </c>
      <c r="B245" s="73" t="s">
        <v>44</v>
      </c>
      <c r="C245" s="1085">
        <f t="shared" si="57"/>
        <v>12234.494271428572</v>
      </c>
      <c r="D245" s="1086">
        <f t="shared" si="57"/>
        <v>3.1347753486597643E-2</v>
      </c>
      <c r="E245" s="1060">
        <f t="shared" si="57"/>
        <v>-0.59766521701552</v>
      </c>
      <c r="F245" s="1060">
        <f t="shared" si="57"/>
        <v>-0.49588963810988107</v>
      </c>
      <c r="G245" s="1061">
        <f t="shared" si="57"/>
        <v>6819.5967000000001</v>
      </c>
      <c r="H245" s="1062">
        <f t="shared" si="57"/>
        <v>1.8884794830384175E-2</v>
      </c>
      <c r="I245" s="1063">
        <f t="shared" si="57"/>
        <v>3.9295455833111754</v>
      </c>
      <c r="J245" s="1063">
        <f t="shared" si="57"/>
        <v>1.2175677021960365</v>
      </c>
      <c r="K245" s="1064">
        <f t="shared" si="57"/>
        <v>5.0345645887817243</v>
      </c>
      <c r="L245" s="1060">
        <f t="shared" si="57"/>
        <v>-0.26680842971581226</v>
      </c>
      <c r="M245" s="1065">
        <f t="shared" si="58"/>
        <v>4.0325018858098245</v>
      </c>
      <c r="N245" s="1066">
        <f t="shared" si="58"/>
        <v>0.5805147103617575</v>
      </c>
      <c r="O245" s="1067">
        <f t="shared" si="58"/>
        <v>8.4948466413752491E-2</v>
      </c>
      <c r="P245" s="1068">
        <f t="shared" si="58"/>
        <v>0.6264024463118032</v>
      </c>
      <c r="Q245" s="1066">
        <f t="shared" si="58"/>
        <v>0.51826084585195908</v>
      </c>
      <c r="R245" s="1067">
        <f t="shared" si="58"/>
        <v>0.40005999871326348</v>
      </c>
      <c r="S245" s="1068">
        <f t="shared" si="58"/>
        <v>0.58973938770950263</v>
      </c>
      <c r="T245" s="103">
        <f t="shared" si="58"/>
        <v>0.5495689942142129</v>
      </c>
      <c r="U245" s="1067">
        <f t="shared" si="58"/>
        <v>0.40637993517884302</v>
      </c>
      <c r="V245" s="1068">
        <f t="shared" si="58"/>
        <v>0.63323863537070213</v>
      </c>
      <c r="W245" s="1060">
        <f t="shared" si="59"/>
        <v>3.1308148362253818E-2</v>
      </c>
      <c r="X245" s="1060">
        <f t="shared" si="59"/>
        <v>6.0410020577161203E-2</v>
      </c>
      <c r="Y245" s="1069" t="str">
        <f t="shared" si="59"/>
        <v>BBB-</v>
      </c>
      <c r="Z245" s="1070" t="str">
        <f t="shared" si="59"/>
        <v>=  ¯ =</v>
      </c>
      <c r="AA245" s="1064">
        <f t="shared" si="59"/>
        <v>2.643581803383519</v>
      </c>
      <c r="AB245" s="1071">
        <f t="shared" si="59"/>
        <v>2.8580691559688957E-2</v>
      </c>
      <c r="AC245" s="1065">
        <f t="shared" si="59"/>
        <v>2.5466878830879209</v>
      </c>
      <c r="AD245" s="949"/>
      <c r="AE245" s="949"/>
      <c r="AF245" s="949"/>
      <c r="AG245" s="2129"/>
      <c r="AH245" s="949"/>
      <c r="AI245" s="949"/>
      <c r="AJ245" s="949"/>
      <c r="AK245" s="949"/>
      <c r="AL245" s="949"/>
      <c r="AM245" s="949"/>
      <c r="AN245" s="949"/>
      <c r="AO245" s="949"/>
      <c r="AP245" s="949"/>
      <c r="AQ245" s="949"/>
      <c r="AR245" s="110"/>
      <c r="AS245" s="110"/>
      <c r="AT245" s="110"/>
      <c r="AU245" s="949"/>
      <c r="AV245" s="949"/>
      <c r="AW245" s="949"/>
      <c r="AX245" s="949"/>
      <c r="AY245" s="949"/>
      <c r="AZ245" s="949"/>
      <c r="BA245" s="949"/>
      <c r="BB245" s="949"/>
      <c r="BC245" s="949"/>
      <c r="BD245" s="949"/>
      <c r="BE245" s="2267"/>
    </row>
    <row r="246" spans="1:57">
      <c r="A246" s="1090" t="s">
        <v>19</v>
      </c>
      <c r="B246" s="150" t="s">
        <v>286</v>
      </c>
      <c r="C246" s="1085">
        <f t="shared" si="57"/>
        <v>31174.883771428573</v>
      </c>
      <c r="D246" s="1086">
        <f t="shared" si="57"/>
        <v>7.9877643469276421E-2</v>
      </c>
      <c r="E246" s="1060">
        <f t="shared" si="57"/>
        <v>-0.49416922878378883</v>
      </c>
      <c r="F246" s="1060">
        <f t="shared" si="57"/>
        <v>-0.3923936498781499</v>
      </c>
      <c r="G246" s="1061">
        <f t="shared" si="57"/>
        <v>19124.593099999998</v>
      </c>
      <c r="H246" s="1062">
        <f t="shared" si="57"/>
        <v>5.2959732488004868E-2</v>
      </c>
      <c r="I246" s="1063">
        <f t="shared" si="57"/>
        <v>1.0546425468926217</v>
      </c>
      <c r="J246" s="1063">
        <f t="shared" si="57"/>
        <v>0.72989058468819168</v>
      </c>
      <c r="K246" s="1064">
        <f t="shared" si="57"/>
        <v>4.913128503955539</v>
      </c>
      <c r="L246" s="1060">
        <f t="shared" si="57"/>
        <v>-0.19812930900653591</v>
      </c>
      <c r="M246" s="1065">
        <f t="shared" si="58"/>
        <v>4.438539176760524</v>
      </c>
      <c r="N246" s="1066">
        <f t="shared" si="58"/>
        <v>0.60741568747204655</v>
      </c>
      <c r="O246" s="1067">
        <f t="shared" si="58"/>
        <v>4.0950219141690898E-2</v>
      </c>
      <c r="P246" s="1068">
        <f t="shared" si="58"/>
        <v>0.62738172243152124</v>
      </c>
      <c r="Q246" s="1066">
        <f t="shared" si="58"/>
        <v>0.50834561454306215</v>
      </c>
      <c r="R246" s="1067">
        <f t="shared" si="58"/>
        <v>0.27477182203191691</v>
      </c>
      <c r="S246" s="1068">
        <f t="shared" si="58"/>
        <v>0.61196382356206247</v>
      </c>
      <c r="T246" s="103">
        <f t="shared" si="58"/>
        <v>0.54898628094174651</v>
      </c>
      <c r="U246" s="1067">
        <f t="shared" si="58"/>
        <v>0.26756473067663017</v>
      </c>
      <c r="V246" s="1068">
        <f t="shared" si="58"/>
        <v>0.65530118542007598</v>
      </c>
      <c r="W246" s="1060">
        <f t="shared" si="59"/>
        <v>4.0640666398684355E-2</v>
      </c>
      <c r="X246" s="1060">
        <f t="shared" si="59"/>
        <v>7.9946920433679999E-2</v>
      </c>
      <c r="Y246" s="1069" t="str">
        <f t="shared" si="59"/>
        <v>BBB+</v>
      </c>
      <c r="Z246" s="1070" t="str">
        <f t="shared" si="59"/>
        <v>=  ¯ ¯</v>
      </c>
      <c r="AA246" s="1064">
        <f t="shared" si="59"/>
        <v>2.5321561588471506</v>
      </c>
      <c r="AB246" s="1071">
        <f t="shared" si="59"/>
        <v>1.3257606300410854E-2</v>
      </c>
      <c r="AC246" s="1065">
        <f t="shared" si="59"/>
        <v>2.8138910595815916</v>
      </c>
      <c r="AD246" s="949"/>
      <c r="AE246" s="949"/>
      <c r="AF246" s="949"/>
      <c r="AG246" s="2129"/>
      <c r="AH246" s="949"/>
      <c r="AI246" s="949"/>
      <c r="AJ246" s="949"/>
      <c r="AK246" s="949"/>
      <c r="AL246" s="949"/>
      <c r="AM246" s="949"/>
      <c r="AN246" s="949"/>
      <c r="AO246" s="949"/>
      <c r="AP246" s="949"/>
      <c r="AQ246" s="949"/>
      <c r="AR246" s="110"/>
      <c r="AS246" s="110"/>
      <c r="AT246" s="110"/>
      <c r="AU246" s="949"/>
      <c r="AV246" s="949"/>
      <c r="AW246" s="949"/>
      <c r="AX246" s="949"/>
      <c r="AY246" s="949"/>
      <c r="AZ246" s="949"/>
      <c r="BA246" s="949"/>
      <c r="BB246" s="949"/>
      <c r="BC246" s="949"/>
      <c r="BD246" s="949"/>
      <c r="BE246" s="2267"/>
    </row>
    <row r="247" spans="1:57">
      <c r="A247" s="1090" t="s">
        <v>217</v>
      </c>
      <c r="B247" s="73" t="s">
        <v>53</v>
      </c>
      <c r="C247" s="1085">
        <f t="shared" si="57"/>
        <v>60036.853628571422</v>
      </c>
      <c r="D247" s="1086">
        <f t="shared" si="57"/>
        <v>0.15382903828354536</v>
      </c>
      <c r="E247" s="1060">
        <f t="shared" si="57"/>
        <v>-0.3618479655094986</v>
      </c>
      <c r="F247" s="1060">
        <f t="shared" si="57"/>
        <v>-0.26007238660385967</v>
      </c>
      <c r="G247" s="1061">
        <f t="shared" si="57"/>
        <v>44430.485000000001</v>
      </c>
      <c r="H247" s="1062">
        <f t="shared" si="57"/>
        <v>0.1230366882897139</v>
      </c>
      <c r="I247" s="1063">
        <f t="shared" si="57"/>
        <v>2.2644833808097031</v>
      </c>
      <c r="J247" s="1063">
        <f t="shared" si="57"/>
        <v>1.7716210773954304</v>
      </c>
      <c r="K247" s="1064">
        <f t="shared" si="57"/>
        <v>5.7304428558288603</v>
      </c>
      <c r="L247" s="1060">
        <f t="shared" si="57"/>
        <v>-7.3155042359885195E-2</v>
      </c>
      <c r="M247" s="1065">
        <f t="shared" si="58"/>
        <v>5.1937231412225326</v>
      </c>
      <c r="N247" s="1066">
        <f t="shared" si="58"/>
        <v>0.6158872479982318</v>
      </c>
      <c r="O247" s="1067">
        <f t="shared" si="58"/>
        <v>0.11044311863454735</v>
      </c>
      <c r="P247" s="1068">
        <f t="shared" si="58"/>
        <v>0.66127040038880336</v>
      </c>
      <c r="Q247" s="1066">
        <f t="shared" si="58"/>
        <v>0.48384306036910518</v>
      </c>
      <c r="R247" s="1067">
        <f t="shared" si="58"/>
        <v>0.2595878527386451</v>
      </c>
      <c r="S247" s="1068">
        <f t="shared" si="58"/>
        <v>0.54381370963962039</v>
      </c>
      <c r="T247" s="103">
        <f t="shared" si="58"/>
        <v>0.51513010935716153</v>
      </c>
      <c r="U247" s="1067">
        <f t="shared" si="58"/>
        <v>0.26130995158024306</v>
      </c>
      <c r="V247" s="1068">
        <f t="shared" si="58"/>
        <v>0.57929804018594233</v>
      </c>
      <c r="W247" s="1060">
        <f t="shared" si="59"/>
        <v>3.1287048988056343E-2</v>
      </c>
      <c r="X247" s="1060">
        <f t="shared" si="59"/>
        <v>6.4663630732222685E-2</v>
      </c>
      <c r="Y247" s="1069" t="str">
        <f t="shared" si="59"/>
        <v>BBB</v>
      </c>
      <c r="Z247" s="1070" t="str">
        <f t="shared" si="59"/>
        <v>¯  ¯ ¯</v>
      </c>
      <c r="AA247" s="1064">
        <f t="shared" si="59"/>
        <v>2.7929780820851775</v>
      </c>
      <c r="AB247" s="1071">
        <f t="shared" si="59"/>
        <v>0.12404595260605845</v>
      </c>
      <c r="AC247" s="1065">
        <f t="shared" si="59"/>
        <v>2.8353348809740444</v>
      </c>
      <c r="AD247" s="949"/>
      <c r="AE247" s="949"/>
      <c r="AF247" s="949"/>
      <c r="AG247" s="2129"/>
      <c r="AH247" s="949"/>
      <c r="AI247" s="949"/>
      <c r="AJ247" s="949"/>
      <c r="AK247" s="949"/>
      <c r="AL247" s="949"/>
      <c r="AM247" s="949"/>
      <c r="AN247" s="949"/>
      <c r="AO247" s="949"/>
      <c r="AP247" s="949"/>
      <c r="AQ247" s="949"/>
      <c r="AR247" s="110"/>
      <c r="AS247" s="110"/>
      <c r="AT247" s="110"/>
      <c r="AU247" s="949"/>
      <c r="AV247" s="949"/>
      <c r="AW247" s="949"/>
      <c r="AX247" s="949"/>
      <c r="AY247" s="949"/>
      <c r="AZ247" s="949"/>
      <c r="BA247" s="949"/>
      <c r="BB247" s="949"/>
      <c r="BC247" s="949"/>
      <c r="BD247" s="949"/>
      <c r="BE247" s="2267"/>
    </row>
    <row r="248" spans="1:57">
      <c r="A248" s="1090" t="s">
        <v>385</v>
      </c>
      <c r="B248" s="73" t="s">
        <v>276</v>
      </c>
      <c r="C248" s="1085">
        <f t="shared" si="57"/>
        <v>3544.0522571428578</v>
      </c>
      <c r="D248" s="1086">
        <f t="shared" si="57"/>
        <v>9.0807248780183369E-3</v>
      </c>
      <c r="E248" s="1060">
        <f t="shared" si="57"/>
        <v>-0.4675424361384804</v>
      </c>
      <c r="F248" s="1060">
        <f t="shared" si="57"/>
        <v>-0.36576685723284147</v>
      </c>
      <c r="G248" s="1061">
        <f t="shared" si="57"/>
        <v>2152.6311000000001</v>
      </c>
      <c r="H248" s="1062">
        <f t="shared" si="57"/>
        <v>5.9610558303255963E-3</v>
      </c>
      <c r="I248" s="1063">
        <f t="shared" si="57"/>
        <v>3.4941691326062152</v>
      </c>
      <c r="J248" s="1063">
        <f t="shared" si="57"/>
        <v>2.2961398399999999</v>
      </c>
      <c r="K248" s="1064">
        <f t="shared" si="57"/>
        <v>4.4246190982470868</v>
      </c>
      <c r="L248" s="1060">
        <f t="shared" si="57"/>
        <v>-2.9835823683801648E-2</v>
      </c>
      <c r="M248" s="1065">
        <f t="shared" si="58"/>
        <v>4.0530525032062261</v>
      </c>
      <c r="N248" s="1066">
        <f t="shared" si="58"/>
        <v>0.60910298289809772</v>
      </c>
      <c r="O248" s="1067">
        <f t="shared" si="58"/>
        <v>-5.2071170724915891E-2</v>
      </c>
      <c r="P248" s="1068">
        <f t="shared" si="58"/>
        <v>0.6207941242005639</v>
      </c>
      <c r="Q248" s="1066">
        <f t="shared" si="58"/>
        <v>0.49050145598877937</v>
      </c>
      <c r="R248" s="1067">
        <f t="shared" si="58"/>
        <v>0.42102559519407173</v>
      </c>
      <c r="S248" s="1068">
        <f t="shared" si="58"/>
        <v>0.61744816018521742</v>
      </c>
      <c r="T248" s="103">
        <f t="shared" si="58"/>
        <v>0.49698573886957192</v>
      </c>
      <c r="U248" s="1067">
        <f t="shared" si="58"/>
        <v>0.41032171167013903</v>
      </c>
      <c r="V248" s="1068">
        <f t="shared" si="58"/>
        <v>0.62319136029119382</v>
      </c>
      <c r="W248" s="1060">
        <f t="shared" si="59"/>
        <v>6.4842828807925579E-3</v>
      </c>
      <c r="X248" s="1060">
        <f t="shared" si="59"/>
        <v>1.3219701596443154E-2</v>
      </c>
      <c r="Y248" s="1069" t="str">
        <f t="shared" si="59"/>
        <v>BBB</v>
      </c>
      <c r="Z248" s="1070" t="str">
        <f t="shared" si="59"/>
        <v>=  ¯ -</v>
      </c>
      <c r="AA248" s="1064">
        <f t="shared" si="59"/>
        <v>2.1902281092407181</v>
      </c>
      <c r="AB248" s="1071">
        <f t="shared" si="59"/>
        <v>0.36844726500440206</v>
      </c>
      <c r="AC248" s="1065">
        <f t="shared" si="59"/>
        <v>2.5252968522290931</v>
      </c>
      <c r="AD248" s="949"/>
      <c r="AE248" s="949"/>
      <c r="AF248" s="949"/>
      <c r="AG248" s="2129"/>
      <c r="AH248" s="949"/>
      <c r="AI248" s="949"/>
      <c r="AJ248" s="949"/>
      <c r="AK248" s="949"/>
      <c r="AL248" s="949"/>
      <c r="AM248" s="949"/>
      <c r="AN248" s="949"/>
      <c r="AO248" s="949"/>
      <c r="AP248" s="949"/>
      <c r="AQ248" s="949"/>
      <c r="AR248" s="110"/>
      <c r="AS248" s="110"/>
      <c r="AT248" s="110"/>
      <c r="AU248" s="949"/>
      <c r="AV248" s="949"/>
      <c r="AW248" s="949"/>
      <c r="AX248" s="949"/>
      <c r="AY248" s="949"/>
      <c r="AZ248" s="949"/>
      <c r="BA248" s="949"/>
      <c r="BB248" s="949"/>
      <c r="BC248" s="949"/>
      <c r="BD248" s="949"/>
      <c r="BE248" s="2267"/>
    </row>
    <row r="249" spans="1:57">
      <c r="A249" s="1090" t="s">
        <v>32</v>
      </c>
      <c r="B249" s="73" t="s">
        <v>50</v>
      </c>
      <c r="C249" s="1085">
        <f t="shared" si="57"/>
        <v>19515.355899391296</v>
      </c>
      <c r="D249" s="1086">
        <f t="shared" si="57"/>
        <v>5.0003093905237848E-2</v>
      </c>
      <c r="E249" s="1060">
        <f t="shared" si="57"/>
        <v>1.1994936816856254</v>
      </c>
      <c r="F249" s="1060">
        <f t="shared" si="57"/>
        <v>1.3012692605912644</v>
      </c>
      <c r="G249" s="1061">
        <f t="shared" si="57"/>
        <v>28491.576306321644</v>
      </c>
      <c r="H249" s="1062">
        <f t="shared" si="57"/>
        <v>7.8898737947233621E-2</v>
      </c>
      <c r="I249" s="1063">
        <f t="shared" si="57"/>
        <v>-0.89894076859195104</v>
      </c>
      <c r="J249" s="1063">
        <f t="shared" si="57"/>
        <v>39.625784878048783</v>
      </c>
      <c r="K249" s="1064">
        <f t="shared" si="57"/>
        <v>4.7123747267525307</v>
      </c>
      <c r="L249" s="1060">
        <f t="shared" si="57"/>
        <v>0.4140020451008824</v>
      </c>
      <c r="M249" s="1065">
        <f t="shared" si="58"/>
        <v>5.7096258695546744</v>
      </c>
      <c r="N249" s="1066">
        <f t="shared" si="58"/>
        <v>0</v>
      </c>
      <c r="O249" s="1067">
        <f t="shared" si="58"/>
        <v>0</v>
      </c>
      <c r="P249" s="1068">
        <f t="shared" si="58"/>
        <v>0</v>
      </c>
      <c r="Q249" s="1066">
        <f t="shared" si="58"/>
        <v>0.37025195227815472</v>
      </c>
      <c r="R249" s="1067">
        <f t="shared" si="58"/>
        <v>-0.46222821771061889</v>
      </c>
      <c r="S249" s="1068">
        <f t="shared" si="58"/>
        <v>0.26403640782716253</v>
      </c>
      <c r="T249" s="103">
        <f t="shared" si="58"/>
        <v>0.48927059752514818</v>
      </c>
      <c r="U249" s="1067">
        <f t="shared" si="58"/>
        <v>-0.38189416595312975</v>
      </c>
      <c r="V249" s="1068">
        <f t="shared" si="58"/>
        <v>0.37414035756341019</v>
      </c>
      <c r="W249" s="1060">
        <f t="shared" si="59"/>
        <v>0.11901864524699346</v>
      </c>
      <c r="X249" s="1060">
        <f t="shared" si="59"/>
        <v>0.32145312000294263</v>
      </c>
      <c r="Y249" s="1069" t="str">
        <f t="shared" si="59"/>
        <v>BBB</v>
      </c>
      <c r="Z249" s="1070" t="str">
        <f t="shared" si="59"/>
        <v xml:space="preserve">=  -  = </v>
      </c>
      <c r="AA249" s="1064">
        <f t="shared" si="59"/>
        <v>2.2664974928712622</v>
      </c>
      <c r="AB249" s="1071">
        <f t="shared" si="59"/>
        <v>-0.12537902502142731</v>
      </c>
      <c r="AC249" s="1065">
        <f t="shared" si="59"/>
        <v>2.136201464388483</v>
      </c>
      <c r="AD249" s="949"/>
      <c r="AE249" s="949"/>
      <c r="AF249" s="949"/>
      <c r="AG249" s="2129"/>
      <c r="AH249" s="949"/>
      <c r="AI249" s="949"/>
      <c r="AJ249" s="949"/>
      <c r="AK249" s="949"/>
      <c r="AL249" s="949"/>
      <c r="AM249" s="949"/>
      <c r="AN249" s="949"/>
      <c r="AO249" s="949"/>
      <c r="AP249" s="949"/>
      <c r="AQ249" s="949"/>
      <c r="AR249" s="110"/>
      <c r="AS249" s="110"/>
      <c r="AT249" s="110"/>
      <c r="AU249" s="949"/>
      <c r="AV249" s="949"/>
      <c r="AW249" s="949"/>
      <c r="AX249" s="949"/>
      <c r="AY249" s="949"/>
      <c r="AZ249" s="949"/>
      <c r="BA249" s="949"/>
      <c r="BB249" s="949"/>
      <c r="BC249" s="949"/>
      <c r="BD249" s="949"/>
      <c r="BE249" s="2267"/>
    </row>
    <row r="250" spans="1:57">
      <c r="A250" s="1090" t="s">
        <v>27</v>
      </c>
      <c r="B250" s="73" t="s">
        <v>353</v>
      </c>
      <c r="C250" s="1085">
        <f t="shared" ref="C250:L262" si="60">VLOOKUP($B250,$B$7:$AC$28,C$37+1,FALSE)</f>
        <v>504.56125714285719</v>
      </c>
      <c r="D250" s="1086">
        <f t="shared" si="60"/>
        <v>1.292808804099037E-3</v>
      </c>
      <c r="E250" s="1060">
        <f t="shared" si="60"/>
        <v>0.11241291049139049</v>
      </c>
      <c r="F250" s="1060">
        <f t="shared" si="60"/>
        <v>0.21418848939702945</v>
      </c>
      <c r="G250" s="1061">
        <f t="shared" si="60"/>
        <v>562.64409999999998</v>
      </c>
      <c r="H250" s="1062">
        <f t="shared" si="60"/>
        <v>1.5580713726115437E-3</v>
      </c>
      <c r="I250" s="1063">
        <f t="shared" si="60"/>
        <v>0.48825120153947199</v>
      </c>
      <c r="J250" s="1063">
        <f t="shared" si="60"/>
        <v>0.52140126030951717</v>
      </c>
      <c r="K250" s="1064">
        <f t="shared" si="60"/>
        <v>4.0370208841188875</v>
      </c>
      <c r="L250" s="1060">
        <f t="shared" si="60"/>
        <v>-0.11001004882442665</v>
      </c>
      <c r="M250" s="1065">
        <f t="shared" ref="M250:Y262" si="61">VLOOKUP($B250,$B$7:$AC$28,M$37+1,FALSE)</f>
        <v>3.9063069179772585</v>
      </c>
      <c r="N250" s="1066">
        <f t="shared" si="61"/>
        <v>0.90539538726018864</v>
      </c>
      <c r="O250" s="1067">
        <f t="shared" si="61"/>
        <v>-4.1189056985539901E-2</v>
      </c>
      <c r="P250" s="1068">
        <f t="shared" si="61"/>
        <v>0.90138346931536006</v>
      </c>
      <c r="Q250" s="1066">
        <f t="shared" si="61"/>
        <v>0.38160323267486906</v>
      </c>
      <c r="R250" s="1067">
        <f t="shared" si="61"/>
        <v>0.13281779457810056</v>
      </c>
      <c r="S250" s="1068">
        <f t="shared" si="61"/>
        <v>0.39444904186551905</v>
      </c>
      <c r="T250" s="103">
        <f t="shared" si="61"/>
        <v>0.47841518539184064</v>
      </c>
      <c r="U250" s="1067">
        <f t="shared" si="61"/>
        <v>1.1717685634717274E-2</v>
      </c>
      <c r="V250" s="1068">
        <f t="shared" si="61"/>
        <v>0.46507375880431212</v>
      </c>
      <c r="W250" s="1060">
        <f t="shared" si="61"/>
        <v>9.6811952716971572E-2</v>
      </c>
      <c r="X250" s="1060">
        <f t="shared" si="61"/>
        <v>0.25369793656715856</v>
      </c>
      <c r="Y250" s="1069" t="str">
        <f t="shared" si="61"/>
        <v>Not rated</v>
      </c>
      <c r="Z250" s="1070"/>
      <c r="AA250" s="1064">
        <f t="shared" ref="AA250:AC262" si="62">VLOOKUP($B250,$B$7:$AC$28,AA$37+1,FALSE)</f>
        <v>1.832329792526622</v>
      </c>
      <c r="AB250" s="1071">
        <f t="shared" si="62"/>
        <v>-9.9442962217240083E-2</v>
      </c>
      <c r="AC250" s="1065">
        <f t="shared" si="62"/>
        <v>1.8160302149559577</v>
      </c>
      <c r="AD250" s="949"/>
      <c r="AE250" s="949"/>
      <c r="AF250" s="949"/>
      <c r="AG250" s="2129"/>
      <c r="AH250" s="949"/>
      <c r="AI250" s="949"/>
      <c r="AJ250" s="949"/>
      <c r="AK250" s="949"/>
      <c r="AL250" s="949"/>
      <c r="AM250" s="949"/>
      <c r="AN250" s="949"/>
      <c r="AO250" s="949"/>
      <c r="AP250" s="949"/>
      <c r="AQ250" s="949"/>
      <c r="AR250" s="110"/>
      <c r="AS250" s="110"/>
      <c r="AT250" s="110"/>
      <c r="AU250" s="949"/>
      <c r="AV250" s="949"/>
      <c r="AW250" s="949"/>
      <c r="AX250" s="949"/>
      <c r="AY250" s="949"/>
      <c r="AZ250" s="949"/>
      <c r="BA250" s="949"/>
      <c r="BB250" s="949"/>
      <c r="BC250" s="949"/>
      <c r="BD250" s="949"/>
      <c r="BE250" s="2267"/>
    </row>
    <row r="251" spans="1:57">
      <c r="A251" s="1090" t="s">
        <v>539</v>
      </c>
      <c r="B251" s="73" t="s">
        <v>39</v>
      </c>
      <c r="C251" s="1085">
        <f t="shared" si="60"/>
        <v>5059.5155870714543</v>
      </c>
      <c r="D251" s="1086">
        <f t="shared" si="60"/>
        <v>1.2963710952524294E-2</v>
      </c>
      <c r="E251" s="1060">
        <f t="shared" si="60"/>
        <v>-0.13366823909704381</v>
      </c>
      <c r="F251" s="1060">
        <f t="shared" si="60"/>
        <v>-3.1892660191404867E-2</v>
      </c>
      <c r="G251" s="1061">
        <f t="shared" si="60"/>
        <v>5057.8123335929276</v>
      </c>
      <c r="H251" s="1062">
        <f t="shared" si="60"/>
        <v>1.4006069920599414E-2</v>
      </c>
      <c r="I251" s="1063">
        <f t="shared" si="60"/>
        <v>1.6858649053444912</v>
      </c>
      <c r="J251" s="1063">
        <f t="shared" si="60"/>
        <v>1.7703056194544857</v>
      </c>
      <c r="K251" s="1064">
        <f t="shared" si="60"/>
        <v>6.1343182706324946</v>
      </c>
      <c r="L251" s="1060">
        <f t="shared" si="60"/>
        <v>-0.19036897853308513</v>
      </c>
      <c r="M251" s="1065">
        <f t="shared" si="61"/>
        <v>5.9052222685092017</v>
      </c>
      <c r="N251" s="1066">
        <f t="shared" si="61"/>
        <v>0.31054928118178421</v>
      </c>
      <c r="O251" s="1067">
        <f t="shared" si="61"/>
        <v>-0.11491916916279199</v>
      </c>
      <c r="P251" s="1068">
        <f t="shared" si="61"/>
        <v>0.28165979767703259</v>
      </c>
      <c r="Q251" s="1066">
        <f t="shared" si="61"/>
        <v>0.3899242463002407</v>
      </c>
      <c r="R251" s="1067">
        <f t="shared" si="61"/>
        <v>-0.1197676600756727</v>
      </c>
      <c r="S251" s="1068">
        <f t="shared" si="61"/>
        <v>0.37944762378701169</v>
      </c>
      <c r="T251" s="103">
        <f t="shared" si="61"/>
        <v>0.45093517146474416</v>
      </c>
      <c r="U251" s="1067">
        <f t="shared" si="61"/>
        <v>-8.3572610535330494E-2</v>
      </c>
      <c r="V251" s="1068">
        <f t="shared" si="61"/>
        <v>0.43916945384982109</v>
      </c>
      <c r="W251" s="1060">
        <f t="shared" si="61"/>
        <v>6.101092516450346E-2</v>
      </c>
      <c r="X251" s="1060">
        <f t="shared" si="61"/>
        <v>0.15646866216553562</v>
      </c>
      <c r="Y251" s="1069" t="str">
        <f t="shared" si="61"/>
        <v>BBB</v>
      </c>
      <c r="Z251" s="1070" t="str">
        <f>VLOOKUP($B251,$B$7:$AC$28,Z$37+1,FALSE)</f>
        <v>­  = =</v>
      </c>
      <c r="AA251" s="1064">
        <f t="shared" si="62"/>
        <v>2.6587814840492587</v>
      </c>
      <c r="AB251" s="1071">
        <f t="shared" si="62"/>
        <v>-0.25803195656746131</v>
      </c>
      <c r="AC251" s="1065">
        <f t="shared" si="62"/>
        <v>2.5933932385229874</v>
      </c>
      <c r="AD251" s="949"/>
      <c r="AE251" s="949"/>
      <c r="AF251" s="949"/>
      <c r="AG251" s="2129"/>
      <c r="AH251" s="949"/>
      <c r="AI251" s="949"/>
      <c r="AJ251" s="949"/>
      <c r="AK251" s="949"/>
      <c r="AL251" s="949"/>
      <c r="AM251" s="949"/>
      <c r="AN251" s="949"/>
      <c r="AO251" s="949"/>
      <c r="AP251" s="949"/>
      <c r="AQ251" s="949"/>
      <c r="AR251" s="110"/>
      <c r="AS251" s="110"/>
      <c r="AT251" s="110"/>
      <c r="AU251" s="949"/>
      <c r="AV251" s="949"/>
      <c r="AW251" s="949"/>
      <c r="AX251" s="949"/>
      <c r="AY251" s="949"/>
      <c r="AZ251" s="949"/>
      <c r="BA251" s="949"/>
      <c r="BB251" s="949"/>
      <c r="BC251" s="949"/>
      <c r="BD251" s="949"/>
      <c r="BE251" s="2267"/>
    </row>
    <row r="252" spans="1:57">
      <c r="A252" s="1091" t="s">
        <v>319</v>
      </c>
      <c r="B252" s="691" t="s">
        <v>752</v>
      </c>
      <c r="C252" s="1087">
        <f t="shared" si="60"/>
        <v>3541.6238999999996</v>
      </c>
      <c r="D252" s="1088">
        <f t="shared" si="60"/>
        <v>9.0745028357006995E-3</v>
      </c>
      <c r="E252" s="1072">
        <f t="shared" si="60"/>
        <v>0.67327297771392325</v>
      </c>
      <c r="F252" s="1072">
        <f t="shared" si="60"/>
        <v>0.77504855661956218</v>
      </c>
      <c r="G252" s="1073">
        <f t="shared" si="60"/>
        <v>4048.9897999999998</v>
      </c>
      <c r="H252" s="1074">
        <f t="shared" si="60"/>
        <v>1.1212443346293226E-2</v>
      </c>
      <c r="I252" s="1075">
        <f t="shared" si="60"/>
        <v>-1.4186196832586249</v>
      </c>
      <c r="J252" s="1075">
        <f t="shared" si="60"/>
        <v>-2.7147098893731143</v>
      </c>
      <c r="K252" s="1076">
        <f t="shared" si="60"/>
        <v>8.5213348378460623</v>
      </c>
      <c r="L252" s="1072">
        <f t="shared" si="60"/>
        <v>0.26215680659638446</v>
      </c>
      <c r="M252" s="1077">
        <f t="shared" si="61"/>
        <v>9.0506669895995948</v>
      </c>
      <c r="N252" s="1078">
        <f t="shared" si="61"/>
        <v>6.4385445236561381E-2</v>
      </c>
      <c r="O252" s="1079">
        <f t="shared" si="61"/>
        <v>14.697799124913645</v>
      </c>
      <c r="P252" s="1080">
        <f t="shared" si="61"/>
        <v>0.15462918080465343</v>
      </c>
      <c r="Q252" s="1078">
        <f t="shared" si="61"/>
        <v>0.42399287000325037</v>
      </c>
      <c r="R252" s="1079">
        <f t="shared" si="61"/>
        <v>4.5742782667206161E-2</v>
      </c>
      <c r="S252" s="1080">
        <f t="shared" si="61"/>
        <v>0.48144640266975475</v>
      </c>
      <c r="T252" s="1013">
        <f t="shared" si="61"/>
        <v>0.42695023434228802</v>
      </c>
      <c r="U252" s="1079">
        <f t="shared" si="61"/>
        <v>4.1366838913311048E-2</v>
      </c>
      <c r="V252" s="1080">
        <f t="shared" si="61"/>
        <v>0.4832654138496531</v>
      </c>
      <c r="W252" s="1072">
        <f t="shared" si="61"/>
        <v>2.9573643390376492E-3</v>
      </c>
      <c r="X252" s="1072">
        <f t="shared" si="61"/>
        <v>6.9750331863245195E-3</v>
      </c>
      <c r="Y252" s="1081" t="str">
        <f t="shared" si="61"/>
        <v>B+</v>
      </c>
      <c r="Z252" s="1082" t="str">
        <f>VLOOKUP($B252,$B$7:$AC$28,Z$37+1,FALSE)</f>
        <v>=  =  =</v>
      </c>
      <c r="AA252" s="1076">
        <f t="shared" si="62"/>
        <v>3.7014756930154613</v>
      </c>
      <c r="AB252" s="1083">
        <f t="shared" si="62"/>
        <v>0.31334582285320112</v>
      </c>
      <c r="AC252" s="1077">
        <f t="shared" si="62"/>
        <v>4.3704719780651446</v>
      </c>
      <c r="AD252" s="949"/>
      <c r="AE252" s="949"/>
      <c r="AF252" s="949"/>
      <c r="AG252" s="2129"/>
      <c r="AH252" s="949"/>
      <c r="AI252" s="949"/>
      <c r="AJ252" s="949"/>
      <c r="AK252" s="949"/>
      <c r="AL252" s="949"/>
      <c r="AM252" s="949"/>
      <c r="AN252" s="949"/>
      <c r="AO252" s="949"/>
      <c r="AP252" s="949"/>
      <c r="AQ252" s="949"/>
      <c r="AR252" s="110"/>
      <c r="AS252" s="110"/>
      <c r="AT252" s="110"/>
      <c r="AU252" s="949"/>
      <c r="AV252" s="949"/>
      <c r="AW252" s="949"/>
      <c r="AX252" s="949"/>
      <c r="AY252" s="949"/>
      <c r="AZ252" s="949"/>
      <c r="BA252" s="949"/>
      <c r="BB252" s="949"/>
      <c r="BC252" s="949"/>
      <c r="BD252" s="949"/>
      <c r="BE252" s="2267"/>
    </row>
    <row r="253" spans="1:57">
      <c r="A253" s="1090" t="s">
        <v>504</v>
      </c>
      <c r="B253" s="73" t="s">
        <v>288</v>
      </c>
      <c r="C253" s="1085">
        <f t="shared" si="60"/>
        <v>16250.837973523972</v>
      </c>
      <c r="D253" s="1086">
        <f t="shared" si="60"/>
        <v>4.1638604052015776E-2</v>
      </c>
      <c r="E253" s="1060">
        <f t="shared" si="60"/>
        <v>0.20894195471198634</v>
      </c>
      <c r="F253" s="1060">
        <f t="shared" si="60"/>
        <v>0.31071753361762527</v>
      </c>
      <c r="G253" s="1061">
        <f t="shared" si="60"/>
        <v>17428.290742138299</v>
      </c>
      <c r="H253" s="1062">
        <f t="shared" si="60"/>
        <v>4.826234004564605E-2</v>
      </c>
      <c r="I253" s="1063">
        <f t="shared" si="60"/>
        <v>4.0995220850209826</v>
      </c>
      <c r="J253" s="1063">
        <f t="shared" si="60"/>
        <v>4.5731712273212377</v>
      </c>
      <c r="K253" s="1064">
        <f t="shared" si="60"/>
        <v>6.7450557383311427</v>
      </c>
      <c r="L253" s="1060">
        <f t="shared" si="60"/>
        <v>0.2149868566781509</v>
      </c>
      <c r="M253" s="1065">
        <f t="shared" si="61"/>
        <v>7.5822149145373468</v>
      </c>
      <c r="N253" s="1066">
        <f t="shared" si="61"/>
        <v>0.32615050588405037</v>
      </c>
      <c r="O253" s="1067">
        <f t="shared" si="61"/>
        <v>-8.7660674172335792E-2</v>
      </c>
      <c r="P253" s="1068">
        <f t="shared" si="61"/>
        <v>0.30985103942866765</v>
      </c>
      <c r="Q253" s="1066">
        <f t="shared" si="61"/>
        <v>0.30558583418722468</v>
      </c>
      <c r="R253" s="1067">
        <f t="shared" si="61"/>
        <v>-0.13620468181810452</v>
      </c>
      <c r="S253" s="1068">
        <f t="shared" si="61"/>
        <v>0.29018390059321952</v>
      </c>
      <c r="T253" s="103">
        <f t="shared" si="61"/>
        <v>0.31922230141848357</v>
      </c>
      <c r="U253" s="1067">
        <f t="shared" si="61"/>
        <v>-0.13496032758973828</v>
      </c>
      <c r="V253" s="1068">
        <f t="shared" si="61"/>
        <v>0.30362227391248225</v>
      </c>
      <c r="W253" s="1060">
        <f t="shared" si="61"/>
        <v>1.3636467231258886E-2</v>
      </c>
      <c r="X253" s="1060">
        <f t="shared" si="61"/>
        <v>4.4624016252350789E-2</v>
      </c>
      <c r="Y253" s="1069" t="str">
        <f t="shared" si="61"/>
        <v>A</v>
      </c>
      <c r="Z253" s="1070" t="str">
        <f>VLOOKUP($B253,$B$7:$AC$28,Z$37+1,FALSE)</f>
        <v>=  =  -</v>
      </c>
      <c r="AA253" s="1064">
        <f t="shared" si="62"/>
        <v>2.1579177629636748</v>
      </c>
      <c r="AB253" s="1071">
        <f t="shared" si="62"/>
        <v>6.0078851309961184E-2</v>
      </c>
      <c r="AC253" s="1065">
        <f t="shared" si="62"/>
        <v>2.3009327536910358</v>
      </c>
      <c r="AD253" s="949"/>
      <c r="AE253" s="949"/>
      <c r="AF253" s="949"/>
      <c r="AG253" s="2129"/>
      <c r="AH253" s="949"/>
      <c r="AI253" s="949"/>
      <c r="AJ253" s="949"/>
      <c r="AK253" s="949"/>
      <c r="AL253" s="949"/>
      <c r="AM253" s="949"/>
      <c r="AN253" s="949"/>
      <c r="AO253" s="949"/>
      <c r="AP253" s="949"/>
      <c r="AQ253" s="949"/>
      <c r="AR253" s="110"/>
      <c r="AS253" s="110"/>
      <c r="AT253" s="110"/>
      <c r="AU253" s="949"/>
      <c r="AV253" s="949"/>
      <c r="AW253" s="949"/>
      <c r="AX253" s="949"/>
      <c r="AY253" s="949"/>
      <c r="AZ253" s="949"/>
      <c r="BA253" s="949"/>
      <c r="BB253" s="949"/>
      <c r="BC253" s="949"/>
      <c r="BD253" s="949"/>
      <c r="BE253" s="2267"/>
    </row>
    <row r="254" spans="1:57">
      <c r="A254" s="1090" t="s">
        <v>32</v>
      </c>
      <c r="B254" s="73" t="s">
        <v>277</v>
      </c>
      <c r="C254" s="1085">
        <f t="shared" si="60"/>
        <v>103061.53572524291</v>
      </c>
      <c r="D254" s="1086">
        <f t="shared" si="60"/>
        <v>0.26406875054982143</v>
      </c>
      <c r="E254" s="1060">
        <f t="shared" si="60"/>
        <v>7.5306160052783275E-2</v>
      </c>
      <c r="F254" s="1060">
        <f t="shared" si="60"/>
        <v>0.17708173895842222</v>
      </c>
      <c r="G254" s="1061">
        <f t="shared" si="60"/>
        <v>106720.85775234729</v>
      </c>
      <c r="H254" s="1062">
        <f t="shared" si="60"/>
        <v>0.29553089301830604</v>
      </c>
      <c r="I254" s="1063">
        <f t="shared" si="60"/>
        <v>1.0837821931217524</v>
      </c>
      <c r="J254" s="1063">
        <f t="shared" si="60"/>
        <v>1.259272460269286</v>
      </c>
      <c r="K254" s="1064">
        <f t="shared" si="60"/>
        <v>7.534246564629953</v>
      </c>
      <c r="L254" s="1060">
        <f t="shared" si="60"/>
        <v>0.12910548637067604</v>
      </c>
      <c r="M254" s="1065">
        <f t="shared" si="61"/>
        <v>8.6584668441025876</v>
      </c>
      <c r="N254" s="1066">
        <f t="shared" si="61"/>
        <v>0.91487499999999988</v>
      </c>
      <c r="O254" s="1067">
        <f t="shared" si="61"/>
        <v>-4.3736501079913587E-2</v>
      </c>
      <c r="P254" s="1068">
        <f t="shared" si="61"/>
        <v>0.89481420237931208</v>
      </c>
      <c r="Q254" s="1066">
        <f t="shared" si="61"/>
        <v>0.24509229252810941</v>
      </c>
      <c r="R254" s="1067">
        <f t="shared" si="61"/>
        <v>-0.16501821733667812</v>
      </c>
      <c r="S254" s="1068">
        <f t="shared" si="61"/>
        <v>0.23828807339295358</v>
      </c>
      <c r="T254" s="103">
        <f t="shared" si="61"/>
        <v>0.27870192226407053</v>
      </c>
      <c r="U254" s="1067">
        <f t="shared" si="61"/>
        <v>-0.14309331637647091</v>
      </c>
      <c r="V254" s="1068">
        <f t="shared" si="61"/>
        <v>0.2718321660431175</v>
      </c>
      <c r="W254" s="1060">
        <f t="shared" si="61"/>
        <v>3.3609629735961127E-2</v>
      </c>
      <c r="X254" s="1060">
        <f t="shared" si="61"/>
        <v>0.13713050455108242</v>
      </c>
      <c r="Y254" s="1069" t="str">
        <f t="shared" si="61"/>
        <v>A-</v>
      </c>
      <c r="Z254" s="1070" t="str">
        <f>VLOOKUP($B254,$B$7:$AC$28,Z$37+1,FALSE)</f>
        <v>=  =  =</v>
      </c>
      <c r="AA254" s="1064">
        <f t="shared" si="62"/>
        <v>2.0880314655341889</v>
      </c>
      <c r="AB254" s="1071">
        <f t="shared" si="62"/>
        <v>-3.7762767487534328E-2</v>
      </c>
      <c r="AC254" s="1065">
        <f t="shared" si="62"/>
        <v>2.3348198024327131</v>
      </c>
      <c r="AD254" s="949"/>
      <c r="AE254" s="949"/>
      <c r="AF254" s="949"/>
      <c r="AG254" s="2129"/>
      <c r="AH254" s="949"/>
      <c r="AI254" s="949"/>
      <c r="AJ254" s="949"/>
      <c r="AK254" s="949"/>
      <c r="AL254" s="949"/>
      <c r="AM254" s="949"/>
      <c r="AN254" s="949"/>
      <c r="AO254" s="949"/>
      <c r="AP254" s="949"/>
      <c r="AQ254" s="949"/>
      <c r="AR254" s="110"/>
      <c r="AS254" s="110"/>
      <c r="AT254" s="110"/>
      <c r="AU254" s="949"/>
      <c r="AV254" s="949"/>
      <c r="AW254" s="949"/>
      <c r="AX254" s="949"/>
      <c r="AY254" s="949"/>
      <c r="AZ254" s="949"/>
      <c r="BA254" s="949"/>
      <c r="BB254" s="949"/>
      <c r="BC254" s="949"/>
      <c r="BD254" s="949"/>
      <c r="BE254" s="2267"/>
    </row>
    <row r="255" spans="1:57">
      <c r="A255" s="1091" t="s">
        <v>319</v>
      </c>
      <c r="B255" s="691" t="s">
        <v>751</v>
      </c>
      <c r="C255" s="1087">
        <f t="shared" si="60"/>
        <v>2121.4584571428572</v>
      </c>
      <c r="D255" s="1088">
        <f t="shared" si="60"/>
        <v>5.4356931534045982E-3</v>
      </c>
      <c r="E255" s="1072">
        <f t="shared" si="60"/>
        <v>-0.63331383871554725</v>
      </c>
      <c r="F255" s="1072">
        <f t="shared" si="60"/>
        <v>-0.53153825980990832</v>
      </c>
      <c r="G255" s="1073">
        <f t="shared" si="60"/>
        <v>960.23059999999998</v>
      </c>
      <c r="H255" s="1074">
        <f t="shared" si="60"/>
        <v>2.6590660223142948E-3</v>
      </c>
      <c r="I255" s="1075">
        <f t="shared" si="60"/>
        <v>6.3820660890696566</v>
      </c>
      <c r="J255" s="1075">
        <f t="shared" si="60"/>
        <v>3.126768479322696</v>
      </c>
      <c r="K255" s="1076">
        <f t="shared" si="60"/>
        <v>4.988018554669714</v>
      </c>
      <c r="L255" s="1072">
        <f t="shared" si="60"/>
        <v>-0.2975700901517318</v>
      </c>
      <c r="M255" s="1077">
        <f t="shared" si="61"/>
        <v>3.6764587184436395</v>
      </c>
      <c r="N255" s="1078">
        <f t="shared" si="61"/>
        <v>0.95644485424869818</v>
      </c>
      <c r="O255" s="1079">
        <f t="shared" si="61"/>
        <v>5.7346309608293736E-3</v>
      </c>
      <c r="P255" s="1080">
        <f t="shared" si="61"/>
        <v>0.97265268915223335</v>
      </c>
      <c r="Q255" s="1078">
        <f t="shared" si="61"/>
        <v>0.16489915086810925</v>
      </c>
      <c r="R255" s="1079">
        <f t="shared" si="61"/>
        <v>2.0043608623878186</v>
      </c>
      <c r="S255" s="1080">
        <f t="shared" si="61"/>
        <v>0.32988338723452482</v>
      </c>
      <c r="T255" s="1013">
        <f t="shared" si="61"/>
        <v>0.27218937885351913</v>
      </c>
      <c r="U255" s="1079">
        <f t="shared" si="61"/>
        <v>1.2181747217666232</v>
      </c>
      <c r="V255" s="1080">
        <f t="shared" si="61"/>
        <v>0.4561905930983241</v>
      </c>
      <c r="W255" s="1072">
        <f t="shared" si="61"/>
        <v>0.10729022798540988</v>
      </c>
      <c r="X255" s="1072">
        <f t="shared" si="61"/>
        <v>0.65064148250965514</v>
      </c>
      <c r="Y255" s="1081" t="str">
        <f t="shared" si="61"/>
        <v>Not rated</v>
      </c>
      <c r="Z255" s="1082"/>
      <c r="AA255" s="1076">
        <f t="shared" si="62"/>
        <v>1.2440956586918632</v>
      </c>
      <c r="AB255" s="1083">
        <f t="shared" si="62"/>
        <v>0.5581122698382367</v>
      </c>
      <c r="AC255" s="1077">
        <f t="shared" si="62"/>
        <v>1.6771658832683087</v>
      </c>
      <c r="AD255" s="949"/>
      <c r="AE255" s="949"/>
      <c r="AF255" s="949"/>
      <c r="AG255" s="2129"/>
      <c r="AH255" s="949"/>
      <c r="AI255" s="949"/>
      <c r="AJ255" s="949"/>
      <c r="AK255" s="949"/>
      <c r="AL255" s="949"/>
      <c r="AM255" s="949"/>
      <c r="AN255" s="949"/>
      <c r="AO255" s="949"/>
      <c r="AP255" s="949"/>
      <c r="AQ255" s="949"/>
      <c r="AR255" s="110"/>
      <c r="AS255" s="110"/>
      <c r="AT255" s="110"/>
      <c r="AU255" s="949"/>
      <c r="AV255" s="949"/>
      <c r="AW255" s="949"/>
      <c r="AX255" s="949"/>
      <c r="AY255" s="949"/>
      <c r="AZ255" s="949"/>
      <c r="BA255" s="949"/>
      <c r="BB255" s="949"/>
      <c r="BC255" s="949"/>
      <c r="BD255" s="949"/>
      <c r="BE255" s="2267"/>
    </row>
    <row r="256" spans="1:57">
      <c r="A256" s="1090" t="s">
        <v>73</v>
      </c>
      <c r="B256" s="73" t="s">
        <v>283</v>
      </c>
      <c r="C256" s="1085">
        <f t="shared" si="60"/>
        <v>2461.5190857142857</v>
      </c>
      <c r="D256" s="1086">
        <f t="shared" si="60"/>
        <v>6.3070112903421734E-3</v>
      </c>
      <c r="E256" s="1060">
        <f t="shared" si="60"/>
        <v>6.738754525599433E-2</v>
      </c>
      <c r="F256" s="1060">
        <f t="shared" si="60"/>
        <v>0.16916312416163326</v>
      </c>
      <c r="G256" s="1061">
        <f t="shared" si="60"/>
        <v>2364.3629999999998</v>
      </c>
      <c r="H256" s="1062">
        <f t="shared" si="60"/>
        <v>6.5473828033777437E-3</v>
      </c>
      <c r="I256" s="1063">
        <f t="shared" si="60"/>
        <v>3.1397518024733277</v>
      </c>
      <c r="J256" s="1063">
        <f t="shared" si="60"/>
        <v>3.0995844257996854</v>
      </c>
      <c r="K256" s="1064">
        <f t="shared" si="60"/>
        <v>6.6917014692746157</v>
      </c>
      <c r="L256" s="1060">
        <f t="shared" si="60"/>
        <v>0.14721542174528052</v>
      </c>
      <c r="M256" s="1065">
        <f t="shared" si="61"/>
        <v>7.0127743881429545</v>
      </c>
      <c r="N256" s="1066">
        <f t="shared" si="61"/>
        <v>0.62657499999999999</v>
      </c>
      <c r="O256" s="1067">
        <f t="shared" si="61"/>
        <v>5.5614710459497153E-2</v>
      </c>
      <c r="P256" s="1068">
        <f t="shared" si="61"/>
        <v>0.64439999999999997</v>
      </c>
      <c r="Q256" s="1066">
        <f t="shared" si="61"/>
        <v>0.24190098439360719</v>
      </c>
      <c r="R256" s="1067">
        <f t="shared" si="61"/>
        <v>0.20667512064869559</v>
      </c>
      <c r="S256" s="1068">
        <f t="shared" si="61"/>
        <v>0.30597960586046052</v>
      </c>
      <c r="T256" s="103">
        <f t="shared" si="61"/>
        <v>0.2616424852780464</v>
      </c>
      <c r="U256" s="1067">
        <f t="shared" si="61"/>
        <v>0.20296552626351777</v>
      </c>
      <c r="V256" s="1068">
        <f t="shared" si="61"/>
        <v>0.32061814749302248</v>
      </c>
      <c r="W256" s="1060">
        <f t="shared" si="61"/>
        <v>1.9741500884439211E-2</v>
      </c>
      <c r="X256" s="1060">
        <f t="shared" si="61"/>
        <v>8.1609841042717679E-2</v>
      </c>
      <c r="Y256" s="1069" t="str">
        <f t="shared" si="61"/>
        <v>BBB</v>
      </c>
      <c r="Z256" s="1070" t="str">
        <f>VLOOKUP($B256,$B$7:$AC$28,Z$37+1,FALSE)</f>
        <v>=  =  -</v>
      </c>
      <c r="AA256" s="1064">
        <f t="shared" si="62"/>
        <v>1.7511002028712532</v>
      </c>
      <c r="AB256" s="1071">
        <f t="shared" si="62"/>
        <v>0.37093258903528414</v>
      </c>
      <c r="AC256" s="1065">
        <f t="shared" si="62"/>
        <v>2.2311132077757287</v>
      </c>
      <c r="AD256" s="949"/>
      <c r="AE256" s="949"/>
      <c r="AF256" s="949"/>
      <c r="AG256" s="2129"/>
      <c r="AH256" s="949"/>
      <c r="AI256" s="949"/>
      <c r="AJ256" s="949"/>
      <c r="AK256" s="949"/>
      <c r="AL256" s="949"/>
      <c r="AM256" s="949"/>
      <c r="AN256" s="949"/>
      <c r="AO256" s="949"/>
      <c r="AP256" s="949"/>
      <c r="AQ256" s="949"/>
      <c r="AR256" s="110"/>
      <c r="AS256" s="110"/>
      <c r="AT256" s="110"/>
      <c r="AU256" s="949"/>
      <c r="AV256" s="949"/>
      <c r="AW256" s="949"/>
      <c r="AX256" s="949"/>
      <c r="AY256" s="949"/>
      <c r="AZ256" s="949"/>
      <c r="BA256" s="949"/>
      <c r="BB256" s="949"/>
      <c r="BC256" s="949"/>
      <c r="BD256" s="949"/>
      <c r="BE256" s="2267"/>
    </row>
    <row r="257" spans="1:57">
      <c r="A257" s="1090" t="s">
        <v>503</v>
      </c>
      <c r="B257" s="73" t="s">
        <v>282</v>
      </c>
      <c r="C257" s="1085">
        <f t="shared" si="60"/>
        <v>22949.481858519866</v>
      </c>
      <c r="D257" s="1086">
        <f t="shared" si="60"/>
        <v>5.8802160840116385E-2</v>
      </c>
      <c r="E257" s="1060">
        <f t="shared" si="60"/>
        <v>-8.3288171902550459E-2</v>
      </c>
      <c r="F257" s="1060">
        <f t="shared" si="60"/>
        <v>1.8487407003088485E-2</v>
      </c>
      <c r="G257" s="1061">
        <f t="shared" si="60"/>
        <v>21731.57918967646</v>
      </c>
      <c r="H257" s="1062">
        <f t="shared" si="60"/>
        <v>6.0178986000343146E-2</v>
      </c>
      <c r="I257" s="1063">
        <f t="shared" si="60"/>
        <v>1.7647070716020126</v>
      </c>
      <c r="J257" s="1063">
        <f t="shared" si="60"/>
        <v>1.7786623686113903</v>
      </c>
      <c r="K257" s="1064">
        <f t="shared" si="60"/>
        <v>7.5628972253366413</v>
      </c>
      <c r="L257" s="1060">
        <f t="shared" si="60"/>
        <v>2.1076957712408067E-2</v>
      </c>
      <c r="M257" s="1065">
        <f t="shared" si="61"/>
        <v>7.6896404016441506</v>
      </c>
      <c r="N257" s="1066">
        <f t="shared" si="61"/>
        <v>0.67984865616162071</v>
      </c>
      <c r="O257" s="1067">
        <f t="shared" si="61"/>
        <v>0.13956056160252914</v>
      </c>
      <c r="P257" s="1068">
        <f t="shared" si="61"/>
        <v>0.7167630057803468</v>
      </c>
      <c r="Q257" s="1066">
        <f t="shared" si="61"/>
        <v>0.23215418017261674</v>
      </c>
      <c r="R257" s="1067">
        <f t="shared" si="61"/>
        <v>0.36187217108516367</v>
      </c>
      <c r="S257" s="1068">
        <f t="shared" si="61"/>
        <v>0.26525179681706468</v>
      </c>
      <c r="T257" s="103">
        <f t="shared" si="61"/>
        <v>0.2501311526811702</v>
      </c>
      <c r="U257" s="1067">
        <f t="shared" si="61"/>
        <v>0.31916438327965047</v>
      </c>
      <c r="V257" s="1068">
        <f t="shared" si="61"/>
        <v>0.28287599661626001</v>
      </c>
      <c r="W257" s="1060">
        <f t="shared" si="61"/>
        <v>1.7976972508553457E-2</v>
      </c>
      <c r="X257" s="1060">
        <f t="shared" si="61"/>
        <v>7.7435489187344358E-2</v>
      </c>
      <c r="Y257" s="1069" t="str">
        <f t="shared" si="61"/>
        <v>A-</v>
      </c>
      <c r="Z257" s="1070" t="str">
        <f>VLOOKUP($B257,$B$7:$AC$28,Z$37+1,FALSE)</f>
        <v>=  =  =</v>
      </c>
      <c r="AA257" s="1064">
        <f t="shared" si="62"/>
        <v>1.845874038975184</v>
      </c>
      <c r="AB257" s="1071">
        <f t="shared" si="62"/>
        <v>0.36079457239176377</v>
      </c>
      <c r="AC257" s="1065">
        <f t="shared" si="62"/>
        <v>2.1424428051274771</v>
      </c>
      <c r="AD257" s="949"/>
      <c r="AE257" s="949"/>
      <c r="AF257" s="949"/>
      <c r="AG257" s="2129"/>
      <c r="AH257" s="949"/>
      <c r="AI257" s="949"/>
      <c r="AJ257" s="949"/>
      <c r="AK257" s="949"/>
      <c r="AL257" s="949"/>
      <c r="AM257" s="949"/>
      <c r="AN257" s="949"/>
      <c r="AO257" s="949"/>
      <c r="AP257" s="949"/>
      <c r="AQ257" s="949"/>
      <c r="AR257" s="110"/>
      <c r="AS257" s="110"/>
      <c r="AT257" s="110"/>
      <c r="AU257" s="949"/>
      <c r="AV257" s="949"/>
      <c r="AW257" s="949"/>
      <c r="AX257" s="949"/>
      <c r="AY257" s="949"/>
      <c r="AZ257" s="949"/>
      <c r="BA257" s="949"/>
      <c r="BB257" s="949"/>
      <c r="BC257" s="949"/>
      <c r="BD257" s="949"/>
      <c r="BE257" s="2267"/>
    </row>
    <row r="258" spans="1:57">
      <c r="A258" s="1090" t="s">
        <v>503</v>
      </c>
      <c r="B258" s="73" t="s">
        <v>280</v>
      </c>
      <c r="C258" s="1085">
        <f t="shared" si="60"/>
        <v>5769.8566757446433</v>
      </c>
      <c r="D258" s="1086">
        <f t="shared" si="60"/>
        <v>1.4783777793466828E-2</v>
      </c>
      <c r="E258" s="1060">
        <f t="shared" si="60"/>
        <v>-0.24705029723080094</v>
      </c>
      <c r="F258" s="1060">
        <f t="shared" si="60"/>
        <v>-0.14527471832516198</v>
      </c>
      <c r="G258" s="1061">
        <f t="shared" si="60"/>
        <v>4026.3480952657014</v>
      </c>
      <c r="H258" s="1062">
        <f t="shared" si="60"/>
        <v>1.1149744044952231E-2</v>
      </c>
      <c r="I258" s="1063">
        <f t="shared" si="60"/>
        <v>2.446298838298576</v>
      </c>
      <c r="J258" s="1063">
        <f t="shared" si="60"/>
        <v>1.6476276710656086</v>
      </c>
      <c r="K258" s="1064">
        <f t="shared" si="60"/>
        <v>6.5589809256196414</v>
      </c>
      <c r="L258" s="1060">
        <f t="shared" si="60"/>
        <v>1.2127469272410992E-3</v>
      </c>
      <c r="M258" s="1065">
        <f t="shared" si="61"/>
        <v>5.5145354419406587</v>
      </c>
      <c r="N258" s="1066">
        <f t="shared" si="61"/>
        <v>0.67083419702973635</v>
      </c>
      <c r="O258" s="1067">
        <f t="shared" si="61"/>
        <v>-0.11335389957676706</v>
      </c>
      <c r="P258" s="1068">
        <f t="shared" si="61"/>
        <v>0.63639387890884902</v>
      </c>
      <c r="Q258" s="1066">
        <f t="shared" si="61"/>
        <v>0.1536920907726812</v>
      </c>
      <c r="R258" s="1067">
        <f t="shared" si="61"/>
        <v>1.6283818604559013</v>
      </c>
      <c r="S258" s="1068">
        <f t="shared" si="61"/>
        <v>0.2022242346359609</v>
      </c>
      <c r="T258" s="103">
        <f t="shared" si="61"/>
        <v>0.20961441125119315</v>
      </c>
      <c r="U258" s="1067">
        <f t="shared" si="61"/>
        <v>0.84200521424561081</v>
      </c>
      <c r="V258" s="1068">
        <f t="shared" si="61"/>
        <v>0.28147528322389997</v>
      </c>
      <c r="W258" s="1060">
        <f t="shared" si="61"/>
        <v>5.592232047851195E-2</v>
      </c>
      <c r="X258" s="1060">
        <f t="shared" si="61"/>
        <v>0.36385945559959909</v>
      </c>
      <c r="Y258" s="1069" t="str">
        <f t="shared" si="61"/>
        <v>Not rated</v>
      </c>
      <c r="Z258" s="1070"/>
      <c r="AA258" s="1064">
        <f t="shared" si="62"/>
        <v>1.4399592566697517</v>
      </c>
      <c r="AB258" s="1071">
        <f t="shared" si="62"/>
        <v>0.8442860967329926</v>
      </c>
      <c r="AC258" s="1065">
        <f t="shared" si="62"/>
        <v>1.5521418473212367</v>
      </c>
      <c r="AD258" s="949"/>
      <c r="AE258" s="949"/>
      <c r="AF258" s="949"/>
      <c r="AG258" s="2129"/>
      <c r="AH258" s="949"/>
      <c r="AI258" s="949"/>
      <c r="AJ258" s="949"/>
      <c r="AK258" s="949"/>
      <c r="AL258" s="949"/>
      <c r="AM258" s="949"/>
      <c r="AN258" s="949"/>
      <c r="AO258" s="949"/>
      <c r="AP258" s="949"/>
      <c r="AQ258" s="949"/>
      <c r="AR258" s="110"/>
      <c r="AS258" s="110"/>
      <c r="AT258" s="110"/>
      <c r="AU258" s="949"/>
      <c r="AV258" s="949"/>
      <c r="AW258" s="949"/>
      <c r="AX258" s="949"/>
      <c r="AY258" s="949"/>
      <c r="AZ258" s="949"/>
      <c r="BA258" s="949"/>
      <c r="BB258" s="949"/>
      <c r="BC258" s="949"/>
      <c r="BD258" s="949"/>
      <c r="BE258" s="2267"/>
    </row>
    <row r="259" spans="1:57">
      <c r="A259" s="1091" t="s">
        <v>319</v>
      </c>
      <c r="B259" s="691" t="s">
        <v>750</v>
      </c>
      <c r="C259" s="1087">
        <f t="shared" si="60"/>
        <v>7616.907214285714</v>
      </c>
      <c r="D259" s="1088">
        <f t="shared" si="60"/>
        <v>1.9516371039653539E-2</v>
      </c>
      <c r="E259" s="1072">
        <f t="shared" si="60"/>
        <v>-0.33365525120929096</v>
      </c>
      <c r="F259" s="1072">
        <f t="shared" si="60"/>
        <v>-0.23187967230365203</v>
      </c>
      <c r="G259" s="1073">
        <f t="shared" si="60"/>
        <v>5825.8631999999998</v>
      </c>
      <c r="H259" s="1074">
        <f t="shared" si="60"/>
        <v>1.6132952736323161E-2</v>
      </c>
      <c r="I259" s="1075">
        <f t="shared" si="60"/>
        <v>2.4107651340270966</v>
      </c>
      <c r="J259" s="1075">
        <f t="shared" si="60"/>
        <v>2.0327505931612002</v>
      </c>
      <c r="K259" s="1076">
        <f t="shared" si="60"/>
        <v>4.7469851722287064</v>
      </c>
      <c r="L259" s="1072">
        <f t="shared" si="60"/>
        <v>0.1951757211867983</v>
      </c>
      <c r="M259" s="1077">
        <f t="shared" si="61"/>
        <v>4.6619962755533297</v>
      </c>
      <c r="N259" s="1078">
        <f t="shared" si="61"/>
        <v>0.37158673775730477</v>
      </c>
      <c r="O259" s="1079">
        <f t="shared" si="61"/>
        <v>-0.1153634304384116</v>
      </c>
      <c r="P259" s="1080">
        <f t="shared" si="61"/>
        <v>0.36037883142173305</v>
      </c>
      <c r="Q259" s="1078">
        <f t="shared" si="61"/>
        <v>0.17383796150947908</v>
      </c>
      <c r="R259" s="1079">
        <f t="shared" si="61"/>
        <v>0.54445307336528614</v>
      </c>
      <c r="S259" s="1080">
        <f t="shared" si="61"/>
        <v>0.26356163003804695</v>
      </c>
      <c r="T259" s="1013">
        <f t="shared" si="61"/>
        <v>0.19702478682132593</v>
      </c>
      <c r="U259" s="1079">
        <f t="shared" si="61"/>
        <v>0.50034734616182497</v>
      </c>
      <c r="V259" s="1080">
        <f t="shared" si="61"/>
        <v>0.28756363720088318</v>
      </c>
      <c r="W259" s="1072">
        <f t="shared" si="61"/>
        <v>2.3186825311846848E-2</v>
      </c>
      <c r="X259" s="1072">
        <f t="shared" si="61"/>
        <v>0.13338182932260462</v>
      </c>
      <c r="Y259" s="1081" t="str">
        <f t="shared" si="61"/>
        <v>A</v>
      </c>
      <c r="Z259" s="1082" t="str">
        <f>VLOOKUP($B259,$B$7:$AC$28,Z$37+1,FALSE)</f>
        <v>=  =  -</v>
      </c>
      <c r="AA259" s="1076">
        <f t="shared" si="62"/>
        <v>0.93248540191552354</v>
      </c>
      <c r="AB259" s="1083">
        <f t="shared" si="62"/>
        <v>0.78949919521054279</v>
      </c>
      <c r="AC259" s="1077">
        <f t="shared" si="62"/>
        <v>1.3109622071604587</v>
      </c>
      <c r="AD259" s="949"/>
      <c r="AE259" s="949"/>
      <c r="AF259" s="949"/>
      <c r="AG259" s="2129"/>
      <c r="AH259" s="949"/>
      <c r="AI259" s="949"/>
      <c r="AJ259" s="949"/>
      <c r="AK259" s="949"/>
      <c r="AL259" s="949"/>
      <c r="AM259" s="949"/>
      <c r="AN259" s="949"/>
      <c r="AO259" s="949"/>
      <c r="AP259" s="949"/>
      <c r="AQ259" s="949"/>
      <c r="AR259" s="110"/>
      <c r="AS259" s="110"/>
      <c r="AT259" s="110"/>
      <c r="AU259" s="949"/>
      <c r="AV259" s="949"/>
      <c r="AW259" s="949"/>
      <c r="AX259" s="949"/>
      <c r="AY259" s="949"/>
      <c r="AZ259" s="949"/>
      <c r="BA259" s="949"/>
      <c r="BB259" s="949"/>
      <c r="BC259" s="949"/>
      <c r="BD259" s="949"/>
      <c r="BE259" s="2267"/>
    </row>
    <row r="260" spans="1:57">
      <c r="A260" s="1090" t="s">
        <v>502</v>
      </c>
      <c r="B260" s="73" t="s">
        <v>287</v>
      </c>
      <c r="C260" s="1085">
        <f t="shared" si="60"/>
        <v>4580.8423286191064</v>
      </c>
      <c r="D260" s="1086">
        <f t="shared" si="60"/>
        <v>1.1737233504933111E-2</v>
      </c>
      <c r="E260" s="1060">
        <f t="shared" si="60"/>
        <v>-0.49577837871365099</v>
      </c>
      <c r="F260" s="1060">
        <f t="shared" si="60"/>
        <v>-0.39400279980801206</v>
      </c>
      <c r="G260" s="1061">
        <f t="shared" si="60"/>
        <v>2322.4005110115481</v>
      </c>
      <c r="H260" s="1062">
        <f t="shared" si="60"/>
        <v>6.4311804779353665E-3</v>
      </c>
      <c r="I260" s="1063">
        <f t="shared" si="60"/>
        <v>1.4234279787340207</v>
      </c>
      <c r="J260" s="1063">
        <f t="shared" si="60"/>
        <v>0.8056764866383116</v>
      </c>
      <c r="K260" s="1064">
        <f t="shared" si="60"/>
        <v>4.3531629475873661</v>
      </c>
      <c r="L260" s="1060">
        <f t="shared" si="60"/>
        <v>-8.1025400882275472E-2</v>
      </c>
      <c r="M260" s="1065">
        <f t="shared" si="61"/>
        <v>3.4400754167452243</v>
      </c>
      <c r="N260" s="1066">
        <f t="shared" si="61"/>
        <v>0.42290073595624156</v>
      </c>
      <c r="O260" s="1067">
        <f t="shared" si="61"/>
        <v>-9.0086339251873371E-2</v>
      </c>
      <c r="P260" s="1068">
        <f t="shared" si="61"/>
        <v>0.44946685046944856</v>
      </c>
      <c r="Q260" s="1066">
        <f t="shared" si="61"/>
        <v>0.16307046534988884</v>
      </c>
      <c r="R260" s="1067">
        <f t="shared" si="61"/>
        <v>1.3005419282788433</v>
      </c>
      <c r="S260" s="1068">
        <f t="shared" si="61"/>
        <v>0.30950096360373897</v>
      </c>
      <c r="T260" s="103">
        <f t="shared" si="61"/>
        <v>0.18570292678335293</v>
      </c>
      <c r="U260" s="1067">
        <f t="shared" si="61"/>
        <v>1.251733079461073</v>
      </c>
      <c r="V260" s="1068">
        <f t="shared" si="61"/>
        <v>0.34197601038246805</v>
      </c>
      <c r="W260" s="1060">
        <f t="shared" si="61"/>
        <v>2.2632461433464091E-2</v>
      </c>
      <c r="X260" s="1060">
        <f t="shared" si="61"/>
        <v>0.13878945758144007</v>
      </c>
      <c r="Y260" s="1069" t="str">
        <f t="shared" si="61"/>
        <v>BBB</v>
      </c>
      <c r="Z260" s="1070" t="str">
        <f>VLOOKUP($B260,$B$7:$AC$28,Z$37+1,FALSE)</f>
        <v>=  ¯ -</v>
      </c>
      <c r="AA260" s="1064">
        <f t="shared" si="62"/>
        <v>0.77886477042851432</v>
      </c>
      <c r="AB260" s="1071">
        <f t="shared" si="62"/>
        <v>1.0703005310133176</v>
      </c>
      <c r="AC260" s="1065">
        <f t="shared" si="62"/>
        <v>1.1762690733772538</v>
      </c>
      <c r="AD260" s="949"/>
      <c r="AE260" s="949"/>
      <c r="AF260" s="949"/>
      <c r="AG260" s="2129"/>
      <c r="AH260" s="949"/>
      <c r="AI260" s="949"/>
      <c r="AJ260" s="949"/>
      <c r="AK260" s="949"/>
      <c r="AL260" s="949"/>
      <c r="AM260" s="949"/>
      <c r="AN260" s="949"/>
      <c r="AO260" s="949"/>
      <c r="AP260" s="949"/>
      <c r="AQ260" s="949"/>
      <c r="AR260" s="110"/>
      <c r="AS260" s="110"/>
      <c r="AT260" s="110"/>
      <c r="AU260" s="949"/>
      <c r="AV260" s="949"/>
      <c r="AW260" s="949"/>
      <c r="AX260" s="949"/>
      <c r="AY260" s="949"/>
      <c r="AZ260" s="949"/>
      <c r="BA260" s="949"/>
      <c r="BB260" s="949"/>
      <c r="BC260" s="949"/>
      <c r="BD260" s="949"/>
      <c r="BE260" s="2267"/>
    </row>
    <row r="261" spans="1:57">
      <c r="A261" s="1090" t="s">
        <v>500</v>
      </c>
      <c r="B261" s="73" t="s">
        <v>279</v>
      </c>
      <c r="C261" s="1085">
        <f t="shared" si="60"/>
        <v>20617.292984255655</v>
      </c>
      <c r="D261" s="1086">
        <f t="shared" si="60"/>
        <v>5.2826525044090682E-2</v>
      </c>
      <c r="E261" s="1060">
        <f t="shared" si="60"/>
        <v>0.37985561177970401</v>
      </c>
      <c r="F261" s="1060">
        <f t="shared" si="60"/>
        <v>0.48163119068534294</v>
      </c>
      <c r="G261" s="1061">
        <f t="shared" si="60"/>
        <v>23766.623796323693</v>
      </c>
      <c r="H261" s="1062">
        <f t="shared" si="60"/>
        <v>6.5814421871090864E-2</v>
      </c>
      <c r="I261" s="1063">
        <f t="shared" si="60"/>
        <v>1.8990159277875758</v>
      </c>
      <c r="J261" s="1063">
        <f t="shared" si="60"/>
        <v>2.509154465418888</v>
      </c>
      <c r="K261" s="1064">
        <f t="shared" si="60"/>
        <v>5.7229254321128114</v>
      </c>
      <c r="L261" s="1060">
        <f t="shared" si="60"/>
        <v>4.5724350121793801E-2</v>
      </c>
      <c r="M261" s="1065">
        <f t="shared" si="61"/>
        <v>6.1939465303838475</v>
      </c>
      <c r="N261" s="1066">
        <f t="shared" si="61"/>
        <v>0.7344324868237998</v>
      </c>
      <c r="O261" s="1067">
        <f t="shared" si="61"/>
        <v>0.10784712869930438</v>
      </c>
      <c r="P261" s="1068">
        <f t="shared" si="61"/>
        <v>0.74956908795771016</v>
      </c>
      <c r="Q261" s="1066">
        <f t="shared" si="61"/>
        <v>0.14726898954609682</v>
      </c>
      <c r="R261" s="1067">
        <f t="shared" si="61"/>
        <v>4.9939774449528171E-2</v>
      </c>
      <c r="S261" s="1068">
        <f t="shared" si="61"/>
        <v>0.17272839211728983</v>
      </c>
      <c r="T261" s="103">
        <f t="shared" si="61"/>
        <v>0.18443136241749356</v>
      </c>
      <c r="U261" s="1067">
        <f t="shared" si="61"/>
        <v>-5.7258906752796622E-2</v>
      </c>
      <c r="V261" s="1068">
        <f t="shared" si="61"/>
        <v>0.198117589718218</v>
      </c>
      <c r="W261" s="1060">
        <f t="shared" si="61"/>
        <v>3.7162372871396732E-2</v>
      </c>
      <c r="X261" s="1060">
        <f t="shared" si="61"/>
        <v>0.25234350412762557</v>
      </c>
      <c r="Y261" s="1069" t="str">
        <f t="shared" si="61"/>
        <v>A-</v>
      </c>
      <c r="Z261" s="1070" t="str">
        <f>VLOOKUP($B261,$B$7:$AC$28,Z$37+1,FALSE)</f>
        <v>=  =  -</v>
      </c>
      <c r="AA261" s="1064">
        <f t="shared" si="62"/>
        <v>1.0395975936863313</v>
      </c>
      <c r="AB261" s="1071">
        <f t="shared" si="62"/>
        <v>2.9438923535487854E-2</v>
      </c>
      <c r="AC261" s="1065">
        <f t="shared" si="62"/>
        <v>1.2087727199953455</v>
      </c>
      <c r="AD261" s="949"/>
      <c r="AE261" s="949"/>
      <c r="AF261" s="949"/>
      <c r="AG261" s="2129"/>
      <c r="AH261" s="949"/>
      <c r="AI261" s="949"/>
      <c r="AJ261" s="949"/>
      <c r="AK261" s="949"/>
      <c r="AL261" s="949"/>
      <c r="AM261" s="949"/>
      <c r="AN261" s="949"/>
      <c r="AO261" s="949"/>
      <c r="AP261" s="949"/>
      <c r="AQ261" s="949"/>
      <c r="AR261" s="110"/>
      <c r="AS261" s="110"/>
      <c r="AT261" s="110"/>
      <c r="AU261" s="949"/>
      <c r="AV261" s="949"/>
      <c r="AW261" s="949"/>
      <c r="AX261" s="949"/>
      <c r="AY261" s="949"/>
      <c r="AZ261" s="949"/>
      <c r="BA261" s="949"/>
      <c r="BB261" s="949"/>
      <c r="BC261" s="949"/>
      <c r="BD261" s="949"/>
      <c r="BE261" s="2267"/>
    </row>
    <row r="262" spans="1:57">
      <c r="A262" s="1090" t="s">
        <v>19</v>
      </c>
      <c r="B262" s="73" t="s">
        <v>285</v>
      </c>
      <c r="C262" s="1085">
        <f t="shared" si="60"/>
        <v>6002.7646707914537</v>
      </c>
      <c r="D262" s="1086">
        <f t="shared" si="60"/>
        <v>1.538054479108892E-2</v>
      </c>
      <c r="E262" s="1060">
        <f t="shared" si="60"/>
        <v>1.7468659495150733</v>
      </c>
      <c r="F262" s="1060">
        <f t="shared" si="60"/>
        <v>1.8486415284207123</v>
      </c>
      <c r="G262" s="1061">
        <f t="shared" si="60"/>
        <v>9571.524995540176</v>
      </c>
      <c r="H262" s="1062">
        <f t="shared" si="60"/>
        <v>2.6505421611613778E-2</v>
      </c>
      <c r="I262" s="1063">
        <f t="shared" si="60"/>
        <v>4.1497848696984878</v>
      </c>
      <c r="J262" s="1063">
        <f t="shared" si="60"/>
        <v>5.1075046454025781</v>
      </c>
      <c r="K262" s="1064">
        <f t="shared" si="60"/>
        <v>7.8090133066846761</v>
      </c>
      <c r="L262" s="1060">
        <f t="shared" si="60"/>
        <v>0.8464659845431286</v>
      </c>
      <c r="M262" s="1065">
        <f t="shared" si="61"/>
        <v>9.6719476082953495</v>
      </c>
      <c r="N262" s="1060">
        <f t="shared" si="61"/>
        <v>9.1630231095150338E-2</v>
      </c>
      <c r="O262" s="1084" t="str">
        <f t="shared" si="61"/>
        <v>¥</v>
      </c>
      <c r="P262" s="1068">
        <f t="shared" si="61"/>
        <v>0.34976819018989347</v>
      </c>
      <c r="Q262" s="1066">
        <f t="shared" si="61"/>
        <v>0.13477545507373562</v>
      </c>
      <c r="R262" s="1067">
        <f t="shared" si="61"/>
        <v>-0.4264373226073967</v>
      </c>
      <c r="S262" s="1068">
        <f t="shared" si="61"/>
        <v>9.7905485588969735E-2</v>
      </c>
      <c r="T262" s="103">
        <f t="shared" si="61"/>
        <v>0.16024846762312819</v>
      </c>
      <c r="U262" s="1067">
        <f t="shared" si="61"/>
        <v>-0.25253039609468159</v>
      </c>
      <c r="V262" s="1068">
        <f t="shared" si="61"/>
        <v>0.12849893093161849</v>
      </c>
      <c r="W262" s="1060">
        <f t="shared" si="61"/>
        <v>2.5473012549392576E-2</v>
      </c>
      <c r="X262" s="1060">
        <f t="shared" si="61"/>
        <v>0.18900335031669008</v>
      </c>
      <c r="Y262" s="1069" t="str">
        <f t="shared" si="61"/>
        <v>Not rated</v>
      </c>
      <c r="Z262" s="1070"/>
      <c r="AA262" s="1064">
        <f t="shared" si="62"/>
        <v>1.265551414722516</v>
      </c>
      <c r="AB262" s="1071">
        <f t="shared" si="62"/>
        <v>0.38040351489576829</v>
      </c>
      <c r="AC262" s="1065">
        <f t="shared" si="62"/>
        <v>1.242834927692577</v>
      </c>
      <c r="AD262" s="949"/>
      <c r="AE262" s="949"/>
      <c r="AF262" s="949"/>
      <c r="AG262" s="2129"/>
      <c r="AH262" s="949"/>
      <c r="AI262" s="949"/>
      <c r="AJ262" s="949"/>
      <c r="AK262" s="949"/>
      <c r="AL262" s="949"/>
      <c r="AM262" s="949"/>
      <c r="AN262" s="949"/>
      <c r="AO262" s="949"/>
      <c r="AP262" s="949"/>
      <c r="AQ262" s="949"/>
      <c r="AR262" s="110"/>
      <c r="AS262" s="110"/>
      <c r="AT262" s="110"/>
      <c r="AU262" s="949"/>
      <c r="AV262" s="949"/>
      <c r="AW262" s="949"/>
      <c r="AX262" s="949"/>
      <c r="AY262" s="949"/>
      <c r="AZ262" s="949"/>
      <c r="BA262" s="949"/>
      <c r="BB262" s="949"/>
      <c r="BC262" s="949"/>
      <c r="BD262" s="949"/>
      <c r="BE262" s="2267"/>
    </row>
    <row r="263" spans="1:57">
      <c r="A263" s="1090"/>
      <c r="B263" s="949"/>
      <c r="C263" s="949"/>
      <c r="D263" s="119"/>
      <c r="E263" s="949"/>
      <c r="F263" s="949"/>
      <c r="G263" s="949"/>
      <c r="H263" s="119"/>
      <c r="I263" s="119"/>
      <c r="J263" s="119"/>
      <c r="K263" s="949"/>
      <c r="L263" s="949"/>
      <c r="M263" s="1089"/>
      <c r="N263" s="949"/>
      <c r="O263" s="949"/>
      <c r="P263" s="949"/>
      <c r="Q263" s="1005"/>
      <c r="R263" s="1005"/>
      <c r="S263" s="1005"/>
      <c r="T263" s="949"/>
      <c r="U263" s="949"/>
      <c r="V263" s="949"/>
      <c r="W263" s="1005"/>
      <c r="X263" s="1005"/>
      <c r="Y263" s="949"/>
      <c r="Z263" s="949"/>
      <c r="AA263" s="949"/>
      <c r="AB263" s="949"/>
      <c r="AC263" s="949"/>
      <c r="AD263" s="949"/>
      <c r="AE263" s="949"/>
      <c r="AF263" s="949"/>
      <c r="AG263" s="2129"/>
      <c r="AH263" s="949"/>
      <c r="AI263" s="949"/>
      <c r="AJ263" s="949"/>
      <c r="AK263" s="949"/>
      <c r="AL263" s="949"/>
      <c r="AM263" s="949"/>
      <c r="AN263" s="949"/>
      <c r="AO263" s="949"/>
      <c r="AP263" s="949"/>
      <c r="AQ263" s="949"/>
      <c r="AR263" s="110"/>
      <c r="AS263" s="110"/>
      <c r="AT263" s="110"/>
      <c r="AU263" s="949"/>
      <c r="AV263" s="949"/>
      <c r="AW263" s="949"/>
      <c r="AX263" s="949"/>
      <c r="AY263" s="949"/>
      <c r="AZ263" s="949"/>
      <c r="BA263" s="949"/>
      <c r="BB263" s="949"/>
      <c r="BC263" s="949"/>
      <c r="BD263" s="949"/>
      <c r="BE263" s="2267"/>
    </row>
    <row r="264" spans="1:57">
      <c r="A264" s="1090"/>
      <c r="B264" s="949"/>
      <c r="C264" s="949"/>
      <c r="D264" s="119"/>
      <c r="E264" s="949"/>
      <c r="F264" s="949"/>
      <c r="G264" s="949"/>
      <c r="H264" s="119"/>
      <c r="I264" s="119"/>
      <c r="J264" s="119"/>
      <c r="K264" s="949"/>
      <c r="L264" s="949"/>
      <c r="M264" s="1089"/>
      <c r="N264" s="949"/>
      <c r="O264" s="949"/>
      <c r="P264" s="949"/>
      <c r="Q264" s="1005"/>
      <c r="R264" s="1005"/>
      <c r="S264" s="1005"/>
      <c r="T264" s="949"/>
      <c r="U264" s="949"/>
      <c r="V264" s="949"/>
      <c r="W264" s="1005"/>
      <c r="X264" s="1005"/>
      <c r="Y264" s="949"/>
      <c r="Z264" s="949"/>
      <c r="AA264" s="949"/>
      <c r="AB264" s="949"/>
      <c r="AC264" s="949"/>
      <c r="AD264" s="949"/>
      <c r="AE264" s="949"/>
      <c r="AF264" s="949"/>
      <c r="AG264" s="2129"/>
      <c r="AH264" s="949"/>
      <c r="AI264" s="949"/>
      <c r="AJ264" s="949"/>
      <c r="AK264" s="949"/>
      <c r="AL264" s="949"/>
      <c r="AM264" s="949"/>
      <c r="AN264" s="949"/>
      <c r="AO264" s="949"/>
      <c r="AP264" s="949"/>
      <c r="AQ264" s="949"/>
      <c r="AR264" s="110"/>
      <c r="AS264" s="110"/>
      <c r="AT264" s="110"/>
      <c r="AU264" s="949"/>
      <c r="AV264" s="949"/>
      <c r="AW264" s="949"/>
      <c r="AX264" s="949"/>
      <c r="AY264" s="949"/>
      <c r="AZ264" s="949"/>
      <c r="BA264" s="949"/>
      <c r="BB264" s="949"/>
      <c r="BC264" s="949"/>
      <c r="BD264" s="949"/>
      <c r="BE264" s="2267"/>
    </row>
    <row r="265" spans="1:57">
      <c r="A265" s="3315" t="s">
        <v>1019</v>
      </c>
      <c r="B265" s="1286" t="s">
        <v>1012</v>
      </c>
      <c r="C265" s="1005"/>
      <c r="D265" s="119"/>
      <c r="E265" s="1005"/>
      <c r="F265" s="1005"/>
      <c r="G265" s="1005"/>
      <c r="H265" s="119"/>
      <c r="I265" s="119"/>
      <c r="J265" s="119"/>
      <c r="K265" s="1005"/>
      <c r="L265" s="1005"/>
      <c r="M265" s="1089"/>
      <c r="N265" s="1005"/>
      <c r="O265" s="1005"/>
      <c r="P265" s="1005"/>
      <c r="Q265" s="1005"/>
      <c r="R265" s="1005"/>
      <c r="S265" s="1005"/>
      <c r="T265" s="1005"/>
      <c r="U265" s="1005"/>
      <c r="V265" s="1005"/>
      <c r="W265" s="1005"/>
      <c r="X265" s="1005"/>
      <c r="Y265" s="1005"/>
      <c r="Z265" s="1005"/>
      <c r="AA265" s="1005"/>
      <c r="AB265" s="1005"/>
      <c r="AC265" s="1005"/>
      <c r="AD265" s="949"/>
      <c r="AE265" s="949"/>
      <c r="AF265" s="949"/>
      <c r="AG265" s="2129"/>
      <c r="AH265" s="949"/>
      <c r="AI265" s="949"/>
      <c r="AJ265" s="949"/>
      <c r="AK265" s="949"/>
      <c r="AL265" s="949"/>
      <c r="AM265" s="949"/>
      <c r="AN265" s="949"/>
      <c r="AO265" s="949"/>
      <c r="AP265" s="949"/>
      <c r="AQ265" s="949"/>
      <c r="AR265" s="110"/>
      <c r="AS265" s="110"/>
      <c r="AT265" s="110"/>
      <c r="AU265" s="949"/>
      <c r="AV265" s="949"/>
      <c r="AW265" s="949"/>
      <c r="AX265" s="949"/>
      <c r="AY265" s="949"/>
      <c r="AZ265" s="949"/>
      <c r="BA265" s="949"/>
      <c r="BB265" s="949"/>
      <c r="BC265" s="949"/>
      <c r="BD265" s="949"/>
      <c r="BE265" s="2267"/>
    </row>
    <row r="266" spans="1:57">
      <c r="A266" s="1091" t="s">
        <v>319</v>
      </c>
      <c r="B266" s="691" t="s">
        <v>751</v>
      </c>
      <c r="C266" s="1087">
        <f t="shared" ref="C266:L275" si="63">VLOOKUP($B266,$B$7:$AC$28,C$37+1,FALSE)</f>
        <v>2121.4584571428572</v>
      </c>
      <c r="D266" s="1088">
        <f t="shared" si="63"/>
        <v>5.4356931534045982E-3</v>
      </c>
      <c r="E266" s="1072">
        <f t="shared" si="63"/>
        <v>-0.63331383871554725</v>
      </c>
      <c r="F266" s="1072">
        <f t="shared" si="63"/>
        <v>-0.53153825980990832</v>
      </c>
      <c r="G266" s="1073">
        <f t="shared" si="63"/>
        <v>960.23059999999998</v>
      </c>
      <c r="H266" s="1074">
        <f t="shared" si="63"/>
        <v>2.6590660223142948E-3</v>
      </c>
      <c r="I266" s="1075">
        <f t="shared" si="63"/>
        <v>6.3820660890696566</v>
      </c>
      <c r="J266" s="1075">
        <f t="shared" si="63"/>
        <v>3.126768479322696</v>
      </c>
      <c r="K266" s="1076">
        <f t="shared" si="63"/>
        <v>4.988018554669714</v>
      </c>
      <c r="L266" s="1072">
        <f t="shared" si="63"/>
        <v>-0.2975700901517318</v>
      </c>
      <c r="M266" s="1077">
        <f t="shared" ref="M266:Y275" si="64">VLOOKUP($B266,$B$7:$AC$28,M$37+1,FALSE)</f>
        <v>3.6764587184436395</v>
      </c>
      <c r="N266" s="1078">
        <f t="shared" si="64"/>
        <v>0.95644485424869818</v>
      </c>
      <c r="O266" s="1079">
        <f t="shared" si="64"/>
        <v>5.7346309608293736E-3</v>
      </c>
      <c r="P266" s="1080">
        <f t="shared" si="64"/>
        <v>0.97265268915223335</v>
      </c>
      <c r="Q266" s="1078">
        <f t="shared" si="64"/>
        <v>0.16489915086810925</v>
      </c>
      <c r="R266" s="1079">
        <f t="shared" si="64"/>
        <v>2.0043608623878186</v>
      </c>
      <c r="S266" s="1080">
        <f t="shared" si="64"/>
        <v>0.32988338723452482</v>
      </c>
      <c r="T266" s="1078">
        <f t="shared" si="64"/>
        <v>0.27218937885351913</v>
      </c>
      <c r="U266" s="1079">
        <f t="shared" si="64"/>
        <v>1.2181747217666232</v>
      </c>
      <c r="V266" s="1080">
        <f t="shared" si="64"/>
        <v>0.4561905930983241</v>
      </c>
      <c r="W266" s="1072">
        <f t="shared" si="64"/>
        <v>0.10729022798540988</v>
      </c>
      <c r="X266" s="1008">
        <f t="shared" si="64"/>
        <v>0.65064148250965514</v>
      </c>
      <c r="Y266" s="1081" t="str">
        <f t="shared" si="64"/>
        <v>Not rated</v>
      </c>
      <c r="Z266" s="1082"/>
      <c r="AA266" s="1076">
        <f t="shared" ref="AA266:AC287" si="65">VLOOKUP($B266,$B$7:$AC$28,AA$37+1,FALSE)</f>
        <v>1.2440956586918632</v>
      </c>
      <c r="AB266" s="1083">
        <f t="shared" si="65"/>
        <v>0.5581122698382367</v>
      </c>
      <c r="AC266" s="1077">
        <f t="shared" si="65"/>
        <v>1.6771658832683087</v>
      </c>
      <c r="AD266" s="949"/>
      <c r="AE266" s="949"/>
      <c r="AF266" s="949"/>
      <c r="AG266" s="2129"/>
      <c r="AH266" s="949"/>
      <c r="AI266" s="949"/>
      <c r="AJ266" s="949"/>
      <c r="AK266" s="949"/>
      <c r="AL266" s="949"/>
      <c r="AM266" s="949"/>
      <c r="AN266" s="949"/>
      <c r="AO266" s="949"/>
      <c r="AP266" s="949"/>
      <c r="AQ266" s="949"/>
      <c r="AR266" s="110"/>
      <c r="AS266" s="110"/>
      <c r="AT266" s="110"/>
      <c r="AU266" s="949"/>
      <c r="AV266" s="949"/>
      <c r="AW266" s="949"/>
      <c r="AX266" s="949"/>
      <c r="AY266" s="949"/>
      <c r="AZ266" s="949"/>
      <c r="BA266" s="949"/>
      <c r="BB266" s="949"/>
      <c r="BC266" s="949"/>
      <c r="BD266" s="949"/>
      <c r="BE266" s="2267"/>
    </row>
    <row r="267" spans="1:57">
      <c r="A267" s="1090" t="s">
        <v>503</v>
      </c>
      <c r="B267" s="73" t="s">
        <v>280</v>
      </c>
      <c r="C267" s="1085">
        <f t="shared" si="63"/>
        <v>5769.8566757446433</v>
      </c>
      <c r="D267" s="1086">
        <f t="shared" si="63"/>
        <v>1.4783777793466828E-2</v>
      </c>
      <c r="E267" s="1060">
        <f t="shared" si="63"/>
        <v>-0.24705029723080094</v>
      </c>
      <c r="F267" s="1060">
        <f t="shared" si="63"/>
        <v>-0.14527471832516198</v>
      </c>
      <c r="G267" s="1061">
        <f t="shared" si="63"/>
        <v>4026.3480952657014</v>
      </c>
      <c r="H267" s="1062">
        <f t="shared" si="63"/>
        <v>1.1149744044952231E-2</v>
      </c>
      <c r="I267" s="1063">
        <f t="shared" si="63"/>
        <v>2.446298838298576</v>
      </c>
      <c r="J267" s="1063">
        <f t="shared" si="63"/>
        <v>1.6476276710656086</v>
      </c>
      <c r="K267" s="1064">
        <f t="shared" si="63"/>
        <v>6.5589809256196414</v>
      </c>
      <c r="L267" s="1060">
        <f t="shared" si="63"/>
        <v>1.2127469272410992E-3</v>
      </c>
      <c r="M267" s="1065">
        <f t="shared" si="64"/>
        <v>5.5145354419406587</v>
      </c>
      <c r="N267" s="1066">
        <f t="shared" si="64"/>
        <v>0.67083419702973635</v>
      </c>
      <c r="O267" s="1067">
        <f t="shared" si="64"/>
        <v>-0.11335389957676706</v>
      </c>
      <c r="P267" s="1068">
        <f t="shared" si="64"/>
        <v>0.63639387890884902</v>
      </c>
      <c r="Q267" s="1066">
        <f t="shared" si="64"/>
        <v>0.1536920907726812</v>
      </c>
      <c r="R267" s="1067">
        <f t="shared" si="64"/>
        <v>1.6283818604559013</v>
      </c>
      <c r="S267" s="1068">
        <f t="shared" si="64"/>
        <v>0.2022242346359609</v>
      </c>
      <c r="T267" s="1066">
        <f t="shared" si="64"/>
        <v>0.20961441125119315</v>
      </c>
      <c r="U267" s="1067">
        <f t="shared" si="64"/>
        <v>0.84200521424561081</v>
      </c>
      <c r="V267" s="1068">
        <f t="shared" si="64"/>
        <v>0.28147528322389997</v>
      </c>
      <c r="W267" s="1060">
        <f t="shared" si="64"/>
        <v>5.592232047851195E-2</v>
      </c>
      <c r="X267" s="116">
        <f t="shared" si="64"/>
        <v>0.36385945559959909</v>
      </c>
      <c r="Y267" s="1069" t="str">
        <f t="shared" si="64"/>
        <v>Not rated</v>
      </c>
      <c r="Z267" s="1070"/>
      <c r="AA267" s="1064">
        <f t="shared" si="65"/>
        <v>1.4399592566697517</v>
      </c>
      <c r="AB267" s="1071">
        <f t="shared" si="65"/>
        <v>0.8442860967329926</v>
      </c>
      <c r="AC267" s="1065">
        <f t="shared" si="65"/>
        <v>1.5521418473212367</v>
      </c>
      <c r="AD267" s="949"/>
      <c r="AE267" s="949"/>
      <c r="AF267" s="949"/>
      <c r="AG267" s="2129"/>
      <c r="AH267" s="949"/>
      <c r="AI267" s="949"/>
      <c r="AJ267" s="949"/>
      <c r="AK267" s="949"/>
      <c r="AL267" s="949"/>
      <c r="AM267" s="949"/>
      <c r="AN267" s="949"/>
      <c r="AO267" s="949"/>
      <c r="AP267" s="949"/>
      <c r="AQ267" s="949"/>
      <c r="AR267" s="110"/>
      <c r="AS267" s="110"/>
      <c r="AT267" s="110"/>
      <c r="AU267" s="949"/>
      <c r="AV267" s="949"/>
      <c r="AW267" s="949"/>
      <c r="AX267" s="949"/>
      <c r="AY267" s="949"/>
      <c r="AZ267" s="949"/>
      <c r="BA267" s="949"/>
      <c r="BB267" s="949"/>
      <c r="BC267" s="949"/>
      <c r="BD267" s="949"/>
      <c r="BE267" s="2267"/>
    </row>
    <row r="268" spans="1:57">
      <c r="A268" s="1090" t="s">
        <v>32</v>
      </c>
      <c r="B268" s="73" t="s">
        <v>50</v>
      </c>
      <c r="C268" s="1085">
        <f t="shared" si="63"/>
        <v>19515.355899391296</v>
      </c>
      <c r="D268" s="1086">
        <f t="shared" si="63"/>
        <v>5.0003093905237848E-2</v>
      </c>
      <c r="E268" s="1060">
        <f t="shared" si="63"/>
        <v>1.1994936816856254</v>
      </c>
      <c r="F268" s="1060">
        <f t="shared" si="63"/>
        <v>1.3012692605912644</v>
      </c>
      <c r="G268" s="1061">
        <f t="shared" si="63"/>
        <v>28491.576306321644</v>
      </c>
      <c r="H268" s="1062">
        <f t="shared" si="63"/>
        <v>7.8898737947233621E-2</v>
      </c>
      <c r="I268" s="1063">
        <f t="shared" si="63"/>
        <v>-0.89894076859195104</v>
      </c>
      <c r="J268" s="1063">
        <f t="shared" si="63"/>
        <v>39.625784878048783</v>
      </c>
      <c r="K268" s="1064">
        <f t="shared" si="63"/>
        <v>4.7123747267525307</v>
      </c>
      <c r="L268" s="1060">
        <f t="shared" si="63"/>
        <v>0.4140020451008824</v>
      </c>
      <c r="M268" s="1065">
        <f t="shared" si="64"/>
        <v>5.7096258695546744</v>
      </c>
      <c r="N268" s="1066">
        <f t="shared" si="64"/>
        <v>0</v>
      </c>
      <c r="O268" s="1067">
        <f t="shared" si="64"/>
        <v>0</v>
      </c>
      <c r="P268" s="1068">
        <f t="shared" si="64"/>
        <v>0</v>
      </c>
      <c r="Q268" s="1066">
        <f t="shared" si="64"/>
        <v>0.37025195227815472</v>
      </c>
      <c r="R268" s="1067">
        <f t="shared" si="64"/>
        <v>-0.46222821771061889</v>
      </c>
      <c r="S268" s="1068">
        <f t="shared" si="64"/>
        <v>0.26403640782716253</v>
      </c>
      <c r="T268" s="1066">
        <f t="shared" si="64"/>
        <v>0.48927059752514818</v>
      </c>
      <c r="U268" s="1067">
        <f t="shared" si="64"/>
        <v>-0.38189416595312975</v>
      </c>
      <c r="V268" s="1068">
        <f t="shared" si="64"/>
        <v>0.37414035756341019</v>
      </c>
      <c r="W268" s="1060">
        <f t="shared" si="64"/>
        <v>0.11901864524699346</v>
      </c>
      <c r="X268" s="116">
        <f t="shared" si="64"/>
        <v>0.32145312000294263</v>
      </c>
      <c r="Y268" s="1069" t="str">
        <f t="shared" si="64"/>
        <v>BBB</v>
      </c>
      <c r="Z268" s="1070" t="str">
        <f>VLOOKUP($B268,$B$7:$AC$28,Z$37+1,FALSE)</f>
        <v xml:space="preserve">=  -  = </v>
      </c>
      <c r="AA268" s="1064">
        <f t="shared" si="65"/>
        <v>2.2664974928712622</v>
      </c>
      <c r="AB268" s="1071">
        <f t="shared" si="65"/>
        <v>-0.12537902502142731</v>
      </c>
      <c r="AC268" s="1065">
        <f t="shared" si="65"/>
        <v>2.136201464388483</v>
      </c>
      <c r="AD268" s="949"/>
      <c r="AE268" s="949"/>
      <c r="AF268" s="949"/>
      <c r="AG268" s="2129"/>
      <c r="AH268" s="949"/>
      <c r="AI268" s="949"/>
      <c r="AJ268" s="949"/>
      <c r="AK268" s="949"/>
      <c r="AL268" s="949"/>
      <c r="AM268" s="949"/>
      <c r="AN268" s="949"/>
      <c r="AO268" s="949"/>
      <c r="AP268" s="949"/>
      <c r="AQ268" s="949"/>
      <c r="AR268" s="110"/>
      <c r="AS268" s="110"/>
      <c r="AT268" s="110"/>
      <c r="AU268" s="949"/>
      <c r="AV268" s="949"/>
      <c r="AW268" s="949"/>
      <c r="AX268" s="949"/>
      <c r="AY268" s="949"/>
      <c r="AZ268" s="949"/>
      <c r="BA268" s="949"/>
      <c r="BB268" s="949"/>
      <c r="BC268" s="949"/>
      <c r="BD268" s="949"/>
      <c r="BE268" s="2267"/>
    </row>
    <row r="269" spans="1:57">
      <c r="A269" s="1090" t="s">
        <v>27</v>
      </c>
      <c r="B269" s="73" t="s">
        <v>353</v>
      </c>
      <c r="C269" s="1085">
        <f t="shared" si="63"/>
        <v>504.56125714285719</v>
      </c>
      <c r="D269" s="1086">
        <f t="shared" si="63"/>
        <v>1.292808804099037E-3</v>
      </c>
      <c r="E269" s="1060">
        <f t="shared" si="63"/>
        <v>0.11241291049139049</v>
      </c>
      <c r="F269" s="1060">
        <f t="shared" si="63"/>
        <v>0.21418848939702945</v>
      </c>
      <c r="G269" s="1061">
        <f t="shared" si="63"/>
        <v>562.64409999999998</v>
      </c>
      <c r="H269" s="1062">
        <f t="shared" si="63"/>
        <v>1.5580713726115437E-3</v>
      </c>
      <c r="I269" s="1063">
        <f t="shared" si="63"/>
        <v>0.48825120153947199</v>
      </c>
      <c r="J269" s="1063">
        <f t="shared" si="63"/>
        <v>0.52140126030951717</v>
      </c>
      <c r="K269" s="1064">
        <f t="shared" si="63"/>
        <v>4.0370208841188875</v>
      </c>
      <c r="L269" s="1060">
        <f t="shared" si="63"/>
        <v>-0.11001004882442665</v>
      </c>
      <c r="M269" s="1065">
        <f t="shared" si="64"/>
        <v>3.9063069179772585</v>
      </c>
      <c r="N269" s="1066">
        <f t="shared" si="64"/>
        <v>0.90539538726018864</v>
      </c>
      <c r="O269" s="1067">
        <f t="shared" si="64"/>
        <v>-4.1189056985539901E-2</v>
      </c>
      <c r="P269" s="1068">
        <f t="shared" si="64"/>
        <v>0.90138346931536006</v>
      </c>
      <c r="Q269" s="1066">
        <f t="shared" si="64"/>
        <v>0.38160323267486906</v>
      </c>
      <c r="R269" s="1067">
        <f t="shared" si="64"/>
        <v>0.13281779457810056</v>
      </c>
      <c r="S269" s="1068">
        <f t="shared" si="64"/>
        <v>0.39444904186551905</v>
      </c>
      <c r="T269" s="1066">
        <f t="shared" si="64"/>
        <v>0.47841518539184064</v>
      </c>
      <c r="U269" s="1067">
        <f t="shared" si="64"/>
        <v>1.1717685634717274E-2</v>
      </c>
      <c r="V269" s="1068">
        <f t="shared" si="64"/>
        <v>0.46507375880431212</v>
      </c>
      <c r="W269" s="1060">
        <f t="shared" si="64"/>
        <v>9.6811952716971572E-2</v>
      </c>
      <c r="X269" s="116">
        <f t="shared" si="64"/>
        <v>0.25369793656715856</v>
      </c>
      <c r="Y269" s="1069" t="str">
        <f t="shared" si="64"/>
        <v>Not rated</v>
      </c>
      <c r="Z269" s="1070"/>
      <c r="AA269" s="1064">
        <f t="shared" si="65"/>
        <v>1.832329792526622</v>
      </c>
      <c r="AB269" s="1071">
        <f t="shared" si="65"/>
        <v>-9.9442962217240083E-2</v>
      </c>
      <c r="AC269" s="1065">
        <f t="shared" si="65"/>
        <v>1.8160302149559577</v>
      </c>
      <c r="AD269" s="949"/>
      <c r="AE269" s="949"/>
      <c r="AF269" s="949"/>
      <c r="AG269" s="2129"/>
      <c r="AH269" s="949"/>
      <c r="AI269" s="949"/>
      <c r="AJ269" s="949"/>
      <c r="AK269" s="949"/>
      <c r="AL269" s="949"/>
      <c r="AM269" s="949"/>
      <c r="AN269" s="949"/>
      <c r="AO269" s="949"/>
      <c r="AP269" s="949"/>
      <c r="AQ269" s="949"/>
      <c r="AR269" s="110"/>
      <c r="AS269" s="110"/>
      <c r="AT269" s="110"/>
      <c r="AU269" s="949"/>
      <c r="AV269" s="949"/>
      <c r="AW269" s="949"/>
      <c r="AX269" s="949"/>
      <c r="AY269" s="949"/>
      <c r="AZ269" s="949"/>
      <c r="BA269" s="949"/>
      <c r="BB269" s="949"/>
      <c r="BC269" s="949"/>
      <c r="BD269" s="949"/>
      <c r="BE269" s="2267"/>
    </row>
    <row r="270" spans="1:57">
      <c r="A270" s="1090" t="s">
        <v>500</v>
      </c>
      <c r="B270" s="73" t="s">
        <v>279</v>
      </c>
      <c r="C270" s="1085">
        <f t="shared" si="63"/>
        <v>20617.292984255655</v>
      </c>
      <c r="D270" s="1086">
        <f t="shared" si="63"/>
        <v>5.2826525044090682E-2</v>
      </c>
      <c r="E270" s="1060">
        <f t="shared" si="63"/>
        <v>0.37985561177970401</v>
      </c>
      <c r="F270" s="1060">
        <f t="shared" si="63"/>
        <v>0.48163119068534294</v>
      </c>
      <c r="G270" s="1061">
        <f t="shared" si="63"/>
        <v>23766.623796323693</v>
      </c>
      <c r="H270" s="1062">
        <f t="shared" si="63"/>
        <v>6.5814421871090864E-2</v>
      </c>
      <c r="I270" s="1063">
        <f t="shared" si="63"/>
        <v>1.8990159277875758</v>
      </c>
      <c r="J270" s="1063">
        <f t="shared" si="63"/>
        <v>2.509154465418888</v>
      </c>
      <c r="K270" s="1064">
        <f t="shared" si="63"/>
        <v>5.7229254321128114</v>
      </c>
      <c r="L270" s="1060">
        <f t="shared" si="63"/>
        <v>4.5724350121793801E-2</v>
      </c>
      <c r="M270" s="1065">
        <f t="shared" si="64"/>
        <v>6.1939465303838475</v>
      </c>
      <c r="N270" s="1066">
        <f t="shared" si="64"/>
        <v>0.7344324868237998</v>
      </c>
      <c r="O270" s="1067">
        <f t="shared" si="64"/>
        <v>0.10784712869930438</v>
      </c>
      <c r="P270" s="1068">
        <f t="shared" si="64"/>
        <v>0.74956908795771016</v>
      </c>
      <c r="Q270" s="1066">
        <f t="shared" si="64"/>
        <v>0.14726898954609682</v>
      </c>
      <c r="R270" s="1067">
        <f t="shared" si="64"/>
        <v>4.9939774449528171E-2</v>
      </c>
      <c r="S270" s="1068">
        <f t="shared" si="64"/>
        <v>0.17272839211728983</v>
      </c>
      <c r="T270" s="1066">
        <f t="shared" si="64"/>
        <v>0.18443136241749356</v>
      </c>
      <c r="U270" s="1067">
        <f t="shared" si="64"/>
        <v>-5.7258906752796622E-2</v>
      </c>
      <c r="V270" s="1068">
        <f t="shared" si="64"/>
        <v>0.198117589718218</v>
      </c>
      <c r="W270" s="1060">
        <f t="shared" si="64"/>
        <v>3.7162372871396732E-2</v>
      </c>
      <c r="X270" s="116">
        <f t="shared" si="64"/>
        <v>0.25234350412762557</v>
      </c>
      <c r="Y270" s="1069" t="str">
        <f t="shared" si="64"/>
        <v>A-</v>
      </c>
      <c r="Z270" s="1070" t="str">
        <f>VLOOKUP($B270,$B$7:$AC$28,Z$37+1,FALSE)</f>
        <v>=  =  -</v>
      </c>
      <c r="AA270" s="1064">
        <f t="shared" si="65"/>
        <v>1.0395975936863313</v>
      </c>
      <c r="AB270" s="1071">
        <f t="shared" si="65"/>
        <v>2.9438923535487854E-2</v>
      </c>
      <c r="AC270" s="1065">
        <f t="shared" si="65"/>
        <v>1.2087727199953455</v>
      </c>
      <c r="AD270" s="949"/>
      <c r="AE270" s="949"/>
      <c r="AF270" s="949"/>
      <c r="AG270" s="2129"/>
      <c r="AH270" s="949"/>
      <c r="AI270" s="949"/>
      <c r="AJ270" s="949"/>
      <c r="AK270" s="949"/>
      <c r="AL270" s="949"/>
      <c r="AM270" s="949"/>
      <c r="AN270" s="949"/>
      <c r="AO270" s="949"/>
      <c r="AP270" s="949"/>
      <c r="AQ270" s="949"/>
      <c r="AR270" s="110"/>
      <c r="AS270" s="110"/>
      <c r="AT270" s="110"/>
      <c r="AU270" s="949"/>
      <c r="AV270" s="949"/>
      <c r="AW270" s="949"/>
      <c r="AX270" s="949"/>
      <c r="AY270" s="949"/>
      <c r="AZ270" s="949"/>
      <c r="BA270" s="949"/>
      <c r="BB270" s="949"/>
      <c r="BC270" s="949"/>
      <c r="BD270" s="949"/>
      <c r="BE270" s="2267"/>
    </row>
    <row r="271" spans="1:57">
      <c r="A271" s="1090" t="s">
        <v>19</v>
      </c>
      <c r="B271" s="73" t="s">
        <v>285</v>
      </c>
      <c r="C271" s="1085">
        <f t="shared" si="63"/>
        <v>6002.7646707914537</v>
      </c>
      <c r="D271" s="1086">
        <f t="shared" si="63"/>
        <v>1.538054479108892E-2</v>
      </c>
      <c r="E271" s="1060">
        <f t="shared" si="63"/>
        <v>1.7468659495150733</v>
      </c>
      <c r="F271" s="1060">
        <f t="shared" si="63"/>
        <v>1.8486415284207123</v>
      </c>
      <c r="G271" s="1061">
        <f t="shared" si="63"/>
        <v>9571.524995540176</v>
      </c>
      <c r="H271" s="1062">
        <f t="shared" si="63"/>
        <v>2.6505421611613778E-2</v>
      </c>
      <c r="I271" s="1063">
        <f t="shared" si="63"/>
        <v>4.1497848696984878</v>
      </c>
      <c r="J271" s="1063">
        <f t="shared" si="63"/>
        <v>5.1075046454025781</v>
      </c>
      <c r="K271" s="1064">
        <f t="shared" si="63"/>
        <v>7.8090133066846761</v>
      </c>
      <c r="L271" s="1060">
        <f t="shared" si="63"/>
        <v>0.8464659845431286</v>
      </c>
      <c r="M271" s="1065">
        <f t="shared" si="64"/>
        <v>9.6719476082953495</v>
      </c>
      <c r="N271" s="1066">
        <f t="shared" si="64"/>
        <v>9.1630231095150338E-2</v>
      </c>
      <c r="O271" s="1084" t="str">
        <f t="shared" si="64"/>
        <v>¥</v>
      </c>
      <c r="P271" s="1068">
        <f t="shared" si="64"/>
        <v>0.34976819018989347</v>
      </c>
      <c r="Q271" s="1066">
        <f t="shared" si="64"/>
        <v>0.13477545507373562</v>
      </c>
      <c r="R271" s="1067">
        <f t="shared" si="64"/>
        <v>-0.4264373226073967</v>
      </c>
      <c r="S271" s="1068">
        <f t="shared" si="64"/>
        <v>9.7905485588969735E-2</v>
      </c>
      <c r="T271" s="1066">
        <f t="shared" si="64"/>
        <v>0.16024846762312819</v>
      </c>
      <c r="U271" s="1067">
        <f t="shared" si="64"/>
        <v>-0.25253039609468159</v>
      </c>
      <c r="V271" s="1068">
        <f t="shared" si="64"/>
        <v>0.12849893093161849</v>
      </c>
      <c r="W271" s="1060">
        <f t="shared" si="64"/>
        <v>2.5473012549392576E-2</v>
      </c>
      <c r="X271" s="116">
        <f t="shared" si="64"/>
        <v>0.18900335031669008</v>
      </c>
      <c r="Y271" s="1069" t="str">
        <f t="shared" si="64"/>
        <v>Not rated</v>
      </c>
      <c r="Z271" s="1070"/>
      <c r="AA271" s="1064">
        <f t="shared" si="65"/>
        <v>1.265551414722516</v>
      </c>
      <c r="AB271" s="1071">
        <f t="shared" si="65"/>
        <v>0.38040351489576829</v>
      </c>
      <c r="AC271" s="1065">
        <f t="shared" si="65"/>
        <v>1.242834927692577</v>
      </c>
      <c r="AD271" s="949"/>
      <c r="AE271" s="949"/>
      <c r="AF271" s="949"/>
      <c r="AG271" s="2129"/>
      <c r="AH271" s="949"/>
      <c r="AI271" s="949"/>
      <c r="AJ271" s="949"/>
      <c r="AK271" s="949"/>
      <c r="AL271" s="949"/>
      <c r="AM271" s="949"/>
      <c r="AN271" s="949"/>
      <c r="AO271" s="949"/>
      <c r="AP271" s="949"/>
      <c r="AQ271" s="949"/>
      <c r="AR271" s="110"/>
      <c r="AS271" s="110"/>
      <c r="AT271" s="110"/>
      <c r="AU271" s="949"/>
      <c r="AV271" s="949"/>
      <c r="AW271" s="949"/>
      <c r="AX271" s="949"/>
      <c r="AY271" s="949"/>
      <c r="AZ271" s="949"/>
      <c r="BA271" s="949"/>
      <c r="BB271" s="949"/>
      <c r="BC271" s="949"/>
      <c r="BD271" s="949"/>
      <c r="BE271" s="2267"/>
    </row>
    <row r="272" spans="1:57">
      <c r="A272" s="1090" t="s">
        <v>539</v>
      </c>
      <c r="B272" s="73" t="s">
        <v>39</v>
      </c>
      <c r="C272" s="1085">
        <f t="shared" si="63"/>
        <v>5059.5155870714543</v>
      </c>
      <c r="D272" s="1086">
        <f t="shared" si="63"/>
        <v>1.2963710952524294E-2</v>
      </c>
      <c r="E272" s="1060">
        <f t="shared" si="63"/>
        <v>-0.13366823909704381</v>
      </c>
      <c r="F272" s="1060">
        <f t="shared" si="63"/>
        <v>-3.1892660191404867E-2</v>
      </c>
      <c r="G272" s="1061">
        <f t="shared" si="63"/>
        <v>5057.8123335929276</v>
      </c>
      <c r="H272" s="1062">
        <f t="shared" si="63"/>
        <v>1.4006069920599414E-2</v>
      </c>
      <c r="I272" s="1063">
        <f t="shared" si="63"/>
        <v>1.6858649053444912</v>
      </c>
      <c r="J272" s="1063">
        <f t="shared" si="63"/>
        <v>1.7703056194544857</v>
      </c>
      <c r="K272" s="1064">
        <f t="shared" si="63"/>
        <v>6.1343182706324946</v>
      </c>
      <c r="L272" s="1060">
        <f t="shared" si="63"/>
        <v>-0.19036897853308513</v>
      </c>
      <c r="M272" s="1065">
        <f t="shared" si="64"/>
        <v>5.9052222685092017</v>
      </c>
      <c r="N272" s="1066">
        <f t="shared" si="64"/>
        <v>0.31054928118178421</v>
      </c>
      <c r="O272" s="1067">
        <f t="shared" si="64"/>
        <v>-0.11491916916279199</v>
      </c>
      <c r="P272" s="1068">
        <f t="shared" si="64"/>
        <v>0.28165979767703259</v>
      </c>
      <c r="Q272" s="1066">
        <f t="shared" si="64"/>
        <v>0.3899242463002407</v>
      </c>
      <c r="R272" s="1067">
        <f t="shared" si="64"/>
        <v>-0.1197676600756727</v>
      </c>
      <c r="S272" s="1068">
        <f t="shared" si="64"/>
        <v>0.37944762378701169</v>
      </c>
      <c r="T272" s="1066">
        <f t="shared" si="64"/>
        <v>0.45093517146474416</v>
      </c>
      <c r="U272" s="1067">
        <f t="shared" si="64"/>
        <v>-8.3572610535330494E-2</v>
      </c>
      <c r="V272" s="1068">
        <f t="shared" si="64"/>
        <v>0.43916945384982109</v>
      </c>
      <c r="W272" s="1060">
        <f t="shared" si="64"/>
        <v>6.101092516450346E-2</v>
      </c>
      <c r="X272" s="116">
        <f t="shared" si="64"/>
        <v>0.15646866216553562</v>
      </c>
      <c r="Y272" s="1069" t="str">
        <f t="shared" si="64"/>
        <v>BBB</v>
      </c>
      <c r="Z272" s="1070" t="str">
        <f t="shared" ref="Z272:Z287" si="66">VLOOKUP($B272,$B$7:$AC$28,Z$37+1,FALSE)</f>
        <v>­  = =</v>
      </c>
      <c r="AA272" s="1064">
        <f t="shared" si="65"/>
        <v>2.6587814840492587</v>
      </c>
      <c r="AB272" s="1071">
        <f t="shared" si="65"/>
        <v>-0.25803195656746131</v>
      </c>
      <c r="AC272" s="1065">
        <f t="shared" si="65"/>
        <v>2.5933932385229874</v>
      </c>
      <c r="AD272" s="949"/>
      <c r="AE272" s="949"/>
      <c r="AF272" s="949"/>
      <c r="AG272" s="2129"/>
      <c r="AH272" s="949"/>
      <c r="AI272" s="949"/>
      <c r="AJ272" s="949"/>
      <c r="AK272" s="949"/>
      <c r="AL272" s="949"/>
      <c r="AM272" s="949"/>
      <c r="AN272" s="949"/>
      <c r="AO272" s="949"/>
      <c r="AP272" s="949"/>
      <c r="AQ272" s="949"/>
      <c r="AR272" s="110"/>
      <c r="AS272" s="110"/>
      <c r="AT272" s="110"/>
      <c r="AU272" s="949"/>
      <c r="AV272" s="949"/>
      <c r="AW272" s="949"/>
      <c r="AX272" s="949"/>
      <c r="AY272" s="949"/>
      <c r="AZ272" s="949"/>
      <c r="BA272" s="949"/>
      <c r="BB272" s="949"/>
      <c r="BC272" s="949"/>
      <c r="BD272" s="949"/>
      <c r="BE272" s="2267"/>
    </row>
    <row r="273" spans="1:57">
      <c r="A273" s="1090" t="s">
        <v>498</v>
      </c>
      <c r="B273" s="73" t="s">
        <v>52</v>
      </c>
      <c r="C273" s="1085">
        <f t="shared" si="63"/>
        <v>40464.923042857146</v>
      </c>
      <c r="D273" s="1086">
        <f t="shared" si="63"/>
        <v>0.1036809862557167</v>
      </c>
      <c r="E273" s="1060">
        <f t="shared" si="63"/>
        <v>-6.1458653761923776E-2</v>
      </c>
      <c r="F273" s="1060">
        <f t="shared" si="63"/>
        <v>4.0316925143715168E-2</v>
      </c>
      <c r="G273" s="1061">
        <f t="shared" si="63"/>
        <v>39791.94</v>
      </c>
      <c r="H273" s="1062">
        <f t="shared" si="63"/>
        <v>0.1101916514803518</v>
      </c>
      <c r="I273" s="1063">
        <f t="shared" si="63"/>
        <v>1.0840589348936991</v>
      </c>
      <c r="J273" s="1063">
        <f t="shared" si="63"/>
        <v>1.2733420800000002</v>
      </c>
      <c r="K273" s="1064">
        <f t="shared" si="63"/>
        <v>4.9157277486128619</v>
      </c>
      <c r="L273" s="1060">
        <f t="shared" si="63"/>
        <v>0.1448238320606966</v>
      </c>
      <c r="M273" s="1065">
        <f t="shared" si="64"/>
        <v>5.2964626193065953</v>
      </c>
      <c r="N273" s="1066">
        <f t="shared" si="64"/>
        <v>0.61</v>
      </c>
      <c r="O273" s="1067">
        <f t="shared" si="64"/>
        <v>0</v>
      </c>
      <c r="P273" s="1068">
        <f t="shared" si="64"/>
        <v>0.62983042679437373</v>
      </c>
      <c r="Q273" s="1066">
        <f t="shared" si="64"/>
        <v>0.51528895508035288</v>
      </c>
      <c r="R273" s="1067">
        <f t="shared" si="64"/>
        <v>-2.4931247740904369E-2</v>
      </c>
      <c r="S273" s="1068">
        <f t="shared" si="64"/>
        <v>0.51939744871548044</v>
      </c>
      <c r="T273" s="1066">
        <f t="shared" si="64"/>
        <v>0.58808850315066874</v>
      </c>
      <c r="U273" s="1067">
        <f t="shared" si="64"/>
        <v>-2.8226553900756759E-2</v>
      </c>
      <c r="V273" s="1068">
        <f t="shared" si="64"/>
        <v>0.59074959904524027</v>
      </c>
      <c r="W273" s="1060">
        <f t="shared" si="64"/>
        <v>7.2799548070315856E-2</v>
      </c>
      <c r="X273" s="116">
        <f t="shared" si="64"/>
        <v>0.14127907721011346</v>
      </c>
      <c r="Y273" s="1069" t="str">
        <f t="shared" si="64"/>
        <v>BBB+</v>
      </c>
      <c r="Z273" s="1070" t="str">
        <f t="shared" si="66"/>
        <v>=  =  =</v>
      </c>
      <c r="AA273" s="1064">
        <f t="shared" si="65"/>
        <v>2.7906818261625395</v>
      </c>
      <c r="AB273" s="1071">
        <f t="shared" si="65"/>
        <v>8.5841806528642844E-2</v>
      </c>
      <c r="AC273" s="1065">
        <f t="shared" si="65"/>
        <v>2.9178287645268703</v>
      </c>
      <c r="AD273" s="949"/>
      <c r="AE273" s="949"/>
      <c r="AF273" s="949"/>
      <c r="AG273" s="2129"/>
      <c r="AH273" s="949"/>
      <c r="AI273" s="949"/>
      <c r="AJ273" s="949"/>
      <c r="AK273" s="949"/>
      <c r="AL273" s="949"/>
      <c r="AM273" s="949"/>
      <c r="AN273" s="949"/>
      <c r="AO273" s="949"/>
      <c r="AP273" s="949"/>
      <c r="AQ273" s="949"/>
      <c r="AR273" s="110"/>
      <c r="AS273" s="110"/>
      <c r="AT273" s="110"/>
      <c r="AU273" s="949"/>
      <c r="AV273" s="949"/>
      <c r="AW273" s="949"/>
      <c r="AX273" s="949"/>
      <c r="AY273" s="949"/>
      <c r="AZ273" s="949"/>
      <c r="BA273" s="949"/>
      <c r="BB273" s="949"/>
      <c r="BC273" s="949"/>
      <c r="BD273" s="949"/>
      <c r="BE273" s="2267"/>
    </row>
    <row r="274" spans="1:57">
      <c r="A274" s="1090" t="s">
        <v>502</v>
      </c>
      <c r="B274" s="73" t="s">
        <v>287</v>
      </c>
      <c r="C274" s="1085">
        <f t="shared" si="63"/>
        <v>4580.8423286191064</v>
      </c>
      <c r="D274" s="1086">
        <f t="shared" si="63"/>
        <v>1.1737233504933111E-2</v>
      </c>
      <c r="E274" s="1060">
        <f t="shared" si="63"/>
        <v>-0.49577837871365099</v>
      </c>
      <c r="F274" s="1060">
        <f t="shared" si="63"/>
        <v>-0.39400279980801206</v>
      </c>
      <c r="G274" s="1061">
        <f t="shared" si="63"/>
        <v>2322.4005110115481</v>
      </c>
      <c r="H274" s="1062">
        <f t="shared" si="63"/>
        <v>6.4311804779353665E-3</v>
      </c>
      <c r="I274" s="1063">
        <f t="shared" si="63"/>
        <v>1.4234279787340207</v>
      </c>
      <c r="J274" s="1063">
        <f t="shared" si="63"/>
        <v>0.8056764866383116</v>
      </c>
      <c r="K274" s="1064">
        <f t="shared" si="63"/>
        <v>4.3531629475873661</v>
      </c>
      <c r="L274" s="1060">
        <f t="shared" si="63"/>
        <v>-8.1025400882275472E-2</v>
      </c>
      <c r="M274" s="1065">
        <f t="shared" si="64"/>
        <v>3.4400754167452243</v>
      </c>
      <c r="N274" s="1066">
        <f t="shared" si="64"/>
        <v>0.42290073595624156</v>
      </c>
      <c r="O274" s="1067">
        <f t="shared" si="64"/>
        <v>-9.0086339251873371E-2</v>
      </c>
      <c r="P274" s="1068">
        <f t="shared" si="64"/>
        <v>0.44946685046944856</v>
      </c>
      <c r="Q274" s="1066">
        <f t="shared" si="64"/>
        <v>0.16307046534988884</v>
      </c>
      <c r="R274" s="1067">
        <f t="shared" si="64"/>
        <v>1.3005419282788433</v>
      </c>
      <c r="S274" s="1068">
        <f t="shared" si="64"/>
        <v>0.30950096360373897</v>
      </c>
      <c r="T274" s="1066">
        <f t="shared" si="64"/>
        <v>0.18570292678335293</v>
      </c>
      <c r="U274" s="1067">
        <f t="shared" si="64"/>
        <v>1.251733079461073</v>
      </c>
      <c r="V274" s="1068">
        <f t="shared" si="64"/>
        <v>0.34197601038246805</v>
      </c>
      <c r="W274" s="1060">
        <f t="shared" si="64"/>
        <v>2.2632461433464091E-2</v>
      </c>
      <c r="X274" s="116">
        <f t="shared" si="64"/>
        <v>0.13878945758144007</v>
      </c>
      <c r="Y274" s="1069" t="str">
        <f t="shared" si="64"/>
        <v>BBB</v>
      </c>
      <c r="Z274" s="1070" t="str">
        <f t="shared" si="66"/>
        <v>=  ¯ -</v>
      </c>
      <c r="AA274" s="1064">
        <f t="shared" si="65"/>
        <v>0.77886477042851432</v>
      </c>
      <c r="AB274" s="1071">
        <f t="shared" si="65"/>
        <v>1.0703005310133176</v>
      </c>
      <c r="AC274" s="1065">
        <f t="shared" si="65"/>
        <v>1.1762690733772538</v>
      </c>
      <c r="AD274" s="949"/>
      <c r="AE274" s="949"/>
      <c r="AF274" s="949"/>
      <c r="AG274" s="2129"/>
      <c r="AH274" s="949"/>
      <c r="AI274" s="949"/>
      <c r="AJ274" s="949"/>
      <c r="AK274" s="949"/>
      <c r="AL274" s="949"/>
      <c r="AM274" s="949"/>
      <c r="AN274" s="949"/>
      <c r="AO274" s="949"/>
      <c r="AP274" s="949"/>
      <c r="AQ274" s="949"/>
      <c r="AR274" s="110"/>
      <c r="AS274" s="110"/>
      <c r="AT274" s="110"/>
      <c r="AU274" s="949"/>
      <c r="AV274" s="949"/>
      <c r="AW274" s="949"/>
      <c r="AX274" s="949"/>
      <c r="AY274" s="949"/>
      <c r="AZ274" s="949"/>
      <c r="BA274" s="949"/>
      <c r="BB274" s="949"/>
      <c r="BC274" s="949"/>
      <c r="BD274" s="949"/>
      <c r="BE274" s="2267"/>
    </row>
    <row r="275" spans="1:57">
      <c r="A275" s="1090" t="s">
        <v>32</v>
      </c>
      <c r="B275" s="73" t="s">
        <v>277</v>
      </c>
      <c r="C275" s="1085">
        <f t="shared" si="63"/>
        <v>103061.53572524291</v>
      </c>
      <c r="D275" s="1086">
        <f t="shared" si="63"/>
        <v>0.26406875054982143</v>
      </c>
      <c r="E275" s="1060">
        <f t="shared" si="63"/>
        <v>7.5306160052783275E-2</v>
      </c>
      <c r="F275" s="1060">
        <f t="shared" si="63"/>
        <v>0.17708173895842222</v>
      </c>
      <c r="G275" s="1061">
        <f t="shared" si="63"/>
        <v>106720.85775234729</v>
      </c>
      <c r="H275" s="1062">
        <f t="shared" si="63"/>
        <v>0.29553089301830604</v>
      </c>
      <c r="I275" s="1063">
        <f t="shared" si="63"/>
        <v>1.0837821931217524</v>
      </c>
      <c r="J275" s="1063">
        <f t="shared" si="63"/>
        <v>1.259272460269286</v>
      </c>
      <c r="K275" s="1064">
        <f t="shared" si="63"/>
        <v>7.534246564629953</v>
      </c>
      <c r="L275" s="1060">
        <f t="shared" si="63"/>
        <v>0.12910548637067604</v>
      </c>
      <c r="M275" s="1065">
        <f t="shared" si="64"/>
        <v>8.6584668441025876</v>
      </c>
      <c r="N275" s="1066">
        <f t="shared" si="64"/>
        <v>0.91487499999999988</v>
      </c>
      <c r="O275" s="1067">
        <f t="shared" si="64"/>
        <v>-4.3736501079913587E-2</v>
      </c>
      <c r="P275" s="1068">
        <f t="shared" si="64"/>
        <v>0.89481420237931208</v>
      </c>
      <c r="Q275" s="1066">
        <f t="shared" si="64"/>
        <v>0.24509229252810941</v>
      </c>
      <c r="R275" s="1067">
        <f t="shared" si="64"/>
        <v>-0.16501821733667812</v>
      </c>
      <c r="S275" s="1068">
        <f t="shared" si="64"/>
        <v>0.23828807339295358</v>
      </c>
      <c r="T275" s="1066">
        <f t="shared" si="64"/>
        <v>0.27870192226407053</v>
      </c>
      <c r="U275" s="1067">
        <f t="shared" si="64"/>
        <v>-0.14309331637647091</v>
      </c>
      <c r="V275" s="1068">
        <f t="shared" si="64"/>
        <v>0.2718321660431175</v>
      </c>
      <c r="W275" s="1060">
        <f t="shared" si="64"/>
        <v>3.3609629735961127E-2</v>
      </c>
      <c r="X275" s="116">
        <f t="shared" si="64"/>
        <v>0.13713050455108242</v>
      </c>
      <c r="Y275" s="1069" t="str">
        <f t="shared" si="64"/>
        <v>A-</v>
      </c>
      <c r="Z275" s="1070" t="str">
        <f t="shared" si="66"/>
        <v>=  =  =</v>
      </c>
      <c r="AA275" s="1064">
        <f t="shared" si="65"/>
        <v>2.0880314655341889</v>
      </c>
      <c r="AB275" s="1071">
        <f t="shared" si="65"/>
        <v>-3.7762767487534328E-2</v>
      </c>
      <c r="AC275" s="1065">
        <f t="shared" si="65"/>
        <v>2.3348198024327131</v>
      </c>
      <c r="AD275" s="949"/>
      <c r="AE275" s="949"/>
      <c r="AF275" s="949"/>
      <c r="AG275" s="2129"/>
      <c r="AH275" s="949"/>
      <c r="AI275" s="949"/>
      <c r="AJ275" s="949"/>
      <c r="AK275" s="949"/>
      <c r="AL275" s="949"/>
      <c r="AM275" s="949"/>
      <c r="AN275" s="949"/>
      <c r="AO275" s="949"/>
      <c r="AP275" s="949"/>
      <c r="AQ275" s="949"/>
      <c r="AR275" s="110"/>
      <c r="AS275" s="110"/>
      <c r="AT275" s="110"/>
      <c r="AU275" s="949"/>
      <c r="AV275" s="949"/>
      <c r="AW275" s="949"/>
      <c r="AX275" s="949"/>
      <c r="AY275" s="949"/>
      <c r="AZ275" s="949"/>
      <c r="BA275" s="949"/>
      <c r="BB275" s="949"/>
      <c r="BC275" s="949"/>
      <c r="BD275" s="949"/>
      <c r="BE275" s="2267"/>
    </row>
    <row r="276" spans="1:57">
      <c r="A276" s="1091" t="s">
        <v>319</v>
      </c>
      <c r="B276" s="691" t="s">
        <v>750</v>
      </c>
      <c r="C276" s="1087">
        <f t="shared" ref="C276:L287" si="67">VLOOKUP($B276,$B$7:$AC$28,C$37+1,FALSE)</f>
        <v>7616.907214285714</v>
      </c>
      <c r="D276" s="1088">
        <f t="shared" si="67"/>
        <v>1.9516371039653539E-2</v>
      </c>
      <c r="E276" s="1072">
        <f t="shared" si="67"/>
        <v>-0.33365525120929096</v>
      </c>
      <c r="F276" s="1072">
        <f t="shared" si="67"/>
        <v>-0.23187967230365203</v>
      </c>
      <c r="G276" s="1073">
        <f t="shared" si="67"/>
        <v>5825.8631999999998</v>
      </c>
      <c r="H276" s="1074">
        <f t="shared" si="67"/>
        <v>1.6132952736323161E-2</v>
      </c>
      <c r="I276" s="1075">
        <f t="shared" si="67"/>
        <v>2.4107651340270966</v>
      </c>
      <c r="J276" s="1075">
        <f t="shared" si="67"/>
        <v>2.0327505931612002</v>
      </c>
      <c r="K276" s="1076">
        <f t="shared" si="67"/>
        <v>4.7469851722287064</v>
      </c>
      <c r="L276" s="1072">
        <f t="shared" si="67"/>
        <v>0.1951757211867983</v>
      </c>
      <c r="M276" s="1077">
        <f t="shared" ref="M276:Y287" si="68">VLOOKUP($B276,$B$7:$AC$28,M$37+1,FALSE)</f>
        <v>4.6619962755533297</v>
      </c>
      <c r="N276" s="1078">
        <f t="shared" si="68"/>
        <v>0.37158673775730477</v>
      </c>
      <c r="O276" s="1079">
        <f t="shared" si="68"/>
        <v>-0.1153634304384116</v>
      </c>
      <c r="P276" s="1080">
        <f t="shared" si="68"/>
        <v>0.36037883142173305</v>
      </c>
      <c r="Q276" s="1078">
        <f t="shared" si="68"/>
        <v>0.17383796150947908</v>
      </c>
      <c r="R276" s="1079">
        <f t="shared" si="68"/>
        <v>0.54445307336528614</v>
      </c>
      <c r="S276" s="1080">
        <f t="shared" si="68"/>
        <v>0.26356163003804695</v>
      </c>
      <c r="T276" s="1078">
        <f t="shared" si="68"/>
        <v>0.19702478682132593</v>
      </c>
      <c r="U276" s="1079">
        <f t="shared" si="68"/>
        <v>0.50034734616182497</v>
      </c>
      <c r="V276" s="1080">
        <f t="shared" si="68"/>
        <v>0.28756363720088318</v>
      </c>
      <c r="W276" s="1072">
        <f t="shared" si="68"/>
        <v>2.3186825311846848E-2</v>
      </c>
      <c r="X276" s="1008">
        <f t="shared" si="68"/>
        <v>0.13338182932260462</v>
      </c>
      <c r="Y276" s="1081" t="str">
        <f t="shared" si="68"/>
        <v>A</v>
      </c>
      <c r="Z276" s="1082" t="str">
        <f t="shared" si="66"/>
        <v>=  =  -</v>
      </c>
      <c r="AA276" s="1076">
        <f t="shared" si="65"/>
        <v>0.93248540191552354</v>
      </c>
      <c r="AB276" s="1083">
        <f t="shared" si="65"/>
        <v>0.78949919521054279</v>
      </c>
      <c r="AC276" s="1077">
        <f t="shared" si="65"/>
        <v>1.3109622071604587</v>
      </c>
      <c r="AD276" s="949"/>
      <c r="AE276" s="949"/>
      <c r="AF276" s="949"/>
      <c r="AG276" s="2129"/>
      <c r="AH276" s="949"/>
      <c r="AI276" s="949"/>
      <c r="AJ276" s="949"/>
      <c r="AK276" s="949"/>
      <c r="AL276" s="949"/>
      <c r="AM276" s="949"/>
      <c r="AN276" s="949"/>
      <c r="AO276" s="949"/>
      <c r="AP276" s="949"/>
      <c r="AQ276" s="949"/>
      <c r="AR276" s="110"/>
      <c r="AS276" s="110"/>
      <c r="AT276" s="110"/>
      <c r="AU276" s="949"/>
      <c r="AV276" s="949"/>
      <c r="AW276" s="949"/>
      <c r="AX276" s="949"/>
      <c r="AY276" s="949"/>
      <c r="AZ276" s="949"/>
      <c r="BA276" s="949"/>
      <c r="BB276" s="949"/>
      <c r="BC276" s="949"/>
      <c r="BD276" s="949"/>
      <c r="BE276" s="2267"/>
    </row>
    <row r="277" spans="1:57">
      <c r="A277" s="1090" t="s">
        <v>73</v>
      </c>
      <c r="B277" s="73" t="s">
        <v>283</v>
      </c>
      <c r="C277" s="1085">
        <f t="shared" si="67"/>
        <v>2461.5190857142857</v>
      </c>
      <c r="D277" s="1086">
        <f t="shared" si="67"/>
        <v>6.3070112903421734E-3</v>
      </c>
      <c r="E277" s="1060">
        <f t="shared" si="67"/>
        <v>6.738754525599433E-2</v>
      </c>
      <c r="F277" s="1060">
        <f t="shared" si="67"/>
        <v>0.16916312416163326</v>
      </c>
      <c r="G277" s="1061">
        <f t="shared" si="67"/>
        <v>2364.3629999999998</v>
      </c>
      <c r="H277" s="1062">
        <f t="shared" si="67"/>
        <v>6.5473828033777437E-3</v>
      </c>
      <c r="I277" s="1063">
        <f t="shared" si="67"/>
        <v>3.1397518024733277</v>
      </c>
      <c r="J277" s="1063">
        <f t="shared" si="67"/>
        <v>3.0995844257996854</v>
      </c>
      <c r="K277" s="1064">
        <f t="shared" si="67"/>
        <v>6.6917014692746157</v>
      </c>
      <c r="L277" s="1060">
        <f t="shared" si="67"/>
        <v>0.14721542174528052</v>
      </c>
      <c r="M277" s="1065">
        <f t="shared" si="68"/>
        <v>7.0127743881429545</v>
      </c>
      <c r="N277" s="1066">
        <f t="shared" si="68"/>
        <v>0.62657499999999999</v>
      </c>
      <c r="O277" s="1067">
        <f t="shared" si="68"/>
        <v>5.5614710459497153E-2</v>
      </c>
      <c r="P277" s="1068">
        <f t="shared" si="68"/>
        <v>0.64439999999999997</v>
      </c>
      <c r="Q277" s="1066">
        <f t="shared" si="68"/>
        <v>0.24190098439360719</v>
      </c>
      <c r="R277" s="1067">
        <f t="shared" si="68"/>
        <v>0.20667512064869559</v>
      </c>
      <c r="S277" s="1068">
        <f t="shared" si="68"/>
        <v>0.30597960586046052</v>
      </c>
      <c r="T277" s="1066">
        <f t="shared" si="68"/>
        <v>0.2616424852780464</v>
      </c>
      <c r="U277" s="1067">
        <f t="shared" si="68"/>
        <v>0.20296552626351777</v>
      </c>
      <c r="V277" s="1068">
        <f t="shared" si="68"/>
        <v>0.32061814749302248</v>
      </c>
      <c r="W277" s="1060">
        <f t="shared" si="68"/>
        <v>1.9741500884439211E-2</v>
      </c>
      <c r="X277" s="116">
        <f t="shared" si="68"/>
        <v>8.1609841042717679E-2</v>
      </c>
      <c r="Y277" s="1069" t="str">
        <f t="shared" si="68"/>
        <v>BBB</v>
      </c>
      <c r="Z277" s="1070" t="str">
        <f t="shared" si="66"/>
        <v>=  =  -</v>
      </c>
      <c r="AA277" s="1064">
        <f t="shared" si="65"/>
        <v>1.7511002028712532</v>
      </c>
      <c r="AB277" s="1071">
        <f t="shared" si="65"/>
        <v>0.37093258903528414</v>
      </c>
      <c r="AC277" s="1065">
        <f t="shared" si="65"/>
        <v>2.2311132077757287</v>
      </c>
      <c r="AD277" s="949"/>
      <c r="AE277" s="949"/>
      <c r="AF277" s="949"/>
      <c r="AG277" s="2129"/>
      <c r="AH277" s="949"/>
      <c r="AI277" s="949"/>
      <c r="AJ277" s="949"/>
      <c r="AK277" s="949"/>
      <c r="AL277" s="949"/>
      <c r="AM277" s="949"/>
      <c r="AN277" s="949"/>
      <c r="AO277" s="949"/>
      <c r="AP277" s="949"/>
      <c r="AQ277" s="949"/>
      <c r="AR277" s="110"/>
      <c r="AS277" s="110"/>
      <c r="AT277" s="110"/>
      <c r="AU277" s="949"/>
      <c r="AV277" s="949"/>
      <c r="AW277" s="949"/>
      <c r="AX277" s="949"/>
      <c r="AY277" s="949"/>
      <c r="AZ277" s="949"/>
      <c r="BA277" s="949"/>
      <c r="BB277" s="949"/>
      <c r="BC277" s="949"/>
      <c r="BD277" s="949"/>
      <c r="BE277" s="2267"/>
    </row>
    <row r="278" spans="1:57">
      <c r="A278" s="1090" t="s">
        <v>19</v>
      </c>
      <c r="B278" s="150" t="s">
        <v>286</v>
      </c>
      <c r="C278" s="1085">
        <f t="shared" si="67"/>
        <v>31174.883771428573</v>
      </c>
      <c r="D278" s="1086">
        <f t="shared" si="67"/>
        <v>7.9877643469276421E-2</v>
      </c>
      <c r="E278" s="1060">
        <f t="shared" si="67"/>
        <v>-0.49416922878378883</v>
      </c>
      <c r="F278" s="1060">
        <f t="shared" si="67"/>
        <v>-0.3923936498781499</v>
      </c>
      <c r="G278" s="1061">
        <f t="shared" si="67"/>
        <v>19124.593099999998</v>
      </c>
      <c r="H278" s="1062">
        <f t="shared" si="67"/>
        <v>5.2959732488004868E-2</v>
      </c>
      <c r="I278" s="1063">
        <f t="shared" si="67"/>
        <v>1.0546425468926217</v>
      </c>
      <c r="J278" s="1063">
        <f t="shared" si="67"/>
        <v>0.72989058468819168</v>
      </c>
      <c r="K278" s="1064">
        <f t="shared" si="67"/>
        <v>4.913128503955539</v>
      </c>
      <c r="L278" s="1060">
        <f t="shared" si="67"/>
        <v>-0.19812930900653591</v>
      </c>
      <c r="M278" s="1065">
        <f t="shared" si="68"/>
        <v>4.438539176760524</v>
      </c>
      <c r="N278" s="1066">
        <f t="shared" si="68"/>
        <v>0.60741568747204655</v>
      </c>
      <c r="O278" s="1067">
        <f t="shared" si="68"/>
        <v>4.0950219141690898E-2</v>
      </c>
      <c r="P278" s="1068">
        <f t="shared" si="68"/>
        <v>0.62738172243152124</v>
      </c>
      <c r="Q278" s="1066">
        <f t="shared" si="68"/>
        <v>0.50834561454306215</v>
      </c>
      <c r="R278" s="1067">
        <f t="shared" si="68"/>
        <v>0.27477182203191691</v>
      </c>
      <c r="S278" s="1068">
        <f t="shared" si="68"/>
        <v>0.61196382356206247</v>
      </c>
      <c r="T278" s="1066">
        <f t="shared" si="68"/>
        <v>0.54898628094174651</v>
      </c>
      <c r="U278" s="1067">
        <f t="shared" si="68"/>
        <v>0.26756473067663017</v>
      </c>
      <c r="V278" s="1068">
        <f t="shared" si="68"/>
        <v>0.65530118542007598</v>
      </c>
      <c r="W278" s="1060">
        <f t="shared" si="68"/>
        <v>4.0640666398684355E-2</v>
      </c>
      <c r="X278" s="116">
        <f t="shared" si="68"/>
        <v>7.9946920433679999E-2</v>
      </c>
      <c r="Y278" s="1069" t="str">
        <f t="shared" si="68"/>
        <v>BBB+</v>
      </c>
      <c r="Z278" s="1070" t="str">
        <f t="shared" si="66"/>
        <v>=  ¯ ¯</v>
      </c>
      <c r="AA278" s="1064">
        <f t="shared" si="65"/>
        <v>2.5321561588471506</v>
      </c>
      <c r="AB278" s="1071">
        <f t="shared" si="65"/>
        <v>1.3257606300410854E-2</v>
      </c>
      <c r="AC278" s="1065">
        <f t="shared" si="65"/>
        <v>2.8138910595815916</v>
      </c>
      <c r="AD278" s="949"/>
      <c r="AE278" s="949"/>
      <c r="AF278" s="949"/>
      <c r="AG278" s="2129"/>
      <c r="AH278" s="949"/>
      <c r="AI278" s="949"/>
      <c r="AJ278" s="949"/>
      <c r="AK278" s="949"/>
      <c r="AL278" s="949"/>
      <c r="AM278" s="949"/>
      <c r="AN278" s="949"/>
      <c r="AO278" s="949"/>
      <c r="AP278" s="949"/>
      <c r="AQ278" s="949"/>
      <c r="AR278" s="110"/>
      <c r="AS278" s="110"/>
      <c r="AT278" s="110"/>
      <c r="AU278" s="949"/>
      <c r="AV278" s="949"/>
      <c r="AW278" s="949"/>
      <c r="AX278" s="949"/>
      <c r="AY278" s="949"/>
      <c r="AZ278" s="949"/>
      <c r="BA278" s="949"/>
      <c r="BB278" s="949"/>
      <c r="BC278" s="949"/>
      <c r="BD278" s="949"/>
      <c r="BE278" s="2267"/>
    </row>
    <row r="279" spans="1:57">
      <c r="A279" s="1090" t="s">
        <v>503</v>
      </c>
      <c r="B279" s="73" t="s">
        <v>282</v>
      </c>
      <c r="C279" s="1085">
        <f t="shared" si="67"/>
        <v>22949.481858519866</v>
      </c>
      <c r="D279" s="1086">
        <f t="shared" si="67"/>
        <v>5.8802160840116385E-2</v>
      </c>
      <c r="E279" s="1060">
        <f t="shared" si="67"/>
        <v>-8.3288171902550459E-2</v>
      </c>
      <c r="F279" s="1060">
        <f t="shared" si="67"/>
        <v>1.8487407003088485E-2</v>
      </c>
      <c r="G279" s="1061">
        <f t="shared" si="67"/>
        <v>21731.57918967646</v>
      </c>
      <c r="H279" s="1062">
        <f t="shared" si="67"/>
        <v>6.0178986000343146E-2</v>
      </c>
      <c r="I279" s="1063">
        <f t="shared" si="67"/>
        <v>1.7647070716020126</v>
      </c>
      <c r="J279" s="1063">
        <f t="shared" si="67"/>
        <v>1.7786623686113903</v>
      </c>
      <c r="K279" s="1064">
        <f t="shared" si="67"/>
        <v>7.5628972253366413</v>
      </c>
      <c r="L279" s="1060">
        <f t="shared" si="67"/>
        <v>2.1076957712408067E-2</v>
      </c>
      <c r="M279" s="1065">
        <f t="shared" si="68"/>
        <v>7.6896404016441506</v>
      </c>
      <c r="N279" s="1066">
        <f t="shared" si="68"/>
        <v>0.67984865616162071</v>
      </c>
      <c r="O279" s="1067">
        <f t="shared" si="68"/>
        <v>0.13956056160252914</v>
      </c>
      <c r="P279" s="1068">
        <f t="shared" si="68"/>
        <v>0.7167630057803468</v>
      </c>
      <c r="Q279" s="1066">
        <f t="shared" si="68"/>
        <v>0.23215418017261674</v>
      </c>
      <c r="R279" s="1067">
        <f t="shared" si="68"/>
        <v>0.36187217108516367</v>
      </c>
      <c r="S279" s="1068">
        <f t="shared" si="68"/>
        <v>0.26525179681706468</v>
      </c>
      <c r="T279" s="1066">
        <f t="shared" si="68"/>
        <v>0.2501311526811702</v>
      </c>
      <c r="U279" s="1067">
        <f t="shared" si="68"/>
        <v>0.31916438327965047</v>
      </c>
      <c r="V279" s="1068">
        <f t="shared" si="68"/>
        <v>0.28287599661626001</v>
      </c>
      <c r="W279" s="1060">
        <f t="shared" si="68"/>
        <v>1.7976972508553457E-2</v>
      </c>
      <c r="X279" s="116">
        <f t="shared" si="68"/>
        <v>7.7435489187344358E-2</v>
      </c>
      <c r="Y279" s="1069" t="str">
        <f t="shared" si="68"/>
        <v>A-</v>
      </c>
      <c r="Z279" s="1070" t="str">
        <f t="shared" si="66"/>
        <v>=  =  =</v>
      </c>
      <c r="AA279" s="1064">
        <f t="shared" si="65"/>
        <v>1.845874038975184</v>
      </c>
      <c r="AB279" s="1071">
        <f t="shared" si="65"/>
        <v>0.36079457239176377</v>
      </c>
      <c r="AC279" s="1065">
        <f t="shared" si="65"/>
        <v>2.1424428051274771</v>
      </c>
      <c r="AD279" s="949"/>
      <c r="AE279" s="949"/>
      <c r="AF279" s="949"/>
      <c r="AG279" s="2129"/>
      <c r="AH279" s="949"/>
      <c r="AI279" s="949"/>
      <c r="AJ279" s="949"/>
      <c r="AK279" s="949"/>
      <c r="AL279" s="949"/>
      <c r="AM279" s="949"/>
      <c r="AN279" s="949"/>
      <c r="AO279" s="949"/>
      <c r="AP279" s="949"/>
      <c r="AQ279" s="949"/>
      <c r="AR279" s="110"/>
      <c r="AS279" s="110"/>
      <c r="AT279" s="110"/>
      <c r="AU279" s="949"/>
      <c r="AV279" s="949"/>
      <c r="AW279" s="949"/>
      <c r="AX279" s="949"/>
      <c r="AY279" s="949"/>
      <c r="AZ279" s="949"/>
      <c r="BA279" s="949"/>
      <c r="BB279" s="949"/>
      <c r="BC279" s="949"/>
      <c r="BD279" s="949"/>
      <c r="BE279" s="2267"/>
    </row>
    <row r="280" spans="1:57">
      <c r="A280" s="1090" t="s">
        <v>217</v>
      </c>
      <c r="B280" s="73" t="s">
        <v>53</v>
      </c>
      <c r="C280" s="1085">
        <f t="shared" si="67"/>
        <v>60036.853628571422</v>
      </c>
      <c r="D280" s="1086">
        <f t="shared" si="67"/>
        <v>0.15382903828354536</v>
      </c>
      <c r="E280" s="1060">
        <f t="shared" si="67"/>
        <v>-0.3618479655094986</v>
      </c>
      <c r="F280" s="1060">
        <f t="shared" si="67"/>
        <v>-0.26007238660385967</v>
      </c>
      <c r="G280" s="1061">
        <f t="shared" si="67"/>
        <v>44430.485000000001</v>
      </c>
      <c r="H280" s="1062">
        <f t="shared" si="67"/>
        <v>0.1230366882897139</v>
      </c>
      <c r="I280" s="1063">
        <f t="shared" si="67"/>
        <v>2.2644833808097031</v>
      </c>
      <c r="J280" s="1063">
        <f t="shared" si="67"/>
        <v>1.7716210773954304</v>
      </c>
      <c r="K280" s="1064">
        <f t="shared" si="67"/>
        <v>5.7304428558288603</v>
      </c>
      <c r="L280" s="1060">
        <f t="shared" si="67"/>
        <v>-7.3155042359885195E-2</v>
      </c>
      <c r="M280" s="1065">
        <f t="shared" si="68"/>
        <v>5.1937231412225326</v>
      </c>
      <c r="N280" s="1066">
        <f t="shared" si="68"/>
        <v>0.6158872479982318</v>
      </c>
      <c r="O280" s="1067">
        <f t="shared" si="68"/>
        <v>0.11044311863454735</v>
      </c>
      <c r="P280" s="1068">
        <f t="shared" si="68"/>
        <v>0.66127040038880336</v>
      </c>
      <c r="Q280" s="1066">
        <f t="shared" si="68"/>
        <v>0.48384306036910518</v>
      </c>
      <c r="R280" s="1067">
        <f t="shared" si="68"/>
        <v>0.2595878527386451</v>
      </c>
      <c r="S280" s="1068">
        <f t="shared" si="68"/>
        <v>0.54381370963962039</v>
      </c>
      <c r="T280" s="1066">
        <f t="shared" si="68"/>
        <v>0.51513010935716153</v>
      </c>
      <c r="U280" s="1067">
        <f t="shared" si="68"/>
        <v>0.26130995158024306</v>
      </c>
      <c r="V280" s="1068">
        <f t="shared" si="68"/>
        <v>0.57929804018594233</v>
      </c>
      <c r="W280" s="1060">
        <f t="shared" si="68"/>
        <v>3.1287048988056343E-2</v>
      </c>
      <c r="X280" s="116">
        <f t="shared" si="68"/>
        <v>6.4663630732222685E-2</v>
      </c>
      <c r="Y280" s="1069" t="str">
        <f t="shared" si="68"/>
        <v>BBB</v>
      </c>
      <c r="Z280" s="1070" t="str">
        <f t="shared" si="66"/>
        <v>¯  ¯ ¯</v>
      </c>
      <c r="AA280" s="1064">
        <f t="shared" si="65"/>
        <v>2.7929780820851775</v>
      </c>
      <c r="AB280" s="1071">
        <f t="shared" si="65"/>
        <v>0.12404595260605845</v>
      </c>
      <c r="AC280" s="1065">
        <f t="shared" si="65"/>
        <v>2.8353348809740444</v>
      </c>
      <c r="AD280" s="949"/>
      <c r="AE280" s="949"/>
      <c r="AF280" s="949"/>
      <c r="AG280" s="2129"/>
      <c r="AH280" s="949"/>
      <c r="AI280" s="949"/>
      <c r="AJ280" s="949"/>
      <c r="AK280" s="949"/>
      <c r="AL280" s="949"/>
      <c r="AM280" s="949"/>
      <c r="AN280" s="949"/>
      <c r="AO280" s="949"/>
      <c r="AP280" s="949"/>
      <c r="AQ280" s="949"/>
      <c r="AR280" s="110"/>
      <c r="AS280" s="110"/>
      <c r="AT280" s="110"/>
      <c r="AU280" s="949"/>
      <c r="AV280" s="949"/>
      <c r="AW280" s="949"/>
      <c r="AX280" s="949"/>
      <c r="AY280" s="949"/>
      <c r="AZ280" s="949"/>
      <c r="BA280" s="949"/>
      <c r="BB280" s="949"/>
      <c r="BC280" s="949"/>
      <c r="BD280" s="949"/>
      <c r="BE280" s="2267"/>
    </row>
    <row r="281" spans="1:57">
      <c r="A281" s="1090" t="s">
        <v>501</v>
      </c>
      <c r="B281" s="73" t="s">
        <v>44</v>
      </c>
      <c r="C281" s="1085">
        <f t="shared" si="67"/>
        <v>12234.494271428572</v>
      </c>
      <c r="D281" s="1086">
        <f t="shared" si="67"/>
        <v>3.1347753486597643E-2</v>
      </c>
      <c r="E281" s="1060">
        <f t="shared" si="67"/>
        <v>-0.59766521701552</v>
      </c>
      <c r="F281" s="1060">
        <f t="shared" si="67"/>
        <v>-0.49588963810988107</v>
      </c>
      <c r="G281" s="1061">
        <f t="shared" si="67"/>
        <v>6819.5967000000001</v>
      </c>
      <c r="H281" s="1062">
        <f t="shared" si="67"/>
        <v>1.8884794830384175E-2</v>
      </c>
      <c r="I281" s="1063">
        <f t="shared" si="67"/>
        <v>3.9295455833111754</v>
      </c>
      <c r="J281" s="1063">
        <f t="shared" si="67"/>
        <v>1.2175677021960365</v>
      </c>
      <c r="K281" s="1064">
        <f t="shared" si="67"/>
        <v>5.0345645887817243</v>
      </c>
      <c r="L281" s="1060">
        <f t="shared" si="67"/>
        <v>-0.26680842971581226</v>
      </c>
      <c r="M281" s="1065">
        <f t="shared" si="68"/>
        <v>4.0325018858098245</v>
      </c>
      <c r="N281" s="1066">
        <f t="shared" si="68"/>
        <v>0.5805147103617575</v>
      </c>
      <c r="O281" s="1067">
        <f t="shared" si="68"/>
        <v>8.4948466413752491E-2</v>
      </c>
      <c r="P281" s="1068">
        <f t="shared" si="68"/>
        <v>0.6264024463118032</v>
      </c>
      <c r="Q281" s="1066">
        <f t="shared" si="68"/>
        <v>0.51826084585195908</v>
      </c>
      <c r="R281" s="1067">
        <f t="shared" si="68"/>
        <v>0.40005999871326348</v>
      </c>
      <c r="S281" s="1068">
        <f t="shared" si="68"/>
        <v>0.58973938770950263</v>
      </c>
      <c r="T281" s="1066">
        <f t="shared" si="68"/>
        <v>0.5495689942142129</v>
      </c>
      <c r="U281" s="1067">
        <f t="shared" si="68"/>
        <v>0.40637993517884302</v>
      </c>
      <c r="V281" s="1068">
        <f t="shared" si="68"/>
        <v>0.63323863537070213</v>
      </c>
      <c r="W281" s="1060">
        <f t="shared" si="68"/>
        <v>3.1308148362253818E-2</v>
      </c>
      <c r="X281" s="116">
        <f t="shared" si="68"/>
        <v>6.0410020577161203E-2</v>
      </c>
      <c r="Y281" s="1069" t="str">
        <f t="shared" si="68"/>
        <v>BBB-</v>
      </c>
      <c r="Z281" s="1070" t="str">
        <f t="shared" si="66"/>
        <v>=  ¯ =</v>
      </c>
      <c r="AA281" s="1064">
        <f t="shared" si="65"/>
        <v>2.643581803383519</v>
      </c>
      <c r="AB281" s="1071">
        <f t="shared" si="65"/>
        <v>2.8580691559688957E-2</v>
      </c>
      <c r="AC281" s="1065">
        <f t="shared" si="65"/>
        <v>2.5466878830879209</v>
      </c>
      <c r="AD281" s="949"/>
      <c r="AE281" s="949"/>
      <c r="AF281" s="949"/>
      <c r="AG281" s="2129"/>
      <c r="AH281" s="949"/>
      <c r="AI281" s="949"/>
      <c r="AJ281" s="949"/>
      <c r="AK281" s="949"/>
      <c r="AL281" s="949"/>
      <c r="AM281" s="949"/>
      <c r="AN281" s="949"/>
      <c r="AO281" s="949"/>
      <c r="AP281" s="949"/>
      <c r="AQ281" s="949"/>
      <c r="AR281" s="110"/>
      <c r="AS281" s="110"/>
      <c r="AT281" s="110"/>
      <c r="AU281" s="949"/>
      <c r="AV281" s="949"/>
      <c r="AW281" s="949"/>
      <c r="AX281" s="949"/>
      <c r="AY281" s="949"/>
      <c r="AZ281" s="949"/>
      <c r="BA281" s="949"/>
      <c r="BB281" s="949"/>
      <c r="BC281" s="949"/>
      <c r="BD281" s="949"/>
      <c r="BE281" s="2267"/>
    </row>
    <row r="282" spans="1:57">
      <c r="A282" s="1090" t="s">
        <v>504</v>
      </c>
      <c r="B282" s="73" t="s">
        <v>288</v>
      </c>
      <c r="C282" s="1085">
        <f t="shared" si="67"/>
        <v>16250.837973523972</v>
      </c>
      <c r="D282" s="1086">
        <f t="shared" si="67"/>
        <v>4.1638604052015776E-2</v>
      </c>
      <c r="E282" s="1060">
        <f t="shared" si="67"/>
        <v>0.20894195471198634</v>
      </c>
      <c r="F282" s="1060">
        <f t="shared" si="67"/>
        <v>0.31071753361762527</v>
      </c>
      <c r="G282" s="1061">
        <f t="shared" si="67"/>
        <v>17428.290742138299</v>
      </c>
      <c r="H282" s="1062">
        <f t="shared" si="67"/>
        <v>4.826234004564605E-2</v>
      </c>
      <c r="I282" s="1063">
        <f t="shared" si="67"/>
        <v>4.0995220850209826</v>
      </c>
      <c r="J282" s="1063">
        <f t="shared" si="67"/>
        <v>4.5731712273212377</v>
      </c>
      <c r="K282" s="1064">
        <f t="shared" si="67"/>
        <v>6.7450557383311427</v>
      </c>
      <c r="L282" s="1060">
        <f t="shared" si="67"/>
        <v>0.2149868566781509</v>
      </c>
      <c r="M282" s="1065">
        <f t="shared" si="68"/>
        <v>7.5822149145373468</v>
      </c>
      <c r="N282" s="1066">
        <f t="shared" si="68"/>
        <v>0.32615050588405037</v>
      </c>
      <c r="O282" s="1067">
        <f t="shared" si="68"/>
        <v>-8.7660674172335792E-2</v>
      </c>
      <c r="P282" s="1068">
        <f t="shared" si="68"/>
        <v>0.30985103942866765</v>
      </c>
      <c r="Q282" s="1066">
        <f t="shared" si="68"/>
        <v>0.30558583418722468</v>
      </c>
      <c r="R282" s="1067">
        <f t="shared" si="68"/>
        <v>-0.13620468181810452</v>
      </c>
      <c r="S282" s="1068">
        <f t="shared" si="68"/>
        <v>0.29018390059321952</v>
      </c>
      <c r="T282" s="1066">
        <f t="shared" si="68"/>
        <v>0.31922230141848357</v>
      </c>
      <c r="U282" s="1067">
        <f t="shared" si="68"/>
        <v>-0.13496032758973828</v>
      </c>
      <c r="V282" s="1068">
        <f t="shared" si="68"/>
        <v>0.30362227391248225</v>
      </c>
      <c r="W282" s="1060">
        <f t="shared" si="68"/>
        <v>1.3636467231258886E-2</v>
      </c>
      <c r="X282" s="116">
        <f t="shared" si="68"/>
        <v>4.4624016252350789E-2</v>
      </c>
      <c r="Y282" s="1069" t="str">
        <f t="shared" si="68"/>
        <v>A</v>
      </c>
      <c r="Z282" s="1070" t="str">
        <f t="shared" si="66"/>
        <v>=  =  -</v>
      </c>
      <c r="AA282" s="1064">
        <f t="shared" si="65"/>
        <v>2.1579177629636748</v>
      </c>
      <c r="AB282" s="1071">
        <f t="shared" si="65"/>
        <v>6.0078851309961184E-2</v>
      </c>
      <c r="AC282" s="1065">
        <f t="shared" si="65"/>
        <v>2.3009327536910358</v>
      </c>
      <c r="AD282" s="949"/>
      <c r="AE282" s="949"/>
      <c r="AF282" s="949"/>
      <c r="AG282" s="2129"/>
      <c r="AH282" s="949"/>
      <c r="AI282" s="949"/>
      <c r="AJ282" s="949"/>
      <c r="AK282" s="949"/>
      <c r="AL282" s="949"/>
      <c r="AM282" s="949"/>
      <c r="AN282" s="949"/>
      <c r="AO282" s="949"/>
      <c r="AP282" s="949"/>
      <c r="AQ282" s="949"/>
      <c r="AR282" s="110"/>
      <c r="AS282" s="110"/>
      <c r="AT282" s="110"/>
      <c r="AU282" s="949"/>
      <c r="AV282" s="949"/>
      <c r="AW282" s="949"/>
      <c r="AX282" s="949"/>
      <c r="AY282" s="949"/>
      <c r="AZ282" s="949"/>
      <c r="BA282" s="949"/>
      <c r="BB282" s="949"/>
      <c r="BC282" s="949"/>
      <c r="BD282" s="949"/>
      <c r="BE282" s="2267"/>
    </row>
    <row r="283" spans="1:57">
      <c r="A283" s="1090" t="s">
        <v>374</v>
      </c>
      <c r="B283" s="73" t="s">
        <v>42</v>
      </c>
      <c r="C283" s="1085">
        <f t="shared" si="67"/>
        <v>2432.5463571428577</v>
      </c>
      <c r="D283" s="1086">
        <f t="shared" si="67"/>
        <v>6.2327761047315808E-3</v>
      </c>
      <c r="E283" s="1060">
        <f t="shared" si="67"/>
        <v>-3.2258071946582277E-2</v>
      </c>
      <c r="F283" s="1060">
        <f t="shared" si="67"/>
        <v>6.9517506959056674E-2</v>
      </c>
      <c r="G283" s="1061">
        <f t="shared" si="67"/>
        <v>2940.9023000000002</v>
      </c>
      <c r="H283" s="1062">
        <f t="shared" si="67"/>
        <v>8.143932697912316E-3</v>
      </c>
      <c r="I283" s="1063">
        <f t="shared" si="67"/>
        <v>1.2689619717468461</v>
      </c>
      <c r="J283" s="1063">
        <f t="shared" si="67"/>
        <v>1.312316956715752</v>
      </c>
      <c r="K283" s="1064">
        <f t="shared" si="67"/>
        <v>3.8459062845563983</v>
      </c>
      <c r="L283" s="1060">
        <f t="shared" si="67"/>
        <v>3.4291324439135469E-2</v>
      </c>
      <c r="M283" s="1065">
        <f t="shared" si="68"/>
        <v>3.7439277362047823</v>
      </c>
      <c r="N283" s="1066">
        <f t="shared" si="68"/>
        <v>0.56323171407839789</v>
      </c>
      <c r="O283" s="1067">
        <f t="shared" si="68"/>
        <v>-0.12023286586287618</v>
      </c>
      <c r="P283" s="1068">
        <f t="shared" si="68"/>
        <v>0.53987730061349704</v>
      </c>
      <c r="Q283" s="1066">
        <f t="shared" si="68"/>
        <v>0.60887331285954671</v>
      </c>
      <c r="R283" s="1067">
        <f t="shared" si="68"/>
        <v>-0.37303497156800469</v>
      </c>
      <c r="S283" s="1068">
        <f t="shared" si="68"/>
        <v>0.37659759063604481</v>
      </c>
      <c r="T283" s="1066">
        <f t="shared" si="68"/>
        <v>0.63388271448107447</v>
      </c>
      <c r="U283" s="1067">
        <f t="shared" si="68"/>
        <v>-0.25869992498286548</v>
      </c>
      <c r="V283" s="1068">
        <f t="shared" si="68"/>
        <v>0.44527495080222473</v>
      </c>
      <c r="W283" s="1060">
        <f t="shared" si="68"/>
        <v>2.500940162152776E-2</v>
      </c>
      <c r="X283" s="116">
        <f t="shared" si="68"/>
        <v>4.1074885519406669E-2</v>
      </c>
      <c r="Y283" s="1069" t="str">
        <f t="shared" si="68"/>
        <v>B-</v>
      </c>
      <c r="Z283" s="1070" t="str">
        <f t="shared" si="66"/>
        <v>=  =  -</v>
      </c>
      <c r="AA283" s="1064">
        <f t="shared" si="65"/>
        <v>2.172629043332774</v>
      </c>
      <c r="AB283" s="1071">
        <f t="shared" si="65"/>
        <v>-0.22035736928264804</v>
      </c>
      <c r="AC283" s="1065">
        <f t="shared" si="65"/>
        <v>1.5517268924243866</v>
      </c>
      <c r="AD283" s="949"/>
      <c r="AE283" s="949"/>
      <c r="AF283" s="949"/>
      <c r="AG283" s="2129"/>
      <c r="AH283" s="949"/>
      <c r="AI283" s="949"/>
      <c r="AJ283" s="949"/>
      <c r="AK283" s="949"/>
      <c r="AL283" s="949"/>
      <c r="AM283" s="949"/>
      <c r="AN283" s="949"/>
      <c r="AO283" s="949"/>
      <c r="AP283" s="949"/>
      <c r="AQ283" s="949"/>
      <c r="AR283" s="110"/>
      <c r="AS283" s="110"/>
      <c r="AT283" s="110"/>
      <c r="AU283" s="949"/>
      <c r="AV283" s="949"/>
      <c r="AW283" s="949"/>
      <c r="AX283" s="949"/>
      <c r="AY283" s="949"/>
      <c r="AZ283" s="949"/>
      <c r="BA283" s="949"/>
      <c r="BB283" s="949"/>
      <c r="BC283" s="949"/>
      <c r="BD283" s="949"/>
      <c r="BE283" s="2267"/>
    </row>
    <row r="284" spans="1:57">
      <c r="A284" s="1090" t="s">
        <v>27</v>
      </c>
      <c r="B284" s="73" t="s">
        <v>54</v>
      </c>
      <c r="C284" s="1085">
        <f t="shared" si="67"/>
        <v>4745.1447857142857</v>
      </c>
      <c r="D284" s="1086">
        <f t="shared" si="67"/>
        <v>1.2158216408516635E-2</v>
      </c>
      <c r="E284" s="1060">
        <f t="shared" si="67"/>
        <v>-0.63447330491761056</v>
      </c>
      <c r="F284" s="1060">
        <f t="shared" si="67"/>
        <v>-0.53269772601197163</v>
      </c>
      <c r="G284" s="1061">
        <f t="shared" si="67"/>
        <v>2680.5724</v>
      </c>
      <c r="H284" s="1062">
        <f t="shared" si="67"/>
        <v>7.4230283738025878E-3</v>
      </c>
      <c r="I284" s="1063">
        <f t="shared" si="67"/>
        <v>1.3569881249181368</v>
      </c>
      <c r="J284" s="1063">
        <f t="shared" si="67"/>
        <v>1.0332545966156574</v>
      </c>
      <c r="K284" s="1064">
        <f t="shared" si="67"/>
        <v>6.3422811159545107</v>
      </c>
      <c r="L284" s="1060">
        <f t="shared" si="67"/>
        <v>-0.24924595564935845</v>
      </c>
      <c r="M284" s="1065">
        <f t="shared" si="68"/>
        <v>5.3369406950798908</v>
      </c>
      <c r="N284" s="1066">
        <f t="shared" si="68"/>
        <v>0.48460704112825509</v>
      </c>
      <c r="O284" s="1067">
        <f t="shared" si="68"/>
        <v>-0.18079580514885477</v>
      </c>
      <c r="P284" s="1068">
        <f t="shared" si="68"/>
        <v>0.49497857034449522</v>
      </c>
      <c r="Q284" s="1066">
        <f t="shared" si="68"/>
        <v>0.56717095077467305</v>
      </c>
      <c r="R284" s="1067">
        <f t="shared" si="68"/>
        <v>0.64731222518720821</v>
      </c>
      <c r="S284" s="1068">
        <f t="shared" si="68"/>
        <v>0.74754623070756221</v>
      </c>
      <c r="T284" s="1066">
        <f t="shared" si="68"/>
        <v>0.5748403529709204</v>
      </c>
      <c r="U284" s="1067">
        <f t="shared" si="68"/>
        <v>0.5906099669472562</v>
      </c>
      <c r="V284" s="1068">
        <f t="shared" si="68"/>
        <v>0.7506672643344422</v>
      </c>
      <c r="W284" s="1060">
        <f t="shared" si="68"/>
        <v>7.6694021962473435E-3</v>
      </c>
      <c r="X284" s="116">
        <f t="shared" si="68"/>
        <v>1.3522205581530675E-2</v>
      </c>
      <c r="Y284" s="1069" t="str">
        <f t="shared" si="68"/>
        <v>BBB-</v>
      </c>
      <c r="Z284" s="1070" t="str">
        <f t="shared" si="66"/>
        <v>¯  ¯ ¯</v>
      </c>
      <c r="AA284" s="1064">
        <f t="shared" si="65"/>
        <v>3.4278891827637503</v>
      </c>
      <c r="AB284" s="1071">
        <f t="shared" si="65"/>
        <v>0.24423537898737996</v>
      </c>
      <c r="AC284" s="1065">
        <f t="shared" si="65"/>
        <v>3.8230610288109381</v>
      </c>
      <c r="AD284" s="949"/>
      <c r="AE284" s="949"/>
      <c r="AF284" s="949"/>
      <c r="AG284" s="2129"/>
      <c r="AH284" s="949"/>
      <c r="AI284" s="949"/>
      <c r="AJ284" s="949"/>
      <c r="AK284" s="949"/>
      <c r="AL284" s="949"/>
      <c r="AM284" s="949"/>
      <c r="AN284" s="949"/>
      <c r="AO284" s="949"/>
      <c r="AP284" s="949"/>
      <c r="AQ284" s="949"/>
      <c r="AR284" s="110"/>
      <c r="AS284" s="110"/>
      <c r="AT284" s="110"/>
      <c r="AU284" s="949"/>
      <c r="AV284" s="949"/>
      <c r="AW284" s="949"/>
      <c r="AX284" s="949"/>
      <c r="AY284" s="949"/>
      <c r="AZ284" s="949"/>
      <c r="BA284" s="949"/>
      <c r="BB284" s="949"/>
      <c r="BC284" s="949"/>
      <c r="BD284" s="949"/>
      <c r="BE284" s="2267"/>
    </row>
    <row r="285" spans="1:57">
      <c r="A285" s="1090" t="s">
        <v>385</v>
      </c>
      <c r="B285" s="73" t="s">
        <v>276</v>
      </c>
      <c r="C285" s="1085">
        <f t="shared" si="67"/>
        <v>3544.0522571428578</v>
      </c>
      <c r="D285" s="1086">
        <f t="shared" si="67"/>
        <v>9.0807248780183369E-3</v>
      </c>
      <c r="E285" s="1060">
        <f t="shared" si="67"/>
        <v>-0.4675424361384804</v>
      </c>
      <c r="F285" s="1060">
        <f t="shared" si="67"/>
        <v>-0.36576685723284147</v>
      </c>
      <c r="G285" s="1061">
        <f t="shared" si="67"/>
        <v>2152.6311000000001</v>
      </c>
      <c r="H285" s="1062">
        <f t="shared" si="67"/>
        <v>5.9610558303255963E-3</v>
      </c>
      <c r="I285" s="1063">
        <f t="shared" si="67"/>
        <v>3.4941691326062152</v>
      </c>
      <c r="J285" s="1063">
        <f t="shared" si="67"/>
        <v>2.2961398399999999</v>
      </c>
      <c r="K285" s="1064">
        <f t="shared" si="67"/>
        <v>4.4246190982470868</v>
      </c>
      <c r="L285" s="1060">
        <f t="shared" si="67"/>
        <v>-2.9835823683801648E-2</v>
      </c>
      <c r="M285" s="1065">
        <f t="shared" si="68"/>
        <v>4.0530525032062261</v>
      </c>
      <c r="N285" s="1066">
        <f t="shared" si="68"/>
        <v>0.60910298289809772</v>
      </c>
      <c r="O285" s="1067">
        <f t="shared" si="68"/>
        <v>-5.2071170724915891E-2</v>
      </c>
      <c r="P285" s="1068">
        <f t="shared" si="68"/>
        <v>0.6207941242005639</v>
      </c>
      <c r="Q285" s="1066">
        <f t="shared" si="68"/>
        <v>0.49050145598877937</v>
      </c>
      <c r="R285" s="1067">
        <f t="shared" si="68"/>
        <v>0.42102559519407173</v>
      </c>
      <c r="S285" s="1068">
        <f t="shared" si="68"/>
        <v>0.61744816018521742</v>
      </c>
      <c r="T285" s="1066">
        <f t="shared" si="68"/>
        <v>0.49698573886957192</v>
      </c>
      <c r="U285" s="1067">
        <f t="shared" si="68"/>
        <v>0.41032171167013903</v>
      </c>
      <c r="V285" s="1068">
        <f t="shared" si="68"/>
        <v>0.62319136029119382</v>
      </c>
      <c r="W285" s="1060">
        <f t="shared" si="68"/>
        <v>6.4842828807925579E-3</v>
      </c>
      <c r="X285" s="116">
        <f t="shared" si="68"/>
        <v>1.3219701596443154E-2</v>
      </c>
      <c r="Y285" s="1069" t="str">
        <f t="shared" si="68"/>
        <v>BBB</v>
      </c>
      <c r="Z285" s="1070" t="str">
        <f t="shared" si="66"/>
        <v>=  ¯ -</v>
      </c>
      <c r="AA285" s="1064">
        <f t="shared" si="65"/>
        <v>2.1902281092407181</v>
      </c>
      <c r="AB285" s="1071">
        <f t="shared" si="65"/>
        <v>0.36844726500440206</v>
      </c>
      <c r="AC285" s="1065">
        <f t="shared" si="65"/>
        <v>2.5252968522290931</v>
      </c>
      <c r="AD285" s="949"/>
      <c r="AE285" s="949"/>
      <c r="AF285" s="949"/>
      <c r="AG285" s="2129"/>
      <c r="AH285" s="949"/>
      <c r="AI285" s="949"/>
      <c r="AJ285" s="949"/>
      <c r="AK285" s="949"/>
      <c r="AL285" s="949"/>
      <c r="AM285" s="949"/>
      <c r="AN285" s="949"/>
      <c r="AO285" s="949"/>
      <c r="AP285" s="949"/>
      <c r="AQ285" s="949"/>
      <c r="AR285" s="110"/>
      <c r="AS285" s="110"/>
      <c r="AT285" s="110"/>
      <c r="AU285" s="949"/>
      <c r="AV285" s="949"/>
      <c r="AW285" s="949"/>
      <c r="AX285" s="949"/>
      <c r="AY285" s="949"/>
      <c r="AZ285" s="949"/>
      <c r="BA285" s="949"/>
      <c r="BB285" s="949"/>
      <c r="BC285" s="949"/>
      <c r="BD285" s="949"/>
      <c r="BE285" s="2267"/>
    </row>
    <row r="286" spans="1:57">
      <c r="A286" s="1090" t="s">
        <v>499</v>
      </c>
      <c r="B286" s="73" t="s">
        <v>284</v>
      </c>
      <c r="C286" s="1085">
        <f t="shared" si="67"/>
        <v>15596.516285714286</v>
      </c>
      <c r="D286" s="1086">
        <f t="shared" si="67"/>
        <v>3.9962072557101963E-2</v>
      </c>
      <c r="E286" s="1060">
        <f t="shared" si="67"/>
        <v>-0.41209116095583281</v>
      </c>
      <c r="F286" s="1060">
        <f t="shared" si="67"/>
        <v>-0.31031558205019388</v>
      </c>
      <c r="G286" s="1061">
        <f t="shared" si="67"/>
        <v>10295.917100000001</v>
      </c>
      <c r="H286" s="1062">
        <f t="shared" si="67"/>
        <v>2.8511404790864545E-2</v>
      </c>
      <c r="I286" s="1063">
        <f t="shared" si="67"/>
        <v>0.58081043687158529</v>
      </c>
      <c r="J286" s="1063">
        <f t="shared" si="67"/>
        <v>0.5027794267018264</v>
      </c>
      <c r="K286" s="1064">
        <f t="shared" si="67"/>
        <v>4.6475023511824993</v>
      </c>
      <c r="L286" s="1060">
        <f t="shared" si="67"/>
        <v>-0.18379111287045302</v>
      </c>
      <c r="M286" s="1065">
        <f t="shared" si="68"/>
        <v>4.0606354500113753</v>
      </c>
      <c r="N286" s="1066">
        <f t="shared" si="68"/>
        <v>0.34534166666666666</v>
      </c>
      <c r="O286" s="1067">
        <f t="shared" si="68"/>
        <v>-5.4500069338510607E-2</v>
      </c>
      <c r="P286" s="1068">
        <f t="shared" si="68"/>
        <v>0.3626280111015483</v>
      </c>
      <c r="Q286" s="1066">
        <f t="shared" si="68"/>
        <v>0.67997702229572432</v>
      </c>
      <c r="R286" s="1067">
        <f t="shared" si="68"/>
        <v>0.10658020511075152</v>
      </c>
      <c r="S286" s="1068">
        <f t="shared" si="68"/>
        <v>0.75270955685414354</v>
      </c>
      <c r="T286" s="1066">
        <f t="shared" si="68"/>
        <v>0.68457317243488636</v>
      </c>
      <c r="U286" s="1067">
        <f t="shared" si="68"/>
        <v>0.10522314957078965</v>
      </c>
      <c r="V286" s="1068">
        <f t="shared" si="68"/>
        <v>0.75672107111582532</v>
      </c>
      <c r="W286" s="1060">
        <f t="shared" si="68"/>
        <v>4.5961501391620363E-3</v>
      </c>
      <c r="X286" s="116">
        <f t="shared" si="68"/>
        <v>6.7592727231349809E-3</v>
      </c>
      <c r="Y286" s="1069" t="str">
        <f t="shared" si="68"/>
        <v>BBB-</v>
      </c>
      <c r="Z286" s="1070" t="str">
        <f t="shared" si="66"/>
        <v>=  ¯ ¯</v>
      </c>
      <c r="AA286" s="1064">
        <f t="shared" si="65"/>
        <v>2.9152503149286035</v>
      </c>
      <c r="AB286" s="1071">
        <f t="shared" si="65"/>
        <v>-0.14664752669478531</v>
      </c>
      <c r="AC286" s="1065">
        <f t="shared" si="65"/>
        <v>2.8370691340232916</v>
      </c>
      <c r="AD286" s="949"/>
      <c r="AE286" s="949"/>
      <c r="AF286" s="949"/>
      <c r="AG286" s="2129"/>
      <c r="AH286" s="949"/>
      <c r="AI286" s="949"/>
      <c r="AJ286" s="949"/>
      <c r="AK286" s="949"/>
      <c r="AL286" s="949"/>
      <c r="AM286" s="949"/>
      <c r="AN286" s="949"/>
      <c r="AO286" s="949"/>
      <c r="AP286" s="949"/>
      <c r="AQ286" s="949"/>
      <c r="AR286" s="110"/>
      <c r="AS286" s="110"/>
      <c r="AT286" s="110"/>
      <c r="AU286" s="949"/>
      <c r="AV286" s="949"/>
      <c r="AW286" s="949"/>
      <c r="AX286" s="949"/>
      <c r="AY286" s="949"/>
      <c r="AZ286" s="949"/>
      <c r="BA286" s="949"/>
      <c r="BB286" s="949"/>
      <c r="BC286" s="949"/>
      <c r="BD286" s="949"/>
      <c r="BE286" s="2267"/>
    </row>
    <row r="287" spans="1:57">
      <c r="A287" s="1091" t="s">
        <v>319</v>
      </c>
      <c r="B287" s="691" t="s">
        <v>752</v>
      </c>
      <c r="C287" s="1087">
        <f t="shared" si="67"/>
        <v>3541.6238999999996</v>
      </c>
      <c r="D287" s="1088">
        <f t="shared" si="67"/>
        <v>9.0745028357006995E-3</v>
      </c>
      <c r="E287" s="1072">
        <f t="shared" si="67"/>
        <v>0.67327297771392325</v>
      </c>
      <c r="F287" s="1072">
        <f t="shared" si="67"/>
        <v>0.77504855661956218</v>
      </c>
      <c r="G287" s="1073">
        <f t="shared" si="67"/>
        <v>4048.9897999999998</v>
      </c>
      <c r="H287" s="1074">
        <f t="shared" si="67"/>
        <v>1.1212443346293226E-2</v>
      </c>
      <c r="I287" s="1075">
        <f t="shared" si="67"/>
        <v>-1.4186196832586249</v>
      </c>
      <c r="J287" s="1075">
        <f t="shared" si="67"/>
        <v>-2.7147098893731143</v>
      </c>
      <c r="K287" s="1076">
        <f t="shared" si="67"/>
        <v>8.5213348378460623</v>
      </c>
      <c r="L287" s="1072">
        <f t="shared" si="67"/>
        <v>0.26215680659638446</v>
      </c>
      <c r="M287" s="1077">
        <f t="shared" si="68"/>
        <v>9.0506669895995948</v>
      </c>
      <c r="N287" s="1072">
        <f t="shared" si="68"/>
        <v>6.4385445236561381E-2</v>
      </c>
      <c r="O287" s="1079">
        <f t="shared" si="68"/>
        <v>14.697799124913645</v>
      </c>
      <c r="P287" s="1080">
        <f t="shared" si="68"/>
        <v>0.15462918080465343</v>
      </c>
      <c r="Q287" s="1078">
        <f t="shared" si="68"/>
        <v>0.42399287000325037</v>
      </c>
      <c r="R287" s="1079">
        <f t="shared" si="68"/>
        <v>4.5742782667206161E-2</v>
      </c>
      <c r="S287" s="1080">
        <f t="shared" si="68"/>
        <v>0.48144640266975475</v>
      </c>
      <c r="T287" s="1078">
        <f t="shared" si="68"/>
        <v>0.42695023434228802</v>
      </c>
      <c r="U287" s="1079">
        <f t="shared" si="68"/>
        <v>4.1366838913311048E-2</v>
      </c>
      <c r="V287" s="1080">
        <f t="shared" si="68"/>
        <v>0.4832654138496531</v>
      </c>
      <c r="W287" s="1072">
        <f t="shared" si="68"/>
        <v>2.9573643390376492E-3</v>
      </c>
      <c r="X287" s="1008">
        <f t="shared" si="68"/>
        <v>6.9750331863245195E-3</v>
      </c>
      <c r="Y287" s="1081" t="str">
        <f t="shared" si="68"/>
        <v>B+</v>
      </c>
      <c r="Z287" s="1082" t="str">
        <f t="shared" si="66"/>
        <v>=  =  =</v>
      </c>
      <c r="AA287" s="1076">
        <f t="shared" si="65"/>
        <v>3.7014756930154613</v>
      </c>
      <c r="AB287" s="1083">
        <f t="shared" si="65"/>
        <v>0.31334582285320112</v>
      </c>
      <c r="AC287" s="1077">
        <f t="shared" si="65"/>
        <v>4.3704719780651446</v>
      </c>
      <c r="AD287" s="949"/>
      <c r="AE287" s="949"/>
      <c r="AF287" s="949"/>
      <c r="AG287" s="2129"/>
      <c r="AH287" s="949"/>
      <c r="AI287" s="949"/>
      <c r="AJ287" s="949"/>
      <c r="AK287" s="949"/>
      <c r="AL287" s="949"/>
      <c r="AM287" s="949"/>
      <c r="AN287" s="949"/>
      <c r="AO287" s="949"/>
      <c r="AP287" s="949"/>
      <c r="AQ287" s="949"/>
      <c r="AR287" s="110"/>
      <c r="AS287" s="110"/>
      <c r="AT287" s="110"/>
      <c r="AU287" s="949"/>
      <c r="AV287" s="949"/>
      <c r="AW287" s="949"/>
      <c r="AX287" s="949"/>
      <c r="AY287" s="949"/>
      <c r="AZ287" s="949"/>
      <c r="BA287" s="949"/>
      <c r="BB287" s="949"/>
      <c r="BC287" s="949"/>
      <c r="BD287" s="949"/>
      <c r="BE287" s="2267"/>
    </row>
    <row r="288" spans="1:57">
      <c r="A288" s="1090"/>
      <c r="B288" s="949"/>
      <c r="C288" s="949"/>
      <c r="D288" s="119"/>
      <c r="E288" s="949"/>
      <c r="F288" s="949"/>
      <c r="G288" s="949"/>
      <c r="H288" s="119"/>
      <c r="I288" s="119"/>
      <c r="J288" s="119"/>
      <c r="K288" s="949"/>
      <c r="L288" s="949"/>
      <c r="M288" s="949"/>
      <c r="N288" s="949"/>
      <c r="O288" s="949"/>
      <c r="P288" s="949"/>
      <c r="Q288" s="1005"/>
      <c r="R288" s="1005"/>
      <c r="S288" s="1005"/>
      <c r="T288" s="949"/>
      <c r="U288" s="949"/>
      <c r="V288" s="949"/>
      <c r="W288" s="1005"/>
      <c r="X288" s="1005"/>
      <c r="Y288" s="949"/>
      <c r="Z288" s="949"/>
      <c r="AA288" s="949"/>
      <c r="AB288" s="949"/>
      <c r="AC288" s="949"/>
      <c r="AD288" s="949"/>
      <c r="AE288" s="949"/>
      <c r="AF288" s="949"/>
      <c r="AG288" s="2129"/>
      <c r="AH288" s="949"/>
      <c r="AI288" s="949"/>
      <c r="AJ288" s="949"/>
      <c r="AK288" s="949"/>
      <c r="AL288" s="949"/>
      <c r="AM288" s="949"/>
      <c r="AN288" s="949"/>
      <c r="AO288" s="949"/>
      <c r="AP288" s="949"/>
      <c r="AQ288" s="949"/>
      <c r="AR288" s="110"/>
      <c r="AS288" s="110"/>
      <c r="AT288" s="110"/>
      <c r="AU288" s="949"/>
      <c r="AV288" s="949"/>
      <c r="AW288" s="949"/>
      <c r="AX288" s="949"/>
      <c r="AY288" s="949"/>
      <c r="AZ288" s="949"/>
      <c r="BA288" s="949"/>
      <c r="BB288" s="949"/>
      <c r="BC288" s="949"/>
      <c r="BD288" s="949"/>
      <c r="BE288" s="2267"/>
    </row>
    <row r="289" spans="1:57">
      <c r="A289" s="1090"/>
      <c r="B289" s="949"/>
      <c r="C289" s="949"/>
      <c r="D289" s="119"/>
      <c r="E289" s="949"/>
      <c r="F289" s="949"/>
      <c r="G289" s="949"/>
      <c r="H289" s="119"/>
      <c r="I289" s="119"/>
      <c r="J289" s="119"/>
      <c r="K289" s="949"/>
      <c r="L289" s="949"/>
      <c r="M289" s="949"/>
      <c r="N289" s="949"/>
      <c r="O289" s="949"/>
      <c r="P289" s="949"/>
      <c r="Q289" s="1005"/>
      <c r="R289" s="1005"/>
      <c r="S289" s="1005"/>
      <c r="T289" s="949"/>
      <c r="U289" s="949"/>
      <c r="V289" s="949"/>
      <c r="W289" s="1005"/>
      <c r="X289" s="1005"/>
      <c r="Y289" s="949"/>
      <c r="Z289" s="949"/>
      <c r="AA289" s="949"/>
      <c r="AB289" s="949"/>
      <c r="AC289" s="949"/>
      <c r="AD289" s="949"/>
      <c r="AE289" s="949"/>
      <c r="AF289" s="949"/>
      <c r="AG289" s="2129"/>
      <c r="AH289" s="949"/>
      <c r="AI289" s="949"/>
      <c r="AJ289" s="949"/>
      <c r="AK289" s="949"/>
      <c r="AL289" s="949"/>
      <c r="AM289" s="949"/>
      <c r="AN289" s="949"/>
      <c r="AO289" s="949"/>
      <c r="AP289" s="949"/>
      <c r="AQ289" s="949"/>
      <c r="AR289" s="110"/>
      <c r="AS289" s="110"/>
      <c r="AT289" s="110"/>
      <c r="AU289" s="949"/>
      <c r="AV289" s="949"/>
      <c r="AW289" s="949"/>
      <c r="AX289" s="949"/>
      <c r="AY289" s="949"/>
      <c r="AZ289" s="949"/>
      <c r="BA289" s="949"/>
      <c r="BB289" s="949"/>
      <c r="BC289" s="949"/>
      <c r="BD289" s="949"/>
      <c r="BE289" s="2267"/>
    </row>
    <row r="290" spans="1:57">
      <c r="A290" s="3315" t="s">
        <v>1016</v>
      </c>
      <c r="B290" s="1286" t="s">
        <v>1178</v>
      </c>
      <c r="C290" s="1005"/>
      <c r="D290" s="119"/>
      <c r="E290" s="1005"/>
      <c r="F290" s="1005"/>
      <c r="G290" s="1005"/>
      <c r="H290" s="119"/>
      <c r="I290" s="119"/>
      <c r="J290" s="119"/>
      <c r="K290" s="1005"/>
      <c r="L290" s="1005"/>
      <c r="M290" s="1089"/>
      <c r="N290" s="1005"/>
      <c r="O290" s="1005"/>
      <c r="P290" s="1005"/>
      <c r="Q290" s="1005"/>
      <c r="R290" s="1005"/>
      <c r="S290" s="1005"/>
      <c r="T290" s="1005"/>
      <c r="U290" s="1005"/>
      <c r="V290" s="1005"/>
      <c r="W290" s="1005"/>
      <c r="X290" s="1005"/>
      <c r="Y290" s="1005"/>
      <c r="Z290" s="1005"/>
      <c r="AA290" s="1005"/>
      <c r="AB290" s="1005"/>
      <c r="AC290" s="1005"/>
      <c r="AD290" s="949"/>
      <c r="AE290" s="949"/>
      <c r="AF290" s="949"/>
      <c r="AG290" s="2129"/>
      <c r="AH290" s="949"/>
      <c r="AI290" s="949"/>
      <c r="AJ290" s="949"/>
      <c r="AK290" s="949"/>
      <c r="AL290" s="949"/>
      <c r="AM290" s="949"/>
      <c r="AN290" s="949"/>
      <c r="AO290" s="949"/>
      <c r="AP290" s="949"/>
      <c r="AQ290" s="949"/>
      <c r="AR290" s="110"/>
      <c r="AS290" s="110"/>
      <c r="AT290" s="110"/>
      <c r="AU290" s="949"/>
      <c r="AV290" s="949"/>
      <c r="AW290" s="949"/>
      <c r="AX290" s="949"/>
      <c r="AY290" s="949"/>
      <c r="AZ290" s="949"/>
      <c r="BA290" s="949"/>
      <c r="BB290" s="949"/>
      <c r="BC290" s="949"/>
      <c r="BD290" s="949"/>
      <c r="BE290" s="2267"/>
    </row>
    <row r="291" spans="1:57">
      <c r="A291" s="1090" t="s">
        <v>499</v>
      </c>
      <c r="B291" s="73" t="s">
        <v>284</v>
      </c>
      <c r="C291" s="1085">
        <f t="shared" ref="C291:L298" si="69">VLOOKUP($B291,$B$7:$AC$28,C$37+1,FALSE)</f>
        <v>15596.516285714286</v>
      </c>
      <c r="D291" s="1086">
        <f t="shared" si="69"/>
        <v>3.9962072557101963E-2</v>
      </c>
      <c r="E291" s="1060">
        <f t="shared" si="69"/>
        <v>-0.41209116095583281</v>
      </c>
      <c r="F291" s="1060">
        <f t="shared" si="69"/>
        <v>-0.31031558205019388</v>
      </c>
      <c r="G291" s="1061">
        <f t="shared" si="69"/>
        <v>10295.917100000001</v>
      </c>
      <c r="H291" s="1062">
        <f t="shared" si="69"/>
        <v>2.8511404790864545E-2</v>
      </c>
      <c r="I291" s="1063">
        <f t="shared" si="69"/>
        <v>0.58081043687158529</v>
      </c>
      <c r="J291" s="1063">
        <f t="shared" si="69"/>
        <v>0.5027794267018264</v>
      </c>
      <c r="K291" s="1064">
        <f t="shared" si="69"/>
        <v>4.6475023511824993</v>
      </c>
      <c r="L291" s="1060">
        <f t="shared" si="69"/>
        <v>-0.18379111287045302</v>
      </c>
      <c r="M291" s="1065">
        <f t="shared" ref="M291:V298" si="70">VLOOKUP($B291,$B$7:$AC$28,M$37+1,FALSE)</f>
        <v>4.0606354500113753</v>
      </c>
      <c r="N291" s="1066">
        <f t="shared" si="70"/>
        <v>0.34534166666666666</v>
      </c>
      <c r="O291" s="1067">
        <f t="shared" si="70"/>
        <v>-5.4500069338510607E-2</v>
      </c>
      <c r="P291" s="1068">
        <f t="shared" si="70"/>
        <v>0.3626280111015483</v>
      </c>
      <c r="Q291" s="1066">
        <f t="shared" si="70"/>
        <v>0.67997702229572432</v>
      </c>
      <c r="R291" s="1067">
        <f t="shared" si="70"/>
        <v>0.10658020511075152</v>
      </c>
      <c r="S291" s="1068">
        <f t="shared" si="70"/>
        <v>0.75270955685414354</v>
      </c>
      <c r="T291" s="1066">
        <f t="shared" si="70"/>
        <v>0.68457317243488636</v>
      </c>
      <c r="U291" s="1067">
        <f t="shared" si="70"/>
        <v>0.10522314957078965</v>
      </c>
      <c r="V291" s="104">
        <f t="shared" si="70"/>
        <v>0.75672107111582532</v>
      </c>
      <c r="W291" s="1060">
        <f t="shared" ref="W291:AC298" si="71">VLOOKUP($B291,$B$7:$AC$28,W$37+1,FALSE)</f>
        <v>4.5961501391620363E-3</v>
      </c>
      <c r="X291" s="1060">
        <f t="shared" si="71"/>
        <v>6.7592727231349809E-3</v>
      </c>
      <c r="Y291" s="1069" t="str">
        <f t="shared" si="71"/>
        <v>BBB-</v>
      </c>
      <c r="Z291" s="1070" t="str">
        <f t="shared" si="71"/>
        <v>=  ¯ ¯</v>
      </c>
      <c r="AA291" s="1064">
        <f t="shared" si="71"/>
        <v>2.9152503149286035</v>
      </c>
      <c r="AB291" s="1071">
        <f t="shared" si="71"/>
        <v>-0.14664752669478531</v>
      </c>
      <c r="AC291" s="1065">
        <f t="shared" si="71"/>
        <v>2.8370691340232916</v>
      </c>
      <c r="AD291" s="949"/>
      <c r="AE291" s="949"/>
      <c r="AF291" s="949"/>
      <c r="AG291" s="2129"/>
      <c r="AH291" s="949"/>
      <c r="AI291" s="949"/>
      <c r="AJ291" s="949"/>
      <c r="AK291" s="949"/>
      <c r="AL291" s="949"/>
      <c r="AM291" s="949"/>
      <c r="AN291" s="949"/>
      <c r="AO291" s="949"/>
      <c r="AP291" s="949"/>
      <c r="AQ291" s="949"/>
      <c r="AR291" s="110"/>
      <c r="AS291" s="110"/>
      <c r="AT291" s="110"/>
      <c r="AU291" s="949"/>
      <c r="AV291" s="949"/>
      <c r="AW291" s="949"/>
      <c r="AX291" s="949"/>
      <c r="AY291" s="949"/>
      <c r="AZ291" s="949"/>
      <c r="BA291" s="949"/>
      <c r="BB291" s="949"/>
      <c r="BC291" s="949"/>
      <c r="BD291" s="949"/>
      <c r="BE291" s="2267"/>
    </row>
    <row r="292" spans="1:57">
      <c r="A292" s="1090" t="s">
        <v>27</v>
      </c>
      <c r="B292" s="73" t="s">
        <v>54</v>
      </c>
      <c r="C292" s="1085">
        <f t="shared" si="69"/>
        <v>4745.1447857142857</v>
      </c>
      <c r="D292" s="1086">
        <f t="shared" si="69"/>
        <v>1.2158216408516635E-2</v>
      </c>
      <c r="E292" s="1060">
        <f t="shared" si="69"/>
        <v>-0.63447330491761056</v>
      </c>
      <c r="F292" s="1060">
        <f t="shared" si="69"/>
        <v>-0.53269772601197163</v>
      </c>
      <c r="G292" s="1061">
        <f t="shared" si="69"/>
        <v>2680.5724</v>
      </c>
      <c r="H292" s="1062">
        <f t="shared" si="69"/>
        <v>7.4230283738025878E-3</v>
      </c>
      <c r="I292" s="1063">
        <f t="shared" si="69"/>
        <v>1.3569881249181368</v>
      </c>
      <c r="J292" s="1063">
        <f t="shared" si="69"/>
        <v>1.0332545966156574</v>
      </c>
      <c r="K292" s="1064">
        <f t="shared" si="69"/>
        <v>6.3422811159545107</v>
      </c>
      <c r="L292" s="1060">
        <f t="shared" si="69"/>
        <v>-0.24924595564935845</v>
      </c>
      <c r="M292" s="1065">
        <f t="shared" si="70"/>
        <v>5.3369406950798908</v>
      </c>
      <c r="N292" s="1066">
        <f t="shared" si="70"/>
        <v>0.48460704112825509</v>
      </c>
      <c r="O292" s="1067">
        <f t="shared" si="70"/>
        <v>-0.18079580514885477</v>
      </c>
      <c r="P292" s="1068">
        <f t="shared" si="70"/>
        <v>0.49497857034449522</v>
      </c>
      <c r="Q292" s="1066">
        <f t="shared" si="70"/>
        <v>0.56717095077467305</v>
      </c>
      <c r="R292" s="1067">
        <f t="shared" si="70"/>
        <v>0.64731222518720821</v>
      </c>
      <c r="S292" s="1068">
        <f t="shared" si="70"/>
        <v>0.74754623070756221</v>
      </c>
      <c r="T292" s="1066">
        <f t="shared" si="70"/>
        <v>0.5748403529709204</v>
      </c>
      <c r="U292" s="1067">
        <f t="shared" si="70"/>
        <v>0.5906099669472562</v>
      </c>
      <c r="V292" s="104">
        <f t="shared" si="70"/>
        <v>0.7506672643344422</v>
      </c>
      <c r="W292" s="1060">
        <f t="shared" si="71"/>
        <v>7.6694021962473435E-3</v>
      </c>
      <c r="X292" s="1060">
        <f t="shared" si="71"/>
        <v>1.3522205581530675E-2</v>
      </c>
      <c r="Y292" s="1069" t="str">
        <f t="shared" si="71"/>
        <v>BBB-</v>
      </c>
      <c r="Z292" s="1070" t="str">
        <f t="shared" si="71"/>
        <v>¯  ¯ ¯</v>
      </c>
      <c r="AA292" s="1064">
        <f t="shared" si="71"/>
        <v>3.4278891827637503</v>
      </c>
      <c r="AB292" s="1071">
        <f t="shared" si="71"/>
        <v>0.24423537898737996</v>
      </c>
      <c r="AC292" s="1065">
        <f t="shared" si="71"/>
        <v>3.8230610288109381</v>
      </c>
      <c r="AD292" s="949"/>
      <c r="AE292" s="949"/>
      <c r="AF292" s="949"/>
      <c r="AG292" s="2129"/>
      <c r="AH292" s="949"/>
      <c r="AI292" s="949"/>
      <c r="AJ292" s="949"/>
      <c r="AK292" s="949"/>
      <c r="AL292" s="949"/>
      <c r="AM292" s="949"/>
      <c r="AN292" s="949"/>
      <c r="AO292" s="949"/>
      <c r="AP292" s="949"/>
      <c r="AQ292" s="949"/>
      <c r="AR292" s="110"/>
      <c r="AS292" s="110"/>
      <c r="AT292" s="110"/>
      <c r="AU292" s="949"/>
      <c r="AV292" s="949"/>
      <c r="AW292" s="949"/>
      <c r="AX292" s="949"/>
      <c r="AY292" s="949"/>
      <c r="AZ292" s="949"/>
      <c r="BA292" s="949"/>
      <c r="BB292" s="949"/>
      <c r="BC292" s="949"/>
      <c r="BD292" s="949"/>
      <c r="BE292" s="2267"/>
    </row>
    <row r="293" spans="1:57">
      <c r="A293" s="1090" t="s">
        <v>19</v>
      </c>
      <c r="B293" s="150" t="s">
        <v>286</v>
      </c>
      <c r="C293" s="1085">
        <f t="shared" si="69"/>
        <v>31174.883771428573</v>
      </c>
      <c r="D293" s="1086">
        <f t="shared" si="69"/>
        <v>7.9877643469276421E-2</v>
      </c>
      <c r="E293" s="1060">
        <f t="shared" si="69"/>
        <v>-0.49416922878378883</v>
      </c>
      <c r="F293" s="1060">
        <f t="shared" si="69"/>
        <v>-0.3923936498781499</v>
      </c>
      <c r="G293" s="1061">
        <f t="shared" si="69"/>
        <v>19124.593099999998</v>
      </c>
      <c r="H293" s="1062">
        <f t="shared" si="69"/>
        <v>5.2959732488004868E-2</v>
      </c>
      <c r="I293" s="1063">
        <f t="shared" si="69"/>
        <v>1.0546425468926217</v>
      </c>
      <c r="J293" s="1063">
        <f t="shared" si="69"/>
        <v>0.72989058468819168</v>
      </c>
      <c r="K293" s="1064">
        <f t="shared" si="69"/>
        <v>4.913128503955539</v>
      </c>
      <c r="L293" s="1060">
        <f t="shared" si="69"/>
        <v>-0.19812930900653591</v>
      </c>
      <c r="M293" s="1065">
        <f t="shared" si="70"/>
        <v>4.438539176760524</v>
      </c>
      <c r="N293" s="1066">
        <f t="shared" si="70"/>
        <v>0.60741568747204655</v>
      </c>
      <c r="O293" s="1067">
        <f t="shared" si="70"/>
        <v>4.0950219141690898E-2</v>
      </c>
      <c r="P293" s="1068">
        <f t="shared" si="70"/>
        <v>0.62738172243152124</v>
      </c>
      <c r="Q293" s="1066">
        <f t="shared" si="70"/>
        <v>0.50834561454306215</v>
      </c>
      <c r="R293" s="1067">
        <f t="shared" si="70"/>
        <v>0.27477182203191691</v>
      </c>
      <c r="S293" s="1068">
        <f t="shared" si="70"/>
        <v>0.61196382356206247</v>
      </c>
      <c r="T293" s="1066">
        <f t="shared" si="70"/>
        <v>0.54898628094174651</v>
      </c>
      <c r="U293" s="1067">
        <f t="shared" si="70"/>
        <v>0.26756473067663017</v>
      </c>
      <c r="V293" s="104">
        <f t="shared" si="70"/>
        <v>0.65530118542007598</v>
      </c>
      <c r="W293" s="1060">
        <f t="shared" si="71"/>
        <v>4.0640666398684355E-2</v>
      </c>
      <c r="X293" s="1060">
        <f t="shared" si="71"/>
        <v>7.9946920433679999E-2</v>
      </c>
      <c r="Y293" s="1069" t="str">
        <f t="shared" si="71"/>
        <v>BBB+</v>
      </c>
      <c r="Z293" s="1070" t="str">
        <f t="shared" si="71"/>
        <v>=  ¯ ¯</v>
      </c>
      <c r="AA293" s="1064">
        <f t="shared" si="71"/>
        <v>2.5321561588471506</v>
      </c>
      <c r="AB293" s="1071">
        <f t="shared" si="71"/>
        <v>1.3257606300410854E-2</v>
      </c>
      <c r="AC293" s="1065">
        <f t="shared" si="71"/>
        <v>2.8138910595815916</v>
      </c>
      <c r="AD293" s="949"/>
      <c r="AE293" s="949"/>
      <c r="AF293" s="949"/>
      <c r="AG293" s="2129"/>
      <c r="AH293" s="949"/>
      <c r="AI293" s="949"/>
      <c r="AJ293" s="949"/>
      <c r="AK293" s="949"/>
      <c r="AL293" s="949"/>
      <c r="AM293" s="949"/>
      <c r="AN293" s="949"/>
      <c r="AO293" s="949"/>
      <c r="AP293" s="949"/>
      <c r="AQ293" s="949"/>
      <c r="AR293" s="110"/>
      <c r="AS293" s="110"/>
      <c r="AT293" s="110"/>
      <c r="AU293" s="949"/>
      <c r="AV293" s="949"/>
      <c r="AW293" s="949"/>
      <c r="AX293" s="949"/>
      <c r="AY293" s="949"/>
      <c r="AZ293" s="949"/>
      <c r="BA293" s="949"/>
      <c r="BB293" s="949"/>
      <c r="BC293" s="949"/>
      <c r="BD293" s="949"/>
      <c r="BE293" s="2267"/>
    </row>
    <row r="294" spans="1:57">
      <c r="A294" s="1090" t="s">
        <v>501</v>
      </c>
      <c r="B294" s="73" t="s">
        <v>44</v>
      </c>
      <c r="C294" s="1085">
        <f t="shared" si="69"/>
        <v>12234.494271428572</v>
      </c>
      <c r="D294" s="1086">
        <f t="shared" si="69"/>
        <v>3.1347753486597643E-2</v>
      </c>
      <c r="E294" s="1060">
        <f t="shared" si="69"/>
        <v>-0.59766521701552</v>
      </c>
      <c r="F294" s="1060">
        <f t="shared" si="69"/>
        <v>-0.49588963810988107</v>
      </c>
      <c r="G294" s="1061">
        <f t="shared" si="69"/>
        <v>6819.5967000000001</v>
      </c>
      <c r="H294" s="1062">
        <f t="shared" si="69"/>
        <v>1.8884794830384175E-2</v>
      </c>
      <c r="I294" s="1063">
        <f t="shared" si="69"/>
        <v>3.9295455833111754</v>
      </c>
      <c r="J294" s="1063">
        <f t="shared" si="69"/>
        <v>1.2175677021960365</v>
      </c>
      <c r="K294" s="1064">
        <f t="shared" si="69"/>
        <v>5.0345645887817243</v>
      </c>
      <c r="L294" s="1060">
        <f t="shared" si="69"/>
        <v>-0.26680842971581226</v>
      </c>
      <c r="M294" s="1065">
        <f t="shared" si="70"/>
        <v>4.0325018858098245</v>
      </c>
      <c r="N294" s="1066">
        <f t="shared" si="70"/>
        <v>0.5805147103617575</v>
      </c>
      <c r="O294" s="1067">
        <f t="shared" si="70"/>
        <v>8.4948466413752491E-2</v>
      </c>
      <c r="P294" s="1068">
        <f t="shared" si="70"/>
        <v>0.6264024463118032</v>
      </c>
      <c r="Q294" s="1066">
        <f t="shared" si="70"/>
        <v>0.51826084585195908</v>
      </c>
      <c r="R294" s="1067">
        <f t="shared" si="70"/>
        <v>0.40005999871326348</v>
      </c>
      <c r="S294" s="1068">
        <f t="shared" si="70"/>
        <v>0.58973938770950263</v>
      </c>
      <c r="T294" s="1066">
        <f t="shared" si="70"/>
        <v>0.5495689942142129</v>
      </c>
      <c r="U294" s="1067">
        <f t="shared" si="70"/>
        <v>0.40637993517884302</v>
      </c>
      <c r="V294" s="104">
        <f t="shared" si="70"/>
        <v>0.63323863537070213</v>
      </c>
      <c r="W294" s="1060">
        <f t="shared" si="71"/>
        <v>3.1308148362253818E-2</v>
      </c>
      <c r="X294" s="1060">
        <f t="shared" si="71"/>
        <v>6.0410020577161203E-2</v>
      </c>
      <c r="Y294" s="1069" t="str">
        <f t="shared" si="71"/>
        <v>BBB-</v>
      </c>
      <c r="Z294" s="1070" t="str">
        <f t="shared" si="71"/>
        <v>=  ¯ =</v>
      </c>
      <c r="AA294" s="1064">
        <f t="shared" si="71"/>
        <v>2.643581803383519</v>
      </c>
      <c r="AB294" s="1071">
        <f t="shared" si="71"/>
        <v>2.8580691559688957E-2</v>
      </c>
      <c r="AC294" s="1065">
        <f t="shared" si="71"/>
        <v>2.5466878830879209</v>
      </c>
      <c r="AD294" s="949"/>
      <c r="AE294" s="949"/>
      <c r="AF294" s="949"/>
      <c r="AG294" s="2129"/>
      <c r="AH294" s="949"/>
      <c r="AI294" s="949"/>
      <c r="AJ294" s="949"/>
      <c r="AK294" s="949"/>
      <c r="AL294" s="949"/>
      <c r="AM294" s="949"/>
      <c r="AN294" s="949"/>
      <c r="AO294" s="949"/>
      <c r="AP294" s="949"/>
      <c r="AQ294" s="949"/>
      <c r="AR294" s="110"/>
      <c r="AS294" s="110"/>
      <c r="AT294" s="110"/>
      <c r="AU294" s="949"/>
      <c r="AV294" s="949"/>
      <c r="AW294" s="949"/>
      <c r="AX294" s="949"/>
      <c r="AY294" s="949"/>
      <c r="AZ294" s="949"/>
      <c r="BA294" s="949"/>
      <c r="BB294" s="949"/>
      <c r="BC294" s="949"/>
      <c r="BD294" s="949"/>
      <c r="BE294" s="2267"/>
    </row>
    <row r="295" spans="1:57">
      <c r="A295" s="1090" t="s">
        <v>385</v>
      </c>
      <c r="B295" s="73" t="s">
        <v>276</v>
      </c>
      <c r="C295" s="1085">
        <f t="shared" si="69"/>
        <v>3544.0522571428578</v>
      </c>
      <c r="D295" s="1086">
        <f t="shared" si="69"/>
        <v>9.0807248780183369E-3</v>
      </c>
      <c r="E295" s="1060">
        <f t="shared" si="69"/>
        <v>-0.4675424361384804</v>
      </c>
      <c r="F295" s="1060">
        <f t="shared" si="69"/>
        <v>-0.36576685723284147</v>
      </c>
      <c r="G295" s="1061">
        <f t="shared" si="69"/>
        <v>2152.6311000000001</v>
      </c>
      <c r="H295" s="1062">
        <f t="shared" si="69"/>
        <v>5.9610558303255963E-3</v>
      </c>
      <c r="I295" s="1063">
        <f t="shared" si="69"/>
        <v>3.4941691326062152</v>
      </c>
      <c r="J295" s="1063">
        <f t="shared" si="69"/>
        <v>2.2961398399999999</v>
      </c>
      <c r="K295" s="1064">
        <f t="shared" si="69"/>
        <v>4.4246190982470868</v>
      </c>
      <c r="L295" s="1060">
        <f t="shared" si="69"/>
        <v>-2.9835823683801648E-2</v>
      </c>
      <c r="M295" s="1065">
        <f t="shared" si="70"/>
        <v>4.0530525032062261</v>
      </c>
      <c r="N295" s="1066">
        <f t="shared" si="70"/>
        <v>0.60910298289809772</v>
      </c>
      <c r="O295" s="1067">
        <f t="shared" si="70"/>
        <v>-5.2071170724915891E-2</v>
      </c>
      <c r="P295" s="1068">
        <f t="shared" si="70"/>
        <v>0.6207941242005639</v>
      </c>
      <c r="Q295" s="1066">
        <f t="shared" si="70"/>
        <v>0.49050145598877937</v>
      </c>
      <c r="R295" s="1067">
        <f t="shared" si="70"/>
        <v>0.42102559519407173</v>
      </c>
      <c r="S295" s="1068">
        <f t="shared" si="70"/>
        <v>0.61744816018521742</v>
      </c>
      <c r="T295" s="1066">
        <f t="shared" si="70"/>
        <v>0.49698573886957192</v>
      </c>
      <c r="U295" s="1067">
        <f t="shared" si="70"/>
        <v>0.41032171167013903</v>
      </c>
      <c r="V295" s="104">
        <f t="shared" si="70"/>
        <v>0.62319136029119382</v>
      </c>
      <c r="W295" s="1060">
        <f t="shared" si="71"/>
        <v>6.4842828807925579E-3</v>
      </c>
      <c r="X295" s="1060">
        <f t="shared" si="71"/>
        <v>1.3219701596443154E-2</v>
      </c>
      <c r="Y295" s="1069" t="str">
        <f t="shared" si="71"/>
        <v>BBB</v>
      </c>
      <c r="Z295" s="1070" t="str">
        <f t="shared" si="71"/>
        <v>=  ¯ -</v>
      </c>
      <c r="AA295" s="1064">
        <f t="shared" si="71"/>
        <v>2.1902281092407181</v>
      </c>
      <c r="AB295" s="1071">
        <f t="shared" si="71"/>
        <v>0.36844726500440206</v>
      </c>
      <c r="AC295" s="1065">
        <f t="shared" si="71"/>
        <v>2.5252968522290931</v>
      </c>
      <c r="AD295" s="949"/>
      <c r="AE295" s="949"/>
      <c r="AF295" s="949"/>
      <c r="AG295" s="2129"/>
      <c r="AH295" s="949"/>
      <c r="AI295" s="949"/>
      <c r="AJ295" s="949"/>
      <c r="AK295" s="949"/>
      <c r="AL295" s="949"/>
      <c r="AM295" s="949"/>
      <c r="AN295" s="949"/>
      <c r="AO295" s="949"/>
      <c r="AP295" s="949"/>
      <c r="AQ295" s="949"/>
      <c r="AR295" s="110"/>
      <c r="AS295" s="110"/>
      <c r="AT295" s="110"/>
      <c r="AU295" s="949"/>
      <c r="AV295" s="949"/>
      <c r="AW295" s="949"/>
      <c r="AX295" s="949"/>
      <c r="AY295" s="949"/>
      <c r="AZ295" s="949"/>
      <c r="BA295" s="949"/>
      <c r="BB295" s="949"/>
      <c r="BC295" s="949"/>
      <c r="BD295" s="949"/>
      <c r="BE295" s="2267"/>
    </row>
    <row r="296" spans="1:57">
      <c r="A296" s="1090" t="s">
        <v>498</v>
      </c>
      <c r="B296" s="73" t="s">
        <v>52</v>
      </c>
      <c r="C296" s="1085">
        <f t="shared" si="69"/>
        <v>40464.923042857146</v>
      </c>
      <c r="D296" s="1086">
        <f t="shared" si="69"/>
        <v>0.1036809862557167</v>
      </c>
      <c r="E296" s="1060">
        <f t="shared" si="69"/>
        <v>-6.1458653761923776E-2</v>
      </c>
      <c r="F296" s="1060">
        <f t="shared" si="69"/>
        <v>4.0316925143715168E-2</v>
      </c>
      <c r="G296" s="1061">
        <f t="shared" si="69"/>
        <v>39791.94</v>
      </c>
      <c r="H296" s="1062">
        <f t="shared" si="69"/>
        <v>0.1101916514803518</v>
      </c>
      <c r="I296" s="1063">
        <f t="shared" si="69"/>
        <v>1.0840589348936991</v>
      </c>
      <c r="J296" s="1063">
        <f t="shared" si="69"/>
        <v>1.2733420800000002</v>
      </c>
      <c r="K296" s="1064">
        <f t="shared" si="69"/>
        <v>4.9157277486128619</v>
      </c>
      <c r="L296" s="1060">
        <f t="shared" si="69"/>
        <v>0.1448238320606966</v>
      </c>
      <c r="M296" s="1065">
        <f t="shared" si="70"/>
        <v>5.2964626193065953</v>
      </c>
      <c r="N296" s="1066">
        <f t="shared" si="70"/>
        <v>0.61</v>
      </c>
      <c r="O296" s="1067">
        <f t="shared" si="70"/>
        <v>0</v>
      </c>
      <c r="P296" s="1068">
        <f t="shared" si="70"/>
        <v>0.62983042679437373</v>
      </c>
      <c r="Q296" s="1066">
        <f t="shared" si="70"/>
        <v>0.51528895508035288</v>
      </c>
      <c r="R296" s="1067">
        <f t="shared" si="70"/>
        <v>-2.4931247740904369E-2</v>
      </c>
      <c r="S296" s="1068">
        <f t="shared" si="70"/>
        <v>0.51939744871548044</v>
      </c>
      <c r="T296" s="1066">
        <f t="shared" si="70"/>
        <v>0.58808850315066874</v>
      </c>
      <c r="U296" s="1067">
        <f t="shared" si="70"/>
        <v>-2.8226553900756759E-2</v>
      </c>
      <c r="V296" s="104">
        <f t="shared" si="70"/>
        <v>0.59074959904524027</v>
      </c>
      <c r="W296" s="1060">
        <f t="shared" si="71"/>
        <v>7.2799548070315856E-2</v>
      </c>
      <c r="X296" s="1060">
        <f t="shared" si="71"/>
        <v>0.14127907721011346</v>
      </c>
      <c r="Y296" s="1069" t="str">
        <f t="shared" si="71"/>
        <v>BBB+</v>
      </c>
      <c r="Z296" s="1070" t="str">
        <f t="shared" si="71"/>
        <v>=  =  =</v>
      </c>
      <c r="AA296" s="1064">
        <f t="shared" si="71"/>
        <v>2.7906818261625395</v>
      </c>
      <c r="AB296" s="1071">
        <f t="shared" si="71"/>
        <v>8.5841806528642844E-2</v>
      </c>
      <c r="AC296" s="1065">
        <f t="shared" si="71"/>
        <v>2.9178287645268703</v>
      </c>
      <c r="AD296" s="949"/>
      <c r="AE296" s="949"/>
      <c r="AF296" s="949"/>
      <c r="AG296" s="2129"/>
      <c r="AH296" s="949"/>
      <c r="AI296" s="949"/>
      <c r="AJ296" s="949"/>
      <c r="AK296" s="949"/>
      <c r="AL296" s="949"/>
      <c r="AM296" s="949"/>
      <c r="AN296" s="949"/>
      <c r="AO296" s="949"/>
      <c r="AP296" s="949"/>
      <c r="AQ296" s="949"/>
      <c r="AR296" s="110"/>
      <c r="AS296" s="110"/>
      <c r="AT296" s="110"/>
      <c r="AU296" s="949"/>
      <c r="AV296" s="949"/>
      <c r="AW296" s="949"/>
      <c r="AX296" s="949"/>
      <c r="AY296" s="949"/>
      <c r="AZ296" s="949"/>
      <c r="BA296" s="949"/>
      <c r="BB296" s="949"/>
      <c r="BC296" s="949"/>
      <c r="BD296" s="949"/>
      <c r="BE296" s="2267"/>
    </row>
    <row r="297" spans="1:57">
      <c r="A297" s="1090" t="s">
        <v>217</v>
      </c>
      <c r="B297" s="73" t="s">
        <v>53</v>
      </c>
      <c r="C297" s="1085">
        <f t="shared" si="69"/>
        <v>60036.853628571422</v>
      </c>
      <c r="D297" s="1086">
        <f t="shared" si="69"/>
        <v>0.15382903828354536</v>
      </c>
      <c r="E297" s="1060">
        <f t="shared" si="69"/>
        <v>-0.3618479655094986</v>
      </c>
      <c r="F297" s="1060">
        <f t="shared" si="69"/>
        <v>-0.26007238660385967</v>
      </c>
      <c r="G297" s="1061">
        <f t="shared" si="69"/>
        <v>44430.485000000001</v>
      </c>
      <c r="H297" s="1062">
        <f t="shared" si="69"/>
        <v>0.1230366882897139</v>
      </c>
      <c r="I297" s="1063">
        <f t="shared" si="69"/>
        <v>2.2644833808097031</v>
      </c>
      <c r="J297" s="1063">
        <f t="shared" si="69"/>
        <v>1.7716210773954304</v>
      </c>
      <c r="K297" s="1064">
        <f t="shared" si="69"/>
        <v>5.7304428558288603</v>
      </c>
      <c r="L297" s="1060">
        <f t="shared" si="69"/>
        <v>-7.3155042359885195E-2</v>
      </c>
      <c r="M297" s="1065">
        <f t="shared" si="70"/>
        <v>5.1937231412225326</v>
      </c>
      <c r="N297" s="1066">
        <f t="shared" si="70"/>
        <v>0.6158872479982318</v>
      </c>
      <c r="O297" s="1067">
        <f t="shared" si="70"/>
        <v>0.11044311863454735</v>
      </c>
      <c r="P297" s="1068">
        <f t="shared" si="70"/>
        <v>0.66127040038880336</v>
      </c>
      <c r="Q297" s="1066">
        <f t="shared" si="70"/>
        <v>0.48384306036910518</v>
      </c>
      <c r="R297" s="1067">
        <f t="shared" si="70"/>
        <v>0.2595878527386451</v>
      </c>
      <c r="S297" s="1068">
        <f t="shared" si="70"/>
        <v>0.54381370963962039</v>
      </c>
      <c r="T297" s="1066">
        <f t="shared" si="70"/>
        <v>0.51513010935716153</v>
      </c>
      <c r="U297" s="1067">
        <f t="shared" si="70"/>
        <v>0.26130995158024306</v>
      </c>
      <c r="V297" s="104">
        <f t="shared" si="70"/>
        <v>0.57929804018594233</v>
      </c>
      <c r="W297" s="1060">
        <f t="shared" si="71"/>
        <v>3.1287048988056343E-2</v>
      </c>
      <c r="X297" s="1060">
        <f t="shared" si="71"/>
        <v>6.4663630732222685E-2</v>
      </c>
      <c r="Y297" s="1069" t="str">
        <f t="shared" si="71"/>
        <v>BBB</v>
      </c>
      <c r="Z297" s="1070" t="str">
        <f t="shared" si="71"/>
        <v>¯  ¯ ¯</v>
      </c>
      <c r="AA297" s="1064">
        <f t="shared" si="71"/>
        <v>2.7929780820851775</v>
      </c>
      <c r="AB297" s="1071">
        <f t="shared" si="71"/>
        <v>0.12404595260605845</v>
      </c>
      <c r="AC297" s="1065">
        <f t="shared" si="71"/>
        <v>2.8353348809740444</v>
      </c>
      <c r="AD297" s="949"/>
      <c r="AE297" s="949"/>
      <c r="AF297" s="949"/>
      <c r="AG297" s="2129"/>
      <c r="AH297" s="949"/>
      <c r="AI297" s="949"/>
      <c r="AJ297" s="949"/>
      <c r="AK297" s="949"/>
      <c r="AL297" s="949"/>
      <c r="AM297" s="949"/>
      <c r="AN297" s="949"/>
      <c r="AO297" s="949"/>
      <c r="AP297" s="949"/>
      <c r="AQ297" s="949"/>
      <c r="AR297" s="110"/>
      <c r="AS297" s="110"/>
      <c r="AT297" s="110"/>
      <c r="AU297" s="949"/>
      <c r="AV297" s="949"/>
      <c r="AW297" s="949"/>
      <c r="AX297" s="949"/>
      <c r="AY297" s="949"/>
      <c r="AZ297" s="949"/>
      <c r="BA297" s="949"/>
      <c r="BB297" s="949"/>
      <c r="BC297" s="949"/>
      <c r="BD297" s="949"/>
      <c r="BE297" s="2267"/>
    </row>
    <row r="298" spans="1:57">
      <c r="A298" s="1091" t="s">
        <v>319</v>
      </c>
      <c r="B298" s="691" t="s">
        <v>752</v>
      </c>
      <c r="C298" s="1087">
        <f t="shared" si="69"/>
        <v>3541.6238999999996</v>
      </c>
      <c r="D298" s="1088">
        <f t="shared" si="69"/>
        <v>9.0745028357006995E-3</v>
      </c>
      <c r="E298" s="1072">
        <f t="shared" si="69"/>
        <v>0.67327297771392325</v>
      </c>
      <c r="F298" s="1072">
        <f t="shared" si="69"/>
        <v>0.77504855661956218</v>
      </c>
      <c r="G298" s="1073">
        <f t="shared" si="69"/>
        <v>4048.9897999999998</v>
      </c>
      <c r="H298" s="1074">
        <f t="shared" si="69"/>
        <v>1.1212443346293226E-2</v>
      </c>
      <c r="I298" s="1075">
        <f t="shared" si="69"/>
        <v>-1.4186196832586249</v>
      </c>
      <c r="J298" s="1075">
        <f t="shared" si="69"/>
        <v>-2.7147098893731143</v>
      </c>
      <c r="K298" s="1076">
        <f t="shared" si="69"/>
        <v>8.5213348378460623</v>
      </c>
      <c r="L298" s="1072">
        <f t="shared" si="69"/>
        <v>0.26215680659638446</v>
      </c>
      <c r="M298" s="1077">
        <f t="shared" si="70"/>
        <v>9.0506669895995948</v>
      </c>
      <c r="N298" s="1078">
        <f t="shared" si="70"/>
        <v>6.4385445236561381E-2</v>
      </c>
      <c r="O298" s="1079">
        <f t="shared" si="70"/>
        <v>14.697799124913645</v>
      </c>
      <c r="P298" s="1080">
        <f t="shared" si="70"/>
        <v>0.15462918080465343</v>
      </c>
      <c r="Q298" s="1078">
        <f t="shared" si="70"/>
        <v>0.42399287000325037</v>
      </c>
      <c r="R298" s="1079">
        <f t="shared" si="70"/>
        <v>4.5742782667206161E-2</v>
      </c>
      <c r="S298" s="1080">
        <f t="shared" si="70"/>
        <v>0.48144640266975475</v>
      </c>
      <c r="T298" s="1078">
        <f t="shared" si="70"/>
        <v>0.42695023434228802</v>
      </c>
      <c r="U298" s="1079">
        <f t="shared" si="70"/>
        <v>4.1366838913311048E-2</v>
      </c>
      <c r="V298" s="1014">
        <f t="shared" si="70"/>
        <v>0.4832654138496531</v>
      </c>
      <c r="W298" s="1072">
        <f t="shared" si="71"/>
        <v>2.9573643390376492E-3</v>
      </c>
      <c r="X298" s="1072">
        <f t="shared" si="71"/>
        <v>6.9750331863245195E-3</v>
      </c>
      <c r="Y298" s="1081" t="str">
        <f t="shared" si="71"/>
        <v>B+</v>
      </c>
      <c r="Z298" s="1082" t="str">
        <f t="shared" si="71"/>
        <v>=  =  =</v>
      </c>
      <c r="AA298" s="1076">
        <f t="shared" si="71"/>
        <v>3.7014756930154613</v>
      </c>
      <c r="AB298" s="1083">
        <f t="shared" si="71"/>
        <v>0.31334582285320112</v>
      </c>
      <c r="AC298" s="1077">
        <f t="shared" si="71"/>
        <v>4.3704719780651446</v>
      </c>
      <c r="AD298" s="949"/>
      <c r="AE298" s="949"/>
      <c r="AF298" s="949"/>
      <c r="AG298" s="2129"/>
      <c r="AH298" s="949"/>
      <c r="AI298" s="949"/>
      <c r="AJ298" s="949"/>
      <c r="AK298" s="949"/>
      <c r="AL298" s="949"/>
      <c r="AM298" s="949"/>
      <c r="AN298" s="949"/>
      <c r="AO298" s="949"/>
      <c r="AP298" s="949"/>
      <c r="AQ298" s="949"/>
      <c r="AR298" s="110"/>
      <c r="AS298" s="110"/>
      <c r="AT298" s="110"/>
      <c r="AU298" s="949"/>
      <c r="AV298" s="949"/>
      <c r="AW298" s="949"/>
      <c r="AX298" s="949"/>
      <c r="AY298" s="949"/>
      <c r="AZ298" s="949"/>
      <c r="BA298" s="949"/>
      <c r="BB298" s="949"/>
      <c r="BC298" s="949"/>
      <c r="BD298" s="949"/>
      <c r="BE298" s="2267"/>
    </row>
    <row r="299" spans="1:57">
      <c r="A299" s="1090" t="s">
        <v>27</v>
      </c>
      <c r="B299" s="73" t="s">
        <v>353</v>
      </c>
      <c r="C299" s="1085">
        <f t="shared" ref="C299:L312" si="72">VLOOKUP($B299,$B$7:$AC$28,C$37+1,FALSE)</f>
        <v>504.56125714285719</v>
      </c>
      <c r="D299" s="1086">
        <f t="shared" si="72"/>
        <v>1.292808804099037E-3</v>
      </c>
      <c r="E299" s="1060">
        <f t="shared" si="72"/>
        <v>0.11241291049139049</v>
      </c>
      <c r="F299" s="1060">
        <f t="shared" si="72"/>
        <v>0.21418848939702945</v>
      </c>
      <c r="G299" s="1061">
        <f t="shared" si="72"/>
        <v>562.64409999999998</v>
      </c>
      <c r="H299" s="1062">
        <f t="shared" si="72"/>
        <v>1.5580713726115437E-3</v>
      </c>
      <c r="I299" s="1063">
        <f t="shared" si="72"/>
        <v>0.48825120153947199</v>
      </c>
      <c r="J299" s="1063">
        <f t="shared" si="72"/>
        <v>0.52140126030951717</v>
      </c>
      <c r="K299" s="1064">
        <f t="shared" si="72"/>
        <v>4.0370208841188875</v>
      </c>
      <c r="L299" s="1060">
        <f t="shared" si="72"/>
        <v>-0.11001004882442665</v>
      </c>
      <c r="M299" s="1065">
        <f t="shared" ref="M299:Y312" si="73">VLOOKUP($B299,$B$7:$AC$28,M$37+1,FALSE)</f>
        <v>3.9063069179772585</v>
      </c>
      <c r="N299" s="1066">
        <f t="shared" si="73"/>
        <v>0.90539538726018864</v>
      </c>
      <c r="O299" s="1067">
        <f t="shared" si="73"/>
        <v>-4.1189056985539901E-2</v>
      </c>
      <c r="P299" s="1068">
        <f t="shared" si="73"/>
        <v>0.90138346931536006</v>
      </c>
      <c r="Q299" s="1066">
        <f t="shared" si="73"/>
        <v>0.38160323267486906</v>
      </c>
      <c r="R299" s="1067">
        <f t="shared" si="73"/>
        <v>0.13281779457810056</v>
      </c>
      <c r="S299" s="1068">
        <f t="shared" si="73"/>
        <v>0.39444904186551905</v>
      </c>
      <c r="T299" s="1066">
        <f t="shared" si="73"/>
        <v>0.47841518539184064</v>
      </c>
      <c r="U299" s="1067">
        <f t="shared" si="73"/>
        <v>1.1717685634717274E-2</v>
      </c>
      <c r="V299" s="104">
        <f t="shared" si="73"/>
        <v>0.46507375880431212</v>
      </c>
      <c r="W299" s="1060">
        <f t="shared" si="73"/>
        <v>9.6811952716971572E-2</v>
      </c>
      <c r="X299" s="1060">
        <f t="shared" si="73"/>
        <v>0.25369793656715856</v>
      </c>
      <c r="Y299" s="1069" t="str">
        <f t="shared" si="73"/>
        <v>Not rated</v>
      </c>
      <c r="Z299" s="1070"/>
      <c r="AA299" s="1064">
        <f t="shared" ref="AA299:AC312" si="74">VLOOKUP($B299,$B$7:$AC$28,AA$37+1,FALSE)</f>
        <v>1.832329792526622</v>
      </c>
      <c r="AB299" s="1071">
        <f t="shared" si="74"/>
        <v>-9.9442962217240083E-2</v>
      </c>
      <c r="AC299" s="1065">
        <f t="shared" si="74"/>
        <v>1.8160302149559577</v>
      </c>
      <c r="AD299" s="949"/>
      <c r="AE299" s="949"/>
      <c r="AF299" s="949"/>
      <c r="AG299" s="2129"/>
      <c r="AH299" s="949"/>
      <c r="AI299" s="949"/>
      <c r="AJ299" s="949"/>
      <c r="AK299" s="949"/>
      <c r="AL299" s="949"/>
      <c r="AM299" s="949"/>
      <c r="AN299" s="949"/>
      <c r="AO299" s="949"/>
      <c r="AP299" s="949"/>
      <c r="AQ299" s="949"/>
      <c r="AR299" s="110"/>
      <c r="AS299" s="110"/>
      <c r="AT299" s="110"/>
      <c r="AU299" s="949"/>
      <c r="AV299" s="949"/>
      <c r="AW299" s="949"/>
      <c r="AX299" s="949"/>
      <c r="AY299" s="949"/>
      <c r="AZ299" s="949"/>
      <c r="BA299" s="949"/>
      <c r="BB299" s="949"/>
      <c r="BC299" s="949"/>
      <c r="BD299" s="949"/>
      <c r="BE299" s="2267"/>
    </row>
    <row r="300" spans="1:57">
      <c r="A300" s="1091" t="s">
        <v>319</v>
      </c>
      <c r="B300" s="691" t="s">
        <v>751</v>
      </c>
      <c r="C300" s="1087">
        <f t="shared" si="72"/>
        <v>2121.4584571428572</v>
      </c>
      <c r="D300" s="1088">
        <f t="shared" si="72"/>
        <v>5.4356931534045982E-3</v>
      </c>
      <c r="E300" s="1072">
        <f t="shared" si="72"/>
        <v>-0.63331383871554725</v>
      </c>
      <c r="F300" s="1072">
        <f t="shared" si="72"/>
        <v>-0.53153825980990832</v>
      </c>
      <c r="G300" s="1073">
        <f t="shared" si="72"/>
        <v>960.23059999999998</v>
      </c>
      <c r="H300" s="1074">
        <f t="shared" si="72"/>
        <v>2.6590660223142948E-3</v>
      </c>
      <c r="I300" s="1075">
        <f t="shared" si="72"/>
        <v>6.3820660890696566</v>
      </c>
      <c r="J300" s="1075">
        <f t="shared" si="72"/>
        <v>3.126768479322696</v>
      </c>
      <c r="K300" s="1076">
        <f t="shared" si="72"/>
        <v>4.988018554669714</v>
      </c>
      <c r="L300" s="1072">
        <f t="shared" si="72"/>
        <v>-0.2975700901517318</v>
      </c>
      <c r="M300" s="1077">
        <f t="shared" si="73"/>
        <v>3.6764587184436395</v>
      </c>
      <c r="N300" s="1078">
        <f t="shared" si="73"/>
        <v>0.95644485424869818</v>
      </c>
      <c r="O300" s="1079">
        <f t="shared" si="73"/>
        <v>5.7346309608293736E-3</v>
      </c>
      <c r="P300" s="1080">
        <f t="shared" si="73"/>
        <v>0.97265268915223335</v>
      </c>
      <c r="Q300" s="1078">
        <f t="shared" si="73"/>
        <v>0.16489915086810925</v>
      </c>
      <c r="R300" s="1079">
        <f t="shared" si="73"/>
        <v>2.0043608623878186</v>
      </c>
      <c r="S300" s="1080">
        <f t="shared" si="73"/>
        <v>0.32988338723452482</v>
      </c>
      <c r="T300" s="1078">
        <f t="shared" si="73"/>
        <v>0.27218937885351913</v>
      </c>
      <c r="U300" s="1079">
        <f t="shared" si="73"/>
        <v>1.2181747217666232</v>
      </c>
      <c r="V300" s="1014">
        <f t="shared" si="73"/>
        <v>0.4561905930983241</v>
      </c>
      <c r="W300" s="1072">
        <f t="shared" si="73"/>
        <v>0.10729022798540988</v>
      </c>
      <c r="X300" s="1072">
        <f t="shared" si="73"/>
        <v>0.65064148250965514</v>
      </c>
      <c r="Y300" s="1081" t="str">
        <f t="shared" si="73"/>
        <v>Not rated</v>
      </c>
      <c r="Z300" s="1082"/>
      <c r="AA300" s="1076">
        <f t="shared" si="74"/>
        <v>1.2440956586918632</v>
      </c>
      <c r="AB300" s="1083">
        <f t="shared" si="74"/>
        <v>0.5581122698382367</v>
      </c>
      <c r="AC300" s="1077">
        <f t="shared" si="74"/>
        <v>1.6771658832683087</v>
      </c>
      <c r="AD300" s="949"/>
      <c r="AE300" s="949"/>
      <c r="AF300" s="949"/>
      <c r="AG300" s="2129"/>
      <c r="AH300" s="949"/>
      <c r="AI300" s="949"/>
      <c r="AJ300" s="949"/>
      <c r="AK300" s="949"/>
      <c r="AL300" s="949"/>
      <c r="AM300" s="949"/>
      <c r="AN300" s="949"/>
      <c r="AO300" s="949"/>
      <c r="AP300" s="949"/>
      <c r="AQ300" s="949"/>
      <c r="AR300" s="110"/>
      <c r="AS300" s="110"/>
      <c r="AT300" s="110"/>
      <c r="AU300" s="949"/>
      <c r="AV300" s="949"/>
      <c r="AW300" s="949"/>
      <c r="AX300" s="949"/>
      <c r="AY300" s="949"/>
      <c r="AZ300" s="949"/>
      <c r="BA300" s="949"/>
      <c r="BB300" s="949"/>
      <c r="BC300" s="949"/>
      <c r="BD300" s="949"/>
      <c r="BE300" s="2267"/>
    </row>
    <row r="301" spans="1:57">
      <c r="A301" s="1090" t="s">
        <v>374</v>
      </c>
      <c r="B301" s="73" t="s">
        <v>42</v>
      </c>
      <c r="C301" s="1085">
        <f t="shared" si="72"/>
        <v>2432.5463571428577</v>
      </c>
      <c r="D301" s="1086">
        <f t="shared" si="72"/>
        <v>6.2327761047315808E-3</v>
      </c>
      <c r="E301" s="1060">
        <f t="shared" si="72"/>
        <v>-3.2258071946582277E-2</v>
      </c>
      <c r="F301" s="1060">
        <f t="shared" si="72"/>
        <v>6.9517506959056674E-2</v>
      </c>
      <c r="G301" s="1061">
        <f t="shared" si="72"/>
        <v>2940.9023000000002</v>
      </c>
      <c r="H301" s="1062">
        <f t="shared" si="72"/>
        <v>8.143932697912316E-3</v>
      </c>
      <c r="I301" s="1063">
        <f t="shared" si="72"/>
        <v>1.2689619717468461</v>
      </c>
      <c r="J301" s="1063">
        <f t="shared" si="72"/>
        <v>1.312316956715752</v>
      </c>
      <c r="K301" s="1064">
        <f t="shared" si="72"/>
        <v>3.8459062845563983</v>
      </c>
      <c r="L301" s="1060">
        <f t="shared" si="72"/>
        <v>3.4291324439135469E-2</v>
      </c>
      <c r="M301" s="1065">
        <f t="shared" si="73"/>
        <v>3.7439277362047823</v>
      </c>
      <c r="N301" s="1066">
        <f t="shared" si="73"/>
        <v>0.56323171407839789</v>
      </c>
      <c r="O301" s="1067">
        <f t="shared" si="73"/>
        <v>-0.12023286586287618</v>
      </c>
      <c r="P301" s="1068">
        <f t="shared" si="73"/>
        <v>0.53987730061349704</v>
      </c>
      <c r="Q301" s="1066">
        <f t="shared" si="73"/>
        <v>0.60887331285954671</v>
      </c>
      <c r="R301" s="1067">
        <f t="shared" si="73"/>
        <v>-0.37303497156800469</v>
      </c>
      <c r="S301" s="1068">
        <f t="shared" si="73"/>
        <v>0.37659759063604481</v>
      </c>
      <c r="T301" s="1066">
        <f t="shared" si="73"/>
        <v>0.63388271448107447</v>
      </c>
      <c r="U301" s="1067">
        <f t="shared" si="73"/>
        <v>-0.25869992498286548</v>
      </c>
      <c r="V301" s="104">
        <f t="shared" si="73"/>
        <v>0.44527495080222473</v>
      </c>
      <c r="W301" s="1060">
        <f t="shared" si="73"/>
        <v>2.500940162152776E-2</v>
      </c>
      <c r="X301" s="1060">
        <f t="shared" si="73"/>
        <v>4.1074885519406669E-2</v>
      </c>
      <c r="Y301" s="1069" t="str">
        <f t="shared" si="73"/>
        <v>B-</v>
      </c>
      <c r="Z301" s="1070" t="str">
        <f t="shared" ref="Z301:Z308" si="75">VLOOKUP($B301,$B$7:$AC$28,Z$37+1,FALSE)</f>
        <v>=  =  -</v>
      </c>
      <c r="AA301" s="1064">
        <f t="shared" si="74"/>
        <v>2.172629043332774</v>
      </c>
      <c r="AB301" s="1071">
        <f t="shared" si="74"/>
        <v>-0.22035736928264804</v>
      </c>
      <c r="AC301" s="1065">
        <f t="shared" si="74"/>
        <v>1.5517268924243866</v>
      </c>
      <c r="AD301" s="949"/>
      <c r="AE301" s="949"/>
      <c r="AF301" s="949"/>
      <c r="AG301" s="2129"/>
      <c r="AH301" s="949"/>
      <c r="AI301" s="949"/>
      <c r="AJ301" s="949"/>
      <c r="AK301" s="949"/>
      <c r="AL301" s="949"/>
      <c r="AM301" s="949"/>
      <c r="AN301" s="949"/>
      <c r="AO301" s="949"/>
      <c r="AP301" s="949"/>
      <c r="AQ301" s="949"/>
      <c r="AR301" s="110"/>
      <c r="AS301" s="110"/>
      <c r="AT301" s="110"/>
      <c r="AU301" s="949"/>
      <c r="AV301" s="949"/>
      <c r="AW301" s="949"/>
      <c r="AX301" s="949"/>
      <c r="AY301" s="949"/>
      <c r="AZ301" s="949"/>
      <c r="BA301" s="949"/>
      <c r="BB301" s="949"/>
      <c r="BC301" s="949"/>
      <c r="BD301" s="949"/>
      <c r="BE301" s="2267"/>
    </row>
    <row r="302" spans="1:57">
      <c r="A302" s="1090" t="s">
        <v>539</v>
      </c>
      <c r="B302" s="73" t="s">
        <v>39</v>
      </c>
      <c r="C302" s="1085">
        <f t="shared" si="72"/>
        <v>5059.5155870714543</v>
      </c>
      <c r="D302" s="1086">
        <f t="shared" si="72"/>
        <v>1.2963710952524294E-2</v>
      </c>
      <c r="E302" s="1060">
        <f t="shared" si="72"/>
        <v>-0.13366823909704381</v>
      </c>
      <c r="F302" s="1060">
        <f t="shared" si="72"/>
        <v>-3.1892660191404867E-2</v>
      </c>
      <c r="G302" s="1061">
        <f t="shared" si="72"/>
        <v>5057.8123335929276</v>
      </c>
      <c r="H302" s="1062">
        <f t="shared" si="72"/>
        <v>1.4006069920599414E-2</v>
      </c>
      <c r="I302" s="1063">
        <f t="shared" si="72"/>
        <v>1.6858649053444912</v>
      </c>
      <c r="J302" s="1063">
        <f t="shared" si="72"/>
        <v>1.7703056194544857</v>
      </c>
      <c r="K302" s="1064">
        <f t="shared" si="72"/>
        <v>6.1343182706324946</v>
      </c>
      <c r="L302" s="1060">
        <f t="shared" si="72"/>
        <v>-0.19036897853308513</v>
      </c>
      <c r="M302" s="1065">
        <f t="shared" si="73"/>
        <v>5.9052222685092017</v>
      </c>
      <c r="N302" s="1066">
        <f t="shared" si="73"/>
        <v>0.31054928118178421</v>
      </c>
      <c r="O302" s="1067">
        <f t="shared" si="73"/>
        <v>-0.11491916916279199</v>
      </c>
      <c r="P302" s="1068">
        <f t="shared" si="73"/>
        <v>0.28165979767703259</v>
      </c>
      <c r="Q302" s="1066">
        <f t="shared" si="73"/>
        <v>0.3899242463002407</v>
      </c>
      <c r="R302" s="1067">
        <f t="shared" si="73"/>
        <v>-0.1197676600756727</v>
      </c>
      <c r="S302" s="1068">
        <f t="shared" si="73"/>
        <v>0.37944762378701169</v>
      </c>
      <c r="T302" s="1066">
        <f t="shared" si="73"/>
        <v>0.45093517146474416</v>
      </c>
      <c r="U302" s="1067">
        <f t="shared" si="73"/>
        <v>-8.3572610535330494E-2</v>
      </c>
      <c r="V302" s="104">
        <f t="shared" si="73"/>
        <v>0.43916945384982109</v>
      </c>
      <c r="W302" s="1060">
        <f t="shared" si="73"/>
        <v>6.101092516450346E-2</v>
      </c>
      <c r="X302" s="1060">
        <f t="shared" si="73"/>
        <v>0.15646866216553562</v>
      </c>
      <c r="Y302" s="1069" t="str">
        <f t="shared" si="73"/>
        <v>BBB</v>
      </c>
      <c r="Z302" s="1070" t="str">
        <f t="shared" si="75"/>
        <v>­  = =</v>
      </c>
      <c r="AA302" s="1064">
        <f t="shared" si="74"/>
        <v>2.6587814840492587</v>
      </c>
      <c r="AB302" s="1071">
        <f t="shared" si="74"/>
        <v>-0.25803195656746131</v>
      </c>
      <c r="AC302" s="1065">
        <f t="shared" si="74"/>
        <v>2.5933932385229874</v>
      </c>
      <c r="AD302" s="949"/>
      <c r="AE302" s="949"/>
      <c r="AF302" s="949"/>
      <c r="AG302" s="2129"/>
      <c r="AH302" s="949"/>
      <c r="AI302" s="949"/>
      <c r="AJ302" s="949"/>
      <c r="AK302" s="949"/>
      <c r="AL302" s="949"/>
      <c r="AM302" s="949"/>
      <c r="AN302" s="949"/>
      <c r="AO302" s="949"/>
      <c r="AP302" s="949"/>
      <c r="AQ302" s="949"/>
      <c r="AR302" s="110"/>
      <c r="AS302" s="110"/>
      <c r="AT302" s="110"/>
      <c r="AU302" s="949"/>
      <c r="AV302" s="949"/>
      <c r="AW302" s="949"/>
      <c r="AX302" s="949"/>
      <c r="AY302" s="949"/>
      <c r="AZ302" s="949"/>
      <c r="BA302" s="949"/>
      <c r="BB302" s="949"/>
      <c r="BC302" s="949"/>
      <c r="BD302" s="949"/>
      <c r="BE302" s="2267"/>
    </row>
    <row r="303" spans="1:57">
      <c r="A303" s="1090" t="s">
        <v>32</v>
      </c>
      <c r="B303" s="73" t="s">
        <v>50</v>
      </c>
      <c r="C303" s="1085">
        <f t="shared" si="72"/>
        <v>19515.355899391296</v>
      </c>
      <c r="D303" s="1086">
        <f t="shared" si="72"/>
        <v>5.0003093905237848E-2</v>
      </c>
      <c r="E303" s="1060">
        <f t="shared" si="72"/>
        <v>1.1994936816856254</v>
      </c>
      <c r="F303" s="1060">
        <f t="shared" si="72"/>
        <v>1.3012692605912644</v>
      </c>
      <c r="G303" s="1061">
        <f t="shared" si="72"/>
        <v>28491.576306321644</v>
      </c>
      <c r="H303" s="1062">
        <f t="shared" si="72"/>
        <v>7.8898737947233621E-2</v>
      </c>
      <c r="I303" s="1063">
        <f t="shared" si="72"/>
        <v>-0.89894076859195104</v>
      </c>
      <c r="J303" s="1063">
        <f t="shared" si="72"/>
        <v>39.625784878048783</v>
      </c>
      <c r="K303" s="1064">
        <f t="shared" si="72"/>
        <v>4.7123747267525307</v>
      </c>
      <c r="L303" s="1060">
        <f t="shared" si="72"/>
        <v>0.4140020451008824</v>
      </c>
      <c r="M303" s="1065">
        <f t="shared" si="73"/>
        <v>5.7096258695546744</v>
      </c>
      <c r="N303" s="1066">
        <f t="shared" si="73"/>
        <v>0</v>
      </c>
      <c r="O303" s="1067">
        <f t="shared" si="73"/>
        <v>0</v>
      </c>
      <c r="P303" s="1068">
        <f t="shared" si="73"/>
        <v>0</v>
      </c>
      <c r="Q303" s="1066">
        <f t="shared" si="73"/>
        <v>0.37025195227815472</v>
      </c>
      <c r="R303" s="1067">
        <f t="shared" si="73"/>
        <v>-0.46222821771061889</v>
      </c>
      <c r="S303" s="1068">
        <f t="shared" si="73"/>
        <v>0.26403640782716253</v>
      </c>
      <c r="T303" s="1066">
        <f t="shared" si="73"/>
        <v>0.48927059752514818</v>
      </c>
      <c r="U303" s="1067">
        <f t="shared" si="73"/>
        <v>-0.38189416595312975</v>
      </c>
      <c r="V303" s="104">
        <f t="shared" si="73"/>
        <v>0.37414035756341019</v>
      </c>
      <c r="W303" s="1060">
        <f t="shared" si="73"/>
        <v>0.11901864524699346</v>
      </c>
      <c r="X303" s="1060">
        <f t="shared" si="73"/>
        <v>0.32145312000294263</v>
      </c>
      <c r="Y303" s="1069" t="str">
        <f t="shared" si="73"/>
        <v>BBB</v>
      </c>
      <c r="Z303" s="1070" t="str">
        <f t="shared" si="75"/>
        <v xml:space="preserve">=  -  = </v>
      </c>
      <c r="AA303" s="1064">
        <f t="shared" si="74"/>
        <v>2.2664974928712622</v>
      </c>
      <c r="AB303" s="1071">
        <f t="shared" si="74"/>
        <v>-0.12537902502142731</v>
      </c>
      <c r="AC303" s="1065">
        <f t="shared" si="74"/>
        <v>2.136201464388483</v>
      </c>
      <c r="AD303" s="949"/>
      <c r="AE303" s="949"/>
      <c r="AF303" s="949"/>
      <c r="AG303" s="2129"/>
      <c r="AH303" s="949"/>
      <c r="AI303" s="949"/>
      <c r="AJ303" s="949"/>
      <c r="AK303" s="949"/>
      <c r="AL303" s="949"/>
      <c r="AM303" s="949"/>
      <c r="AN303" s="949"/>
      <c r="AO303" s="949"/>
      <c r="AP303" s="949"/>
      <c r="AQ303" s="949"/>
      <c r="AR303" s="110"/>
      <c r="AS303" s="110"/>
      <c r="AT303" s="110"/>
      <c r="AU303" s="949"/>
      <c r="AV303" s="949"/>
      <c r="AW303" s="949"/>
      <c r="AX303" s="949"/>
      <c r="AY303" s="949"/>
      <c r="AZ303" s="949"/>
      <c r="BA303" s="949"/>
      <c r="BB303" s="949"/>
      <c r="BC303" s="949"/>
      <c r="BD303" s="949"/>
      <c r="BE303" s="2267"/>
    </row>
    <row r="304" spans="1:57">
      <c r="A304" s="1090" t="s">
        <v>502</v>
      </c>
      <c r="B304" s="73" t="s">
        <v>287</v>
      </c>
      <c r="C304" s="1085">
        <f t="shared" si="72"/>
        <v>4580.8423286191064</v>
      </c>
      <c r="D304" s="1086">
        <f t="shared" si="72"/>
        <v>1.1737233504933111E-2</v>
      </c>
      <c r="E304" s="1060">
        <f t="shared" si="72"/>
        <v>-0.49577837871365099</v>
      </c>
      <c r="F304" s="1060">
        <f t="shared" si="72"/>
        <v>-0.39400279980801206</v>
      </c>
      <c r="G304" s="1061">
        <f t="shared" si="72"/>
        <v>2322.4005110115481</v>
      </c>
      <c r="H304" s="1062">
        <f t="shared" si="72"/>
        <v>6.4311804779353665E-3</v>
      </c>
      <c r="I304" s="1063">
        <f t="shared" si="72"/>
        <v>1.4234279787340207</v>
      </c>
      <c r="J304" s="1063">
        <f t="shared" si="72"/>
        <v>0.8056764866383116</v>
      </c>
      <c r="K304" s="1064">
        <f t="shared" si="72"/>
        <v>4.3531629475873661</v>
      </c>
      <c r="L304" s="1060">
        <f t="shared" si="72"/>
        <v>-8.1025400882275472E-2</v>
      </c>
      <c r="M304" s="1065">
        <f t="shared" si="73"/>
        <v>3.4400754167452243</v>
      </c>
      <c r="N304" s="1066">
        <f t="shared" si="73"/>
        <v>0.42290073595624156</v>
      </c>
      <c r="O304" s="1067">
        <f t="shared" si="73"/>
        <v>-9.0086339251873371E-2</v>
      </c>
      <c r="P304" s="1068">
        <f t="shared" si="73"/>
        <v>0.44946685046944856</v>
      </c>
      <c r="Q304" s="1066">
        <f t="shared" si="73"/>
        <v>0.16307046534988884</v>
      </c>
      <c r="R304" s="1067">
        <f t="shared" si="73"/>
        <v>1.3005419282788433</v>
      </c>
      <c r="S304" s="1068">
        <f t="shared" si="73"/>
        <v>0.30950096360373897</v>
      </c>
      <c r="T304" s="1066">
        <f t="shared" si="73"/>
        <v>0.18570292678335293</v>
      </c>
      <c r="U304" s="1067">
        <f t="shared" si="73"/>
        <v>1.251733079461073</v>
      </c>
      <c r="V304" s="104">
        <f t="shared" si="73"/>
        <v>0.34197601038246805</v>
      </c>
      <c r="W304" s="1060">
        <f t="shared" si="73"/>
        <v>2.2632461433464091E-2</v>
      </c>
      <c r="X304" s="1060">
        <f t="shared" si="73"/>
        <v>0.13878945758144007</v>
      </c>
      <c r="Y304" s="1069" t="str">
        <f t="shared" si="73"/>
        <v>BBB</v>
      </c>
      <c r="Z304" s="1070" t="str">
        <f t="shared" si="75"/>
        <v>=  ¯ -</v>
      </c>
      <c r="AA304" s="1064">
        <f t="shared" si="74"/>
        <v>0.77886477042851432</v>
      </c>
      <c r="AB304" s="1071">
        <f t="shared" si="74"/>
        <v>1.0703005310133176</v>
      </c>
      <c r="AC304" s="1065">
        <f t="shared" si="74"/>
        <v>1.1762690733772538</v>
      </c>
      <c r="AD304" s="949"/>
      <c r="AE304" s="949"/>
      <c r="AF304" s="949"/>
      <c r="AG304" s="2129"/>
      <c r="AH304" s="949"/>
      <c r="AI304" s="949"/>
      <c r="AJ304" s="949"/>
      <c r="AK304" s="949"/>
      <c r="AL304" s="949"/>
      <c r="AM304" s="949"/>
      <c r="AN304" s="949"/>
      <c r="AO304" s="949"/>
      <c r="AP304" s="949"/>
      <c r="AQ304" s="949"/>
      <c r="AR304" s="110"/>
      <c r="AS304" s="110"/>
      <c r="AT304" s="110"/>
      <c r="AU304" s="949"/>
      <c r="AV304" s="949"/>
      <c r="AW304" s="949"/>
      <c r="AX304" s="949"/>
      <c r="AY304" s="949"/>
      <c r="AZ304" s="949"/>
      <c r="BA304" s="949"/>
      <c r="BB304" s="949"/>
      <c r="BC304" s="949"/>
      <c r="BD304" s="949"/>
      <c r="BE304" s="2267"/>
    </row>
    <row r="305" spans="1:57">
      <c r="A305" s="1090" t="s">
        <v>73</v>
      </c>
      <c r="B305" s="73" t="s">
        <v>283</v>
      </c>
      <c r="C305" s="1085">
        <f t="shared" si="72"/>
        <v>2461.5190857142857</v>
      </c>
      <c r="D305" s="1086">
        <f t="shared" si="72"/>
        <v>6.3070112903421734E-3</v>
      </c>
      <c r="E305" s="1060">
        <f t="shared" si="72"/>
        <v>6.738754525599433E-2</v>
      </c>
      <c r="F305" s="1060">
        <f t="shared" si="72"/>
        <v>0.16916312416163326</v>
      </c>
      <c r="G305" s="1061">
        <f t="shared" si="72"/>
        <v>2364.3629999999998</v>
      </c>
      <c r="H305" s="1062">
        <f t="shared" si="72"/>
        <v>6.5473828033777437E-3</v>
      </c>
      <c r="I305" s="1063">
        <f t="shared" si="72"/>
        <v>3.1397518024733277</v>
      </c>
      <c r="J305" s="1063">
        <f t="shared" si="72"/>
        <v>3.0995844257996854</v>
      </c>
      <c r="K305" s="1064">
        <f t="shared" si="72"/>
        <v>6.6917014692746157</v>
      </c>
      <c r="L305" s="1060">
        <f t="shared" si="72"/>
        <v>0.14721542174528052</v>
      </c>
      <c r="M305" s="1065">
        <f t="shared" si="73"/>
        <v>7.0127743881429545</v>
      </c>
      <c r="N305" s="1066">
        <f t="shared" si="73"/>
        <v>0.62657499999999999</v>
      </c>
      <c r="O305" s="1067">
        <f t="shared" si="73"/>
        <v>5.5614710459497153E-2</v>
      </c>
      <c r="P305" s="1068">
        <f t="shared" si="73"/>
        <v>0.64439999999999997</v>
      </c>
      <c r="Q305" s="1066">
        <f t="shared" si="73"/>
        <v>0.24190098439360719</v>
      </c>
      <c r="R305" s="1067">
        <f t="shared" si="73"/>
        <v>0.20667512064869559</v>
      </c>
      <c r="S305" s="1068">
        <f t="shared" si="73"/>
        <v>0.30597960586046052</v>
      </c>
      <c r="T305" s="1066">
        <f t="shared" si="73"/>
        <v>0.2616424852780464</v>
      </c>
      <c r="U305" s="1067">
        <f t="shared" si="73"/>
        <v>0.20296552626351777</v>
      </c>
      <c r="V305" s="104">
        <f t="shared" si="73"/>
        <v>0.32061814749302248</v>
      </c>
      <c r="W305" s="1060">
        <f t="shared" si="73"/>
        <v>1.9741500884439211E-2</v>
      </c>
      <c r="X305" s="1060">
        <f t="shared" si="73"/>
        <v>8.1609841042717679E-2</v>
      </c>
      <c r="Y305" s="1069" t="str">
        <f t="shared" si="73"/>
        <v>BBB</v>
      </c>
      <c r="Z305" s="1070" t="str">
        <f t="shared" si="75"/>
        <v>=  =  -</v>
      </c>
      <c r="AA305" s="1064">
        <f t="shared" si="74"/>
        <v>1.7511002028712532</v>
      </c>
      <c r="AB305" s="1071">
        <f t="shared" si="74"/>
        <v>0.37093258903528414</v>
      </c>
      <c r="AC305" s="1065">
        <f t="shared" si="74"/>
        <v>2.2311132077757287</v>
      </c>
      <c r="AD305" s="949"/>
      <c r="AE305" s="949"/>
      <c r="AF305" s="949"/>
      <c r="AG305" s="2129"/>
      <c r="AH305" s="949"/>
      <c r="AI305" s="949"/>
      <c r="AJ305" s="949"/>
      <c r="AK305" s="949"/>
      <c r="AL305" s="949"/>
      <c r="AM305" s="949"/>
      <c r="AN305" s="949"/>
      <c r="AO305" s="949"/>
      <c r="AP305" s="949"/>
      <c r="AQ305" s="949"/>
      <c r="AR305" s="110"/>
      <c r="AS305" s="110"/>
      <c r="AT305" s="110"/>
      <c r="AU305" s="949"/>
      <c r="AV305" s="949"/>
      <c r="AW305" s="949"/>
      <c r="AX305" s="949"/>
      <c r="AY305" s="949"/>
      <c r="AZ305" s="949"/>
      <c r="BA305" s="949"/>
      <c r="BB305" s="949"/>
      <c r="BC305" s="949"/>
      <c r="BD305" s="949"/>
      <c r="BE305" s="2267"/>
    </row>
    <row r="306" spans="1:57">
      <c r="A306" s="1090" t="s">
        <v>504</v>
      </c>
      <c r="B306" s="73" t="s">
        <v>288</v>
      </c>
      <c r="C306" s="1085">
        <f t="shared" si="72"/>
        <v>16250.837973523972</v>
      </c>
      <c r="D306" s="1086">
        <f t="shared" si="72"/>
        <v>4.1638604052015776E-2</v>
      </c>
      <c r="E306" s="1060">
        <f t="shared" si="72"/>
        <v>0.20894195471198634</v>
      </c>
      <c r="F306" s="1060">
        <f t="shared" si="72"/>
        <v>0.31071753361762527</v>
      </c>
      <c r="G306" s="1061">
        <f t="shared" si="72"/>
        <v>17428.290742138299</v>
      </c>
      <c r="H306" s="1062">
        <f t="shared" si="72"/>
        <v>4.826234004564605E-2</v>
      </c>
      <c r="I306" s="1063">
        <f t="shared" si="72"/>
        <v>4.0995220850209826</v>
      </c>
      <c r="J306" s="1063">
        <f t="shared" si="72"/>
        <v>4.5731712273212377</v>
      </c>
      <c r="K306" s="1064">
        <f t="shared" si="72"/>
        <v>6.7450557383311427</v>
      </c>
      <c r="L306" s="1060">
        <f t="shared" si="72"/>
        <v>0.2149868566781509</v>
      </c>
      <c r="M306" s="1065">
        <f t="shared" si="73"/>
        <v>7.5822149145373468</v>
      </c>
      <c r="N306" s="1066">
        <f t="shared" si="73"/>
        <v>0.32615050588405037</v>
      </c>
      <c r="O306" s="1067">
        <f t="shared" si="73"/>
        <v>-8.7660674172335792E-2</v>
      </c>
      <c r="P306" s="1068">
        <f t="shared" si="73"/>
        <v>0.30985103942866765</v>
      </c>
      <c r="Q306" s="1066">
        <f t="shared" si="73"/>
        <v>0.30558583418722468</v>
      </c>
      <c r="R306" s="1067">
        <f t="shared" si="73"/>
        <v>-0.13620468181810452</v>
      </c>
      <c r="S306" s="1068">
        <f t="shared" si="73"/>
        <v>0.29018390059321952</v>
      </c>
      <c r="T306" s="1066">
        <f t="shared" si="73"/>
        <v>0.31922230141848357</v>
      </c>
      <c r="U306" s="1067">
        <f t="shared" si="73"/>
        <v>-0.13496032758973828</v>
      </c>
      <c r="V306" s="104">
        <f t="shared" si="73"/>
        <v>0.30362227391248225</v>
      </c>
      <c r="W306" s="1060">
        <f t="shared" si="73"/>
        <v>1.3636467231258886E-2</v>
      </c>
      <c r="X306" s="1060">
        <f t="shared" si="73"/>
        <v>4.4624016252350789E-2</v>
      </c>
      <c r="Y306" s="1069" t="str">
        <f t="shared" si="73"/>
        <v>A</v>
      </c>
      <c r="Z306" s="1070" t="str">
        <f t="shared" si="75"/>
        <v>=  =  -</v>
      </c>
      <c r="AA306" s="1064">
        <f t="shared" si="74"/>
        <v>2.1579177629636748</v>
      </c>
      <c r="AB306" s="1071">
        <f t="shared" si="74"/>
        <v>6.0078851309961184E-2</v>
      </c>
      <c r="AC306" s="1065">
        <f t="shared" si="74"/>
        <v>2.3009327536910358</v>
      </c>
      <c r="AD306" s="949"/>
      <c r="AE306" s="949"/>
      <c r="AF306" s="949"/>
      <c r="AG306" s="2129"/>
      <c r="AH306" s="949"/>
      <c r="AI306" s="949"/>
      <c r="AJ306" s="949"/>
      <c r="AK306" s="949"/>
      <c r="AL306" s="949"/>
      <c r="AM306" s="949"/>
      <c r="AN306" s="949"/>
      <c r="AO306" s="949"/>
      <c r="AP306" s="949"/>
      <c r="AQ306" s="949"/>
      <c r="AR306" s="110"/>
      <c r="AS306" s="110"/>
      <c r="AT306" s="110"/>
      <c r="AU306" s="949"/>
      <c r="AV306" s="949"/>
      <c r="AW306" s="949"/>
      <c r="AX306" s="949"/>
      <c r="AY306" s="949"/>
      <c r="AZ306" s="949"/>
      <c r="BA306" s="949"/>
      <c r="BB306" s="949"/>
      <c r="BC306" s="949"/>
      <c r="BD306" s="949"/>
      <c r="BE306" s="2267"/>
    </row>
    <row r="307" spans="1:57">
      <c r="A307" s="1091" t="s">
        <v>319</v>
      </c>
      <c r="B307" s="691" t="s">
        <v>750</v>
      </c>
      <c r="C307" s="1087">
        <f t="shared" si="72"/>
        <v>7616.907214285714</v>
      </c>
      <c r="D307" s="1088">
        <f t="shared" si="72"/>
        <v>1.9516371039653539E-2</v>
      </c>
      <c r="E307" s="1072">
        <f t="shared" si="72"/>
        <v>-0.33365525120929096</v>
      </c>
      <c r="F307" s="1072">
        <f t="shared" si="72"/>
        <v>-0.23187967230365203</v>
      </c>
      <c r="G307" s="1073">
        <f t="shared" si="72"/>
        <v>5825.8631999999998</v>
      </c>
      <c r="H307" s="1074">
        <f t="shared" si="72"/>
        <v>1.6132952736323161E-2</v>
      </c>
      <c r="I307" s="1075">
        <f t="shared" si="72"/>
        <v>2.4107651340270966</v>
      </c>
      <c r="J307" s="1075">
        <f t="shared" si="72"/>
        <v>2.0327505931612002</v>
      </c>
      <c r="K307" s="1076">
        <f t="shared" si="72"/>
        <v>4.7469851722287064</v>
      </c>
      <c r="L307" s="1072">
        <f t="shared" si="72"/>
        <v>0.1951757211867983</v>
      </c>
      <c r="M307" s="1077">
        <f t="shared" si="73"/>
        <v>4.6619962755533297</v>
      </c>
      <c r="N307" s="1078">
        <f t="shared" si="73"/>
        <v>0.37158673775730477</v>
      </c>
      <c r="O307" s="1079">
        <f t="shared" si="73"/>
        <v>-0.1153634304384116</v>
      </c>
      <c r="P307" s="1080">
        <f t="shared" si="73"/>
        <v>0.36037883142173305</v>
      </c>
      <c r="Q307" s="1078">
        <f t="shared" si="73"/>
        <v>0.17383796150947908</v>
      </c>
      <c r="R307" s="1079">
        <f t="shared" si="73"/>
        <v>0.54445307336528614</v>
      </c>
      <c r="S307" s="1080">
        <f t="shared" si="73"/>
        <v>0.26356163003804695</v>
      </c>
      <c r="T307" s="1078">
        <f t="shared" si="73"/>
        <v>0.19702478682132593</v>
      </c>
      <c r="U307" s="1079">
        <f t="shared" si="73"/>
        <v>0.50034734616182497</v>
      </c>
      <c r="V307" s="1014">
        <f t="shared" si="73"/>
        <v>0.28756363720088318</v>
      </c>
      <c r="W307" s="1072">
        <f t="shared" si="73"/>
        <v>2.3186825311846848E-2</v>
      </c>
      <c r="X307" s="1072">
        <f t="shared" si="73"/>
        <v>0.13338182932260462</v>
      </c>
      <c r="Y307" s="1081" t="str">
        <f t="shared" si="73"/>
        <v>A</v>
      </c>
      <c r="Z307" s="1082" t="str">
        <f t="shared" si="75"/>
        <v>=  =  -</v>
      </c>
      <c r="AA307" s="1076">
        <f t="shared" si="74"/>
        <v>0.93248540191552354</v>
      </c>
      <c r="AB307" s="1083">
        <f t="shared" si="74"/>
        <v>0.78949919521054279</v>
      </c>
      <c r="AC307" s="1077">
        <f t="shared" si="74"/>
        <v>1.3109622071604587</v>
      </c>
      <c r="AD307" s="949"/>
      <c r="AE307" s="949"/>
      <c r="AF307" s="949"/>
      <c r="AG307" s="2129"/>
      <c r="AH307" s="949"/>
      <c r="AI307" s="949"/>
      <c r="AJ307" s="949"/>
      <c r="AK307" s="949"/>
      <c r="AL307" s="949"/>
      <c r="AM307" s="949"/>
      <c r="AN307" s="949"/>
      <c r="AO307" s="949"/>
      <c r="AP307" s="949"/>
      <c r="AQ307" s="949"/>
      <c r="AR307" s="110"/>
      <c r="AS307" s="110"/>
      <c r="AT307" s="110"/>
      <c r="AU307" s="949"/>
      <c r="AV307" s="949"/>
      <c r="AW307" s="949"/>
      <c r="AX307" s="949"/>
      <c r="AY307" s="949"/>
      <c r="AZ307" s="949"/>
      <c r="BA307" s="949"/>
      <c r="BB307" s="949"/>
      <c r="BC307" s="949"/>
      <c r="BD307" s="949"/>
      <c r="BE307" s="2267"/>
    </row>
    <row r="308" spans="1:57">
      <c r="A308" s="1090" t="s">
        <v>503</v>
      </c>
      <c r="B308" s="73" t="s">
        <v>282</v>
      </c>
      <c r="C308" s="1085">
        <f t="shared" si="72"/>
        <v>22949.481858519866</v>
      </c>
      <c r="D308" s="1086">
        <f t="shared" si="72"/>
        <v>5.8802160840116385E-2</v>
      </c>
      <c r="E308" s="1060">
        <f t="shared" si="72"/>
        <v>-8.3288171902550459E-2</v>
      </c>
      <c r="F308" s="1060">
        <f t="shared" si="72"/>
        <v>1.8487407003088485E-2</v>
      </c>
      <c r="G308" s="1061">
        <f t="shared" si="72"/>
        <v>21731.57918967646</v>
      </c>
      <c r="H308" s="1062">
        <f t="shared" si="72"/>
        <v>6.0178986000343146E-2</v>
      </c>
      <c r="I308" s="1063">
        <f t="shared" si="72"/>
        <v>1.7647070716020126</v>
      </c>
      <c r="J308" s="1063">
        <f t="shared" si="72"/>
        <v>1.7786623686113903</v>
      </c>
      <c r="K308" s="1064">
        <f t="shared" si="72"/>
        <v>7.5628972253366413</v>
      </c>
      <c r="L308" s="1060">
        <f t="shared" si="72"/>
        <v>2.1076957712408067E-2</v>
      </c>
      <c r="M308" s="1065">
        <f t="shared" si="73"/>
        <v>7.6896404016441506</v>
      </c>
      <c r="N308" s="1066">
        <f t="shared" si="73"/>
        <v>0.67984865616162071</v>
      </c>
      <c r="O308" s="1067">
        <f t="shared" si="73"/>
        <v>0.13956056160252914</v>
      </c>
      <c r="P308" s="1068">
        <f t="shared" si="73"/>
        <v>0.7167630057803468</v>
      </c>
      <c r="Q308" s="1066">
        <f t="shared" si="73"/>
        <v>0.23215418017261674</v>
      </c>
      <c r="R308" s="1067">
        <f t="shared" si="73"/>
        <v>0.36187217108516367</v>
      </c>
      <c r="S308" s="1068">
        <f t="shared" si="73"/>
        <v>0.26525179681706468</v>
      </c>
      <c r="T308" s="1066">
        <f t="shared" si="73"/>
        <v>0.2501311526811702</v>
      </c>
      <c r="U308" s="1067">
        <f t="shared" si="73"/>
        <v>0.31916438327965047</v>
      </c>
      <c r="V308" s="104">
        <f t="shared" si="73"/>
        <v>0.28287599661626001</v>
      </c>
      <c r="W308" s="1060">
        <f t="shared" si="73"/>
        <v>1.7976972508553457E-2</v>
      </c>
      <c r="X308" s="1060">
        <f t="shared" si="73"/>
        <v>7.7435489187344358E-2</v>
      </c>
      <c r="Y308" s="1069" t="str">
        <f t="shared" si="73"/>
        <v>A-</v>
      </c>
      <c r="Z308" s="1070" t="str">
        <f t="shared" si="75"/>
        <v>=  =  =</v>
      </c>
      <c r="AA308" s="1064">
        <f t="shared" si="74"/>
        <v>1.845874038975184</v>
      </c>
      <c r="AB308" s="1071">
        <f t="shared" si="74"/>
        <v>0.36079457239176377</v>
      </c>
      <c r="AC308" s="1065">
        <f t="shared" si="74"/>
        <v>2.1424428051274771</v>
      </c>
      <c r="AD308" s="949"/>
      <c r="AE308" s="949"/>
      <c r="AF308" s="949"/>
      <c r="AG308" s="2129"/>
      <c r="AH308" s="949"/>
      <c r="AI308" s="949"/>
      <c r="AJ308" s="949"/>
      <c r="AK308" s="949"/>
      <c r="AL308" s="949"/>
      <c r="AM308" s="949"/>
      <c r="AN308" s="949"/>
      <c r="AO308" s="949"/>
      <c r="AP308" s="949"/>
      <c r="AQ308" s="949"/>
      <c r="AR308" s="110"/>
      <c r="AS308" s="110"/>
      <c r="AT308" s="110"/>
      <c r="AU308" s="949"/>
      <c r="AV308" s="949"/>
      <c r="AW308" s="949"/>
      <c r="AX308" s="949"/>
      <c r="AY308" s="949"/>
      <c r="AZ308" s="949"/>
      <c r="BA308" s="949"/>
      <c r="BB308" s="949"/>
      <c r="BC308" s="949"/>
      <c r="BD308" s="949"/>
      <c r="BE308" s="2267"/>
    </row>
    <row r="309" spans="1:57">
      <c r="A309" s="1090" t="s">
        <v>503</v>
      </c>
      <c r="B309" s="73" t="s">
        <v>280</v>
      </c>
      <c r="C309" s="1085">
        <f t="shared" si="72"/>
        <v>5769.8566757446433</v>
      </c>
      <c r="D309" s="1086">
        <f t="shared" si="72"/>
        <v>1.4783777793466828E-2</v>
      </c>
      <c r="E309" s="1060">
        <f t="shared" si="72"/>
        <v>-0.24705029723080094</v>
      </c>
      <c r="F309" s="1060">
        <f t="shared" si="72"/>
        <v>-0.14527471832516198</v>
      </c>
      <c r="G309" s="1061">
        <f t="shared" si="72"/>
        <v>4026.3480952657014</v>
      </c>
      <c r="H309" s="1062">
        <f t="shared" si="72"/>
        <v>1.1149744044952231E-2</v>
      </c>
      <c r="I309" s="1063">
        <f t="shared" si="72"/>
        <v>2.446298838298576</v>
      </c>
      <c r="J309" s="1063">
        <f t="shared" si="72"/>
        <v>1.6476276710656086</v>
      </c>
      <c r="K309" s="1064">
        <f t="shared" si="72"/>
        <v>6.5589809256196414</v>
      </c>
      <c r="L309" s="1060">
        <f t="shared" si="72"/>
        <v>1.2127469272410992E-3</v>
      </c>
      <c r="M309" s="1065">
        <f t="shared" si="73"/>
        <v>5.5145354419406587</v>
      </c>
      <c r="N309" s="1066">
        <f t="shared" si="73"/>
        <v>0.67083419702973635</v>
      </c>
      <c r="O309" s="1067">
        <f t="shared" si="73"/>
        <v>-0.11335389957676706</v>
      </c>
      <c r="P309" s="1068">
        <f t="shared" si="73"/>
        <v>0.63639387890884902</v>
      </c>
      <c r="Q309" s="1066">
        <f t="shared" si="73"/>
        <v>0.1536920907726812</v>
      </c>
      <c r="R309" s="1067">
        <f t="shared" si="73"/>
        <v>1.6283818604559013</v>
      </c>
      <c r="S309" s="1068">
        <f t="shared" si="73"/>
        <v>0.2022242346359609</v>
      </c>
      <c r="T309" s="1066">
        <f t="shared" si="73"/>
        <v>0.20961441125119315</v>
      </c>
      <c r="U309" s="1067">
        <f t="shared" si="73"/>
        <v>0.84200521424561081</v>
      </c>
      <c r="V309" s="104">
        <f t="shared" si="73"/>
        <v>0.28147528322389997</v>
      </c>
      <c r="W309" s="1060">
        <f t="shared" si="73"/>
        <v>5.592232047851195E-2</v>
      </c>
      <c r="X309" s="1060">
        <f t="shared" si="73"/>
        <v>0.36385945559959909</v>
      </c>
      <c r="Y309" s="1069" t="str">
        <f t="shared" si="73"/>
        <v>Not rated</v>
      </c>
      <c r="Z309" s="1070"/>
      <c r="AA309" s="1064">
        <f t="shared" si="74"/>
        <v>1.4399592566697517</v>
      </c>
      <c r="AB309" s="1071">
        <f t="shared" si="74"/>
        <v>0.8442860967329926</v>
      </c>
      <c r="AC309" s="1065">
        <f t="shared" si="74"/>
        <v>1.5521418473212367</v>
      </c>
      <c r="AD309" s="949"/>
      <c r="AE309" s="949"/>
      <c r="AF309" s="949"/>
      <c r="AG309" s="2129"/>
      <c r="AH309" s="949"/>
      <c r="AI309" s="949"/>
      <c r="AJ309" s="949"/>
      <c r="AK309" s="949"/>
      <c r="AL309" s="949"/>
      <c r="AM309" s="949"/>
      <c r="AN309" s="949"/>
      <c r="AO309" s="949"/>
      <c r="AP309" s="949"/>
      <c r="AQ309" s="949"/>
      <c r="AR309" s="110"/>
      <c r="AS309" s="110"/>
      <c r="AT309" s="110"/>
      <c r="AU309" s="949"/>
      <c r="AV309" s="949"/>
      <c r="AW309" s="949"/>
      <c r="AX309" s="949"/>
      <c r="AY309" s="949"/>
      <c r="AZ309" s="949"/>
      <c r="BA309" s="949"/>
      <c r="BB309" s="949"/>
      <c r="BC309" s="949"/>
      <c r="BD309" s="949"/>
      <c r="BE309" s="2267"/>
    </row>
    <row r="310" spans="1:57">
      <c r="A310" s="1090" t="s">
        <v>32</v>
      </c>
      <c r="B310" s="73" t="s">
        <v>277</v>
      </c>
      <c r="C310" s="1085">
        <f t="shared" si="72"/>
        <v>103061.53572524291</v>
      </c>
      <c r="D310" s="1086">
        <f t="shared" si="72"/>
        <v>0.26406875054982143</v>
      </c>
      <c r="E310" s="1060">
        <f t="shared" si="72"/>
        <v>7.5306160052783275E-2</v>
      </c>
      <c r="F310" s="1060">
        <f t="shared" si="72"/>
        <v>0.17708173895842222</v>
      </c>
      <c r="G310" s="1061">
        <f t="shared" si="72"/>
        <v>106720.85775234729</v>
      </c>
      <c r="H310" s="1062">
        <f t="shared" si="72"/>
        <v>0.29553089301830604</v>
      </c>
      <c r="I310" s="1063">
        <f t="shared" si="72"/>
        <v>1.0837821931217524</v>
      </c>
      <c r="J310" s="1063">
        <f t="shared" si="72"/>
        <v>1.259272460269286</v>
      </c>
      <c r="K310" s="1064">
        <f t="shared" si="72"/>
        <v>7.534246564629953</v>
      </c>
      <c r="L310" s="1060">
        <f t="shared" si="72"/>
        <v>0.12910548637067604</v>
      </c>
      <c r="M310" s="1065">
        <f t="shared" si="73"/>
        <v>8.6584668441025876</v>
      </c>
      <c r="N310" s="1066">
        <f t="shared" si="73"/>
        <v>0.91487499999999988</v>
      </c>
      <c r="O310" s="1067">
        <f t="shared" si="73"/>
        <v>-4.3736501079913587E-2</v>
      </c>
      <c r="P310" s="1068">
        <f t="shared" si="73"/>
        <v>0.89481420237931208</v>
      </c>
      <c r="Q310" s="1066">
        <f t="shared" si="73"/>
        <v>0.24509229252810941</v>
      </c>
      <c r="R310" s="1067">
        <f t="shared" si="73"/>
        <v>-0.16501821733667812</v>
      </c>
      <c r="S310" s="1068">
        <f t="shared" si="73"/>
        <v>0.23828807339295358</v>
      </c>
      <c r="T310" s="1066">
        <f t="shared" si="73"/>
        <v>0.27870192226407053</v>
      </c>
      <c r="U310" s="1067">
        <f t="shared" si="73"/>
        <v>-0.14309331637647091</v>
      </c>
      <c r="V310" s="104">
        <f t="shared" si="73"/>
        <v>0.2718321660431175</v>
      </c>
      <c r="W310" s="1060">
        <f t="shared" si="73"/>
        <v>3.3609629735961127E-2</v>
      </c>
      <c r="X310" s="1060">
        <f t="shared" si="73"/>
        <v>0.13713050455108242</v>
      </c>
      <c r="Y310" s="1069" t="str">
        <f t="shared" si="73"/>
        <v>A-</v>
      </c>
      <c r="Z310" s="1070" t="str">
        <f>VLOOKUP($B310,$B$7:$AC$28,Z$37+1,FALSE)</f>
        <v>=  =  =</v>
      </c>
      <c r="AA310" s="1064">
        <f t="shared" si="74"/>
        <v>2.0880314655341889</v>
      </c>
      <c r="AB310" s="1071">
        <f t="shared" si="74"/>
        <v>-3.7762767487534328E-2</v>
      </c>
      <c r="AC310" s="1065">
        <f t="shared" si="74"/>
        <v>2.3348198024327131</v>
      </c>
      <c r="AD310" s="949"/>
      <c r="AE310" s="949"/>
      <c r="AF310" s="949"/>
      <c r="AG310" s="2129"/>
      <c r="AH310" s="949"/>
      <c r="AI310" s="949"/>
      <c r="AJ310" s="949"/>
      <c r="AK310" s="949"/>
      <c r="AL310" s="949"/>
      <c r="AM310" s="949"/>
      <c r="AN310" s="949"/>
      <c r="AO310" s="949"/>
      <c r="AP310" s="949"/>
      <c r="AQ310" s="949"/>
      <c r="AR310" s="110"/>
      <c r="AS310" s="110"/>
      <c r="AT310" s="110"/>
      <c r="AU310" s="949"/>
      <c r="AV310" s="949"/>
      <c r="AW310" s="949"/>
      <c r="AX310" s="949"/>
      <c r="AY310" s="949"/>
      <c r="AZ310" s="949"/>
      <c r="BA310" s="949"/>
      <c r="BB310" s="949"/>
      <c r="BC310" s="949"/>
      <c r="BD310" s="949"/>
      <c r="BE310" s="2267"/>
    </row>
    <row r="311" spans="1:57">
      <c r="A311" s="1090" t="s">
        <v>500</v>
      </c>
      <c r="B311" s="73" t="s">
        <v>279</v>
      </c>
      <c r="C311" s="1085">
        <f t="shared" si="72"/>
        <v>20617.292984255655</v>
      </c>
      <c r="D311" s="1086">
        <f t="shared" si="72"/>
        <v>5.2826525044090682E-2</v>
      </c>
      <c r="E311" s="1060">
        <f t="shared" si="72"/>
        <v>0.37985561177970401</v>
      </c>
      <c r="F311" s="1060">
        <f t="shared" si="72"/>
        <v>0.48163119068534294</v>
      </c>
      <c r="G311" s="1061">
        <f t="shared" si="72"/>
        <v>23766.623796323693</v>
      </c>
      <c r="H311" s="1062">
        <f t="shared" si="72"/>
        <v>6.5814421871090864E-2</v>
      </c>
      <c r="I311" s="1063">
        <f t="shared" si="72"/>
        <v>1.8990159277875758</v>
      </c>
      <c r="J311" s="1063">
        <f t="shared" si="72"/>
        <v>2.509154465418888</v>
      </c>
      <c r="K311" s="1064">
        <f t="shared" si="72"/>
        <v>5.7229254321128114</v>
      </c>
      <c r="L311" s="1060">
        <f t="shared" si="72"/>
        <v>4.5724350121793801E-2</v>
      </c>
      <c r="M311" s="1065">
        <f t="shared" si="73"/>
        <v>6.1939465303838475</v>
      </c>
      <c r="N311" s="1066">
        <f t="shared" si="73"/>
        <v>0.7344324868237998</v>
      </c>
      <c r="O311" s="1067">
        <f t="shared" si="73"/>
        <v>0.10784712869930438</v>
      </c>
      <c r="P311" s="1068">
        <f t="shared" si="73"/>
        <v>0.74956908795771016</v>
      </c>
      <c r="Q311" s="1066">
        <f t="shared" si="73"/>
        <v>0.14726898954609682</v>
      </c>
      <c r="R311" s="1067">
        <f t="shared" si="73"/>
        <v>4.9939774449528171E-2</v>
      </c>
      <c r="S311" s="1068">
        <f t="shared" si="73"/>
        <v>0.17272839211728983</v>
      </c>
      <c r="T311" s="1066">
        <f t="shared" si="73"/>
        <v>0.18443136241749356</v>
      </c>
      <c r="U311" s="1067">
        <f t="shared" si="73"/>
        <v>-5.7258906752796622E-2</v>
      </c>
      <c r="V311" s="104">
        <f t="shared" si="73"/>
        <v>0.198117589718218</v>
      </c>
      <c r="W311" s="1060">
        <f t="shared" si="73"/>
        <v>3.7162372871396732E-2</v>
      </c>
      <c r="X311" s="1060">
        <f t="shared" si="73"/>
        <v>0.25234350412762557</v>
      </c>
      <c r="Y311" s="1069" t="str">
        <f t="shared" si="73"/>
        <v>A-</v>
      </c>
      <c r="Z311" s="1070" t="str">
        <f>VLOOKUP($B311,$B$7:$AC$28,Z$37+1,FALSE)</f>
        <v>=  =  -</v>
      </c>
      <c r="AA311" s="1064">
        <f t="shared" si="74"/>
        <v>1.0395975936863313</v>
      </c>
      <c r="AB311" s="1071">
        <f t="shared" si="74"/>
        <v>2.9438923535487854E-2</v>
      </c>
      <c r="AC311" s="1065">
        <f t="shared" si="74"/>
        <v>1.2087727199953455</v>
      </c>
      <c r="AD311" s="949"/>
      <c r="AE311" s="949"/>
      <c r="AF311" s="949"/>
      <c r="AG311" s="2129"/>
      <c r="AH311" s="949"/>
      <c r="AI311" s="949"/>
      <c r="AJ311" s="949"/>
      <c r="AK311" s="949"/>
      <c r="AL311" s="949"/>
      <c r="AM311" s="949"/>
      <c r="AN311" s="949"/>
      <c r="AO311" s="949"/>
      <c r="AP311" s="949"/>
      <c r="AQ311" s="949"/>
      <c r="AR311" s="110"/>
      <c r="AS311" s="110"/>
      <c r="AT311" s="110"/>
      <c r="AU311" s="949"/>
      <c r="AV311" s="949"/>
      <c r="AW311" s="949"/>
      <c r="AX311" s="949"/>
      <c r="AY311" s="949"/>
      <c r="AZ311" s="949"/>
      <c r="BA311" s="949"/>
      <c r="BB311" s="949"/>
      <c r="BC311" s="949"/>
      <c r="BD311" s="949"/>
      <c r="BE311" s="2267"/>
    </row>
    <row r="312" spans="1:57">
      <c r="A312" s="1090" t="s">
        <v>19</v>
      </c>
      <c r="B312" s="73" t="s">
        <v>285</v>
      </c>
      <c r="C312" s="1085">
        <f t="shared" si="72"/>
        <v>6002.7646707914537</v>
      </c>
      <c r="D312" s="1086">
        <f t="shared" si="72"/>
        <v>1.538054479108892E-2</v>
      </c>
      <c r="E312" s="1060">
        <f t="shared" si="72"/>
        <v>1.7468659495150733</v>
      </c>
      <c r="F312" s="1060">
        <f t="shared" si="72"/>
        <v>1.8486415284207123</v>
      </c>
      <c r="G312" s="1061">
        <f t="shared" si="72"/>
        <v>9571.524995540176</v>
      </c>
      <c r="H312" s="1062">
        <f t="shared" si="72"/>
        <v>2.6505421611613778E-2</v>
      </c>
      <c r="I312" s="1063">
        <f t="shared" si="72"/>
        <v>4.1497848696984878</v>
      </c>
      <c r="J312" s="1063">
        <f t="shared" si="72"/>
        <v>5.1075046454025781</v>
      </c>
      <c r="K312" s="1064">
        <f t="shared" si="72"/>
        <v>7.8090133066846761</v>
      </c>
      <c r="L312" s="1060">
        <f t="shared" si="72"/>
        <v>0.8464659845431286</v>
      </c>
      <c r="M312" s="1065">
        <f t="shared" si="73"/>
        <v>9.6719476082953495</v>
      </c>
      <c r="N312" s="1060">
        <f t="shared" si="73"/>
        <v>9.1630231095150338E-2</v>
      </c>
      <c r="O312" s="1084" t="str">
        <f t="shared" si="73"/>
        <v>¥</v>
      </c>
      <c r="P312" s="1068">
        <f t="shared" si="73"/>
        <v>0.34976819018989347</v>
      </c>
      <c r="Q312" s="1066">
        <f t="shared" si="73"/>
        <v>0.13477545507373562</v>
      </c>
      <c r="R312" s="1067">
        <f t="shared" si="73"/>
        <v>-0.4264373226073967</v>
      </c>
      <c r="S312" s="1068">
        <f t="shared" si="73"/>
        <v>9.7905485588969735E-2</v>
      </c>
      <c r="T312" s="1066">
        <f t="shared" si="73"/>
        <v>0.16024846762312819</v>
      </c>
      <c r="U312" s="1067">
        <f t="shared" si="73"/>
        <v>-0.25253039609468159</v>
      </c>
      <c r="V312" s="104">
        <f t="shared" si="73"/>
        <v>0.12849893093161849</v>
      </c>
      <c r="W312" s="1060">
        <f t="shared" si="73"/>
        <v>2.5473012549392576E-2</v>
      </c>
      <c r="X312" s="1060">
        <f t="shared" si="73"/>
        <v>0.18900335031669008</v>
      </c>
      <c r="Y312" s="1069" t="str">
        <f t="shared" si="73"/>
        <v>Not rated</v>
      </c>
      <c r="Z312" s="1070"/>
      <c r="AA312" s="1064">
        <f t="shared" si="74"/>
        <v>1.265551414722516</v>
      </c>
      <c r="AB312" s="1071">
        <f t="shared" si="74"/>
        <v>0.38040351489576829</v>
      </c>
      <c r="AC312" s="1065">
        <f t="shared" si="74"/>
        <v>1.242834927692577</v>
      </c>
      <c r="AD312" s="949"/>
      <c r="AE312" s="949"/>
      <c r="AF312" s="949"/>
      <c r="AG312" s="2129"/>
      <c r="AH312" s="949"/>
      <c r="AI312" s="949"/>
      <c r="AJ312" s="949"/>
      <c r="AK312" s="949"/>
      <c r="AL312" s="949"/>
      <c r="AM312" s="949"/>
      <c r="AN312" s="949"/>
      <c r="AO312" s="949"/>
      <c r="AP312" s="949"/>
      <c r="AQ312" s="949"/>
      <c r="AR312" s="110"/>
      <c r="AS312" s="110"/>
      <c r="AT312" s="110"/>
      <c r="AU312" s="949"/>
      <c r="AV312" s="949"/>
      <c r="AW312" s="949"/>
      <c r="AX312" s="949"/>
      <c r="AY312" s="949"/>
      <c r="AZ312" s="949"/>
      <c r="BA312" s="949"/>
      <c r="BB312" s="949"/>
      <c r="BC312" s="949"/>
      <c r="BD312" s="949"/>
      <c r="BE312" s="2267"/>
    </row>
    <row r="313" spans="1:57">
      <c r="A313" s="1090"/>
      <c r="B313" s="949"/>
      <c r="C313" s="949"/>
      <c r="D313" s="119"/>
      <c r="E313" s="949"/>
      <c r="F313" s="949"/>
      <c r="G313" s="949"/>
      <c r="H313" s="119"/>
      <c r="I313" s="119"/>
      <c r="J313" s="119"/>
      <c r="K313" s="949"/>
      <c r="L313" s="949"/>
      <c r="M313" s="949"/>
      <c r="N313" s="949"/>
      <c r="O313" s="949"/>
      <c r="P313" s="949"/>
      <c r="Q313" s="1005"/>
      <c r="R313" s="1005"/>
      <c r="S313" s="1005"/>
      <c r="T313" s="949"/>
      <c r="U313" s="949"/>
      <c r="V313" s="949"/>
      <c r="W313" s="1005"/>
      <c r="X313" s="1005"/>
      <c r="Y313" s="949"/>
      <c r="Z313" s="949"/>
      <c r="AA313" s="949"/>
      <c r="AB313" s="949"/>
      <c r="AC313" s="949"/>
      <c r="AD313" s="949"/>
      <c r="AE313" s="949"/>
      <c r="AF313" s="949"/>
      <c r="AG313" s="2129"/>
      <c r="AH313" s="949"/>
      <c r="AI313" s="949"/>
      <c r="AJ313" s="949"/>
      <c r="AK313" s="949"/>
      <c r="AL313" s="949"/>
      <c r="AM313" s="949"/>
      <c r="AN313" s="949"/>
      <c r="AO313" s="949"/>
      <c r="AP313" s="949"/>
      <c r="AQ313" s="949"/>
      <c r="AR313" s="110"/>
      <c r="AS313" s="110"/>
      <c r="AT313" s="110"/>
      <c r="AU313" s="949"/>
      <c r="AV313" s="949"/>
      <c r="AW313" s="949"/>
      <c r="AX313" s="949"/>
      <c r="AY313" s="949"/>
      <c r="AZ313" s="949"/>
      <c r="BA313" s="949"/>
      <c r="BB313" s="949"/>
      <c r="BC313" s="949"/>
      <c r="BD313" s="949"/>
      <c r="BE313" s="2267"/>
    </row>
    <row r="314" spans="1:57">
      <c r="A314" s="1090"/>
      <c r="B314" s="949"/>
      <c r="C314" s="949"/>
      <c r="D314" s="119"/>
      <c r="E314" s="949"/>
      <c r="F314" s="949"/>
      <c r="G314" s="949"/>
      <c r="H314" s="119"/>
      <c r="I314" s="119"/>
      <c r="J314" s="119"/>
      <c r="K314" s="949"/>
      <c r="L314" s="949"/>
      <c r="M314" s="949"/>
      <c r="N314" s="949"/>
      <c r="O314" s="949"/>
      <c r="P314" s="949"/>
      <c r="Q314" s="1005"/>
      <c r="R314" s="1005"/>
      <c r="S314" s="1005"/>
      <c r="T314" s="949"/>
      <c r="U314" s="949"/>
      <c r="V314" s="949"/>
      <c r="W314" s="1005"/>
      <c r="X314" s="1005"/>
      <c r="Y314" s="949"/>
      <c r="Z314" s="949"/>
      <c r="AA314" s="949"/>
      <c r="AB314" s="949"/>
      <c r="AC314" s="949"/>
      <c r="AD314" s="949"/>
      <c r="AE314" s="949"/>
      <c r="AF314" s="949"/>
      <c r="AG314" s="2129"/>
      <c r="AH314" s="949"/>
      <c r="AI314" s="949"/>
      <c r="AJ314" s="949"/>
      <c r="AK314" s="949"/>
      <c r="AL314" s="949"/>
      <c r="AM314" s="949"/>
      <c r="AN314" s="949"/>
      <c r="AO314" s="949"/>
      <c r="AP314" s="949"/>
      <c r="AQ314" s="949"/>
      <c r="AR314" s="110"/>
      <c r="AS314" s="110"/>
      <c r="AT314" s="110"/>
      <c r="AU314" s="949"/>
      <c r="AV314" s="949"/>
      <c r="AW314" s="949"/>
      <c r="AX314" s="949"/>
      <c r="AY314" s="949"/>
      <c r="AZ314" s="949"/>
      <c r="BA314" s="949"/>
      <c r="BB314" s="949"/>
      <c r="BC314" s="949"/>
      <c r="BD314" s="949"/>
      <c r="BE314" s="2267"/>
    </row>
    <row r="315" spans="1:57">
      <c r="A315" s="3315" t="s">
        <v>1002</v>
      </c>
      <c r="B315" s="1286" t="s">
        <v>1012</v>
      </c>
      <c r="C315" s="1005"/>
      <c r="D315" s="119"/>
      <c r="E315" s="1005"/>
      <c r="F315" s="1005"/>
      <c r="G315" s="1005"/>
      <c r="H315" s="119"/>
      <c r="I315" s="119"/>
      <c r="J315" s="119"/>
      <c r="K315" s="1005"/>
      <c r="L315" s="1005"/>
      <c r="M315" s="1089"/>
      <c r="N315" s="1005"/>
      <c r="O315" s="1005"/>
      <c r="P315" s="1005"/>
      <c r="Q315" s="1005"/>
      <c r="R315" s="1005"/>
      <c r="S315" s="1005"/>
      <c r="T315" s="1005"/>
      <c r="U315" s="1005"/>
      <c r="V315" s="1005"/>
      <c r="W315" s="1005"/>
      <c r="X315" s="1005"/>
      <c r="Y315" s="1005"/>
      <c r="Z315" s="1005"/>
      <c r="AA315" s="1005"/>
      <c r="AB315" s="1005"/>
      <c r="AC315" s="1005"/>
      <c r="AD315" s="949"/>
      <c r="AE315" s="949"/>
      <c r="AF315" s="949"/>
      <c r="AG315" s="2129"/>
      <c r="AH315" s="949"/>
      <c r="AI315" s="949"/>
      <c r="AJ315" s="949"/>
      <c r="AK315" s="949"/>
      <c r="AL315" s="949"/>
      <c r="AM315" s="949"/>
      <c r="AN315" s="949"/>
      <c r="AO315" s="949"/>
      <c r="AP315" s="949"/>
      <c r="AQ315" s="949"/>
      <c r="AR315" s="110"/>
      <c r="AS315" s="110"/>
      <c r="AT315" s="110"/>
      <c r="AU315" s="949"/>
      <c r="AV315" s="949"/>
      <c r="AW315" s="949"/>
      <c r="AX315" s="949"/>
      <c r="AY315" s="949"/>
      <c r="AZ315" s="949"/>
      <c r="BA315" s="949"/>
      <c r="BB315" s="949"/>
      <c r="BC315" s="949"/>
      <c r="BD315" s="949"/>
      <c r="BE315" s="2267"/>
    </row>
    <row r="316" spans="1:57">
      <c r="A316" s="1091" t="s">
        <v>319</v>
      </c>
      <c r="B316" s="691" t="s">
        <v>752</v>
      </c>
      <c r="C316" s="1087">
        <f t="shared" ref="C316:L329" si="76">VLOOKUP($B316,$B$7:$AC$28,C$37+1,FALSE)</f>
        <v>3541.6238999999996</v>
      </c>
      <c r="D316" s="1088">
        <f t="shared" si="76"/>
        <v>9.0745028357006995E-3</v>
      </c>
      <c r="E316" s="1072">
        <f t="shared" si="76"/>
        <v>0.67327297771392325</v>
      </c>
      <c r="F316" s="1072">
        <f t="shared" si="76"/>
        <v>0.77504855661956218</v>
      </c>
      <c r="G316" s="1073">
        <f t="shared" si="76"/>
        <v>4048.9897999999998</v>
      </c>
      <c r="H316" s="1074">
        <f t="shared" si="76"/>
        <v>1.1212443346293226E-2</v>
      </c>
      <c r="I316" s="1075">
        <f t="shared" si="76"/>
        <v>-1.4186196832586249</v>
      </c>
      <c r="J316" s="1075">
        <f t="shared" si="76"/>
        <v>-2.7147098893731143</v>
      </c>
      <c r="K316" s="1076">
        <f t="shared" si="76"/>
        <v>8.5213348378460623</v>
      </c>
      <c r="L316" s="1072">
        <f t="shared" si="76"/>
        <v>0.26215680659638446</v>
      </c>
      <c r="M316" s="1077">
        <f t="shared" ref="M316:V329" si="77">VLOOKUP($B316,$B$7:$AC$28,M$37+1,FALSE)</f>
        <v>9.0506669895995948</v>
      </c>
      <c r="N316" s="1078">
        <f t="shared" si="77"/>
        <v>6.4385445236561381E-2</v>
      </c>
      <c r="O316" s="1079">
        <f t="shared" si="77"/>
        <v>14.697799124913645</v>
      </c>
      <c r="P316" s="1080">
        <f t="shared" si="77"/>
        <v>0.15462918080465343</v>
      </c>
      <c r="Q316" s="1078">
        <f t="shared" si="77"/>
        <v>0.42399287000325037</v>
      </c>
      <c r="R316" s="1079">
        <f t="shared" si="77"/>
        <v>4.5742782667206161E-2</v>
      </c>
      <c r="S316" s="1080">
        <f t="shared" si="77"/>
        <v>0.48144640266975475</v>
      </c>
      <c r="T316" s="1078">
        <f t="shared" si="77"/>
        <v>0.42695023434228802</v>
      </c>
      <c r="U316" s="1079">
        <f t="shared" si="77"/>
        <v>4.1366838913311048E-2</v>
      </c>
      <c r="V316" s="1080">
        <f t="shared" si="77"/>
        <v>0.4832654138496531</v>
      </c>
      <c r="W316" s="1072">
        <f t="shared" ref="W316:AC329" si="78">VLOOKUP($B316,$B$7:$AC$28,W$37+1,FALSE)</f>
        <v>2.9573643390376492E-3</v>
      </c>
      <c r="X316" s="1072">
        <f t="shared" si="78"/>
        <v>6.9750331863245195E-3</v>
      </c>
      <c r="Y316" s="1081" t="str">
        <f t="shared" si="78"/>
        <v>B+</v>
      </c>
      <c r="Z316" s="1082" t="str">
        <f t="shared" si="78"/>
        <v>=  =  =</v>
      </c>
      <c r="AA316" s="1011">
        <f t="shared" si="78"/>
        <v>3.7014756930154613</v>
      </c>
      <c r="AB316" s="1083">
        <f t="shared" si="78"/>
        <v>0.31334582285320112</v>
      </c>
      <c r="AC316" s="1077">
        <f t="shared" si="78"/>
        <v>4.3704719780651446</v>
      </c>
      <c r="AD316" s="949"/>
      <c r="AE316" s="949"/>
      <c r="AF316" s="949"/>
      <c r="AG316" s="2129"/>
      <c r="AH316" s="949"/>
      <c r="AI316" s="949"/>
      <c r="AJ316" s="949"/>
      <c r="AK316" s="949"/>
      <c r="AL316" s="949"/>
      <c r="AM316" s="949"/>
      <c r="AN316" s="949"/>
      <c r="AO316" s="949"/>
      <c r="AP316" s="949"/>
      <c r="AQ316" s="949"/>
      <c r="AR316" s="110"/>
      <c r="AS316" s="110"/>
      <c r="AT316" s="110"/>
      <c r="AU316" s="949"/>
      <c r="AV316" s="949"/>
      <c r="AW316" s="949"/>
      <c r="AX316" s="949"/>
      <c r="AY316" s="949"/>
      <c r="AZ316" s="949"/>
      <c r="BA316" s="949"/>
      <c r="BB316" s="949"/>
      <c r="BC316" s="949"/>
      <c r="BD316" s="949"/>
      <c r="BE316" s="2267"/>
    </row>
    <row r="317" spans="1:57">
      <c r="A317" s="1090" t="s">
        <v>27</v>
      </c>
      <c r="B317" s="73" t="s">
        <v>54</v>
      </c>
      <c r="C317" s="1085">
        <f t="shared" si="76"/>
        <v>4745.1447857142857</v>
      </c>
      <c r="D317" s="1086">
        <f t="shared" si="76"/>
        <v>1.2158216408516635E-2</v>
      </c>
      <c r="E317" s="1060">
        <f t="shared" si="76"/>
        <v>-0.63447330491761056</v>
      </c>
      <c r="F317" s="1060">
        <f t="shared" si="76"/>
        <v>-0.53269772601197163</v>
      </c>
      <c r="G317" s="1061">
        <f t="shared" si="76"/>
        <v>2680.5724</v>
      </c>
      <c r="H317" s="1062">
        <f t="shared" si="76"/>
        <v>7.4230283738025878E-3</v>
      </c>
      <c r="I317" s="1063">
        <f t="shared" si="76"/>
        <v>1.3569881249181368</v>
      </c>
      <c r="J317" s="1063">
        <f t="shared" si="76"/>
        <v>1.0332545966156574</v>
      </c>
      <c r="K317" s="1064">
        <f t="shared" si="76"/>
        <v>6.3422811159545107</v>
      </c>
      <c r="L317" s="1060">
        <f t="shared" si="76"/>
        <v>-0.24924595564935845</v>
      </c>
      <c r="M317" s="1065">
        <f t="shared" si="77"/>
        <v>5.3369406950798908</v>
      </c>
      <c r="N317" s="1066">
        <f t="shared" si="77"/>
        <v>0.48460704112825509</v>
      </c>
      <c r="O317" s="1067">
        <f t="shared" si="77"/>
        <v>-0.18079580514885477</v>
      </c>
      <c r="P317" s="1068">
        <f t="shared" si="77"/>
        <v>0.49497857034449522</v>
      </c>
      <c r="Q317" s="1066">
        <f t="shared" si="77"/>
        <v>0.56717095077467305</v>
      </c>
      <c r="R317" s="1067">
        <f t="shared" si="77"/>
        <v>0.64731222518720821</v>
      </c>
      <c r="S317" s="1068">
        <f t="shared" si="77"/>
        <v>0.74754623070756221</v>
      </c>
      <c r="T317" s="1066">
        <f t="shared" si="77"/>
        <v>0.5748403529709204</v>
      </c>
      <c r="U317" s="1067">
        <f t="shared" si="77"/>
        <v>0.5906099669472562</v>
      </c>
      <c r="V317" s="1068">
        <f t="shared" si="77"/>
        <v>0.7506672643344422</v>
      </c>
      <c r="W317" s="1060">
        <f t="shared" si="78"/>
        <v>7.6694021962473435E-3</v>
      </c>
      <c r="X317" s="1060">
        <f t="shared" si="78"/>
        <v>1.3522205581530675E-2</v>
      </c>
      <c r="Y317" s="1069" t="str">
        <f t="shared" si="78"/>
        <v>BBB-</v>
      </c>
      <c r="Z317" s="1070" t="str">
        <f t="shared" si="78"/>
        <v>¯  ¯ ¯</v>
      </c>
      <c r="AA317" s="130">
        <f t="shared" si="78"/>
        <v>3.4278891827637503</v>
      </c>
      <c r="AB317" s="1071">
        <f t="shared" si="78"/>
        <v>0.24423537898737996</v>
      </c>
      <c r="AC317" s="1065">
        <f t="shared" si="78"/>
        <v>3.8230610288109381</v>
      </c>
      <c r="AD317" s="949"/>
      <c r="AE317" s="949"/>
      <c r="AF317" s="949"/>
      <c r="AG317" s="2129"/>
      <c r="AH317" s="949"/>
      <c r="AI317" s="949"/>
      <c r="AJ317" s="949"/>
      <c r="AK317" s="949"/>
      <c r="AL317" s="949"/>
      <c r="AM317" s="949"/>
      <c r="AN317" s="949"/>
      <c r="AO317" s="949"/>
      <c r="AP317" s="949"/>
      <c r="AQ317" s="949"/>
      <c r="AR317" s="110"/>
      <c r="AS317" s="110"/>
      <c r="AT317" s="110"/>
      <c r="AU317" s="949"/>
      <c r="AV317" s="949"/>
      <c r="AW317" s="949"/>
      <c r="AX317" s="949"/>
      <c r="AY317" s="949"/>
      <c r="AZ317" s="949"/>
      <c r="BA317" s="949"/>
      <c r="BB317" s="949"/>
      <c r="BC317" s="949"/>
      <c r="BD317" s="949"/>
      <c r="BE317" s="2267"/>
    </row>
    <row r="318" spans="1:57">
      <c r="A318" s="1090" t="s">
        <v>499</v>
      </c>
      <c r="B318" s="73" t="s">
        <v>284</v>
      </c>
      <c r="C318" s="1085">
        <f t="shared" si="76"/>
        <v>15596.516285714286</v>
      </c>
      <c r="D318" s="1086">
        <f t="shared" si="76"/>
        <v>3.9962072557101963E-2</v>
      </c>
      <c r="E318" s="1060">
        <f t="shared" si="76"/>
        <v>-0.41209116095583281</v>
      </c>
      <c r="F318" s="1060">
        <f t="shared" si="76"/>
        <v>-0.31031558205019388</v>
      </c>
      <c r="G318" s="1061">
        <f t="shared" si="76"/>
        <v>10295.917100000001</v>
      </c>
      <c r="H318" s="1062">
        <f t="shared" si="76"/>
        <v>2.8511404790864545E-2</v>
      </c>
      <c r="I318" s="1063">
        <f t="shared" si="76"/>
        <v>0.58081043687158529</v>
      </c>
      <c r="J318" s="1063">
        <f t="shared" si="76"/>
        <v>0.5027794267018264</v>
      </c>
      <c r="K318" s="1064">
        <f t="shared" si="76"/>
        <v>4.6475023511824993</v>
      </c>
      <c r="L318" s="1060">
        <f t="shared" si="76"/>
        <v>-0.18379111287045302</v>
      </c>
      <c r="M318" s="1065">
        <f t="shared" si="77"/>
        <v>4.0606354500113753</v>
      </c>
      <c r="N318" s="1066">
        <f t="shared" si="77"/>
        <v>0.34534166666666666</v>
      </c>
      <c r="O318" s="1067">
        <f t="shared" si="77"/>
        <v>-5.4500069338510607E-2</v>
      </c>
      <c r="P318" s="1068">
        <f t="shared" si="77"/>
        <v>0.3626280111015483</v>
      </c>
      <c r="Q318" s="1066">
        <f t="shared" si="77"/>
        <v>0.67997702229572432</v>
      </c>
      <c r="R318" s="1067">
        <f t="shared" si="77"/>
        <v>0.10658020511075152</v>
      </c>
      <c r="S318" s="1068">
        <f t="shared" si="77"/>
        <v>0.75270955685414354</v>
      </c>
      <c r="T318" s="1066">
        <f t="shared" si="77"/>
        <v>0.68457317243488636</v>
      </c>
      <c r="U318" s="1067">
        <f t="shared" si="77"/>
        <v>0.10522314957078965</v>
      </c>
      <c r="V318" s="1068">
        <f t="shared" si="77"/>
        <v>0.75672107111582532</v>
      </c>
      <c r="W318" s="1060">
        <f t="shared" si="78"/>
        <v>4.5961501391620363E-3</v>
      </c>
      <c r="X318" s="1060">
        <f t="shared" si="78"/>
        <v>6.7592727231349809E-3</v>
      </c>
      <c r="Y318" s="1069" t="str">
        <f t="shared" si="78"/>
        <v>BBB-</v>
      </c>
      <c r="Z318" s="1070" t="str">
        <f t="shared" si="78"/>
        <v>=  ¯ ¯</v>
      </c>
      <c r="AA318" s="130">
        <f t="shared" si="78"/>
        <v>2.9152503149286035</v>
      </c>
      <c r="AB318" s="1071">
        <f t="shared" si="78"/>
        <v>-0.14664752669478531</v>
      </c>
      <c r="AC318" s="1065">
        <f t="shared" si="78"/>
        <v>2.8370691340232916</v>
      </c>
      <c r="AD318" s="949"/>
      <c r="AE318" s="949"/>
      <c r="AF318" s="949"/>
      <c r="AG318" s="2129"/>
      <c r="AH318" s="949"/>
      <c r="AI318" s="949"/>
      <c r="AJ318" s="949"/>
      <c r="AK318" s="949"/>
      <c r="AL318" s="949"/>
      <c r="AM318" s="949"/>
      <c r="AN318" s="949"/>
      <c r="AO318" s="949"/>
      <c r="AP318" s="949"/>
      <c r="AQ318" s="949"/>
      <c r="AR318" s="110"/>
      <c r="AS318" s="110"/>
      <c r="AT318" s="110"/>
      <c r="AU318" s="949"/>
      <c r="AV318" s="949"/>
      <c r="AW318" s="949"/>
      <c r="AX318" s="949"/>
      <c r="AY318" s="949"/>
      <c r="AZ318" s="949"/>
      <c r="BA318" s="949"/>
      <c r="BB318" s="949"/>
      <c r="BC318" s="949"/>
      <c r="BD318" s="949"/>
      <c r="BE318" s="2267"/>
    </row>
    <row r="319" spans="1:57">
      <c r="A319" s="1090" t="s">
        <v>217</v>
      </c>
      <c r="B319" s="73" t="s">
        <v>53</v>
      </c>
      <c r="C319" s="1085">
        <f t="shared" si="76"/>
        <v>60036.853628571422</v>
      </c>
      <c r="D319" s="1086">
        <f t="shared" si="76"/>
        <v>0.15382903828354536</v>
      </c>
      <c r="E319" s="1060">
        <f t="shared" si="76"/>
        <v>-0.3618479655094986</v>
      </c>
      <c r="F319" s="1060">
        <f t="shared" si="76"/>
        <v>-0.26007238660385967</v>
      </c>
      <c r="G319" s="1061">
        <f t="shared" si="76"/>
        <v>44430.485000000001</v>
      </c>
      <c r="H319" s="1062">
        <f t="shared" si="76"/>
        <v>0.1230366882897139</v>
      </c>
      <c r="I319" s="1063">
        <f t="shared" si="76"/>
        <v>2.2644833808097031</v>
      </c>
      <c r="J319" s="1063">
        <f t="shared" si="76"/>
        <v>1.7716210773954304</v>
      </c>
      <c r="K319" s="1064">
        <f t="shared" si="76"/>
        <v>5.7304428558288603</v>
      </c>
      <c r="L319" s="1060">
        <f t="shared" si="76"/>
        <v>-7.3155042359885195E-2</v>
      </c>
      <c r="M319" s="1065">
        <f t="shared" si="77"/>
        <v>5.1937231412225326</v>
      </c>
      <c r="N319" s="1066">
        <f t="shared" si="77"/>
        <v>0.6158872479982318</v>
      </c>
      <c r="O319" s="1067">
        <f t="shared" si="77"/>
        <v>0.11044311863454735</v>
      </c>
      <c r="P319" s="1068">
        <f t="shared" si="77"/>
        <v>0.66127040038880336</v>
      </c>
      <c r="Q319" s="1066">
        <f t="shared" si="77"/>
        <v>0.48384306036910518</v>
      </c>
      <c r="R319" s="1067">
        <f t="shared" si="77"/>
        <v>0.2595878527386451</v>
      </c>
      <c r="S319" s="1068">
        <f t="shared" si="77"/>
        <v>0.54381370963962039</v>
      </c>
      <c r="T319" s="1066">
        <f t="shared" si="77"/>
        <v>0.51513010935716153</v>
      </c>
      <c r="U319" s="1067">
        <f t="shared" si="77"/>
        <v>0.26130995158024306</v>
      </c>
      <c r="V319" s="1068">
        <f t="shared" si="77"/>
        <v>0.57929804018594233</v>
      </c>
      <c r="W319" s="1060">
        <f t="shared" si="78"/>
        <v>3.1287048988056343E-2</v>
      </c>
      <c r="X319" s="1060">
        <f t="shared" si="78"/>
        <v>6.4663630732222685E-2</v>
      </c>
      <c r="Y319" s="1069" t="str">
        <f t="shared" si="78"/>
        <v>BBB</v>
      </c>
      <c r="Z319" s="1070" t="str">
        <f t="shared" si="78"/>
        <v>¯  ¯ ¯</v>
      </c>
      <c r="AA319" s="130">
        <f t="shared" si="78"/>
        <v>2.7929780820851775</v>
      </c>
      <c r="AB319" s="1071">
        <f t="shared" si="78"/>
        <v>0.12404595260605845</v>
      </c>
      <c r="AC319" s="1065">
        <f t="shared" si="78"/>
        <v>2.8353348809740444</v>
      </c>
      <c r="AD319" s="949"/>
      <c r="AE319" s="949"/>
      <c r="AF319" s="949"/>
      <c r="AG319" s="2129"/>
      <c r="AH319" s="949"/>
      <c r="AI319" s="949"/>
      <c r="AJ319" s="949"/>
      <c r="AK319" s="949"/>
      <c r="AL319" s="949"/>
      <c r="AM319" s="949"/>
      <c r="AN319" s="949"/>
      <c r="AO319" s="949"/>
      <c r="AP319" s="949"/>
      <c r="AQ319" s="949"/>
      <c r="AR319" s="110"/>
      <c r="AS319" s="110"/>
      <c r="AT319" s="110"/>
      <c r="AU319" s="949"/>
      <c r="AV319" s="949"/>
      <c r="AW319" s="949"/>
      <c r="AX319" s="949"/>
      <c r="AY319" s="949"/>
      <c r="AZ319" s="949"/>
      <c r="BA319" s="949"/>
      <c r="BB319" s="949"/>
      <c r="BC319" s="949"/>
      <c r="BD319" s="949"/>
      <c r="BE319" s="2267"/>
    </row>
    <row r="320" spans="1:57">
      <c r="A320" s="1090" t="s">
        <v>498</v>
      </c>
      <c r="B320" s="73" t="s">
        <v>52</v>
      </c>
      <c r="C320" s="1085">
        <f t="shared" si="76"/>
        <v>40464.923042857146</v>
      </c>
      <c r="D320" s="1086">
        <f t="shared" si="76"/>
        <v>0.1036809862557167</v>
      </c>
      <c r="E320" s="1060">
        <f t="shared" si="76"/>
        <v>-6.1458653761923776E-2</v>
      </c>
      <c r="F320" s="1060">
        <f t="shared" si="76"/>
        <v>4.0316925143715168E-2</v>
      </c>
      <c r="G320" s="1061">
        <f t="shared" si="76"/>
        <v>39791.94</v>
      </c>
      <c r="H320" s="1062">
        <f t="shared" si="76"/>
        <v>0.1101916514803518</v>
      </c>
      <c r="I320" s="1063">
        <f t="shared" si="76"/>
        <v>1.0840589348936991</v>
      </c>
      <c r="J320" s="1063">
        <f t="shared" si="76"/>
        <v>1.2733420800000002</v>
      </c>
      <c r="K320" s="1064">
        <f t="shared" si="76"/>
        <v>4.9157277486128619</v>
      </c>
      <c r="L320" s="1060">
        <f t="shared" si="76"/>
        <v>0.1448238320606966</v>
      </c>
      <c r="M320" s="1065">
        <f t="shared" si="77"/>
        <v>5.2964626193065953</v>
      </c>
      <c r="N320" s="1066">
        <f t="shared" si="77"/>
        <v>0.61</v>
      </c>
      <c r="O320" s="1067">
        <f t="shared" si="77"/>
        <v>0</v>
      </c>
      <c r="P320" s="1068">
        <f t="shared" si="77"/>
        <v>0.62983042679437373</v>
      </c>
      <c r="Q320" s="1066">
        <f t="shared" si="77"/>
        <v>0.51528895508035288</v>
      </c>
      <c r="R320" s="1067">
        <f t="shared" si="77"/>
        <v>-2.4931247740904369E-2</v>
      </c>
      <c r="S320" s="1068">
        <f t="shared" si="77"/>
        <v>0.51939744871548044</v>
      </c>
      <c r="T320" s="1066">
        <f t="shared" si="77"/>
        <v>0.58808850315066874</v>
      </c>
      <c r="U320" s="1067">
        <f t="shared" si="77"/>
        <v>-2.8226553900756759E-2</v>
      </c>
      <c r="V320" s="1068">
        <f t="shared" si="77"/>
        <v>0.59074959904524027</v>
      </c>
      <c r="W320" s="1060">
        <f t="shared" si="78"/>
        <v>7.2799548070315856E-2</v>
      </c>
      <c r="X320" s="1060">
        <f t="shared" si="78"/>
        <v>0.14127907721011346</v>
      </c>
      <c r="Y320" s="1069" t="str">
        <f t="shared" si="78"/>
        <v>BBB+</v>
      </c>
      <c r="Z320" s="1070" t="str">
        <f t="shared" si="78"/>
        <v>=  =  =</v>
      </c>
      <c r="AA320" s="130">
        <f t="shared" si="78"/>
        <v>2.7906818261625395</v>
      </c>
      <c r="AB320" s="1071">
        <f t="shared" si="78"/>
        <v>8.5841806528642844E-2</v>
      </c>
      <c r="AC320" s="1065">
        <f t="shared" si="78"/>
        <v>2.9178287645268703</v>
      </c>
      <c r="AD320" s="949"/>
      <c r="AE320" s="949"/>
      <c r="AF320" s="949"/>
      <c r="AG320" s="2129"/>
      <c r="AH320" s="949"/>
      <c r="AI320" s="949"/>
      <c r="AJ320" s="949"/>
      <c r="AK320" s="949"/>
      <c r="AL320" s="949"/>
      <c r="AM320" s="949"/>
      <c r="AN320" s="949"/>
      <c r="AO320" s="949"/>
      <c r="AP320" s="949"/>
      <c r="AQ320" s="949"/>
      <c r="AR320" s="110"/>
      <c r="AS320" s="110"/>
      <c r="AT320" s="110"/>
      <c r="AU320" s="949"/>
      <c r="AV320" s="949"/>
      <c r="AW320" s="949"/>
      <c r="AX320" s="949"/>
      <c r="AY320" s="949"/>
      <c r="AZ320" s="949"/>
      <c r="BA320" s="949"/>
      <c r="BB320" s="949"/>
      <c r="BC320" s="949"/>
      <c r="BD320" s="949"/>
      <c r="BE320" s="2267"/>
    </row>
    <row r="321" spans="1:57">
      <c r="A321" s="1090" t="s">
        <v>539</v>
      </c>
      <c r="B321" s="73" t="s">
        <v>39</v>
      </c>
      <c r="C321" s="1085">
        <f t="shared" si="76"/>
        <v>5059.5155870714543</v>
      </c>
      <c r="D321" s="1086">
        <f t="shared" si="76"/>
        <v>1.2963710952524294E-2</v>
      </c>
      <c r="E321" s="1060">
        <f t="shared" si="76"/>
        <v>-0.13366823909704381</v>
      </c>
      <c r="F321" s="1060">
        <f t="shared" si="76"/>
        <v>-3.1892660191404867E-2</v>
      </c>
      <c r="G321" s="1061">
        <f t="shared" si="76"/>
        <v>5057.8123335929276</v>
      </c>
      <c r="H321" s="1062">
        <f t="shared" si="76"/>
        <v>1.4006069920599414E-2</v>
      </c>
      <c r="I321" s="1063">
        <f t="shared" si="76"/>
        <v>1.6858649053444912</v>
      </c>
      <c r="J321" s="1063">
        <f t="shared" si="76"/>
        <v>1.7703056194544857</v>
      </c>
      <c r="K321" s="1064">
        <f t="shared" si="76"/>
        <v>6.1343182706324946</v>
      </c>
      <c r="L321" s="1060">
        <f t="shared" si="76"/>
        <v>-0.19036897853308513</v>
      </c>
      <c r="M321" s="1065">
        <f t="shared" si="77"/>
        <v>5.9052222685092017</v>
      </c>
      <c r="N321" s="1066">
        <f t="shared" si="77"/>
        <v>0.31054928118178421</v>
      </c>
      <c r="O321" s="1067">
        <f t="shared" si="77"/>
        <v>-0.11491916916279199</v>
      </c>
      <c r="P321" s="1068">
        <f t="shared" si="77"/>
        <v>0.28165979767703259</v>
      </c>
      <c r="Q321" s="1066">
        <f t="shared" si="77"/>
        <v>0.3899242463002407</v>
      </c>
      <c r="R321" s="1067">
        <f t="shared" si="77"/>
        <v>-0.1197676600756727</v>
      </c>
      <c r="S321" s="1068">
        <f t="shared" si="77"/>
        <v>0.37944762378701169</v>
      </c>
      <c r="T321" s="1066">
        <f t="shared" si="77"/>
        <v>0.45093517146474416</v>
      </c>
      <c r="U321" s="1067">
        <f t="shared" si="77"/>
        <v>-8.3572610535330494E-2</v>
      </c>
      <c r="V321" s="1068">
        <f t="shared" si="77"/>
        <v>0.43916945384982109</v>
      </c>
      <c r="W321" s="1060">
        <f t="shared" si="78"/>
        <v>6.101092516450346E-2</v>
      </c>
      <c r="X321" s="1060">
        <f t="shared" si="78"/>
        <v>0.15646866216553562</v>
      </c>
      <c r="Y321" s="1069" t="str">
        <f t="shared" si="78"/>
        <v>BBB</v>
      </c>
      <c r="Z321" s="1070" t="str">
        <f t="shared" si="78"/>
        <v>­  = =</v>
      </c>
      <c r="AA321" s="130">
        <f t="shared" si="78"/>
        <v>2.6587814840492587</v>
      </c>
      <c r="AB321" s="1071">
        <f t="shared" si="78"/>
        <v>-0.25803195656746131</v>
      </c>
      <c r="AC321" s="1065">
        <f t="shared" si="78"/>
        <v>2.5933932385229874</v>
      </c>
      <c r="AD321" s="949"/>
      <c r="AE321" s="949"/>
      <c r="AF321" s="949"/>
      <c r="AG321" s="2129"/>
      <c r="AH321" s="949"/>
      <c r="AI321" s="949"/>
      <c r="AJ321" s="949"/>
      <c r="AK321" s="949"/>
      <c r="AL321" s="949"/>
      <c r="AM321" s="949"/>
      <c r="AN321" s="949"/>
      <c r="AO321" s="949"/>
      <c r="AP321" s="949"/>
      <c r="AQ321" s="949"/>
      <c r="AR321" s="110"/>
      <c r="AS321" s="110"/>
      <c r="AT321" s="110"/>
      <c r="AU321" s="949"/>
      <c r="AV321" s="949"/>
      <c r="AW321" s="949"/>
      <c r="AX321" s="949"/>
      <c r="AY321" s="949"/>
      <c r="AZ321" s="949"/>
      <c r="BA321" s="949"/>
      <c r="BB321" s="949"/>
      <c r="BC321" s="949"/>
      <c r="BD321" s="949"/>
      <c r="BE321" s="2267"/>
    </row>
    <row r="322" spans="1:57">
      <c r="A322" s="1090" t="s">
        <v>501</v>
      </c>
      <c r="B322" s="73" t="s">
        <v>44</v>
      </c>
      <c r="C322" s="1085">
        <f t="shared" si="76"/>
        <v>12234.494271428572</v>
      </c>
      <c r="D322" s="1086">
        <f t="shared" si="76"/>
        <v>3.1347753486597643E-2</v>
      </c>
      <c r="E322" s="1060">
        <f t="shared" si="76"/>
        <v>-0.59766521701552</v>
      </c>
      <c r="F322" s="1060">
        <f t="shared" si="76"/>
        <v>-0.49588963810988107</v>
      </c>
      <c r="G322" s="1061">
        <f t="shared" si="76"/>
        <v>6819.5967000000001</v>
      </c>
      <c r="H322" s="1062">
        <f t="shared" si="76"/>
        <v>1.8884794830384175E-2</v>
      </c>
      <c r="I322" s="1063">
        <f t="shared" si="76"/>
        <v>3.9295455833111754</v>
      </c>
      <c r="J322" s="1063">
        <f t="shared" si="76"/>
        <v>1.2175677021960365</v>
      </c>
      <c r="K322" s="1064">
        <f t="shared" si="76"/>
        <v>5.0345645887817243</v>
      </c>
      <c r="L322" s="1060">
        <f t="shared" si="76"/>
        <v>-0.26680842971581226</v>
      </c>
      <c r="M322" s="1065">
        <f t="shared" si="77"/>
        <v>4.0325018858098245</v>
      </c>
      <c r="N322" s="1066">
        <f t="shared" si="77"/>
        <v>0.5805147103617575</v>
      </c>
      <c r="O322" s="1067">
        <f t="shared" si="77"/>
        <v>8.4948466413752491E-2</v>
      </c>
      <c r="P322" s="1068">
        <f t="shared" si="77"/>
        <v>0.6264024463118032</v>
      </c>
      <c r="Q322" s="1066">
        <f t="shared" si="77"/>
        <v>0.51826084585195908</v>
      </c>
      <c r="R322" s="1067">
        <f t="shared" si="77"/>
        <v>0.40005999871326348</v>
      </c>
      <c r="S322" s="1068">
        <f t="shared" si="77"/>
        <v>0.58973938770950263</v>
      </c>
      <c r="T322" s="1066">
        <f t="shared" si="77"/>
        <v>0.5495689942142129</v>
      </c>
      <c r="U322" s="1067">
        <f t="shared" si="77"/>
        <v>0.40637993517884302</v>
      </c>
      <c r="V322" s="1068">
        <f t="shared" si="77"/>
        <v>0.63323863537070213</v>
      </c>
      <c r="W322" s="1060">
        <f t="shared" si="78"/>
        <v>3.1308148362253818E-2</v>
      </c>
      <c r="X322" s="1060">
        <f t="shared" si="78"/>
        <v>6.0410020577161203E-2</v>
      </c>
      <c r="Y322" s="1069" t="str">
        <f t="shared" si="78"/>
        <v>BBB-</v>
      </c>
      <c r="Z322" s="1070" t="str">
        <f t="shared" si="78"/>
        <v>=  ¯ =</v>
      </c>
      <c r="AA322" s="130">
        <f t="shared" si="78"/>
        <v>2.643581803383519</v>
      </c>
      <c r="AB322" s="1071">
        <f t="shared" si="78"/>
        <v>2.8580691559688957E-2</v>
      </c>
      <c r="AC322" s="1065">
        <f t="shared" si="78"/>
        <v>2.5466878830879209</v>
      </c>
      <c r="AD322" s="949"/>
      <c r="AE322" s="949"/>
      <c r="AF322" s="949"/>
      <c r="AG322" s="2129"/>
      <c r="AH322" s="949"/>
      <c r="AI322" s="949"/>
      <c r="AJ322" s="949"/>
      <c r="AK322" s="949"/>
      <c r="AL322" s="949"/>
      <c r="AM322" s="949"/>
      <c r="AN322" s="949"/>
      <c r="AO322" s="949"/>
      <c r="AP322" s="949"/>
      <c r="AQ322" s="949"/>
      <c r="AR322" s="110"/>
      <c r="AS322" s="110"/>
      <c r="AT322" s="110"/>
      <c r="AU322" s="949"/>
      <c r="AV322" s="949"/>
      <c r="AW322" s="949"/>
      <c r="AX322" s="949"/>
      <c r="AY322" s="949"/>
      <c r="AZ322" s="949"/>
      <c r="BA322" s="949"/>
      <c r="BB322" s="949"/>
      <c r="BC322" s="949"/>
      <c r="BD322" s="949"/>
      <c r="BE322" s="2267"/>
    </row>
    <row r="323" spans="1:57">
      <c r="A323" s="1090" t="s">
        <v>19</v>
      </c>
      <c r="B323" s="150" t="s">
        <v>286</v>
      </c>
      <c r="C323" s="1085">
        <f t="shared" si="76"/>
        <v>31174.883771428573</v>
      </c>
      <c r="D323" s="1086">
        <f t="shared" si="76"/>
        <v>7.9877643469276421E-2</v>
      </c>
      <c r="E323" s="1060">
        <f t="shared" si="76"/>
        <v>-0.49416922878378883</v>
      </c>
      <c r="F323" s="1060">
        <f t="shared" si="76"/>
        <v>-0.3923936498781499</v>
      </c>
      <c r="G323" s="1061">
        <f t="shared" si="76"/>
        <v>19124.593099999998</v>
      </c>
      <c r="H323" s="1062">
        <f t="shared" si="76"/>
        <v>5.2959732488004868E-2</v>
      </c>
      <c r="I323" s="1063">
        <f t="shared" si="76"/>
        <v>1.0546425468926217</v>
      </c>
      <c r="J323" s="1063">
        <f t="shared" si="76"/>
        <v>0.72989058468819168</v>
      </c>
      <c r="K323" s="1064">
        <f t="shared" si="76"/>
        <v>4.913128503955539</v>
      </c>
      <c r="L323" s="1060">
        <f t="shared" si="76"/>
        <v>-0.19812930900653591</v>
      </c>
      <c r="M323" s="1065">
        <f t="shared" si="77"/>
        <v>4.438539176760524</v>
      </c>
      <c r="N323" s="1066">
        <f t="shared" si="77"/>
        <v>0.60741568747204655</v>
      </c>
      <c r="O323" s="1067">
        <f t="shared" si="77"/>
        <v>4.0950219141690898E-2</v>
      </c>
      <c r="P323" s="1068">
        <f t="shared" si="77"/>
        <v>0.62738172243152124</v>
      </c>
      <c r="Q323" s="1066">
        <f t="shared" si="77"/>
        <v>0.50834561454306215</v>
      </c>
      <c r="R323" s="1067">
        <f t="shared" si="77"/>
        <v>0.27477182203191691</v>
      </c>
      <c r="S323" s="1068">
        <f t="shared" si="77"/>
        <v>0.61196382356206247</v>
      </c>
      <c r="T323" s="1066">
        <f t="shared" si="77"/>
        <v>0.54898628094174651</v>
      </c>
      <c r="U323" s="1067">
        <f t="shared" si="77"/>
        <v>0.26756473067663017</v>
      </c>
      <c r="V323" s="1068">
        <f t="shared" si="77"/>
        <v>0.65530118542007598</v>
      </c>
      <c r="W323" s="1060">
        <f t="shared" si="78"/>
        <v>4.0640666398684355E-2</v>
      </c>
      <c r="X323" s="1060">
        <f t="shared" si="78"/>
        <v>7.9946920433679999E-2</v>
      </c>
      <c r="Y323" s="1069" t="str">
        <f t="shared" si="78"/>
        <v>BBB+</v>
      </c>
      <c r="Z323" s="1070" t="str">
        <f t="shared" si="78"/>
        <v>=  ¯ ¯</v>
      </c>
      <c r="AA323" s="130">
        <f t="shared" si="78"/>
        <v>2.5321561588471506</v>
      </c>
      <c r="AB323" s="1071">
        <f t="shared" si="78"/>
        <v>1.3257606300410854E-2</v>
      </c>
      <c r="AC323" s="1065">
        <f t="shared" si="78"/>
        <v>2.8138910595815916</v>
      </c>
      <c r="AD323" s="949"/>
      <c r="AE323" s="949"/>
      <c r="AF323" s="949"/>
      <c r="AG323" s="2129"/>
      <c r="AH323" s="949"/>
      <c r="AI323" s="949"/>
      <c r="AJ323" s="949"/>
      <c r="AK323" s="949"/>
      <c r="AL323" s="949"/>
      <c r="AM323" s="949"/>
      <c r="AN323" s="949"/>
      <c r="AO323" s="949"/>
      <c r="AP323" s="949"/>
      <c r="AQ323" s="949"/>
      <c r="AR323" s="110"/>
      <c r="AS323" s="110"/>
      <c r="AT323" s="110"/>
      <c r="AU323" s="949"/>
      <c r="AV323" s="949"/>
      <c r="AW323" s="949"/>
      <c r="AX323" s="949"/>
      <c r="AY323" s="949"/>
      <c r="AZ323" s="949"/>
      <c r="BA323" s="949"/>
      <c r="BB323" s="949"/>
      <c r="BC323" s="949"/>
      <c r="BD323" s="949"/>
      <c r="BE323" s="2267"/>
    </row>
    <row r="324" spans="1:57">
      <c r="A324" s="1090" t="s">
        <v>32</v>
      </c>
      <c r="B324" s="73" t="s">
        <v>50</v>
      </c>
      <c r="C324" s="1085">
        <f t="shared" si="76"/>
        <v>19515.355899391296</v>
      </c>
      <c r="D324" s="1086">
        <f t="shared" si="76"/>
        <v>5.0003093905237848E-2</v>
      </c>
      <c r="E324" s="1060">
        <f t="shared" si="76"/>
        <v>1.1994936816856254</v>
      </c>
      <c r="F324" s="1060">
        <f t="shared" si="76"/>
        <v>1.3012692605912644</v>
      </c>
      <c r="G324" s="1061">
        <f t="shared" si="76"/>
        <v>28491.576306321644</v>
      </c>
      <c r="H324" s="1062">
        <f t="shared" si="76"/>
        <v>7.8898737947233621E-2</v>
      </c>
      <c r="I324" s="1063">
        <f t="shared" si="76"/>
        <v>-0.89894076859195104</v>
      </c>
      <c r="J324" s="1063">
        <f t="shared" si="76"/>
        <v>39.625784878048783</v>
      </c>
      <c r="K324" s="1064">
        <f t="shared" si="76"/>
        <v>4.7123747267525307</v>
      </c>
      <c r="L324" s="1060">
        <f t="shared" si="76"/>
        <v>0.4140020451008824</v>
      </c>
      <c r="M324" s="1065">
        <f t="shared" si="77"/>
        <v>5.7096258695546744</v>
      </c>
      <c r="N324" s="1066">
        <f t="shared" si="77"/>
        <v>0</v>
      </c>
      <c r="O324" s="1067">
        <f t="shared" si="77"/>
        <v>0</v>
      </c>
      <c r="P324" s="1068">
        <f t="shared" si="77"/>
        <v>0</v>
      </c>
      <c r="Q324" s="1066">
        <f t="shared" si="77"/>
        <v>0.37025195227815472</v>
      </c>
      <c r="R324" s="1067">
        <f t="shared" si="77"/>
        <v>-0.46222821771061889</v>
      </c>
      <c r="S324" s="1068">
        <f t="shared" si="77"/>
        <v>0.26403640782716253</v>
      </c>
      <c r="T324" s="1066">
        <f t="shared" si="77"/>
        <v>0.48927059752514818</v>
      </c>
      <c r="U324" s="1067">
        <f t="shared" si="77"/>
        <v>-0.38189416595312975</v>
      </c>
      <c r="V324" s="1068">
        <f t="shared" si="77"/>
        <v>0.37414035756341019</v>
      </c>
      <c r="W324" s="1060">
        <f t="shared" si="78"/>
        <v>0.11901864524699346</v>
      </c>
      <c r="X324" s="1060">
        <f t="shared" si="78"/>
        <v>0.32145312000294263</v>
      </c>
      <c r="Y324" s="1069" t="str">
        <f t="shared" si="78"/>
        <v>BBB</v>
      </c>
      <c r="Z324" s="1070" t="str">
        <f t="shared" si="78"/>
        <v xml:space="preserve">=  -  = </v>
      </c>
      <c r="AA324" s="130">
        <f t="shared" si="78"/>
        <v>2.2664974928712622</v>
      </c>
      <c r="AB324" s="1071">
        <f t="shared" si="78"/>
        <v>-0.12537902502142731</v>
      </c>
      <c r="AC324" s="1065">
        <f t="shared" si="78"/>
        <v>2.136201464388483</v>
      </c>
      <c r="AD324" s="949"/>
      <c r="AE324" s="949"/>
      <c r="AF324" s="949"/>
      <c r="AG324" s="2129"/>
      <c r="AH324" s="949"/>
      <c r="AI324" s="949"/>
      <c r="AJ324" s="949"/>
      <c r="AK324" s="949"/>
      <c r="AL324" s="949"/>
      <c r="AM324" s="949"/>
      <c r="AN324" s="949"/>
      <c r="AO324" s="949"/>
      <c r="AP324" s="949"/>
      <c r="AQ324" s="949"/>
      <c r="AR324" s="110"/>
      <c r="AS324" s="110"/>
      <c r="AT324" s="110"/>
      <c r="AU324" s="949"/>
      <c r="AV324" s="949"/>
      <c r="AW324" s="949"/>
      <c r="AX324" s="949"/>
      <c r="AY324" s="949"/>
      <c r="AZ324" s="949"/>
      <c r="BA324" s="949"/>
      <c r="BB324" s="949"/>
      <c r="BC324" s="949"/>
      <c r="BD324" s="949"/>
      <c r="BE324" s="2267"/>
    </row>
    <row r="325" spans="1:57">
      <c r="A325" s="1090" t="s">
        <v>385</v>
      </c>
      <c r="B325" s="73" t="s">
        <v>276</v>
      </c>
      <c r="C325" s="1085">
        <f t="shared" si="76"/>
        <v>3544.0522571428578</v>
      </c>
      <c r="D325" s="1086">
        <f t="shared" si="76"/>
        <v>9.0807248780183369E-3</v>
      </c>
      <c r="E325" s="1060">
        <f t="shared" si="76"/>
        <v>-0.4675424361384804</v>
      </c>
      <c r="F325" s="1060">
        <f t="shared" si="76"/>
        <v>-0.36576685723284147</v>
      </c>
      <c r="G325" s="1061">
        <f t="shared" si="76"/>
        <v>2152.6311000000001</v>
      </c>
      <c r="H325" s="1062">
        <f t="shared" si="76"/>
        <v>5.9610558303255963E-3</v>
      </c>
      <c r="I325" s="1063">
        <f t="shared" si="76"/>
        <v>3.4941691326062152</v>
      </c>
      <c r="J325" s="1063">
        <f t="shared" si="76"/>
        <v>2.2961398399999999</v>
      </c>
      <c r="K325" s="1064">
        <f t="shared" si="76"/>
        <v>4.4246190982470868</v>
      </c>
      <c r="L325" s="1060">
        <f t="shared" si="76"/>
        <v>-2.9835823683801648E-2</v>
      </c>
      <c r="M325" s="1065">
        <f t="shared" si="77"/>
        <v>4.0530525032062261</v>
      </c>
      <c r="N325" s="1066">
        <f t="shared" si="77"/>
        <v>0.60910298289809772</v>
      </c>
      <c r="O325" s="1067">
        <f t="shared" si="77"/>
        <v>-5.2071170724915891E-2</v>
      </c>
      <c r="P325" s="1068">
        <f t="shared" si="77"/>
        <v>0.6207941242005639</v>
      </c>
      <c r="Q325" s="1066">
        <f t="shared" si="77"/>
        <v>0.49050145598877937</v>
      </c>
      <c r="R325" s="1067">
        <f t="shared" si="77"/>
        <v>0.42102559519407173</v>
      </c>
      <c r="S325" s="1068">
        <f t="shared" si="77"/>
        <v>0.61744816018521742</v>
      </c>
      <c r="T325" s="1066">
        <f t="shared" si="77"/>
        <v>0.49698573886957192</v>
      </c>
      <c r="U325" s="1067">
        <f t="shared" si="77"/>
        <v>0.41032171167013903</v>
      </c>
      <c r="V325" s="1068">
        <f t="shared" si="77"/>
        <v>0.62319136029119382</v>
      </c>
      <c r="W325" s="1060">
        <f t="shared" si="78"/>
        <v>6.4842828807925579E-3</v>
      </c>
      <c r="X325" s="1060">
        <f t="shared" si="78"/>
        <v>1.3219701596443154E-2</v>
      </c>
      <c r="Y325" s="1069" t="str">
        <f t="shared" si="78"/>
        <v>BBB</v>
      </c>
      <c r="Z325" s="1070" t="str">
        <f t="shared" si="78"/>
        <v>=  ¯ -</v>
      </c>
      <c r="AA325" s="130">
        <f t="shared" si="78"/>
        <v>2.1902281092407181</v>
      </c>
      <c r="AB325" s="1071">
        <f t="shared" si="78"/>
        <v>0.36844726500440206</v>
      </c>
      <c r="AC325" s="1065">
        <f t="shared" si="78"/>
        <v>2.5252968522290931</v>
      </c>
      <c r="AD325" s="949"/>
      <c r="AE325" s="949"/>
      <c r="AF325" s="949"/>
      <c r="AG325" s="2129"/>
      <c r="AH325" s="949"/>
      <c r="AI325" s="949"/>
      <c r="AJ325" s="949"/>
      <c r="AK325" s="949"/>
      <c r="AL325" s="949"/>
      <c r="AM325" s="949"/>
      <c r="AN325" s="949"/>
      <c r="AO325" s="949"/>
      <c r="AP325" s="949"/>
      <c r="AQ325" s="949"/>
      <c r="AR325" s="110"/>
      <c r="AS325" s="110"/>
      <c r="AT325" s="110"/>
      <c r="AU325" s="949"/>
      <c r="AV325" s="949"/>
      <c r="AW325" s="949"/>
      <c r="AX325" s="949"/>
      <c r="AY325" s="949"/>
      <c r="AZ325" s="949"/>
      <c r="BA325" s="949"/>
      <c r="BB325" s="949"/>
      <c r="BC325" s="949"/>
      <c r="BD325" s="949"/>
      <c r="BE325" s="2267"/>
    </row>
    <row r="326" spans="1:57">
      <c r="A326" s="1090" t="s">
        <v>374</v>
      </c>
      <c r="B326" s="73" t="s">
        <v>42</v>
      </c>
      <c r="C326" s="1085">
        <f t="shared" si="76"/>
        <v>2432.5463571428577</v>
      </c>
      <c r="D326" s="1086">
        <f t="shared" si="76"/>
        <v>6.2327761047315808E-3</v>
      </c>
      <c r="E326" s="1060">
        <f t="shared" si="76"/>
        <v>-3.2258071946582277E-2</v>
      </c>
      <c r="F326" s="1060">
        <f t="shared" si="76"/>
        <v>6.9517506959056674E-2</v>
      </c>
      <c r="G326" s="1061">
        <f t="shared" si="76"/>
        <v>2940.9023000000002</v>
      </c>
      <c r="H326" s="1062">
        <f t="shared" si="76"/>
        <v>8.143932697912316E-3</v>
      </c>
      <c r="I326" s="1063">
        <f t="shared" si="76"/>
        <v>1.2689619717468461</v>
      </c>
      <c r="J326" s="1063">
        <f t="shared" si="76"/>
        <v>1.312316956715752</v>
      </c>
      <c r="K326" s="1064">
        <f t="shared" si="76"/>
        <v>3.8459062845563983</v>
      </c>
      <c r="L326" s="1060">
        <f t="shared" si="76"/>
        <v>3.4291324439135469E-2</v>
      </c>
      <c r="M326" s="1065">
        <f t="shared" si="77"/>
        <v>3.7439277362047823</v>
      </c>
      <c r="N326" s="1066">
        <f t="shared" si="77"/>
        <v>0.56323171407839789</v>
      </c>
      <c r="O326" s="1067">
        <f t="shared" si="77"/>
        <v>-0.12023286586287618</v>
      </c>
      <c r="P326" s="1068">
        <f t="shared" si="77"/>
        <v>0.53987730061349704</v>
      </c>
      <c r="Q326" s="1066">
        <f t="shared" si="77"/>
        <v>0.60887331285954671</v>
      </c>
      <c r="R326" s="1067">
        <f t="shared" si="77"/>
        <v>-0.37303497156800469</v>
      </c>
      <c r="S326" s="1068">
        <f t="shared" si="77"/>
        <v>0.37659759063604481</v>
      </c>
      <c r="T326" s="1066">
        <f t="shared" si="77"/>
        <v>0.63388271448107447</v>
      </c>
      <c r="U326" s="1067">
        <f t="shared" si="77"/>
        <v>-0.25869992498286548</v>
      </c>
      <c r="V326" s="1068">
        <f t="shared" si="77"/>
        <v>0.44527495080222473</v>
      </c>
      <c r="W326" s="1060">
        <f t="shared" si="78"/>
        <v>2.500940162152776E-2</v>
      </c>
      <c r="X326" s="1060">
        <f t="shared" si="78"/>
        <v>4.1074885519406669E-2</v>
      </c>
      <c r="Y326" s="1069" t="str">
        <f t="shared" si="78"/>
        <v>B-</v>
      </c>
      <c r="Z326" s="1070" t="str">
        <f t="shared" si="78"/>
        <v>=  =  -</v>
      </c>
      <c r="AA326" s="130">
        <f t="shared" si="78"/>
        <v>2.172629043332774</v>
      </c>
      <c r="AB326" s="1071">
        <f t="shared" si="78"/>
        <v>-0.22035736928264804</v>
      </c>
      <c r="AC326" s="1065">
        <f t="shared" si="78"/>
        <v>1.5517268924243866</v>
      </c>
      <c r="AD326" s="949"/>
      <c r="AE326" s="949"/>
      <c r="AF326" s="949"/>
      <c r="AG326" s="2129"/>
      <c r="AH326" s="949"/>
      <c r="AI326" s="949"/>
      <c r="AJ326" s="949"/>
      <c r="AK326" s="949"/>
      <c r="AL326" s="949"/>
      <c r="AM326" s="949"/>
      <c r="AN326" s="949"/>
      <c r="AO326" s="949"/>
      <c r="AP326" s="949"/>
      <c r="AQ326" s="949"/>
      <c r="AR326" s="110"/>
      <c r="AS326" s="110"/>
      <c r="AT326" s="110"/>
      <c r="AU326" s="949"/>
      <c r="AV326" s="949"/>
      <c r="AW326" s="949"/>
      <c r="AX326" s="949"/>
      <c r="AY326" s="949"/>
      <c r="AZ326" s="949"/>
      <c r="BA326" s="949"/>
      <c r="BB326" s="949"/>
      <c r="BC326" s="949"/>
      <c r="BD326" s="949"/>
      <c r="BE326" s="2267"/>
    </row>
    <row r="327" spans="1:57">
      <c r="A327" s="1090" t="s">
        <v>504</v>
      </c>
      <c r="B327" s="73" t="s">
        <v>288</v>
      </c>
      <c r="C327" s="1085">
        <f t="shared" si="76"/>
        <v>16250.837973523972</v>
      </c>
      <c r="D327" s="1086">
        <f t="shared" si="76"/>
        <v>4.1638604052015776E-2</v>
      </c>
      <c r="E327" s="1060">
        <f t="shared" si="76"/>
        <v>0.20894195471198634</v>
      </c>
      <c r="F327" s="1060">
        <f t="shared" si="76"/>
        <v>0.31071753361762527</v>
      </c>
      <c r="G327" s="1061">
        <f t="shared" si="76"/>
        <v>17428.290742138299</v>
      </c>
      <c r="H327" s="1062">
        <f t="shared" si="76"/>
        <v>4.826234004564605E-2</v>
      </c>
      <c r="I327" s="1063">
        <f t="shared" si="76"/>
        <v>4.0995220850209826</v>
      </c>
      <c r="J327" s="1063">
        <f t="shared" si="76"/>
        <v>4.5731712273212377</v>
      </c>
      <c r="K327" s="1064">
        <f t="shared" si="76"/>
        <v>6.7450557383311427</v>
      </c>
      <c r="L327" s="1060">
        <f t="shared" si="76"/>
        <v>0.2149868566781509</v>
      </c>
      <c r="M327" s="1065">
        <f t="shared" si="77"/>
        <v>7.5822149145373468</v>
      </c>
      <c r="N327" s="1066">
        <f t="shared" si="77"/>
        <v>0.32615050588405037</v>
      </c>
      <c r="O327" s="1067">
        <f t="shared" si="77"/>
        <v>-8.7660674172335792E-2</v>
      </c>
      <c r="P327" s="1068">
        <f t="shared" si="77"/>
        <v>0.30985103942866765</v>
      </c>
      <c r="Q327" s="1066">
        <f t="shared" si="77"/>
        <v>0.30558583418722468</v>
      </c>
      <c r="R327" s="1067">
        <f t="shared" si="77"/>
        <v>-0.13620468181810452</v>
      </c>
      <c r="S327" s="1068">
        <f t="shared" si="77"/>
        <v>0.29018390059321952</v>
      </c>
      <c r="T327" s="1066">
        <f t="shared" si="77"/>
        <v>0.31922230141848357</v>
      </c>
      <c r="U327" s="1067">
        <f t="shared" si="77"/>
        <v>-0.13496032758973828</v>
      </c>
      <c r="V327" s="1068">
        <f t="shared" si="77"/>
        <v>0.30362227391248225</v>
      </c>
      <c r="W327" s="1060">
        <f t="shared" si="78"/>
        <v>1.3636467231258886E-2</v>
      </c>
      <c r="X327" s="1060">
        <f t="shared" si="78"/>
        <v>4.4624016252350789E-2</v>
      </c>
      <c r="Y327" s="1069" t="str">
        <f t="shared" si="78"/>
        <v>A</v>
      </c>
      <c r="Z327" s="1070" t="str">
        <f t="shared" si="78"/>
        <v>=  =  -</v>
      </c>
      <c r="AA327" s="130">
        <f t="shared" si="78"/>
        <v>2.1579177629636748</v>
      </c>
      <c r="AB327" s="1071">
        <f t="shared" si="78"/>
        <v>6.0078851309961184E-2</v>
      </c>
      <c r="AC327" s="1065">
        <f t="shared" si="78"/>
        <v>2.3009327536910358</v>
      </c>
      <c r="AD327" s="949"/>
      <c r="AE327" s="949"/>
      <c r="AF327" s="949"/>
      <c r="AG327" s="2129"/>
      <c r="AH327" s="949"/>
      <c r="AI327" s="949"/>
      <c r="AJ327" s="949"/>
      <c r="AK327" s="949"/>
      <c r="AL327" s="949"/>
      <c r="AM327" s="949"/>
      <c r="AN327" s="949"/>
      <c r="AO327" s="949"/>
      <c r="AP327" s="949"/>
      <c r="AQ327" s="949"/>
      <c r="AR327" s="110"/>
      <c r="AS327" s="110"/>
      <c r="AT327" s="110"/>
      <c r="AU327" s="949"/>
      <c r="AV327" s="949"/>
      <c r="AW327" s="949"/>
      <c r="AX327" s="949"/>
      <c r="AY327" s="949"/>
      <c r="AZ327" s="949"/>
      <c r="BA327" s="949"/>
      <c r="BB327" s="949"/>
      <c r="BC327" s="949"/>
      <c r="BD327" s="949"/>
      <c r="BE327" s="2267"/>
    </row>
    <row r="328" spans="1:57">
      <c r="A328" s="1090" t="s">
        <v>32</v>
      </c>
      <c r="B328" s="73" t="s">
        <v>277</v>
      </c>
      <c r="C328" s="1085">
        <f t="shared" si="76"/>
        <v>103061.53572524291</v>
      </c>
      <c r="D328" s="1086">
        <f t="shared" si="76"/>
        <v>0.26406875054982143</v>
      </c>
      <c r="E328" s="1060">
        <f t="shared" si="76"/>
        <v>7.5306160052783275E-2</v>
      </c>
      <c r="F328" s="1060">
        <f t="shared" si="76"/>
        <v>0.17708173895842222</v>
      </c>
      <c r="G328" s="1061">
        <f t="shared" si="76"/>
        <v>106720.85775234729</v>
      </c>
      <c r="H328" s="1062">
        <f t="shared" si="76"/>
        <v>0.29553089301830604</v>
      </c>
      <c r="I328" s="1063">
        <f t="shared" si="76"/>
        <v>1.0837821931217524</v>
      </c>
      <c r="J328" s="1063">
        <f t="shared" si="76"/>
        <v>1.259272460269286</v>
      </c>
      <c r="K328" s="1064">
        <f t="shared" si="76"/>
        <v>7.534246564629953</v>
      </c>
      <c r="L328" s="1060">
        <f t="shared" si="76"/>
        <v>0.12910548637067604</v>
      </c>
      <c r="M328" s="1065">
        <f t="shared" si="77"/>
        <v>8.6584668441025876</v>
      </c>
      <c r="N328" s="1066">
        <f t="shared" si="77"/>
        <v>0.91487499999999988</v>
      </c>
      <c r="O328" s="1067">
        <f t="shared" si="77"/>
        <v>-4.3736501079913587E-2</v>
      </c>
      <c r="P328" s="1068">
        <f t="shared" si="77"/>
        <v>0.89481420237931208</v>
      </c>
      <c r="Q328" s="1066">
        <f t="shared" si="77"/>
        <v>0.24509229252810941</v>
      </c>
      <c r="R328" s="1067">
        <f t="shared" si="77"/>
        <v>-0.16501821733667812</v>
      </c>
      <c r="S328" s="1068">
        <f t="shared" si="77"/>
        <v>0.23828807339295358</v>
      </c>
      <c r="T328" s="1066">
        <f t="shared" si="77"/>
        <v>0.27870192226407053</v>
      </c>
      <c r="U328" s="1067">
        <f t="shared" si="77"/>
        <v>-0.14309331637647091</v>
      </c>
      <c r="V328" s="1068">
        <f t="shared" si="77"/>
        <v>0.2718321660431175</v>
      </c>
      <c r="W328" s="1060">
        <f t="shared" si="78"/>
        <v>3.3609629735961127E-2</v>
      </c>
      <c r="X328" s="1060">
        <f t="shared" si="78"/>
        <v>0.13713050455108242</v>
      </c>
      <c r="Y328" s="1069" t="str">
        <f t="shared" si="78"/>
        <v>A-</v>
      </c>
      <c r="Z328" s="1070" t="str">
        <f t="shared" si="78"/>
        <v>=  =  =</v>
      </c>
      <c r="AA328" s="130">
        <f t="shared" si="78"/>
        <v>2.0880314655341889</v>
      </c>
      <c r="AB328" s="1071">
        <f t="shared" si="78"/>
        <v>-3.7762767487534328E-2</v>
      </c>
      <c r="AC328" s="1065">
        <f t="shared" si="78"/>
        <v>2.3348198024327131</v>
      </c>
      <c r="AD328" s="949"/>
      <c r="AE328" s="949"/>
      <c r="AF328" s="949"/>
      <c r="AG328" s="2129"/>
      <c r="AH328" s="949"/>
      <c r="AI328" s="949"/>
      <c r="AJ328" s="949"/>
      <c r="AK328" s="949"/>
      <c r="AL328" s="949"/>
      <c r="AM328" s="949"/>
      <c r="AN328" s="949"/>
      <c r="AO328" s="949"/>
      <c r="AP328" s="949"/>
      <c r="AQ328" s="949"/>
      <c r="AR328" s="110"/>
      <c r="AS328" s="110"/>
      <c r="AT328" s="110"/>
      <c r="AU328" s="949"/>
      <c r="AV328" s="949"/>
      <c r="AW328" s="949"/>
      <c r="AX328" s="949"/>
      <c r="AY328" s="949"/>
      <c r="AZ328" s="949"/>
      <c r="BA328" s="949"/>
      <c r="BB328" s="949"/>
      <c r="BC328" s="949"/>
      <c r="BD328" s="949"/>
      <c r="BE328" s="2267"/>
    </row>
    <row r="329" spans="1:57">
      <c r="A329" s="1090" t="s">
        <v>503</v>
      </c>
      <c r="B329" s="73" t="s">
        <v>282</v>
      </c>
      <c r="C329" s="1085">
        <f t="shared" si="76"/>
        <v>22949.481858519866</v>
      </c>
      <c r="D329" s="1086">
        <f t="shared" si="76"/>
        <v>5.8802160840116385E-2</v>
      </c>
      <c r="E329" s="1060">
        <f t="shared" si="76"/>
        <v>-8.3288171902550459E-2</v>
      </c>
      <c r="F329" s="1060">
        <f t="shared" si="76"/>
        <v>1.8487407003088485E-2</v>
      </c>
      <c r="G329" s="1061">
        <f t="shared" si="76"/>
        <v>21731.57918967646</v>
      </c>
      <c r="H329" s="1062">
        <f t="shared" si="76"/>
        <v>6.0178986000343146E-2</v>
      </c>
      <c r="I329" s="1063">
        <f t="shared" si="76"/>
        <v>1.7647070716020126</v>
      </c>
      <c r="J329" s="1063">
        <f t="shared" si="76"/>
        <v>1.7786623686113903</v>
      </c>
      <c r="K329" s="1064">
        <f t="shared" si="76"/>
        <v>7.5628972253366413</v>
      </c>
      <c r="L329" s="1060">
        <f t="shared" si="76"/>
        <v>2.1076957712408067E-2</v>
      </c>
      <c r="M329" s="1065">
        <f t="shared" si="77"/>
        <v>7.6896404016441506</v>
      </c>
      <c r="N329" s="1066">
        <f t="shared" si="77"/>
        <v>0.67984865616162071</v>
      </c>
      <c r="O329" s="1067">
        <f t="shared" si="77"/>
        <v>0.13956056160252914</v>
      </c>
      <c r="P329" s="1068">
        <f t="shared" si="77"/>
        <v>0.7167630057803468</v>
      </c>
      <c r="Q329" s="1066">
        <f t="shared" si="77"/>
        <v>0.23215418017261674</v>
      </c>
      <c r="R329" s="1067">
        <f t="shared" si="77"/>
        <v>0.36187217108516367</v>
      </c>
      <c r="S329" s="1068">
        <f t="shared" si="77"/>
        <v>0.26525179681706468</v>
      </c>
      <c r="T329" s="1066">
        <f t="shared" si="77"/>
        <v>0.2501311526811702</v>
      </c>
      <c r="U329" s="1067">
        <f t="shared" si="77"/>
        <v>0.31916438327965047</v>
      </c>
      <c r="V329" s="1068">
        <f t="shared" si="77"/>
        <v>0.28287599661626001</v>
      </c>
      <c r="W329" s="1060">
        <f t="shared" si="78"/>
        <v>1.7976972508553457E-2</v>
      </c>
      <c r="X329" s="1060">
        <f t="shared" si="78"/>
        <v>7.7435489187344358E-2</v>
      </c>
      <c r="Y329" s="1069" t="str">
        <f t="shared" si="78"/>
        <v>A-</v>
      </c>
      <c r="Z329" s="1070" t="str">
        <f t="shared" si="78"/>
        <v>=  =  =</v>
      </c>
      <c r="AA329" s="130">
        <f t="shared" si="78"/>
        <v>1.845874038975184</v>
      </c>
      <c r="AB329" s="1071">
        <f t="shared" si="78"/>
        <v>0.36079457239176377</v>
      </c>
      <c r="AC329" s="1065">
        <f t="shared" si="78"/>
        <v>2.1424428051274771</v>
      </c>
      <c r="AD329" s="949"/>
      <c r="AE329" s="949"/>
      <c r="AF329" s="949"/>
      <c r="AG329" s="2129"/>
      <c r="AH329" s="949"/>
      <c r="AI329" s="949"/>
      <c r="AJ329" s="949"/>
      <c r="AK329" s="949"/>
      <c r="AL329" s="949"/>
      <c r="AM329" s="949"/>
      <c r="AN329" s="949"/>
      <c r="AO329" s="949"/>
      <c r="AP329" s="949"/>
      <c r="AQ329" s="949"/>
      <c r="AR329" s="110"/>
      <c r="AS329" s="110"/>
      <c r="AT329" s="110"/>
      <c r="AU329" s="949"/>
      <c r="AV329" s="949"/>
      <c r="AW329" s="949"/>
      <c r="AX329" s="949"/>
      <c r="AY329" s="949"/>
      <c r="AZ329" s="949"/>
      <c r="BA329" s="949"/>
      <c r="BB329" s="949"/>
      <c r="BC329" s="949"/>
      <c r="BD329" s="949"/>
      <c r="BE329" s="2267"/>
    </row>
    <row r="330" spans="1:57">
      <c r="A330" s="1090" t="s">
        <v>27</v>
      </c>
      <c r="B330" s="73" t="s">
        <v>353</v>
      </c>
      <c r="C330" s="1085">
        <f t="shared" ref="C330:L337" si="79">VLOOKUP($B330,$B$7:$AC$28,C$37+1,FALSE)</f>
        <v>504.56125714285719</v>
      </c>
      <c r="D330" s="1086">
        <f t="shared" si="79"/>
        <v>1.292808804099037E-3</v>
      </c>
      <c r="E330" s="1060">
        <f t="shared" si="79"/>
        <v>0.11241291049139049</v>
      </c>
      <c r="F330" s="1060">
        <f t="shared" si="79"/>
        <v>0.21418848939702945</v>
      </c>
      <c r="G330" s="1061">
        <f t="shared" si="79"/>
        <v>562.64409999999998</v>
      </c>
      <c r="H330" s="1062">
        <f t="shared" si="79"/>
        <v>1.5580713726115437E-3</v>
      </c>
      <c r="I330" s="1063">
        <f t="shared" si="79"/>
        <v>0.48825120153947199</v>
      </c>
      <c r="J330" s="1063">
        <f t="shared" si="79"/>
        <v>0.52140126030951717</v>
      </c>
      <c r="K330" s="1064">
        <f t="shared" si="79"/>
        <v>4.0370208841188875</v>
      </c>
      <c r="L330" s="1060">
        <f t="shared" si="79"/>
        <v>-0.11001004882442665</v>
      </c>
      <c r="M330" s="1065">
        <f t="shared" ref="M330:Y337" si="80">VLOOKUP($B330,$B$7:$AC$28,M$37+1,FALSE)</f>
        <v>3.9063069179772585</v>
      </c>
      <c r="N330" s="1066">
        <f t="shared" si="80"/>
        <v>0.90539538726018864</v>
      </c>
      <c r="O330" s="1067">
        <f t="shared" si="80"/>
        <v>-4.1189056985539901E-2</v>
      </c>
      <c r="P330" s="1068">
        <f t="shared" si="80"/>
        <v>0.90138346931536006</v>
      </c>
      <c r="Q330" s="1066">
        <f t="shared" si="80"/>
        <v>0.38160323267486906</v>
      </c>
      <c r="R330" s="1067">
        <f t="shared" si="80"/>
        <v>0.13281779457810056</v>
      </c>
      <c r="S330" s="1068">
        <f t="shared" si="80"/>
        <v>0.39444904186551905</v>
      </c>
      <c r="T330" s="1066">
        <f t="shared" si="80"/>
        <v>0.47841518539184064</v>
      </c>
      <c r="U330" s="1067">
        <f t="shared" si="80"/>
        <v>1.1717685634717274E-2</v>
      </c>
      <c r="V330" s="1068">
        <f t="shared" si="80"/>
        <v>0.46507375880431212</v>
      </c>
      <c r="W330" s="1060">
        <f t="shared" si="80"/>
        <v>9.6811952716971572E-2</v>
      </c>
      <c r="X330" s="1060">
        <f t="shared" si="80"/>
        <v>0.25369793656715856</v>
      </c>
      <c r="Y330" s="1069" t="str">
        <f t="shared" si="80"/>
        <v>Not rated</v>
      </c>
      <c r="Z330" s="1070"/>
      <c r="AA330" s="130">
        <f t="shared" ref="AA330:AC337" si="81">VLOOKUP($B330,$B$7:$AC$28,AA$37+1,FALSE)</f>
        <v>1.832329792526622</v>
      </c>
      <c r="AB330" s="1071">
        <f t="shared" si="81"/>
        <v>-9.9442962217240083E-2</v>
      </c>
      <c r="AC330" s="1065">
        <f t="shared" si="81"/>
        <v>1.8160302149559577</v>
      </c>
      <c r="AD330" s="949"/>
      <c r="AE330" s="949"/>
      <c r="AF330" s="949"/>
      <c r="AG330" s="2129"/>
      <c r="AH330" s="949"/>
      <c r="AI330" s="949"/>
      <c r="AJ330" s="949"/>
      <c r="AK330" s="949"/>
      <c r="AL330" s="949"/>
      <c r="AM330" s="949"/>
      <c r="AN330" s="949"/>
      <c r="AO330" s="949"/>
      <c r="AP330" s="949"/>
      <c r="AQ330" s="949"/>
      <c r="AR330" s="110"/>
      <c r="AS330" s="110"/>
      <c r="AT330" s="110"/>
      <c r="AU330" s="949"/>
      <c r="AV330" s="949"/>
      <c r="AW330" s="949"/>
      <c r="AX330" s="949"/>
      <c r="AY330" s="949"/>
      <c r="AZ330" s="949"/>
      <c r="BA330" s="949"/>
      <c r="BB330" s="949"/>
      <c r="BC330" s="949"/>
      <c r="BD330" s="949"/>
      <c r="BE330" s="2267"/>
    </row>
    <row r="331" spans="1:57">
      <c r="A331" s="1090" t="s">
        <v>73</v>
      </c>
      <c r="B331" s="73" t="s">
        <v>283</v>
      </c>
      <c r="C331" s="1085">
        <f t="shared" si="79"/>
        <v>2461.5190857142857</v>
      </c>
      <c r="D331" s="1086">
        <f t="shared" si="79"/>
        <v>6.3070112903421734E-3</v>
      </c>
      <c r="E331" s="1060">
        <f t="shared" si="79"/>
        <v>6.738754525599433E-2</v>
      </c>
      <c r="F331" s="1060">
        <f t="shared" si="79"/>
        <v>0.16916312416163326</v>
      </c>
      <c r="G331" s="1061">
        <f t="shared" si="79"/>
        <v>2364.3629999999998</v>
      </c>
      <c r="H331" s="1062">
        <f t="shared" si="79"/>
        <v>6.5473828033777437E-3</v>
      </c>
      <c r="I331" s="1063">
        <f t="shared" si="79"/>
        <v>3.1397518024733277</v>
      </c>
      <c r="J331" s="1063">
        <f t="shared" si="79"/>
        <v>3.0995844257996854</v>
      </c>
      <c r="K331" s="1064">
        <f t="shared" si="79"/>
        <v>6.6917014692746157</v>
      </c>
      <c r="L331" s="1060">
        <f t="shared" si="79"/>
        <v>0.14721542174528052</v>
      </c>
      <c r="M331" s="1065">
        <f t="shared" si="80"/>
        <v>7.0127743881429545</v>
      </c>
      <c r="N331" s="1066">
        <f t="shared" si="80"/>
        <v>0.62657499999999999</v>
      </c>
      <c r="O331" s="1067">
        <f t="shared" si="80"/>
        <v>5.5614710459497153E-2</v>
      </c>
      <c r="P331" s="1068">
        <f t="shared" si="80"/>
        <v>0.64439999999999997</v>
      </c>
      <c r="Q331" s="1066">
        <f t="shared" si="80"/>
        <v>0.24190098439360719</v>
      </c>
      <c r="R331" s="1067">
        <f t="shared" si="80"/>
        <v>0.20667512064869559</v>
      </c>
      <c r="S331" s="1068">
        <f t="shared" si="80"/>
        <v>0.30597960586046052</v>
      </c>
      <c r="T331" s="1066">
        <f t="shared" si="80"/>
        <v>0.2616424852780464</v>
      </c>
      <c r="U331" s="1067">
        <f t="shared" si="80"/>
        <v>0.20296552626351777</v>
      </c>
      <c r="V331" s="1068">
        <f t="shared" si="80"/>
        <v>0.32061814749302248</v>
      </c>
      <c r="W331" s="1060">
        <f t="shared" si="80"/>
        <v>1.9741500884439211E-2</v>
      </c>
      <c r="X331" s="1060">
        <f t="shared" si="80"/>
        <v>8.1609841042717679E-2</v>
      </c>
      <c r="Y331" s="1069" t="str">
        <f t="shared" si="80"/>
        <v>BBB</v>
      </c>
      <c r="Z331" s="1070" t="str">
        <f>VLOOKUP($B331,$B$7:$AC$28,Z$37+1,FALSE)</f>
        <v>=  =  -</v>
      </c>
      <c r="AA331" s="130">
        <f t="shared" si="81"/>
        <v>1.7511002028712532</v>
      </c>
      <c r="AB331" s="1071">
        <f t="shared" si="81"/>
        <v>0.37093258903528414</v>
      </c>
      <c r="AC331" s="1065">
        <f t="shared" si="81"/>
        <v>2.2311132077757287</v>
      </c>
      <c r="AD331" s="949"/>
      <c r="AE331" s="949"/>
      <c r="AF331" s="949"/>
      <c r="AG331" s="2129"/>
      <c r="AH331" s="949"/>
      <c r="AI331" s="949"/>
      <c r="AJ331" s="949"/>
      <c r="AK331" s="949"/>
      <c r="AL331" s="949"/>
      <c r="AM331" s="949"/>
      <c r="AN331" s="949"/>
      <c r="AO331" s="949"/>
      <c r="AP331" s="949"/>
      <c r="AQ331" s="949"/>
      <c r="AR331" s="110"/>
      <c r="AS331" s="110"/>
      <c r="AT331" s="110"/>
      <c r="AU331" s="949"/>
      <c r="AV331" s="949"/>
      <c r="AW331" s="949"/>
      <c r="AX331" s="949"/>
      <c r="AY331" s="949"/>
      <c r="AZ331" s="949"/>
      <c r="BA331" s="949"/>
      <c r="BB331" s="949"/>
      <c r="BC331" s="949"/>
      <c r="BD331" s="949"/>
      <c r="BE331" s="2267"/>
    </row>
    <row r="332" spans="1:57">
      <c r="A332" s="1090" t="s">
        <v>503</v>
      </c>
      <c r="B332" s="73" t="s">
        <v>280</v>
      </c>
      <c r="C332" s="1085">
        <f t="shared" si="79"/>
        <v>5769.8566757446433</v>
      </c>
      <c r="D332" s="1086">
        <f t="shared" si="79"/>
        <v>1.4783777793466828E-2</v>
      </c>
      <c r="E332" s="1060">
        <f t="shared" si="79"/>
        <v>-0.24705029723080094</v>
      </c>
      <c r="F332" s="1060">
        <f t="shared" si="79"/>
        <v>-0.14527471832516198</v>
      </c>
      <c r="G332" s="1061">
        <f t="shared" si="79"/>
        <v>4026.3480952657014</v>
      </c>
      <c r="H332" s="1062">
        <f t="shared" si="79"/>
        <v>1.1149744044952231E-2</v>
      </c>
      <c r="I332" s="1063">
        <f t="shared" si="79"/>
        <v>2.446298838298576</v>
      </c>
      <c r="J332" s="1063">
        <f t="shared" si="79"/>
        <v>1.6476276710656086</v>
      </c>
      <c r="K332" s="1064">
        <f t="shared" si="79"/>
        <v>6.5589809256196414</v>
      </c>
      <c r="L332" s="1060">
        <f t="shared" si="79"/>
        <v>1.2127469272410992E-3</v>
      </c>
      <c r="M332" s="1065">
        <f t="shared" si="80"/>
        <v>5.5145354419406587</v>
      </c>
      <c r="N332" s="1066">
        <f t="shared" si="80"/>
        <v>0.67083419702973635</v>
      </c>
      <c r="O332" s="1067">
        <f t="shared" si="80"/>
        <v>-0.11335389957676706</v>
      </c>
      <c r="P332" s="1068">
        <f t="shared" si="80"/>
        <v>0.63639387890884902</v>
      </c>
      <c r="Q332" s="1066">
        <f t="shared" si="80"/>
        <v>0.1536920907726812</v>
      </c>
      <c r="R332" s="1067">
        <f t="shared" si="80"/>
        <v>1.6283818604559013</v>
      </c>
      <c r="S332" s="1068">
        <f t="shared" si="80"/>
        <v>0.2022242346359609</v>
      </c>
      <c r="T332" s="1066">
        <f t="shared" si="80"/>
        <v>0.20961441125119315</v>
      </c>
      <c r="U332" s="1067">
        <f t="shared" si="80"/>
        <v>0.84200521424561081</v>
      </c>
      <c r="V332" s="1068">
        <f t="shared" si="80"/>
        <v>0.28147528322389997</v>
      </c>
      <c r="W332" s="1060">
        <f t="shared" si="80"/>
        <v>5.592232047851195E-2</v>
      </c>
      <c r="X332" s="1060">
        <f t="shared" si="80"/>
        <v>0.36385945559959909</v>
      </c>
      <c r="Y332" s="1069" t="str">
        <f t="shared" si="80"/>
        <v>Not rated</v>
      </c>
      <c r="Z332" s="1070"/>
      <c r="AA332" s="130">
        <f t="shared" si="81"/>
        <v>1.4399592566697517</v>
      </c>
      <c r="AB332" s="1071">
        <f t="shared" si="81"/>
        <v>0.8442860967329926</v>
      </c>
      <c r="AC332" s="1065">
        <f t="shared" si="81"/>
        <v>1.5521418473212367</v>
      </c>
      <c r="AD332" s="949"/>
      <c r="AE332" s="949"/>
      <c r="AF332" s="949"/>
      <c r="AG332" s="2129"/>
      <c r="AH332" s="949"/>
      <c r="AI332" s="949"/>
      <c r="AJ332" s="949"/>
      <c r="AK332" s="949"/>
      <c r="AL332" s="949"/>
      <c r="AM332" s="949"/>
      <c r="AN332" s="949"/>
      <c r="AO332" s="949"/>
      <c r="AP332" s="949"/>
      <c r="AQ332" s="949"/>
      <c r="AR332" s="110"/>
      <c r="AS332" s="110"/>
      <c r="AT332" s="110"/>
      <c r="AU332" s="949"/>
      <c r="AV332" s="949"/>
      <c r="AW332" s="949"/>
      <c r="AX332" s="949"/>
      <c r="AY332" s="949"/>
      <c r="AZ332" s="949"/>
      <c r="BA332" s="949"/>
      <c r="BB332" s="949"/>
      <c r="BC332" s="949"/>
      <c r="BD332" s="949"/>
      <c r="BE332" s="2267"/>
    </row>
    <row r="333" spans="1:57">
      <c r="A333" s="1090" t="s">
        <v>19</v>
      </c>
      <c r="B333" s="73" t="s">
        <v>285</v>
      </c>
      <c r="C333" s="1085">
        <f t="shared" si="79"/>
        <v>6002.7646707914537</v>
      </c>
      <c r="D333" s="1086">
        <f t="shared" si="79"/>
        <v>1.538054479108892E-2</v>
      </c>
      <c r="E333" s="1060">
        <f t="shared" si="79"/>
        <v>1.7468659495150733</v>
      </c>
      <c r="F333" s="1060">
        <f t="shared" si="79"/>
        <v>1.8486415284207123</v>
      </c>
      <c r="G333" s="1061">
        <f t="shared" si="79"/>
        <v>9571.524995540176</v>
      </c>
      <c r="H333" s="1062">
        <f t="shared" si="79"/>
        <v>2.6505421611613778E-2</v>
      </c>
      <c r="I333" s="1063">
        <f t="shared" si="79"/>
        <v>4.1497848696984878</v>
      </c>
      <c r="J333" s="1063">
        <f t="shared" si="79"/>
        <v>5.1075046454025781</v>
      </c>
      <c r="K333" s="1064">
        <f t="shared" si="79"/>
        <v>7.8090133066846761</v>
      </c>
      <c r="L333" s="1060">
        <f t="shared" si="79"/>
        <v>0.8464659845431286</v>
      </c>
      <c r="M333" s="1065">
        <f t="shared" si="80"/>
        <v>9.6719476082953495</v>
      </c>
      <c r="N333" s="1066">
        <f t="shared" si="80"/>
        <v>9.1630231095150338E-2</v>
      </c>
      <c r="O333" s="1084" t="str">
        <f t="shared" si="80"/>
        <v>¥</v>
      </c>
      <c r="P333" s="1068">
        <f t="shared" si="80"/>
        <v>0.34976819018989347</v>
      </c>
      <c r="Q333" s="1066">
        <f t="shared" si="80"/>
        <v>0.13477545507373562</v>
      </c>
      <c r="R333" s="1067">
        <f t="shared" si="80"/>
        <v>-0.4264373226073967</v>
      </c>
      <c r="S333" s="1068">
        <f t="shared" si="80"/>
        <v>9.7905485588969735E-2</v>
      </c>
      <c r="T333" s="1066">
        <f t="shared" si="80"/>
        <v>0.16024846762312819</v>
      </c>
      <c r="U333" s="1067">
        <f t="shared" si="80"/>
        <v>-0.25253039609468159</v>
      </c>
      <c r="V333" s="1068">
        <f t="shared" si="80"/>
        <v>0.12849893093161849</v>
      </c>
      <c r="W333" s="1060">
        <f t="shared" si="80"/>
        <v>2.5473012549392576E-2</v>
      </c>
      <c r="X333" s="1060">
        <f t="shared" si="80"/>
        <v>0.18900335031669008</v>
      </c>
      <c r="Y333" s="1069" t="str">
        <f t="shared" si="80"/>
        <v>Not rated</v>
      </c>
      <c r="Z333" s="1070"/>
      <c r="AA333" s="130">
        <f t="shared" si="81"/>
        <v>1.265551414722516</v>
      </c>
      <c r="AB333" s="1071">
        <f t="shared" si="81"/>
        <v>0.38040351489576829</v>
      </c>
      <c r="AC333" s="1065">
        <f t="shared" si="81"/>
        <v>1.242834927692577</v>
      </c>
      <c r="AD333" s="949"/>
      <c r="AE333" s="949"/>
      <c r="AF333" s="949"/>
      <c r="AG333" s="2129"/>
      <c r="AH333" s="949"/>
      <c r="AI333" s="949"/>
      <c r="AJ333" s="949"/>
      <c r="AK333" s="949"/>
      <c r="AL333" s="949"/>
      <c r="AM333" s="949"/>
      <c r="AN333" s="949"/>
      <c r="AO333" s="949"/>
      <c r="AP333" s="949"/>
      <c r="AQ333" s="949"/>
      <c r="AR333" s="110"/>
      <c r="AS333" s="110"/>
      <c r="AT333" s="110"/>
      <c r="AU333" s="949"/>
      <c r="AV333" s="949"/>
      <c r="AW333" s="949"/>
      <c r="AX333" s="949"/>
      <c r="AY333" s="949"/>
      <c r="AZ333" s="949"/>
      <c r="BA333" s="949"/>
      <c r="BB333" s="949"/>
      <c r="BC333" s="949"/>
      <c r="BD333" s="949"/>
      <c r="BE333" s="2267"/>
    </row>
    <row r="334" spans="1:57">
      <c r="A334" s="1091" t="s">
        <v>319</v>
      </c>
      <c r="B334" s="691" t="s">
        <v>751</v>
      </c>
      <c r="C334" s="1087">
        <f t="shared" si="79"/>
        <v>2121.4584571428572</v>
      </c>
      <c r="D334" s="1088">
        <f t="shared" si="79"/>
        <v>5.4356931534045982E-3</v>
      </c>
      <c r="E334" s="1072">
        <f t="shared" si="79"/>
        <v>-0.63331383871554725</v>
      </c>
      <c r="F334" s="1072">
        <f t="shared" si="79"/>
        <v>-0.53153825980990832</v>
      </c>
      <c r="G334" s="1073">
        <f t="shared" si="79"/>
        <v>960.23059999999998</v>
      </c>
      <c r="H334" s="1074">
        <f t="shared" si="79"/>
        <v>2.6590660223142948E-3</v>
      </c>
      <c r="I334" s="1075">
        <f t="shared" si="79"/>
        <v>6.3820660890696566</v>
      </c>
      <c r="J334" s="1075">
        <f t="shared" si="79"/>
        <v>3.126768479322696</v>
      </c>
      <c r="K334" s="1076">
        <f t="shared" si="79"/>
        <v>4.988018554669714</v>
      </c>
      <c r="L334" s="1072">
        <f t="shared" si="79"/>
        <v>-0.2975700901517318</v>
      </c>
      <c r="M334" s="1077">
        <f t="shared" si="80"/>
        <v>3.6764587184436395</v>
      </c>
      <c r="N334" s="1078">
        <f t="shared" si="80"/>
        <v>0.95644485424869818</v>
      </c>
      <c r="O334" s="1079">
        <f t="shared" si="80"/>
        <v>5.7346309608293736E-3</v>
      </c>
      <c r="P334" s="1080">
        <f t="shared" si="80"/>
        <v>0.97265268915223335</v>
      </c>
      <c r="Q334" s="1078">
        <f t="shared" si="80"/>
        <v>0.16489915086810925</v>
      </c>
      <c r="R334" s="1079">
        <f t="shared" si="80"/>
        <v>2.0043608623878186</v>
      </c>
      <c r="S334" s="1080">
        <f t="shared" si="80"/>
        <v>0.32988338723452482</v>
      </c>
      <c r="T334" s="1078">
        <f t="shared" si="80"/>
        <v>0.27218937885351913</v>
      </c>
      <c r="U334" s="1079">
        <f t="shared" si="80"/>
        <v>1.2181747217666232</v>
      </c>
      <c r="V334" s="1080">
        <f t="shared" si="80"/>
        <v>0.4561905930983241</v>
      </c>
      <c r="W334" s="1072">
        <f t="shared" si="80"/>
        <v>0.10729022798540988</v>
      </c>
      <c r="X334" s="1072">
        <f t="shared" si="80"/>
        <v>0.65064148250965514</v>
      </c>
      <c r="Y334" s="1081" t="str">
        <f t="shared" si="80"/>
        <v>Not rated</v>
      </c>
      <c r="Z334" s="1082"/>
      <c r="AA334" s="1011">
        <f t="shared" si="81"/>
        <v>1.2440956586918632</v>
      </c>
      <c r="AB334" s="1083">
        <f t="shared" si="81"/>
        <v>0.5581122698382367</v>
      </c>
      <c r="AC334" s="1077">
        <f t="shared" si="81"/>
        <v>1.6771658832683087</v>
      </c>
      <c r="AD334" s="949"/>
      <c r="AE334" s="949"/>
      <c r="AF334" s="949"/>
      <c r="AG334" s="2129"/>
      <c r="AH334" s="949"/>
      <c r="AI334" s="949"/>
      <c r="AJ334" s="949"/>
      <c r="AK334" s="949"/>
      <c r="AL334" s="949"/>
      <c r="AM334" s="949"/>
      <c r="AN334" s="949"/>
      <c r="AO334" s="949"/>
      <c r="AP334" s="949"/>
      <c r="AQ334" s="949"/>
      <c r="AR334" s="110"/>
      <c r="AS334" s="110"/>
      <c r="AT334" s="110"/>
      <c r="AU334" s="949"/>
      <c r="AV334" s="949"/>
      <c r="AW334" s="949"/>
      <c r="AX334" s="949"/>
      <c r="AY334" s="949"/>
      <c r="AZ334" s="949"/>
      <c r="BA334" s="949"/>
      <c r="BB334" s="949"/>
      <c r="BC334" s="949"/>
      <c r="BD334" s="949"/>
      <c r="BE334" s="2267"/>
    </row>
    <row r="335" spans="1:57">
      <c r="A335" s="1090" t="s">
        <v>500</v>
      </c>
      <c r="B335" s="73" t="s">
        <v>279</v>
      </c>
      <c r="C335" s="1085">
        <f t="shared" si="79"/>
        <v>20617.292984255655</v>
      </c>
      <c r="D335" s="1086">
        <f t="shared" si="79"/>
        <v>5.2826525044090682E-2</v>
      </c>
      <c r="E335" s="1060">
        <f t="shared" si="79"/>
        <v>0.37985561177970401</v>
      </c>
      <c r="F335" s="1060">
        <f t="shared" si="79"/>
        <v>0.48163119068534294</v>
      </c>
      <c r="G335" s="1061">
        <f t="shared" si="79"/>
        <v>23766.623796323693</v>
      </c>
      <c r="H335" s="1062">
        <f t="shared" si="79"/>
        <v>6.5814421871090864E-2</v>
      </c>
      <c r="I335" s="1063">
        <f t="shared" si="79"/>
        <v>1.8990159277875758</v>
      </c>
      <c r="J335" s="1063">
        <f t="shared" si="79"/>
        <v>2.509154465418888</v>
      </c>
      <c r="K335" s="1064">
        <f t="shared" si="79"/>
        <v>5.7229254321128114</v>
      </c>
      <c r="L335" s="1060">
        <f t="shared" si="79"/>
        <v>4.5724350121793801E-2</v>
      </c>
      <c r="M335" s="1065">
        <f t="shared" si="80"/>
        <v>6.1939465303838475</v>
      </c>
      <c r="N335" s="1066">
        <f t="shared" si="80"/>
        <v>0.7344324868237998</v>
      </c>
      <c r="O335" s="1067">
        <f t="shared" si="80"/>
        <v>0.10784712869930438</v>
      </c>
      <c r="P335" s="1068">
        <f t="shared" si="80"/>
        <v>0.74956908795771016</v>
      </c>
      <c r="Q335" s="1066">
        <f t="shared" si="80"/>
        <v>0.14726898954609682</v>
      </c>
      <c r="R335" s="1067">
        <f t="shared" si="80"/>
        <v>4.9939774449528171E-2</v>
      </c>
      <c r="S335" s="1068">
        <f t="shared" si="80"/>
        <v>0.17272839211728983</v>
      </c>
      <c r="T335" s="1066">
        <f t="shared" si="80"/>
        <v>0.18443136241749356</v>
      </c>
      <c r="U335" s="1067">
        <f t="shared" si="80"/>
        <v>-5.7258906752796622E-2</v>
      </c>
      <c r="V335" s="1068">
        <f t="shared" si="80"/>
        <v>0.198117589718218</v>
      </c>
      <c r="W335" s="1060">
        <f t="shared" si="80"/>
        <v>3.7162372871396732E-2</v>
      </c>
      <c r="X335" s="1060">
        <f t="shared" si="80"/>
        <v>0.25234350412762557</v>
      </c>
      <c r="Y335" s="1069" t="str">
        <f t="shared" si="80"/>
        <v>A-</v>
      </c>
      <c r="Z335" s="1070" t="str">
        <f>VLOOKUP($B335,$B$7:$AC$28,Z$37+1,FALSE)</f>
        <v>=  =  -</v>
      </c>
      <c r="AA335" s="130">
        <f t="shared" si="81"/>
        <v>1.0395975936863313</v>
      </c>
      <c r="AB335" s="1071">
        <f t="shared" si="81"/>
        <v>2.9438923535487854E-2</v>
      </c>
      <c r="AC335" s="1065">
        <f t="shared" si="81"/>
        <v>1.2087727199953455</v>
      </c>
      <c r="AD335" s="949"/>
      <c r="AE335" s="949"/>
      <c r="AF335" s="949"/>
      <c r="AG335" s="2129"/>
      <c r="AH335" s="949"/>
      <c r="AI335" s="949"/>
      <c r="AJ335" s="949"/>
      <c r="AK335" s="949"/>
      <c r="AL335" s="949"/>
      <c r="AM335" s="949"/>
      <c r="AN335" s="949"/>
      <c r="AO335" s="949"/>
      <c r="AP335" s="949"/>
      <c r="AQ335" s="949"/>
      <c r="AR335" s="110"/>
      <c r="AS335" s="110"/>
      <c r="AT335" s="110"/>
      <c r="AU335" s="949"/>
      <c r="AV335" s="949"/>
      <c r="AW335" s="949"/>
      <c r="AX335" s="949"/>
      <c r="AY335" s="949"/>
      <c r="AZ335" s="949"/>
      <c r="BA335" s="949"/>
      <c r="BB335" s="949"/>
      <c r="BC335" s="949"/>
      <c r="BD335" s="949"/>
      <c r="BE335" s="2267"/>
    </row>
    <row r="336" spans="1:57">
      <c r="A336" s="1091" t="s">
        <v>319</v>
      </c>
      <c r="B336" s="691" t="s">
        <v>750</v>
      </c>
      <c r="C336" s="1087">
        <f t="shared" si="79"/>
        <v>7616.907214285714</v>
      </c>
      <c r="D336" s="1088">
        <f t="shared" si="79"/>
        <v>1.9516371039653539E-2</v>
      </c>
      <c r="E336" s="1072">
        <f t="shared" si="79"/>
        <v>-0.33365525120929096</v>
      </c>
      <c r="F336" s="1072">
        <f t="shared" si="79"/>
        <v>-0.23187967230365203</v>
      </c>
      <c r="G336" s="1073">
        <f t="shared" si="79"/>
        <v>5825.8631999999998</v>
      </c>
      <c r="H336" s="1074">
        <f t="shared" si="79"/>
        <v>1.6132952736323161E-2</v>
      </c>
      <c r="I336" s="1075">
        <f t="shared" si="79"/>
        <v>2.4107651340270966</v>
      </c>
      <c r="J336" s="1075">
        <f t="shared" si="79"/>
        <v>2.0327505931612002</v>
      </c>
      <c r="K336" s="1076">
        <f t="shared" si="79"/>
        <v>4.7469851722287064</v>
      </c>
      <c r="L336" s="1072">
        <f t="shared" si="79"/>
        <v>0.1951757211867983</v>
      </c>
      <c r="M336" s="1077">
        <f t="shared" si="80"/>
        <v>4.6619962755533297</v>
      </c>
      <c r="N336" s="1078">
        <f t="shared" si="80"/>
        <v>0.37158673775730477</v>
      </c>
      <c r="O336" s="1079">
        <f t="shared" si="80"/>
        <v>-0.1153634304384116</v>
      </c>
      <c r="P336" s="1080">
        <f t="shared" si="80"/>
        <v>0.36037883142173305</v>
      </c>
      <c r="Q336" s="1078">
        <f t="shared" si="80"/>
        <v>0.17383796150947908</v>
      </c>
      <c r="R336" s="1079">
        <f t="shared" si="80"/>
        <v>0.54445307336528614</v>
      </c>
      <c r="S336" s="1080">
        <f t="shared" si="80"/>
        <v>0.26356163003804695</v>
      </c>
      <c r="T336" s="1078">
        <f t="shared" si="80"/>
        <v>0.19702478682132593</v>
      </c>
      <c r="U336" s="1079">
        <f t="shared" si="80"/>
        <v>0.50034734616182497</v>
      </c>
      <c r="V336" s="1080">
        <f t="shared" si="80"/>
        <v>0.28756363720088318</v>
      </c>
      <c r="W336" s="1072">
        <f t="shared" si="80"/>
        <v>2.3186825311846848E-2</v>
      </c>
      <c r="X336" s="1072">
        <f t="shared" si="80"/>
        <v>0.13338182932260462</v>
      </c>
      <c r="Y336" s="1081" t="str">
        <f t="shared" si="80"/>
        <v>A</v>
      </c>
      <c r="Z336" s="1082" t="str">
        <f>VLOOKUP($B336,$B$7:$AC$28,Z$37+1,FALSE)</f>
        <v>=  =  -</v>
      </c>
      <c r="AA336" s="1011">
        <f t="shared" si="81"/>
        <v>0.93248540191552354</v>
      </c>
      <c r="AB336" s="1083">
        <f t="shared" si="81"/>
        <v>0.78949919521054279</v>
      </c>
      <c r="AC336" s="1077">
        <f t="shared" si="81"/>
        <v>1.3109622071604587</v>
      </c>
      <c r="AD336" s="949"/>
      <c r="AE336" s="949"/>
      <c r="AF336" s="949"/>
      <c r="AG336" s="2129"/>
      <c r="AH336" s="949"/>
      <c r="AI336" s="949"/>
      <c r="AJ336" s="949"/>
      <c r="AK336" s="949"/>
      <c r="AL336" s="949"/>
      <c r="AM336" s="949"/>
      <c r="AN336" s="949"/>
      <c r="AO336" s="949"/>
      <c r="AP336" s="949"/>
      <c r="AQ336" s="949"/>
      <c r="AR336" s="110"/>
      <c r="AS336" s="110"/>
      <c r="AT336" s="110"/>
      <c r="AU336" s="949"/>
      <c r="AV336" s="949"/>
      <c r="AW336" s="949"/>
      <c r="AX336" s="949"/>
      <c r="AY336" s="949"/>
      <c r="AZ336" s="949"/>
      <c r="BA336" s="949"/>
      <c r="BB336" s="949"/>
      <c r="BC336" s="949"/>
      <c r="BD336" s="949"/>
      <c r="BE336" s="2267"/>
    </row>
    <row r="337" spans="1:57">
      <c r="A337" s="1090" t="s">
        <v>502</v>
      </c>
      <c r="B337" s="73" t="s">
        <v>287</v>
      </c>
      <c r="C337" s="1085">
        <f t="shared" si="79"/>
        <v>4580.8423286191064</v>
      </c>
      <c r="D337" s="1086">
        <f t="shared" si="79"/>
        <v>1.1737233504933111E-2</v>
      </c>
      <c r="E337" s="1060">
        <f t="shared" si="79"/>
        <v>-0.49577837871365099</v>
      </c>
      <c r="F337" s="1060">
        <f t="shared" si="79"/>
        <v>-0.39400279980801206</v>
      </c>
      <c r="G337" s="1061">
        <f t="shared" si="79"/>
        <v>2322.4005110115481</v>
      </c>
      <c r="H337" s="1062">
        <f t="shared" si="79"/>
        <v>6.4311804779353665E-3</v>
      </c>
      <c r="I337" s="1063">
        <f t="shared" si="79"/>
        <v>1.4234279787340207</v>
      </c>
      <c r="J337" s="1063">
        <f t="shared" si="79"/>
        <v>0.8056764866383116</v>
      </c>
      <c r="K337" s="1064">
        <f t="shared" si="79"/>
        <v>4.3531629475873661</v>
      </c>
      <c r="L337" s="1060">
        <f t="shared" si="79"/>
        <v>-8.1025400882275472E-2</v>
      </c>
      <c r="M337" s="1065">
        <f t="shared" si="80"/>
        <v>3.4400754167452243</v>
      </c>
      <c r="N337" s="1060">
        <f t="shared" si="80"/>
        <v>0.42290073595624156</v>
      </c>
      <c r="O337" s="1067">
        <f t="shared" si="80"/>
        <v>-9.0086339251873371E-2</v>
      </c>
      <c r="P337" s="1068">
        <f t="shared" si="80"/>
        <v>0.44946685046944856</v>
      </c>
      <c r="Q337" s="1066">
        <f t="shared" si="80"/>
        <v>0.16307046534988884</v>
      </c>
      <c r="R337" s="1067">
        <f t="shared" si="80"/>
        <v>1.3005419282788433</v>
      </c>
      <c r="S337" s="1068">
        <f t="shared" si="80"/>
        <v>0.30950096360373897</v>
      </c>
      <c r="T337" s="1066">
        <f t="shared" si="80"/>
        <v>0.18570292678335293</v>
      </c>
      <c r="U337" s="1067">
        <f t="shared" si="80"/>
        <v>1.251733079461073</v>
      </c>
      <c r="V337" s="1068">
        <f t="shared" si="80"/>
        <v>0.34197601038246805</v>
      </c>
      <c r="W337" s="1060">
        <f t="shared" si="80"/>
        <v>2.2632461433464091E-2</v>
      </c>
      <c r="X337" s="1060">
        <f t="shared" si="80"/>
        <v>0.13878945758144007</v>
      </c>
      <c r="Y337" s="1069" t="str">
        <f t="shared" si="80"/>
        <v>BBB</v>
      </c>
      <c r="Z337" s="1070" t="str">
        <f>VLOOKUP($B337,$B$7:$AC$28,Z$37+1,FALSE)</f>
        <v>=  ¯ -</v>
      </c>
      <c r="AA337" s="130">
        <f t="shared" si="81"/>
        <v>0.77886477042851432</v>
      </c>
      <c r="AB337" s="1071">
        <f t="shared" si="81"/>
        <v>1.0703005310133176</v>
      </c>
      <c r="AC337" s="1065">
        <f t="shared" si="81"/>
        <v>1.1762690733772538</v>
      </c>
      <c r="AD337" s="949"/>
      <c r="AE337" s="949"/>
      <c r="AF337" s="949"/>
      <c r="AG337" s="2129"/>
      <c r="AH337" s="949"/>
      <c r="AI337" s="949"/>
      <c r="AJ337" s="949"/>
      <c r="AK337" s="949"/>
      <c r="AL337" s="949"/>
      <c r="AM337" s="949"/>
      <c r="AN337" s="949"/>
      <c r="AO337" s="949"/>
      <c r="AP337" s="949"/>
      <c r="AQ337" s="949"/>
      <c r="AR337" s="110"/>
      <c r="AS337" s="110"/>
      <c r="AT337" s="110"/>
      <c r="AU337" s="949"/>
      <c r="AV337" s="949"/>
      <c r="AW337" s="949"/>
      <c r="AX337" s="949"/>
      <c r="AY337" s="949"/>
      <c r="AZ337" s="949"/>
      <c r="BA337" s="949"/>
      <c r="BB337" s="949"/>
      <c r="BC337" s="949"/>
      <c r="BD337" s="949"/>
      <c r="BE337" s="2267"/>
    </row>
    <row r="338" spans="1:57">
      <c r="A338" s="1090"/>
      <c r="B338" s="949"/>
      <c r="C338" s="949"/>
      <c r="D338" s="119"/>
      <c r="E338" s="949"/>
      <c r="F338" s="949"/>
      <c r="G338" s="949"/>
      <c r="H338" s="119"/>
      <c r="I338" s="119"/>
      <c r="J338" s="119"/>
      <c r="K338" s="949"/>
      <c r="L338" s="949"/>
      <c r="M338" s="949"/>
      <c r="N338" s="949"/>
      <c r="O338" s="949"/>
      <c r="P338" s="949"/>
      <c r="Q338" s="1005"/>
      <c r="R338" s="1005"/>
      <c r="S338" s="1005"/>
      <c r="T338" s="949"/>
      <c r="U338" s="949"/>
      <c r="V338" s="949"/>
      <c r="W338" s="1005"/>
      <c r="X338" s="1005"/>
      <c r="Y338" s="949"/>
      <c r="Z338" s="949"/>
      <c r="AA338" s="949"/>
      <c r="AB338" s="949"/>
      <c r="AC338" s="949"/>
      <c r="AD338" s="949"/>
      <c r="AE338" s="949"/>
      <c r="AF338" s="949"/>
      <c r="AG338" s="2129"/>
      <c r="AH338" s="949"/>
      <c r="AI338" s="949"/>
      <c r="AJ338" s="949"/>
      <c r="AK338" s="949"/>
      <c r="AL338" s="949"/>
      <c r="AM338" s="949"/>
      <c r="AN338" s="949"/>
      <c r="AO338" s="949"/>
      <c r="AP338" s="949"/>
      <c r="AQ338" s="949"/>
      <c r="AR338" s="110"/>
      <c r="AS338" s="110"/>
      <c r="AT338" s="110"/>
      <c r="AU338" s="949"/>
      <c r="AV338" s="949"/>
      <c r="AW338" s="949"/>
      <c r="AX338" s="949"/>
      <c r="AY338" s="949"/>
      <c r="AZ338" s="949"/>
      <c r="BA338" s="949"/>
      <c r="BB338" s="949"/>
      <c r="BC338" s="949"/>
      <c r="BD338" s="949"/>
      <c r="BE338" s="2267"/>
    </row>
    <row r="339" spans="1:57">
      <c r="A339" s="1090"/>
      <c r="B339" s="949"/>
      <c r="C339" s="949"/>
      <c r="D339" s="119"/>
      <c r="E339" s="949"/>
      <c r="F339" s="949"/>
      <c r="G339" s="949"/>
      <c r="H339" s="119"/>
      <c r="I339" s="119"/>
      <c r="J339" s="119"/>
      <c r="K339" s="949"/>
      <c r="L339" s="949"/>
      <c r="M339" s="949"/>
      <c r="N339" s="949"/>
      <c r="O339" s="949"/>
      <c r="P339" s="949"/>
      <c r="Q339" s="1005"/>
      <c r="R339" s="1005"/>
      <c r="S339" s="1005"/>
      <c r="T339" s="949"/>
      <c r="U339" s="949"/>
      <c r="V339" s="949"/>
      <c r="W339" s="1005"/>
      <c r="X339" s="1005"/>
      <c r="Y339" s="949"/>
      <c r="Z339" s="949"/>
      <c r="AA339" s="949"/>
      <c r="AB339" s="949"/>
      <c r="AC339" s="949"/>
      <c r="AD339" s="949"/>
      <c r="AE339" s="949"/>
      <c r="AF339" s="949"/>
      <c r="AG339" s="2129"/>
      <c r="AH339" s="949"/>
      <c r="AI339" s="949"/>
      <c r="AJ339" s="949"/>
      <c r="AK339" s="949"/>
      <c r="AL339" s="949"/>
      <c r="AM339" s="949"/>
      <c r="AN339" s="949"/>
      <c r="AO339" s="949"/>
      <c r="AP339" s="949"/>
      <c r="AQ339" s="949"/>
      <c r="AR339" s="110"/>
      <c r="AS339" s="110"/>
      <c r="AT339" s="110"/>
      <c r="AU339" s="949"/>
      <c r="AV339" s="949"/>
      <c r="AW339" s="949"/>
      <c r="AX339" s="949"/>
      <c r="AY339" s="949"/>
      <c r="AZ339" s="949"/>
      <c r="BA339" s="949"/>
      <c r="BB339" s="949"/>
      <c r="BC339" s="949"/>
      <c r="BD339" s="949"/>
      <c r="BE339" s="2267"/>
    </row>
    <row r="340" spans="1:57">
      <c r="A340" s="3315" t="s">
        <v>1002</v>
      </c>
      <c r="B340" s="1286" t="s">
        <v>1178</v>
      </c>
      <c r="C340" s="1005"/>
      <c r="D340" s="119"/>
      <c r="E340" s="1005"/>
      <c r="F340" s="1005"/>
      <c r="G340" s="1005"/>
      <c r="H340" s="119"/>
      <c r="I340" s="119"/>
      <c r="J340" s="119"/>
      <c r="K340" s="1005"/>
      <c r="L340" s="1005"/>
      <c r="M340" s="1089"/>
      <c r="N340" s="1005"/>
      <c r="O340" s="1005"/>
      <c r="P340" s="1005"/>
      <c r="Q340" s="1005"/>
      <c r="R340" s="1005"/>
      <c r="S340" s="1005"/>
      <c r="T340" s="1005"/>
      <c r="U340" s="1005"/>
      <c r="V340" s="1005"/>
      <c r="W340" s="1005"/>
      <c r="X340" s="1005"/>
      <c r="Y340" s="1005"/>
      <c r="Z340" s="1005"/>
      <c r="AA340" s="1005"/>
      <c r="AB340" s="1005"/>
      <c r="AC340" s="1005"/>
      <c r="AD340" s="949"/>
      <c r="AE340" s="949"/>
      <c r="AF340" s="949"/>
      <c r="AG340" s="2129"/>
      <c r="AH340" s="949"/>
      <c r="AI340" s="949"/>
      <c r="AJ340" s="949"/>
      <c r="AK340" s="949"/>
      <c r="AL340" s="949"/>
      <c r="AM340" s="949"/>
      <c r="AN340" s="949"/>
      <c r="AO340" s="949"/>
      <c r="AP340" s="949"/>
      <c r="AQ340" s="949"/>
      <c r="AR340" s="110"/>
      <c r="AS340" s="110"/>
      <c r="AT340" s="110"/>
      <c r="AU340" s="949"/>
      <c r="AV340" s="949"/>
      <c r="AW340" s="949"/>
      <c r="AX340" s="949"/>
      <c r="AY340" s="949"/>
      <c r="AZ340" s="949"/>
      <c r="BA340" s="949"/>
      <c r="BB340" s="949"/>
      <c r="BC340" s="949"/>
      <c r="BD340" s="949"/>
      <c r="BE340" s="2267"/>
    </row>
    <row r="341" spans="1:57">
      <c r="A341" s="1091" t="s">
        <v>319</v>
      </c>
      <c r="B341" s="691" t="s">
        <v>752</v>
      </c>
      <c r="C341" s="1087">
        <f t="shared" ref="C341:L354" si="82">VLOOKUP($B341,$B$7:$AC$28,C$37+1,FALSE)</f>
        <v>3541.6238999999996</v>
      </c>
      <c r="D341" s="1088">
        <f t="shared" si="82"/>
        <v>9.0745028357006995E-3</v>
      </c>
      <c r="E341" s="1072">
        <f t="shared" si="82"/>
        <v>0.67327297771392325</v>
      </c>
      <c r="F341" s="1072">
        <f t="shared" si="82"/>
        <v>0.77504855661956218</v>
      </c>
      <c r="G341" s="1073">
        <f t="shared" si="82"/>
        <v>4048.9897999999998</v>
      </c>
      <c r="H341" s="1074">
        <f t="shared" si="82"/>
        <v>1.1212443346293226E-2</v>
      </c>
      <c r="I341" s="1075">
        <f t="shared" si="82"/>
        <v>-1.4186196832586249</v>
      </c>
      <c r="J341" s="1075">
        <f t="shared" si="82"/>
        <v>-2.7147098893731143</v>
      </c>
      <c r="K341" s="1076">
        <f t="shared" si="82"/>
        <v>8.5213348378460623</v>
      </c>
      <c r="L341" s="1072">
        <f t="shared" si="82"/>
        <v>0.26215680659638446</v>
      </c>
      <c r="M341" s="1077">
        <f t="shared" ref="M341:V354" si="83">VLOOKUP($B341,$B$7:$AC$28,M$37+1,FALSE)</f>
        <v>9.0506669895995948</v>
      </c>
      <c r="N341" s="1078">
        <f t="shared" si="83"/>
        <v>6.4385445236561381E-2</v>
      </c>
      <c r="O341" s="1079">
        <f t="shared" si="83"/>
        <v>14.697799124913645</v>
      </c>
      <c r="P341" s="1080">
        <f t="shared" si="83"/>
        <v>0.15462918080465343</v>
      </c>
      <c r="Q341" s="1078">
        <f t="shared" si="83"/>
        <v>0.42399287000325037</v>
      </c>
      <c r="R341" s="1079">
        <f t="shared" si="83"/>
        <v>4.5742782667206161E-2</v>
      </c>
      <c r="S341" s="1080">
        <f t="shared" si="83"/>
        <v>0.48144640266975475</v>
      </c>
      <c r="T341" s="1078">
        <f t="shared" si="83"/>
        <v>0.42695023434228802</v>
      </c>
      <c r="U341" s="1079">
        <f t="shared" si="83"/>
        <v>4.1366838913311048E-2</v>
      </c>
      <c r="V341" s="1080">
        <f t="shared" si="83"/>
        <v>0.4832654138496531</v>
      </c>
      <c r="W341" s="1072">
        <f t="shared" ref="W341:AC354" si="84">VLOOKUP($B341,$B$7:$AC$28,W$37+1,FALSE)</f>
        <v>2.9573643390376492E-3</v>
      </c>
      <c r="X341" s="1072">
        <f t="shared" si="84"/>
        <v>6.9750331863245195E-3</v>
      </c>
      <c r="Y341" s="1081" t="str">
        <f t="shared" si="84"/>
        <v>B+</v>
      </c>
      <c r="Z341" s="1082" t="str">
        <f t="shared" si="84"/>
        <v>=  =  =</v>
      </c>
      <c r="AA341" s="1076">
        <f t="shared" si="84"/>
        <v>3.7014756930154613</v>
      </c>
      <c r="AB341" s="1083">
        <f t="shared" si="84"/>
        <v>0.31334582285320112</v>
      </c>
      <c r="AC341" s="1012">
        <f t="shared" si="84"/>
        <v>4.3704719780651446</v>
      </c>
      <c r="AD341" s="949"/>
      <c r="AE341" s="949"/>
      <c r="AF341" s="949"/>
      <c r="AG341" s="2129"/>
      <c r="AH341" s="949"/>
      <c r="AI341" s="949"/>
      <c r="AJ341" s="949"/>
      <c r="AK341" s="949"/>
      <c r="AL341" s="949"/>
      <c r="AM341" s="949"/>
      <c r="AN341" s="949"/>
      <c r="AO341" s="949"/>
      <c r="AP341" s="949"/>
      <c r="AQ341" s="949"/>
      <c r="AR341" s="110"/>
      <c r="AS341" s="110"/>
      <c r="AT341" s="110"/>
      <c r="AU341" s="949"/>
      <c r="AV341" s="949"/>
      <c r="AW341" s="949"/>
      <c r="AX341" s="949"/>
      <c r="AY341" s="949"/>
      <c r="AZ341" s="949"/>
      <c r="BA341" s="949"/>
      <c r="BB341" s="949"/>
      <c r="BC341" s="949"/>
      <c r="BD341" s="949"/>
      <c r="BE341" s="2267"/>
    </row>
    <row r="342" spans="1:57">
      <c r="A342" s="1090" t="s">
        <v>27</v>
      </c>
      <c r="B342" s="73" t="s">
        <v>54</v>
      </c>
      <c r="C342" s="1085">
        <f t="shared" si="82"/>
        <v>4745.1447857142857</v>
      </c>
      <c r="D342" s="1086">
        <f t="shared" si="82"/>
        <v>1.2158216408516635E-2</v>
      </c>
      <c r="E342" s="1060">
        <f t="shared" si="82"/>
        <v>-0.63447330491761056</v>
      </c>
      <c r="F342" s="1060">
        <f t="shared" si="82"/>
        <v>-0.53269772601197163</v>
      </c>
      <c r="G342" s="1061">
        <f t="shared" si="82"/>
        <v>2680.5724</v>
      </c>
      <c r="H342" s="1062">
        <f t="shared" si="82"/>
        <v>7.4230283738025878E-3</v>
      </c>
      <c r="I342" s="1063">
        <f t="shared" si="82"/>
        <v>1.3569881249181368</v>
      </c>
      <c r="J342" s="1063">
        <f t="shared" si="82"/>
        <v>1.0332545966156574</v>
      </c>
      <c r="K342" s="1064">
        <f t="shared" si="82"/>
        <v>6.3422811159545107</v>
      </c>
      <c r="L342" s="1060">
        <f t="shared" si="82"/>
        <v>-0.24924595564935845</v>
      </c>
      <c r="M342" s="1065">
        <f t="shared" si="83"/>
        <v>5.3369406950798908</v>
      </c>
      <c r="N342" s="1066">
        <f t="shared" si="83"/>
        <v>0.48460704112825509</v>
      </c>
      <c r="O342" s="1067">
        <f t="shared" si="83"/>
        <v>-0.18079580514885477</v>
      </c>
      <c r="P342" s="1068">
        <f t="shared" si="83"/>
        <v>0.49497857034449522</v>
      </c>
      <c r="Q342" s="1066">
        <f t="shared" si="83"/>
        <v>0.56717095077467305</v>
      </c>
      <c r="R342" s="1067">
        <f t="shared" si="83"/>
        <v>0.64731222518720821</v>
      </c>
      <c r="S342" s="1068">
        <f t="shared" si="83"/>
        <v>0.74754623070756221</v>
      </c>
      <c r="T342" s="1066">
        <f t="shared" si="83"/>
        <v>0.5748403529709204</v>
      </c>
      <c r="U342" s="1067">
        <f t="shared" si="83"/>
        <v>0.5906099669472562</v>
      </c>
      <c r="V342" s="1068">
        <f t="shared" si="83"/>
        <v>0.7506672643344422</v>
      </c>
      <c r="W342" s="1060">
        <f t="shared" si="84"/>
        <v>7.6694021962473435E-3</v>
      </c>
      <c r="X342" s="1060">
        <f t="shared" si="84"/>
        <v>1.3522205581530675E-2</v>
      </c>
      <c r="Y342" s="1069" t="str">
        <f t="shared" si="84"/>
        <v>BBB-</v>
      </c>
      <c r="Z342" s="1070" t="str">
        <f t="shared" si="84"/>
        <v>¯  ¯ ¯</v>
      </c>
      <c r="AA342" s="1064">
        <f t="shared" si="84"/>
        <v>3.4278891827637503</v>
      </c>
      <c r="AB342" s="1071">
        <f t="shared" si="84"/>
        <v>0.24423537898737996</v>
      </c>
      <c r="AC342" s="129">
        <f t="shared" si="84"/>
        <v>3.8230610288109381</v>
      </c>
      <c r="AD342" s="949"/>
      <c r="AE342" s="949"/>
      <c r="AF342" s="949"/>
      <c r="AG342" s="2129"/>
      <c r="AH342" s="949"/>
      <c r="AI342" s="949"/>
      <c r="AJ342" s="949"/>
      <c r="AK342" s="949"/>
      <c r="AL342" s="949"/>
      <c r="AM342" s="949"/>
      <c r="AN342" s="949"/>
      <c r="AO342" s="949"/>
      <c r="AP342" s="949"/>
      <c r="AQ342" s="949"/>
      <c r="AR342" s="110"/>
      <c r="AS342" s="110"/>
      <c r="AT342" s="110"/>
      <c r="AU342" s="949"/>
      <c r="AV342" s="949"/>
      <c r="AW342" s="949"/>
      <c r="AX342" s="949"/>
      <c r="AY342" s="949"/>
      <c r="AZ342" s="949"/>
      <c r="BA342" s="949"/>
      <c r="BB342" s="949"/>
      <c r="BC342" s="949"/>
      <c r="BD342" s="949"/>
      <c r="BE342" s="2267"/>
    </row>
    <row r="343" spans="1:57">
      <c r="A343" s="1090" t="s">
        <v>498</v>
      </c>
      <c r="B343" s="73" t="s">
        <v>52</v>
      </c>
      <c r="C343" s="1085">
        <f t="shared" si="82"/>
        <v>40464.923042857146</v>
      </c>
      <c r="D343" s="1086">
        <f t="shared" si="82"/>
        <v>0.1036809862557167</v>
      </c>
      <c r="E343" s="1060">
        <f t="shared" si="82"/>
        <v>-6.1458653761923776E-2</v>
      </c>
      <c r="F343" s="1060">
        <f t="shared" si="82"/>
        <v>4.0316925143715168E-2</v>
      </c>
      <c r="G343" s="1061">
        <f t="shared" si="82"/>
        <v>39791.94</v>
      </c>
      <c r="H343" s="1062">
        <f t="shared" si="82"/>
        <v>0.1101916514803518</v>
      </c>
      <c r="I343" s="1063">
        <f t="shared" si="82"/>
        <v>1.0840589348936991</v>
      </c>
      <c r="J343" s="1063">
        <f t="shared" si="82"/>
        <v>1.2733420800000002</v>
      </c>
      <c r="K343" s="1064">
        <f t="shared" si="82"/>
        <v>4.9157277486128619</v>
      </c>
      <c r="L343" s="1060">
        <f t="shared" si="82"/>
        <v>0.1448238320606966</v>
      </c>
      <c r="M343" s="1065">
        <f t="shared" si="83"/>
        <v>5.2964626193065953</v>
      </c>
      <c r="N343" s="1066">
        <f t="shared" si="83"/>
        <v>0.61</v>
      </c>
      <c r="O343" s="1067">
        <f t="shared" si="83"/>
        <v>0</v>
      </c>
      <c r="P343" s="1068">
        <f t="shared" si="83"/>
        <v>0.62983042679437373</v>
      </c>
      <c r="Q343" s="1066">
        <f t="shared" si="83"/>
        <v>0.51528895508035288</v>
      </c>
      <c r="R343" s="1067">
        <f t="shared" si="83"/>
        <v>-2.4931247740904369E-2</v>
      </c>
      <c r="S343" s="1068">
        <f t="shared" si="83"/>
        <v>0.51939744871548044</v>
      </c>
      <c r="T343" s="1066">
        <f t="shared" si="83"/>
        <v>0.58808850315066874</v>
      </c>
      <c r="U343" s="1067">
        <f t="shared" si="83"/>
        <v>-2.8226553900756759E-2</v>
      </c>
      <c r="V343" s="1068">
        <f t="shared" si="83"/>
        <v>0.59074959904524027</v>
      </c>
      <c r="W343" s="1060">
        <f t="shared" si="84"/>
        <v>7.2799548070315856E-2</v>
      </c>
      <c r="X343" s="1060">
        <f t="shared" si="84"/>
        <v>0.14127907721011346</v>
      </c>
      <c r="Y343" s="1069" t="str">
        <f t="shared" si="84"/>
        <v>BBB+</v>
      </c>
      <c r="Z343" s="1070" t="str">
        <f t="shared" si="84"/>
        <v>=  =  =</v>
      </c>
      <c r="AA343" s="1064">
        <f t="shared" si="84"/>
        <v>2.7906818261625395</v>
      </c>
      <c r="AB343" s="1071">
        <f t="shared" si="84"/>
        <v>8.5841806528642844E-2</v>
      </c>
      <c r="AC343" s="129">
        <f t="shared" si="84"/>
        <v>2.9178287645268703</v>
      </c>
      <c r="AD343" s="949"/>
      <c r="AE343" s="949"/>
      <c r="AF343" s="949"/>
      <c r="AG343" s="2129"/>
      <c r="AH343" s="949"/>
      <c r="AI343" s="949"/>
      <c r="AJ343" s="949"/>
      <c r="AK343" s="949"/>
      <c r="AL343" s="949"/>
      <c r="AM343" s="949"/>
      <c r="AN343" s="949"/>
      <c r="AO343" s="949"/>
      <c r="AP343" s="949"/>
      <c r="AQ343" s="949"/>
      <c r="AR343" s="110"/>
      <c r="AS343" s="110"/>
      <c r="AT343" s="110"/>
      <c r="AU343" s="949"/>
      <c r="AV343" s="949"/>
      <c r="AW343" s="949"/>
      <c r="AX343" s="949"/>
      <c r="AY343" s="949"/>
      <c r="AZ343" s="949"/>
      <c r="BA343" s="949"/>
      <c r="BB343" s="949"/>
      <c r="BC343" s="949"/>
      <c r="BD343" s="949"/>
      <c r="BE343" s="2267"/>
    </row>
    <row r="344" spans="1:57">
      <c r="A344" s="1090" t="s">
        <v>499</v>
      </c>
      <c r="B344" s="73" t="s">
        <v>284</v>
      </c>
      <c r="C344" s="1085">
        <f t="shared" si="82"/>
        <v>15596.516285714286</v>
      </c>
      <c r="D344" s="1086">
        <f t="shared" si="82"/>
        <v>3.9962072557101963E-2</v>
      </c>
      <c r="E344" s="1060">
        <f t="shared" si="82"/>
        <v>-0.41209116095583281</v>
      </c>
      <c r="F344" s="1060">
        <f t="shared" si="82"/>
        <v>-0.31031558205019388</v>
      </c>
      <c r="G344" s="1061">
        <f t="shared" si="82"/>
        <v>10295.917100000001</v>
      </c>
      <c r="H344" s="1062">
        <f t="shared" si="82"/>
        <v>2.8511404790864545E-2</v>
      </c>
      <c r="I344" s="1063">
        <f t="shared" si="82"/>
        <v>0.58081043687158529</v>
      </c>
      <c r="J344" s="1063">
        <f t="shared" si="82"/>
        <v>0.5027794267018264</v>
      </c>
      <c r="K344" s="1064">
        <f t="shared" si="82"/>
        <v>4.6475023511824993</v>
      </c>
      <c r="L344" s="1060">
        <f t="shared" si="82"/>
        <v>-0.18379111287045302</v>
      </c>
      <c r="M344" s="1065">
        <f t="shared" si="83"/>
        <v>4.0606354500113753</v>
      </c>
      <c r="N344" s="1066">
        <f t="shared" si="83"/>
        <v>0.34534166666666666</v>
      </c>
      <c r="O344" s="1067">
        <f t="shared" si="83"/>
        <v>-5.4500069338510607E-2</v>
      </c>
      <c r="P344" s="1068">
        <f t="shared" si="83"/>
        <v>0.3626280111015483</v>
      </c>
      <c r="Q344" s="1066">
        <f t="shared" si="83"/>
        <v>0.67997702229572432</v>
      </c>
      <c r="R344" s="1067">
        <f t="shared" si="83"/>
        <v>0.10658020511075152</v>
      </c>
      <c r="S344" s="1068">
        <f t="shared" si="83"/>
        <v>0.75270955685414354</v>
      </c>
      <c r="T344" s="1066">
        <f t="shared" si="83"/>
        <v>0.68457317243488636</v>
      </c>
      <c r="U344" s="1067">
        <f t="shared" si="83"/>
        <v>0.10522314957078965</v>
      </c>
      <c r="V344" s="1068">
        <f t="shared" si="83"/>
        <v>0.75672107111582532</v>
      </c>
      <c r="W344" s="1060">
        <f t="shared" si="84"/>
        <v>4.5961501391620363E-3</v>
      </c>
      <c r="X344" s="1060">
        <f t="shared" si="84"/>
        <v>6.7592727231349809E-3</v>
      </c>
      <c r="Y344" s="1069" t="str">
        <f t="shared" si="84"/>
        <v>BBB-</v>
      </c>
      <c r="Z344" s="1070" t="str">
        <f t="shared" si="84"/>
        <v>=  ¯ ¯</v>
      </c>
      <c r="AA344" s="1064">
        <f t="shared" si="84"/>
        <v>2.9152503149286035</v>
      </c>
      <c r="AB344" s="1071">
        <f t="shared" si="84"/>
        <v>-0.14664752669478531</v>
      </c>
      <c r="AC344" s="129">
        <f t="shared" si="84"/>
        <v>2.8370691340232916</v>
      </c>
      <c r="AD344" s="949"/>
      <c r="AE344" s="949"/>
      <c r="AF344" s="949"/>
      <c r="AG344" s="2129"/>
      <c r="AH344" s="949"/>
      <c r="AI344" s="949"/>
      <c r="AJ344" s="949"/>
      <c r="AK344" s="949"/>
      <c r="AL344" s="949"/>
      <c r="AM344" s="949"/>
      <c r="AN344" s="949"/>
      <c r="AO344" s="949"/>
      <c r="AP344" s="949"/>
      <c r="AQ344" s="949"/>
      <c r="AR344" s="110"/>
      <c r="AS344" s="110"/>
      <c r="AT344" s="110"/>
      <c r="AU344" s="949"/>
      <c r="AV344" s="949"/>
      <c r="AW344" s="949"/>
      <c r="AX344" s="949"/>
      <c r="AY344" s="949"/>
      <c r="AZ344" s="949"/>
      <c r="BA344" s="949"/>
      <c r="BB344" s="949"/>
      <c r="BC344" s="949"/>
      <c r="BD344" s="949"/>
      <c r="BE344" s="2267"/>
    </row>
    <row r="345" spans="1:57">
      <c r="A345" s="1090" t="s">
        <v>217</v>
      </c>
      <c r="B345" s="73" t="s">
        <v>53</v>
      </c>
      <c r="C345" s="1085">
        <f t="shared" si="82"/>
        <v>60036.853628571422</v>
      </c>
      <c r="D345" s="1086">
        <f t="shared" si="82"/>
        <v>0.15382903828354536</v>
      </c>
      <c r="E345" s="1060">
        <f t="shared" si="82"/>
        <v>-0.3618479655094986</v>
      </c>
      <c r="F345" s="1060">
        <f t="shared" si="82"/>
        <v>-0.26007238660385967</v>
      </c>
      <c r="G345" s="1061">
        <f t="shared" si="82"/>
        <v>44430.485000000001</v>
      </c>
      <c r="H345" s="1062">
        <f t="shared" si="82"/>
        <v>0.1230366882897139</v>
      </c>
      <c r="I345" s="1063">
        <f t="shared" si="82"/>
        <v>2.2644833808097031</v>
      </c>
      <c r="J345" s="1063">
        <f t="shared" si="82"/>
        <v>1.7716210773954304</v>
      </c>
      <c r="K345" s="1064">
        <f t="shared" si="82"/>
        <v>5.7304428558288603</v>
      </c>
      <c r="L345" s="1060">
        <f t="shared" si="82"/>
        <v>-7.3155042359885195E-2</v>
      </c>
      <c r="M345" s="1065">
        <f t="shared" si="83"/>
        <v>5.1937231412225326</v>
      </c>
      <c r="N345" s="1066">
        <f t="shared" si="83"/>
        <v>0.6158872479982318</v>
      </c>
      <c r="O345" s="1067">
        <f t="shared" si="83"/>
        <v>0.11044311863454735</v>
      </c>
      <c r="P345" s="1068">
        <f t="shared" si="83"/>
        <v>0.66127040038880336</v>
      </c>
      <c r="Q345" s="1066">
        <f t="shared" si="83"/>
        <v>0.48384306036910518</v>
      </c>
      <c r="R345" s="1067">
        <f t="shared" si="83"/>
        <v>0.2595878527386451</v>
      </c>
      <c r="S345" s="1068">
        <f t="shared" si="83"/>
        <v>0.54381370963962039</v>
      </c>
      <c r="T345" s="1066">
        <f t="shared" si="83"/>
        <v>0.51513010935716153</v>
      </c>
      <c r="U345" s="1067">
        <f t="shared" si="83"/>
        <v>0.26130995158024306</v>
      </c>
      <c r="V345" s="1068">
        <f t="shared" si="83"/>
        <v>0.57929804018594233</v>
      </c>
      <c r="W345" s="1060">
        <f t="shared" si="84"/>
        <v>3.1287048988056343E-2</v>
      </c>
      <c r="X345" s="1060">
        <f t="shared" si="84"/>
        <v>6.4663630732222685E-2</v>
      </c>
      <c r="Y345" s="1069" t="str">
        <f t="shared" si="84"/>
        <v>BBB</v>
      </c>
      <c r="Z345" s="1070" t="str">
        <f t="shared" si="84"/>
        <v>¯  ¯ ¯</v>
      </c>
      <c r="AA345" s="1064">
        <f t="shared" si="84"/>
        <v>2.7929780820851775</v>
      </c>
      <c r="AB345" s="1071">
        <f t="shared" si="84"/>
        <v>0.12404595260605845</v>
      </c>
      <c r="AC345" s="129">
        <f t="shared" si="84"/>
        <v>2.8353348809740444</v>
      </c>
      <c r="AD345" s="949"/>
      <c r="AE345" s="949"/>
      <c r="AF345" s="949"/>
      <c r="AG345" s="2129"/>
      <c r="AH345" s="949"/>
      <c r="AI345" s="949"/>
      <c r="AJ345" s="949"/>
      <c r="AK345" s="949"/>
      <c r="AL345" s="949"/>
      <c r="AM345" s="949"/>
      <c r="AN345" s="949"/>
      <c r="AO345" s="949"/>
      <c r="AP345" s="949"/>
      <c r="AQ345" s="949"/>
      <c r="AR345" s="110"/>
      <c r="AS345" s="110"/>
      <c r="AT345" s="110"/>
      <c r="AU345" s="949"/>
      <c r="AV345" s="949"/>
      <c r="AW345" s="949"/>
      <c r="AX345" s="949"/>
      <c r="AY345" s="949"/>
      <c r="AZ345" s="949"/>
      <c r="BA345" s="949"/>
      <c r="BB345" s="949"/>
      <c r="BC345" s="949"/>
      <c r="BD345" s="949"/>
      <c r="BE345" s="2267"/>
    </row>
    <row r="346" spans="1:57">
      <c r="A346" s="1090" t="s">
        <v>19</v>
      </c>
      <c r="B346" s="150" t="s">
        <v>286</v>
      </c>
      <c r="C346" s="1085">
        <f t="shared" si="82"/>
        <v>31174.883771428573</v>
      </c>
      <c r="D346" s="1086">
        <f t="shared" si="82"/>
        <v>7.9877643469276421E-2</v>
      </c>
      <c r="E346" s="1060">
        <f t="shared" si="82"/>
        <v>-0.49416922878378883</v>
      </c>
      <c r="F346" s="1060">
        <f t="shared" si="82"/>
        <v>-0.3923936498781499</v>
      </c>
      <c r="G346" s="1061">
        <f t="shared" si="82"/>
        <v>19124.593099999998</v>
      </c>
      <c r="H346" s="1062">
        <f t="shared" si="82"/>
        <v>5.2959732488004868E-2</v>
      </c>
      <c r="I346" s="1063">
        <f t="shared" si="82"/>
        <v>1.0546425468926217</v>
      </c>
      <c r="J346" s="1063">
        <f t="shared" si="82"/>
        <v>0.72989058468819168</v>
      </c>
      <c r="K346" s="1064">
        <f t="shared" si="82"/>
        <v>4.913128503955539</v>
      </c>
      <c r="L346" s="1060">
        <f t="shared" si="82"/>
        <v>-0.19812930900653591</v>
      </c>
      <c r="M346" s="1065">
        <f t="shared" si="83"/>
        <v>4.438539176760524</v>
      </c>
      <c r="N346" s="1066">
        <f t="shared" si="83"/>
        <v>0.60741568747204655</v>
      </c>
      <c r="O346" s="1067">
        <f t="shared" si="83"/>
        <v>4.0950219141690898E-2</v>
      </c>
      <c r="P346" s="1068">
        <f t="shared" si="83"/>
        <v>0.62738172243152124</v>
      </c>
      <c r="Q346" s="1066">
        <f t="shared" si="83"/>
        <v>0.50834561454306215</v>
      </c>
      <c r="R346" s="1067">
        <f t="shared" si="83"/>
        <v>0.27477182203191691</v>
      </c>
      <c r="S346" s="1068">
        <f t="shared" si="83"/>
        <v>0.61196382356206247</v>
      </c>
      <c r="T346" s="1066">
        <f t="shared" si="83"/>
        <v>0.54898628094174651</v>
      </c>
      <c r="U346" s="1067">
        <f t="shared" si="83"/>
        <v>0.26756473067663017</v>
      </c>
      <c r="V346" s="1068">
        <f t="shared" si="83"/>
        <v>0.65530118542007598</v>
      </c>
      <c r="W346" s="1060">
        <f t="shared" si="84"/>
        <v>4.0640666398684355E-2</v>
      </c>
      <c r="X346" s="1060">
        <f t="shared" si="84"/>
        <v>7.9946920433679999E-2</v>
      </c>
      <c r="Y346" s="1069" t="str">
        <f t="shared" si="84"/>
        <v>BBB+</v>
      </c>
      <c r="Z346" s="1070" t="str">
        <f t="shared" si="84"/>
        <v>=  ¯ ¯</v>
      </c>
      <c r="AA346" s="1064">
        <f t="shared" si="84"/>
        <v>2.5321561588471506</v>
      </c>
      <c r="AB346" s="1071">
        <f t="shared" si="84"/>
        <v>1.3257606300410854E-2</v>
      </c>
      <c r="AC346" s="129">
        <f t="shared" si="84"/>
        <v>2.8138910595815916</v>
      </c>
      <c r="AD346" s="949"/>
      <c r="AE346" s="949"/>
      <c r="AF346" s="949"/>
      <c r="AG346" s="2129"/>
      <c r="AH346" s="949"/>
      <c r="AI346" s="949"/>
      <c r="AJ346" s="949"/>
      <c r="AK346" s="949"/>
      <c r="AL346" s="949"/>
      <c r="AM346" s="949"/>
      <c r="AN346" s="949"/>
      <c r="AO346" s="949"/>
      <c r="AP346" s="949"/>
      <c r="AQ346" s="949"/>
      <c r="AR346" s="110"/>
      <c r="AS346" s="110"/>
      <c r="AT346" s="110"/>
      <c r="AU346" s="949"/>
      <c r="AV346" s="949"/>
      <c r="AW346" s="949"/>
      <c r="AX346" s="949"/>
      <c r="AY346" s="949"/>
      <c r="AZ346" s="949"/>
      <c r="BA346" s="949"/>
      <c r="BB346" s="949"/>
      <c r="BC346" s="949"/>
      <c r="BD346" s="949"/>
      <c r="BE346" s="2267"/>
    </row>
    <row r="347" spans="1:57">
      <c r="A347" s="1090" t="s">
        <v>539</v>
      </c>
      <c r="B347" s="73" t="s">
        <v>39</v>
      </c>
      <c r="C347" s="1085">
        <f t="shared" si="82"/>
        <v>5059.5155870714543</v>
      </c>
      <c r="D347" s="1086">
        <f t="shared" si="82"/>
        <v>1.2963710952524294E-2</v>
      </c>
      <c r="E347" s="1060">
        <f t="shared" si="82"/>
        <v>-0.13366823909704381</v>
      </c>
      <c r="F347" s="1060">
        <f t="shared" si="82"/>
        <v>-3.1892660191404867E-2</v>
      </c>
      <c r="G347" s="1061">
        <f t="shared" si="82"/>
        <v>5057.8123335929276</v>
      </c>
      <c r="H347" s="1062">
        <f t="shared" si="82"/>
        <v>1.4006069920599414E-2</v>
      </c>
      <c r="I347" s="1063">
        <f t="shared" si="82"/>
        <v>1.6858649053444912</v>
      </c>
      <c r="J347" s="1063">
        <f t="shared" si="82"/>
        <v>1.7703056194544857</v>
      </c>
      <c r="K347" s="1064">
        <f t="shared" si="82"/>
        <v>6.1343182706324946</v>
      </c>
      <c r="L347" s="1060">
        <f t="shared" si="82"/>
        <v>-0.19036897853308513</v>
      </c>
      <c r="M347" s="1065">
        <f t="shared" si="83"/>
        <v>5.9052222685092017</v>
      </c>
      <c r="N347" s="1066">
        <f t="shared" si="83"/>
        <v>0.31054928118178421</v>
      </c>
      <c r="O347" s="1067">
        <f t="shared" si="83"/>
        <v>-0.11491916916279199</v>
      </c>
      <c r="P347" s="1068">
        <f t="shared" si="83"/>
        <v>0.28165979767703259</v>
      </c>
      <c r="Q347" s="1066">
        <f t="shared" si="83"/>
        <v>0.3899242463002407</v>
      </c>
      <c r="R347" s="1067">
        <f t="shared" si="83"/>
        <v>-0.1197676600756727</v>
      </c>
      <c r="S347" s="1068">
        <f t="shared" si="83"/>
        <v>0.37944762378701169</v>
      </c>
      <c r="T347" s="1066">
        <f t="shared" si="83"/>
        <v>0.45093517146474416</v>
      </c>
      <c r="U347" s="1067">
        <f t="shared" si="83"/>
        <v>-8.3572610535330494E-2</v>
      </c>
      <c r="V347" s="1068">
        <f t="shared" si="83"/>
        <v>0.43916945384982109</v>
      </c>
      <c r="W347" s="1060">
        <f t="shared" si="84"/>
        <v>6.101092516450346E-2</v>
      </c>
      <c r="X347" s="1060">
        <f t="shared" si="84"/>
        <v>0.15646866216553562</v>
      </c>
      <c r="Y347" s="1069" t="str">
        <f t="shared" si="84"/>
        <v>BBB</v>
      </c>
      <c r="Z347" s="1070" t="str">
        <f t="shared" si="84"/>
        <v>­  = =</v>
      </c>
      <c r="AA347" s="1064">
        <f t="shared" si="84"/>
        <v>2.6587814840492587</v>
      </c>
      <c r="AB347" s="1071">
        <f t="shared" si="84"/>
        <v>-0.25803195656746131</v>
      </c>
      <c r="AC347" s="129">
        <f t="shared" si="84"/>
        <v>2.5933932385229874</v>
      </c>
      <c r="AD347" s="949"/>
      <c r="AE347" s="949"/>
      <c r="AF347" s="949"/>
      <c r="AG347" s="2129"/>
      <c r="AH347" s="949"/>
      <c r="AI347" s="949"/>
      <c r="AJ347" s="949"/>
      <c r="AK347" s="949"/>
      <c r="AL347" s="949"/>
      <c r="AM347" s="949"/>
      <c r="AN347" s="949"/>
      <c r="AO347" s="949"/>
      <c r="AP347" s="949"/>
      <c r="AQ347" s="949"/>
      <c r="AR347" s="110"/>
      <c r="AS347" s="110"/>
      <c r="AT347" s="110"/>
      <c r="AU347" s="949"/>
      <c r="AV347" s="949"/>
      <c r="AW347" s="949"/>
      <c r="AX347" s="949"/>
      <c r="AY347" s="949"/>
      <c r="AZ347" s="949"/>
      <c r="BA347" s="949"/>
      <c r="BB347" s="949"/>
      <c r="BC347" s="949"/>
      <c r="BD347" s="949"/>
      <c r="BE347" s="2267"/>
    </row>
    <row r="348" spans="1:57">
      <c r="A348" s="1090" t="s">
        <v>501</v>
      </c>
      <c r="B348" s="73" t="s">
        <v>44</v>
      </c>
      <c r="C348" s="1085">
        <f t="shared" si="82"/>
        <v>12234.494271428572</v>
      </c>
      <c r="D348" s="1086">
        <f t="shared" si="82"/>
        <v>3.1347753486597643E-2</v>
      </c>
      <c r="E348" s="1060">
        <f t="shared" si="82"/>
        <v>-0.59766521701552</v>
      </c>
      <c r="F348" s="1060">
        <f t="shared" si="82"/>
        <v>-0.49588963810988107</v>
      </c>
      <c r="G348" s="1061">
        <f t="shared" si="82"/>
        <v>6819.5967000000001</v>
      </c>
      <c r="H348" s="1062">
        <f t="shared" si="82"/>
        <v>1.8884794830384175E-2</v>
      </c>
      <c r="I348" s="1063">
        <f t="shared" si="82"/>
        <v>3.9295455833111754</v>
      </c>
      <c r="J348" s="1063">
        <f t="shared" si="82"/>
        <v>1.2175677021960365</v>
      </c>
      <c r="K348" s="1064">
        <f t="shared" si="82"/>
        <v>5.0345645887817243</v>
      </c>
      <c r="L348" s="1060">
        <f t="shared" si="82"/>
        <v>-0.26680842971581226</v>
      </c>
      <c r="M348" s="1065">
        <f t="shared" si="83"/>
        <v>4.0325018858098245</v>
      </c>
      <c r="N348" s="1066">
        <f t="shared" si="83"/>
        <v>0.5805147103617575</v>
      </c>
      <c r="O348" s="1067">
        <f t="shared" si="83"/>
        <v>8.4948466413752491E-2</v>
      </c>
      <c r="P348" s="1068">
        <f t="shared" si="83"/>
        <v>0.6264024463118032</v>
      </c>
      <c r="Q348" s="1066">
        <f t="shared" si="83"/>
        <v>0.51826084585195908</v>
      </c>
      <c r="R348" s="1067">
        <f t="shared" si="83"/>
        <v>0.40005999871326348</v>
      </c>
      <c r="S348" s="1068">
        <f t="shared" si="83"/>
        <v>0.58973938770950263</v>
      </c>
      <c r="T348" s="1066">
        <f t="shared" si="83"/>
        <v>0.5495689942142129</v>
      </c>
      <c r="U348" s="1067">
        <f t="shared" si="83"/>
        <v>0.40637993517884302</v>
      </c>
      <c r="V348" s="1068">
        <f t="shared" si="83"/>
        <v>0.63323863537070213</v>
      </c>
      <c r="W348" s="1060">
        <f t="shared" si="84"/>
        <v>3.1308148362253818E-2</v>
      </c>
      <c r="X348" s="1060">
        <f t="shared" si="84"/>
        <v>6.0410020577161203E-2</v>
      </c>
      <c r="Y348" s="1069" t="str">
        <f t="shared" si="84"/>
        <v>BBB-</v>
      </c>
      <c r="Z348" s="1070" t="str">
        <f t="shared" si="84"/>
        <v>=  ¯ =</v>
      </c>
      <c r="AA348" s="1064">
        <f t="shared" si="84"/>
        <v>2.643581803383519</v>
      </c>
      <c r="AB348" s="1071">
        <f t="shared" si="84"/>
        <v>2.8580691559688957E-2</v>
      </c>
      <c r="AC348" s="129">
        <f t="shared" si="84"/>
        <v>2.5466878830879209</v>
      </c>
      <c r="AD348" s="949"/>
      <c r="AE348" s="949"/>
      <c r="AF348" s="949"/>
      <c r="AG348" s="2129"/>
      <c r="AH348" s="949"/>
      <c r="AI348" s="949"/>
      <c r="AJ348" s="949"/>
      <c r="AK348" s="949"/>
      <c r="AL348" s="949"/>
      <c r="AM348" s="949"/>
      <c r="AN348" s="949"/>
      <c r="AO348" s="949"/>
      <c r="AP348" s="949"/>
      <c r="AQ348" s="949"/>
      <c r="AR348" s="110"/>
      <c r="AS348" s="110"/>
      <c r="AT348" s="110"/>
      <c r="AU348" s="949"/>
      <c r="AV348" s="949"/>
      <c r="AW348" s="949"/>
      <c r="AX348" s="949"/>
      <c r="AY348" s="949"/>
      <c r="AZ348" s="949"/>
      <c r="BA348" s="949"/>
      <c r="BB348" s="949"/>
      <c r="BC348" s="949"/>
      <c r="BD348" s="949"/>
      <c r="BE348" s="2267"/>
    </row>
    <row r="349" spans="1:57">
      <c r="A349" s="1090" t="s">
        <v>385</v>
      </c>
      <c r="B349" s="73" t="s">
        <v>276</v>
      </c>
      <c r="C349" s="1085">
        <f t="shared" si="82"/>
        <v>3544.0522571428578</v>
      </c>
      <c r="D349" s="1086">
        <f t="shared" si="82"/>
        <v>9.0807248780183369E-3</v>
      </c>
      <c r="E349" s="1060">
        <f t="shared" si="82"/>
        <v>-0.4675424361384804</v>
      </c>
      <c r="F349" s="1060">
        <f t="shared" si="82"/>
        <v>-0.36576685723284147</v>
      </c>
      <c r="G349" s="1061">
        <f t="shared" si="82"/>
        <v>2152.6311000000001</v>
      </c>
      <c r="H349" s="1062">
        <f t="shared" si="82"/>
        <v>5.9610558303255963E-3</v>
      </c>
      <c r="I349" s="1063">
        <f t="shared" si="82"/>
        <v>3.4941691326062152</v>
      </c>
      <c r="J349" s="1063">
        <f t="shared" si="82"/>
        <v>2.2961398399999999</v>
      </c>
      <c r="K349" s="1064">
        <f t="shared" si="82"/>
        <v>4.4246190982470868</v>
      </c>
      <c r="L349" s="1060">
        <f t="shared" si="82"/>
        <v>-2.9835823683801648E-2</v>
      </c>
      <c r="M349" s="1065">
        <f t="shared" si="83"/>
        <v>4.0530525032062261</v>
      </c>
      <c r="N349" s="1066">
        <f t="shared" si="83"/>
        <v>0.60910298289809772</v>
      </c>
      <c r="O349" s="1067">
        <f t="shared" si="83"/>
        <v>-5.2071170724915891E-2</v>
      </c>
      <c r="P349" s="1068">
        <f t="shared" si="83"/>
        <v>0.6207941242005639</v>
      </c>
      <c r="Q349" s="1066">
        <f t="shared" si="83"/>
        <v>0.49050145598877937</v>
      </c>
      <c r="R349" s="1067">
        <f t="shared" si="83"/>
        <v>0.42102559519407173</v>
      </c>
      <c r="S349" s="1068">
        <f t="shared" si="83"/>
        <v>0.61744816018521742</v>
      </c>
      <c r="T349" s="1066">
        <f t="shared" si="83"/>
        <v>0.49698573886957192</v>
      </c>
      <c r="U349" s="1067">
        <f t="shared" si="83"/>
        <v>0.41032171167013903</v>
      </c>
      <c r="V349" s="1068">
        <f t="shared" si="83"/>
        <v>0.62319136029119382</v>
      </c>
      <c r="W349" s="1060">
        <f t="shared" si="84"/>
        <v>6.4842828807925579E-3</v>
      </c>
      <c r="X349" s="1060">
        <f t="shared" si="84"/>
        <v>1.3219701596443154E-2</v>
      </c>
      <c r="Y349" s="1069" t="str">
        <f t="shared" si="84"/>
        <v>BBB</v>
      </c>
      <c r="Z349" s="1070" t="str">
        <f t="shared" si="84"/>
        <v>=  ¯ -</v>
      </c>
      <c r="AA349" s="1064">
        <f t="shared" si="84"/>
        <v>2.1902281092407181</v>
      </c>
      <c r="AB349" s="1071">
        <f t="shared" si="84"/>
        <v>0.36844726500440206</v>
      </c>
      <c r="AC349" s="129">
        <f t="shared" si="84"/>
        <v>2.5252968522290931</v>
      </c>
      <c r="AD349" s="949"/>
      <c r="AE349" s="949"/>
      <c r="AF349" s="949"/>
      <c r="AG349" s="2129"/>
      <c r="AH349" s="949"/>
      <c r="AI349" s="949"/>
      <c r="AJ349" s="949"/>
      <c r="AK349" s="949"/>
      <c r="AL349" s="949"/>
      <c r="AM349" s="949"/>
      <c r="AN349" s="949"/>
      <c r="AO349" s="949"/>
      <c r="AP349" s="949"/>
      <c r="AQ349" s="949"/>
      <c r="AR349" s="110"/>
      <c r="AS349" s="110"/>
      <c r="AT349" s="110"/>
      <c r="AU349" s="949"/>
      <c r="AV349" s="949"/>
      <c r="AW349" s="949"/>
      <c r="AX349" s="949"/>
      <c r="AY349" s="949"/>
      <c r="AZ349" s="949"/>
      <c r="BA349" s="949"/>
      <c r="BB349" s="949"/>
      <c r="BC349" s="949"/>
      <c r="BD349" s="949"/>
      <c r="BE349" s="2267"/>
    </row>
    <row r="350" spans="1:57">
      <c r="A350" s="1090" t="s">
        <v>32</v>
      </c>
      <c r="B350" s="73" t="s">
        <v>277</v>
      </c>
      <c r="C350" s="1085">
        <f t="shared" si="82"/>
        <v>103061.53572524291</v>
      </c>
      <c r="D350" s="1086">
        <f t="shared" si="82"/>
        <v>0.26406875054982143</v>
      </c>
      <c r="E350" s="1060">
        <f t="shared" si="82"/>
        <v>7.5306160052783275E-2</v>
      </c>
      <c r="F350" s="1060">
        <f t="shared" si="82"/>
        <v>0.17708173895842222</v>
      </c>
      <c r="G350" s="1061">
        <f t="shared" si="82"/>
        <v>106720.85775234729</v>
      </c>
      <c r="H350" s="1062">
        <f t="shared" si="82"/>
        <v>0.29553089301830604</v>
      </c>
      <c r="I350" s="1063">
        <f t="shared" si="82"/>
        <v>1.0837821931217524</v>
      </c>
      <c r="J350" s="1063">
        <f t="shared" si="82"/>
        <v>1.259272460269286</v>
      </c>
      <c r="K350" s="1064">
        <f t="shared" si="82"/>
        <v>7.534246564629953</v>
      </c>
      <c r="L350" s="1060">
        <f t="shared" si="82"/>
        <v>0.12910548637067604</v>
      </c>
      <c r="M350" s="1065">
        <f t="shared" si="83"/>
        <v>8.6584668441025876</v>
      </c>
      <c r="N350" s="1066">
        <f t="shared" si="83"/>
        <v>0.91487499999999988</v>
      </c>
      <c r="O350" s="1067">
        <f t="shared" si="83"/>
        <v>-4.3736501079913587E-2</v>
      </c>
      <c r="P350" s="1068">
        <f t="shared" si="83"/>
        <v>0.89481420237931208</v>
      </c>
      <c r="Q350" s="1066">
        <f t="shared" si="83"/>
        <v>0.24509229252810941</v>
      </c>
      <c r="R350" s="1067">
        <f t="shared" si="83"/>
        <v>-0.16501821733667812</v>
      </c>
      <c r="S350" s="1068">
        <f t="shared" si="83"/>
        <v>0.23828807339295358</v>
      </c>
      <c r="T350" s="1066">
        <f t="shared" si="83"/>
        <v>0.27870192226407053</v>
      </c>
      <c r="U350" s="1067">
        <f t="shared" si="83"/>
        <v>-0.14309331637647091</v>
      </c>
      <c r="V350" s="1068">
        <f t="shared" si="83"/>
        <v>0.2718321660431175</v>
      </c>
      <c r="W350" s="1060">
        <f t="shared" si="84"/>
        <v>3.3609629735961127E-2</v>
      </c>
      <c r="X350" s="1060">
        <f t="shared" si="84"/>
        <v>0.13713050455108242</v>
      </c>
      <c r="Y350" s="1069" t="str">
        <f t="shared" si="84"/>
        <v>A-</v>
      </c>
      <c r="Z350" s="1070" t="str">
        <f t="shared" si="84"/>
        <v>=  =  =</v>
      </c>
      <c r="AA350" s="1064">
        <f t="shared" si="84"/>
        <v>2.0880314655341889</v>
      </c>
      <c r="AB350" s="1071">
        <f t="shared" si="84"/>
        <v>-3.7762767487534328E-2</v>
      </c>
      <c r="AC350" s="129">
        <f t="shared" si="84"/>
        <v>2.3348198024327131</v>
      </c>
      <c r="AD350" s="949"/>
      <c r="AE350" s="949"/>
      <c r="AF350" s="949"/>
      <c r="AG350" s="2129"/>
      <c r="AH350" s="949"/>
      <c r="AI350" s="949"/>
      <c r="AJ350" s="949"/>
      <c r="AK350" s="949"/>
      <c r="AL350" s="949"/>
      <c r="AM350" s="949"/>
      <c r="AN350" s="949"/>
      <c r="AO350" s="949"/>
      <c r="AP350" s="949"/>
      <c r="AQ350" s="949"/>
      <c r="AR350" s="110"/>
      <c r="AS350" s="110"/>
      <c r="AT350" s="110"/>
      <c r="AU350" s="949"/>
      <c r="AV350" s="949"/>
      <c r="AW350" s="949"/>
      <c r="AX350" s="949"/>
      <c r="AY350" s="949"/>
      <c r="AZ350" s="949"/>
      <c r="BA350" s="949"/>
      <c r="BB350" s="949"/>
      <c r="BC350" s="949"/>
      <c r="BD350" s="949"/>
      <c r="BE350" s="2267"/>
    </row>
    <row r="351" spans="1:57">
      <c r="A351" s="1090" t="s">
        <v>504</v>
      </c>
      <c r="B351" s="73" t="s">
        <v>288</v>
      </c>
      <c r="C351" s="1085">
        <f t="shared" si="82"/>
        <v>16250.837973523972</v>
      </c>
      <c r="D351" s="1086">
        <f t="shared" si="82"/>
        <v>4.1638604052015776E-2</v>
      </c>
      <c r="E351" s="1060">
        <f t="shared" si="82"/>
        <v>0.20894195471198634</v>
      </c>
      <c r="F351" s="1060">
        <f t="shared" si="82"/>
        <v>0.31071753361762527</v>
      </c>
      <c r="G351" s="1061">
        <f t="shared" si="82"/>
        <v>17428.290742138299</v>
      </c>
      <c r="H351" s="1062">
        <f t="shared" si="82"/>
        <v>4.826234004564605E-2</v>
      </c>
      <c r="I351" s="1063">
        <f t="shared" si="82"/>
        <v>4.0995220850209826</v>
      </c>
      <c r="J351" s="1063">
        <f t="shared" si="82"/>
        <v>4.5731712273212377</v>
      </c>
      <c r="K351" s="1064">
        <f t="shared" si="82"/>
        <v>6.7450557383311427</v>
      </c>
      <c r="L351" s="1060">
        <f t="shared" si="82"/>
        <v>0.2149868566781509</v>
      </c>
      <c r="M351" s="1065">
        <f t="shared" si="83"/>
        <v>7.5822149145373468</v>
      </c>
      <c r="N351" s="1066">
        <f t="shared" si="83"/>
        <v>0.32615050588405037</v>
      </c>
      <c r="O351" s="1067">
        <f t="shared" si="83"/>
        <v>-8.7660674172335792E-2</v>
      </c>
      <c r="P351" s="1068">
        <f t="shared" si="83"/>
        <v>0.30985103942866765</v>
      </c>
      <c r="Q351" s="1066">
        <f t="shared" si="83"/>
        <v>0.30558583418722468</v>
      </c>
      <c r="R351" s="1067">
        <f t="shared" si="83"/>
        <v>-0.13620468181810452</v>
      </c>
      <c r="S351" s="1068">
        <f t="shared" si="83"/>
        <v>0.29018390059321952</v>
      </c>
      <c r="T351" s="1066">
        <f t="shared" si="83"/>
        <v>0.31922230141848357</v>
      </c>
      <c r="U351" s="1067">
        <f t="shared" si="83"/>
        <v>-0.13496032758973828</v>
      </c>
      <c r="V351" s="1068">
        <f t="shared" si="83"/>
        <v>0.30362227391248225</v>
      </c>
      <c r="W351" s="1060">
        <f t="shared" si="84"/>
        <v>1.3636467231258886E-2</v>
      </c>
      <c r="X351" s="1060">
        <f t="shared" si="84"/>
        <v>4.4624016252350789E-2</v>
      </c>
      <c r="Y351" s="1069" t="str">
        <f t="shared" si="84"/>
        <v>A</v>
      </c>
      <c r="Z351" s="1070" t="str">
        <f t="shared" si="84"/>
        <v>=  =  -</v>
      </c>
      <c r="AA351" s="1064">
        <f t="shared" si="84"/>
        <v>2.1579177629636748</v>
      </c>
      <c r="AB351" s="1071">
        <f t="shared" si="84"/>
        <v>6.0078851309961184E-2</v>
      </c>
      <c r="AC351" s="129">
        <f t="shared" si="84"/>
        <v>2.3009327536910358</v>
      </c>
      <c r="AD351" s="949"/>
      <c r="AE351" s="949"/>
      <c r="AF351" s="949"/>
      <c r="AG351" s="2129"/>
      <c r="AH351" s="949"/>
      <c r="AI351" s="949"/>
      <c r="AJ351" s="949"/>
      <c r="AK351" s="949"/>
      <c r="AL351" s="949"/>
      <c r="AM351" s="949"/>
      <c r="AN351" s="949"/>
      <c r="AO351" s="949"/>
      <c r="AP351" s="949"/>
      <c r="AQ351" s="949"/>
      <c r="AR351" s="110"/>
      <c r="AS351" s="110"/>
      <c r="AT351" s="110"/>
      <c r="AU351" s="949"/>
      <c r="AV351" s="949"/>
      <c r="AW351" s="949"/>
      <c r="AX351" s="949"/>
      <c r="AY351" s="949"/>
      <c r="AZ351" s="949"/>
      <c r="BA351" s="949"/>
      <c r="BB351" s="949"/>
      <c r="BC351" s="949"/>
      <c r="BD351" s="949"/>
      <c r="BE351" s="2267"/>
    </row>
    <row r="352" spans="1:57">
      <c r="A352" s="1090" t="s">
        <v>73</v>
      </c>
      <c r="B352" s="73" t="s">
        <v>283</v>
      </c>
      <c r="C352" s="1085">
        <f t="shared" si="82"/>
        <v>2461.5190857142857</v>
      </c>
      <c r="D352" s="1086">
        <f t="shared" si="82"/>
        <v>6.3070112903421734E-3</v>
      </c>
      <c r="E352" s="1060">
        <f t="shared" si="82"/>
        <v>6.738754525599433E-2</v>
      </c>
      <c r="F352" s="1060">
        <f t="shared" si="82"/>
        <v>0.16916312416163326</v>
      </c>
      <c r="G352" s="1061">
        <f t="shared" si="82"/>
        <v>2364.3629999999998</v>
      </c>
      <c r="H352" s="1062">
        <f t="shared" si="82"/>
        <v>6.5473828033777437E-3</v>
      </c>
      <c r="I352" s="1063">
        <f t="shared" si="82"/>
        <v>3.1397518024733277</v>
      </c>
      <c r="J352" s="1063">
        <f t="shared" si="82"/>
        <v>3.0995844257996854</v>
      </c>
      <c r="K352" s="1064">
        <f t="shared" si="82"/>
        <v>6.6917014692746157</v>
      </c>
      <c r="L352" s="1060">
        <f t="shared" si="82"/>
        <v>0.14721542174528052</v>
      </c>
      <c r="M352" s="1065">
        <f t="shared" si="83"/>
        <v>7.0127743881429545</v>
      </c>
      <c r="N352" s="1066">
        <f t="shared" si="83"/>
        <v>0.62657499999999999</v>
      </c>
      <c r="O352" s="1067">
        <f t="shared" si="83"/>
        <v>5.5614710459497153E-2</v>
      </c>
      <c r="P352" s="1068">
        <f t="shared" si="83"/>
        <v>0.64439999999999997</v>
      </c>
      <c r="Q352" s="1066">
        <f t="shared" si="83"/>
        <v>0.24190098439360719</v>
      </c>
      <c r="R352" s="1067">
        <f t="shared" si="83"/>
        <v>0.20667512064869559</v>
      </c>
      <c r="S352" s="1068">
        <f t="shared" si="83"/>
        <v>0.30597960586046052</v>
      </c>
      <c r="T352" s="1066">
        <f t="shared" si="83"/>
        <v>0.2616424852780464</v>
      </c>
      <c r="U352" s="1067">
        <f t="shared" si="83"/>
        <v>0.20296552626351777</v>
      </c>
      <c r="V352" s="1068">
        <f t="shared" si="83"/>
        <v>0.32061814749302248</v>
      </c>
      <c r="W352" s="1060">
        <f t="shared" si="84"/>
        <v>1.9741500884439211E-2</v>
      </c>
      <c r="X352" s="1060">
        <f t="shared" si="84"/>
        <v>8.1609841042717679E-2</v>
      </c>
      <c r="Y352" s="1069" t="str">
        <f t="shared" si="84"/>
        <v>BBB</v>
      </c>
      <c r="Z352" s="1070" t="str">
        <f t="shared" si="84"/>
        <v>=  =  -</v>
      </c>
      <c r="AA352" s="1064">
        <f t="shared" si="84"/>
        <v>1.7511002028712532</v>
      </c>
      <c r="AB352" s="1071">
        <f t="shared" si="84"/>
        <v>0.37093258903528414</v>
      </c>
      <c r="AC352" s="129">
        <f t="shared" si="84"/>
        <v>2.2311132077757287</v>
      </c>
      <c r="AD352" s="949"/>
      <c r="AE352" s="949"/>
      <c r="AF352" s="949"/>
      <c r="AG352" s="2129"/>
      <c r="AH352" s="949"/>
      <c r="AI352" s="949"/>
      <c r="AJ352" s="949"/>
      <c r="AK352" s="949"/>
      <c r="AL352" s="949"/>
      <c r="AM352" s="949"/>
      <c r="AN352" s="949"/>
      <c r="AO352" s="949"/>
      <c r="AP352" s="949"/>
      <c r="AQ352" s="949"/>
      <c r="AR352" s="110"/>
      <c r="AS352" s="110"/>
      <c r="AT352" s="110"/>
      <c r="AU352" s="949"/>
      <c r="AV352" s="949"/>
      <c r="AW352" s="949"/>
      <c r="AX352" s="949"/>
      <c r="AY352" s="949"/>
      <c r="AZ352" s="949"/>
      <c r="BA352" s="949"/>
      <c r="BB352" s="949"/>
      <c r="BC352" s="949"/>
      <c r="BD352" s="949"/>
      <c r="BE352" s="2267"/>
    </row>
    <row r="353" spans="1:57">
      <c r="A353" s="1090" t="s">
        <v>503</v>
      </c>
      <c r="B353" s="73" t="s">
        <v>282</v>
      </c>
      <c r="C353" s="1085">
        <f t="shared" si="82"/>
        <v>22949.481858519866</v>
      </c>
      <c r="D353" s="1086">
        <f t="shared" si="82"/>
        <v>5.8802160840116385E-2</v>
      </c>
      <c r="E353" s="1060">
        <f t="shared" si="82"/>
        <v>-8.3288171902550459E-2</v>
      </c>
      <c r="F353" s="1060">
        <f t="shared" si="82"/>
        <v>1.8487407003088485E-2</v>
      </c>
      <c r="G353" s="1061">
        <f t="shared" si="82"/>
        <v>21731.57918967646</v>
      </c>
      <c r="H353" s="1062">
        <f t="shared" si="82"/>
        <v>6.0178986000343146E-2</v>
      </c>
      <c r="I353" s="1063">
        <f t="shared" si="82"/>
        <v>1.7647070716020126</v>
      </c>
      <c r="J353" s="1063">
        <f t="shared" si="82"/>
        <v>1.7786623686113903</v>
      </c>
      <c r="K353" s="1064">
        <f t="shared" si="82"/>
        <v>7.5628972253366413</v>
      </c>
      <c r="L353" s="1060">
        <f t="shared" si="82"/>
        <v>2.1076957712408067E-2</v>
      </c>
      <c r="M353" s="1065">
        <f t="shared" si="83"/>
        <v>7.6896404016441506</v>
      </c>
      <c r="N353" s="1066">
        <f t="shared" si="83"/>
        <v>0.67984865616162071</v>
      </c>
      <c r="O353" s="1067">
        <f t="shared" si="83"/>
        <v>0.13956056160252914</v>
      </c>
      <c r="P353" s="1068">
        <f t="shared" si="83"/>
        <v>0.7167630057803468</v>
      </c>
      <c r="Q353" s="1066">
        <f t="shared" si="83"/>
        <v>0.23215418017261674</v>
      </c>
      <c r="R353" s="1067">
        <f t="shared" si="83"/>
        <v>0.36187217108516367</v>
      </c>
      <c r="S353" s="1068">
        <f t="shared" si="83"/>
        <v>0.26525179681706468</v>
      </c>
      <c r="T353" s="1066">
        <f t="shared" si="83"/>
        <v>0.2501311526811702</v>
      </c>
      <c r="U353" s="1067">
        <f t="shared" si="83"/>
        <v>0.31916438327965047</v>
      </c>
      <c r="V353" s="1068">
        <f t="shared" si="83"/>
        <v>0.28287599661626001</v>
      </c>
      <c r="W353" s="1060">
        <f t="shared" si="84"/>
        <v>1.7976972508553457E-2</v>
      </c>
      <c r="X353" s="1060">
        <f t="shared" si="84"/>
        <v>7.7435489187344358E-2</v>
      </c>
      <c r="Y353" s="1069" t="str">
        <f t="shared" si="84"/>
        <v>A-</v>
      </c>
      <c r="Z353" s="1070" t="str">
        <f t="shared" si="84"/>
        <v>=  =  =</v>
      </c>
      <c r="AA353" s="1064">
        <f t="shared" si="84"/>
        <v>1.845874038975184</v>
      </c>
      <c r="AB353" s="1071">
        <f t="shared" si="84"/>
        <v>0.36079457239176377</v>
      </c>
      <c r="AC353" s="129">
        <f t="shared" si="84"/>
        <v>2.1424428051274771</v>
      </c>
      <c r="AD353" s="949"/>
      <c r="AE353" s="949"/>
      <c r="AF353" s="949"/>
      <c r="AG353" s="2129"/>
      <c r="AH353" s="949"/>
      <c r="AI353" s="949"/>
      <c r="AJ353" s="949"/>
      <c r="AK353" s="949"/>
      <c r="AL353" s="949"/>
      <c r="AM353" s="949"/>
      <c r="AN353" s="949"/>
      <c r="AO353" s="949"/>
      <c r="AP353" s="949"/>
      <c r="AQ353" s="949"/>
      <c r="AR353" s="110"/>
      <c r="AS353" s="110"/>
      <c r="AT353" s="110"/>
      <c r="AU353" s="949"/>
      <c r="AV353" s="949"/>
      <c r="AW353" s="949"/>
      <c r="AX353" s="949"/>
      <c r="AY353" s="949"/>
      <c r="AZ353" s="949"/>
      <c r="BA353" s="949"/>
      <c r="BB353" s="949"/>
      <c r="BC353" s="949"/>
      <c r="BD353" s="949"/>
      <c r="BE353" s="2267"/>
    </row>
    <row r="354" spans="1:57">
      <c r="A354" s="1090" t="s">
        <v>32</v>
      </c>
      <c r="B354" s="73" t="s">
        <v>50</v>
      </c>
      <c r="C354" s="1085">
        <f t="shared" si="82"/>
        <v>19515.355899391296</v>
      </c>
      <c r="D354" s="1086">
        <f t="shared" si="82"/>
        <v>5.0003093905237848E-2</v>
      </c>
      <c r="E354" s="1060">
        <f t="shared" si="82"/>
        <v>1.1994936816856254</v>
      </c>
      <c r="F354" s="1060">
        <f t="shared" si="82"/>
        <v>1.3012692605912644</v>
      </c>
      <c r="G354" s="1061">
        <f t="shared" si="82"/>
        <v>28491.576306321644</v>
      </c>
      <c r="H354" s="1062">
        <f t="shared" si="82"/>
        <v>7.8898737947233621E-2</v>
      </c>
      <c r="I354" s="1063">
        <f t="shared" si="82"/>
        <v>-0.89894076859195104</v>
      </c>
      <c r="J354" s="1063">
        <f t="shared" si="82"/>
        <v>39.625784878048783</v>
      </c>
      <c r="K354" s="1064">
        <f t="shared" si="82"/>
        <v>4.7123747267525307</v>
      </c>
      <c r="L354" s="1060">
        <f t="shared" si="82"/>
        <v>0.4140020451008824</v>
      </c>
      <c r="M354" s="1065">
        <f t="shared" si="83"/>
        <v>5.7096258695546744</v>
      </c>
      <c r="N354" s="1066">
        <f t="shared" si="83"/>
        <v>0</v>
      </c>
      <c r="O354" s="1067">
        <f t="shared" si="83"/>
        <v>0</v>
      </c>
      <c r="P354" s="1068">
        <f t="shared" si="83"/>
        <v>0</v>
      </c>
      <c r="Q354" s="1066">
        <f t="shared" si="83"/>
        <v>0.37025195227815472</v>
      </c>
      <c r="R354" s="1067">
        <f t="shared" si="83"/>
        <v>-0.46222821771061889</v>
      </c>
      <c r="S354" s="1068">
        <f t="shared" si="83"/>
        <v>0.26403640782716253</v>
      </c>
      <c r="T354" s="1066">
        <f t="shared" si="83"/>
        <v>0.48927059752514818</v>
      </c>
      <c r="U354" s="1067">
        <f t="shared" si="83"/>
        <v>-0.38189416595312975</v>
      </c>
      <c r="V354" s="1068">
        <f t="shared" si="83"/>
        <v>0.37414035756341019</v>
      </c>
      <c r="W354" s="1060">
        <f t="shared" si="84"/>
        <v>0.11901864524699346</v>
      </c>
      <c r="X354" s="1060">
        <f t="shared" si="84"/>
        <v>0.32145312000294263</v>
      </c>
      <c r="Y354" s="1069" t="str">
        <f t="shared" si="84"/>
        <v>BBB</v>
      </c>
      <c r="Z354" s="1070" t="str">
        <f t="shared" si="84"/>
        <v xml:space="preserve">=  -  = </v>
      </c>
      <c r="AA354" s="1064">
        <f t="shared" si="84"/>
        <v>2.2664974928712622</v>
      </c>
      <c r="AB354" s="1071">
        <f t="shared" si="84"/>
        <v>-0.12537902502142731</v>
      </c>
      <c r="AC354" s="129">
        <f t="shared" si="84"/>
        <v>2.136201464388483</v>
      </c>
      <c r="AD354" s="949"/>
      <c r="AE354" s="949"/>
      <c r="AF354" s="949"/>
      <c r="AG354" s="2129"/>
      <c r="AH354" s="949"/>
      <c r="AI354" s="949"/>
      <c r="AJ354" s="949"/>
      <c r="AK354" s="949"/>
      <c r="AL354" s="949"/>
      <c r="AM354" s="949"/>
      <c r="AN354" s="949"/>
      <c r="AO354" s="949"/>
      <c r="AP354" s="949"/>
      <c r="AQ354" s="949"/>
      <c r="AR354" s="110"/>
      <c r="AS354" s="110"/>
      <c r="AT354" s="110"/>
      <c r="AU354" s="949"/>
      <c r="AV354" s="949"/>
      <c r="AW354" s="949"/>
      <c r="AX354" s="949"/>
      <c r="AY354" s="949"/>
      <c r="AZ354" s="949"/>
      <c r="BA354" s="949"/>
      <c r="BB354" s="949"/>
      <c r="BC354" s="949"/>
      <c r="BD354" s="949"/>
      <c r="BE354" s="2267"/>
    </row>
    <row r="355" spans="1:57">
      <c r="A355" s="1090" t="s">
        <v>27</v>
      </c>
      <c r="B355" s="73" t="s">
        <v>353</v>
      </c>
      <c r="C355" s="1085">
        <f t="shared" ref="C355:L362" si="85">VLOOKUP($B355,$B$7:$AC$28,C$37+1,FALSE)</f>
        <v>504.56125714285719</v>
      </c>
      <c r="D355" s="1086">
        <f t="shared" si="85"/>
        <v>1.292808804099037E-3</v>
      </c>
      <c r="E355" s="1060">
        <f t="shared" si="85"/>
        <v>0.11241291049139049</v>
      </c>
      <c r="F355" s="1060">
        <f t="shared" si="85"/>
        <v>0.21418848939702945</v>
      </c>
      <c r="G355" s="1061">
        <f t="shared" si="85"/>
        <v>562.64409999999998</v>
      </c>
      <c r="H355" s="1062">
        <f t="shared" si="85"/>
        <v>1.5580713726115437E-3</v>
      </c>
      <c r="I355" s="1063">
        <f t="shared" si="85"/>
        <v>0.48825120153947199</v>
      </c>
      <c r="J355" s="1063">
        <f t="shared" si="85"/>
        <v>0.52140126030951717</v>
      </c>
      <c r="K355" s="1064">
        <f t="shared" si="85"/>
        <v>4.0370208841188875</v>
      </c>
      <c r="L355" s="1060">
        <f t="shared" si="85"/>
        <v>-0.11001004882442665</v>
      </c>
      <c r="M355" s="1065">
        <f t="shared" ref="M355:Y362" si="86">VLOOKUP($B355,$B$7:$AC$28,M$37+1,FALSE)</f>
        <v>3.9063069179772585</v>
      </c>
      <c r="N355" s="1066">
        <f t="shared" si="86"/>
        <v>0.90539538726018864</v>
      </c>
      <c r="O355" s="1067">
        <f t="shared" si="86"/>
        <v>-4.1189056985539901E-2</v>
      </c>
      <c r="P355" s="1068">
        <f t="shared" si="86"/>
        <v>0.90138346931536006</v>
      </c>
      <c r="Q355" s="1066">
        <f t="shared" si="86"/>
        <v>0.38160323267486906</v>
      </c>
      <c r="R355" s="1067">
        <f t="shared" si="86"/>
        <v>0.13281779457810056</v>
      </c>
      <c r="S355" s="1068">
        <f t="shared" si="86"/>
        <v>0.39444904186551905</v>
      </c>
      <c r="T355" s="1066">
        <f t="shared" si="86"/>
        <v>0.47841518539184064</v>
      </c>
      <c r="U355" s="1067">
        <f t="shared" si="86"/>
        <v>1.1717685634717274E-2</v>
      </c>
      <c r="V355" s="1068">
        <f t="shared" si="86"/>
        <v>0.46507375880431212</v>
      </c>
      <c r="W355" s="1060">
        <f t="shared" si="86"/>
        <v>9.6811952716971572E-2</v>
      </c>
      <c r="X355" s="1060">
        <f t="shared" si="86"/>
        <v>0.25369793656715856</v>
      </c>
      <c r="Y355" s="1069" t="str">
        <f t="shared" si="86"/>
        <v>Not rated</v>
      </c>
      <c r="Z355" s="1070"/>
      <c r="AA355" s="1064">
        <f t="shared" ref="AA355:AC362" si="87">VLOOKUP($B355,$B$7:$AC$28,AA$37+1,FALSE)</f>
        <v>1.832329792526622</v>
      </c>
      <c r="AB355" s="1071">
        <f t="shared" si="87"/>
        <v>-9.9442962217240083E-2</v>
      </c>
      <c r="AC355" s="129">
        <f t="shared" si="87"/>
        <v>1.8160302149559577</v>
      </c>
      <c r="AD355" s="949"/>
      <c r="AE355" s="949"/>
      <c r="AF355" s="949"/>
      <c r="AG355" s="2129"/>
      <c r="AH355" s="949"/>
      <c r="AI355" s="949"/>
      <c r="AJ355" s="949"/>
      <c r="AK355" s="949"/>
      <c r="AL355" s="949"/>
      <c r="AM355" s="949"/>
      <c r="AN355" s="949"/>
      <c r="AO355" s="949"/>
      <c r="AP355" s="949"/>
      <c r="AQ355" s="949"/>
      <c r="AR355" s="110"/>
      <c r="AS355" s="110"/>
      <c r="AT355" s="110"/>
      <c r="AU355" s="949"/>
      <c r="AV355" s="949"/>
      <c r="AW355" s="949"/>
      <c r="AX355" s="949"/>
      <c r="AY355" s="949"/>
      <c r="AZ355" s="949"/>
      <c r="BA355" s="949"/>
      <c r="BB355" s="949"/>
      <c r="BC355" s="949"/>
      <c r="BD355" s="949"/>
      <c r="BE355" s="2267"/>
    </row>
    <row r="356" spans="1:57">
      <c r="A356" s="1091" t="s">
        <v>319</v>
      </c>
      <c r="B356" s="691" t="s">
        <v>751</v>
      </c>
      <c r="C356" s="1087">
        <f t="shared" si="85"/>
        <v>2121.4584571428572</v>
      </c>
      <c r="D356" s="1088">
        <f t="shared" si="85"/>
        <v>5.4356931534045982E-3</v>
      </c>
      <c r="E356" s="1072">
        <f t="shared" si="85"/>
        <v>-0.63331383871554725</v>
      </c>
      <c r="F356" s="1072">
        <f t="shared" si="85"/>
        <v>-0.53153825980990832</v>
      </c>
      <c r="G356" s="1073">
        <f t="shared" si="85"/>
        <v>960.23059999999998</v>
      </c>
      <c r="H356" s="1074">
        <f t="shared" si="85"/>
        <v>2.6590660223142948E-3</v>
      </c>
      <c r="I356" s="1075">
        <f t="shared" si="85"/>
        <v>6.3820660890696566</v>
      </c>
      <c r="J356" s="1075">
        <f t="shared" si="85"/>
        <v>3.126768479322696</v>
      </c>
      <c r="K356" s="1076">
        <f t="shared" si="85"/>
        <v>4.988018554669714</v>
      </c>
      <c r="L356" s="1072">
        <f t="shared" si="85"/>
        <v>-0.2975700901517318</v>
      </c>
      <c r="M356" s="1077">
        <f t="shared" si="86"/>
        <v>3.6764587184436395</v>
      </c>
      <c r="N356" s="1078">
        <f t="shared" si="86"/>
        <v>0.95644485424869818</v>
      </c>
      <c r="O356" s="1079">
        <f t="shared" si="86"/>
        <v>5.7346309608293736E-3</v>
      </c>
      <c r="P356" s="1080">
        <f t="shared" si="86"/>
        <v>0.97265268915223335</v>
      </c>
      <c r="Q356" s="1078">
        <f t="shared" si="86"/>
        <v>0.16489915086810925</v>
      </c>
      <c r="R356" s="1079">
        <f t="shared" si="86"/>
        <v>2.0043608623878186</v>
      </c>
      <c r="S356" s="1080">
        <f t="shared" si="86"/>
        <v>0.32988338723452482</v>
      </c>
      <c r="T356" s="1078">
        <f t="shared" si="86"/>
        <v>0.27218937885351913</v>
      </c>
      <c r="U356" s="1079">
        <f t="shared" si="86"/>
        <v>1.2181747217666232</v>
      </c>
      <c r="V356" s="1080">
        <f t="shared" si="86"/>
        <v>0.4561905930983241</v>
      </c>
      <c r="W356" s="1072">
        <f t="shared" si="86"/>
        <v>0.10729022798540988</v>
      </c>
      <c r="X356" s="1072">
        <f t="shared" si="86"/>
        <v>0.65064148250965514</v>
      </c>
      <c r="Y356" s="1081" t="str">
        <f t="shared" si="86"/>
        <v>Not rated</v>
      </c>
      <c r="Z356" s="1082"/>
      <c r="AA356" s="1076">
        <f t="shared" si="87"/>
        <v>1.2440956586918632</v>
      </c>
      <c r="AB356" s="1083">
        <f t="shared" si="87"/>
        <v>0.5581122698382367</v>
      </c>
      <c r="AC356" s="1012">
        <f t="shared" si="87"/>
        <v>1.6771658832683087</v>
      </c>
      <c r="AD356" s="949"/>
      <c r="AE356" s="949"/>
      <c r="AF356" s="949"/>
      <c r="AG356" s="2129"/>
      <c r="AH356" s="949"/>
      <c r="AI356" s="949"/>
      <c r="AJ356" s="949"/>
      <c r="AK356" s="949"/>
      <c r="AL356" s="949"/>
      <c r="AM356" s="949"/>
      <c r="AN356" s="949"/>
      <c r="AO356" s="949"/>
      <c r="AP356" s="949"/>
      <c r="AQ356" s="949"/>
      <c r="AR356" s="110"/>
      <c r="AS356" s="110"/>
      <c r="AT356" s="110"/>
      <c r="AU356" s="949"/>
      <c r="AV356" s="949"/>
      <c r="AW356" s="949"/>
      <c r="AX356" s="949"/>
      <c r="AY356" s="949"/>
      <c r="AZ356" s="949"/>
      <c r="BA356" s="949"/>
      <c r="BB356" s="949"/>
      <c r="BC356" s="949"/>
      <c r="BD356" s="949"/>
      <c r="BE356" s="2267"/>
    </row>
    <row r="357" spans="1:57">
      <c r="A357" s="1090" t="s">
        <v>503</v>
      </c>
      <c r="B357" s="73" t="s">
        <v>280</v>
      </c>
      <c r="C357" s="1085">
        <f t="shared" si="85"/>
        <v>5769.8566757446433</v>
      </c>
      <c r="D357" s="1086">
        <f t="shared" si="85"/>
        <v>1.4783777793466828E-2</v>
      </c>
      <c r="E357" s="1060">
        <f t="shared" si="85"/>
        <v>-0.24705029723080094</v>
      </c>
      <c r="F357" s="1060">
        <f t="shared" si="85"/>
        <v>-0.14527471832516198</v>
      </c>
      <c r="G357" s="1061">
        <f t="shared" si="85"/>
        <v>4026.3480952657014</v>
      </c>
      <c r="H357" s="1062">
        <f t="shared" si="85"/>
        <v>1.1149744044952231E-2</v>
      </c>
      <c r="I357" s="1063">
        <f t="shared" si="85"/>
        <v>2.446298838298576</v>
      </c>
      <c r="J357" s="1063">
        <f t="shared" si="85"/>
        <v>1.6476276710656086</v>
      </c>
      <c r="K357" s="1064">
        <f t="shared" si="85"/>
        <v>6.5589809256196414</v>
      </c>
      <c r="L357" s="1060">
        <f t="shared" si="85"/>
        <v>1.2127469272410992E-3</v>
      </c>
      <c r="M357" s="1065">
        <f t="shared" si="86"/>
        <v>5.5145354419406587</v>
      </c>
      <c r="N357" s="1066">
        <f t="shared" si="86"/>
        <v>0.67083419702973635</v>
      </c>
      <c r="O357" s="1067">
        <f t="shared" si="86"/>
        <v>-0.11335389957676706</v>
      </c>
      <c r="P357" s="1068">
        <f t="shared" si="86"/>
        <v>0.63639387890884902</v>
      </c>
      <c r="Q357" s="1066">
        <f t="shared" si="86"/>
        <v>0.1536920907726812</v>
      </c>
      <c r="R357" s="1067">
        <f t="shared" si="86"/>
        <v>1.6283818604559013</v>
      </c>
      <c r="S357" s="1068">
        <f t="shared" si="86"/>
        <v>0.2022242346359609</v>
      </c>
      <c r="T357" s="1066">
        <f t="shared" si="86"/>
        <v>0.20961441125119315</v>
      </c>
      <c r="U357" s="1067">
        <f t="shared" si="86"/>
        <v>0.84200521424561081</v>
      </c>
      <c r="V357" s="1068">
        <f t="shared" si="86"/>
        <v>0.28147528322389997</v>
      </c>
      <c r="W357" s="1060">
        <f t="shared" si="86"/>
        <v>5.592232047851195E-2</v>
      </c>
      <c r="X357" s="1060">
        <f t="shared" si="86"/>
        <v>0.36385945559959909</v>
      </c>
      <c r="Y357" s="1069" t="str">
        <f t="shared" si="86"/>
        <v>Not rated</v>
      </c>
      <c r="Z357" s="1070"/>
      <c r="AA357" s="1064">
        <f t="shared" si="87"/>
        <v>1.4399592566697517</v>
      </c>
      <c r="AB357" s="1071">
        <f t="shared" si="87"/>
        <v>0.8442860967329926</v>
      </c>
      <c r="AC357" s="129">
        <f t="shared" si="87"/>
        <v>1.5521418473212367</v>
      </c>
      <c r="AD357" s="949"/>
      <c r="AE357" s="949"/>
      <c r="AF357" s="949"/>
      <c r="AG357" s="2129"/>
      <c r="AH357" s="949"/>
      <c r="AI357" s="949"/>
      <c r="AJ357" s="949"/>
      <c r="AK357" s="949"/>
      <c r="AL357" s="949"/>
      <c r="AM357" s="949"/>
      <c r="AN357" s="949"/>
      <c r="AO357" s="949"/>
      <c r="AP357" s="949"/>
      <c r="AQ357" s="949"/>
      <c r="AR357" s="110"/>
      <c r="AS357" s="110"/>
      <c r="AT357" s="110"/>
      <c r="AU357" s="949"/>
      <c r="AV357" s="949"/>
      <c r="AW357" s="949"/>
      <c r="AX357" s="949"/>
      <c r="AY357" s="949"/>
      <c r="AZ357" s="949"/>
      <c r="BA357" s="949"/>
      <c r="BB357" s="949"/>
      <c r="BC357" s="949"/>
      <c r="BD357" s="949"/>
      <c r="BE357" s="2267"/>
    </row>
    <row r="358" spans="1:57">
      <c r="A358" s="1090" t="s">
        <v>374</v>
      </c>
      <c r="B358" s="73" t="s">
        <v>42</v>
      </c>
      <c r="C358" s="1085">
        <f t="shared" si="85"/>
        <v>2432.5463571428577</v>
      </c>
      <c r="D358" s="1086">
        <f t="shared" si="85"/>
        <v>6.2327761047315808E-3</v>
      </c>
      <c r="E358" s="1060">
        <f t="shared" si="85"/>
        <v>-3.2258071946582277E-2</v>
      </c>
      <c r="F358" s="1060">
        <f t="shared" si="85"/>
        <v>6.9517506959056674E-2</v>
      </c>
      <c r="G358" s="1061">
        <f t="shared" si="85"/>
        <v>2940.9023000000002</v>
      </c>
      <c r="H358" s="1062">
        <f t="shared" si="85"/>
        <v>8.143932697912316E-3</v>
      </c>
      <c r="I358" s="1063">
        <f t="shared" si="85"/>
        <v>1.2689619717468461</v>
      </c>
      <c r="J358" s="1063">
        <f t="shared" si="85"/>
        <v>1.312316956715752</v>
      </c>
      <c r="K358" s="1064">
        <f t="shared" si="85"/>
        <v>3.8459062845563983</v>
      </c>
      <c r="L358" s="1060">
        <f t="shared" si="85"/>
        <v>3.4291324439135469E-2</v>
      </c>
      <c r="M358" s="1065">
        <f t="shared" si="86"/>
        <v>3.7439277362047823</v>
      </c>
      <c r="N358" s="1066">
        <f t="shared" si="86"/>
        <v>0.56323171407839789</v>
      </c>
      <c r="O358" s="1067">
        <f t="shared" si="86"/>
        <v>-0.12023286586287618</v>
      </c>
      <c r="P358" s="1068">
        <f t="shared" si="86"/>
        <v>0.53987730061349704</v>
      </c>
      <c r="Q358" s="1066">
        <f t="shared" si="86"/>
        <v>0.60887331285954671</v>
      </c>
      <c r="R358" s="1067">
        <f t="shared" si="86"/>
        <v>-0.37303497156800469</v>
      </c>
      <c r="S358" s="1068">
        <f t="shared" si="86"/>
        <v>0.37659759063604481</v>
      </c>
      <c r="T358" s="1066">
        <f t="shared" si="86"/>
        <v>0.63388271448107447</v>
      </c>
      <c r="U358" s="1067">
        <f t="shared" si="86"/>
        <v>-0.25869992498286548</v>
      </c>
      <c r="V358" s="1068">
        <f t="shared" si="86"/>
        <v>0.44527495080222473</v>
      </c>
      <c r="W358" s="1060">
        <f t="shared" si="86"/>
        <v>2.500940162152776E-2</v>
      </c>
      <c r="X358" s="1060">
        <f t="shared" si="86"/>
        <v>4.1074885519406669E-2</v>
      </c>
      <c r="Y358" s="1069" t="str">
        <f t="shared" si="86"/>
        <v>B-</v>
      </c>
      <c r="Z358" s="1070" t="str">
        <f>VLOOKUP($B358,$B$7:$AC$28,Z$37+1,FALSE)</f>
        <v>=  =  -</v>
      </c>
      <c r="AA358" s="1064">
        <f t="shared" si="87"/>
        <v>2.172629043332774</v>
      </c>
      <c r="AB358" s="1071">
        <f t="shared" si="87"/>
        <v>-0.22035736928264804</v>
      </c>
      <c r="AC358" s="129">
        <f t="shared" si="87"/>
        <v>1.5517268924243866</v>
      </c>
      <c r="AD358" s="949"/>
      <c r="AE358" s="949"/>
      <c r="AF358" s="949"/>
      <c r="AG358" s="2129"/>
      <c r="AH358" s="949"/>
      <c r="AI358" s="949"/>
      <c r="AJ358" s="949"/>
      <c r="AK358" s="949"/>
      <c r="AL358" s="949"/>
      <c r="AM358" s="949"/>
      <c r="AN358" s="949"/>
      <c r="AO358" s="949"/>
      <c r="AP358" s="949"/>
      <c r="AQ358" s="949"/>
      <c r="AR358" s="110"/>
      <c r="AS358" s="110"/>
      <c r="AT358" s="110"/>
      <c r="AU358" s="949"/>
      <c r="AV358" s="949"/>
      <c r="AW358" s="949"/>
      <c r="AX358" s="949"/>
      <c r="AY358" s="949"/>
      <c r="AZ358" s="949"/>
      <c r="BA358" s="949"/>
      <c r="BB358" s="949"/>
      <c r="BC358" s="949"/>
      <c r="BD358" s="949"/>
      <c r="BE358" s="2267"/>
    </row>
    <row r="359" spans="1:57">
      <c r="A359" s="1090" t="s">
        <v>19</v>
      </c>
      <c r="B359" s="73" t="s">
        <v>285</v>
      </c>
      <c r="C359" s="1085">
        <f t="shared" si="85"/>
        <v>6002.7646707914537</v>
      </c>
      <c r="D359" s="1086">
        <f t="shared" si="85"/>
        <v>1.538054479108892E-2</v>
      </c>
      <c r="E359" s="1060">
        <f t="shared" si="85"/>
        <v>1.7468659495150733</v>
      </c>
      <c r="F359" s="1060">
        <f t="shared" si="85"/>
        <v>1.8486415284207123</v>
      </c>
      <c r="G359" s="1061">
        <f t="shared" si="85"/>
        <v>9571.524995540176</v>
      </c>
      <c r="H359" s="1062">
        <f t="shared" si="85"/>
        <v>2.6505421611613778E-2</v>
      </c>
      <c r="I359" s="1063">
        <f t="shared" si="85"/>
        <v>4.1497848696984878</v>
      </c>
      <c r="J359" s="1063">
        <f t="shared" si="85"/>
        <v>5.1075046454025781</v>
      </c>
      <c r="K359" s="1064">
        <f t="shared" si="85"/>
        <v>7.8090133066846761</v>
      </c>
      <c r="L359" s="1060">
        <f t="shared" si="85"/>
        <v>0.8464659845431286</v>
      </c>
      <c r="M359" s="1065">
        <f t="shared" si="86"/>
        <v>9.6719476082953495</v>
      </c>
      <c r="N359" s="1066">
        <f t="shared" si="86"/>
        <v>9.1630231095150338E-2</v>
      </c>
      <c r="O359" s="1084" t="str">
        <f t="shared" si="86"/>
        <v>¥</v>
      </c>
      <c r="P359" s="1068">
        <f t="shared" si="86"/>
        <v>0.34976819018989347</v>
      </c>
      <c r="Q359" s="1066">
        <f t="shared" si="86"/>
        <v>0.13477545507373562</v>
      </c>
      <c r="R359" s="1067">
        <f t="shared" si="86"/>
        <v>-0.4264373226073967</v>
      </c>
      <c r="S359" s="1068">
        <f t="shared" si="86"/>
        <v>9.7905485588969735E-2</v>
      </c>
      <c r="T359" s="1066">
        <f t="shared" si="86"/>
        <v>0.16024846762312819</v>
      </c>
      <c r="U359" s="1067">
        <f t="shared" si="86"/>
        <v>-0.25253039609468159</v>
      </c>
      <c r="V359" s="1068">
        <f t="shared" si="86"/>
        <v>0.12849893093161849</v>
      </c>
      <c r="W359" s="1060">
        <f t="shared" si="86"/>
        <v>2.5473012549392576E-2</v>
      </c>
      <c r="X359" s="1060">
        <f t="shared" si="86"/>
        <v>0.18900335031669008</v>
      </c>
      <c r="Y359" s="1069" t="str">
        <f t="shared" si="86"/>
        <v>Not rated</v>
      </c>
      <c r="Z359" s="1070"/>
      <c r="AA359" s="1064">
        <f t="shared" si="87"/>
        <v>1.265551414722516</v>
      </c>
      <c r="AB359" s="1071">
        <f t="shared" si="87"/>
        <v>0.38040351489576829</v>
      </c>
      <c r="AC359" s="129">
        <f t="shared" si="87"/>
        <v>1.242834927692577</v>
      </c>
      <c r="AD359" s="949"/>
      <c r="AE359" s="949"/>
      <c r="AF359" s="949"/>
      <c r="AG359" s="2129"/>
      <c r="AH359" s="949"/>
      <c r="AI359" s="949"/>
      <c r="AJ359" s="949"/>
      <c r="AK359" s="949"/>
      <c r="AL359" s="949"/>
      <c r="AM359" s="949"/>
      <c r="AN359" s="949"/>
      <c r="AO359" s="949"/>
      <c r="AP359" s="949"/>
      <c r="AQ359" s="949"/>
      <c r="AR359" s="110"/>
      <c r="AS359" s="110"/>
      <c r="AT359" s="110"/>
      <c r="AU359" s="949"/>
      <c r="AV359" s="949"/>
      <c r="AW359" s="949"/>
      <c r="AX359" s="949"/>
      <c r="AY359" s="949"/>
      <c r="AZ359" s="949"/>
      <c r="BA359" s="949"/>
      <c r="BB359" s="949"/>
      <c r="BC359" s="949"/>
      <c r="BD359" s="949"/>
      <c r="BE359" s="2267"/>
    </row>
    <row r="360" spans="1:57">
      <c r="A360" s="1091" t="s">
        <v>319</v>
      </c>
      <c r="B360" s="691" t="s">
        <v>750</v>
      </c>
      <c r="C360" s="1087">
        <f t="shared" si="85"/>
        <v>7616.907214285714</v>
      </c>
      <c r="D360" s="1088">
        <f t="shared" si="85"/>
        <v>1.9516371039653539E-2</v>
      </c>
      <c r="E360" s="1072">
        <f t="shared" si="85"/>
        <v>-0.33365525120929096</v>
      </c>
      <c r="F360" s="1072">
        <f t="shared" si="85"/>
        <v>-0.23187967230365203</v>
      </c>
      <c r="G360" s="1073">
        <f t="shared" si="85"/>
        <v>5825.8631999999998</v>
      </c>
      <c r="H360" s="1074">
        <f t="shared" si="85"/>
        <v>1.6132952736323161E-2</v>
      </c>
      <c r="I360" s="1075">
        <f t="shared" si="85"/>
        <v>2.4107651340270966</v>
      </c>
      <c r="J360" s="1075">
        <f t="shared" si="85"/>
        <v>2.0327505931612002</v>
      </c>
      <c r="K360" s="1076">
        <f t="shared" si="85"/>
        <v>4.7469851722287064</v>
      </c>
      <c r="L360" s="1072">
        <f t="shared" si="85"/>
        <v>0.1951757211867983</v>
      </c>
      <c r="M360" s="1077">
        <f t="shared" si="86"/>
        <v>4.6619962755533297</v>
      </c>
      <c r="N360" s="1078">
        <f t="shared" si="86"/>
        <v>0.37158673775730477</v>
      </c>
      <c r="O360" s="1079">
        <f t="shared" si="86"/>
        <v>-0.1153634304384116</v>
      </c>
      <c r="P360" s="1080">
        <f t="shared" si="86"/>
        <v>0.36037883142173305</v>
      </c>
      <c r="Q360" s="1078">
        <f t="shared" si="86"/>
        <v>0.17383796150947908</v>
      </c>
      <c r="R360" s="1079">
        <f t="shared" si="86"/>
        <v>0.54445307336528614</v>
      </c>
      <c r="S360" s="1080">
        <f t="shared" si="86"/>
        <v>0.26356163003804695</v>
      </c>
      <c r="T360" s="1078">
        <f t="shared" si="86"/>
        <v>0.19702478682132593</v>
      </c>
      <c r="U360" s="1079">
        <f t="shared" si="86"/>
        <v>0.50034734616182497</v>
      </c>
      <c r="V360" s="1080">
        <f t="shared" si="86"/>
        <v>0.28756363720088318</v>
      </c>
      <c r="W360" s="1072">
        <f t="shared" si="86"/>
        <v>2.3186825311846848E-2</v>
      </c>
      <c r="X360" s="1072">
        <f t="shared" si="86"/>
        <v>0.13338182932260462</v>
      </c>
      <c r="Y360" s="1081" t="str">
        <f t="shared" si="86"/>
        <v>A</v>
      </c>
      <c r="Z360" s="1082" t="str">
        <f>VLOOKUP($B360,$B$7:$AC$28,Z$37+1,FALSE)</f>
        <v>=  =  -</v>
      </c>
      <c r="AA360" s="1076">
        <f t="shared" si="87"/>
        <v>0.93248540191552354</v>
      </c>
      <c r="AB360" s="1083">
        <f t="shared" si="87"/>
        <v>0.78949919521054279</v>
      </c>
      <c r="AC360" s="1012">
        <f t="shared" si="87"/>
        <v>1.3109622071604587</v>
      </c>
      <c r="AD360" s="949"/>
      <c r="AE360" s="949"/>
      <c r="AF360" s="949"/>
      <c r="AG360" s="2129"/>
      <c r="AH360" s="949"/>
      <c r="AI360" s="949"/>
      <c r="AJ360" s="949"/>
      <c r="AK360" s="949"/>
      <c r="AL360" s="949"/>
      <c r="AM360" s="949"/>
      <c r="AN360" s="949"/>
      <c r="AO360" s="949"/>
      <c r="AP360" s="949"/>
      <c r="AQ360" s="949"/>
      <c r="AR360" s="110"/>
      <c r="AS360" s="110"/>
      <c r="AT360" s="110"/>
      <c r="AU360" s="949"/>
      <c r="AV360" s="949"/>
      <c r="AW360" s="949"/>
      <c r="AX360" s="949"/>
      <c r="AY360" s="949"/>
      <c r="AZ360" s="949"/>
      <c r="BA360" s="949"/>
      <c r="BB360" s="949"/>
      <c r="BC360" s="949"/>
      <c r="BD360" s="949"/>
      <c r="BE360" s="2267"/>
    </row>
    <row r="361" spans="1:57">
      <c r="A361" s="1090" t="s">
        <v>500</v>
      </c>
      <c r="B361" s="73" t="s">
        <v>279</v>
      </c>
      <c r="C361" s="1085">
        <f t="shared" si="85"/>
        <v>20617.292984255655</v>
      </c>
      <c r="D361" s="1086">
        <f t="shared" si="85"/>
        <v>5.2826525044090682E-2</v>
      </c>
      <c r="E361" s="1060">
        <f t="shared" si="85"/>
        <v>0.37985561177970401</v>
      </c>
      <c r="F361" s="1060">
        <f t="shared" si="85"/>
        <v>0.48163119068534294</v>
      </c>
      <c r="G361" s="1061">
        <f t="shared" si="85"/>
        <v>23766.623796323693</v>
      </c>
      <c r="H361" s="1062">
        <f t="shared" si="85"/>
        <v>6.5814421871090864E-2</v>
      </c>
      <c r="I361" s="1063">
        <f t="shared" si="85"/>
        <v>1.8990159277875758</v>
      </c>
      <c r="J361" s="1063">
        <f t="shared" si="85"/>
        <v>2.509154465418888</v>
      </c>
      <c r="K361" s="1064">
        <f t="shared" si="85"/>
        <v>5.7229254321128114</v>
      </c>
      <c r="L361" s="1060">
        <f t="shared" si="85"/>
        <v>4.5724350121793801E-2</v>
      </c>
      <c r="M361" s="1065">
        <f t="shared" si="86"/>
        <v>6.1939465303838475</v>
      </c>
      <c r="N361" s="1066">
        <f t="shared" si="86"/>
        <v>0.7344324868237998</v>
      </c>
      <c r="O361" s="1067">
        <f t="shared" si="86"/>
        <v>0.10784712869930438</v>
      </c>
      <c r="P361" s="1068">
        <f t="shared" si="86"/>
        <v>0.74956908795771016</v>
      </c>
      <c r="Q361" s="1066">
        <f t="shared" si="86"/>
        <v>0.14726898954609682</v>
      </c>
      <c r="R361" s="1067">
        <f t="shared" si="86"/>
        <v>4.9939774449528171E-2</v>
      </c>
      <c r="S361" s="1068">
        <f t="shared" si="86"/>
        <v>0.17272839211728983</v>
      </c>
      <c r="T361" s="1066">
        <f t="shared" si="86"/>
        <v>0.18443136241749356</v>
      </c>
      <c r="U361" s="1067">
        <f t="shared" si="86"/>
        <v>-5.7258906752796622E-2</v>
      </c>
      <c r="V361" s="1068">
        <f t="shared" si="86"/>
        <v>0.198117589718218</v>
      </c>
      <c r="W361" s="1060">
        <f t="shared" si="86"/>
        <v>3.7162372871396732E-2</v>
      </c>
      <c r="X361" s="1060">
        <f t="shared" si="86"/>
        <v>0.25234350412762557</v>
      </c>
      <c r="Y361" s="1069" t="str">
        <f t="shared" si="86"/>
        <v>A-</v>
      </c>
      <c r="Z361" s="1070" t="str">
        <f>VLOOKUP($B361,$B$7:$AC$28,Z$37+1,FALSE)</f>
        <v>=  =  -</v>
      </c>
      <c r="AA361" s="1064">
        <f t="shared" si="87"/>
        <v>1.0395975936863313</v>
      </c>
      <c r="AB361" s="1071">
        <f t="shared" si="87"/>
        <v>2.9438923535487854E-2</v>
      </c>
      <c r="AC361" s="129">
        <f t="shared" si="87"/>
        <v>1.2087727199953455</v>
      </c>
      <c r="AD361" s="949"/>
      <c r="AE361" s="949"/>
      <c r="AF361" s="949"/>
      <c r="AG361" s="2129"/>
      <c r="AH361" s="949"/>
      <c r="AI361" s="949"/>
      <c r="AJ361" s="949"/>
      <c r="AK361" s="949"/>
      <c r="AL361" s="949"/>
      <c r="AM361" s="949"/>
      <c r="AN361" s="949"/>
      <c r="AO361" s="949"/>
      <c r="AP361" s="949"/>
      <c r="AQ361" s="949"/>
      <c r="AR361" s="110"/>
      <c r="AS361" s="110"/>
      <c r="AT361" s="110"/>
      <c r="AU361" s="949"/>
      <c r="AV361" s="949"/>
      <c r="AW361" s="949"/>
      <c r="AX361" s="949"/>
      <c r="AY361" s="949"/>
      <c r="AZ361" s="949"/>
      <c r="BA361" s="949"/>
      <c r="BB361" s="949"/>
      <c r="BC361" s="949"/>
      <c r="BD361" s="949"/>
      <c r="BE361" s="2267"/>
    </row>
    <row r="362" spans="1:57">
      <c r="A362" s="1090" t="s">
        <v>502</v>
      </c>
      <c r="B362" s="73" t="s">
        <v>287</v>
      </c>
      <c r="C362" s="1085">
        <f t="shared" si="85"/>
        <v>4580.8423286191064</v>
      </c>
      <c r="D362" s="1086">
        <f t="shared" si="85"/>
        <v>1.1737233504933111E-2</v>
      </c>
      <c r="E362" s="1060">
        <f t="shared" si="85"/>
        <v>-0.49577837871365099</v>
      </c>
      <c r="F362" s="1060">
        <f t="shared" si="85"/>
        <v>-0.39400279980801206</v>
      </c>
      <c r="G362" s="1061">
        <f t="shared" si="85"/>
        <v>2322.4005110115481</v>
      </c>
      <c r="H362" s="1062">
        <f t="shared" si="85"/>
        <v>6.4311804779353665E-3</v>
      </c>
      <c r="I362" s="1063">
        <f t="shared" si="85"/>
        <v>1.4234279787340207</v>
      </c>
      <c r="J362" s="1063">
        <f t="shared" si="85"/>
        <v>0.8056764866383116</v>
      </c>
      <c r="K362" s="1064">
        <f t="shared" si="85"/>
        <v>4.3531629475873661</v>
      </c>
      <c r="L362" s="1060">
        <f t="shared" si="85"/>
        <v>-8.1025400882275472E-2</v>
      </c>
      <c r="M362" s="1065">
        <f t="shared" si="86"/>
        <v>3.4400754167452243</v>
      </c>
      <c r="N362" s="1060">
        <f t="shared" si="86"/>
        <v>0.42290073595624156</v>
      </c>
      <c r="O362" s="1067">
        <f t="shared" si="86"/>
        <v>-9.0086339251873371E-2</v>
      </c>
      <c r="P362" s="1068">
        <f t="shared" si="86"/>
        <v>0.44946685046944856</v>
      </c>
      <c r="Q362" s="1066">
        <f t="shared" si="86"/>
        <v>0.16307046534988884</v>
      </c>
      <c r="R362" s="1067">
        <f t="shared" si="86"/>
        <v>1.3005419282788433</v>
      </c>
      <c r="S362" s="1068">
        <f t="shared" si="86"/>
        <v>0.30950096360373897</v>
      </c>
      <c r="T362" s="1066">
        <f t="shared" si="86"/>
        <v>0.18570292678335293</v>
      </c>
      <c r="U362" s="1067">
        <f t="shared" si="86"/>
        <v>1.251733079461073</v>
      </c>
      <c r="V362" s="1068">
        <f t="shared" si="86"/>
        <v>0.34197601038246805</v>
      </c>
      <c r="W362" s="1060">
        <f t="shared" si="86"/>
        <v>2.2632461433464091E-2</v>
      </c>
      <c r="X362" s="1060">
        <f t="shared" si="86"/>
        <v>0.13878945758144007</v>
      </c>
      <c r="Y362" s="1069" t="str">
        <f t="shared" si="86"/>
        <v>BBB</v>
      </c>
      <c r="Z362" s="1070" t="str">
        <f>VLOOKUP($B362,$B$7:$AC$28,Z$37+1,FALSE)</f>
        <v>=  ¯ -</v>
      </c>
      <c r="AA362" s="1064">
        <f t="shared" si="87"/>
        <v>0.77886477042851432</v>
      </c>
      <c r="AB362" s="1071">
        <f t="shared" si="87"/>
        <v>1.0703005310133176</v>
      </c>
      <c r="AC362" s="129">
        <f t="shared" si="87"/>
        <v>1.1762690733772538</v>
      </c>
      <c r="AD362" s="949"/>
      <c r="AE362" s="949"/>
      <c r="AF362" s="949"/>
      <c r="AG362" s="2129"/>
      <c r="AH362" s="949"/>
      <c r="AI362" s="949"/>
      <c r="AJ362" s="949"/>
      <c r="AK362" s="949"/>
      <c r="AL362" s="949"/>
      <c r="AM362" s="949"/>
      <c r="AN362" s="949"/>
      <c r="AO362" s="949"/>
      <c r="AP362" s="949"/>
      <c r="AQ362" s="949"/>
      <c r="AR362" s="110"/>
      <c r="AS362" s="110"/>
      <c r="AT362" s="110"/>
      <c r="AU362" s="949"/>
      <c r="AV362" s="949"/>
      <c r="AW362" s="949"/>
      <c r="AX362" s="949"/>
      <c r="AY362" s="949"/>
      <c r="AZ362" s="949"/>
      <c r="BA362" s="949"/>
      <c r="BB362" s="949"/>
      <c r="BC362" s="949"/>
      <c r="BD362" s="949"/>
      <c r="BE362" s="2267"/>
    </row>
    <row r="363" spans="1:57">
      <c r="A363" s="1090"/>
      <c r="B363" s="949"/>
      <c r="C363" s="949"/>
      <c r="D363" s="119"/>
      <c r="E363" s="949"/>
      <c r="F363" s="949"/>
      <c r="G363" s="949"/>
      <c r="H363" s="119"/>
      <c r="I363" s="119"/>
      <c r="J363" s="119"/>
      <c r="K363" s="949"/>
      <c r="L363" s="949"/>
      <c r="M363" s="949"/>
      <c r="N363" s="949"/>
      <c r="O363" s="949"/>
      <c r="P363" s="949"/>
      <c r="Q363" s="1005"/>
      <c r="R363" s="1005"/>
      <c r="S363" s="1005"/>
      <c r="T363" s="949"/>
      <c r="U363" s="949"/>
      <c r="V363" s="949"/>
      <c r="W363" s="1005"/>
      <c r="X363" s="1005"/>
      <c r="Y363" s="949"/>
      <c r="Z363" s="949"/>
      <c r="AA363" s="949"/>
      <c r="AB363" s="949"/>
      <c r="AC363" s="949"/>
      <c r="AD363" s="949"/>
      <c r="AE363" s="949"/>
      <c r="AF363" s="949"/>
      <c r="AG363" s="2129"/>
      <c r="AH363" s="949"/>
      <c r="AI363" s="949"/>
      <c r="AJ363" s="949"/>
      <c r="AK363" s="949"/>
      <c r="AL363" s="949"/>
      <c r="AM363" s="949"/>
      <c r="AN363" s="949"/>
      <c r="AO363" s="949"/>
      <c r="AP363" s="949"/>
      <c r="AQ363" s="949"/>
      <c r="AR363" s="110"/>
      <c r="AS363" s="110"/>
      <c r="AT363" s="110"/>
      <c r="AU363" s="949"/>
      <c r="AV363" s="949"/>
      <c r="AW363" s="949"/>
      <c r="AX363" s="949"/>
      <c r="AY363" s="949"/>
      <c r="AZ363" s="949"/>
      <c r="BA363" s="949"/>
      <c r="BB363" s="949"/>
      <c r="BC363" s="949"/>
      <c r="BD363" s="949"/>
      <c r="BE363" s="2267"/>
    </row>
    <row r="364" spans="1:57">
      <c r="A364" s="1090"/>
      <c r="B364" s="949"/>
      <c r="C364" s="949"/>
      <c r="D364" s="119"/>
      <c r="E364" s="949"/>
      <c r="F364" s="949"/>
      <c r="G364" s="949"/>
      <c r="H364" s="119"/>
      <c r="I364" s="119"/>
      <c r="J364" s="119"/>
      <c r="K364" s="949"/>
      <c r="L364" s="949"/>
      <c r="M364" s="949"/>
      <c r="N364" s="949"/>
      <c r="O364" s="949"/>
      <c r="P364" s="949"/>
      <c r="Q364" s="1005"/>
      <c r="R364" s="1005"/>
      <c r="S364" s="1005"/>
      <c r="T364" s="949"/>
      <c r="U364" s="949"/>
      <c r="V364" s="1089" t="s">
        <v>1813</v>
      </c>
      <c r="W364" s="1005"/>
      <c r="X364" s="1005"/>
      <c r="Y364" s="949"/>
      <c r="Z364" s="949"/>
      <c r="AA364" s="949"/>
      <c r="AB364" s="949"/>
      <c r="AC364" s="949"/>
      <c r="AD364" s="949"/>
      <c r="AE364" s="949"/>
      <c r="AF364" s="949"/>
      <c r="AG364" s="2129"/>
      <c r="AH364" s="949"/>
      <c r="AI364" s="949"/>
      <c r="AJ364" s="949"/>
      <c r="AK364" s="949"/>
      <c r="AL364" s="949"/>
      <c r="AM364" s="949"/>
      <c r="AN364" s="949"/>
      <c r="AO364" s="949"/>
      <c r="AP364" s="949"/>
      <c r="AQ364" s="949"/>
      <c r="AR364" s="110"/>
      <c r="AS364" s="110"/>
      <c r="AT364" s="110"/>
      <c r="AU364" s="949"/>
      <c r="AV364" s="949"/>
      <c r="AW364" s="949"/>
      <c r="AX364" s="949"/>
      <c r="AY364" s="949"/>
      <c r="AZ364" s="949"/>
      <c r="BA364" s="949"/>
      <c r="BB364" s="949"/>
      <c r="BC364" s="949"/>
      <c r="BD364" s="949"/>
      <c r="BE364" s="2267"/>
    </row>
    <row r="365" spans="1:57">
      <c r="A365" s="3315" t="s">
        <v>101</v>
      </c>
      <c r="B365" s="1286" t="s">
        <v>506</v>
      </c>
      <c r="C365" s="949"/>
      <c r="D365" s="119"/>
      <c r="E365" s="1005"/>
      <c r="F365" s="1005"/>
      <c r="G365" s="1005"/>
      <c r="H365" s="119"/>
      <c r="I365" s="119"/>
      <c r="J365" s="119"/>
      <c r="K365" s="1005"/>
      <c r="L365" s="1005"/>
      <c r="M365" s="1089"/>
      <c r="N365" s="1005"/>
      <c r="O365" s="1005"/>
      <c r="P365" s="1005"/>
      <c r="Q365" s="1005"/>
      <c r="R365" s="1005"/>
      <c r="S365" s="1005"/>
      <c r="T365" s="949"/>
      <c r="U365" s="949"/>
      <c r="V365" s="1005"/>
      <c r="W365" s="1005"/>
      <c r="X365" s="1005"/>
      <c r="Y365" s="949"/>
      <c r="Z365" s="1005"/>
      <c r="AA365" s="1005"/>
      <c r="AB365" s="1005"/>
      <c r="AC365" s="142" t="s">
        <v>1812</v>
      </c>
      <c r="AD365" s="949"/>
      <c r="AE365" s="949"/>
      <c r="AF365" s="949"/>
      <c r="AG365" s="2129"/>
      <c r="AH365" s="949"/>
      <c r="AI365" s="949"/>
      <c r="AJ365" s="949"/>
      <c r="AK365" s="949"/>
      <c r="AL365" s="949"/>
      <c r="AM365" s="949"/>
      <c r="AN365" s="949"/>
      <c r="AO365" s="949"/>
      <c r="AP365" s="949"/>
      <c r="AQ365" s="949"/>
      <c r="AR365" s="110"/>
      <c r="AS365" s="110"/>
      <c r="AT365" s="110"/>
      <c r="AU365" s="949"/>
      <c r="AV365" s="949"/>
      <c r="AW365" s="949"/>
      <c r="AX365" s="949"/>
      <c r="AY365" s="949"/>
      <c r="AZ365" s="949"/>
      <c r="BA365" s="949"/>
      <c r="BB365" s="949"/>
      <c r="BC365" s="949"/>
      <c r="BD365" s="949"/>
      <c r="BE365" s="2267"/>
    </row>
    <row r="366" spans="1:57">
      <c r="A366" s="1091" t="s">
        <v>319</v>
      </c>
      <c r="B366" s="691" t="s">
        <v>750</v>
      </c>
      <c r="C366" s="1087">
        <f t="shared" ref="C366:L375" si="88">VLOOKUP($B366,$B$7:$AC$28,C$37+1,FALSE)</f>
        <v>7616.907214285714</v>
      </c>
      <c r="D366" s="1088">
        <f t="shared" si="88"/>
        <v>1.9516371039653539E-2</v>
      </c>
      <c r="E366" s="1072">
        <f t="shared" si="88"/>
        <v>-0.33365525120929096</v>
      </c>
      <c r="F366" s="1072">
        <f t="shared" si="88"/>
        <v>-0.23187967230365203</v>
      </c>
      <c r="G366" s="1073">
        <f t="shared" si="88"/>
        <v>5825.8631999999998</v>
      </c>
      <c r="H366" s="1074">
        <f t="shared" si="88"/>
        <v>1.6132952736323161E-2</v>
      </c>
      <c r="I366" s="1075">
        <f t="shared" si="88"/>
        <v>2.4107651340270966</v>
      </c>
      <c r="J366" s="1075">
        <f t="shared" si="88"/>
        <v>2.0327505931612002</v>
      </c>
      <c r="K366" s="1076">
        <f t="shared" si="88"/>
        <v>4.7469851722287064</v>
      </c>
      <c r="L366" s="1072">
        <f t="shared" si="88"/>
        <v>0.1951757211867983</v>
      </c>
      <c r="M366" s="1077">
        <f t="shared" ref="M366:V375" si="89">VLOOKUP($B366,$B$7:$AC$28,M$37+1,FALSE)</f>
        <v>4.6619962755533297</v>
      </c>
      <c r="N366" s="1078">
        <f t="shared" si="89"/>
        <v>0.37158673775730477</v>
      </c>
      <c r="O366" s="1079">
        <f t="shared" si="89"/>
        <v>-0.1153634304384116</v>
      </c>
      <c r="P366" s="1080">
        <f t="shared" si="89"/>
        <v>0.36037883142173305</v>
      </c>
      <c r="Q366" s="1078">
        <f t="shared" si="89"/>
        <v>0.17383796150947908</v>
      </c>
      <c r="R366" s="1079">
        <f t="shared" si="89"/>
        <v>0.54445307336528614</v>
      </c>
      <c r="S366" s="1080">
        <f t="shared" si="89"/>
        <v>0.26356163003804695</v>
      </c>
      <c r="T366" s="1078">
        <f t="shared" si="89"/>
        <v>0.19702478682132593</v>
      </c>
      <c r="U366" s="1079">
        <f t="shared" si="89"/>
        <v>0.50034734616182497</v>
      </c>
      <c r="V366" s="1080">
        <f t="shared" si="89"/>
        <v>0.28756363720088318</v>
      </c>
      <c r="W366" s="1072">
        <f t="shared" ref="W366:AC375" si="90">VLOOKUP($B366,$B$7:$AC$28,W$37+1,FALSE)</f>
        <v>2.3186825311846848E-2</v>
      </c>
      <c r="X366" s="1072">
        <f t="shared" si="90"/>
        <v>0.13338182932260462</v>
      </c>
      <c r="Y366" s="1016" t="str">
        <f t="shared" si="90"/>
        <v>A</v>
      </c>
      <c r="Z366" s="1057" t="str">
        <f t="shared" si="90"/>
        <v>=  =  -</v>
      </c>
      <c r="AA366" s="1076">
        <f t="shared" si="90"/>
        <v>0.93248540191552354</v>
      </c>
      <c r="AB366" s="1083">
        <f t="shared" si="90"/>
        <v>0.78949919521054279</v>
      </c>
      <c r="AC366" s="1012">
        <f t="shared" si="90"/>
        <v>1.3109622071604587</v>
      </c>
      <c r="AD366" s="949"/>
      <c r="AE366" s="949"/>
      <c r="AF366" s="949"/>
      <c r="AG366" s="2129"/>
      <c r="AH366" s="949"/>
      <c r="AI366" s="949"/>
      <c r="AJ366" s="949"/>
      <c r="AK366" s="949"/>
      <c r="AL366" s="949"/>
      <c r="AM366" s="949"/>
      <c r="AN366" s="949"/>
      <c r="AO366" s="949"/>
      <c r="AP366" s="949"/>
      <c r="AQ366" s="949"/>
      <c r="AR366" s="110"/>
      <c r="AS366" s="110"/>
      <c r="AT366" s="110"/>
      <c r="AU366" s="949"/>
      <c r="AV366" s="949"/>
      <c r="AW366" s="949"/>
      <c r="AX366" s="949"/>
      <c r="AY366" s="949"/>
      <c r="AZ366" s="949"/>
      <c r="BA366" s="949"/>
      <c r="BB366" s="949"/>
      <c r="BC366" s="949"/>
      <c r="BD366" s="949"/>
      <c r="BE366" s="2267"/>
    </row>
    <row r="367" spans="1:57">
      <c r="A367" s="1090" t="s">
        <v>504</v>
      </c>
      <c r="B367" s="73" t="s">
        <v>288</v>
      </c>
      <c r="C367" s="1085">
        <f t="shared" si="88"/>
        <v>16250.837973523972</v>
      </c>
      <c r="D367" s="1086">
        <f t="shared" si="88"/>
        <v>4.1638604052015776E-2</v>
      </c>
      <c r="E367" s="1060">
        <f t="shared" si="88"/>
        <v>0.20894195471198634</v>
      </c>
      <c r="F367" s="1060">
        <f t="shared" si="88"/>
        <v>0.31071753361762527</v>
      </c>
      <c r="G367" s="1061">
        <f t="shared" si="88"/>
        <v>17428.290742138299</v>
      </c>
      <c r="H367" s="1062">
        <f t="shared" si="88"/>
        <v>4.826234004564605E-2</v>
      </c>
      <c r="I367" s="1063">
        <f t="shared" si="88"/>
        <v>4.0995220850209826</v>
      </c>
      <c r="J367" s="1063">
        <f t="shared" si="88"/>
        <v>4.5731712273212377</v>
      </c>
      <c r="K367" s="1064">
        <f t="shared" si="88"/>
        <v>6.7450557383311427</v>
      </c>
      <c r="L367" s="1060">
        <f t="shared" si="88"/>
        <v>0.2149868566781509</v>
      </c>
      <c r="M367" s="1065">
        <f t="shared" si="89"/>
        <v>7.5822149145373468</v>
      </c>
      <c r="N367" s="1066">
        <f t="shared" si="89"/>
        <v>0.32615050588405037</v>
      </c>
      <c r="O367" s="1067">
        <f t="shared" si="89"/>
        <v>-8.7660674172335792E-2</v>
      </c>
      <c r="P367" s="1068">
        <f t="shared" si="89"/>
        <v>0.30985103942866765</v>
      </c>
      <c r="Q367" s="1066">
        <f t="shared" si="89"/>
        <v>0.30558583418722468</v>
      </c>
      <c r="R367" s="1067">
        <f t="shared" si="89"/>
        <v>-0.13620468181810452</v>
      </c>
      <c r="S367" s="1068">
        <f t="shared" si="89"/>
        <v>0.29018390059321952</v>
      </c>
      <c r="T367" s="1066">
        <f t="shared" si="89"/>
        <v>0.31922230141848357</v>
      </c>
      <c r="U367" s="1067">
        <f t="shared" si="89"/>
        <v>-0.13496032758973828</v>
      </c>
      <c r="V367" s="1068">
        <f t="shared" si="89"/>
        <v>0.30362227391248225</v>
      </c>
      <c r="W367" s="1060">
        <f t="shared" si="90"/>
        <v>1.3636467231258886E-2</v>
      </c>
      <c r="X367" s="1060">
        <f t="shared" si="90"/>
        <v>4.4624016252350789E-2</v>
      </c>
      <c r="Y367" s="80" t="str">
        <f t="shared" si="90"/>
        <v>A</v>
      </c>
      <c r="Z367" s="88" t="str">
        <f t="shared" si="90"/>
        <v>=  =  -</v>
      </c>
      <c r="AA367" s="1064">
        <f t="shared" si="90"/>
        <v>2.1579177629636748</v>
      </c>
      <c r="AB367" s="1071">
        <f t="shared" si="90"/>
        <v>6.0078851309961184E-2</v>
      </c>
      <c r="AC367" s="129">
        <f t="shared" si="90"/>
        <v>2.3009327536910358</v>
      </c>
      <c r="AD367" s="949"/>
      <c r="AE367" s="949"/>
      <c r="AF367" s="949"/>
      <c r="AG367" s="2129"/>
      <c r="AH367" s="949"/>
      <c r="AI367" s="949"/>
      <c r="AJ367" s="949"/>
      <c r="AK367" s="949"/>
      <c r="AL367" s="949"/>
      <c r="AM367" s="949"/>
      <c r="AN367" s="949"/>
      <c r="AO367" s="949"/>
      <c r="AP367" s="949"/>
      <c r="AQ367" s="949"/>
      <c r="AR367" s="110"/>
      <c r="AS367" s="110"/>
      <c r="AT367" s="110"/>
      <c r="AU367" s="949"/>
      <c r="AV367" s="949"/>
      <c r="AW367" s="949"/>
      <c r="AX367" s="949"/>
      <c r="AY367" s="949"/>
      <c r="AZ367" s="949"/>
      <c r="BA367" s="949"/>
      <c r="BB367" s="949"/>
      <c r="BC367" s="949"/>
      <c r="BD367" s="949"/>
      <c r="BE367" s="2267"/>
    </row>
    <row r="368" spans="1:57">
      <c r="A368" s="1090" t="s">
        <v>500</v>
      </c>
      <c r="B368" s="73" t="s">
        <v>279</v>
      </c>
      <c r="C368" s="1085">
        <f t="shared" si="88"/>
        <v>20617.292984255655</v>
      </c>
      <c r="D368" s="1086">
        <f t="shared" si="88"/>
        <v>5.2826525044090682E-2</v>
      </c>
      <c r="E368" s="1060">
        <f t="shared" si="88"/>
        <v>0.37985561177970401</v>
      </c>
      <c r="F368" s="1060">
        <f t="shared" si="88"/>
        <v>0.48163119068534294</v>
      </c>
      <c r="G368" s="1061">
        <f t="shared" si="88"/>
        <v>23766.623796323693</v>
      </c>
      <c r="H368" s="1062">
        <f t="shared" si="88"/>
        <v>6.5814421871090864E-2</v>
      </c>
      <c r="I368" s="1063">
        <f t="shared" si="88"/>
        <v>1.8990159277875758</v>
      </c>
      <c r="J368" s="1063">
        <f t="shared" si="88"/>
        <v>2.509154465418888</v>
      </c>
      <c r="K368" s="1064">
        <f t="shared" si="88"/>
        <v>5.7229254321128114</v>
      </c>
      <c r="L368" s="1060">
        <f t="shared" si="88"/>
        <v>4.5724350121793801E-2</v>
      </c>
      <c r="M368" s="1065">
        <f t="shared" si="89"/>
        <v>6.1939465303838475</v>
      </c>
      <c r="N368" s="1066">
        <f t="shared" si="89"/>
        <v>0.7344324868237998</v>
      </c>
      <c r="O368" s="1067">
        <f t="shared" si="89"/>
        <v>0.10784712869930438</v>
      </c>
      <c r="P368" s="1068">
        <f t="shared" si="89"/>
        <v>0.74956908795771016</v>
      </c>
      <c r="Q368" s="1066">
        <f t="shared" si="89"/>
        <v>0.14726898954609682</v>
      </c>
      <c r="R368" s="1067">
        <f t="shared" si="89"/>
        <v>4.9939774449528171E-2</v>
      </c>
      <c r="S368" s="1068">
        <f t="shared" si="89"/>
        <v>0.17272839211728983</v>
      </c>
      <c r="T368" s="1066">
        <f t="shared" si="89"/>
        <v>0.18443136241749356</v>
      </c>
      <c r="U368" s="1067">
        <f t="shared" si="89"/>
        <v>-5.7258906752796622E-2</v>
      </c>
      <c r="V368" s="1068">
        <f t="shared" si="89"/>
        <v>0.198117589718218</v>
      </c>
      <c r="W368" s="1060">
        <f t="shared" si="90"/>
        <v>3.7162372871396732E-2</v>
      </c>
      <c r="X368" s="1060">
        <f t="shared" si="90"/>
        <v>0.25234350412762557</v>
      </c>
      <c r="Y368" s="80" t="str">
        <f t="shared" si="90"/>
        <v>A-</v>
      </c>
      <c r="Z368" s="88" t="str">
        <f t="shared" si="90"/>
        <v>=  =  -</v>
      </c>
      <c r="AA368" s="1064">
        <f t="shared" si="90"/>
        <v>1.0395975936863313</v>
      </c>
      <c r="AB368" s="1071">
        <f t="shared" si="90"/>
        <v>2.9438923535487854E-2</v>
      </c>
      <c r="AC368" s="129">
        <f t="shared" si="90"/>
        <v>1.2087727199953455</v>
      </c>
      <c r="AD368" s="949"/>
      <c r="AE368" s="949"/>
      <c r="AF368" s="949"/>
      <c r="AG368" s="2129"/>
      <c r="AH368" s="949"/>
      <c r="AI368" s="949"/>
      <c r="AJ368" s="949"/>
      <c r="AK368" s="949"/>
      <c r="AL368" s="949"/>
      <c r="AM368" s="949"/>
      <c r="AN368" s="949"/>
      <c r="AO368" s="949"/>
      <c r="AP368" s="949"/>
      <c r="AQ368" s="949"/>
      <c r="AR368" s="110"/>
      <c r="AS368" s="110"/>
      <c r="AT368" s="110"/>
      <c r="AU368" s="949"/>
      <c r="AV368" s="949"/>
      <c r="AW368" s="949"/>
      <c r="AX368" s="949"/>
      <c r="AY368" s="949"/>
      <c r="AZ368" s="949"/>
      <c r="BA368" s="949"/>
      <c r="BB368" s="949"/>
      <c r="BC368" s="949"/>
      <c r="BD368" s="949"/>
      <c r="BE368" s="2267"/>
    </row>
    <row r="369" spans="1:57">
      <c r="A369" s="1090" t="s">
        <v>503</v>
      </c>
      <c r="B369" s="73" t="s">
        <v>282</v>
      </c>
      <c r="C369" s="1085">
        <f t="shared" si="88"/>
        <v>22949.481858519866</v>
      </c>
      <c r="D369" s="1086">
        <f t="shared" si="88"/>
        <v>5.8802160840116385E-2</v>
      </c>
      <c r="E369" s="1060">
        <f t="shared" si="88"/>
        <v>-8.3288171902550459E-2</v>
      </c>
      <c r="F369" s="1060">
        <f t="shared" si="88"/>
        <v>1.8487407003088485E-2</v>
      </c>
      <c r="G369" s="1061">
        <f t="shared" si="88"/>
        <v>21731.57918967646</v>
      </c>
      <c r="H369" s="1062">
        <f t="shared" si="88"/>
        <v>6.0178986000343146E-2</v>
      </c>
      <c r="I369" s="1063">
        <f t="shared" si="88"/>
        <v>1.7647070716020126</v>
      </c>
      <c r="J369" s="1063">
        <f t="shared" si="88"/>
        <v>1.7786623686113903</v>
      </c>
      <c r="K369" s="1064">
        <f t="shared" si="88"/>
        <v>7.5628972253366413</v>
      </c>
      <c r="L369" s="1060">
        <f t="shared" si="88"/>
        <v>2.1076957712408067E-2</v>
      </c>
      <c r="M369" s="1065">
        <f t="shared" si="89"/>
        <v>7.6896404016441506</v>
      </c>
      <c r="N369" s="1066">
        <f t="shared" si="89"/>
        <v>0.67984865616162071</v>
      </c>
      <c r="O369" s="1067">
        <f t="shared" si="89"/>
        <v>0.13956056160252914</v>
      </c>
      <c r="P369" s="1068">
        <f t="shared" si="89"/>
        <v>0.7167630057803468</v>
      </c>
      <c r="Q369" s="1066">
        <f t="shared" si="89"/>
        <v>0.23215418017261674</v>
      </c>
      <c r="R369" s="1067">
        <f t="shared" si="89"/>
        <v>0.36187217108516367</v>
      </c>
      <c r="S369" s="1068">
        <f t="shared" si="89"/>
        <v>0.26525179681706468</v>
      </c>
      <c r="T369" s="1066">
        <f t="shared" si="89"/>
        <v>0.2501311526811702</v>
      </c>
      <c r="U369" s="1067">
        <f t="shared" si="89"/>
        <v>0.31916438327965047</v>
      </c>
      <c r="V369" s="1068">
        <f t="shared" si="89"/>
        <v>0.28287599661626001</v>
      </c>
      <c r="W369" s="1060">
        <f t="shared" si="90"/>
        <v>1.7976972508553457E-2</v>
      </c>
      <c r="X369" s="1060">
        <f t="shared" si="90"/>
        <v>7.7435489187344358E-2</v>
      </c>
      <c r="Y369" s="80" t="str">
        <f t="shared" si="90"/>
        <v>A-</v>
      </c>
      <c r="Z369" s="88" t="str">
        <f t="shared" si="90"/>
        <v>=  =  =</v>
      </c>
      <c r="AA369" s="1064">
        <f t="shared" si="90"/>
        <v>1.845874038975184</v>
      </c>
      <c r="AB369" s="1071">
        <f t="shared" si="90"/>
        <v>0.36079457239176377</v>
      </c>
      <c r="AC369" s="129">
        <f t="shared" si="90"/>
        <v>2.1424428051274771</v>
      </c>
      <c r="AD369" s="949"/>
      <c r="AE369" s="949"/>
      <c r="AF369" s="949"/>
      <c r="AG369" s="2129"/>
      <c r="AH369" s="949"/>
      <c r="AI369" s="949"/>
      <c r="AJ369" s="949"/>
      <c r="AK369" s="949"/>
      <c r="AL369" s="949"/>
      <c r="AM369" s="949"/>
      <c r="AN369" s="949"/>
      <c r="AO369" s="949"/>
      <c r="AP369" s="949"/>
      <c r="AQ369" s="949"/>
      <c r="AR369" s="110"/>
      <c r="AS369" s="110"/>
      <c r="AT369" s="110"/>
      <c r="AU369" s="949"/>
      <c r="AV369" s="949"/>
      <c r="AW369" s="949"/>
      <c r="AX369" s="949"/>
      <c r="AY369" s="949"/>
      <c r="AZ369" s="949"/>
      <c r="BA369" s="949"/>
      <c r="BB369" s="949"/>
      <c r="BC369" s="949"/>
      <c r="BD369" s="949"/>
      <c r="BE369" s="2267"/>
    </row>
    <row r="370" spans="1:57">
      <c r="A370" s="1090" t="s">
        <v>32</v>
      </c>
      <c r="B370" s="73" t="s">
        <v>277</v>
      </c>
      <c r="C370" s="1085">
        <f t="shared" si="88"/>
        <v>103061.53572524291</v>
      </c>
      <c r="D370" s="1086">
        <f t="shared" si="88"/>
        <v>0.26406875054982143</v>
      </c>
      <c r="E370" s="1060">
        <f t="shared" si="88"/>
        <v>7.5306160052783275E-2</v>
      </c>
      <c r="F370" s="1060">
        <f t="shared" si="88"/>
        <v>0.17708173895842222</v>
      </c>
      <c r="G370" s="1061">
        <f t="shared" si="88"/>
        <v>106720.85775234729</v>
      </c>
      <c r="H370" s="1062">
        <f t="shared" si="88"/>
        <v>0.29553089301830604</v>
      </c>
      <c r="I370" s="1063">
        <f t="shared" si="88"/>
        <v>1.0837821931217524</v>
      </c>
      <c r="J370" s="1063">
        <f t="shared" si="88"/>
        <v>1.259272460269286</v>
      </c>
      <c r="K370" s="1064">
        <f t="shared" si="88"/>
        <v>7.534246564629953</v>
      </c>
      <c r="L370" s="1060">
        <f t="shared" si="88"/>
        <v>0.12910548637067604</v>
      </c>
      <c r="M370" s="1065">
        <f t="shared" si="89"/>
        <v>8.6584668441025876</v>
      </c>
      <c r="N370" s="1066">
        <f t="shared" si="89"/>
        <v>0.91487499999999988</v>
      </c>
      <c r="O370" s="1067">
        <f t="shared" si="89"/>
        <v>-4.3736501079913587E-2</v>
      </c>
      <c r="P370" s="1068">
        <f t="shared" si="89"/>
        <v>0.89481420237931208</v>
      </c>
      <c r="Q370" s="1066">
        <f t="shared" si="89"/>
        <v>0.24509229252810941</v>
      </c>
      <c r="R370" s="1067">
        <f t="shared" si="89"/>
        <v>-0.16501821733667812</v>
      </c>
      <c r="S370" s="1068">
        <f t="shared" si="89"/>
        <v>0.23828807339295358</v>
      </c>
      <c r="T370" s="1066">
        <f t="shared" si="89"/>
        <v>0.27870192226407053</v>
      </c>
      <c r="U370" s="1067">
        <f t="shared" si="89"/>
        <v>-0.14309331637647091</v>
      </c>
      <c r="V370" s="1068">
        <f t="shared" si="89"/>
        <v>0.2718321660431175</v>
      </c>
      <c r="W370" s="1060">
        <f t="shared" si="90"/>
        <v>3.3609629735961127E-2</v>
      </c>
      <c r="X370" s="1060">
        <f t="shared" si="90"/>
        <v>0.13713050455108242</v>
      </c>
      <c r="Y370" s="80" t="str">
        <f t="shared" si="90"/>
        <v>A-</v>
      </c>
      <c r="Z370" s="88" t="str">
        <f t="shared" si="90"/>
        <v>=  =  =</v>
      </c>
      <c r="AA370" s="1064">
        <f t="shared" si="90"/>
        <v>2.0880314655341889</v>
      </c>
      <c r="AB370" s="1071">
        <f t="shared" si="90"/>
        <v>-3.7762767487534328E-2</v>
      </c>
      <c r="AC370" s="129">
        <f t="shared" si="90"/>
        <v>2.3348198024327131</v>
      </c>
      <c r="AD370" s="949"/>
      <c r="AE370" s="949"/>
      <c r="AF370" s="949"/>
      <c r="AG370" s="2129"/>
      <c r="AH370" s="949"/>
      <c r="AI370" s="949"/>
      <c r="AJ370" s="949"/>
      <c r="AK370" s="949"/>
      <c r="AL370" s="949"/>
      <c r="AM370" s="949"/>
      <c r="AN370" s="949"/>
      <c r="AO370" s="949"/>
      <c r="AP370" s="949"/>
      <c r="AQ370" s="949"/>
      <c r="AR370" s="110"/>
      <c r="AS370" s="110"/>
      <c r="AT370" s="110"/>
      <c r="AU370" s="949"/>
      <c r="AV370" s="949"/>
      <c r="AW370" s="949"/>
      <c r="AX370" s="949"/>
      <c r="AY370" s="949"/>
      <c r="AZ370" s="949"/>
      <c r="BA370" s="949"/>
      <c r="BB370" s="949"/>
      <c r="BC370" s="949"/>
      <c r="BD370" s="949"/>
      <c r="BE370" s="2267"/>
    </row>
    <row r="371" spans="1:57">
      <c r="A371" s="1090" t="s">
        <v>498</v>
      </c>
      <c r="B371" s="73" t="s">
        <v>52</v>
      </c>
      <c r="C371" s="1085">
        <f t="shared" si="88"/>
        <v>40464.923042857146</v>
      </c>
      <c r="D371" s="1086">
        <f t="shared" si="88"/>
        <v>0.1036809862557167</v>
      </c>
      <c r="E371" s="1060">
        <f t="shared" si="88"/>
        <v>-6.1458653761923776E-2</v>
      </c>
      <c r="F371" s="1060">
        <f t="shared" si="88"/>
        <v>4.0316925143715168E-2</v>
      </c>
      <c r="G371" s="1061">
        <f t="shared" si="88"/>
        <v>39791.94</v>
      </c>
      <c r="H371" s="1062">
        <f t="shared" si="88"/>
        <v>0.1101916514803518</v>
      </c>
      <c r="I371" s="1063">
        <f t="shared" si="88"/>
        <v>1.0840589348936991</v>
      </c>
      <c r="J371" s="1063">
        <f t="shared" si="88"/>
        <v>1.2733420800000002</v>
      </c>
      <c r="K371" s="1064">
        <f t="shared" si="88"/>
        <v>4.9157277486128619</v>
      </c>
      <c r="L371" s="1060">
        <f t="shared" si="88"/>
        <v>0.1448238320606966</v>
      </c>
      <c r="M371" s="1065">
        <f t="shared" si="89"/>
        <v>5.2964626193065953</v>
      </c>
      <c r="N371" s="1066">
        <f t="shared" si="89"/>
        <v>0.61</v>
      </c>
      <c r="O371" s="1067">
        <f t="shared" si="89"/>
        <v>0</v>
      </c>
      <c r="P371" s="1068">
        <f t="shared" si="89"/>
        <v>0.62983042679437373</v>
      </c>
      <c r="Q371" s="1066">
        <f t="shared" si="89"/>
        <v>0.51528895508035288</v>
      </c>
      <c r="R371" s="1067">
        <f t="shared" si="89"/>
        <v>-2.4931247740904369E-2</v>
      </c>
      <c r="S371" s="1068">
        <f t="shared" si="89"/>
        <v>0.51939744871548044</v>
      </c>
      <c r="T371" s="1066">
        <f t="shared" si="89"/>
        <v>0.58808850315066874</v>
      </c>
      <c r="U371" s="1067">
        <f t="shared" si="89"/>
        <v>-2.8226553900756759E-2</v>
      </c>
      <c r="V371" s="1068">
        <f t="shared" si="89"/>
        <v>0.59074959904524027</v>
      </c>
      <c r="W371" s="1060">
        <f t="shared" si="90"/>
        <v>7.2799548070315856E-2</v>
      </c>
      <c r="X371" s="1060">
        <f t="shared" si="90"/>
        <v>0.14127907721011346</v>
      </c>
      <c r="Y371" s="80" t="str">
        <f t="shared" si="90"/>
        <v>BBB+</v>
      </c>
      <c r="Z371" s="88" t="str">
        <f t="shared" si="90"/>
        <v>=  =  =</v>
      </c>
      <c r="AA371" s="1064">
        <f t="shared" si="90"/>
        <v>2.7906818261625395</v>
      </c>
      <c r="AB371" s="1071">
        <f t="shared" si="90"/>
        <v>8.5841806528642844E-2</v>
      </c>
      <c r="AC371" s="129">
        <f t="shared" si="90"/>
        <v>2.9178287645268703</v>
      </c>
      <c r="AD371" s="949"/>
      <c r="AE371" s="949"/>
      <c r="AF371" s="949"/>
      <c r="AG371" s="2129"/>
      <c r="AH371" s="949"/>
      <c r="AI371" s="949"/>
      <c r="AJ371" s="949"/>
      <c r="AK371" s="949"/>
      <c r="AL371" s="949"/>
      <c r="AM371" s="949"/>
      <c r="AN371" s="949"/>
      <c r="AO371" s="949"/>
      <c r="AP371" s="949"/>
      <c r="AQ371" s="949"/>
      <c r="AR371" s="110"/>
      <c r="AS371" s="110"/>
      <c r="AT371" s="110"/>
      <c r="AU371" s="949"/>
      <c r="AV371" s="949"/>
      <c r="AW371" s="949"/>
      <c r="AX371" s="949"/>
      <c r="AY371" s="949"/>
      <c r="AZ371" s="949"/>
      <c r="BA371" s="949"/>
      <c r="BB371" s="949"/>
      <c r="BC371" s="949"/>
      <c r="BD371" s="949"/>
      <c r="BE371" s="2267"/>
    </row>
    <row r="372" spans="1:57">
      <c r="A372" s="1090" t="s">
        <v>19</v>
      </c>
      <c r="B372" s="150" t="s">
        <v>286</v>
      </c>
      <c r="C372" s="1085">
        <f t="shared" si="88"/>
        <v>31174.883771428573</v>
      </c>
      <c r="D372" s="1086">
        <f t="shared" si="88"/>
        <v>7.9877643469276421E-2</v>
      </c>
      <c r="E372" s="1060">
        <f t="shared" si="88"/>
        <v>-0.49416922878378883</v>
      </c>
      <c r="F372" s="1060">
        <f t="shared" si="88"/>
        <v>-0.3923936498781499</v>
      </c>
      <c r="G372" s="1061">
        <f t="shared" si="88"/>
        <v>19124.593099999998</v>
      </c>
      <c r="H372" s="1062">
        <f t="shared" si="88"/>
        <v>5.2959732488004868E-2</v>
      </c>
      <c r="I372" s="1063">
        <f t="shared" si="88"/>
        <v>1.0546425468926217</v>
      </c>
      <c r="J372" s="1063">
        <f t="shared" si="88"/>
        <v>0.72989058468819168</v>
      </c>
      <c r="K372" s="1064">
        <f t="shared" si="88"/>
        <v>4.913128503955539</v>
      </c>
      <c r="L372" s="1060">
        <f t="shared" si="88"/>
        <v>-0.19812930900653591</v>
      </c>
      <c r="M372" s="1065">
        <f t="shared" si="89"/>
        <v>4.438539176760524</v>
      </c>
      <c r="N372" s="1066">
        <f t="shared" si="89"/>
        <v>0.60741568747204655</v>
      </c>
      <c r="O372" s="1067">
        <f t="shared" si="89"/>
        <v>4.0950219141690898E-2</v>
      </c>
      <c r="P372" s="1068">
        <f t="shared" si="89"/>
        <v>0.62738172243152124</v>
      </c>
      <c r="Q372" s="1066">
        <f t="shared" si="89"/>
        <v>0.50834561454306215</v>
      </c>
      <c r="R372" s="1067">
        <f t="shared" si="89"/>
        <v>0.27477182203191691</v>
      </c>
      <c r="S372" s="1068">
        <f t="shared" si="89"/>
        <v>0.61196382356206247</v>
      </c>
      <c r="T372" s="1066">
        <f t="shared" si="89"/>
        <v>0.54898628094174651</v>
      </c>
      <c r="U372" s="1067">
        <f t="shared" si="89"/>
        <v>0.26756473067663017</v>
      </c>
      <c r="V372" s="1068">
        <f t="shared" si="89"/>
        <v>0.65530118542007598</v>
      </c>
      <c r="W372" s="1060">
        <f t="shared" si="90"/>
        <v>4.0640666398684355E-2</v>
      </c>
      <c r="X372" s="1060">
        <f t="shared" si="90"/>
        <v>7.9946920433679999E-2</v>
      </c>
      <c r="Y372" s="80" t="str">
        <f t="shared" si="90"/>
        <v>BBB+</v>
      </c>
      <c r="Z372" s="88" t="str">
        <f t="shared" si="90"/>
        <v>=  ¯ ¯</v>
      </c>
      <c r="AA372" s="1064">
        <f t="shared" si="90"/>
        <v>2.5321561588471506</v>
      </c>
      <c r="AB372" s="1071">
        <f t="shared" si="90"/>
        <v>1.3257606300410854E-2</v>
      </c>
      <c r="AC372" s="129">
        <f t="shared" si="90"/>
        <v>2.8138910595815916</v>
      </c>
      <c r="AD372" s="949"/>
      <c r="AE372" s="949"/>
      <c r="AF372" s="949"/>
      <c r="AG372" s="2129"/>
      <c r="AH372" s="949"/>
      <c r="AI372" s="949"/>
      <c r="AJ372" s="949"/>
      <c r="AK372" s="949"/>
      <c r="AL372" s="949"/>
      <c r="AM372" s="949"/>
      <c r="AN372" s="949"/>
      <c r="AO372" s="949"/>
      <c r="AP372" s="949"/>
      <c r="AQ372" s="949"/>
      <c r="AR372" s="110"/>
      <c r="AS372" s="110"/>
      <c r="AT372" s="110"/>
      <c r="AU372" s="949"/>
      <c r="AV372" s="949"/>
      <c r="AW372" s="949"/>
      <c r="AX372" s="949"/>
      <c r="AY372" s="949"/>
      <c r="AZ372" s="949"/>
      <c r="BA372" s="949"/>
      <c r="BB372" s="949"/>
      <c r="BC372" s="949"/>
      <c r="BD372" s="949"/>
      <c r="BE372" s="2267"/>
    </row>
    <row r="373" spans="1:57">
      <c r="A373" s="1090" t="s">
        <v>502</v>
      </c>
      <c r="B373" s="73" t="s">
        <v>287</v>
      </c>
      <c r="C373" s="1085">
        <f t="shared" si="88"/>
        <v>4580.8423286191064</v>
      </c>
      <c r="D373" s="1086">
        <f t="shared" si="88"/>
        <v>1.1737233504933111E-2</v>
      </c>
      <c r="E373" s="1060">
        <f t="shared" si="88"/>
        <v>-0.49577837871365099</v>
      </c>
      <c r="F373" s="1060">
        <f t="shared" si="88"/>
        <v>-0.39400279980801206</v>
      </c>
      <c r="G373" s="1061">
        <f t="shared" si="88"/>
        <v>2322.4005110115481</v>
      </c>
      <c r="H373" s="1062">
        <f t="shared" si="88"/>
        <v>6.4311804779353665E-3</v>
      </c>
      <c r="I373" s="1063">
        <f t="shared" si="88"/>
        <v>1.4234279787340207</v>
      </c>
      <c r="J373" s="1063">
        <f t="shared" si="88"/>
        <v>0.8056764866383116</v>
      </c>
      <c r="K373" s="1064">
        <f t="shared" si="88"/>
        <v>4.3531629475873661</v>
      </c>
      <c r="L373" s="1060">
        <f t="shared" si="88"/>
        <v>-8.1025400882275472E-2</v>
      </c>
      <c r="M373" s="1065">
        <f t="shared" si="89"/>
        <v>3.4400754167452243</v>
      </c>
      <c r="N373" s="1066">
        <f t="shared" si="89"/>
        <v>0.42290073595624156</v>
      </c>
      <c r="O373" s="1067">
        <f t="shared" si="89"/>
        <v>-9.0086339251873371E-2</v>
      </c>
      <c r="P373" s="1068">
        <f t="shared" si="89"/>
        <v>0.44946685046944856</v>
      </c>
      <c r="Q373" s="1066">
        <f t="shared" si="89"/>
        <v>0.16307046534988884</v>
      </c>
      <c r="R373" s="1067">
        <f t="shared" si="89"/>
        <v>1.3005419282788433</v>
      </c>
      <c r="S373" s="1068">
        <f t="shared" si="89"/>
        <v>0.30950096360373897</v>
      </c>
      <c r="T373" s="1066">
        <f t="shared" si="89"/>
        <v>0.18570292678335293</v>
      </c>
      <c r="U373" s="1067">
        <f t="shared" si="89"/>
        <v>1.251733079461073</v>
      </c>
      <c r="V373" s="1068">
        <f t="shared" si="89"/>
        <v>0.34197601038246805</v>
      </c>
      <c r="W373" s="1060">
        <f t="shared" si="90"/>
        <v>2.2632461433464091E-2</v>
      </c>
      <c r="X373" s="1060">
        <f t="shared" si="90"/>
        <v>0.13878945758144007</v>
      </c>
      <c r="Y373" s="80" t="str">
        <f t="shared" si="90"/>
        <v>BBB</v>
      </c>
      <c r="Z373" s="88" t="str">
        <f t="shared" si="90"/>
        <v>=  ¯ -</v>
      </c>
      <c r="AA373" s="1064">
        <f t="shared" si="90"/>
        <v>0.77886477042851432</v>
      </c>
      <c r="AB373" s="1071">
        <f t="shared" si="90"/>
        <v>1.0703005310133176</v>
      </c>
      <c r="AC373" s="129">
        <f t="shared" si="90"/>
        <v>1.1762690733772538</v>
      </c>
      <c r="AD373" s="949"/>
      <c r="AE373" s="949"/>
      <c r="AF373" s="949"/>
      <c r="AG373" s="2129"/>
      <c r="AH373" s="949"/>
      <c r="AI373" s="949"/>
      <c r="AJ373" s="949"/>
      <c r="AK373" s="949"/>
      <c r="AL373" s="949"/>
      <c r="AM373" s="949"/>
      <c r="AN373" s="949"/>
      <c r="AO373" s="949"/>
      <c r="AP373" s="949"/>
      <c r="AQ373" s="949"/>
      <c r="AR373" s="110"/>
      <c r="AS373" s="110"/>
      <c r="AT373" s="110"/>
      <c r="AU373" s="949"/>
      <c r="AV373" s="949"/>
      <c r="AW373" s="949"/>
      <c r="AX373" s="949"/>
      <c r="AY373" s="949"/>
      <c r="AZ373" s="949"/>
      <c r="BA373" s="949"/>
      <c r="BB373" s="949"/>
      <c r="BC373" s="949"/>
      <c r="BD373" s="949"/>
      <c r="BE373" s="2267"/>
    </row>
    <row r="374" spans="1:57">
      <c r="A374" s="1090" t="s">
        <v>539</v>
      </c>
      <c r="B374" s="73" t="s">
        <v>39</v>
      </c>
      <c r="C374" s="1085">
        <f t="shared" si="88"/>
        <v>5059.5155870714543</v>
      </c>
      <c r="D374" s="1086">
        <f t="shared" si="88"/>
        <v>1.2963710952524294E-2</v>
      </c>
      <c r="E374" s="1060">
        <f t="shared" si="88"/>
        <v>-0.13366823909704381</v>
      </c>
      <c r="F374" s="1060">
        <f t="shared" si="88"/>
        <v>-3.1892660191404867E-2</v>
      </c>
      <c r="G374" s="1061">
        <f t="shared" si="88"/>
        <v>5057.8123335929276</v>
      </c>
      <c r="H374" s="1062">
        <f t="shared" si="88"/>
        <v>1.4006069920599414E-2</v>
      </c>
      <c r="I374" s="1063">
        <f t="shared" si="88"/>
        <v>1.6858649053444912</v>
      </c>
      <c r="J374" s="1063">
        <f t="shared" si="88"/>
        <v>1.7703056194544857</v>
      </c>
      <c r="K374" s="1064">
        <f t="shared" si="88"/>
        <v>6.1343182706324946</v>
      </c>
      <c r="L374" s="1060">
        <f t="shared" si="88"/>
        <v>-0.19036897853308513</v>
      </c>
      <c r="M374" s="1065">
        <f t="shared" si="89"/>
        <v>5.9052222685092017</v>
      </c>
      <c r="N374" s="1066">
        <f t="shared" si="89"/>
        <v>0.31054928118178421</v>
      </c>
      <c r="O374" s="1067">
        <f t="shared" si="89"/>
        <v>-0.11491916916279199</v>
      </c>
      <c r="P374" s="1068">
        <f t="shared" si="89"/>
        <v>0.28165979767703259</v>
      </c>
      <c r="Q374" s="1066">
        <f t="shared" si="89"/>
        <v>0.3899242463002407</v>
      </c>
      <c r="R374" s="1067">
        <f t="shared" si="89"/>
        <v>-0.1197676600756727</v>
      </c>
      <c r="S374" s="1068">
        <f t="shared" si="89"/>
        <v>0.37944762378701169</v>
      </c>
      <c r="T374" s="1066">
        <f t="shared" si="89"/>
        <v>0.45093517146474416</v>
      </c>
      <c r="U374" s="1067">
        <f t="shared" si="89"/>
        <v>-8.3572610535330494E-2</v>
      </c>
      <c r="V374" s="1068">
        <f t="shared" si="89"/>
        <v>0.43916945384982109</v>
      </c>
      <c r="W374" s="1060">
        <f t="shared" si="90"/>
        <v>6.101092516450346E-2</v>
      </c>
      <c r="X374" s="1060">
        <f t="shared" si="90"/>
        <v>0.15646866216553562</v>
      </c>
      <c r="Y374" s="80" t="str">
        <f t="shared" si="90"/>
        <v>BBB</v>
      </c>
      <c r="Z374" s="88" t="str">
        <f t="shared" si="90"/>
        <v>­  = =</v>
      </c>
      <c r="AA374" s="1064">
        <f t="shared" si="90"/>
        <v>2.6587814840492587</v>
      </c>
      <c r="AB374" s="1071">
        <f t="shared" si="90"/>
        <v>-0.25803195656746131</v>
      </c>
      <c r="AC374" s="129">
        <f t="shared" si="90"/>
        <v>2.5933932385229874</v>
      </c>
      <c r="AD374" s="949"/>
      <c r="AE374" s="949"/>
      <c r="AF374" s="949"/>
      <c r="AG374" s="2129"/>
      <c r="AH374" s="949"/>
      <c r="AI374" s="949"/>
      <c r="AJ374" s="949"/>
      <c r="AK374" s="949"/>
      <c r="AL374" s="949"/>
      <c r="AM374" s="949"/>
      <c r="AN374" s="949"/>
      <c r="AO374" s="949"/>
      <c r="AP374" s="949"/>
      <c r="AQ374" s="949"/>
      <c r="AR374" s="110"/>
      <c r="AS374" s="110"/>
      <c r="AT374" s="110"/>
      <c r="AU374" s="949"/>
      <c r="AV374" s="949"/>
      <c r="AW374" s="949"/>
      <c r="AX374" s="949"/>
      <c r="AY374" s="949"/>
      <c r="AZ374" s="949"/>
      <c r="BA374" s="949"/>
      <c r="BB374" s="949"/>
      <c r="BC374" s="949"/>
      <c r="BD374" s="949"/>
      <c r="BE374" s="2267"/>
    </row>
    <row r="375" spans="1:57">
      <c r="A375" s="1090" t="s">
        <v>32</v>
      </c>
      <c r="B375" s="73" t="s">
        <v>50</v>
      </c>
      <c r="C375" s="1085">
        <f t="shared" si="88"/>
        <v>19515.355899391296</v>
      </c>
      <c r="D375" s="1086">
        <f t="shared" si="88"/>
        <v>5.0003093905237848E-2</v>
      </c>
      <c r="E375" s="1060">
        <f t="shared" si="88"/>
        <v>1.1994936816856254</v>
      </c>
      <c r="F375" s="1060">
        <f t="shared" si="88"/>
        <v>1.3012692605912644</v>
      </c>
      <c r="G375" s="1061">
        <f t="shared" si="88"/>
        <v>28491.576306321644</v>
      </c>
      <c r="H375" s="1062">
        <f t="shared" si="88"/>
        <v>7.8898737947233621E-2</v>
      </c>
      <c r="I375" s="1063">
        <f t="shared" si="88"/>
        <v>-0.89894076859195104</v>
      </c>
      <c r="J375" s="1063">
        <f t="shared" si="88"/>
        <v>39.625784878048783</v>
      </c>
      <c r="K375" s="1064">
        <f t="shared" si="88"/>
        <v>4.7123747267525307</v>
      </c>
      <c r="L375" s="1060">
        <f t="shared" si="88"/>
        <v>0.4140020451008824</v>
      </c>
      <c r="M375" s="1065">
        <f t="shared" si="89"/>
        <v>5.7096258695546744</v>
      </c>
      <c r="N375" s="1066">
        <f t="shared" si="89"/>
        <v>0</v>
      </c>
      <c r="O375" s="1067">
        <f t="shared" si="89"/>
        <v>0</v>
      </c>
      <c r="P375" s="1068">
        <f t="shared" si="89"/>
        <v>0</v>
      </c>
      <c r="Q375" s="1066">
        <f t="shared" si="89"/>
        <v>0.37025195227815472</v>
      </c>
      <c r="R375" s="1067">
        <f t="shared" si="89"/>
        <v>-0.46222821771061889</v>
      </c>
      <c r="S375" s="1068">
        <f t="shared" si="89"/>
        <v>0.26403640782716253</v>
      </c>
      <c r="T375" s="1066">
        <f t="shared" si="89"/>
        <v>0.48927059752514818</v>
      </c>
      <c r="U375" s="1067">
        <f t="shared" si="89"/>
        <v>-0.38189416595312975</v>
      </c>
      <c r="V375" s="1068">
        <f t="shared" si="89"/>
        <v>0.37414035756341019</v>
      </c>
      <c r="W375" s="1060">
        <f t="shared" si="90"/>
        <v>0.11901864524699346</v>
      </c>
      <c r="X375" s="1060">
        <f t="shared" si="90"/>
        <v>0.32145312000294263</v>
      </c>
      <c r="Y375" s="80" t="str">
        <f t="shared" si="90"/>
        <v>BBB</v>
      </c>
      <c r="Z375" s="88" t="str">
        <f t="shared" si="90"/>
        <v xml:space="preserve">=  -  = </v>
      </c>
      <c r="AA375" s="1064">
        <f t="shared" si="90"/>
        <v>2.2664974928712622</v>
      </c>
      <c r="AB375" s="1071">
        <f t="shared" si="90"/>
        <v>-0.12537902502142731</v>
      </c>
      <c r="AC375" s="129">
        <f t="shared" si="90"/>
        <v>2.136201464388483</v>
      </c>
      <c r="AD375" s="949"/>
      <c r="AE375" s="949"/>
      <c r="AF375" s="949"/>
      <c r="AG375" s="2129"/>
      <c r="AH375" s="949"/>
      <c r="AI375" s="949"/>
      <c r="AJ375" s="949"/>
      <c r="AK375" s="949"/>
      <c r="AL375" s="949"/>
      <c r="AM375" s="949"/>
      <c r="AN375" s="949"/>
      <c r="AO375" s="949"/>
      <c r="AP375" s="949"/>
      <c r="AQ375" s="949"/>
      <c r="AR375" s="110"/>
      <c r="AS375" s="110"/>
      <c r="AT375" s="110"/>
      <c r="AU375" s="949"/>
      <c r="AV375" s="949"/>
      <c r="AW375" s="949"/>
      <c r="AX375" s="949"/>
      <c r="AY375" s="949"/>
      <c r="AZ375" s="949"/>
      <c r="BA375" s="949"/>
      <c r="BB375" s="949"/>
      <c r="BC375" s="949"/>
      <c r="BD375" s="949"/>
      <c r="BE375" s="2267"/>
    </row>
    <row r="376" spans="1:57">
      <c r="A376" s="1090" t="s">
        <v>73</v>
      </c>
      <c r="B376" s="73" t="s">
        <v>283</v>
      </c>
      <c r="C376" s="1085">
        <f t="shared" ref="C376:L383" si="91">VLOOKUP($B376,$B$7:$AC$28,C$37+1,FALSE)</f>
        <v>2461.5190857142857</v>
      </c>
      <c r="D376" s="1086">
        <f t="shared" si="91"/>
        <v>6.3070112903421734E-3</v>
      </c>
      <c r="E376" s="1060">
        <f t="shared" si="91"/>
        <v>6.738754525599433E-2</v>
      </c>
      <c r="F376" s="1060">
        <f t="shared" si="91"/>
        <v>0.16916312416163326</v>
      </c>
      <c r="G376" s="1061">
        <f t="shared" si="91"/>
        <v>2364.3629999999998</v>
      </c>
      <c r="H376" s="1062">
        <f t="shared" si="91"/>
        <v>6.5473828033777437E-3</v>
      </c>
      <c r="I376" s="1063">
        <f t="shared" si="91"/>
        <v>3.1397518024733277</v>
      </c>
      <c r="J376" s="1063">
        <f t="shared" si="91"/>
        <v>3.0995844257996854</v>
      </c>
      <c r="K376" s="1064">
        <f t="shared" si="91"/>
        <v>6.6917014692746157</v>
      </c>
      <c r="L376" s="1060">
        <f t="shared" si="91"/>
        <v>0.14721542174528052</v>
      </c>
      <c r="M376" s="1065">
        <f t="shared" ref="M376:V383" si="92">VLOOKUP($B376,$B$7:$AC$28,M$37+1,FALSE)</f>
        <v>7.0127743881429545</v>
      </c>
      <c r="N376" s="1066">
        <f t="shared" si="92"/>
        <v>0.62657499999999999</v>
      </c>
      <c r="O376" s="1067">
        <f t="shared" si="92"/>
        <v>5.5614710459497153E-2</v>
      </c>
      <c r="P376" s="1068">
        <f t="shared" si="92"/>
        <v>0.64439999999999997</v>
      </c>
      <c r="Q376" s="1066">
        <f t="shared" si="92"/>
        <v>0.24190098439360719</v>
      </c>
      <c r="R376" s="1067">
        <f t="shared" si="92"/>
        <v>0.20667512064869559</v>
      </c>
      <c r="S376" s="1068">
        <f t="shared" si="92"/>
        <v>0.30597960586046052</v>
      </c>
      <c r="T376" s="1066">
        <f t="shared" si="92"/>
        <v>0.2616424852780464</v>
      </c>
      <c r="U376" s="1067">
        <f t="shared" si="92"/>
        <v>0.20296552626351777</v>
      </c>
      <c r="V376" s="1068">
        <f t="shared" si="92"/>
        <v>0.32061814749302248</v>
      </c>
      <c r="W376" s="1060">
        <f t="shared" ref="W376:AC383" si="93">VLOOKUP($B376,$B$7:$AC$28,W$37+1,FALSE)</f>
        <v>1.9741500884439211E-2</v>
      </c>
      <c r="X376" s="1060">
        <f t="shared" si="93"/>
        <v>8.1609841042717679E-2</v>
      </c>
      <c r="Y376" s="80" t="str">
        <f t="shared" si="93"/>
        <v>BBB</v>
      </c>
      <c r="Z376" s="88" t="str">
        <f t="shared" si="93"/>
        <v>=  =  -</v>
      </c>
      <c r="AA376" s="1064">
        <f t="shared" si="93"/>
        <v>1.7511002028712532</v>
      </c>
      <c r="AB376" s="1071">
        <f t="shared" si="93"/>
        <v>0.37093258903528414</v>
      </c>
      <c r="AC376" s="129">
        <f t="shared" si="93"/>
        <v>2.2311132077757287</v>
      </c>
      <c r="AD376" s="949"/>
      <c r="AE376" s="949"/>
      <c r="AF376" s="949"/>
      <c r="AG376" s="2129"/>
      <c r="AH376" s="949"/>
      <c r="AI376" s="949"/>
      <c r="AJ376" s="949"/>
      <c r="AK376" s="949"/>
      <c r="AL376" s="949"/>
      <c r="AM376" s="949"/>
      <c r="AN376" s="949"/>
      <c r="AO376" s="949"/>
      <c r="AP376" s="949"/>
      <c r="AQ376" s="949"/>
      <c r="AR376" s="110"/>
      <c r="AS376" s="110"/>
      <c r="AT376" s="110"/>
      <c r="AU376" s="949"/>
      <c r="AV376" s="949"/>
      <c r="AW376" s="949"/>
      <c r="AX376" s="949"/>
      <c r="AY376" s="949"/>
      <c r="AZ376" s="949"/>
      <c r="BA376" s="949"/>
      <c r="BB376" s="949"/>
      <c r="BC376" s="949"/>
      <c r="BD376" s="949"/>
      <c r="BE376" s="2267"/>
    </row>
    <row r="377" spans="1:57">
      <c r="A377" s="1090" t="s">
        <v>385</v>
      </c>
      <c r="B377" s="73" t="s">
        <v>276</v>
      </c>
      <c r="C377" s="1085">
        <f t="shared" si="91"/>
        <v>3544.0522571428578</v>
      </c>
      <c r="D377" s="1086">
        <f t="shared" si="91"/>
        <v>9.0807248780183369E-3</v>
      </c>
      <c r="E377" s="1060">
        <f t="shared" si="91"/>
        <v>-0.4675424361384804</v>
      </c>
      <c r="F377" s="1060">
        <f t="shared" si="91"/>
        <v>-0.36576685723284147</v>
      </c>
      <c r="G377" s="1061">
        <f t="shared" si="91"/>
        <v>2152.6311000000001</v>
      </c>
      <c r="H377" s="1062">
        <f t="shared" si="91"/>
        <v>5.9610558303255963E-3</v>
      </c>
      <c r="I377" s="1063">
        <f t="shared" si="91"/>
        <v>3.4941691326062152</v>
      </c>
      <c r="J377" s="1063">
        <f t="shared" si="91"/>
        <v>2.2961398399999999</v>
      </c>
      <c r="K377" s="1064">
        <f t="shared" si="91"/>
        <v>4.4246190982470868</v>
      </c>
      <c r="L377" s="1060">
        <f t="shared" si="91"/>
        <v>-2.9835823683801648E-2</v>
      </c>
      <c r="M377" s="1065">
        <f t="shared" si="92"/>
        <v>4.0530525032062261</v>
      </c>
      <c r="N377" s="1066">
        <f t="shared" si="92"/>
        <v>0.60910298289809772</v>
      </c>
      <c r="O377" s="1067">
        <f t="shared" si="92"/>
        <v>-5.2071170724915891E-2</v>
      </c>
      <c r="P377" s="1068">
        <f t="shared" si="92"/>
        <v>0.6207941242005639</v>
      </c>
      <c r="Q377" s="1066">
        <f t="shared" si="92"/>
        <v>0.49050145598877937</v>
      </c>
      <c r="R377" s="1067">
        <f t="shared" si="92"/>
        <v>0.42102559519407173</v>
      </c>
      <c r="S377" s="1068">
        <f t="shared" si="92"/>
        <v>0.61744816018521742</v>
      </c>
      <c r="T377" s="1066">
        <f t="shared" si="92"/>
        <v>0.49698573886957192</v>
      </c>
      <c r="U377" s="1067">
        <f t="shared" si="92"/>
        <v>0.41032171167013903</v>
      </c>
      <c r="V377" s="1068">
        <f t="shared" si="92"/>
        <v>0.62319136029119382</v>
      </c>
      <c r="W377" s="1060">
        <f t="shared" si="93"/>
        <v>6.4842828807925579E-3</v>
      </c>
      <c r="X377" s="1060">
        <f t="shared" si="93"/>
        <v>1.3219701596443154E-2</v>
      </c>
      <c r="Y377" s="80" t="str">
        <f t="shared" si="93"/>
        <v>BBB</v>
      </c>
      <c r="Z377" s="88" t="str">
        <f t="shared" si="93"/>
        <v>=  ¯ -</v>
      </c>
      <c r="AA377" s="1064">
        <f t="shared" si="93"/>
        <v>2.1902281092407181</v>
      </c>
      <c r="AB377" s="1071">
        <f t="shared" si="93"/>
        <v>0.36844726500440206</v>
      </c>
      <c r="AC377" s="129">
        <f t="shared" si="93"/>
        <v>2.5252968522290931</v>
      </c>
      <c r="AD377" s="949"/>
      <c r="AE377" s="949"/>
      <c r="AF377" s="949"/>
      <c r="AG377" s="2129"/>
      <c r="AH377" s="949"/>
      <c r="AI377" s="949"/>
      <c r="AJ377" s="949"/>
      <c r="AK377" s="949"/>
      <c r="AL377" s="949"/>
      <c r="AM377" s="949"/>
      <c r="AN377" s="949"/>
      <c r="AO377" s="949"/>
      <c r="AP377" s="949"/>
      <c r="AQ377" s="949"/>
      <c r="AR377" s="110"/>
      <c r="AS377" s="110"/>
      <c r="AT377" s="110"/>
      <c r="AU377" s="949"/>
      <c r="AV377" s="949"/>
      <c r="AW377" s="949"/>
      <c r="AX377" s="949"/>
      <c r="AY377" s="949"/>
      <c r="AZ377" s="949"/>
      <c r="BA377" s="949"/>
      <c r="BB377" s="949"/>
      <c r="BC377" s="949"/>
      <c r="BD377" s="949"/>
      <c r="BE377" s="2267"/>
    </row>
    <row r="378" spans="1:57">
      <c r="A378" s="1090" t="s">
        <v>217</v>
      </c>
      <c r="B378" s="73" t="s">
        <v>53</v>
      </c>
      <c r="C378" s="1085">
        <f t="shared" si="91"/>
        <v>60036.853628571422</v>
      </c>
      <c r="D378" s="1086">
        <f t="shared" si="91"/>
        <v>0.15382903828354536</v>
      </c>
      <c r="E378" s="1060">
        <f t="shared" si="91"/>
        <v>-0.3618479655094986</v>
      </c>
      <c r="F378" s="1060">
        <f t="shared" si="91"/>
        <v>-0.26007238660385967</v>
      </c>
      <c r="G378" s="1061">
        <f t="shared" si="91"/>
        <v>44430.485000000001</v>
      </c>
      <c r="H378" s="1062">
        <f t="shared" si="91"/>
        <v>0.1230366882897139</v>
      </c>
      <c r="I378" s="1063">
        <f t="shared" si="91"/>
        <v>2.2644833808097031</v>
      </c>
      <c r="J378" s="1063">
        <f t="shared" si="91"/>
        <v>1.7716210773954304</v>
      </c>
      <c r="K378" s="1064">
        <f t="shared" si="91"/>
        <v>5.7304428558288603</v>
      </c>
      <c r="L378" s="1060">
        <f t="shared" si="91"/>
        <v>-7.3155042359885195E-2</v>
      </c>
      <c r="M378" s="1065">
        <f t="shared" si="92"/>
        <v>5.1937231412225326</v>
      </c>
      <c r="N378" s="1066">
        <f t="shared" si="92"/>
        <v>0.6158872479982318</v>
      </c>
      <c r="O378" s="1067">
        <f t="shared" si="92"/>
        <v>0.11044311863454735</v>
      </c>
      <c r="P378" s="1068">
        <f t="shared" si="92"/>
        <v>0.66127040038880336</v>
      </c>
      <c r="Q378" s="1066">
        <f t="shared" si="92"/>
        <v>0.48384306036910518</v>
      </c>
      <c r="R378" s="1067">
        <f t="shared" si="92"/>
        <v>0.2595878527386451</v>
      </c>
      <c r="S378" s="1068">
        <f t="shared" si="92"/>
        <v>0.54381370963962039</v>
      </c>
      <c r="T378" s="1066">
        <f t="shared" si="92"/>
        <v>0.51513010935716153</v>
      </c>
      <c r="U378" s="1067">
        <f t="shared" si="92"/>
        <v>0.26130995158024306</v>
      </c>
      <c r="V378" s="1068">
        <f t="shared" si="92"/>
        <v>0.57929804018594233</v>
      </c>
      <c r="W378" s="1060">
        <f t="shared" si="93"/>
        <v>3.1287048988056343E-2</v>
      </c>
      <c r="X378" s="1060">
        <f t="shared" si="93"/>
        <v>6.4663630732222685E-2</v>
      </c>
      <c r="Y378" s="80" t="str">
        <f t="shared" si="93"/>
        <v>BBB</v>
      </c>
      <c r="Z378" s="88" t="str">
        <f t="shared" si="93"/>
        <v>¯  ¯ ¯</v>
      </c>
      <c r="AA378" s="1064">
        <f t="shared" si="93"/>
        <v>2.7929780820851775</v>
      </c>
      <c r="AB378" s="1071">
        <f t="shared" si="93"/>
        <v>0.12404595260605845</v>
      </c>
      <c r="AC378" s="129">
        <f t="shared" si="93"/>
        <v>2.8353348809740444</v>
      </c>
      <c r="AD378" s="949"/>
      <c r="AE378" s="949"/>
      <c r="AF378" s="949"/>
      <c r="AG378" s="2129"/>
      <c r="AH378" s="949"/>
      <c r="AI378" s="949"/>
      <c r="AJ378" s="949"/>
      <c r="AK378" s="949"/>
      <c r="AL378" s="949"/>
      <c r="AM378" s="949"/>
      <c r="AN378" s="949"/>
      <c r="AO378" s="949"/>
      <c r="AP378" s="949"/>
      <c r="AQ378" s="949"/>
      <c r="AR378" s="110"/>
      <c r="AS378" s="110"/>
      <c r="AT378" s="110"/>
      <c r="AU378" s="949"/>
      <c r="AV378" s="949"/>
      <c r="AW378" s="949"/>
      <c r="AX378" s="949"/>
      <c r="AY378" s="949"/>
      <c r="AZ378" s="949"/>
      <c r="BA378" s="949"/>
      <c r="BB378" s="949"/>
      <c r="BC378" s="949"/>
      <c r="BD378" s="949"/>
      <c r="BE378" s="2267"/>
    </row>
    <row r="379" spans="1:57">
      <c r="A379" s="1090" t="s">
        <v>501</v>
      </c>
      <c r="B379" s="73" t="s">
        <v>44</v>
      </c>
      <c r="C379" s="1085">
        <f t="shared" si="91"/>
        <v>12234.494271428572</v>
      </c>
      <c r="D379" s="1086">
        <f t="shared" si="91"/>
        <v>3.1347753486597643E-2</v>
      </c>
      <c r="E379" s="1060">
        <f t="shared" si="91"/>
        <v>-0.59766521701552</v>
      </c>
      <c r="F379" s="1060">
        <f t="shared" si="91"/>
        <v>-0.49588963810988107</v>
      </c>
      <c r="G379" s="1061">
        <f t="shared" si="91"/>
        <v>6819.5967000000001</v>
      </c>
      <c r="H379" s="1062">
        <f t="shared" si="91"/>
        <v>1.8884794830384175E-2</v>
      </c>
      <c r="I379" s="1063">
        <f t="shared" si="91"/>
        <v>3.9295455833111754</v>
      </c>
      <c r="J379" s="1063">
        <f t="shared" si="91"/>
        <v>1.2175677021960365</v>
      </c>
      <c r="K379" s="1064">
        <f t="shared" si="91"/>
        <v>5.0345645887817243</v>
      </c>
      <c r="L379" s="1060">
        <f t="shared" si="91"/>
        <v>-0.26680842971581226</v>
      </c>
      <c r="M379" s="1065">
        <f t="shared" si="92"/>
        <v>4.0325018858098245</v>
      </c>
      <c r="N379" s="1066">
        <f t="shared" si="92"/>
        <v>0.5805147103617575</v>
      </c>
      <c r="O379" s="1067">
        <f t="shared" si="92"/>
        <v>8.4948466413752491E-2</v>
      </c>
      <c r="P379" s="1068">
        <f t="shared" si="92"/>
        <v>0.6264024463118032</v>
      </c>
      <c r="Q379" s="1066">
        <f t="shared" si="92"/>
        <v>0.51826084585195908</v>
      </c>
      <c r="R379" s="1067">
        <f t="shared" si="92"/>
        <v>0.40005999871326348</v>
      </c>
      <c r="S379" s="1068">
        <f t="shared" si="92"/>
        <v>0.58973938770950263</v>
      </c>
      <c r="T379" s="1066">
        <f t="shared" si="92"/>
        <v>0.5495689942142129</v>
      </c>
      <c r="U379" s="1067">
        <f t="shared" si="92"/>
        <v>0.40637993517884302</v>
      </c>
      <c r="V379" s="1068">
        <f t="shared" si="92"/>
        <v>0.63323863537070213</v>
      </c>
      <c r="W379" s="1060">
        <f t="shared" si="93"/>
        <v>3.1308148362253818E-2</v>
      </c>
      <c r="X379" s="1060">
        <f t="shared" si="93"/>
        <v>6.0410020577161203E-2</v>
      </c>
      <c r="Y379" s="80" t="str">
        <f t="shared" si="93"/>
        <v>BBB-</v>
      </c>
      <c r="Z379" s="88" t="str">
        <f t="shared" si="93"/>
        <v>=  ¯ =</v>
      </c>
      <c r="AA379" s="1064">
        <f t="shared" si="93"/>
        <v>2.643581803383519</v>
      </c>
      <c r="AB379" s="1071">
        <f t="shared" si="93"/>
        <v>2.8580691559688957E-2</v>
      </c>
      <c r="AC379" s="129">
        <f t="shared" si="93"/>
        <v>2.5466878830879209</v>
      </c>
      <c r="AD379" s="949"/>
      <c r="AE379" s="949"/>
      <c r="AF379" s="949"/>
      <c r="AG379" s="2129"/>
      <c r="AH379" s="949"/>
      <c r="AI379" s="949"/>
      <c r="AJ379" s="949"/>
      <c r="AK379" s="949"/>
      <c r="AL379" s="949"/>
      <c r="AM379" s="949"/>
      <c r="AN379" s="949"/>
      <c r="AO379" s="949"/>
      <c r="AP379" s="949"/>
      <c r="AQ379" s="949"/>
      <c r="AR379" s="110"/>
      <c r="AS379" s="110"/>
      <c r="AT379" s="110"/>
      <c r="AU379" s="949"/>
      <c r="AV379" s="949"/>
      <c r="AW379" s="949"/>
      <c r="AX379" s="949"/>
      <c r="AY379" s="949"/>
      <c r="AZ379" s="949"/>
      <c r="BA379" s="949"/>
      <c r="BB379" s="949"/>
      <c r="BC379" s="949"/>
      <c r="BD379" s="949"/>
      <c r="BE379" s="2267"/>
    </row>
    <row r="380" spans="1:57">
      <c r="A380" s="1090" t="s">
        <v>499</v>
      </c>
      <c r="B380" s="73" t="s">
        <v>284</v>
      </c>
      <c r="C380" s="1085">
        <f t="shared" si="91"/>
        <v>15596.516285714286</v>
      </c>
      <c r="D380" s="1086">
        <f t="shared" si="91"/>
        <v>3.9962072557101963E-2</v>
      </c>
      <c r="E380" s="1060">
        <f t="shared" si="91"/>
        <v>-0.41209116095583281</v>
      </c>
      <c r="F380" s="1060">
        <f t="shared" si="91"/>
        <v>-0.31031558205019388</v>
      </c>
      <c r="G380" s="1061">
        <f t="shared" si="91"/>
        <v>10295.917100000001</v>
      </c>
      <c r="H380" s="1062">
        <f t="shared" si="91"/>
        <v>2.8511404790864545E-2</v>
      </c>
      <c r="I380" s="1063">
        <f t="shared" si="91"/>
        <v>0.58081043687158529</v>
      </c>
      <c r="J380" s="1063">
        <f t="shared" si="91"/>
        <v>0.5027794267018264</v>
      </c>
      <c r="K380" s="1064">
        <f t="shared" si="91"/>
        <v>4.6475023511824993</v>
      </c>
      <c r="L380" s="1060">
        <f t="shared" si="91"/>
        <v>-0.18379111287045302</v>
      </c>
      <c r="M380" s="1065">
        <f t="shared" si="92"/>
        <v>4.0606354500113753</v>
      </c>
      <c r="N380" s="1066">
        <f t="shared" si="92"/>
        <v>0.34534166666666666</v>
      </c>
      <c r="O380" s="1067">
        <f t="shared" si="92"/>
        <v>-5.4500069338510607E-2</v>
      </c>
      <c r="P380" s="1068">
        <f t="shared" si="92"/>
        <v>0.3626280111015483</v>
      </c>
      <c r="Q380" s="1066">
        <f t="shared" si="92"/>
        <v>0.67997702229572432</v>
      </c>
      <c r="R380" s="1067">
        <f t="shared" si="92"/>
        <v>0.10658020511075152</v>
      </c>
      <c r="S380" s="1068">
        <f t="shared" si="92"/>
        <v>0.75270955685414354</v>
      </c>
      <c r="T380" s="1066">
        <f t="shared" si="92"/>
        <v>0.68457317243488636</v>
      </c>
      <c r="U380" s="1067">
        <f t="shared" si="92"/>
        <v>0.10522314957078965</v>
      </c>
      <c r="V380" s="1068">
        <f t="shared" si="92"/>
        <v>0.75672107111582532</v>
      </c>
      <c r="W380" s="1060">
        <f t="shared" si="93"/>
        <v>4.5961501391620363E-3</v>
      </c>
      <c r="X380" s="1060">
        <f t="shared" si="93"/>
        <v>6.7592727231349809E-3</v>
      </c>
      <c r="Y380" s="80" t="str">
        <f t="shared" si="93"/>
        <v>BBB-</v>
      </c>
      <c r="Z380" s="88" t="str">
        <f t="shared" si="93"/>
        <v>=  ¯ ¯</v>
      </c>
      <c r="AA380" s="1064">
        <f t="shared" si="93"/>
        <v>2.9152503149286035</v>
      </c>
      <c r="AB380" s="1071">
        <f t="shared" si="93"/>
        <v>-0.14664752669478531</v>
      </c>
      <c r="AC380" s="129">
        <f t="shared" si="93"/>
        <v>2.8370691340232916</v>
      </c>
      <c r="AD380" s="949"/>
      <c r="AE380" s="949"/>
      <c r="AF380" s="949"/>
      <c r="AG380" s="2129"/>
      <c r="AH380" s="949"/>
      <c r="AI380" s="949"/>
      <c r="AJ380" s="949"/>
      <c r="AK380" s="949"/>
      <c r="AL380" s="949"/>
      <c r="AM380" s="949"/>
      <c r="AN380" s="949"/>
      <c r="AO380" s="949"/>
      <c r="AP380" s="949"/>
      <c r="AQ380" s="949"/>
      <c r="AR380" s="110"/>
      <c r="AS380" s="110"/>
      <c r="AT380" s="110"/>
      <c r="AU380" s="949"/>
      <c r="AV380" s="949"/>
      <c r="AW380" s="949"/>
      <c r="AX380" s="949"/>
      <c r="AY380" s="949"/>
      <c r="AZ380" s="949"/>
      <c r="BA380" s="949"/>
      <c r="BB380" s="949"/>
      <c r="BC380" s="949"/>
      <c r="BD380" s="949"/>
      <c r="BE380" s="2267"/>
    </row>
    <row r="381" spans="1:57">
      <c r="A381" s="1090" t="s">
        <v>27</v>
      </c>
      <c r="B381" s="73" t="s">
        <v>54</v>
      </c>
      <c r="C381" s="1085">
        <f t="shared" si="91"/>
        <v>4745.1447857142857</v>
      </c>
      <c r="D381" s="1086">
        <f t="shared" si="91"/>
        <v>1.2158216408516635E-2</v>
      </c>
      <c r="E381" s="1060">
        <f t="shared" si="91"/>
        <v>-0.63447330491761056</v>
      </c>
      <c r="F381" s="1060">
        <f t="shared" si="91"/>
        <v>-0.53269772601197163</v>
      </c>
      <c r="G381" s="1061">
        <f t="shared" si="91"/>
        <v>2680.5724</v>
      </c>
      <c r="H381" s="1062">
        <f t="shared" si="91"/>
        <v>7.4230283738025878E-3</v>
      </c>
      <c r="I381" s="1063">
        <f t="shared" si="91"/>
        <v>1.3569881249181368</v>
      </c>
      <c r="J381" s="1063">
        <f t="shared" si="91"/>
        <v>1.0332545966156574</v>
      </c>
      <c r="K381" s="1064">
        <f t="shared" si="91"/>
        <v>6.3422811159545107</v>
      </c>
      <c r="L381" s="1060">
        <f t="shared" si="91"/>
        <v>-0.24924595564935845</v>
      </c>
      <c r="M381" s="1065">
        <f t="shared" si="92"/>
        <v>5.3369406950798908</v>
      </c>
      <c r="N381" s="1066">
        <f t="shared" si="92"/>
        <v>0.48460704112825509</v>
      </c>
      <c r="O381" s="1067">
        <f t="shared" si="92"/>
        <v>-0.18079580514885477</v>
      </c>
      <c r="P381" s="1068">
        <f t="shared" si="92"/>
        <v>0.49497857034449522</v>
      </c>
      <c r="Q381" s="1066">
        <f t="shared" si="92"/>
        <v>0.56717095077467305</v>
      </c>
      <c r="R381" s="1067">
        <f t="shared" si="92"/>
        <v>0.64731222518720821</v>
      </c>
      <c r="S381" s="1068">
        <f t="shared" si="92"/>
        <v>0.74754623070756221</v>
      </c>
      <c r="T381" s="1066">
        <f t="shared" si="92"/>
        <v>0.5748403529709204</v>
      </c>
      <c r="U381" s="1067">
        <f t="shared" si="92"/>
        <v>0.5906099669472562</v>
      </c>
      <c r="V381" s="1068">
        <f t="shared" si="92"/>
        <v>0.7506672643344422</v>
      </c>
      <c r="W381" s="1060">
        <f t="shared" si="93"/>
        <v>7.6694021962473435E-3</v>
      </c>
      <c r="X381" s="1060">
        <f t="shared" si="93"/>
        <v>1.3522205581530675E-2</v>
      </c>
      <c r="Y381" s="80" t="str">
        <f t="shared" si="93"/>
        <v>BBB-</v>
      </c>
      <c r="Z381" s="88" t="str">
        <f t="shared" si="93"/>
        <v>¯  ¯ ¯</v>
      </c>
      <c r="AA381" s="1064">
        <f t="shared" si="93"/>
        <v>3.4278891827637503</v>
      </c>
      <c r="AB381" s="1071">
        <f t="shared" si="93"/>
        <v>0.24423537898737996</v>
      </c>
      <c r="AC381" s="129">
        <f t="shared" si="93"/>
        <v>3.8230610288109381</v>
      </c>
      <c r="AD381" s="949"/>
      <c r="AE381" s="949"/>
      <c r="AF381" s="949"/>
      <c r="AG381" s="2129"/>
      <c r="AH381" s="949"/>
      <c r="AI381" s="949"/>
      <c r="AJ381" s="949"/>
      <c r="AK381" s="949"/>
      <c r="AL381" s="949"/>
      <c r="AM381" s="949"/>
      <c r="AN381" s="949"/>
      <c r="AO381" s="949"/>
      <c r="AP381" s="949"/>
      <c r="AQ381" s="949"/>
      <c r="AR381" s="110"/>
      <c r="AS381" s="110"/>
      <c r="AT381" s="110"/>
      <c r="AU381" s="949"/>
      <c r="AV381" s="949"/>
      <c r="AW381" s="949"/>
      <c r="AX381" s="949"/>
      <c r="AY381" s="949"/>
      <c r="AZ381" s="949"/>
      <c r="BA381" s="949"/>
      <c r="BB381" s="949"/>
      <c r="BC381" s="949"/>
      <c r="BD381" s="949"/>
      <c r="BE381" s="2267"/>
    </row>
    <row r="382" spans="1:57">
      <c r="A382" s="1091" t="s">
        <v>319</v>
      </c>
      <c r="B382" s="691" t="s">
        <v>752</v>
      </c>
      <c r="C382" s="1087">
        <f t="shared" si="91"/>
        <v>3541.6238999999996</v>
      </c>
      <c r="D382" s="1088">
        <f t="shared" si="91"/>
        <v>9.0745028357006995E-3</v>
      </c>
      <c r="E382" s="1072">
        <f t="shared" si="91"/>
        <v>0.67327297771392325</v>
      </c>
      <c r="F382" s="1072">
        <f t="shared" si="91"/>
        <v>0.77504855661956218</v>
      </c>
      <c r="G382" s="1073">
        <f t="shared" si="91"/>
        <v>4048.9897999999998</v>
      </c>
      <c r="H382" s="1074">
        <f t="shared" si="91"/>
        <v>1.1212443346293226E-2</v>
      </c>
      <c r="I382" s="1075">
        <f t="shared" si="91"/>
        <v>-1.4186196832586249</v>
      </c>
      <c r="J382" s="1075">
        <f t="shared" si="91"/>
        <v>-2.7147098893731143</v>
      </c>
      <c r="K382" s="1076">
        <f t="shared" si="91"/>
        <v>8.5213348378460623</v>
      </c>
      <c r="L382" s="1072">
        <f t="shared" si="91"/>
        <v>0.26215680659638446</v>
      </c>
      <c r="M382" s="1077">
        <f t="shared" si="92"/>
        <v>9.0506669895995948</v>
      </c>
      <c r="N382" s="1072">
        <f t="shared" si="92"/>
        <v>6.4385445236561381E-2</v>
      </c>
      <c r="O382" s="1079">
        <f t="shared" si="92"/>
        <v>14.697799124913645</v>
      </c>
      <c r="P382" s="1080">
        <f t="shared" si="92"/>
        <v>0.15462918080465343</v>
      </c>
      <c r="Q382" s="1078">
        <f t="shared" si="92"/>
        <v>0.42399287000325037</v>
      </c>
      <c r="R382" s="1079">
        <f t="shared" si="92"/>
        <v>4.5742782667206161E-2</v>
      </c>
      <c r="S382" s="1080">
        <f t="shared" si="92"/>
        <v>0.48144640266975475</v>
      </c>
      <c r="T382" s="1078">
        <f t="shared" si="92"/>
        <v>0.42695023434228802</v>
      </c>
      <c r="U382" s="1079">
        <f t="shared" si="92"/>
        <v>4.1366838913311048E-2</v>
      </c>
      <c r="V382" s="1080">
        <f t="shared" si="92"/>
        <v>0.4832654138496531</v>
      </c>
      <c r="W382" s="1072">
        <f t="shared" si="93"/>
        <v>2.9573643390376492E-3</v>
      </c>
      <c r="X382" s="1072">
        <f t="shared" si="93"/>
        <v>6.9750331863245195E-3</v>
      </c>
      <c r="Y382" s="1016" t="str">
        <f t="shared" si="93"/>
        <v>B+</v>
      </c>
      <c r="Z382" s="1057" t="str">
        <f t="shared" si="93"/>
        <v>=  =  =</v>
      </c>
      <c r="AA382" s="1076">
        <f t="shared" si="93"/>
        <v>3.7014756930154613</v>
      </c>
      <c r="AB382" s="1083">
        <f t="shared" si="93"/>
        <v>0.31334582285320112</v>
      </c>
      <c r="AC382" s="1012">
        <f t="shared" si="93"/>
        <v>4.3704719780651446</v>
      </c>
      <c r="AD382" s="949"/>
      <c r="AE382" s="949"/>
      <c r="AF382" s="949"/>
      <c r="AG382" s="2129"/>
      <c r="AH382" s="949"/>
      <c r="AI382" s="949"/>
      <c r="AJ382" s="949"/>
      <c r="AK382" s="949"/>
      <c r="AL382" s="949"/>
      <c r="AM382" s="949"/>
      <c r="AN382" s="949"/>
      <c r="AO382" s="949"/>
      <c r="AP382" s="949"/>
      <c r="AQ382" s="949"/>
      <c r="AR382" s="110"/>
      <c r="AS382" s="110"/>
      <c r="AT382" s="110"/>
      <c r="AU382" s="949"/>
      <c r="AV382" s="949"/>
      <c r="AW382" s="949"/>
      <c r="AX382" s="949"/>
      <c r="AY382" s="949"/>
      <c r="AZ382" s="949"/>
      <c r="BA382" s="949"/>
      <c r="BB382" s="949"/>
      <c r="BC382" s="949"/>
      <c r="BD382" s="949"/>
      <c r="BE382" s="2267"/>
    </row>
    <row r="383" spans="1:57">
      <c r="A383" s="1090" t="s">
        <v>374</v>
      </c>
      <c r="B383" s="73" t="s">
        <v>42</v>
      </c>
      <c r="C383" s="1085">
        <f t="shared" si="91"/>
        <v>2432.5463571428577</v>
      </c>
      <c r="D383" s="1086">
        <f t="shared" si="91"/>
        <v>6.2327761047315808E-3</v>
      </c>
      <c r="E383" s="1060">
        <f t="shared" si="91"/>
        <v>-3.2258071946582277E-2</v>
      </c>
      <c r="F383" s="1060">
        <f t="shared" si="91"/>
        <v>6.9517506959056674E-2</v>
      </c>
      <c r="G383" s="1061">
        <f t="shared" si="91"/>
        <v>2940.9023000000002</v>
      </c>
      <c r="H383" s="1062">
        <f t="shared" si="91"/>
        <v>8.143932697912316E-3</v>
      </c>
      <c r="I383" s="1063">
        <f t="shared" si="91"/>
        <v>1.2689619717468461</v>
      </c>
      <c r="J383" s="1063">
        <f t="shared" si="91"/>
        <v>1.312316956715752</v>
      </c>
      <c r="K383" s="1064">
        <f t="shared" si="91"/>
        <v>3.8459062845563983</v>
      </c>
      <c r="L383" s="1060">
        <f t="shared" si="91"/>
        <v>3.4291324439135469E-2</v>
      </c>
      <c r="M383" s="1065">
        <f t="shared" si="92"/>
        <v>3.7439277362047823</v>
      </c>
      <c r="N383" s="1066">
        <f t="shared" si="92"/>
        <v>0.56323171407839789</v>
      </c>
      <c r="O383" s="1067">
        <f t="shared" si="92"/>
        <v>-0.12023286586287618</v>
      </c>
      <c r="P383" s="1068">
        <f t="shared" si="92"/>
        <v>0.53987730061349704</v>
      </c>
      <c r="Q383" s="1066">
        <f t="shared" si="92"/>
        <v>0.60887331285954671</v>
      </c>
      <c r="R383" s="1067">
        <f t="shared" si="92"/>
        <v>-0.37303497156800469</v>
      </c>
      <c r="S383" s="1068">
        <f t="shared" si="92"/>
        <v>0.37659759063604481</v>
      </c>
      <c r="T383" s="1066">
        <f t="shared" si="92"/>
        <v>0.63388271448107447</v>
      </c>
      <c r="U383" s="1067">
        <f t="shared" si="92"/>
        <v>-0.25869992498286548</v>
      </c>
      <c r="V383" s="1068">
        <f t="shared" si="92"/>
        <v>0.44527495080222473</v>
      </c>
      <c r="W383" s="1060">
        <f t="shared" si="93"/>
        <v>2.500940162152776E-2</v>
      </c>
      <c r="X383" s="1060">
        <f t="shared" si="93"/>
        <v>4.1074885519406669E-2</v>
      </c>
      <c r="Y383" s="80" t="str">
        <f t="shared" si="93"/>
        <v>B-</v>
      </c>
      <c r="Z383" s="88" t="str">
        <f t="shared" si="93"/>
        <v>=  =  -</v>
      </c>
      <c r="AA383" s="1064">
        <f t="shared" si="93"/>
        <v>2.172629043332774</v>
      </c>
      <c r="AB383" s="1071">
        <f t="shared" si="93"/>
        <v>-0.22035736928264804</v>
      </c>
      <c r="AC383" s="129">
        <f t="shared" si="93"/>
        <v>1.5517268924243866</v>
      </c>
      <c r="AD383" s="949"/>
      <c r="AE383" s="949"/>
      <c r="AF383" s="949"/>
      <c r="AG383" s="2129"/>
      <c r="AH383" s="949"/>
      <c r="AI383" s="949"/>
      <c r="AJ383" s="949"/>
      <c r="AK383" s="949"/>
      <c r="AL383" s="949"/>
      <c r="AM383" s="949"/>
      <c r="AN383" s="949"/>
      <c r="AO383" s="949"/>
      <c r="AP383" s="949"/>
      <c r="AQ383" s="949"/>
      <c r="AR383" s="110"/>
      <c r="AS383" s="110"/>
      <c r="AT383" s="110"/>
      <c r="AU383" s="949"/>
      <c r="AV383" s="949"/>
      <c r="AW383" s="949"/>
      <c r="AX383" s="949"/>
      <c r="AY383" s="949"/>
      <c r="AZ383" s="949"/>
      <c r="BA383" s="949"/>
      <c r="BB383" s="949"/>
      <c r="BC383" s="949"/>
      <c r="BD383" s="949"/>
      <c r="BE383" s="2267"/>
    </row>
    <row r="384" spans="1:57">
      <c r="A384" s="1090"/>
      <c r="B384" s="949"/>
      <c r="C384" s="949"/>
      <c r="D384" s="119"/>
      <c r="E384" s="949"/>
      <c r="F384" s="949"/>
      <c r="G384" s="949"/>
      <c r="H384" s="119"/>
      <c r="I384" s="119"/>
      <c r="J384" s="119"/>
      <c r="K384" s="949"/>
      <c r="L384" s="949"/>
      <c r="M384" s="949"/>
      <c r="N384" s="949"/>
      <c r="O384" s="949"/>
      <c r="P384" s="949"/>
      <c r="Q384" s="1005"/>
      <c r="R384" s="1005"/>
      <c r="S384" s="1005"/>
      <c r="T384" s="949"/>
      <c r="U384" s="949"/>
      <c r="V384" s="949"/>
      <c r="W384" s="1005"/>
      <c r="X384" s="1005"/>
      <c r="Y384" s="1005"/>
      <c r="Z384" s="1005"/>
      <c r="AA384" s="949"/>
      <c r="AB384" s="949"/>
      <c r="AC384" s="949"/>
      <c r="AD384" s="949"/>
      <c r="AE384" s="949"/>
      <c r="AF384" s="949"/>
      <c r="AG384" s="2129"/>
      <c r="AH384" s="949"/>
      <c r="AI384" s="949"/>
      <c r="AJ384" s="949"/>
      <c r="AK384" s="949"/>
      <c r="AL384" s="949"/>
      <c r="AM384" s="949"/>
      <c r="AN384" s="949"/>
      <c r="AO384" s="949"/>
      <c r="AP384" s="949"/>
      <c r="AQ384" s="949"/>
      <c r="AR384" s="110"/>
      <c r="AS384" s="110"/>
      <c r="AT384" s="110"/>
      <c r="AU384" s="949"/>
      <c r="AV384" s="949"/>
      <c r="AW384" s="949"/>
      <c r="AX384" s="949"/>
      <c r="AY384" s="949"/>
      <c r="AZ384" s="949"/>
      <c r="BA384" s="949"/>
      <c r="BB384" s="949"/>
      <c r="BC384" s="949"/>
      <c r="BD384" s="949"/>
      <c r="BE384" s="2267"/>
    </row>
    <row r="385" spans="1:57">
      <c r="A385" s="1090" t="s">
        <v>19</v>
      </c>
      <c r="B385" s="73" t="s">
        <v>285</v>
      </c>
      <c r="C385" s="1085">
        <f t="shared" ref="C385:L388" si="94">VLOOKUP($B385,$B$7:$AC$28,C$37+1,FALSE)</f>
        <v>6002.7646707914537</v>
      </c>
      <c r="D385" s="1086">
        <f t="shared" si="94"/>
        <v>1.538054479108892E-2</v>
      </c>
      <c r="E385" s="1060">
        <f t="shared" si="94"/>
        <v>1.7468659495150733</v>
      </c>
      <c r="F385" s="1060">
        <f t="shared" si="94"/>
        <v>1.8486415284207123</v>
      </c>
      <c r="G385" s="1061">
        <f t="shared" si="94"/>
        <v>9571.524995540176</v>
      </c>
      <c r="H385" s="1062">
        <f t="shared" si="94"/>
        <v>2.6505421611613778E-2</v>
      </c>
      <c r="I385" s="1063">
        <f t="shared" si="94"/>
        <v>4.1497848696984878</v>
      </c>
      <c r="J385" s="1063">
        <f t="shared" si="94"/>
        <v>5.1075046454025781</v>
      </c>
      <c r="K385" s="1064">
        <f t="shared" si="94"/>
        <v>7.8090133066846761</v>
      </c>
      <c r="L385" s="1060">
        <f t="shared" si="94"/>
        <v>0.8464659845431286</v>
      </c>
      <c r="M385" s="1065">
        <f t="shared" ref="M385:Y388" si="95">VLOOKUP($B385,$B$7:$AC$28,M$37+1,FALSE)</f>
        <v>9.6719476082953495</v>
      </c>
      <c r="N385" s="1066">
        <f t="shared" si="95"/>
        <v>9.1630231095150338E-2</v>
      </c>
      <c r="O385" s="1084" t="str">
        <f t="shared" si="95"/>
        <v>¥</v>
      </c>
      <c r="P385" s="1068">
        <f t="shared" si="95"/>
        <v>0.34976819018989347</v>
      </c>
      <c r="Q385" s="1066">
        <f t="shared" si="95"/>
        <v>0.13477545507373562</v>
      </c>
      <c r="R385" s="1067">
        <f t="shared" si="95"/>
        <v>-0.4264373226073967</v>
      </c>
      <c r="S385" s="1068">
        <f t="shared" si="95"/>
        <v>9.7905485588969735E-2</v>
      </c>
      <c r="T385" s="1066">
        <f t="shared" si="95"/>
        <v>0.16024846762312819</v>
      </c>
      <c r="U385" s="1067">
        <f t="shared" si="95"/>
        <v>-0.25253039609468159</v>
      </c>
      <c r="V385" s="1068">
        <f t="shared" si="95"/>
        <v>0.12849893093161849</v>
      </c>
      <c r="W385" s="1060">
        <f t="shared" si="95"/>
        <v>2.5473012549392576E-2</v>
      </c>
      <c r="X385" s="1060">
        <f t="shared" si="95"/>
        <v>0.18900335031669008</v>
      </c>
      <c r="Y385" s="80" t="str">
        <f t="shared" si="95"/>
        <v>Not rated</v>
      </c>
      <c r="Z385" s="88"/>
      <c r="AA385" s="1064">
        <f t="shared" ref="AA385:AC388" si="96">VLOOKUP($B385,$B$7:$AC$28,AA$37+1,FALSE)</f>
        <v>1.265551414722516</v>
      </c>
      <c r="AB385" s="1071">
        <f t="shared" si="96"/>
        <v>0.38040351489576829</v>
      </c>
      <c r="AC385" s="129">
        <f t="shared" si="96"/>
        <v>1.242834927692577</v>
      </c>
      <c r="AD385" s="949"/>
      <c r="AE385" s="949"/>
      <c r="AF385" s="949"/>
      <c r="AG385" s="2129"/>
      <c r="AH385" s="949"/>
      <c r="AI385" s="949"/>
      <c r="AJ385" s="949"/>
      <c r="AK385" s="949"/>
      <c r="AL385" s="949"/>
      <c r="AM385" s="949"/>
      <c r="AN385" s="949"/>
      <c r="AO385" s="949"/>
      <c r="AP385" s="949"/>
      <c r="AQ385" s="949"/>
      <c r="AR385" s="110"/>
      <c r="AS385" s="110"/>
      <c r="AT385" s="110"/>
      <c r="AU385" s="949"/>
      <c r="AV385" s="949"/>
      <c r="AW385" s="949"/>
      <c r="AX385" s="949"/>
      <c r="AY385" s="949"/>
      <c r="AZ385" s="949"/>
      <c r="BA385" s="949"/>
      <c r="BB385" s="949"/>
      <c r="BC385" s="949"/>
      <c r="BD385" s="949"/>
      <c r="BE385" s="2267"/>
    </row>
    <row r="386" spans="1:57">
      <c r="A386" s="1090" t="s">
        <v>503</v>
      </c>
      <c r="B386" s="73" t="s">
        <v>280</v>
      </c>
      <c r="C386" s="1085">
        <f t="shared" si="94"/>
        <v>5769.8566757446433</v>
      </c>
      <c r="D386" s="1086">
        <f t="shared" si="94"/>
        <v>1.4783777793466828E-2</v>
      </c>
      <c r="E386" s="1060">
        <f t="shared" si="94"/>
        <v>-0.24705029723080094</v>
      </c>
      <c r="F386" s="1060">
        <f t="shared" si="94"/>
        <v>-0.14527471832516198</v>
      </c>
      <c r="G386" s="1061">
        <f t="shared" si="94"/>
        <v>4026.3480952657014</v>
      </c>
      <c r="H386" s="1062">
        <f t="shared" si="94"/>
        <v>1.1149744044952231E-2</v>
      </c>
      <c r="I386" s="1063">
        <f t="shared" si="94"/>
        <v>2.446298838298576</v>
      </c>
      <c r="J386" s="1063">
        <f t="shared" si="94"/>
        <v>1.6476276710656086</v>
      </c>
      <c r="K386" s="1064">
        <f t="shared" si="94"/>
        <v>6.5589809256196414</v>
      </c>
      <c r="L386" s="1060">
        <f t="shared" si="94"/>
        <v>1.2127469272410992E-3</v>
      </c>
      <c r="M386" s="1065">
        <f t="shared" si="95"/>
        <v>5.5145354419406587</v>
      </c>
      <c r="N386" s="1066">
        <f t="shared" si="95"/>
        <v>0.67083419702973635</v>
      </c>
      <c r="O386" s="1067">
        <f t="shared" si="95"/>
        <v>-0.11335389957676706</v>
      </c>
      <c r="P386" s="1068">
        <f t="shared" si="95"/>
        <v>0.63639387890884902</v>
      </c>
      <c r="Q386" s="1066">
        <f t="shared" si="95"/>
        <v>0.1536920907726812</v>
      </c>
      <c r="R386" s="1067">
        <f t="shared" si="95"/>
        <v>1.6283818604559013</v>
      </c>
      <c r="S386" s="1068">
        <f t="shared" si="95"/>
        <v>0.2022242346359609</v>
      </c>
      <c r="T386" s="1066">
        <f t="shared" si="95"/>
        <v>0.20961441125119315</v>
      </c>
      <c r="U386" s="1067">
        <f t="shared" si="95"/>
        <v>0.84200521424561081</v>
      </c>
      <c r="V386" s="1068">
        <f t="shared" si="95"/>
        <v>0.28147528322389997</v>
      </c>
      <c r="W386" s="1060">
        <f t="shared" si="95"/>
        <v>5.592232047851195E-2</v>
      </c>
      <c r="X386" s="1060">
        <f t="shared" si="95"/>
        <v>0.36385945559959909</v>
      </c>
      <c r="Y386" s="80" t="str">
        <f t="shared" si="95"/>
        <v>Not rated</v>
      </c>
      <c r="Z386" s="88"/>
      <c r="AA386" s="1064">
        <f t="shared" si="96"/>
        <v>1.4399592566697517</v>
      </c>
      <c r="AB386" s="1071">
        <f t="shared" si="96"/>
        <v>0.8442860967329926</v>
      </c>
      <c r="AC386" s="129">
        <f t="shared" si="96"/>
        <v>1.5521418473212367</v>
      </c>
      <c r="AD386" s="949"/>
      <c r="AE386" s="949"/>
      <c r="AF386" s="949"/>
      <c r="AG386" s="2129"/>
      <c r="AH386" s="949"/>
      <c r="AI386" s="949"/>
      <c r="AJ386" s="949"/>
      <c r="AK386" s="949"/>
      <c r="AL386" s="949"/>
      <c r="AM386" s="949"/>
      <c r="AN386" s="949"/>
      <c r="AO386" s="949"/>
      <c r="AP386" s="949"/>
      <c r="AQ386" s="949"/>
      <c r="AR386" s="110"/>
      <c r="AS386" s="110"/>
      <c r="AT386" s="110"/>
      <c r="AU386" s="949"/>
      <c r="AV386" s="949"/>
      <c r="AW386" s="949"/>
      <c r="AX386" s="949"/>
      <c r="AY386" s="949"/>
      <c r="AZ386" s="949"/>
      <c r="BA386" s="949"/>
      <c r="BB386" s="949"/>
      <c r="BC386" s="949"/>
      <c r="BD386" s="949"/>
      <c r="BE386" s="2267"/>
    </row>
    <row r="387" spans="1:57">
      <c r="A387" s="1091" t="s">
        <v>319</v>
      </c>
      <c r="B387" s="691" t="s">
        <v>751</v>
      </c>
      <c r="C387" s="1087">
        <f t="shared" si="94"/>
        <v>2121.4584571428572</v>
      </c>
      <c r="D387" s="1088">
        <f t="shared" si="94"/>
        <v>5.4356931534045982E-3</v>
      </c>
      <c r="E387" s="1072">
        <f t="shared" si="94"/>
        <v>-0.63331383871554725</v>
      </c>
      <c r="F387" s="1072">
        <f t="shared" si="94"/>
        <v>-0.53153825980990832</v>
      </c>
      <c r="G387" s="1073">
        <f t="shared" si="94"/>
        <v>960.23059999999998</v>
      </c>
      <c r="H387" s="1074">
        <f t="shared" si="94"/>
        <v>2.6590660223142948E-3</v>
      </c>
      <c r="I387" s="1075">
        <f t="shared" si="94"/>
        <v>6.3820660890696566</v>
      </c>
      <c r="J387" s="1075">
        <f t="shared" si="94"/>
        <v>3.126768479322696</v>
      </c>
      <c r="K387" s="1076">
        <f t="shared" si="94"/>
        <v>4.988018554669714</v>
      </c>
      <c r="L387" s="1072">
        <f t="shared" si="94"/>
        <v>-0.2975700901517318</v>
      </c>
      <c r="M387" s="1077">
        <f t="shared" si="95"/>
        <v>3.6764587184436395</v>
      </c>
      <c r="N387" s="1078">
        <f t="shared" si="95"/>
        <v>0.95644485424869818</v>
      </c>
      <c r="O387" s="1079">
        <f t="shared" si="95"/>
        <v>5.7346309608293736E-3</v>
      </c>
      <c r="P387" s="1080">
        <f t="shared" si="95"/>
        <v>0.97265268915223335</v>
      </c>
      <c r="Q387" s="1078">
        <f t="shared" si="95"/>
        <v>0.16489915086810925</v>
      </c>
      <c r="R387" s="1079">
        <f t="shared" si="95"/>
        <v>2.0043608623878186</v>
      </c>
      <c r="S387" s="1080">
        <f t="shared" si="95"/>
        <v>0.32988338723452482</v>
      </c>
      <c r="T387" s="1078">
        <f t="shared" si="95"/>
        <v>0.27218937885351913</v>
      </c>
      <c r="U387" s="1079">
        <f t="shared" si="95"/>
        <v>1.2181747217666232</v>
      </c>
      <c r="V387" s="1080">
        <f t="shared" si="95"/>
        <v>0.4561905930983241</v>
      </c>
      <c r="W387" s="1072">
        <f t="shared" si="95"/>
        <v>0.10729022798540988</v>
      </c>
      <c r="X387" s="1072">
        <f t="shared" si="95"/>
        <v>0.65064148250965514</v>
      </c>
      <c r="Y387" s="1016" t="str">
        <f t="shared" si="95"/>
        <v>Not rated</v>
      </c>
      <c r="Z387" s="1057"/>
      <c r="AA387" s="1076">
        <f t="shared" si="96"/>
        <v>1.2440956586918632</v>
      </c>
      <c r="AB387" s="1083">
        <f t="shared" si="96"/>
        <v>0.5581122698382367</v>
      </c>
      <c r="AC387" s="1012">
        <f t="shared" si="96"/>
        <v>1.6771658832683087</v>
      </c>
      <c r="AD387" s="949"/>
      <c r="AE387" s="949"/>
      <c r="AF387" s="949"/>
      <c r="AG387" s="2129"/>
      <c r="AH387" s="949"/>
      <c r="AI387" s="949"/>
      <c r="AJ387" s="949"/>
      <c r="AK387" s="949"/>
      <c r="AL387" s="949"/>
      <c r="AM387" s="949"/>
      <c r="AN387" s="949"/>
      <c r="AO387" s="949"/>
      <c r="AP387" s="949"/>
      <c r="AQ387" s="949"/>
      <c r="AR387" s="110"/>
      <c r="AS387" s="110"/>
      <c r="AT387" s="110"/>
      <c r="AU387" s="949"/>
      <c r="AV387" s="949"/>
      <c r="AW387" s="949"/>
      <c r="AX387" s="949"/>
      <c r="AY387" s="949"/>
      <c r="AZ387" s="949"/>
      <c r="BA387" s="949"/>
      <c r="BB387" s="949"/>
      <c r="BC387" s="949"/>
      <c r="BD387" s="949"/>
      <c r="BE387" s="2267"/>
    </row>
    <row r="388" spans="1:57">
      <c r="A388" s="1090" t="s">
        <v>27</v>
      </c>
      <c r="B388" s="73" t="s">
        <v>353</v>
      </c>
      <c r="C388" s="1085">
        <f t="shared" si="94"/>
        <v>504.56125714285719</v>
      </c>
      <c r="D388" s="1086">
        <f t="shared" si="94"/>
        <v>1.292808804099037E-3</v>
      </c>
      <c r="E388" s="1060">
        <f t="shared" si="94"/>
        <v>0.11241291049139049</v>
      </c>
      <c r="F388" s="1060">
        <f t="shared" si="94"/>
        <v>0.21418848939702945</v>
      </c>
      <c r="G388" s="1061">
        <f t="shared" si="94"/>
        <v>562.64409999999998</v>
      </c>
      <c r="H388" s="1062">
        <f t="shared" si="94"/>
        <v>1.5580713726115437E-3</v>
      </c>
      <c r="I388" s="1063">
        <f t="shared" si="94"/>
        <v>0.48825120153947199</v>
      </c>
      <c r="J388" s="1063">
        <f t="shared" si="94"/>
        <v>0.52140126030951717</v>
      </c>
      <c r="K388" s="1064">
        <f t="shared" si="94"/>
        <v>4.0370208841188875</v>
      </c>
      <c r="L388" s="1060">
        <f t="shared" si="94"/>
        <v>-0.11001004882442665</v>
      </c>
      <c r="M388" s="1065">
        <f t="shared" si="95"/>
        <v>3.9063069179772585</v>
      </c>
      <c r="N388" s="1066">
        <f t="shared" si="95"/>
        <v>0.90539538726018864</v>
      </c>
      <c r="O388" s="1067">
        <f t="shared" si="95"/>
        <v>-4.1189056985539901E-2</v>
      </c>
      <c r="P388" s="1068">
        <f t="shared" si="95"/>
        <v>0.90138346931536006</v>
      </c>
      <c r="Q388" s="1066">
        <f t="shared" si="95"/>
        <v>0.38160323267486906</v>
      </c>
      <c r="R388" s="1067">
        <f t="shared" si="95"/>
        <v>0.13281779457810056</v>
      </c>
      <c r="S388" s="1068">
        <f t="shared" si="95"/>
        <v>0.39444904186551905</v>
      </c>
      <c r="T388" s="1066">
        <f t="shared" si="95"/>
        <v>0.47841518539184064</v>
      </c>
      <c r="U388" s="1067">
        <f t="shared" si="95"/>
        <v>1.1717685634717274E-2</v>
      </c>
      <c r="V388" s="1068">
        <f t="shared" si="95"/>
        <v>0.46507375880431212</v>
      </c>
      <c r="W388" s="1060">
        <f t="shared" si="95"/>
        <v>9.6811952716971572E-2</v>
      </c>
      <c r="X388" s="1060">
        <f t="shared" si="95"/>
        <v>0.25369793656715856</v>
      </c>
      <c r="Y388" s="80" t="str">
        <f t="shared" si="95"/>
        <v>Not rated</v>
      </c>
      <c r="Z388" s="88"/>
      <c r="AA388" s="1064">
        <f t="shared" si="96"/>
        <v>1.832329792526622</v>
      </c>
      <c r="AB388" s="1071">
        <f t="shared" si="96"/>
        <v>-9.9442962217240083E-2</v>
      </c>
      <c r="AC388" s="129">
        <f t="shared" si="96"/>
        <v>1.8160302149559577</v>
      </c>
      <c r="AD388" s="949"/>
      <c r="AE388" s="949"/>
      <c r="AF388" s="949"/>
      <c r="AG388" s="2129"/>
      <c r="AH388" s="949"/>
      <c r="AI388" s="949"/>
      <c r="AJ388" s="949"/>
      <c r="AK388" s="949"/>
      <c r="AL388" s="949"/>
      <c r="AM388" s="949"/>
      <c r="AN388" s="949"/>
      <c r="AO388" s="949"/>
      <c r="AP388" s="949"/>
      <c r="AQ388" s="949"/>
      <c r="AR388" s="110"/>
      <c r="AS388" s="110"/>
      <c r="AT388" s="110"/>
      <c r="AU388" s="949"/>
      <c r="AV388" s="949"/>
      <c r="AW388" s="949"/>
      <c r="AX388" s="949"/>
      <c r="AY388" s="949"/>
      <c r="AZ388" s="949"/>
      <c r="BA388" s="949"/>
      <c r="BB388" s="949"/>
      <c r="BC388" s="949"/>
      <c r="BD388" s="949"/>
      <c r="BE388" s="2267"/>
    </row>
    <row r="389" spans="1:57">
      <c r="A389" s="1090"/>
      <c r="B389" s="949"/>
      <c r="C389" s="949"/>
      <c r="D389" s="119"/>
      <c r="E389" s="949"/>
      <c r="F389" s="949"/>
      <c r="G389" s="949"/>
      <c r="H389" s="119"/>
      <c r="I389" s="119"/>
      <c r="J389" s="119"/>
      <c r="K389" s="949"/>
      <c r="L389" s="949"/>
      <c r="M389" s="949"/>
      <c r="N389" s="949"/>
      <c r="O389" s="949"/>
      <c r="P389" s="949"/>
      <c r="Q389" s="1005"/>
      <c r="R389" s="1005"/>
      <c r="S389" s="1005"/>
      <c r="T389" s="949"/>
      <c r="U389" s="949"/>
      <c r="V389" s="949"/>
      <c r="W389" s="1005"/>
      <c r="X389" s="1005"/>
      <c r="Y389" s="1005"/>
      <c r="Z389" s="1005"/>
      <c r="AA389" s="949"/>
      <c r="AB389" s="949"/>
      <c r="AC389" s="949"/>
      <c r="AD389" s="949"/>
      <c r="AE389" s="949"/>
      <c r="AF389" s="949"/>
      <c r="AG389" s="2129"/>
      <c r="AH389" s="949"/>
      <c r="AI389" s="949"/>
      <c r="AJ389" s="949"/>
      <c r="AK389" s="949"/>
      <c r="AL389" s="949"/>
      <c r="AM389" s="949"/>
      <c r="AN389" s="949"/>
      <c r="AO389" s="949"/>
      <c r="AP389" s="949"/>
      <c r="AQ389" s="949"/>
      <c r="AR389" s="110"/>
      <c r="AS389" s="110"/>
      <c r="AT389" s="110"/>
      <c r="AU389" s="949"/>
      <c r="AV389" s="949"/>
      <c r="AW389" s="949"/>
      <c r="AX389" s="949"/>
      <c r="AY389" s="949"/>
      <c r="AZ389" s="949"/>
      <c r="BA389" s="949"/>
      <c r="BB389" s="949"/>
      <c r="BC389" s="949"/>
      <c r="BD389" s="949"/>
      <c r="BE389" s="2267"/>
    </row>
    <row r="390" spans="1:57">
      <c r="A390" s="1090"/>
      <c r="B390" s="949"/>
      <c r="C390" s="949"/>
      <c r="D390" s="119"/>
      <c r="E390" s="949"/>
      <c r="F390" s="949"/>
      <c r="G390" s="949"/>
      <c r="H390" s="119"/>
      <c r="I390" s="119"/>
      <c r="J390" s="119"/>
      <c r="K390" s="949"/>
      <c r="L390" s="949"/>
      <c r="M390" s="949"/>
      <c r="N390" s="949"/>
      <c r="O390" s="949"/>
      <c r="P390" s="949"/>
      <c r="Q390" s="1005"/>
      <c r="R390" s="1005"/>
      <c r="S390" s="1005"/>
      <c r="T390" s="949"/>
      <c r="U390" s="949"/>
      <c r="V390" s="949"/>
      <c r="W390" s="1005"/>
      <c r="X390" s="1005"/>
      <c r="Y390" s="949"/>
      <c r="Z390" s="949"/>
      <c r="AA390" s="949"/>
      <c r="AB390" s="949"/>
      <c r="AC390" s="949"/>
      <c r="AD390" s="949"/>
      <c r="AE390" s="949"/>
      <c r="AF390" s="949"/>
      <c r="AG390" s="2129"/>
      <c r="AH390" s="949"/>
      <c r="AI390" s="949"/>
      <c r="AJ390" s="949"/>
      <c r="AK390" s="949"/>
      <c r="AL390" s="949"/>
      <c r="AM390" s="949"/>
      <c r="AN390" s="949"/>
      <c r="AO390" s="949"/>
      <c r="AP390" s="949"/>
      <c r="AQ390" s="949"/>
      <c r="AR390" s="110"/>
      <c r="AS390" s="110"/>
      <c r="AT390" s="110"/>
      <c r="AU390" s="949"/>
      <c r="AV390" s="949"/>
      <c r="AW390" s="949"/>
      <c r="AX390" s="949"/>
      <c r="AY390" s="949"/>
      <c r="AZ390" s="949"/>
      <c r="BA390" s="949"/>
      <c r="BB390" s="949"/>
      <c r="BC390" s="949"/>
      <c r="BD390" s="949"/>
      <c r="BE390" s="2267"/>
    </row>
    <row r="391" spans="1:57">
      <c r="B391" s="2329"/>
      <c r="C391" s="2329"/>
      <c r="D391" s="2330"/>
      <c r="E391" s="2329"/>
      <c r="F391" s="2329"/>
      <c r="G391" s="2329"/>
      <c r="H391" s="2330"/>
      <c r="I391" s="2330"/>
      <c r="J391" s="2330"/>
      <c r="K391" s="2329"/>
      <c r="L391" s="2329"/>
      <c r="M391" s="2329"/>
      <c r="N391" s="2329"/>
      <c r="O391" s="2329"/>
      <c r="P391" s="2329"/>
      <c r="Q391" s="2329"/>
      <c r="R391" s="2329"/>
      <c r="S391" s="2329"/>
      <c r="T391" s="2329"/>
      <c r="U391" s="2329"/>
      <c r="V391" s="2329"/>
      <c r="W391" s="2329"/>
      <c r="X391" s="2329"/>
      <c r="Y391" s="2329"/>
      <c r="Z391" s="2329"/>
      <c r="AA391" s="2329"/>
      <c r="AB391" s="2329"/>
      <c r="AC391" s="2329"/>
      <c r="AD391" s="2329"/>
      <c r="AE391" s="2329"/>
      <c r="AF391" s="2329"/>
      <c r="AG391" s="2329"/>
      <c r="AH391" s="2329"/>
      <c r="AI391" s="2329"/>
      <c r="AJ391" s="2329"/>
      <c r="AK391" s="2329"/>
      <c r="AL391" s="2329"/>
      <c r="AM391" s="2329"/>
      <c r="AN391" s="2329"/>
      <c r="AO391" s="2329"/>
      <c r="AP391" s="2329"/>
      <c r="AQ391" s="2329"/>
      <c r="AR391" s="2331"/>
      <c r="AS391" s="2331"/>
      <c r="AT391" s="2331"/>
      <c r="AU391" s="2329"/>
      <c r="AV391" s="2329"/>
      <c r="AW391" s="2329"/>
      <c r="AX391" s="2329"/>
      <c r="AY391" s="2329"/>
      <c r="AZ391" s="2329"/>
      <c r="BA391" s="2329"/>
      <c r="BB391" s="2329"/>
      <c r="BC391" s="2329"/>
      <c r="BD391" s="2329"/>
    </row>
  </sheetData>
  <sortState ref="A66:AC87">
    <sortCondition descending="1" ref="G66:G87"/>
  </sortState>
  <mergeCells count="18">
    <mergeCell ref="C1:H1"/>
    <mergeCell ref="K1:M1"/>
    <mergeCell ref="N1:P1"/>
    <mergeCell ref="T1:V1"/>
    <mergeCell ref="AA1:AC1"/>
    <mergeCell ref="C2:F2"/>
    <mergeCell ref="G2:H2"/>
    <mergeCell ref="K2:L2"/>
    <mergeCell ref="N2:O2"/>
    <mergeCell ref="T2:U2"/>
    <mergeCell ref="Q2:R2"/>
    <mergeCell ref="AA2:AB2"/>
    <mergeCell ref="W2:X2"/>
    <mergeCell ref="Y2:Z2"/>
    <mergeCell ref="I1:J1"/>
    <mergeCell ref="Q1:S1"/>
    <mergeCell ref="W1:X1"/>
    <mergeCell ref="Y1:Z1"/>
  </mergeCell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sheetPr>
  <dimension ref="A1:BD431"/>
  <sheetViews>
    <sheetView showGridLines="0" tabSelected="1" zoomScale="90" zoomScaleNormal="90" zoomScaleSheetLayoutView="90" workbookViewId="0">
      <pane xSplit="1" ySplit="3" topLeftCell="B4" activePane="bottomRight" state="frozen"/>
      <selection pane="topRight" activeCell="B1" sqref="B1"/>
      <selection pane="bottomLeft" activeCell="A4" sqref="A4"/>
      <selection pane="bottomRight"/>
    </sheetView>
  </sheetViews>
  <sheetFormatPr defaultColWidth="11.5703125" defaultRowHeight="12.75"/>
  <cols>
    <col min="1" max="1" width="17.7109375" style="2322" customWidth="1"/>
    <col min="2" max="2" width="13.28515625" style="2322" customWidth="1"/>
    <col min="3" max="3" width="36.42578125" style="2322" customWidth="1"/>
    <col min="4" max="8" width="8.140625" style="2322" customWidth="1"/>
    <col min="9" max="9" width="19.85546875" style="2323" customWidth="1"/>
    <col min="10" max="10" width="6.85546875" style="2323" customWidth="1"/>
    <col min="11" max="13" width="7" style="2323" customWidth="1"/>
    <col min="14" max="14" width="7.5703125" style="2323" customWidth="1"/>
    <col min="15" max="15" width="7" style="2323" customWidth="1"/>
    <col min="16" max="16" width="8" style="2324" customWidth="1"/>
    <col min="17" max="17" width="7.7109375" style="2324" customWidth="1"/>
    <col min="18" max="18" width="8" style="2324" customWidth="1"/>
    <col min="19" max="20" width="7.28515625" style="2324" customWidth="1"/>
    <col min="21" max="21" width="7" style="2324" customWidth="1"/>
    <col min="22" max="23" width="6.7109375" style="2324" customWidth="1"/>
    <col min="24" max="24" width="8" style="2322" customWidth="1"/>
    <col min="25" max="25" width="7.140625" style="2322" customWidth="1"/>
    <col min="26" max="26" width="7.28515625" style="2322" customWidth="1"/>
    <col min="27" max="35" width="6.7109375" style="2322" customWidth="1"/>
    <col min="36" max="36" width="7.5703125" style="2322" customWidth="1"/>
    <col min="37" max="44" width="6.7109375" style="2322" customWidth="1"/>
    <col min="45" max="16384" width="11.5703125" style="2322"/>
  </cols>
  <sheetData>
    <row r="1" spans="1:56">
      <c r="A1" s="109" t="s">
        <v>780</v>
      </c>
      <c r="B1" s="109" t="s">
        <v>781</v>
      </c>
      <c r="C1" s="242"/>
      <c r="D1" s="1908" t="s">
        <v>364</v>
      </c>
      <c r="E1" s="1867"/>
      <c r="F1" s="1867"/>
      <c r="G1" s="1867"/>
      <c r="H1" s="1868"/>
      <c r="I1" s="167"/>
      <c r="J1" s="258"/>
      <c r="K1" s="249"/>
      <c r="L1" s="258"/>
      <c r="M1" s="258"/>
      <c r="N1" s="258"/>
      <c r="O1" s="40"/>
      <c r="P1" s="42"/>
      <c r="Q1" s="42"/>
      <c r="R1" s="42"/>
      <c r="S1" s="42"/>
      <c r="T1" s="42"/>
      <c r="U1" s="42"/>
      <c r="V1" s="42"/>
      <c r="W1" s="42"/>
      <c r="X1" s="167"/>
      <c r="Y1" s="167"/>
      <c r="Z1" s="167"/>
      <c r="AA1" s="167"/>
      <c r="AB1" s="230">
        <v>100</v>
      </c>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row>
    <row r="2" spans="1:56">
      <c r="A2" s="161"/>
      <c r="B2" s="161"/>
      <c r="C2" s="161"/>
      <c r="D2" s="2220" t="s">
        <v>1807</v>
      </c>
      <c r="E2" s="170"/>
      <c r="F2" s="170"/>
      <c r="G2" s="170"/>
      <c r="H2" s="1869"/>
      <c r="I2" s="41"/>
      <c r="J2" s="259"/>
      <c r="K2" s="260"/>
      <c r="L2" s="259"/>
      <c r="M2" s="259"/>
      <c r="N2" s="259"/>
      <c r="O2" s="41"/>
      <c r="P2" s="45"/>
      <c r="Q2" s="45"/>
      <c r="R2" s="45"/>
      <c r="S2" s="45"/>
      <c r="T2" s="45"/>
      <c r="U2" s="45"/>
      <c r="V2" s="45"/>
      <c r="W2" s="45"/>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row>
    <row r="3" spans="1:56">
      <c r="A3" s="1891" t="s">
        <v>125</v>
      </c>
      <c r="B3" s="1892" t="s">
        <v>126</v>
      </c>
      <c r="C3" s="1893" t="s">
        <v>127</v>
      </c>
      <c r="D3" s="1904">
        <v>2013</v>
      </c>
      <c r="E3" s="1905">
        <v>2012</v>
      </c>
      <c r="F3" s="1905">
        <v>2011</v>
      </c>
      <c r="G3" s="1905">
        <v>2010</v>
      </c>
      <c r="H3" s="1906">
        <v>2009</v>
      </c>
      <c r="I3" s="1903" t="s">
        <v>365</v>
      </c>
      <c r="J3" s="1894" t="s">
        <v>363</v>
      </c>
      <c r="K3" s="1895">
        <v>2012</v>
      </c>
      <c r="L3" s="1895">
        <v>2011</v>
      </c>
      <c r="M3" s="1895">
        <v>2010</v>
      </c>
      <c r="N3" s="1896">
        <v>2009</v>
      </c>
      <c r="O3" s="257" t="s">
        <v>536</v>
      </c>
      <c r="P3" s="1901"/>
      <c r="Q3" s="1902" t="s">
        <v>537</v>
      </c>
      <c r="R3" s="1892" t="s">
        <v>363</v>
      </c>
      <c r="S3" s="1892">
        <v>2012</v>
      </c>
      <c r="T3" s="1892">
        <v>2011</v>
      </c>
      <c r="U3" s="1892">
        <v>2010</v>
      </c>
      <c r="V3" s="1893">
        <v>2009</v>
      </c>
      <c r="W3" s="1897" t="s">
        <v>865</v>
      </c>
      <c r="X3" s="1898"/>
      <c r="Y3" s="1899"/>
      <c r="Z3" s="1899"/>
      <c r="AA3" s="1899"/>
      <c r="AB3" s="1899"/>
      <c r="AC3" s="1899"/>
      <c r="AD3" s="1899"/>
      <c r="AE3" s="1899"/>
      <c r="AF3" s="1899"/>
      <c r="AG3" s="1899"/>
      <c r="AH3" s="1900"/>
      <c r="AI3" s="1899"/>
      <c r="AJ3" s="1899"/>
      <c r="AK3" s="1899"/>
      <c r="AL3" s="1899"/>
      <c r="AM3" s="1899"/>
      <c r="AN3" s="1899"/>
      <c r="AO3" s="1899"/>
      <c r="AP3" s="1899"/>
      <c r="AQ3" s="1899"/>
      <c r="AR3" s="1899"/>
      <c r="AS3" s="1899"/>
      <c r="AT3" s="1899"/>
      <c r="AU3" s="1899"/>
      <c r="AV3" s="1899"/>
      <c r="AW3" s="1899"/>
      <c r="AX3" s="1899"/>
      <c r="AY3" s="1899"/>
      <c r="AZ3" s="1899"/>
      <c r="BA3" s="1899"/>
      <c r="BB3" s="1900"/>
      <c r="BC3" s="167"/>
      <c r="BD3" s="2325"/>
    </row>
    <row r="4" spans="1:56">
      <c r="A4" s="43"/>
      <c r="B4" s="43"/>
      <c r="C4" s="43"/>
      <c r="D4" s="1870"/>
      <c r="E4" s="251"/>
      <c r="F4" s="251"/>
      <c r="G4" s="251"/>
      <c r="H4" s="251"/>
      <c r="I4" s="41"/>
      <c r="J4" s="261"/>
      <c r="K4" s="261"/>
      <c r="L4" s="261"/>
      <c r="M4" s="261"/>
      <c r="N4" s="261"/>
      <c r="O4" s="44"/>
      <c r="P4" s="161"/>
      <c r="Q4" s="45" t="s">
        <v>846</v>
      </c>
      <c r="R4" s="45"/>
      <c r="S4" s="45"/>
      <c r="T4" s="45"/>
      <c r="U4" s="45"/>
      <c r="V4" s="45"/>
      <c r="W4" s="45"/>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row>
    <row r="5" spans="1:56">
      <c r="A5" s="241"/>
      <c r="B5" s="241"/>
      <c r="C5" s="241"/>
      <c r="D5" s="1871"/>
      <c r="E5" s="252"/>
      <c r="F5" s="252"/>
      <c r="G5" s="252"/>
      <c r="H5" s="252"/>
      <c r="I5" s="78"/>
      <c r="J5" s="262"/>
      <c r="K5" s="262"/>
      <c r="L5" s="262"/>
      <c r="M5" s="262"/>
      <c r="N5" s="262"/>
      <c r="O5" s="78"/>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row>
    <row r="6" spans="1:56">
      <c r="A6" s="711" t="s">
        <v>37</v>
      </c>
      <c r="B6" s="712" t="s">
        <v>366</v>
      </c>
      <c r="C6" s="713" t="s">
        <v>128</v>
      </c>
      <c r="D6" s="1872"/>
      <c r="E6" s="714">
        <v>35.18</v>
      </c>
      <c r="F6" s="714">
        <v>34.86</v>
      </c>
      <c r="G6" s="714">
        <v>34.950000000000003</v>
      </c>
      <c r="H6" s="714"/>
      <c r="I6" s="715"/>
      <c r="J6" s="716"/>
      <c r="K6" s="716"/>
      <c r="L6" s="716"/>
      <c r="M6" s="716"/>
      <c r="N6" s="716"/>
      <c r="O6" s="715"/>
      <c r="P6" s="713"/>
      <c r="Q6" s="718"/>
      <c r="R6" s="713"/>
      <c r="S6" s="713"/>
      <c r="T6" s="728"/>
      <c r="U6" s="719"/>
      <c r="V6" s="719"/>
      <c r="W6" s="719"/>
      <c r="X6" s="719"/>
      <c r="Y6" s="718"/>
      <c r="Z6" s="713"/>
      <c r="AA6" s="713"/>
      <c r="AB6" s="713"/>
      <c r="AC6" s="713"/>
      <c r="AD6" s="713"/>
      <c r="AE6" s="713"/>
      <c r="AF6" s="713"/>
      <c r="AG6" s="713"/>
      <c r="AH6" s="713"/>
      <c r="AI6" s="713"/>
      <c r="AJ6" s="713"/>
      <c r="AK6" s="713"/>
      <c r="AL6" s="713"/>
      <c r="AM6" s="713"/>
      <c r="AN6" s="713"/>
      <c r="AO6" s="713"/>
      <c r="AP6" s="713"/>
      <c r="AQ6" s="713"/>
      <c r="AR6" s="713"/>
      <c r="AS6" s="713"/>
      <c r="AT6" s="713"/>
      <c r="AU6" s="713"/>
      <c r="AV6" s="713"/>
      <c r="AW6" s="713"/>
      <c r="AX6" s="713"/>
      <c r="AY6" s="713"/>
      <c r="AZ6" s="713"/>
      <c r="BA6" s="713"/>
      <c r="BB6" s="713"/>
      <c r="BC6" s="1907"/>
    </row>
    <row r="7" spans="1:56">
      <c r="A7" s="747"/>
      <c r="B7" s="719"/>
      <c r="C7" s="719" t="s">
        <v>130</v>
      </c>
      <c r="D7" s="811"/>
      <c r="E7" s="720">
        <v>34.770000000000003</v>
      </c>
      <c r="F7" s="720">
        <v>35.79</v>
      </c>
      <c r="G7" s="720">
        <v>35.729999999999997</v>
      </c>
      <c r="H7" s="720"/>
      <c r="I7" s="729"/>
      <c r="J7" s="730"/>
      <c r="K7" s="730"/>
      <c r="L7" s="730"/>
      <c r="M7" s="730"/>
      <c r="N7" s="730"/>
      <c r="O7" s="729"/>
      <c r="P7" s="719"/>
      <c r="Q7" s="748"/>
      <c r="R7" s="719"/>
      <c r="S7" s="719"/>
      <c r="T7" s="748"/>
      <c r="U7" s="748"/>
      <c r="V7" s="719"/>
      <c r="W7" s="728" t="s">
        <v>879</v>
      </c>
      <c r="X7" s="728"/>
      <c r="Y7" s="728"/>
      <c r="Z7" s="728"/>
      <c r="AA7" s="728" t="s">
        <v>869</v>
      </c>
      <c r="AB7" s="719"/>
      <c r="AC7" s="729" t="s">
        <v>878</v>
      </c>
      <c r="AD7" s="719"/>
      <c r="AE7" s="719"/>
      <c r="AF7" s="719"/>
      <c r="AG7" s="719"/>
      <c r="AH7" s="719"/>
      <c r="AI7" s="719"/>
      <c r="AJ7" s="719"/>
      <c r="AK7" s="719"/>
      <c r="AL7" s="719"/>
      <c r="AM7" s="719"/>
      <c r="AN7" s="719"/>
      <c r="AO7" s="719"/>
      <c r="AP7" s="719"/>
      <c r="AQ7" s="719"/>
      <c r="AR7" s="719"/>
      <c r="AS7" s="719"/>
      <c r="AT7" s="719"/>
      <c r="AU7" s="719"/>
      <c r="AV7" s="719"/>
      <c r="AW7" s="719"/>
      <c r="AX7" s="719"/>
      <c r="AY7" s="719"/>
      <c r="AZ7" s="719"/>
      <c r="BA7" s="719"/>
      <c r="BB7" s="719"/>
      <c r="BC7" s="1867"/>
    </row>
    <row r="8" spans="1:56">
      <c r="A8" s="747"/>
      <c r="B8" s="719"/>
      <c r="C8" s="719" t="s">
        <v>131</v>
      </c>
      <c r="D8" s="811"/>
      <c r="E8" s="720">
        <v>24.93</v>
      </c>
      <c r="F8" s="720">
        <v>23.8</v>
      </c>
      <c r="G8" s="720">
        <v>23.76</v>
      </c>
      <c r="H8" s="720"/>
      <c r="I8" s="729"/>
      <c r="J8" s="730"/>
      <c r="K8" s="730"/>
      <c r="L8" s="730"/>
      <c r="M8" s="730"/>
      <c r="N8" s="730"/>
      <c r="O8" s="729"/>
      <c r="P8" s="724" t="s">
        <v>132</v>
      </c>
      <c r="Q8" s="749" t="s">
        <v>55</v>
      </c>
      <c r="R8" s="749">
        <v>517</v>
      </c>
      <c r="S8" s="749">
        <v>1096</v>
      </c>
      <c r="T8" s="749">
        <v>1104</v>
      </c>
      <c r="U8" s="749">
        <v>1142</v>
      </c>
      <c r="V8" s="749">
        <v>1161</v>
      </c>
      <c r="W8" s="749">
        <v>1175</v>
      </c>
      <c r="X8" s="719"/>
      <c r="Y8" s="719"/>
      <c r="Z8" s="719"/>
      <c r="AA8" s="749">
        <v>563</v>
      </c>
      <c r="AB8" s="719"/>
      <c r="AC8" s="729" t="s">
        <v>884</v>
      </c>
      <c r="AD8" s="750"/>
      <c r="AE8" s="750"/>
      <c r="AF8" s="750"/>
      <c r="AG8" s="719"/>
      <c r="AH8" s="719"/>
      <c r="AI8" s="719"/>
      <c r="AJ8" s="719"/>
      <c r="AK8" s="719"/>
      <c r="AL8" s="719"/>
      <c r="AM8" s="719"/>
      <c r="AN8" s="719"/>
      <c r="AO8" s="719"/>
      <c r="AP8" s="719"/>
      <c r="AQ8" s="719"/>
      <c r="AR8" s="719"/>
      <c r="AS8" s="719"/>
      <c r="AT8" s="719"/>
      <c r="AU8" s="719"/>
      <c r="AV8" s="719"/>
      <c r="AW8" s="719"/>
      <c r="AX8" s="719"/>
      <c r="AY8" s="719"/>
      <c r="AZ8" s="719"/>
      <c r="BA8" s="719"/>
      <c r="BB8" s="719"/>
      <c r="BC8" s="1867"/>
    </row>
    <row r="9" spans="1:56">
      <c r="A9" s="719"/>
      <c r="B9" s="719"/>
      <c r="C9" s="719" t="s">
        <v>133</v>
      </c>
      <c r="D9" s="811"/>
      <c r="E9" s="720">
        <v>4.6100000000000003</v>
      </c>
      <c r="F9" s="720">
        <v>4.84</v>
      </c>
      <c r="G9" s="720">
        <v>5.05</v>
      </c>
      <c r="H9" s="720"/>
      <c r="I9" s="729"/>
      <c r="J9" s="730"/>
      <c r="K9" s="730"/>
      <c r="L9" s="730"/>
      <c r="M9" s="730"/>
      <c r="N9" s="730"/>
      <c r="O9" s="729"/>
      <c r="P9" s="751"/>
      <c r="Q9" s="749" t="s">
        <v>368</v>
      </c>
      <c r="R9" s="749">
        <v>560</v>
      </c>
      <c r="S9" s="749">
        <v>1133</v>
      </c>
      <c r="T9" s="749">
        <v>1099</v>
      </c>
      <c r="U9" s="749">
        <v>1139</v>
      </c>
      <c r="V9" s="749">
        <v>1163</v>
      </c>
      <c r="W9" s="749">
        <v>1239</v>
      </c>
      <c r="X9" s="719"/>
      <c r="Y9" s="719"/>
      <c r="Z9" s="719"/>
      <c r="AA9" s="749">
        <v>564</v>
      </c>
      <c r="AB9" s="719"/>
      <c r="AC9" s="719"/>
      <c r="AD9" s="750"/>
      <c r="AE9" s="750"/>
      <c r="AF9" s="750"/>
      <c r="AG9" s="719"/>
      <c r="AH9" s="719"/>
      <c r="AI9" s="719"/>
      <c r="AJ9" s="719"/>
      <c r="AK9" s="719"/>
      <c r="AL9" s="719"/>
      <c r="AM9" s="719"/>
      <c r="AN9" s="719"/>
      <c r="AO9" s="719"/>
      <c r="AP9" s="719"/>
      <c r="AQ9" s="719"/>
      <c r="AR9" s="719"/>
      <c r="AS9" s="719"/>
      <c r="AT9" s="719"/>
      <c r="AU9" s="719"/>
      <c r="AV9" s="719"/>
      <c r="AW9" s="719"/>
      <c r="AX9" s="719"/>
      <c r="AY9" s="719"/>
      <c r="AZ9" s="719"/>
      <c r="BA9" s="719"/>
      <c r="BB9" s="719"/>
      <c r="BC9" s="1867"/>
    </row>
    <row r="10" spans="1:56">
      <c r="A10" s="719"/>
      <c r="B10" s="742" t="s">
        <v>366</v>
      </c>
      <c r="C10" s="742" t="s">
        <v>135</v>
      </c>
      <c r="D10" s="1873"/>
      <c r="E10" s="720">
        <v>60.62</v>
      </c>
      <c r="F10" s="720">
        <v>60.72</v>
      </c>
      <c r="G10" s="720" t="s">
        <v>136</v>
      </c>
      <c r="H10" s="720" t="s">
        <v>136</v>
      </c>
      <c r="I10" s="729"/>
      <c r="J10" s="730"/>
      <c r="K10" s="730" t="s">
        <v>554</v>
      </c>
      <c r="L10" s="752" t="s">
        <v>554</v>
      </c>
      <c r="M10" s="753"/>
      <c r="N10" s="753"/>
      <c r="O10" s="754"/>
      <c r="P10" s="724" t="s">
        <v>134</v>
      </c>
      <c r="Q10" s="749" t="s">
        <v>55</v>
      </c>
      <c r="R10" s="749">
        <v>217</v>
      </c>
      <c r="S10" s="749">
        <v>640</v>
      </c>
      <c r="T10" s="749">
        <v>677</v>
      </c>
      <c r="U10" s="749">
        <v>702</v>
      </c>
      <c r="V10" s="749">
        <v>759</v>
      </c>
      <c r="W10" s="749">
        <v>771</v>
      </c>
      <c r="X10" s="719"/>
      <c r="Y10" s="719"/>
      <c r="Z10" s="719"/>
      <c r="AA10" s="749">
        <v>328</v>
      </c>
      <c r="AB10" s="719"/>
      <c r="AC10" s="728" t="s">
        <v>883</v>
      </c>
      <c r="AD10" s="719"/>
      <c r="AE10" s="719"/>
      <c r="AF10" s="719"/>
      <c r="AG10" s="719"/>
      <c r="AH10" s="719"/>
      <c r="AI10" s="719"/>
      <c r="AJ10" s="719"/>
      <c r="AK10" s="719"/>
      <c r="AL10" s="719"/>
      <c r="AM10" s="719"/>
      <c r="AN10" s="719"/>
      <c r="AO10" s="719"/>
      <c r="AP10" s="719"/>
      <c r="AQ10" s="719"/>
      <c r="AR10" s="719"/>
      <c r="AS10" s="719"/>
      <c r="AT10" s="719"/>
      <c r="AU10" s="719"/>
      <c r="AV10" s="719"/>
      <c r="AW10" s="719"/>
      <c r="AX10" s="719"/>
      <c r="AY10" s="719"/>
      <c r="AZ10" s="719"/>
      <c r="BA10" s="719"/>
      <c r="BB10" s="719"/>
      <c r="BC10" s="1867"/>
    </row>
    <row r="11" spans="1:56">
      <c r="A11" s="719"/>
      <c r="B11" s="742"/>
      <c r="C11" s="742" t="s">
        <v>138</v>
      </c>
      <c r="D11" s="1873"/>
      <c r="E11" s="720">
        <v>39.380000000000003</v>
      </c>
      <c r="F11" s="720">
        <v>39.28</v>
      </c>
      <c r="G11" s="720" t="s">
        <v>136</v>
      </c>
      <c r="H11" s="720" t="s">
        <v>136</v>
      </c>
      <c r="I11" s="744" t="s">
        <v>369</v>
      </c>
      <c r="J11" s="800">
        <f>R12/R14</f>
        <v>0.34852801519468185</v>
      </c>
      <c r="K11" s="801">
        <f>S12/S14</f>
        <v>0.38560639715681921</v>
      </c>
      <c r="L11" s="801">
        <f>T12/T14</f>
        <v>0.39272326350606396</v>
      </c>
      <c r="M11" s="800">
        <f>U12/U14</f>
        <v>0.39401709401709401</v>
      </c>
      <c r="N11" s="800">
        <f>V12/V14</f>
        <v>0.39983340274885465</v>
      </c>
      <c r="O11" s="719"/>
      <c r="P11" s="751"/>
      <c r="Q11" s="749" t="s">
        <v>368</v>
      </c>
      <c r="R11" s="749">
        <v>812</v>
      </c>
      <c r="S11" s="749">
        <v>1633</v>
      </c>
      <c r="T11" s="749">
        <v>1655</v>
      </c>
      <c r="U11" s="749">
        <v>1697</v>
      </c>
      <c r="V11" s="749">
        <v>1719</v>
      </c>
      <c r="W11" s="749">
        <v>1729</v>
      </c>
      <c r="X11" s="719"/>
      <c r="Y11" s="719"/>
      <c r="Z11" s="755"/>
      <c r="AA11" s="749">
        <v>817</v>
      </c>
      <c r="AB11" s="719"/>
      <c r="AC11" s="728" t="s">
        <v>866</v>
      </c>
      <c r="AD11" s="719"/>
      <c r="AE11" s="719"/>
      <c r="AF11" s="719"/>
      <c r="AG11" s="719"/>
      <c r="AH11" s="719"/>
      <c r="AI11" s="719"/>
      <c r="AJ11" s="719"/>
      <c r="AK11" s="719"/>
      <c r="AL11" s="719"/>
      <c r="AM11" s="719"/>
      <c r="AN11" s="719"/>
      <c r="AO11" s="719"/>
      <c r="AP11" s="719"/>
      <c r="AQ11" s="719"/>
      <c r="AR11" s="719"/>
      <c r="AS11" s="719"/>
      <c r="AT11" s="719"/>
      <c r="AU11" s="719"/>
      <c r="AV11" s="719"/>
      <c r="AW11" s="719"/>
      <c r="AX11" s="719"/>
      <c r="AY11" s="719"/>
      <c r="AZ11" s="719"/>
      <c r="BA11" s="719"/>
      <c r="BB11" s="719"/>
      <c r="BC11" s="1867"/>
    </row>
    <row r="12" spans="1:56">
      <c r="A12" s="719"/>
      <c r="B12" s="719" t="s">
        <v>139</v>
      </c>
      <c r="C12" s="719" t="s">
        <v>130</v>
      </c>
      <c r="D12" s="811"/>
      <c r="E12" s="720">
        <v>62.07</v>
      </c>
      <c r="F12" s="720">
        <v>61.98</v>
      </c>
      <c r="G12" s="720">
        <v>61.06</v>
      </c>
      <c r="H12" s="720"/>
      <c r="I12" s="729"/>
      <c r="J12" s="796">
        <f>AA12/AA14</f>
        <v>0.3921654929577465</v>
      </c>
      <c r="K12" s="730" t="s">
        <v>871</v>
      </c>
      <c r="L12" s="730"/>
      <c r="M12" s="797" t="s">
        <v>870</v>
      </c>
      <c r="N12" s="757">
        <f>W12/W14</f>
        <v>0.39601139601139601</v>
      </c>
      <c r="O12" s="756"/>
      <c r="P12" s="723" t="s">
        <v>863</v>
      </c>
      <c r="Q12" s="749" t="s">
        <v>55</v>
      </c>
      <c r="R12" s="790">
        <f>R8+R10</f>
        <v>734</v>
      </c>
      <c r="S12" s="790">
        <f>S8+S10</f>
        <v>1736</v>
      </c>
      <c r="T12" s="790">
        <f t="shared" ref="T12:V13" si="0">T8+T10</f>
        <v>1781</v>
      </c>
      <c r="U12" s="790">
        <f t="shared" si="0"/>
        <v>1844</v>
      </c>
      <c r="V12" s="790">
        <f t="shared" si="0"/>
        <v>1920</v>
      </c>
      <c r="W12" s="790">
        <f>W8+W10</f>
        <v>1946</v>
      </c>
      <c r="X12" s="719"/>
      <c r="Y12" s="719"/>
      <c r="Z12" s="719"/>
      <c r="AA12" s="790">
        <f>AA8+AA10</f>
        <v>891</v>
      </c>
      <c r="AB12" s="719"/>
      <c r="AC12" s="729" t="s">
        <v>898</v>
      </c>
      <c r="AD12" s="719"/>
      <c r="AE12" s="719"/>
      <c r="AF12" s="719"/>
      <c r="AG12" s="719"/>
      <c r="AH12" s="719"/>
      <c r="AI12" s="719"/>
      <c r="AJ12" s="719"/>
      <c r="AK12" s="719"/>
      <c r="AL12" s="719"/>
      <c r="AM12" s="719"/>
      <c r="AN12" s="719"/>
      <c r="AO12" s="719"/>
      <c r="AP12" s="719"/>
      <c r="AQ12" s="719"/>
      <c r="AR12" s="719"/>
      <c r="AS12" s="719"/>
      <c r="AT12" s="719"/>
      <c r="AU12" s="719"/>
      <c r="AV12" s="719"/>
      <c r="AW12" s="719"/>
      <c r="AX12" s="719"/>
      <c r="AY12" s="719"/>
      <c r="AZ12" s="719"/>
      <c r="BA12" s="719"/>
      <c r="BB12" s="719"/>
      <c r="BC12" s="1867"/>
    </row>
    <row r="13" spans="1:56">
      <c r="A13" s="719"/>
      <c r="B13" s="719"/>
      <c r="C13" s="719" t="s">
        <v>128</v>
      </c>
      <c r="D13" s="811"/>
      <c r="E13" s="720">
        <v>55.24</v>
      </c>
      <c r="F13" s="720">
        <v>53.61</v>
      </c>
      <c r="G13" s="720">
        <v>54.06</v>
      </c>
      <c r="H13" s="720"/>
      <c r="I13" s="729"/>
      <c r="J13" s="730"/>
      <c r="K13" s="730"/>
      <c r="L13" s="720"/>
      <c r="M13" s="730"/>
      <c r="N13" s="730"/>
      <c r="O13" s="719"/>
      <c r="P13" s="719"/>
      <c r="Q13" s="749" t="s">
        <v>368</v>
      </c>
      <c r="R13" s="790">
        <f>R9+R11</f>
        <v>1372</v>
      </c>
      <c r="S13" s="790">
        <f>S9+S11</f>
        <v>2766</v>
      </c>
      <c r="T13" s="790">
        <f t="shared" si="0"/>
        <v>2754</v>
      </c>
      <c r="U13" s="790">
        <f t="shared" si="0"/>
        <v>2836</v>
      </c>
      <c r="V13" s="790">
        <f t="shared" si="0"/>
        <v>2882</v>
      </c>
      <c r="W13" s="790">
        <f>W9+W11</f>
        <v>2968</v>
      </c>
      <c r="X13" s="719"/>
      <c r="Y13" s="719"/>
      <c r="Z13" s="755"/>
      <c r="AA13" s="790">
        <f>AA9+AA11</f>
        <v>1381</v>
      </c>
      <c r="AB13" s="719"/>
      <c r="AC13" s="719"/>
      <c r="AD13" s="719"/>
      <c r="AE13" s="719"/>
      <c r="AF13" s="719"/>
      <c r="AG13" s="719"/>
      <c r="AH13" s="719"/>
      <c r="AI13" s="719"/>
      <c r="AJ13" s="719"/>
      <c r="AK13" s="719"/>
      <c r="AL13" s="719"/>
      <c r="AM13" s="719"/>
      <c r="AN13" s="719"/>
      <c r="AO13" s="719"/>
      <c r="AP13" s="719"/>
      <c r="AQ13" s="719"/>
      <c r="AR13" s="719"/>
      <c r="AS13" s="719"/>
      <c r="AT13" s="719"/>
      <c r="AU13" s="719"/>
      <c r="AV13" s="719"/>
      <c r="AW13" s="719"/>
      <c r="AX13" s="719"/>
      <c r="AY13" s="719"/>
      <c r="AZ13" s="719"/>
      <c r="BA13" s="719"/>
      <c r="BB13" s="719"/>
      <c r="BC13" s="1867"/>
    </row>
    <row r="14" spans="1:56">
      <c r="A14" s="719"/>
      <c r="B14" s="719"/>
      <c r="C14" s="719" t="s">
        <v>131</v>
      </c>
      <c r="D14" s="811"/>
      <c r="E14" s="720">
        <v>7.23</v>
      </c>
      <c r="F14" s="720">
        <v>6.38</v>
      </c>
      <c r="G14" s="720">
        <v>6.5</v>
      </c>
      <c r="H14" s="720"/>
      <c r="I14" s="729"/>
      <c r="J14" s="730"/>
      <c r="K14" s="730"/>
      <c r="L14" s="730"/>
      <c r="M14" s="730"/>
      <c r="N14" s="730"/>
      <c r="O14" s="729"/>
      <c r="P14" s="728"/>
      <c r="Q14" s="728" t="s">
        <v>137</v>
      </c>
      <c r="R14" s="729">
        <f t="shared" ref="R14:W14" si="1">R12+R13</f>
        <v>2106</v>
      </c>
      <c r="S14" s="729">
        <f t="shared" si="1"/>
        <v>4502</v>
      </c>
      <c r="T14" s="729">
        <f t="shared" si="1"/>
        <v>4535</v>
      </c>
      <c r="U14" s="729">
        <f t="shared" si="1"/>
        <v>4680</v>
      </c>
      <c r="V14" s="729">
        <f t="shared" si="1"/>
        <v>4802</v>
      </c>
      <c r="W14" s="729">
        <f t="shared" si="1"/>
        <v>4914</v>
      </c>
      <c r="X14" s="719"/>
      <c r="Y14" s="719">
        <v>2008</v>
      </c>
      <c r="Z14" s="719"/>
      <c r="AA14" s="729">
        <f>AA12+AA13</f>
        <v>2272</v>
      </c>
      <c r="AB14" s="719"/>
      <c r="AC14" s="728" t="s">
        <v>867</v>
      </c>
      <c r="AD14" s="719"/>
      <c r="AE14" s="719"/>
      <c r="AF14" s="719"/>
      <c r="AG14" s="719"/>
      <c r="AH14" s="719"/>
      <c r="AI14" s="719"/>
      <c r="AJ14" s="719"/>
      <c r="AK14" s="719"/>
      <c r="AL14" s="719"/>
      <c r="AM14" s="719"/>
      <c r="AN14" s="719"/>
      <c r="AO14" s="719"/>
      <c r="AP14" s="719"/>
      <c r="AQ14" s="719"/>
      <c r="AR14" s="719"/>
      <c r="AS14" s="719"/>
      <c r="AT14" s="719"/>
      <c r="AU14" s="719"/>
      <c r="AV14" s="719"/>
      <c r="AW14" s="719"/>
      <c r="AX14" s="719"/>
      <c r="AY14" s="719"/>
      <c r="AZ14" s="719"/>
      <c r="BA14" s="719"/>
      <c r="BB14" s="719"/>
      <c r="BC14" s="1867"/>
    </row>
    <row r="15" spans="1:56">
      <c r="A15" s="719"/>
      <c r="B15" s="719"/>
      <c r="C15" s="719"/>
      <c r="D15" s="811"/>
      <c r="E15" s="720"/>
      <c r="F15" s="720"/>
      <c r="G15" s="720"/>
      <c r="H15" s="720"/>
      <c r="I15" s="719"/>
      <c r="J15" s="730"/>
      <c r="K15" s="730"/>
      <c r="L15" s="730"/>
      <c r="M15" s="730"/>
      <c r="N15" s="730"/>
      <c r="O15" s="729"/>
      <c r="P15" s="724" t="s">
        <v>370</v>
      </c>
      <c r="Q15" s="749" t="s">
        <v>55</v>
      </c>
      <c r="R15" s="794">
        <f>R20*$X$15</f>
        <v>29.8</v>
      </c>
      <c r="S15" s="794">
        <f>S20*$X$15</f>
        <v>60.800000000000004</v>
      </c>
      <c r="T15" s="794">
        <f>T20*$X$15</f>
        <v>63.6</v>
      </c>
      <c r="U15" s="794">
        <f>U20*$X$15</f>
        <v>68.400000000000006</v>
      </c>
      <c r="V15" s="794">
        <f>V20*$X$15</f>
        <v>77.2</v>
      </c>
      <c r="W15" s="749">
        <v>77</v>
      </c>
      <c r="X15" s="792">
        <f>W15/(W15+W16)</f>
        <v>0.2</v>
      </c>
      <c r="Y15" s="749">
        <v>85</v>
      </c>
      <c r="Z15" s="792">
        <f>Y15/(Y15+Y16)</f>
        <v>0.20481927710843373</v>
      </c>
      <c r="AA15" s="794">
        <f>AA20*$X$15</f>
        <v>30.8</v>
      </c>
      <c r="AB15" s="719"/>
      <c r="AC15" s="728" t="s">
        <v>868</v>
      </c>
      <c r="AD15" s="719"/>
      <c r="AE15" s="719"/>
      <c r="AF15" s="719"/>
      <c r="AG15" s="719"/>
      <c r="AH15" s="719"/>
      <c r="AI15" s="719"/>
      <c r="AJ15" s="719"/>
      <c r="AK15" s="719"/>
      <c r="AL15" s="719"/>
      <c r="AM15" s="719"/>
      <c r="AN15" s="719"/>
      <c r="AO15" s="719"/>
      <c r="AP15" s="719"/>
      <c r="AQ15" s="719"/>
      <c r="AR15" s="719"/>
      <c r="AS15" s="719"/>
      <c r="AT15" s="719"/>
      <c r="AU15" s="719"/>
      <c r="AV15" s="719"/>
      <c r="AW15" s="719"/>
      <c r="AX15" s="719"/>
      <c r="AY15" s="719"/>
      <c r="AZ15" s="719"/>
      <c r="BA15" s="719"/>
      <c r="BB15" s="719"/>
      <c r="BC15" s="1867"/>
    </row>
    <row r="16" spans="1:56">
      <c r="A16" s="719"/>
      <c r="B16" s="719"/>
      <c r="C16" s="719"/>
      <c r="D16" s="811"/>
      <c r="E16" s="720"/>
      <c r="F16" s="720"/>
      <c r="G16" s="720"/>
      <c r="H16" s="720"/>
      <c r="I16" s="719"/>
      <c r="J16" s="730" t="s">
        <v>880</v>
      </c>
      <c r="K16" s="730"/>
      <c r="L16" s="730"/>
      <c r="M16" s="730"/>
      <c r="N16" s="730"/>
      <c r="O16" s="729"/>
      <c r="P16" s="751"/>
      <c r="Q16" s="749" t="s">
        <v>368</v>
      </c>
      <c r="R16" s="794">
        <f>R20*$X$16</f>
        <v>119.2</v>
      </c>
      <c r="S16" s="794">
        <f>S20*$X$16</f>
        <v>243.20000000000002</v>
      </c>
      <c r="T16" s="794">
        <f>T20*$X$16</f>
        <v>254.4</v>
      </c>
      <c r="U16" s="794">
        <f>U20*$X$16</f>
        <v>273.60000000000002</v>
      </c>
      <c r="V16" s="794">
        <f>V20*$X$16</f>
        <v>308.8</v>
      </c>
      <c r="W16" s="749">
        <v>308</v>
      </c>
      <c r="X16" s="792">
        <f>1-X15</f>
        <v>0.8</v>
      </c>
      <c r="Y16" s="749">
        <v>330</v>
      </c>
      <c r="Z16" s="792">
        <f>1-Z15</f>
        <v>0.79518072289156627</v>
      </c>
      <c r="AA16" s="794">
        <f>AA20*$X$16</f>
        <v>123.2</v>
      </c>
      <c r="AB16" s="719"/>
      <c r="AC16" s="793" t="s">
        <v>877</v>
      </c>
      <c r="AD16" s="719"/>
      <c r="AE16" s="719"/>
      <c r="AF16" s="719"/>
      <c r="AG16" s="719"/>
      <c r="AH16" s="719"/>
      <c r="AI16" s="719"/>
      <c r="AJ16" s="719"/>
      <c r="AK16" s="719"/>
      <c r="AL16" s="719"/>
      <c r="AM16" s="719"/>
      <c r="AN16" s="719"/>
      <c r="AO16" s="719"/>
      <c r="AP16" s="719"/>
      <c r="AQ16" s="719"/>
      <c r="AR16" s="719"/>
      <c r="AS16" s="719"/>
      <c r="AT16" s="719"/>
      <c r="AU16" s="719"/>
      <c r="AV16" s="719"/>
      <c r="AW16" s="719"/>
      <c r="AX16" s="719"/>
      <c r="AY16" s="719"/>
      <c r="AZ16" s="719"/>
      <c r="BA16" s="719"/>
      <c r="BB16" s="719"/>
      <c r="BC16" s="1867"/>
    </row>
    <row r="17" spans="1:55">
      <c r="A17" s="719"/>
      <c r="B17" s="719"/>
      <c r="C17" s="719"/>
      <c r="D17" s="811"/>
      <c r="E17" s="720"/>
      <c r="F17" s="720"/>
      <c r="G17" s="720"/>
      <c r="H17" s="811"/>
      <c r="I17" s="830" t="s">
        <v>369</v>
      </c>
      <c r="J17" s="876">
        <f>R17/R19</f>
        <v>0.33871396895787137</v>
      </c>
      <c r="K17" s="877">
        <f>S17/S19</f>
        <v>0.37386600083229293</v>
      </c>
      <c r="L17" s="877">
        <f>T17/T19</f>
        <v>0.3800947867298578</v>
      </c>
      <c r="M17" s="877">
        <f>U17/U19</f>
        <v>0.38080446037435289</v>
      </c>
      <c r="N17" s="877">
        <f>V17/V19</f>
        <v>0.38496530454895916</v>
      </c>
      <c r="O17" s="729"/>
      <c r="P17" s="724" t="s">
        <v>137</v>
      </c>
      <c r="Q17" s="749" t="s">
        <v>55</v>
      </c>
      <c r="R17" s="794">
        <f t="shared" ref="R17:W18" si="2">R12+R15</f>
        <v>763.8</v>
      </c>
      <c r="S17" s="794">
        <f t="shared" si="2"/>
        <v>1796.8</v>
      </c>
      <c r="T17" s="794">
        <f t="shared" si="2"/>
        <v>1844.6</v>
      </c>
      <c r="U17" s="794">
        <f t="shared" si="2"/>
        <v>1912.4</v>
      </c>
      <c r="V17" s="794">
        <f t="shared" si="2"/>
        <v>1997.2</v>
      </c>
      <c r="W17" s="790">
        <f t="shared" si="2"/>
        <v>2023</v>
      </c>
      <c r="X17" s="719"/>
      <c r="Y17" s="719"/>
      <c r="Z17" s="719"/>
      <c r="AA17" s="794">
        <f>AA12+AA15</f>
        <v>921.8</v>
      </c>
      <c r="AB17" s="719"/>
      <c r="AC17" s="719"/>
      <c r="AD17" s="719"/>
      <c r="AE17" s="719"/>
      <c r="AF17" s="719"/>
      <c r="AG17" s="719"/>
      <c r="AH17" s="719"/>
      <c r="AI17" s="719"/>
      <c r="AJ17" s="719"/>
      <c r="AK17" s="719"/>
      <c r="AL17" s="719"/>
      <c r="AM17" s="719"/>
      <c r="AN17" s="719"/>
      <c r="AO17" s="719"/>
      <c r="AP17" s="719"/>
      <c r="AQ17" s="719"/>
      <c r="AR17" s="719"/>
      <c r="AS17" s="719"/>
      <c r="AT17" s="719"/>
      <c r="AU17" s="719"/>
      <c r="AV17" s="719"/>
      <c r="AW17" s="719"/>
      <c r="AX17" s="719"/>
      <c r="AY17" s="719"/>
      <c r="AZ17" s="719"/>
      <c r="BA17" s="719"/>
      <c r="BB17" s="719"/>
      <c r="BC17" s="1867"/>
    </row>
    <row r="18" spans="1:55">
      <c r="A18" s="719"/>
      <c r="B18" s="719"/>
      <c r="C18" s="719"/>
      <c r="D18" s="811"/>
      <c r="E18" s="720"/>
      <c r="F18" s="720"/>
      <c r="G18" s="720"/>
      <c r="H18" s="720"/>
      <c r="I18" s="729"/>
      <c r="J18" s="796">
        <f>AA17/AA19</f>
        <v>0.3799670239076669</v>
      </c>
      <c r="K18" s="730" t="s">
        <v>871</v>
      </c>
      <c r="L18" s="730"/>
      <c r="M18" s="797" t="s">
        <v>870</v>
      </c>
      <c r="N18" s="757">
        <f>W17/W19</f>
        <v>0.3817701453104359</v>
      </c>
      <c r="O18" s="729"/>
      <c r="P18" s="719"/>
      <c r="Q18" s="749" t="s">
        <v>368</v>
      </c>
      <c r="R18" s="794">
        <f t="shared" si="2"/>
        <v>1491.2</v>
      </c>
      <c r="S18" s="794">
        <f t="shared" si="2"/>
        <v>3009.2</v>
      </c>
      <c r="T18" s="794">
        <f t="shared" si="2"/>
        <v>3008.4</v>
      </c>
      <c r="U18" s="794">
        <f t="shared" si="2"/>
        <v>3109.6</v>
      </c>
      <c r="V18" s="794">
        <f t="shared" si="2"/>
        <v>3190.8</v>
      </c>
      <c r="W18" s="790">
        <f t="shared" si="2"/>
        <v>3276</v>
      </c>
      <c r="X18" s="719"/>
      <c r="Y18" s="719"/>
      <c r="Z18" s="719"/>
      <c r="AA18" s="794">
        <f>AA13+AA16</f>
        <v>1504.2</v>
      </c>
      <c r="AB18" s="719"/>
      <c r="AC18" s="719"/>
      <c r="AD18" s="719"/>
      <c r="AE18" s="719"/>
      <c r="AF18" s="719"/>
      <c r="AG18" s="719"/>
      <c r="AH18" s="719"/>
      <c r="AI18" s="719"/>
      <c r="AJ18" s="719"/>
      <c r="AK18" s="719"/>
      <c r="AL18" s="719"/>
      <c r="AM18" s="719"/>
      <c r="AN18" s="719"/>
      <c r="AO18" s="719"/>
      <c r="AP18" s="719"/>
      <c r="AQ18" s="719"/>
      <c r="AR18" s="719"/>
      <c r="AS18" s="719"/>
      <c r="AT18" s="719"/>
      <c r="AU18" s="719"/>
      <c r="AV18" s="719"/>
      <c r="AW18" s="719"/>
      <c r="AX18" s="719"/>
      <c r="AY18" s="719"/>
      <c r="AZ18" s="719"/>
      <c r="BA18" s="719"/>
      <c r="BB18" s="719"/>
      <c r="BC18" s="1867"/>
    </row>
    <row r="19" spans="1:55">
      <c r="A19" s="719"/>
      <c r="B19" s="719"/>
      <c r="C19" s="719"/>
      <c r="D19" s="811"/>
      <c r="E19" s="720"/>
      <c r="F19" s="720"/>
      <c r="G19" s="720"/>
      <c r="H19" s="720"/>
      <c r="I19" s="729"/>
      <c r="J19" s="730"/>
      <c r="K19" s="730"/>
      <c r="L19" s="730"/>
      <c r="M19" s="730"/>
      <c r="N19" s="730"/>
      <c r="O19" s="729"/>
      <c r="P19" s="728"/>
      <c r="Q19" s="719"/>
      <c r="R19" s="725">
        <f t="shared" ref="R19:W19" si="3">R17+R18</f>
        <v>2255</v>
      </c>
      <c r="S19" s="725">
        <f t="shared" si="3"/>
        <v>4806</v>
      </c>
      <c r="T19" s="725">
        <f t="shared" si="3"/>
        <v>4853</v>
      </c>
      <c r="U19" s="725">
        <f t="shared" si="3"/>
        <v>5022</v>
      </c>
      <c r="V19" s="725">
        <f t="shared" si="3"/>
        <v>5188</v>
      </c>
      <c r="W19" s="791">
        <f t="shared" si="3"/>
        <v>5299</v>
      </c>
      <c r="X19" s="719"/>
      <c r="Y19" s="719"/>
      <c r="Z19" s="719"/>
      <c r="AA19" s="725">
        <f>AA17+AA18</f>
        <v>2426</v>
      </c>
      <c r="AB19" s="719"/>
      <c r="AC19" s="719"/>
      <c r="AD19" s="719"/>
      <c r="AE19" s="719"/>
      <c r="AF19" s="719"/>
      <c r="AG19" s="719"/>
      <c r="AH19" s="719"/>
      <c r="AI19" s="719"/>
      <c r="AJ19" s="719"/>
      <c r="AK19" s="719"/>
      <c r="AL19" s="719"/>
      <c r="AM19" s="719"/>
      <c r="AN19" s="719"/>
      <c r="AO19" s="719"/>
      <c r="AP19" s="719"/>
      <c r="AQ19" s="719"/>
      <c r="AR19" s="719"/>
      <c r="AS19" s="719"/>
      <c r="AT19" s="719"/>
      <c r="AU19" s="719"/>
      <c r="AV19" s="719"/>
      <c r="AW19" s="719"/>
      <c r="AX19" s="719"/>
      <c r="AY19" s="719"/>
      <c r="AZ19" s="719"/>
      <c r="BA19" s="719"/>
      <c r="BB19" s="719"/>
      <c r="BC19" s="1867"/>
    </row>
    <row r="20" spans="1:55">
      <c r="A20" s="719"/>
      <c r="B20" s="719"/>
      <c r="C20" s="719"/>
      <c r="D20" s="811"/>
      <c r="E20" s="720"/>
      <c r="F20" s="720"/>
      <c r="G20" s="720"/>
      <c r="H20" s="720"/>
      <c r="I20" s="729"/>
      <c r="J20" s="730"/>
      <c r="K20" s="730"/>
      <c r="L20" s="730"/>
      <c r="M20" s="730"/>
      <c r="N20" s="730"/>
      <c r="O20" s="729"/>
      <c r="P20" s="749" t="s">
        <v>370</v>
      </c>
      <c r="Q20" s="749" t="s">
        <v>137</v>
      </c>
      <c r="R20" s="749">
        <v>149</v>
      </c>
      <c r="S20" s="749">
        <v>304</v>
      </c>
      <c r="T20" s="749">
        <v>318</v>
      </c>
      <c r="U20" s="749">
        <v>342</v>
      </c>
      <c r="V20" s="749">
        <v>386</v>
      </c>
      <c r="W20" s="749">
        <v>386</v>
      </c>
      <c r="X20" s="719"/>
      <c r="Y20" s="719"/>
      <c r="Z20" s="719"/>
      <c r="AA20" s="749">
        <v>154</v>
      </c>
      <c r="AB20" s="719"/>
      <c r="AC20" s="719"/>
      <c r="AD20" s="719"/>
      <c r="AE20" s="719"/>
      <c r="AF20" s="719"/>
      <c r="AG20" s="719"/>
      <c r="AH20" s="719"/>
      <c r="AI20" s="719"/>
      <c r="AJ20" s="719"/>
      <c r="AK20" s="719"/>
      <c r="AL20" s="719"/>
      <c r="AM20" s="719"/>
      <c r="AN20" s="719"/>
      <c r="AO20" s="719"/>
      <c r="AP20" s="719"/>
      <c r="AQ20" s="719"/>
      <c r="AR20" s="719"/>
      <c r="AS20" s="719"/>
      <c r="AT20" s="719"/>
      <c r="AU20" s="719"/>
      <c r="AV20" s="719"/>
      <c r="AW20" s="719"/>
      <c r="AX20" s="719"/>
      <c r="AY20" s="719"/>
      <c r="AZ20" s="719"/>
      <c r="BA20" s="719"/>
      <c r="BB20" s="719"/>
      <c r="BC20" s="1867"/>
    </row>
    <row r="21" spans="1:55">
      <c r="A21" s="719"/>
      <c r="B21" s="719"/>
      <c r="C21" s="719"/>
      <c r="D21" s="811"/>
      <c r="E21" s="720"/>
      <c r="F21" s="720"/>
      <c r="G21" s="720"/>
      <c r="H21" s="720"/>
      <c r="I21" s="729"/>
      <c r="J21" s="730"/>
      <c r="K21" s="730"/>
      <c r="L21" s="730"/>
      <c r="M21" s="730"/>
      <c r="N21" s="730"/>
      <c r="O21" s="729"/>
      <c r="P21" s="728"/>
      <c r="Q21" s="803" t="s">
        <v>895</v>
      </c>
      <c r="R21" s="792">
        <f t="shared" ref="R21:W21" si="4">R20/R19</f>
        <v>6.6075388026607534E-2</v>
      </c>
      <c r="S21" s="792">
        <f t="shared" si="4"/>
        <v>6.3254265501456519E-2</v>
      </c>
      <c r="T21" s="792">
        <f t="shared" si="4"/>
        <v>6.5526478466927676E-2</v>
      </c>
      <c r="U21" s="792">
        <f t="shared" si="4"/>
        <v>6.8100358422939072E-2</v>
      </c>
      <c r="V21" s="792">
        <f t="shared" si="4"/>
        <v>7.4402467232074013E-2</v>
      </c>
      <c r="W21" s="792">
        <f t="shared" si="4"/>
        <v>7.2843932817512738E-2</v>
      </c>
      <c r="X21" s="719"/>
      <c r="Y21" s="719"/>
      <c r="Z21" s="719"/>
      <c r="AA21" s="728"/>
      <c r="AB21" s="719"/>
      <c r="AC21" s="719"/>
      <c r="AD21" s="719"/>
      <c r="AE21" s="719"/>
      <c r="AF21" s="719"/>
      <c r="AG21" s="719"/>
      <c r="AH21" s="719"/>
      <c r="AI21" s="719"/>
      <c r="AJ21" s="719"/>
      <c r="AK21" s="719"/>
      <c r="AL21" s="719"/>
      <c r="AM21" s="719"/>
      <c r="AN21" s="719"/>
      <c r="AO21" s="719"/>
      <c r="AP21" s="719"/>
      <c r="AQ21" s="719"/>
      <c r="AR21" s="719"/>
      <c r="AS21" s="719"/>
      <c r="AT21" s="719"/>
      <c r="AU21" s="719"/>
      <c r="AV21" s="719"/>
      <c r="AW21" s="719"/>
      <c r="AX21" s="719"/>
      <c r="AY21" s="719"/>
      <c r="AZ21" s="719"/>
      <c r="BA21" s="719"/>
      <c r="BB21" s="719"/>
      <c r="BC21" s="1867"/>
    </row>
    <row r="22" spans="1:55">
      <c r="A22" s="719"/>
      <c r="B22" s="719"/>
      <c r="C22" s="719"/>
      <c r="D22" s="811"/>
      <c r="E22" s="720"/>
      <c r="F22" s="720"/>
      <c r="G22" s="720"/>
      <c r="H22" s="720"/>
      <c r="I22" s="729"/>
      <c r="J22" s="730"/>
      <c r="K22" s="730"/>
      <c r="L22" s="730"/>
      <c r="M22" s="730"/>
      <c r="N22" s="730"/>
      <c r="O22" s="758"/>
      <c r="P22" s="759"/>
      <c r="Q22" s="759"/>
      <c r="R22" s="759"/>
      <c r="S22" s="759"/>
      <c r="T22" s="759"/>
      <c r="U22" s="759"/>
      <c r="V22" s="728"/>
      <c r="W22" s="728"/>
      <c r="X22" s="728"/>
      <c r="Y22" s="719"/>
      <c r="Z22" s="719"/>
      <c r="AA22" s="719"/>
      <c r="AB22" s="719"/>
      <c r="AC22" s="719"/>
      <c r="AD22" s="719"/>
      <c r="AE22" s="719"/>
      <c r="AF22" s="719"/>
      <c r="AG22" s="719"/>
      <c r="AH22" s="719"/>
      <c r="AI22" s="719"/>
      <c r="AJ22" s="719"/>
      <c r="AK22" s="719"/>
      <c r="AL22" s="719"/>
      <c r="AM22" s="719"/>
      <c r="AN22" s="719"/>
      <c r="AO22" s="719"/>
      <c r="AP22" s="719"/>
      <c r="AQ22" s="719"/>
      <c r="AR22" s="719"/>
      <c r="AS22" s="719"/>
      <c r="AT22" s="719"/>
      <c r="AU22" s="719"/>
      <c r="AV22" s="719"/>
      <c r="AW22" s="719"/>
      <c r="AX22" s="719"/>
      <c r="AY22" s="719"/>
      <c r="AZ22" s="719"/>
      <c r="BA22" s="719"/>
      <c r="BB22" s="719"/>
      <c r="BC22" s="1867"/>
    </row>
    <row r="23" spans="1:55">
      <c r="A23" s="46" t="s">
        <v>50</v>
      </c>
      <c r="B23" s="177" t="s">
        <v>366</v>
      </c>
      <c r="C23" s="168" t="s">
        <v>140</v>
      </c>
      <c r="D23" s="1874"/>
      <c r="E23" s="253">
        <v>31.28</v>
      </c>
      <c r="F23" s="253">
        <v>30.41</v>
      </c>
      <c r="G23" s="253">
        <v>36.369999999999997</v>
      </c>
      <c r="H23" s="253">
        <v>37.07</v>
      </c>
      <c r="I23" s="47"/>
      <c r="J23" s="263"/>
      <c r="K23" s="263"/>
      <c r="L23" s="263"/>
      <c r="M23" s="263"/>
      <c r="N23" s="263"/>
      <c r="O23" s="49"/>
      <c r="P23" s="50" t="s">
        <v>1134</v>
      </c>
      <c r="Q23" s="50"/>
      <c r="R23" s="50"/>
      <c r="S23" s="57"/>
      <c r="T23" s="50"/>
      <c r="U23" s="50"/>
      <c r="V23" s="48"/>
      <c r="W23" s="4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row>
    <row r="24" spans="1:55">
      <c r="A24" s="169"/>
      <c r="B24" s="169"/>
      <c r="C24" s="169" t="s">
        <v>141</v>
      </c>
      <c r="D24" s="335"/>
      <c r="E24" s="250">
        <v>31.01</v>
      </c>
      <c r="F24" s="250">
        <v>32.119999999999997</v>
      </c>
      <c r="G24" s="250">
        <v>40.08</v>
      </c>
      <c r="H24" s="250">
        <v>40.71</v>
      </c>
      <c r="I24" s="49"/>
      <c r="J24" s="259"/>
      <c r="K24" s="259"/>
      <c r="L24" s="259"/>
      <c r="M24" s="259"/>
      <c r="N24" s="259"/>
      <c r="O24" s="49"/>
      <c r="P24" s="169"/>
      <c r="Q24" s="50"/>
      <c r="R24" s="50"/>
      <c r="S24" s="50"/>
      <c r="T24" s="50"/>
      <c r="U24" s="50"/>
      <c r="V24" s="50"/>
      <c r="W24" s="50"/>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row>
    <row r="25" spans="1:55">
      <c r="A25" s="169"/>
      <c r="B25" s="169"/>
      <c r="C25" s="169" t="s">
        <v>142</v>
      </c>
      <c r="D25" s="335"/>
      <c r="E25" s="250">
        <v>21.93</v>
      </c>
      <c r="F25" s="250">
        <v>21.13</v>
      </c>
      <c r="G25" s="250">
        <v>7.27</v>
      </c>
      <c r="H25" s="250">
        <v>5.93</v>
      </c>
      <c r="I25" s="49"/>
      <c r="J25" s="259"/>
      <c r="K25" s="259"/>
      <c r="L25" s="259"/>
      <c r="M25" s="259"/>
      <c r="N25" s="259"/>
      <c r="O25" s="49"/>
      <c r="P25" s="50" t="s">
        <v>1135</v>
      </c>
      <c r="Q25" s="50"/>
      <c r="R25" s="50"/>
      <c r="S25" s="50"/>
      <c r="T25" s="50"/>
      <c r="U25" s="50"/>
      <c r="V25" s="50"/>
      <c r="W25" s="50"/>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row>
    <row r="26" spans="1:55">
      <c r="A26" s="169"/>
      <c r="B26" s="169"/>
      <c r="C26" s="169" t="s">
        <v>143</v>
      </c>
      <c r="D26" s="335"/>
      <c r="E26" s="250">
        <v>15.53</v>
      </c>
      <c r="F26" s="250">
        <v>16.239999999999998</v>
      </c>
      <c r="G26" s="250">
        <v>16.09</v>
      </c>
      <c r="H26" s="250">
        <v>16.100000000000001</v>
      </c>
      <c r="I26" s="49"/>
      <c r="J26" s="259"/>
      <c r="K26" s="259"/>
      <c r="L26" s="259"/>
      <c r="M26" s="259"/>
      <c r="N26" s="259"/>
      <c r="O26" s="49"/>
      <c r="P26" s="50" t="s">
        <v>1136</v>
      </c>
      <c r="Q26" s="50"/>
      <c r="R26" s="50"/>
      <c r="S26" s="50"/>
      <c r="T26" s="50"/>
      <c r="U26" s="50"/>
      <c r="V26" s="50"/>
      <c r="W26" s="50"/>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row>
    <row r="27" spans="1:55">
      <c r="A27" s="169"/>
      <c r="B27" s="178" t="s">
        <v>366</v>
      </c>
      <c r="C27" s="169" t="s">
        <v>144</v>
      </c>
      <c r="D27" s="335"/>
      <c r="E27" s="250">
        <v>33.72</v>
      </c>
      <c r="F27" s="250">
        <v>33.32</v>
      </c>
      <c r="G27" s="250">
        <v>33.1</v>
      </c>
      <c r="H27" s="250">
        <v>31.5</v>
      </c>
      <c r="I27" s="49"/>
      <c r="J27" s="259"/>
      <c r="K27" s="259"/>
      <c r="L27" s="259"/>
      <c r="M27" s="259"/>
      <c r="N27" s="259"/>
      <c r="O27" s="49"/>
      <c r="P27" s="63" t="s">
        <v>1133</v>
      </c>
      <c r="Q27" s="50"/>
      <c r="R27" s="50"/>
      <c r="S27" s="50"/>
      <c r="T27" s="50"/>
      <c r="U27" s="50"/>
      <c r="V27" s="50"/>
      <c r="W27" s="50"/>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row>
    <row r="28" spans="1:55">
      <c r="A28" s="169"/>
      <c r="B28" s="169"/>
      <c r="C28" s="169" t="s">
        <v>145</v>
      </c>
      <c r="D28" s="335"/>
      <c r="E28" s="250">
        <v>25.78</v>
      </c>
      <c r="F28" s="250">
        <v>28.32</v>
      </c>
      <c r="G28" s="250">
        <v>27.92</v>
      </c>
      <c r="H28" s="250">
        <v>29.83</v>
      </c>
      <c r="I28" s="49"/>
      <c r="J28" s="259"/>
      <c r="K28" s="259"/>
      <c r="L28" s="259"/>
      <c r="M28" s="259"/>
      <c r="N28" s="259"/>
      <c r="O28" s="49"/>
      <c r="P28" s="1298" t="s">
        <v>1138</v>
      </c>
      <c r="Q28" s="50"/>
      <c r="R28" s="50"/>
      <c r="S28" s="50"/>
      <c r="T28" s="50"/>
      <c r="U28" s="50"/>
      <c r="V28" s="50"/>
      <c r="W28" s="50"/>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row>
    <row r="29" spans="1:55">
      <c r="A29" s="169"/>
      <c r="B29" s="169"/>
      <c r="C29" s="169" t="s">
        <v>146</v>
      </c>
      <c r="D29" s="335"/>
      <c r="E29" s="250">
        <v>23.08</v>
      </c>
      <c r="F29" s="250">
        <v>23.32</v>
      </c>
      <c r="G29" s="250">
        <v>25.17</v>
      </c>
      <c r="H29" s="250">
        <v>25.85</v>
      </c>
      <c r="I29" s="49"/>
      <c r="J29" s="259"/>
      <c r="K29" s="259"/>
      <c r="L29" s="259"/>
      <c r="M29" s="259"/>
      <c r="N29" s="259"/>
      <c r="O29" s="49"/>
      <c r="P29" s="63" t="s">
        <v>1137</v>
      </c>
      <c r="Q29" s="50"/>
      <c r="R29" s="50"/>
      <c r="S29" s="50"/>
      <c r="T29" s="50"/>
      <c r="U29" s="50"/>
      <c r="V29" s="50"/>
      <c r="W29" s="50"/>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row>
    <row r="30" spans="1:55">
      <c r="A30" s="169"/>
      <c r="B30" s="169"/>
      <c r="C30" s="169" t="s">
        <v>147</v>
      </c>
      <c r="D30" s="335"/>
      <c r="E30" s="250">
        <v>17.43</v>
      </c>
      <c r="F30" s="250">
        <v>15.04</v>
      </c>
      <c r="G30" s="250">
        <v>13.82</v>
      </c>
      <c r="H30" s="250">
        <v>12.83</v>
      </c>
      <c r="I30" s="49"/>
      <c r="J30" s="259"/>
      <c r="K30" s="259"/>
      <c r="L30" s="259"/>
      <c r="M30" s="259"/>
      <c r="N30" s="259"/>
      <c r="O30" s="49"/>
      <c r="P30" s="63" t="s">
        <v>1140</v>
      </c>
      <c r="Q30" s="50"/>
      <c r="R30" s="50"/>
      <c r="S30" s="50"/>
      <c r="T30" s="50"/>
      <c r="U30" s="50"/>
      <c r="V30" s="50"/>
      <c r="W30" s="50"/>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row>
    <row r="31" spans="1:55">
      <c r="A31" s="169"/>
      <c r="B31" s="169" t="s">
        <v>139</v>
      </c>
      <c r="C31" s="169" t="s">
        <v>142</v>
      </c>
      <c r="D31" s="335"/>
      <c r="E31" s="250">
        <v>37.44</v>
      </c>
      <c r="F31" s="250">
        <v>37.909999999999997</v>
      </c>
      <c r="G31" s="250" t="s">
        <v>136</v>
      </c>
      <c r="H31" s="250" t="s">
        <v>136</v>
      </c>
      <c r="I31" s="49"/>
      <c r="J31" s="259"/>
      <c r="K31" s="259"/>
      <c r="L31" s="259"/>
      <c r="M31" s="259"/>
      <c r="N31" s="259"/>
      <c r="O31" s="49"/>
      <c r="P31" s="1298" t="s">
        <v>1139</v>
      </c>
      <c r="Q31" s="50"/>
      <c r="R31" s="50"/>
      <c r="S31" s="50"/>
      <c r="T31" s="50"/>
      <c r="U31" s="50"/>
      <c r="V31" s="50"/>
      <c r="W31" s="50"/>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row>
    <row r="32" spans="1:55">
      <c r="A32" s="169"/>
      <c r="B32" s="169"/>
      <c r="C32" s="169" t="s">
        <v>140</v>
      </c>
      <c r="D32" s="335"/>
      <c r="E32" s="250">
        <v>31.31</v>
      </c>
      <c r="F32" s="250">
        <v>30.18</v>
      </c>
      <c r="G32" s="250" t="s">
        <v>136</v>
      </c>
      <c r="H32" s="250" t="s">
        <v>136</v>
      </c>
      <c r="I32" s="49"/>
      <c r="J32" s="259"/>
      <c r="K32" s="259"/>
      <c r="L32" s="259"/>
      <c r="M32" s="259"/>
      <c r="N32" s="259"/>
      <c r="O32" s="49"/>
      <c r="P32" s="1298" t="s">
        <v>1141</v>
      </c>
      <c r="Q32" s="50"/>
      <c r="R32" s="50"/>
      <c r="S32" s="50"/>
      <c r="T32" s="50"/>
      <c r="U32" s="50"/>
      <c r="V32" s="50"/>
      <c r="W32" s="50"/>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row>
    <row r="33" spans="1:55">
      <c r="A33" s="169"/>
      <c r="B33" s="169"/>
      <c r="C33" s="169" t="s">
        <v>143</v>
      </c>
      <c r="D33" s="335"/>
      <c r="E33" s="250">
        <v>18.899999999999999</v>
      </c>
      <c r="F33" s="250">
        <v>19.920000000000002</v>
      </c>
      <c r="G33" s="250" t="s">
        <v>136</v>
      </c>
      <c r="H33" s="250" t="s">
        <v>136</v>
      </c>
      <c r="I33" s="49"/>
      <c r="J33" s="259"/>
      <c r="K33" s="259"/>
      <c r="L33" s="259"/>
      <c r="M33" s="259"/>
      <c r="N33" s="259"/>
      <c r="O33" s="49"/>
      <c r="P33" s="1298" t="s">
        <v>1142</v>
      </c>
      <c r="Q33" s="50"/>
      <c r="R33" s="50"/>
      <c r="S33" s="50"/>
      <c r="T33" s="50"/>
      <c r="U33" s="50"/>
      <c r="V33" s="50"/>
      <c r="W33" s="50"/>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row>
    <row r="34" spans="1:55">
      <c r="A34" s="169"/>
      <c r="B34" s="169"/>
      <c r="C34" s="178" t="s">
        <v>141</v>
      </c>
      <c r="D34" s="1875"/>
      <c r="E34" s="250">
        <v>10.130000000000001</v>
      </c>
      <c r="F34" s="250">
        <v>10.34</v>
      </c>
      <c r="G34" s="250" t="s">
        <v>136</v>
      </c>
      <c r="H34" s="250" t="s">
        <v>136</v>
      </c>
      <c r="I34" s="49"/>
      <c r="J34" s="259"/>
      <c r="K34" s="259"/>
      <c r="L34" s="259"/>
      <c r="M34" s="259"/>
      <c r="N34" s="259"/>
      <c r="O34" s="49"/>
      <c r="P34" s="1298" t="s">
        <v>1143</v>
      </c>
      <c r="Q34" s="50"/>
      <c r="R34" s="50"/>
      <c r="S34" s="50"/>
      <c r="T34" s="50"/>
      <c r="U34" s="50"/>
      <c r="V34" s="50"/>
      <c r="W34" s="50"/>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row>
    <row r="35" spans="1:55">
      <c r="A35" s="169"/>
      <c r="B35" s="169"/>
      <c r="C35" s="178"/>
      <c r="D35" s="1875"/>
      <c r="E35" s="250"/>
      <c r="F35" s="250"/>
      <c r="G35" s="250"/>
      <c r="H35" s="250"/>
      <c r="I35" s="49"/>
      <c r="J35" s="259"/>
      <c r="K35" s="259"/>
      <c r="L35" s="259"/>
      <c r="M35" s="259"/>
      <c r="N35" s="259"/>
      <c r="O35" s="49"/>
      <c r="P35" s="1298"/>
      <c r="Q35" s="50"/>
      <c r="R35" s="50"/>
      <c r="S35" s="50"/>
      <c r="T35" s="50"/>
      <c r="U35" s="50"/>
      <c r="V35" s="50"/>
      <c r="W35" s="50"/>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row>
    <row r="36" spans="1:55">
      <c r="A36" s="55" t="s">
        <v>106</v>
      </c>
      <c r="B36" s="177" t="s">
        <v>366</v>
      </c>
      <c r="C36" s="168" t="s">
        <v>148</v>
      </c>
      <c r="D36" s="1874"/>
      <c r="E36" s="253">
        <v>80.17</v>
      </c>
      <c r="F36" s="253">
        <v>88.41</v>
      </c>
      <c r="G36" s="253">
        <v>89.36</v>
      </c>
      <c r="H36" s="253"/>
      <c r="I36" s="47"/>
      <c r="J36" s="263"/>
      <c r="K36" s="263"/>
      <c r="L36" s="263"/>
      <c r="M36" s="263"/>
      <c r="N36" s="263"/>
      <c r="O36" s="47"/>
      <c r="P36" s="48"/>
      <c r="Q36" s="48"/>
      <c r="R36" s="48"/>
      <c r="S36" s="48"/>
      <c r="T36" s="48"/>
      <c r="U36" s="48"/>
      <c r="V36" s="48"/>
      <c r="W36" s="4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row>
    <row r="37" spans="1:55">
      <c r="A37" s="248"/>
      <c r="B37" s="169"/>
      <c r="C37" s="169" t="s">
        <v>149</v>
      </c>
      <c r="D37" s="335"/>
      <c r="E37" s="250">
        <v>15.29</v>
      </c>
      <c r="F37" s="250">
        <v>11.21</v>
      </c>
      <c r="G37" s="250">
        <v>10.27</v>
      </c>
      <c r="H37" s="250"/>
      <c r="I37" s="49"/>
      <c r="J37" s="259"/>
      <c r="K37" s="259"/>
      <c r="L37" s="259"/>
      <c r="M37" s="259"/>
      <c r="N37" s="259"/>
      <c r="O37" s="49"/>
      <c r="P37" s="169"/>
      <c r="Q37" s="169"/>
      <c r="R37" s="50"/>
      <c r="S37" s="50"/>
      <c r="T37" s="50"/>
      <c r="U37" s="50"/>
      <c r="V37" s="50"/>
      <c r="W37" s="50"/>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row>
    <row r="38" spans="1:55">
      <c r="A38" s="169"/>
      <c r="B38" s="169"/>
      <c r="C38" s="169" t="s">
        <v>151</v>
      </c>
      <c r="D38" s="335"/>
      <c r="E38" s="250">
        <v>4.55</v>
      </c>
      <c r="F38" s="250">
        <v>0.4</v>
      </c>
      <c r="G38" s="250">
        <v>0.37</v>
      </c>
      <c r="H38" s="250"/>
      <c r="I38" s="49"/>
      <c r="J38" s="259"/>
      <c r="K38" s="259"/>
      <c r="L38" s="259"/>
      <c r="M38" s="259"/>
      <c r="N38" s="259"/>
      <c r="O38" s="49"/>
      <c r="P38" s="50" t="s">
        <v>150</v>
      </c>
      <c r="Q38" s="49"/>
      <c r="R38" s="49"/>
      <c r="S38" s="49"/>
      <c r="T38" s="49"/>
      <c r="U38" s="49"/>
      <c r="V38" s="49"/>
      <c r="W38" s="49"/>
      <c r="X38" s="49"/>
      <c r="Y38" s="4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row>
    <row r="39" spans="1:55">
      <c r="A39" s="169"/>
      <c r="B39" s="51" t="s">
        <v>366</v>
      </c>
      <c r="C39" s="169" t="s">
        <v>152</v>
      </c>
      <c r="D39" s="335"/>
      <c r="E39" s="250" t="s">
        <v>136</v>
      </c>
      <c r="F39" s="250"/>
      <c r="G39" s="250"/>
      <c r="H39" s="250"/>
      <c r="I39" s="49"/>
      <c r="J39" s="259"/>
      <c r="K39" s="259"/>
      <c r="L39" s="259"/>
      <c r="M39" s="259"/>
      <c r="N39" s="259"/>
      <c r="O39" s="49"/>
      <c r="P39" s="50" t="s">
        <v>529</v>
      </c>
      <c r="Q39" s="49"/>
      <c r="R39" s="49"/>
      <c r="S39" s="49"/>
      <c r="T39" s="49"/>
      <c r="U39" s="49"/>
      <c r="V39" s="49"/>
      <c r="W39" s="49"/>
      <c r="X39" s="49"/>
      <c r="Y39" s="4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row>
    <row r="40" spans="1:55">
      <c r="A40" s="169"/>
      <c r="B40" s="169"/>
      <c r="C40" s="56" t="s">
        <v>153</v>
      </c>
      <c r="D40" s="1876"/>
      <c r="E40" s="250" t="s">
        <v>136</v>
      </c>
      <c r="F40" s="250" t="s">
        <v>136</v>
      </c>
      <c r="G40" s="250">
        <v>6.11</v>
      </c>
      <c r="H40" s="250">
        <v>11.59</v>
      </c>
      <c r="I40" s="49"/>
      <c r="J40" s="259"/>
      <c r="K40" s="259"/>
      <c r="L40" s="259"/>
      <c r="M40" s="259"/>
      <c r="N40" s="259"/>
      <c r="O40" s="49"/>
      <c r="P40" s="50" t="s">
        <v>530</v>
      </c>
      <c r="Q40" s="49"/>
      <c r="R40" s="49"/>
      <c r="S40" s="49"/>
      <c r="T40" s="49"/>
      <c r="U40" s="49"/>
      <c r="V40" s="49"/>
      <c r="W40" s="49"/>
      <c r="X40" s="49"/>
      <c r="Y40" s="4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row>
    <row r="41" spans="1:55">
      <c r="A41" s="169"/>
      <c r="B41" s="169"/>
      <c r="C41" s="51" t="s">
        <v>154</v>
      </c>
      <c r="D41" s="1870"/>
      <c r="E41" s="250" t="s">
        <v>136</v>
      </c>
      <c r="F41" s="250" t="s">
        <v>136</v>
      </c>
      <c r="G41" s="250">
        <v>57.03</v>
      </c>
      <c r="H41" s="250">
        <v>53.87</v>
      </c>
      <c r="I41" s="812" t="s">
        <v>369</v>
      </c>
      <c r="J41" s="873" t="s">
        <v>508</v>
      </c>
      <c r="K41" s="873" t="s">
        <v>508</v>
      </c>
      <c r="L41" s="873" t="s">
        <v>508</v>
      </c>
      <c r="M41" s="833">
        <f>G41/(G$41+G$42)</f>
        <v>0.60734824281150157</v>
      </c>
      <c r="N41" s="833">
        <f>H41/(H$41+H$42)</f>
        <v>0.60938914027149316</v>
      </c>
      <c r="O41" s="235"/>
      <c r="P41" s="169"/>
      <c r="Q41" s="50"/>
      <c r="R41" s="50"/>
      <c r="S41" s="50"/>
      <c r="T41" s="50"/>
      <c r="U41" s="50"/>
      <c r="V41" s="50"/>
      <c r="W41" s="50"/>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row>
    <row r="42" spans="1:55">
      <c r="A42" s="169"/>
      <c r="B42" s="169"/>
      <c r="C42" s="51" t="s">
        <v>155</v>
      </c>
      <c r="D42" s="1870"/>
      <c r="E42" s="250" t="s">
        <v>136</v>
      </c>
      <c r="F42" s="250" t="s">
        <v>136</v>
      </c>
      <c r="G42" s="250">
        <v>36.869999999999997</v>
      </c>
      <c r="H42" s="250">
        <v>34.53</v>
      </c>
      <c r="I42" s="49"/>
      <c r="J42" s="259"/>
      <c r="K42" s="264"/>
      <c r="L42" s="264"/>
      <c r="M42" s="264"/>
      <c r="N42" s="264"/>
      <c r="O42" s="53"/>
      <c r="P42" s="2327" t="s">
        <v>922</v>
      </c>
      <c r="Q42" s="50"/>
      <c r="R42" s="50"/>
      <c r="S42" s="50"/>
      <c r="T42" s="50"/>
      <c r="U42" s="50"/>
      <c r="V42" s="50"/>
      <c r="W42" s="50"/>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row>
    <row r="43" spans="1:55">
      <c r="A43" s="169"/>
      <c r="B43" s="169" t="s">
        <v>139</v>
      </c>
      <c r="C43" s="169" t="s">
        <v>148</v>
      </c>
      <c r="D43" s="335"/>
      <c r="E43" s="250">
        <v>110.11</v>
      </c>
      <c r="F43" s="250">
        <v>89.71</v>
      </c>
      <c r="G43" s="250">
        <v>143.81</v>
      </c>
      <c r="H43" s="250"/>
      <c r="I43" s="49"/>
      <c r="J43" s="259"/>
      <c r="K43" s="259"/>
      <c r="L43" s="259"/>
      <c r="M43" s="259"/>
      <c r="N43" s="259"/>
      <c r="O43" s="49"/>
      <c r="P43" s="2327" t="s">
        <v>923</v>
      </c>
      <c r="Q43" s="50"/>
      <c r="R43" s="50"/>
      <c r="S43" s="50"/>
      <c r="T43" s="50"/>
      <c r="U43" s="50"/>
      <c r="V43" s="50"/>
      <c r="W43" s="50"/>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row>
    <row r="44" spans="1:55">
      <c r="A44" s="169"/>
      <c r="B44" s="169"/>
      <c r="C44" s="169" t="s">
        <v>149</v>
      </c>
      <c r="D44" s="335"/>
      <c r="E44" s="250">
        <v>0.8</v>
      </c>
      <c r="F44" s="250">
        <v>-0.4</v>
      </c>
      <c r="G44" s="250">
        <v>0.79</v>
      </c>
      <c r="H44" s="250"/>
      <c r="I44" s="49"/>
      <c r="J44" s="259"/>
      <c r="K44" s="259"/>
      <c r="L44" s="259"/>
      <c r="M44" s="259"/>
      <c r="N44" s="259"/>
      <c r="O44" s="49"/>
      <c r="P44" s="2327" t="s">
        <v>924</v>
      </c>
      <c r="Q44" s="50"/>
      <c r="R44" s="50"/>
      <c r="S44" s="50"/>
      <c r="T44" s="50"/>
      <c r="U44" s="50"/>
      <c r="V44" s="50"/>
      <c r="W44" s="50"/>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row>
    <row r="45" spans="1:55">
      <c r="A45" s="169"/>
      <c r="B45" s="169"/>
      <c r="C45" s="169" t="s">
        <v>156</v>
      </c>
      <c r="D45" s="335"/>
      <c r="E45" s="250"/>
      <c r="F45" s="250"/>
      <c r="G45" s="250"/>
      <c r="H45" s="250"/>
      <c r="I45" s="49"/>
      <c r="J45" s="259"/>
      <c r="K45" s="259"/>
      <c r="L45" s="259"/>
      <c r="M45" s="259"/>
      <c r="N45" s="259"/>
      <c r="O45" s="49"/>
      <c r="P45" s="2327" t="s">
        <v>925</v>
      </c>
      <c r="Q45" s="50"/>
      <c r="R45" s="50"/>
      <c r="S45" s="50"/>
      <c r="T45" s="50"/>
      <c r="U45" s="50"/>
      <c r="V45" s="50"/>
      <c r="W45" s="50"/>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row>
    <row r="46" spans="1:55">
      <c r="A46" s="169"/>
      <c r="B46" s="169"/>
      <c r="C46" s="169" t="s">
        <v>151</v>
      </c>
      <c r="D46" s="335"/>
      <c r="E46" s="250">
        <v>-10.9</v>
      </c>
      <c r="F46" s="250">
        <v>10.68</v>
      </c>
      <c r="G46" s="250">
        <v>-44.6</v>
      </c>
      <c r="H46" s="250"/>
      <c r="I46" s="49"/>
      <c r="J46" s="259"/>
      <c r="K46" s="259"/>
      <c r="L46" s="259"/>
      <c r="M46" s="259"/>
      <c r="N46" s="259"/>
      <c r="O46" s="49"/>
      <c r="P46" s="2327" t="s">
        <v>882</v>
      </c>
      <c r="Q46" s="50"/>
      <c r="R46" s="50"/>
      <c r="S46" s="50"/>
      <c r="T46" s="50"/>
      <c r="U46" s="50"/>
      <c r="V46" s="50"/>
      <c r="W46" s="50"/>
      <c r="X46" s="169"/>
      <c r="Y46" s="169"/>
      <c r="Z46" s="169"/>
      <c r="AA46" s="169"/>
      <c r="AB46" s="169"/>
      <c r="AC46" s="169"/>
      <c r="AD46" s="169"/>
      <c r="AE46" s="169"/>
      <c r="AF46" s="169"/>
      <c r="AG46" s="169"/>
      <c r="AH46" s="169"/>
      <c r="AI46" s="169"/>
      <c r="AJ46" s="169"/>
      <c r="AK46" s="169"/>
      <c r="AL46" s="169"/>
      <c r="AM46" s="169"/>
      <c r="AN46" s="169"/>
      <c r="AO46" s="169"/>
      <c r="AP46" s="169"/>
      <c r="AQ46" s="169"/>
      <c r="AR46" s="169"/>
      <c r="AS46" s="169"/>
      <c r="AT46" s="169"/>
      <c r="AU46" s="169"/>
      <c r="AV46" s="169"/>
      <c r="AW46" s="169"/>
      <c r="AX46" s="169"/>
      <c r="AY46" s="169"/>
      <c r="AZ46" s="169"/>
      <c r="BA46" s="169"/>
      <c r="BB46" s="169"/>
      <c r="BC46" s="169"/>
    </row>
    <row r="47" spans="1:55">
      <c r="A47" s="169"/>
      <c r="B47" s="169"/>
      <c r="C47" s="169" t="s">
        <v>157</v>
      </c>
      <c r="D47" s="335"/>
      <c r="E47" s="250"/>
      <c r="F47" s="250"/>
      <c r="G47" s="250"/>
      <c r="H47" s="250"/>
      <c r="I47" s="49"/>
      <c r="J47" s="259"/>
      <c r="K47" s="259"/>
      <c r="L47" s="259"/>
      <c r="M47" s="259"/>
      <c r="N47" s="259"/>
      <c r="O47" s="49"/>
      <c r="P47" s="50"/>
      <c r="Q47" s="50"/>
      <c r="R47" s="50"/>
      <c r="S47" s="50"/>
      <c r="T47" s="50"/>
      <c r="U47" s="50"/>
      <c r="V47" s="50"/>
      <c r="W47" s="50"/>
      <c r="X47" s="169"/>
      <c r="Y47" s="169"/>
      <c r="Z47" s="169"/>
      <c r="AA47" s="169"/>
      <c r="AB47" s="169"/>
      <c r="AC47" s="169"/>
      <c r="AD47" s="169"/>
      <c r="AE47" s="169"/>
      <c r="AF47" s="169"/>
      <c r="AG47" s="169"/>
      <c r="AH47" s="169"/>
      <c r="AI47" s="169"/>
      <c r="AJ47" s="169"/>
      <c r="AK47" s="169"/>
      <c r="AL47" s="169"/>
      <c r="AM47" s="169"/>
      <c r="AN47" s="169"/>
      <c r="AO47" s="169"/>
      <c r="AP47" s="169"/>
      <c r="AQ47" s="169"/>
      <c r="AR47" s="169"/>
      <c r="AS47" s="169"/>
      <c r="AT47" s="169"/>
      <c r="AU47" s="169"/>
      <c r="AV47" s="169"/>
      <c r="AW47" s="169"/>
      <c r="AX47" s="169"/>
      <c r="AY47" s="169"/>
      <c r="AZ47" s="169"/>
      <c r="BA47" s="169"/>
      <c r="BB47" s="169"/>
      <c r="BC47" s="169"/>
    </row>
    <row r="48" spans="1:55">
      <c r="A48" s="169"/>
      <c r="B48" s="169"/>
      <c r="C48" s="169"/>
      <c r="D48" s="335"/>
      <c r="E48" s="250"/>
      <c r="F48" s="250"/>
      <c r="G48" s="250"/>
      <c r="H48" s="250"/>
      <c r="I48" s="49"/>
      <c r="J48" s="259"/>
      <c r="K48" s="259"/>
      <c r="L48" s="259"/>
      <c r="M48" s="259"/>
      <c r="N48" s="259"/>
      <c r="O48" s="49"/>
      <c r="P48" s="50"/>
      <c r="Q48" s="50"/>
      <c r="R48" s="50"/>
      <c r="S48" s="50"/>
      <c r="T48" s="50"/>
      <c r="U48" s="50"/>
      <c r="V48" s="50"/>
      <c r="W48" s="50"/>
      <c r="X48" s="169"/>
      <c r="Y48" s="169"/>
      <c r="Z48" s="169"/>
      <c r="AA48" s="169"/>
      <c r="AB48" s="169"/>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row>
    <row r="49" spans="1:55">
      <c r="A49" s="46" t="s">
        <v>124</v>
      </c>
      <c r="B49" s="177" t="s">
        <v>366</v>
      </c>
      <c r="C49" s="168" t="s">
        <v>158</v>
      </c>
      <c r="D49" s="1874"/>
      <c r="E49" s="253">
        <v>61.95</v>
      </c>
      <c r="F49" s="253">
        <v>60.79</v>
      </c>
      <c r="G49" s="253">
        <v>60.48</v>
      </c>
      <c r="H49" s="253"/>
      <c r="I49" s="47"/>
      <c r="J49" s="263"/>
      <c r="K49" s="263"/>
      <c r="L49" s="263"/>
      <c r="M49" s="263"/>
      <c r="N49" s="263"/>
      <c r="O49" s="47"/>
      <c r="P49" s="48"/>
      <c r="Q49" s="48"/>
      <c r="R49" s="48"/>
      <c r="S49" s="48"/>
      <c r="T49" s="48"/>
      <c r="U49" s="48"/>
      <c r="V49" s="48"/>
      <c r="W49" s="4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row>
    <row r="50" spans="1:55">
      <c r="A50" s="169"/>
      <c r="B50" s="169"/>
      <c r="C50" s="169" t="s">
        <v>159</v>
      </c>
      <c r="D50" s="335"/>
      <c r="E50" s="250">
        <v>38.049999999999997</v>
      </c>
      <c r="F50" s="250">
        <v>39.21</v>
      </c>
      <c r="G50" s="250">
        <v>39.520000000000003</v>
      </c>
      <c r="H50" s="250"/>
      <c r="I50" s="49"/>
      <c r="J50" s="259"/>
      <c r="K50" s="259"/>
      <c r="L50" s="259"/>
      <c r="M50" s="259"/>
      <c r="N50" s="259"/>
      <c r="O50" s="49"/>
      <c r="P50" s="50"/>
      <c r="Q50" s="50"/>
      <c r="R50" s="50"/>
      <c r="S50" s="50"/>
      <c r="T50" s="50"/>
      <c r="U50" s="50"/>
      <c r="V50" s="50"/>
      <c r="W50" s="50"/>
      <c r="X50" s="169"/>
      <c r="Y50" s="169"/>
      <c r="Z50" s="169"/>
      <c r="AA50" s="169"/>
      <c r="AB50" s="169"/>
      <c r="AC50" s="169"/>
      <c r="AD50" s="169"/>
      <c r="AE50" s="169"/>
      <c r="AF50" s="169"/>
      <c r="AG50" s="169"/>
      <c r="AH50" s="169"/>
      <c r="AI50" s="169"/>
      <c r="AJ50" s="169"/>
      <c r="AK50" s="169"/>
      <c r="AL50" s="169"/>
      <c r="AM50" s="169"/>
      <c r="AN50" s="169"/>
      <c r="AO50" s="169"/>
      <c r="AP50" s="169"/>
      <c r="AQ50" s="169"/>
      <c r="AR50" s="169"/>
      <c r="AS50" s="169"/>
      <c r="AT50" s="169"/>
      <c r="AU50" s="169"/>
      <c r="AV50" s="169"/>
      <c r="AW50" s="169"/>
      <c r="AX50" s="169"/>
      <c r="AY50" s="169"/>
      <c r="AZ50" s="169"/>
      <c r="BA50" s="169"/>
      <c r="BB50" s="169"/>
      <c r="BC50" s="169"/>
    </row>
    <row r="51" spans="1:55">
      <c r="A51" s="169"/>
      <c r="B51" s="169"/>
      <c r="C51" s="169" t="s">
        <v>160</v>
      </c>
      <c r="D51" s="335"/>
      <c r="E51" s="250"/>
      <c r="F51" s="250"/>
      <c r="G51" s="250"/>
      <c r="H51" s="250"/>
      <c r="I51" s="49"/>
      <c r="J51" s="259"/>
      <c r="K51" s="259"/>
      <c r="L51" s="259"/>
      <c r="M51" s="259"/>
      <c r="N51" s="259"/>
      <c r="O51" s="49"/>
      <c r="P51" s="50"/>
      <c r="Q51" s="50"/>
      <c r="R51" s="50"/>
      <c r="S51" s="50"/>
      <c r="T51" s="50"/>
      <c r="U51" s="50"/>
      <c r="V51" s="50"/>
      <c r="W51" s="50"/>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69"/>
      <c r="AV51" s="169"/>
      <c r="AW51" s="169"/>
      <c r="AX51" s="169"/>
      <c r="AY51" s="169"/>
      <c r="AZ51" s="169"/>
      <c r="BA51" s="169"/>
      <c r="BB51" s="169"/>
      <c r="BC51" s="169"/>
    </row>
    <row r="52" spans="1:55">
      <c r="A52" s="169"/>
      <c r="B52" s="169"/>
      <c r="C52" s="169" t="s">
        <v>161</v>
      </c>
      <c r="D52" s="335"/>
      <c r="E52" s="250"/>
      <c r="F52" s="250"/>
      <c r="G52" s="250"/>
      <c r="H52" s="250"/>
      <c r="I52" s="49"/>
      <c r="J52" s="259"/>
      <c r="K52" s="259"/>
      <c r="L52" s="259"/>
      <c r="M52" s="259"/>
      <c r="N52" s="259"/>
      <c r="O52" s="49"/>
      <c r="P52" s="50"/>
      <c r="Q52" s="50"/>
      <c r="R52" s="50"/>
      <c r="S52" s="50"/>
      <c r="T52" s="50"/>
      <c r="U52" s="50"/>
      <c r="V52" s="50"/>
      <c r="W52" s="50"/>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row>
    <row r="53" spans="1:55">
      <c r="A53" s="169"/>
      <c r="B53" s="51" t="s">
        <v>366</v>
      </c>
      <c r="C53" s="51" t="s">
        <v>162</v>
      </c>
      <c r="D53" s="1870"/>
      <c r="E53" s="250">
        <v>64.44</v>
      </c>
      <c r="F53" s="250">
        <v>60.79</v>
      </c>
      <c r="G53" s="250">
        <v>62.16</v>
      </c>
      <c r="H53" s="250">
        <v>59.93</v>
      </c>
      <c r="I53" s="813" t="s">
        <v>369</v>
      </c>
      <c r="J53" s="814" t="s">
        <v>508</v>
      </c>
      <c r="K53" s="815">
        <f>E53/$AB$1</f>
        <v>0.64439999999999997</v>
      </c>
      <c r="L53" s="815">
        <f>F53/$AB$1</f>
        <v>0.6079</v>
      </c>
      <c r="M53" s="815">
        <f>G53/$AB$1</f>
        <v>0.62159999999999993</v>
      </c>
      <c r="N53" s="815">
        <f>H53/$AB$1</f>
        <v>0.59929999999999994</v>
      </c>
      <c r="O53" s="236"/>
      <c r="P53" s="50"/>
      <c r="Q53" s="169"/>
      <c r="R53" s="50"/>
      <c r="S53" s="50"/>
      <c r="T53" s="50"/>
      <c r="U53" s="50"/>
      <c r="V53" s="50"/>
      <c r="W53" s="50"/>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row>
    <row r="54" spans="1:55">
      <c r="A54" s="169"/>
      <c r="B54" s="169"/>
      <c r="C54" s="51" t="s">
        <v>163</v>
      </c>
      <c r="D54" s="1870"/>
      <c r="E54" s="250">
        <v>35.56</v>
      </c>
      <c r="F54" s="250">
        <v>39.21</v>
      </c>
      <c r="G54" s="250">
        <v>37.840000000000003</v>
      </c>
      <c r="H54" s="250">
        <v>40.07</v>
      </c>
      <c r="I54" s="49"/>
      <c r="J54" s="259"/>
      <c r="K54" s="259"/>
      <c r="L54" s="259"/>
      <c r="M54" s="259"/>
      <c r="N54" s="259"/>
      <c r="O54" s="49"/>
      <c r="P54" s="50"/>
      <c r="Q54" s="50"/>
      <c r="R54" s="50"/>
      <c r="S54" s="50"/>
      <c r="T54" s="50"/>
      <c r="U54" s="50"/>
      <c r="V54" s="50"/>
      <c r="W54" s="50"/>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row>
    <row r="55" spans="1:55">
      <c r="A55" s="169"/>
      <c r="B55" s="169" t="s">
        <v>139</v>
      </c>
      <c r="C55" s="169" t="s">
        <v>158</v>
      </c>
      <c r="D55" s="335"/>
      <c r="E55" s="250">
        <v>61.27</v>
      </c>
      <c r="F55" s="250">
        <v>59.56</v>
      </c>
      <c r="G55" s="250">
        <v>59.75</v>
      </c>
      <c r="H55" s="250"/>
      <c r="I55" s="49"/>
      <c r="J55" s="259"/>
      <c r="K55" s="259"/>
      <c r="L55" s="259"/>
      <c r="M55" s="259"/>
      <c r="N55" s="259"/>
      <c r="O55" s="49"/>
      <c r="P55" s="50"/>
      <c r="Q55" s="50"/>
      <c r="R55" s="50"/>
      <c r="S55" s="50"/>
      <c r="T55" s="50"/>
      <c r="U55" s="50"/>
      <c r="V55" s="50"/>
      <c r="W55" s="50"/>
      <c r="X55" s="169"/>
      <c r="Y55" s="169"/>
      <c r="Z55" s="169"/>
      <c r="AA55" s="169"/>
      <c r="AB55" s="169"/>
      <c r="AC55" s="169"/>
      <c r="AD55" s="169"/>
      <c r="AE55" s="169"/>
      <c r="AF55" s="169"/>
      <c r="AG55" s="169"/>
      <c r="AH55" s="169"/>
      <c r="AI55" s="169"/>
      <c r="AJ55" s="169"/>
      <c r="AK55" s="169"/>
      <c r="AL55" s="169"/>
      <c r="AM55" s="169"/>
      <c r="AN55" s="169"/>
      <c r="AO55" s="169"/>
      <c r="AP55" s="169"/>
      <c r="AQ55" s="169"/>
      <c r="AR55" s="169"/>
      <c r="AS55" s="169"/>
      <c r="AT55" s="169"/>
      <c r="AU55" s="169"/>
      <c r="AV55" s="169"/>
      <c r="AW55" s="169"/>
      <c r="AX55" s="169"/>
      <c r="AY55" s="169"/>
      <c r="AZ55" s="169"/>
      <c r="BA55" s="169"/>
      <c r="BB55" s="169"/>
      <c r="BC55" s="169"/>
    </row>
    <row r="56" spans="1:55">
      <c r="A56" s="169"/>
      <c r="B56" s="169"/>
      <c r="C56" s="169" t="s">
        <v>159</v>
      </c>
      <c r="D56" s="335"/>
      <c r="E56" s="250">
        <v>38.729999999999997</v>
      </c>
      <c r="F56" s="250">
        <v>40.44</v>
      </c>
      <c r="G56" s="250">
        <v>40.25</v>
      </c>
      <c r="H56" s="250"/>
      <c r="I56" s="49"/>
      <c r="J56" s="259"/>
      <c r="K56" s="259"/>
      <c r="L56" s="259"/>
      <c r="M56" s="259"/>
      <c r="N56" s="259"/>
      <c r="O56" s="49"/>
      <c r="P56" s="50"/>
      <c r="Q56" s="50"/>
      <c r="R56" s="50"/>
      <c r="S56" s="50"/>
      <c r="T56" s="50"/>
      <c r="U56" s="50"/>
      <c r="V56" s="50"/>
      <c r="W56" s="50"/>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row>
    <row r="57" spans="1:55">
      <c r="A57" s="169"/>
      <c r="B57" s="169"/>
      <c r="C57" s="169" t="s">
        <v>164</v>
      </c>
      <c r="D57" s="335"/>
      <c r="E57" s="250"/>
      <c r="F57" s="250"/>
      <c r="G57" s="250"/>
      <c r="H57" s="250"/>
      <c r="I57" s="49"/>
      <c r="J57" s="259"/>
      <c r="K57" s="259"/>
      <c r="L57" s="259"/>
      <c r="M57" s="259"/>
      <c r="N57" s="259"/>
      <c r="O57" s="49"/>
      <c r="P57" s="50"/>
      <c r="Q57" s="50"/>
      <c r="R57" s="50"/>
      <c r="S57" s="50"/>
      <c r="T57" s="50"/>
      <c r="U57" s="50"/>
      <c r="V57" s="50"/>
      <c r="W57" s="50"/>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row>
    <row r="58" spans="1:55">
      <c r="A58" s="169"/>
      <c r="B58" s="169"/>
      <c r="C58" s="169" t="s">
        <v>161</v>
      </c>
      <c r="D58" s="335"/>
      <c r="E58" s="250"/>
      <c r="F58" s="250"/>
      <c r="G58" s="250"/>
      <c r="H58" s="250"/>
      <c r="I58" s="49"/>
      <c r="J58" s="259"/>
      <c r="K58" s="259"/>
      <c r="L58" s="259"/>
      <c r="M58" s="259"/>
      <c r="N58" s="259"/>
      <c r="O58" s="49"/>
      <c r="P58" s="50"/>
      <c r="Q58" s="50"/>
      <c r="R58" s="50"/>
      <c r="S58" s="50"/>
      <c r="T58" s="50"/>
      <c r="U58" s="50"/>
      <c r="V58" s="50"/>
      <c r="W58" s="50"/>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row>
    <row r="59" spans="1:55">
      <c r="A59" s="169"/>
      <c r="B59" s="169"/>
      <c r="C59" s="169"/>
      <c r="D59" s="335"/>
      <c r="E59" s="250"/>
      <c r="F59" s="250"/>
      <c r="G59" s="250"/>
      <c r="H59" s="250"/>
      <c r="I59" s="49"/>
      <c r="J59" s="259"/>
      <c r="K59" s="259"/>
      <c r="L59" s="259"/>
      <c r="M59" s="259"/>
      <c r="N59" s="259"/>
      <c r="O59" s="49"/>
      <c r="P59" s="50"/>
      <c r="Q59" s="50"/>
      <c r="R59" s="50"/>
      <c r="S59" s="50"/>
      <c r="T59" s="50"/>
      <c r="U59" s="50"/>
      <c r="V59" s="50"/>
      <c r="W59" s="50"/>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row>
    <row r="60" spans="1:55">
      <c r="A60" s="55" t="s">
        <v>41</v>
      </c>
      <c r="B60" s="46" t="s">
        <v>366</v>
      </c>
      <c r="C60" s="168" t="s">
        <v>165</v>
      </c>
      <c r="D60" s="1874"/>
      <c r="E60" s="254">
        <v>73.618114356388546</v>
      </c>
      <c r="F60" s="254">
        <v>99.495299356754089</v>
      </c>
      <c r="G60" s="254">
        <v>99.342573285907022</v>
      </c>
      <c r="H60" s="254"/>
      <c r="I60" s="47"/>
      <c r="J60" s="253"/>
      <c r="K60" s="253"/>
      <c r="L60" s="263"/>
      <c r="M60" s="263"/>
      <c r="N60" s="263"/>
      <c r="O60" s="47"/>
      <c r="P60" s="48"/>
      <c r="Q60" s="168"/>
      <c r="R60" s="47"/>
      <c r="S60" s="47" t="s">
        <v>371</v>
      </c>
      <c r="T60" s="48"/>
      <c r="U60" s="48"/>
      <c r="V60" s="48"/>
      <c r="W60" s="4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row>
    <row r="61" spans="1:55">
      <c r="A61" s="169"/>
      <c r="B61" s="169"/>
      <c r="C61" s="51" t="s">
        <v>166</v>
      </c>
      <c r="D61" s="1870"/>
      <c r="E61" s="255">
        <v>26.76243934925316</v>
      </c>
      <c r="F61" s="255" t="s">
        <v>136</v>
      </c>
      <c r="G61" s="255" t="s">
        <v>136</v>
      </c>
      <c r="H61" s="255"/>
      <c r="I61" s="813" t="s">
        <v>369</v>
      </c>
      <c r="J61" s="739">
        <f>R61</f>
        <v>0.32841368754782985</v>
      </c>
      <c r="K61" s="816">
        <f>E61/$AB$1</f>
        <v>0.26762439349253159</v>
      </c>
      <c r="L61" s="795">
        <v>0</v>
      </c>
      <c r="M61" s="795">
        <v>0</v>
      </c>
      <c r="N61" s="795">
        <v>0</v>
      </c>
      <c r="O61" s="38"/>
      <c r="P61" s="50"/>
      <c r="Q61" s="169"/>
      <c r="R61" s="53">
        <f>600.8/1829.4</f>
        <v>0.32841368754782985</v>
      </c>
      <c r="S61" s="53">
        <f>319.5/1443.3</f>
        <v>0.22136769902307213</v>
      </c>
      <c r="T61" s="50"/>
      <c r="U61" s="50"/>
      <c r="V61" s="50"/>
      <c r="W61" s="50"/>
      <c r="X61" s="169"/>
      <c r="Y61" s="169"/>
      <c r="Z61" s="169"/>
      <c r="AA61" s="169"/>
      <c r="AB61" s="169"/>
      <c r="AC61" s="169"/>
      <c r="AD61" s="169"/>
      <c r="AE61" s="169"/>
      <c r="AF61" s="169"/>
      <c r="AG61" s="169"/>
      <c r="AH61" s="169"/>
      <c r="AI61" s="169"/>
      <c r="AJ61" s="169"/>
      <c r="AK61" s="169"/>
      <c r="AL61" s="169"/>
      <c r="AM61" s="169"/>
      <c r="AN61" s="169"/>
      <c r="AO61" s="169"/>
      <c r="AP61" s="169"/>
      <c r="AQ61" s="169"/>
      <c r="AR61" s="169"/>
      <c r="AS61" s="169"/>
      <c r="AT61" s="169"/>
      <c r="AU61" s="169"/>
      <c r="AV61" s="169"/>
      <c r="AW61" s="169"/>
      <c r="AX61" s="169"/>
      <c r="AY61" s="169"/>
      <c r="AZ61" s="169"/>
      <c r="BA61" s="169"/>
      <c r="BB61" s="169"/>
      <c r="BC61" s="169"/>
    </row>
    <row r="62" spans="1:55">
      <c r="A62" s="169"/>
      <c r="B62" s="169"/>
      <c r="C62" s="169" t="s">
        <v>167</v>
      </c>
      <c r="D62" s="335"/>
      <c r="E62" s="255">
        <v>-0.38055370564170865</v>
      </c>
      <c r="F62" s="255" t="s">
        <v>136</v>
      </c>
      <c r="G62" s="255" t="s">
        <v>136</v>
      </c>
      <c r="H62" s="255"/>
      <c r="I62" s="49"/>
      <c r="J62" s="259"/>
      <c r="K62" s="259"/>
      <c r="L62" s="259"/>
      <c r="M62" s="259"/>
      <c r="N62" s="259"/>
      <c r="O62" s="49"/>
      <c r="P62" s="50"/>
      <c r="Q62" s="50"/>
      <c r="R62" s="50"/>
      <c r="S62" s="50"/>
      <c r="T62" s="50"/>
      <c r="U62" s="50"/>
      <c r="V62" s="50"/>
      <c r="W62" s="50"/>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row>
    <row r="63" spans="1:55">
      <c r="A63" s="169"/>
      <c r="B63" s="169"/>
      <c r="C63" s="169" t="s">
        <v>168</v>
      </c>
      <c r="D63" s="335"/>
      <c r="E63" s="255" t="s">
        <v>136</v>
      </c>
      <c r="F63" s="255">
        <v>0.50470064324591779</v>
      </c>
      <c r="G63" s="255">
        <v>0.65742671409297193</v>
      </c>
      <c r="H63" s="255"/>
      <c r="I63" s="49"/>
      <c r="J63" s="259"/>
      <c r="K63" s="259"/>
      <c r="L63" s="259"/>
      <c r="M63" s="259"/>
      <c r="N63" s="259"/>
      <c r="O63" s="49"/>
      <c r="P63" s="50"/>
      <c r="Q63" s="50"/>
      <c r="R63" s="50"/>
      <c r="S63" s="50"/>
      <c r="T63" s="50"/>
      <c r="U63" s="50"/>
      <c r="V63" s="50"/>
      <c r="W63" s="50"/>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row>
    <row r="64" spans="1:55">
      <c r="A64" s="169"/>
      <c r="B64" s="51" t="s">
        <v>139</v>
      </c>
      <c r="C64" s="169" t="s">
        <v>165</v>
      </c>
      <c r="D64" s="335"/>
      <c r="E64" s="255">
        <v>105.00325591491209</v>
      </c>
      <c r="F64" s="255">
        <v>100.88672906167506</v>
      </c>
      <c r="G64" s="255">
        <v>100.08394727609881</v>
      </c>
      <c r="H64" s="255"/>
      <c r="I64" s="49"/>
      <c r="J64" s="259"/>
      <c r="K64" s="265"/>
      <c r="L64" s="259"/>
      <c r="M64" s="259"/>
      <c r="N64" s="259"/>
      <c r="O64" s="49"/>
      <c r="P64" s="50"/>
      <c r="Q64" s="50"/>
      <c r="R64" s="50"/>
      <c r="S64" s="50"/>
      <c r="T64" s="50"/>
      <c r="U64" s="50"/>
      <c r="V64" s="50"/>
      <c r="W64" s="50"/>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row>
    <row r="65" spans="1:55">
      <c r="A65" s="169"/>
      <c r="B65" s="169"/>
      <c r="C65" s="51" t="s">
        <v>166</v>
      </c>
      <c r="D65" s="1870"/>
      <c r="E65" s="255">
        <v>-5.0032559149120903</v>
      </c>
      <c r="F65" s="255" t="s">
        <v>136</v>
      </c>
      <c r="G65" s="255" t="s">
        <v>136</v>
      </c>
      <c r="H65" s="255"/>
      <c r="I65" s="49"/>
      <c r="J65" s="259"/>
      <c r="K65" s="259"/>
      <c r="L65" s="259"/>
      <c r="M65" s="259"/>
      <c r="N65" s="259"/>
      <c r="O65" s="49"/>
      <c r="P65" s="50"/>
      <c r="Q65" s="50"/>
      <c r="R65" s="50"/>
      <c r="S65" s="50"/>
      <c r="T65" s="50"/>
      <c r="U65" s="50"/>
      <c r="V65" s="50"/>
      <c r="W65" s="50"/>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row>
    <row r="66" spans="1:55">
      <c r="A66" s="169"/>
      <c r="B66" s="169"/>
      <c r="C66" s="169" t="s">
        <v>167</v>
      </c>
      <c r="D66" s="335"/>
      <c r="E66" s="255">
        <v>0</v>
      </c>
      <c r="F66" s="255">
        <v>0</v>
      </c>
      <c r="G66" s="255">
        <v>0</v>
      </c>
      <c r="H66" s="255"/>
      <c r="I66" s="49"/>
      <c r="J66" s="259"/>
      <c r="K66" s="259"/>
      <c r="L66" s="259"/>
      <c r="M66" s="259"/>
      <c r="N66" s="259"/>
      <c r="O66" s="49"/>
      <c r="P66" s="50"/>
      <c r="Q66" s="50"/>
      <c r="R66" s="50"/>
      <c r="S66" s="50"/>
      <c r="T66" s="50"/>
      <c r="U66" s="50"/>
      <c r="V66" s="50"/>
      <c r="W66" s="50"/>
      <c r="X66" s="169"/>
      <c r="Y66" s="169"/>
      <c r="Z66" s="169"/>
      <c r="AA66" s="169"/>
      <c r="AB66" s="169"/>
      <c r="AC66" s="169"/>
      <c r="AD66" s="169"/>
      <c r="AE66" s="169"/>
      <c r="AF66" s="169"/>
      <c r="AG66" s="169"/>
      <c r="AH66" s="169"/>
      <c r="AI66" s="169"/>
      <c r="AJ66" s="169"/>
      <c r="AK66" s="169"/>
      <c r="AL66" s="169"/>
      <c r="AM66" s="169"/>
      <c r="AN66" s="169"/>
      <c r="AO66" s="169"/>
      <c r="AP66" s="169"/>
      <c r="AQ66" s="169"/>
      <c r="AR66" s="169"/>
      <c r="AS66" s="169"/>
      <c r="AT66" s="169"/>
      <c r="AU66" s="169"/>
      <c r="AV66" s="169"/>
      <c r="AW66" s="169"/>
      <c r="AX66" s="169"/>
      <c r="AY66" s="169"/>
      <c r="AZ66" s="169"/>
      <c r="BA66" s="169"/>
      <c r="BB66" s="169"/>
      <c r="BC66" s="169"/>
    </row>
    <row r="67" spans="1:55">
      <c r="A67" s="169"/>
      <c r="B67" s="169"/>
      <c r="C67" s="169" t="s">
        <v>168</v>
      </c>
      <c r="D67" s="335"/>
      <c r="E67" s="255" t="s">
        <v>136</v>
      </c>
      <c r="F67" s="255">
        <v>-0.88672906167506593</v>
      </c>
      <c r="G67" s="255">
        <v>-8.3947276098832249E-2</v>
      </c>
      <c r="H67" s="255"/>
      <c r="I67" s="49"/>
      <c r="J67" s="259"/>
      <c r="K67" s="259"/>
      <c r="L67" s="259"/>
      <c r="M67" s="259"/>
      <c r="N67" s="259"/>
      <c r="O67" s="49"/>
      <c r="P67" s="50"/>
      <c r="Q67" s="50"/>
      <c r="R67" s="50"/>
      <c r="S67" s="50"/>
      <c r="T67" s="50"/>
      <c r="U67" s="50"/>
      <c r="V67" s="50"/>
      <c r="W67" s="50"/>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row>
    <row r="68" spans="1:55">
      <c r="A68" s="169"/>
      <c r="B68" s="169"/>
      <c r="C68" s="169"/>
      <c r="D68" s="335"/>
      <c r="E68" s="255"/>
      <c r="F68" s="255"/>
      <c r="G68" s="255"/>
      <c r="H68" s="255"/>
      <c r="I68" s="49"/>
      <c r="J68" s="259"/>
      <c r="K68" s="259"/>
      <c r="L68" s="259"/>
      <c r="M68" s="259"/>
      <c r="N68" s="259"/>
      <c r="O68" s="49"/>
      <c r="P68" s="50"/>
      <c r="Q68" s="50"/>
      <c r="R68" s="50"/>
      <c r="S68" s="50"/>
      <c r="T68" s="50"/>
      <c r="U68" s="50"/>
      <c r="V68" s="50"/>
      <c r="W68" s="50"/>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row>
    <row r="69" spans="1:55">
      <c r="A69" s="46" t="s">
        <v>44</v>
      </c>
      <c r="B69" s="65" t="s">
        <v>316</v>
      </c>
      <c r="C69" s="246" t="s">
        <v>171</v>
      </c>
      <c r="D69" s="1877"/>
      <c r="E69" s="253">
        <v>6835</v>
      </c>
      <c r="F69" s="253">
        <v>6988</v>
      </c>
      <c r="G69" s="253">
        <v>7230</v>
      </c>
      <c r="H69" s="253">
        <v>7185</v>
      </c>
      <c r="I69" s="247" t="s">
        <v>55</v>
      </c>
      <c r="J69" s="267">
        <f>R70+R73+R76*R75</f>
        <v>3251.6946564885498</v>
      </c>
      <c r="K69" s="267">
        <f>S70+S73+S76*S75</f>
        <v>6972.6181653863532</v>
      </c>
      <c r="L69" s="267">
        <f>T70+T73+T76*T75</f>
        <v>6898.5936675461744</v>
      </c>
      <c r="M69" s="787">
        <f>U70+U72*U73+U75*U76</f>
        <v>7103.4393106133712</v>
      </c>
      <c r="N69" s="267"/>
      <c r="O69" s="885" t="s">
        <v>926</v>
      </c>
      <c r="P69" s="168"/>
      <c r="Q69" s="47" t="s">
        <v>844</v>
      </c>
      <c r="R69" s="48"/>
      <c r="S69" s="168"/>
      <c r="T69" s="168"/>
      <c r="U69" s="168"/>
      <c r="V69" s="168"/>
      <c r="W69" s="168"/>
      <c r="X69" s="47" t="s">
        <v>854</v>
      </c>
      <c r="Y69" s="168"/>
      <c r="Z69" s="168"/>
      <c r="AA69" s="168"/>
      <c r="AB69" s="291"/>
      <c r="AC69" s="48"/>
      <c r="AD69" s="48"/>
      <c r="AE69" s="48"/>
      <c r="AF69" s="48"/>
      <c r="AG69" s="168"/>
      <c r="AH69" s="168"/>
      <c r="AI69" s="168"/>
      <c r="AJ69" s="168"/>
      <c r="AK69" s="168"/>
      <c r="AL69" s="48"/>
      <c r="AM69" s="168"/>
      <c r="AN69" s="168"/>
      <c r="AO69" s="168"/>
      <c r="AP69" s="168"/>
      <c r="AQ69" s="168"/>
      <c r="AR69" s="168"/>
      <c r="AS69" s="168"/>
      <c r="AT69" s="168"/>
      <c r="AU69" s="48"/>
      <c r="AV69" s="168"/>
      <c r="AW69" s="168"/>
      <c r="AX69" s="168"/>
      <c r="AY69" s="168"/>
      <c r="AZ69" s="168"/>
      <c r="BA69" s="168"/>
      <c r="BB69" s="168"/>
      <c r="BC69" s="168"/>
    </row>
    <row r="70" spans="1:55">
      <c r="A70" s="169"/>
      <c r="B70" s="169"/>
      <c r="C70" s="248" t="s">
        <v>172</v>
      </c>
      <c r="D70" s="1878"/>
      <c r="E70" s="250">
        <v>3106</v>
      </c>
      <c r="F70" s="250">
        <v>3316</v>
      </c>
      <c r="G70" s="250">
        <v>3405</v>
      </c>
      <c r="H70" s="250">
        <v>3578</v>
      </c>
      <c r="I70" s="343" t="s">
        <v>646</v>
      </c>
      <c r="J70" s="784">
        <f>R74+(1-R76)*R75</f>
        <v>1659.3053435114505</v>
      </c>
      <c r="K70" s="784">
        <f>S74+(1-S76)*S75</f>
        <v>3322.3818346136468</v>
      </c>
      <c r="L70" s="784">
        <f>T74+(1-T76)*T75</f>
        <v>3127.4063324538256</v>
      </c>
      <c r="M70" s="784">
        <f>U72*U74+U75*(1-U76)</f>
        <v>2997.5606893866288</v>
      </c>
      <c r="N70" s="266"/>
      <c r="O70" s="398"/>
      <c r="P70" s="364"/>
      <c r="Q70" s="365" t="s">
        <v>311</v>
      </c>
      <c r="R70" s="366">
        <v>1939</v>
      </c>
      <c r="S70" s="366">
        <v>4155</v>
      </c>
      <c r="T70" s="366">
        <v>4161</v>
      </c>
      <c r="U70" s="366">
        <v>4137</v>
      </c>
      <c r="V70" s="50"/>
      <c r="W70" s="169"/>
      <c r="X70" s="49" t="s">
        <v>855</v>
      </c>
      <c r="Y70" s="169"/>
      <c r="Z70" s="169"/>
      <c r="AA70" s="169"/>
      <c r="AB70" s="137"/>
      <c r="AC70" s="50"/>
      <c r="AD70" s="50"/>
      <c r="AE70" s="50"/>
      <c r="AF70" s="50"/>
      <c r="AG70" s="169"/>
      <c r="AH70" s="169"/>
      <c r="AI70" s="169"/>
      <c r="AJ70" s="169"/>
      <c r="AK70" s="169"/>
      <c r="AL70" s="50"/>
      <c r="AM70" s="50"/>
      <c r="AN70" s="292"/>
      <c r="AO70" s="49"/>
      <c r="AP70" s="49"/>
      <c r="AQ70" s="169"/>
      <c r="AR70" s="169"/>
      <c r="AS70" s="169"/>
      <c r="AT70" s="169"/>
      <c r="AU70" s="169"/>
      <c r="AV70" s="169"/>
      <c r="AW70" s="169"/>
      <c r="AX70" s="169"/>
      <c r="AY70" s="169"/>
      <c r="AZ70" s="169"/>
      <c r="BA70" s="169"/>
      <c r="BB70" s="169"/>
      <c r="BC70" s="169"/>
    </row>
    <row r="71" spans="1:55">
      <c r="A71" s="49"/>
      <c r="B71" s="169"/>
      <c r="C71" s="169" t="s">
        <v>173</v>
      </c>
      <c r="D71" s="335"/>
      <c r="E71" s="250">
        <f>12409-9941</f>
        <v>2468</v>
      </c>
      <c r="F71" s="250">
        <v>2718</v>
      </c>
      <c r="G71" s="250">
        <v>2689</v>
      </c>
      <c r="H71" s="250">
        <v>2688</v>
      </c>
      <c r="I71" s="180" t="s">
        <v>590</v>
      </c>
      <c r="J71" s="266">
        <f>J70+J$69</f>
        <v>4911</v>
      </c>
      <c r="K71" s="266">
        <f>K70+K$69</f>
        <v>10295</v>
      </c>
      <c r="L71" s="266">
        <f>L70+L$69</f>
        <v>10026</v>
      </c>
      <c r="M71" s="266">
        <f>M70+M$69</f>
        <v>10101</v>
      </c>
      <c r="N71" s="266"/>
      <c r="O71" s="49"/>
      <c r="P71" s="351"/>
      <c r="Q71" s="351" t="s">
        <v>314</v>
      </c>
      <c r="R71" s="332">
        <f>R73+R74+R75+R77</f>
        <v>3221</v>
      </c>
      <c r="S71" s="332">
        <f>S73+S74+S75+S77</f>
        <v>6722</v>
      </c>
      <c r="T71" s="332">
        <f>T73+T74+T75+T77</f>
        <v>6442</v>
      </c>
      <c r="U71" s="332">
        <f>U72+U75+U77</f>
        <v>6591</v>
      </c>
      <c r="V71" s="49"/>
      <c r="W71" s="169"/>
      <c r="X71" s="49" t="s">
        <v>856</v>
      </c>
      <c r="Y71" s="169"/>
      <c r="Z71" s="169"/>
      <c r="AA71" s="137"/>
      <c r="AB71" s="137"/>
      <c r="AC71" s="49"/>
      <c r="AD71" s="49"/>
      <c r="AE71" s="49"/>
      <c r="AF71" s="49"/>
      <c r="AG71" s="169"/>
      <c r="AH71" s="169"/>
      <c r="AI71" s="169"/>
      <c r="AJ71" s="169"/>
      <c r="AK71" s="169"/>
      <c r="AL71" s="169"/>
      <c r="AM71" s="169"/>
      <c r="AN71" s="292"/>
      <c r="AO71" s="139"/>
      <c r="AP71" s="139"/>
      <c r="AQ71" s="169"/>
      <c r="AR71" s="169"/>
      <c r="AS71" s="169"/>
      <c r="AT71" s="169"/>
      <c r="AU71" s="169"/>
      <c r="AV71" s="169"/>
      <c r="AW71" s="169"/>
      <c r="AX71" s="169"/>
      <c r="AY71" s="169"/>
      <c r="AZ71" s="169"/>
      <c r="BA71" s="169"/>
      <c r="BB71" s="169"/>
      <c r="BC71" s="169"/>
    </row>
    <row r="72" spans="1:55">
      <c r="A72" s="49"/>
      <c r="B72" s="178" t="s">
        <v>366</v>
      </c>
      <c r="C72" s="169" t="s">
        <v>169</v>
      </c>
      <c r="D72" s="335"/>
      <c r="E72" s="250">
        <v>66.319999999999993</v>
      </c>
      <c r="F72" s="250">
        <v>67.89</v>
      </c>
      <c r="G72" s="250">
        <v>68.760000000000005</v>
      </c>
      <c r="H72" s="250">
        <v>69.67</v>
      </c>
      <c r="I72" s="327" t="s">
        <v>647</v>
      </c>
      <c r="J72" s="375">
        <f>J$69/J71</f>
        <v>0.66212475188119524</v>
      </c>
      <c r="K72" s="375">
        <f>K$69/K71</f>
        <v>0.67728199760916497</v>
      </c>
      <c r="L72" s="375">
        <f>L$69/L71</f>
        <v>0.68807038375684959</v>
      </c>
      <c r="M72" s="375">
        <f>M$69/M71</f>
        <v>0.70324119499191873</v>
      </c>
      <c r="N72" s="256"/>
      <c r="O72" s="49"/>
      <c r="P72" s="352"/>
      <c r="Q72" s="351" t="s">
        <v>845</v>
      </c>
      <c r="R72" s="353"/>
      <c r="S72" s="353"/>
      <c r="T72" s="353"/>
      <c r="U72" s="353">
        <v>3775</v>
      </c>
      <c r="V72" s="50"/>
      <c r="W72" s="50"/>
      <c r="X72" s="49" t="s">
        <v>927</v>
      </c>
      <c r="Y72" s="50"/>
      <c r="Z72" s="50"/>
      <c r="AA72" s="50"/>
      <c r="AB72" s="137"/>
      <c r="AC72" s="50"/>
      <c r="AD72" s="50"/>
      <c r="AE72" s="50"/>
      <c r="AF72" s="50"/>
      <c r="AG72" s="50"/>
      <c r="AH72" s="169"/>
      <c r="AI72" s="169"/>
      <c r="AJ72" s="169"/>
      <c r="AK72" s="169"/>
      <c r="AL72" s="169"/>
      <c r="AM72" s="169"/>
      <c r="AN72" s="138"/>
      <c r="AO72" s="138"/>
      <c r="AP72" s="169"/>
      <c r="AQ72" s="169"/>
      <c r="AR72" s="169"/>
      <c r="AS72" s="169"/>
      <c r="AT72" s="169"/>
      <c r="AU72" s="169"/>
      <c r="AV72" s="169"/>
      <c r="AW72" s="169"/>
      <c r="AX72" s="169"/>
      <c r="AY72" s="169"/>
      <c r="AZ72" s="169"/>
      <c r="BA72" s="169"/>
      <c r="BB72" s="169"/>
      <c r="BC72" s="169"/>
    </row>
    <row r="73" spans="1:55">
      <c r="A73" s="169"/>
      <c r="B73" s="169"/>
      <c r="C73" s="169" t="s">
        <v>170</v>
      </c>
      <c r="D73" s="335"/>
      <c r="E73" s="250">
        <v>33.68</v>
      </c>
      <c r="F73" s="250">
        <v>32.11</v>
      </c>
      <c r="G73" s="250">
        <v>31.239999999999995</v>
      </c>
      <c r="H73" s="250">
        <v>30.33</v>
      </c>
      <c r="I73" s="180" t="s">
        <v>852</v>
      </c>
      <c r="J73" s="266">
        <f>J70+R77</f>
        <v>1908.3053435114505</v>
      </c>
      <c r="K73" s="266">
        <f>K70+S77</f>
        <v>3904.3818346136468</v>
      </c>
      <c r="L73" s="266">
        <f>L70+T77</f>
        <v>3704.4063324538256</v>
      </c>
      <c r="M73" s="266">
        <f>M70+U77</f>
        <v>3624.5606893866288</v>
      </c>
      <c r="N73" s="266"/>
      <c r="O73" s="49"/>
      <c r="P73" s="169"/>
      <c r="Q73" s="137" t="s">
        <v>312</v>
      </c>
      <c r="R73" s="63">
        <v>744</v>
      </c>
      <c r="S73" s="63">
        <v>1611</v>
      </c>
      <c r="T73" s="63">
        <v>1770</v>
      </c>
      <c r="U73" s="783">
        <f>(1833+U80)/(3939-254)</f>
        <v>0.55956580732700134</v>
      </c>
      <c r="V73" s="783"/>
      <c r="W73" s="169"/>
      <c r="X73" s="49" t="s">
        <v>864</v>
      </c>
      <c r="Y73" s="169"/>
      <c r="Z73" s="169"/>
      <c r="AA73" s="169"/>
      <c r="AB73" s="137"/>
      <c r="AC73" s="63"/>
      <c r="AD73" s="783"/>
      <c r="AE73" s="782"/>
      <c r="AF73" s="169"/>
      <c r="AG73" s="59"/>
      <c r="AH73" s="169"/>
      <c r="AI73" s="169"/>
      <c r="AJ73" s="169"/>
      <c r="AK73" s="169"/>
      <c r="AL73" s="169"/>
      <c r="AM73" s="169"/>
      <c r="AN73" s="292"/>
      <c r="AO73" s="139"/>
      <c r="AP73" s="169"/>
      <c r="AQ73" s="169"/>
      <c r="AR73" s="169"/>
      <c r="AS73" s="169"/>
      <c r="AT73" s="169"/>
      <c r="AU73" s="169"/>
      <c r="AV73" s="169"/>
      <c r="AW73" s="169"/>
      <c r="AX73" s="169"/>
      <c r="AY73" s="169"/>
      <c r="AZ73" s="169"/>
      <c r="BA73" s="169"/>
      <c r="BB73" s="169"/>
      <c r="BC73" s="169"/>
    </row>
    <row r="74" spans="1:55">
      <c r="A74" s="169"/>
      <c r="B74" s="51" t="s">
        <v>366</v>
      </c>
      <c r="C74" s="51" t="s">
        <v>171</v>
      </c>
      <c r="D74" s="1870"/>
      <c r="E74" s="250">
        <v>68.760000000000005</v>
      </c>
      <c r="F74" s="250">
        <v>67.819999999999993</v>
      </c>
      <c r="G74" s="250">
        <v>67.98</v>
      </c>
      <c r="H74" s="250">
        <v>66.760000000000005</v>
      </c>
      <c r="I74" s="180" t="s">
        <v>593</v>
      </c>
      <c r="J74" s="350">
        <f>J73+J$69</f>
        <v>5160</v>
      </c>
      <c r="K74" s="350">
        <f>K73+K$69</f>
        <v>10877</v>
      </c>
      <c r="L74" s="350">
        <f>L73+L$69</f>
        <v>10603</v>
      </c>
      <c r="M74" s="350">
        <f>M73+M$69</f>
        <v>10728</v>
      </c>
      <c r="N74" s="350"/>
      <c r="O74" s="49"/>
      <c r="P74" s="169"/>
      <c r="Q74" s="137" t="s">
        <v>313</v>
      </c>
      <c r="R74" s="63">
        <v>921</v>
      </c>
      <c r="S74" s="63">
        <v>1730</v>
      </c>
      <c r="T74" s="63">
        <v>1774</v>
      </c>
      <c r="U74" s="783">
        <f>(597+1026)/(3939-254)</f>
        <v>0.44043419267299866</v>
      </c>
      <c r="V74" s="783"/>
      <c r="W74" s="169"/>
      <c r="X74" s="49" t="s">
        <v>862</v>
      </c>
      <c r="Y74" s="169"/>
      <c r="Z74" s="169"/>
      <c r="AA74" s="169"/>
      <c r="AB74" s="137"/>
      <c r="AC74" s="63"/>
      <c r="AD74" s="783"/>
      <c r="AE74" s="782"/>
      <c r="AF74" s="169"/>
      <c r="AG74" s="59"/>
      <c r="AH74" s="169"/>
      <c r="AI74" s="169"/>
      <c r="AJ74" s="169"/>
      <c r="AK74" s="50"/>
      <c r="AL74" s="50"/>
      <c r="AM74" s="169"/>
      <c r="AN74" s="169"/>
      <c r="AO74" s="138"/>
      <c r="AP74" s="138"/>
      <c r="AQ74" s="169"/>
      <c r="AR74" s="169"/>
      <c r="AS74" s="169"/>
      <c r="AT74" s="169"/>
      <c r="AU74" s="169"/>
      <c r="AV74" s="169"/>
      <c r="AW74" s="169"/>
      <c r="AX74" s="169"/>
      <c r="AY74" s="169"/>
      <c r="AZ74" s="169"/>
      <c r="BA74" s="169"/>
      <c r="BB74" s="169"/>
      <c r="BC74" s="169"/>
    </row>
    <row r="75" spans="1:55">
      <c r="A75" s="169"/>
      <c r="B75" s="169"/>
      <c r="C75" s="51" t="s">
        <v>172</v>
      </c>
      <c r="D75" s="1870"/>
      <c r="E75" s="250">
        <f>100-E74</f>
        <v>31.239999999999995</v>
      </c>
      <c r="F75" s="250">
        <f>100-F74</f>
        <v>32.180000000000007</v>
      </c>
      <c r="G75" s="250">
        <v>32.020000000000003</v>
      </c>
      <c r="H75" s="250">
        <v>33.24</v>
      </c>
      <c r="I75" s="327" t="s">
        <v>588</v>
      </c>
      <c r="J75" s="375">
        <f>J$69/J74</f>
        <v>0.63017338304041659</v>
      </c>
      <c r="K75" s="375">
        <f>K$69/K74</f>
        <v>0.64104239821516529</v>
      </c>
      <c r="L75" s="375">
        <f>L$69/L74</f>
        <v>0.65062658375423699</v>
      </c>
      <c r="M75" s="375">
        <f>M$69/M74</f>
        <v>0.66214012962466173</v>
      </c>
      <c r="N75" s="256"/>
      <c r="O75" s="49"/>
      <c r="P75" s="169"/>
      <c r="Q75" s="137" t="s">
        <v>254</v>
      </c>
      <c r="R75" s="50">
        <v>1307</v>
      </c>
      <c r="S75" s="788">
        <v>2799</v>
      </c>
      <c r="T75" s="788">
        <v>2321</v>
      </c>
      <c r="U75" s="50">
        <v>2189</v>
      </c>
      <c r="V75" s="63"/>
      <c r="W75" s="169"/>
      <c r="X75" s="169"/>
      <c r="Y75" s="169"/>
      <c r="Z75" s="169"/>
      <c r="AA75" s="169"/>
      <c r="AB75" s="137"/>
      <c r="AC75" s="50"/>
      <c r="AD75" s="50"/>
      <c r="AE75" s="50"/>
      <c r="AF75" s="50"/>
      <c r="AG75" s="63"/>
      <c r="AH75" s="169"/>
      <c r="AI75" s="169"/>
      <c r="AJ75" s="169"/>
      <c r="AK75" s="169"/>
      <c r="AL75" s="169"/>
      <c r="AM75" s="169"/>
      <c r="AN75" s="292"/>
      <c r="AO75" s="139"/>
      <c r="AP75" s="139"/>
      <c r="AQ75" s="169"/>
      <c r="AR75" s="169"/>
      <c r="AS75" s="169"/>
      <c r="AT75" s="169"/>
      <c r="AU75" s="169"/>
      <c r="AV75" s="169"/>
      <c r="AW75" s="169"/>
      <c r="AX75" s="169"/>
      <c r="AY75" s="169"/>
      <c r="AZ75" s="169"/>
      <c r="BA75" s="169"/>
      <c r="BB75" s="169"/>
      <c r="BC75" s="169"/>
    </row>
    <row r="76" spans="1:55">
      <c r="A76" s="169"/>
      <c r="B76" s="169"/>
      <c r="C76" s="169" t="s">
        <v>173</v>
      </c>
      <c r="D76" s="335"/>
      <c r="E76" s="283"/>
      <c r="F76" s="250"/>
      <c r="G76" s="250"/>
      <c r="H76" s="250"/>
      <c r="I76" s="180" t="s">
        <v>848</v>
      </c>
      <c r="J76" s="266">
        <f>J70+R78</f>
        <v>1884.3053435114505</v>
      </c>
      <c r="K76" s="266">
        <f>K70+S78</f>
        <v>3960.3818346136468</v>
      </c>
      <c r="L76" s="266">
        <f>L70+T78</f>
        <v>4733.4063324538256</v>
      </c>
      <c r="M76" s="266">
        <f>M70+U78</f>
        <v>4793.5606893866288</v>
      </c>
      <c r="N76" s="266"/>
      <c r="O76" s="398"/>
      <c r="P76" s="169"/>
      <c r="Q76" s="180" t="s">
        <v>847</v>
      </c>
      <c r="R76" s="783">
        <f>456/(456+406+186)</f>
        <v>0.4351145038167939</v>
      </c>
      <c r="S76" s="783">
        <f>954/(954+379+880)</f>
        <v>0.43108901943063715</v>
      </c>
      <c r="T76" s="783">
        <f>948/(948+384+942)</f>
        <v>0.41688654353562005</v>
      </c>
      <c r="U76" s="783">
        <f>881/(881+405+972)</f>
        <v>0.39016829052258634</v>
      </c>
      <c r="V76" s="783"/>
      <c r="W76" s="169"/>
      <c r="X76" s="49" t="s">
        <v>860</v>
      </c>
      <c r="Y76" s="169"/>
      <c r="Z76" s="169"/>
      <c r="AA76" s="169"/>
      <c r="AB76" s="180"/>
      <c r="AC76" s="783"/>
      <c r="AD76" s="783"/>
      <c r="AE76" s="782"/>
      <c r="AF76" s="782"/>
      <c r="AG76" s="781"/>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row>
    <row r="77" spans="1:55">
      <c r="A77" s="169"/>
      <c r="B77" s="169" t="s">
        <v>139</v>
      </c>
      <c r="C77" s="169" t="s">
        <v>169</v>
      </c>
      <c r="D77" s="335"/>
      <c r="E77" s="250">
        <v>67.33</v>
      </c>
      <c r="F77" s="250">
        <v>68.5</v>
      </c>
      <c r="G77" s="250">
        <v>70.510000000000005</v>
      </c>
      <c r="H77" s="283" t="s">
        <v>136</v>
      </c>
      <c r="I77" s="349" t="s">
        <v>596</v>
      </c>
      <c r="J77" s="350">
        <f>J76+J$69</f>
        <v>5136</v>
      </c>
      <c r="K77" s="350">
        <f>K76+K$69</f>
        <v>10933</v>
      </c>
      <c r="L77" s="350">
        <f>L76+L$69</f>
        <v>11632</v>
      </c>
      <c r="M77" s="350">
        <f>M76+M$69</f>
        <v>11897</v>
      </c>
      <c r="N77" s="350"/>
      <c r="O77" s="398"/>
      <c r="P77" s="169"/>
      <c r="Q77" s="137" t="s">
        <v>857</v>
      </c>
      <c r="R77" s="50">
        <v>249</v>
      </c>
      <c r="S77" s="50">
        <v>582</v>
      </c>
      <c r="T77" s="50">
        <v>577</v>
      </c>
      <c r="U77" s="50">
        <v>627</v>
      </c>
      <c r="V77" s="50"/>
      <c r="W77" s="169"/>
      <c r="X77" s="59" t="s">
        <v>881</v>
      </c>
      <c r="Y77" s="169"/>
      <c r="Z77" s="169"/>
      <c r="AA77" s="50"/>
      <c r="AB77" s="137"/>
      <c r="AC77" s="50"/>
      <c r="AD77" s="169"/>
      <c r="AE77" s="50"/>
      <c r="AF77" s="50"/>
      <c r="AG77" s="63"/>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row>
    <row r="78" spans="1:55">
      <c r="A78" s="169"/>
      <c r="B78" s="169"/>
      <c r="C78" s="169" t="s">
        <v>170</v>
      </c>
      <c r="D78" s="335"/>
      <c r="E78" s="250">
        <v>32.67</v>
      </c>
      <c r="F78" s="250">
        <v>31.5</v>
      </c>
      <c r="G78" s="250">
        <v>29.489999999999995</v>
      </c>
      <c r="H78" s="283" t="s">
        <v>136</v>
      </c>
      <c r="I78" s="327" t="s">
        <v>648</v>
      </c>
      <c r="J78" s="375">
        <f>J$69/J77</f>
        <v>0.63311811847518495</v>
      </c>
      <c r="K78" s="375">
        <f>K$69/K77</f>
        <v>0.63775891021552666</v>
      </c>
      <c r="L78" s="375">
        <f>L$69/L77</f>
        <v>0.59307029466524885</v>
      </c>
      <c r="M78" s="375">
        <f>M$69/M77</f>
        <v>0.59707819707601673</v>
      </c>
      <c r="N78" s="256"/>
      <c r="O78" s="49"/>
      <c r="P78" s="351"/>
      <c r="Q78" s="351" t="s">
        <v>315</v>
      </c>
      <c r="R78" s="353">
        <v>225</v>
      </c>
      <c r="S78" s="789">
        <v>638</v>
      </c>
      <c r="T78" s="789">
        <v>1606</v>
      </c>
      <c r="U78" s="353">
        <v>1796</v>
      </c>
      <c r="V78" s="50"/>
      <c r="W78" s="169"/>
      <c r="X78" s="59" t="s">
        <v>861</v>
      </c>
      <c r="Y78" s="169"/>
      <c r="Z78" s="169"/>
      <c r="AA78" s="137"/>
      <c r="AB78" s="137"/>
      <c r="AC78" s="50"/>
      <c r="AD78" s="169"/>
      <c r="AE78" s="50"/>
      <c r="AF78" s="50"/>
      <c r="AG78" s="50"/>
      <c r="AH78" s="50"/>
      <c r="AI78" s="138"/>
      <c r="AJ78" s="138"/>
      <c r="AK78" s="138"/>
      <c r="AL78" s="169"/>
      <c r="AM78" s="50"/>
      <c r="AN78" s="169"/>
      <c r="AO78" s="169"/>
      <c r="AP78" s="169"/>
      <c r="AQ78" s="169"/>
      <c r="AR78" s="169"/>
      <c r="AS78" s="169"/>
      <c r="AT78" s="169"/>
      <c r="AU78" s="169"/>
      <c r="AV78" s="169"/>
      <c r="AW78" s="169"/>
      <c r="AX78" s="169"/>
      <c r="AY78" s="169"/>
      <c r="AZ78" s="169"/>
      <c r="BA78" s="169"/>
      <c r="BB78" s="169"/>
      <c r="BC78" s="169"/>
    </row>
    <row r="79" spans="1:55">
      <c r="A79" s="169"/>
      <c r="B79" s="169"/>
      <c r="C79" s="169"/>
      <c r="D79" s="335"/>
      <c r="E79" s="250"/>
      <c r="F79" s="250"/>
      <c r="G79" s="250"/>
      <c r="H79" s="283"/>
      <c r="I79" s="343" t="s">
        <v>849</v>
      </c>
      <c r="J79" s="784">
        <f>J73+R78</f>
        <v>2133.3053435114507</v>
      </c>
      <c r="K79" s="784">
        <f>K73+S78</f>
        <v>4542.3818346136468</v>
      </c>
      <c r="L79" s="784">
        <f>L73+T78</f>
        <v>5310.4063324538256</v>
      </c>
      <c r="M79" s="784">
        <f>M73+U78</f>
        <v>5420.5606893866288</v>
      </c>
      <c r="N79" s="266"/>
      <c r="O79" s="49"/>
      <c r="P79" s="365"/>
      <c r="Q79" s="365" t="s">
        <v>853</v>
      </c>
      <c r="R79" s="366">
        <v>390</v>
      </c>
      <c r="S79" s="366">
        <v>820</v>
      </c>
      <c r="T79" s="366">
        <v>750</v>
      </c>
      <c r="U79" s="366">
        <v>719</v>
      </c>
      <c r="V79" s="50"/>
      <c r="W79" s="169"/>
      <c r="X79" s="169"/>
      <c r="Y79" s="169"/>
      <c r="Z79" s="169"/>
      <c r="AA79" s="137"/>
      <c r="AB79" s="137"/>
      <c r="AC79" s="50"/>
      <c r="AD79" s="169"/>
      <c r="AE79" s="50"/>
      <c r="AF79" s="50"/>
      <c r="AG79" s="50"/>
      <c r="AH79" s="50"/>
      <c r="AI79" s="138"/>
      <c r="AJ79" s="138"/>
      <c r="AK79" s="138"/>
      <c r="AL79" s="169"/>
      <c r="AM79" s="50"/>
      <c r="AN79" s="169"/>
      <c r="AO79" s="169"/>
      <c r="AP79" s="169"/>
      <c r="AQ79" s="169"/>
      <c r="AR79" s="169"/>
      <c r="AS79" s="169"/>
      <c r="AT79" s="169"/>
      <c r="AU79" s="169"/>
      <c r="AV79" s="169"/>
      <c r="AW79" s="169"/>
      <c r="AX79" s="169"/>
      <c r="AY79" s="169"/>
      <c r="AZ79" s="169"/>
      <c r="BA79" s="169"/>
      <c r="BB79" s="169"/>
      <c r="BC79" s="169"/>
    </row>
    <row r="80" spans="1:55">
      <c r="A80" s="169"/>
      <c r="B80" s="169"/>
      <c r="C80" s="169"/>
      <c r="D80" s="335"/>
      <c r="E80" s="786">
        <f>E69/(E69+E70)</f>
        <v>0.68755658384468366</v>
      </c>
      <c r="F80" s="786">
        <f>F69/(F69+F70)</f>
        <v>0.67818322981366463</v>
      </c>
      <c r="G80" s="786">
        <f>G69/(G69+G70)</f>
        <v>0.67983074753173489</v>
      </c>
      <c r="H80" s="786">
        <f>H69/(H69+H70)</f>
        <v>0.66756480535166773</v>
      </c>
      <c r="I80" s="349" t="s">
        <v>850</v>
      </c>
      <c r="J80" s="350">
        <f>J79+J$69</f>
        <v>5385</v>
      </c>
      <c r="K80" s="350">
        <f>K79+K$69</f>
        <v>11515</v>
      </c>
      <c r="L80" s="350">
        <f>L79+L$69</f>
        <v>12209</v>
      </c>
      <c r="M80" s="350">
        <f>M79+M$69</f>
        <v>12524</v>
      </c>
      <c r="N80" s="350"/>
      <c r="O80" s="49"/>
      <c r="P80" s="169"/>
      <c r="Q80" s="137" t="s">
        <v>858</v>
      </c>
      <c r="R80" s="50">
        <v>85</v>
      </c>
      <c r="S80" s="50">
        <v>170</v>
      </c>
      <c r="T80" s="50">
        <v>207</v>
      </c>
      <c r="U80" s="50">
        <v>229</v>
      </c>
      <c r="V80" s="50"/>
      <c r="W80" s="169"/>
      <c r="X80" s="49" t="s">
        <v>928</v>
      </c>
      <c r="Y80" s="169"/>
      <c r="Z80" s="169"/>
      <c r="AA80" s="169"/>
      <c r="AB80" s="180"/>
      <c r="AC80" s="64"/>
      <c r="AD80" s="169"/>
      <c r="AE80" s="169"/>
      <c r="AF80" s="50"/>
      <c r="AG80" s="50"/>
      <c r="AH80" s="50"/>
      <c r="AI80" s="138"/>
      <c r="AJ80" s="138"/>
      <c r="AK80" s="138"/>
      <c r="AL80" s="50"/>
      <c r="AM80" s="50"/>
      <c r="AN80" s="50"/>
      <c r="AO80" s="50"/>
      <c r="AP80" s="169"/>
      <c r="AQ80" s="169"/>
      <c r="AR80" s="169"/>
      <c r="AS80" s="169"/>
      <c r="AT80" s="169"/>
      <c r="AU80" s="169"/>
      <c r="AV80" s="169"/>
      <c r="AW80" s="169"/>
      <c r="AX80" s="169"/>
      <c r="AY80" s="169"/>
      <c r="AZ80" s="169"/>
      <c r="BA80" s="169"/>
      <c r="BB80" s="169"/>
      <c r="BC80" s="169"/>
    </row>
    <row r="81" spans="1:55">
      <c r="A81" s="169"/>
      <c r="B81" s="169"/>
      <c r="C81" s="169"/>
      <c r="D81" s="335"/>
      <c r="E81" s="250"/>
      <c r="F81" s="250"/>
      <c r="G81" s="250"/>
      <c r="H81" s="250"/>
      <c r="I81" s="327" t="s">
        <v>851</v>
      </c>
      <c r="J81" s="375">
        <f>J$69/J80</f>
        <v>0.60384301884652736</v>
      </c>
      <c r="K81" s="375">
        <f>K$69/K80</f>
        <v>0.60552480810997422</v>
      </c>
      <c r="L81" s="375">
        <f>L$69/L80</f>
        <v>0.56504166332592143</v>
      </c>
      <c r="M81" s="375">
        <f>M$69/M80</f>
        <v>0.5671861474459734</v>
      </c>
      <c r="N81" s="256"/>
      <c r="O81" s="49"/>
      <c r="P81" s="169"/>
      <c r="Q81" s="180" t="s">
        <v>859</v>
      </c>
      <c r="R81" s="38">
        <f>R80/(R80+R77)</f>
        <v>0.25449101796407186</v>
      </c>
      <c r="S81" s="38">
        <f>S80/(S80+S77)</f>
        <v>0.22606382978723405</v>
      </c>
      <c r="T81" s="38">
        <f>T80/(T80+T77)</f>
        <v>0.26403061224489793</v>
      </c>
      <c r="U81" s="38">
        <f>U80/(U80+U77)</f>
        <v>0.2675233644859813</v>
      </c>
      <c r="V81" s="38"/>
      <c r="W81" s="169"/>
      <c r="X81" s="49" t="s">
        <v>929</v>
      </c>
      <c r="Y81" s="169"/>
      <c r="Z81" s="169"/>
      <c r="AA81" s="169"/>
      <c r="AB81" s="180"/>
      <c r="AC81" s="64"/>
      <c r="AD81" s="169"/>
      <c r="AE81" s="169"/>
      <c r="AF81" s="169"/>
      <c r="AG81" s="50"/>
      <c r="AH81" s="50"/>
      <c r="AI81" s="138"/>
      <c r="AJ81" s="138"/>
      <c r="AK81" s="138"/>
      <c r="AL81" s="50"/>
      <c r="AM81" s="50"/>
      <c r="AN81" s="50"/>
      <c r="AO81" s="50"/>
      <c r="AP81" s="169"/>
      <c r="AQ81" s="169"/>
      <c r="AR81" s="169"/>
      <c r="AS81" s="169"/>
      <c r="AT81" s="169"/>
      <c r="AU81" s="169"/>
      <c r="AV81" s="169"/>
      <c r="AW81" s="169"/>
      <c r="AX81" s="169"/>
      <c r="AY81" s="169"/>
      <c r="AZ81" s="169"/>
      <c r="BA81" s="169"/>
      <c r="BB81" s="169"/>
      <c r="BC81" s="169"/>
    </row>
    <row r="82" spans="1:55">
      <c r="A82" s="169"/>
      <c r="B82" s="169"/>
      <c r="C82" s="169"/>
      <c r="D82" s="335"/>
      <c r="E82" s="250"/>
      <c r="F82" s="250"/>
      <c r="G82" s="250"/>
      <c r="H82" s="250"/>
      <c r="I82" s="169"/>
      <c r="J82" s="373"/>
      <c r="K82" s="373"/>
      <c r="L82" s="373"/>
      <c r="M82" s="373"/>
      <c r="N82" s="250"/>
      <c r="O82" s="49"/>
      <c r="P82" s="169"/>
      <c r="Q82" s="169"/>
      <c r="R82" s="169"/>
      <c r="S82" s="169"/>
      <c r="T82" s="169"/>
      <c r="U82" s="169"/>
      <c r="V82" s="169"/>
      <c r="W82" s="169"/>
      <c r="X82" s="49" t="s">
        <v>930</v>
      </c>
      <c r="Y82" s="169"/>
      <c r="Z82" s="169"/>
      <c r="AA82" s="169"/>
      <c r="AB82" s="180"/>
      <c r="AC82" s="49"/>
      <c r="AD82" s="169"/>
      <c r="AE82" s="169"/>
      <c r="AF82" s="50"/>
      <c r="AG82" s="50"/>
      <c r="AH82" s="50"/>
      <c r="AI82" s="138"/>
      <c r="AJ82" s="138"/>
      <c r="AK82" s="138"/>
      <c r="AL82" s="50"/>
      <c r="AM82" s="50"/>
      <c r="AN82" s="50"/>
      <c r="AO82" s="50"/>
      <c r="AP82" s="169"/>
      <c r="AQ82" s="169"/>
      <c r="AR82" s="169"/>
      <c r="AS82" s="169"/>
      <c r="AT82" s="169"/>
      <c r="AU82" s="169"/>
      <c r="AV82" s="169"/>
      <c r="AW82" s="169"/>
      <c r="AX82" s="169"/>
      <c r="AY82" s="169"/>
      <c r="AZ82" s="169"/>
      <c r="BA82" s="169"/>
      <c r="BB82" s="169"/>
      <c r="BC82" s="169"/>
    </row>
    <row r="83" spans="1:55">
      <c r="A83" s="169"/>
      <c r="B83" s="169"/>
      <c r="C83" s="169"/>
      <c r="D83" s="335"/>
      <c r="E83" s="250"/>
      <c r="F83" s="250"/>
      <c r="G83" s="250"/>
      <c r="H83" s="250"/>
      <c r="I83" s="327" t="s">
        <v>55</v>
      </c>
      <c r="J83" s="785">
        <f>R84+R87+R90*R89</f>
        <v>3251.6946564885498</v>
      </c>
      <c r="K83" s="785">
        <f>S84+S87+S90*S89</f>
        <v>6731.8646924829154</v>
      </c>
      <c r="L83" s="785">
        <f>T84+T86*T87+T89*T90</f>
        <v>7041.8399078069151</v>
      </c>
      <c r="M83" s="785">
        <f>U84+U86*U87+U89*U90</f>
        <v>7055.5730025867688</v>
      </c>
      <c r="N83" s="785">
        <f>V84+V86*V87+V89*V90</f>
        <v>7006.0252983296714</v>
      </c>
      <c r="O83" s="886" t="s">
        <v>926</v>
      </c>
      <c r="P83" s="169"/>
      <c r="Q83" s="49" t="s">
        <v>844</v>
      </c>
      <c r="R83" s="169"/>
      <c r="S83" s="50"/>
      <c r="T83" s="50"/>
      <c r="U83" s="169"/>
      <c r="V83" s="169"/>
      <c r="W83" s="169"/>
      <c r="X83" s="49" t="s">
        <v>931</v>
      </c>
      <c r="Y83" s="169"/>
      <c r="Z83" s="169"/>
      <c r="AA83" s="169"/>
      <c r="AB83" s="169"/>
      <c r="AC83" s="49"/>
      <c r="AD83" s="169"/>
      <c r="AE83" s="169"/>
      <c r="AF83" s="50"/>
      <c r="AG83" s="50"/>
      <c r="AH83" s="169"/>
      <c r="AI83" s="169"/>
      <c r="AJ83" s="169"/>
      <c r="AK83" s="169"/>
      <c r="AL83" s="169"/>
      <c r="AM83" s="50"/>
      <c r="AN83" s="50"/>
      <c r="AO83" s="50"/>
      <c r="AP83" s="169"/>
      <c r="AQ83" s="169"/>
      <c r="AR83" s="169"/>
      <c r="AS83" s="169"/>
      <c r="AT83" s="169"/>
      <c r="AU83" s="169"/>
      <c r="AV83" s="169"/>
      <c r="AW83" s="169"/>
      <c r="AX83" s="169"/>
      <c r="AY83" s="169"/>
      <c r="AZ83" s="169"/>
      <c r="BA83" s="169"/>
      <c r="BB83" s="169"/>
      <c r="BC83" s="169"/>
    </row>
    <row r="84" spans="1:55">
      <c r="A84" s="169"/>
      <c r="B84" s="169"/>
      <c r="C84" s="169"/>
      <c r="D84" s="335"/>
      <c r="E84" s="250"/>
      <c r="F84" s="250"/>
      <c r="G84" s="250"/>
      <c r="H84" s="250"/>
      <c r="I84" s="343" t="s">
        <v>646</v>
      </c>
      <c r="J84" s="784">
        <f>R88+(1-R90)*R89</f>
        <v>1659.3053435114505</v>
      </c>
      <c r="K84" s="784">
        <f>S88+(1-S90)*S89</f>
        <v>3017.1353075170841</v>
      </c>
      <c r="L84" s="784">
        <f>T86*T88+T89*(1-T90)</f>
        <v>2883.1600921930849</v>
      </c>
      <c r="M84" s="784">
        <f>U86*U88+U89*(1-U90)</f>
        <v>3045.4269974132312</v>
      </c>
      <c r="N84" s="784">
        <f>V86*V88+V89*(1-V90)</f>
        <v>3133.6851464523679</v>
      </c>
      <c r="O84" s="49"/>
      <c r="P84" s="364"/>
      <c r="Q84" s="365" t="s">
        <v>311</v>
      </c>
      <c r="R84" s="366">
        <v>1939</v>
      </c>
      <c r="S84" s="366">
        <v>4155</v>
      </c>
      <c r="T84" s="366">
        <v>4161</v>
      </c>
      <c r="U84" s="366">
        <v>4137</v>
      </c>
      <c r="V84" s="366">
        <v>4037</v>
      </c>
      <c r="W84" s="169"/>
      <c r="X84" s="49" t="s">
        <v>932</v>
      </c>
      <c r="Y84" s="169"/>
      <c r="Z84" s="169"/>
      <c r="AA84" s="169"/>
      <c r="AB84" s="169"/>
      <c r="AC84" s="49"/>
      <c r="AD84" s="169"/>
      <c r="AE84" s="169"/>
      <c r="AF84" s="50"/>
      <c r="AG84" s="50"/>
      <c r="AH84" s="169"/>
      <c r="AI84" s="169"/>
      <c r="AJ84" s="169"/>
      <c r="AK84" s="169"/>
      <c r="AL84" s="169"/>
      <c r="AM84" s="50"/>
      <c r="AN84" s="50"/>
      <c r="AO84" s="50"/>
      <c r="AP84" s="169"/>
      <c r="AQ84" s="169"/>
      <c r="AR84" s="169"/>
      <c r="AS84" s="169"/>
      <c r="AT84" s="169"/>
      <c r="AU84" s="169"/>
      <c r="AV84" s="169"/>
      <c r="AW84" s="169"/>
      <c r="AX84" s="169"/>
      <c r="AY84" s="169"/>
      <c r="AZ84" s="169"/>
      <c r="BA84" s="169"/>
      <c r="BB84" s="169"/>
      <c r="BC84" s="169"/>
    </row>
    <row r="85" spans="1:55">
      <c r="A85" s="169"/>
      <c r="B85" s="169"/>
      <c r="C85" s="169"/>
      <c r="D85" s="335"/>
      <c r="E85" s="250"/>
      <c r="F85" s="250"/>
      <c r="G85" s="250"/>
      <c r="H85" s="250"/>
      <c r="I85" s="180" t="s">
        <v>590</v>
      </c>
      <c r="J85" s="266">
        <f>J$83+J84</f>
        <v>4911</v>
      </c>
      <c r="K85" s="266">
        <f>K$83+K84</f>
        <v>9749</v>
      </c>
      <c r="L85" s="266">
        <f>L$83+L84</f>
        <v>9925</v>
      </c>
      <c r="M85" s="266">
        <f>M$83+M84</f>
        <v>10101</v>
      </c>
      <c r="N85" s="266">
        <f>N$83+N84</f>
        <v>10139.710444782038</v>
      </c>
      <c r="O85" s="49"/>
      <c r="P85" s="351"/>
      <c r="Q85" s="351" t="s">
        <v>314</v>
      </c>
      <c r="R85" s="332">
        <f>R87+R88+R89+R91</f>
        <v>3221</v>
      </c>
      <c r="S85" s="49">
        <f>S87+S88+S89+S91</f>
        <v>6176</v>
      </c>
      <c r="T85" s="332">
        <f>T86+T89+T91</f>
        <v>6343</v>
      </c>
      <c r="U85" s="332">
        <f>U86+U89+U91</f>
        <v>6591</v>
      </c>
      <c r="V85" s="332">
        <f>V87+V88+V89+V91</f>
        <v>2875.9983831477589</v>
      </c>
      <c r="W85" s="169"/>
      <c r="X85" s="169"/>
      <c r="Y85" s="169"/>
      <c r="Z85" s="169"/>
      <c r="AA85" s="169"/>
      <c r="AB85" s="169"/>
      <c r="AC85" s="49"/>
      <c r="AD85" s="169"/>
      <c r="AE85" s="169"/>
      <c r="AF85" s="50"/>
      <c r="AG85" s="50"/>
      <c r="AH85" s="169"/>
      <c r="AI85" s="169"/>
      <c r="AJ85" s="169"/>
      <c r="AK85" s="169"/>
      <c r="AL85" s="169"/>
      <c r="AM85" s="50"/>
      <c r="AN85" s="50"/>
      <c r="AO85" s="50"/>
      <c r="AP85" s="169"/>
      <c r="AQ85" s="169"/>
      <c r="AR85" s="169"/>
      <c r="AS85" s="169"/>
      <c r="AT85" s="169"/>
      <c r="AU85" s="169"/>
      <c r="AV85" s="169"/>
      <c r="AW85" s="169"/>
      <c r="AX85" s="169"/>
      <c r="AY85" s="169"/>
      <c r="AZ85" s="169"/>
      <c r="BA85" s="169"/>
      <c r="BB85" s="169"/>
      <c r="BC85" s="169"/>
    </row>
    <row r="86" spans="1:55">
      <c r="A86" s="169"/>
      <c r="B86" s="169"/>
      <c r="C86" s="169"/>
      <c r="D86" s="335"/>
      <c r="E86" s="250"/>
      <c r="F86" s="250"/>
      <c r="G86" s="250"/>
      <c r="H86" s="250"/>
      <c r="I86" s="327" t="s">
        <v>647</v>
      </c>
      <c r="J86" s="375">
        <f>J$83/J85</f>
        <v>0.66212475188119524</v>
      </c>
      <c r="K86" s="375">
        <f>K$83/K85</f>
        <v>0.69051848317600939</v>
      </c>
      <c r="L86" s="375">
        <f>L$83/L85</f>
        <v>0.7095052803835683</v>
      </c>
      <c r="M86" s="375">
        <f>M$83/M85</f>
        <v>0.69850242575851584</v>
      </c>
      <c r="N86" s="375">
        <f>N$83/N85</f>
        <v>0.69094924716859329</v>
      </c>
      <c r="O86" s="49"/>
      <c r="P86" s="352"/>
      <c r="Q86" s="351" t="s">
        <v>845</v>
      </c>
      <c r="R86" s="353"/>
      <c r="S86" s="353"/>
      <c r="T86" s="353">
        <v>3601</v>
      </c>
      <c r="U86" s="353">
        <v>3775</v>
      </c>
      <c r="V86" s="353">
        <v>3890</v>
      </c>
      <c r="W86" s="169"/>
      <c r="X86" s="780"/>
      <c r="Y86" s="169"/>
      <c r="Z86" s="169"/>
      <c r="AA86" s="169"/>
      <c r="AB86" s="169"/>
      <c r="AC86" s="49"/>
      <c r="AD86" s="169"/>
      <c r="AE86" s="169"/>
      <c r="AF86" s="50"/>
      <c r="AG86" s="50"/>
      <c r="AH86" s="169"/>
      <c r="AI86" s="169"/>
      <c r="AJ86" s="169"/>
      <c r="AK86" s="169"/>
      <c r="AL86" s="169"/>
      <c r="AM86" s="50"/>
      <c r="AN86" s="50"/>
      <c r="AO86" s="50"/>
      <c r="AP86" s="169"/>
      <c r="AQ86" s="169"/>
      <c r="AR86" s="169"/>
      <c r="AS86" s="169"/>
      <c r="AT86" s="169"/>
      <c r="AU86" s="169"/>
      <c r="AV86" s="169"/>
      <c r="AW86" s="169"/>
      <c r="AX86" s="169"/>
      <c r="AY86" s="169"/>
      <c r="AZ86" s="169"/>
      <c r="BA86" s="169"/>
      <c r="BB86" s="169"/>
      <c r="BC86" s="169"/>
    </row>
    <row r="87" spans="1:55">
      <c r="A87" s="169"/>
      <c r="B87" s="169"/>
      <c r="C87" s="169"/>
      <c r="D87" s="335"/>
      <c r="E87" s="250"/>
      <c r="F87" s="250"/>
      <c r="G87" s="250"/>
      <c r="H87" s="250"/>
      <c r="I87" s="180" t="s">
        <v>852</v>
      </c>
      <c r="J87" s="266">
        <f>J84+R91</f>
        <v>1908.3053435114505</v>
      </c>
      <c r="K87" s="266">
        <f>K84+S91</f>
        <v>3599.1353075170841</v>
      </c>
      <c r="L87" s="266">
        <f>L84+T91</f>
        <v>3462.1600921930849</v>
      </c>
      <c r="M87" s="266">
        <f>M84+U91</f>
        <v>3672.4269974132312</v>
      </c>
      <c r="N87" s="266">
        <f>N84+V91</f>
        <v>3789.6851464523679</v>
      </c>
      <c r="O87" s="49"/>
      <c r="P87" s="169"/>
      <c r="Q87" s="137" t="s">
        <v>312</v>
      </c>
      <c r="R87" s="63">
        <v>744</v>
      </c>
      <c r="S87" s="63">
        <v>1611</v>
      </c>
      <c r="T87" s="783">
        <f>(1690+T94)/(3735-331)</f>
        <v>0.55963572267920092</v>
      </c>
      <c r="U87" s="783">
        <f>(1833+U94)/(3939-254)</f>
        <v>0.55956580732700134</v>
      </c>
      <c r="V87" s="783">
        <f>(1934+V94)/(4094-215)</f>
        <v>0.55039958752255735</v>
      </c>
      <c r="W87" s="169"/>
      <c r="X87" s="169"/>
      <c r="Y87" s="169"/>
      <c r="Z87" s="169"/>
      <c r="AA87" s="169"/>
      <c r="AB87" s="169"/>
      <c r="AC87" s="49"/>
      <c r="AD87" s="169"/>
      <c r="AE87" s="169"/>
      <c r="AF87" s="50"/>
      <c r="AG87" s="50"/>
      <c r="AH87" s="169"/>
      <c r="AI87" s="169"/>
      <c r="AJ87" s="169"/>
      <c r="AK87" s="169"/>
      <c r="AL87" s="169"/>
      <c r="AM87" s="50"/>
      <c r="AN87" s="50"/>
      <c r="AO87" s="50"/>
      <c r="AP87" s="169"/>
      <c r="AQ87" s="169"/>
      <c r="AR87" s="169"/>
      <c r="AS87" s="169"/>
      <c r="AT87" s="169"/>
      <c r="AU87" s="169"/>
      <c r="AV87" s="169"/>
      <c r="AW87" s="169"/>
      <c r="AX87" s="169"/>
      <c r="AY87" s="169"/>
      <c r="AZ87" s="169"/>
      <c r="BA87" s="169"/>
      <c r="BB87" s="169"/>
      <c r="BC87" s="169"/>
    </row>
    <row r="88" spans="1:55">
      <c r="A88" s="169"/>
      <c r="B88" s="169"/>
      <c r="C88" s="169"/>
      <c r="D88" s="335"/>
      <c r="E88" s="250"/>
      <c r="F88" s="250"/>
      <c r="G88" s="250"/>
      <c r="H88" s="250"/>
      <c r="I88" s="180" t="s">
        <v>593</v>
      </c>
      <c r="J88" s="266">
        <f>J$83+J87</f>
        <v>5160</v>
      </c>
      <c r="K88" s="266">
        <f>K$83+K87</f>
        <v>10331</v>
      </c>
      <c r="L88" s="266">
        <f>L$83+L87</f>
        <v>10504</v>
      </c>
      <c r="M88" s="266">
        <f>M$83+M87</f>
        <v>10728</v>
      </c>
      <c r="N88" s="266">
        <f>N$83+N87</f>
        <v>10795.710444782038</v>
      </c>
      <c r="O88" s="49"/>
      <c r="P88" s="169"/>
      <c r="Q88" s="137" t="s">
        <v>313</v>
      </c>
      <c r="R88" s="63">
        <v>921</v>
      </c>
      <c r="S88" s="63">
        <v>1730</v>
      </c>
      <c r="T88" s="783">
        <f>(500+999)/(3735-331)</f>
        <v>0.44036427732079908</v>
      </c>
      <c r="U88" s="783">
        <f>(597+1026)/(3939-254)</f>
        <v>0.44043419267299866</v>
      </c>
      <c r="V88" s="783">
        <f>(702+1042)/(4094-201)</f>
        <v>0.44798356023632158</v>
      </c>
      <c r="W88" s="169"/>
      <c r="X88" s="169"/>
      <c r="Y88" s="169"/>
      <c r="Z88" s="169"/>
      <c r="AA88" s="169"/>
      <c r="AB88" s="169"/>
      <c r="AC88" s="49"/>
      <c r="AD88" s="169"/>
      <c r="AE88" s="169"/>
      <c r="AF88" s="50"/>
      <c r="AG88" s="50"/>
      <c r="AH88" s="169"/>
      <c r="AI88" s="50"/>
      <c r="AJ88" s="50">
        <v>2012</v>
      </c>
      <c r="AK88" s="169"/>
      <c r="AL88" s="169"/>
      <c r="AM88" s="50"/>
      <c r="AN88" s="50"/>
      <c r="AO88" s="50"/>
      <c r="AP88" s="169"/>
      <c r="AQ88" s="169"/>
      <c r="AR88" s="169"/>
      <c r="AS88" s="169"/>
      <c r="AT88" s="169"/>
      <c r="AU88" s="169"/>
      <c r="AV88" s="169"/>
      <c r="AW88" s="169"/>
      <c r="AX88" s="169"/>
      <c r="AY88" s="169"/>
      <c r="AZ88" s="169"/>
      <c r="BA88" s="169"/>
      <c r="BB88" s="169"/>
      <c r="BC88" s="169"/>
    </row>
    <row r="89" spans="1:55">
      <c r="A89" s="169"/>
      <c r="B89" s="169"/>
      <c r="C89" s="169"/>
      <c r="D89" s="335"/>
      <c r="E89" s="250"/>
      <c r="F89" s="250"/>
      <c r="G89" s="250"/>
      <c r="H89" s="250"/>
      <c r="I89" s="327" t="s">
        <v>588</v>
      </c>
      <c r="J89" s="375">
        <f>J$83/J88</f>
        <v>0.63017338304041659</v>
      </c>
      <c r="K89" s="375">
        <f>K$83/K88</f>
        <v>0.65161791622136433</v>
      </c>
      <c r="L89" s="375">
        <f>L$83/L88</f>
        <v>0.67039603082701016</v>
      </c>
      <c r="M89" s="375">
        <f>M$83/M88</f>
        <v>0.65767831866021331</v>
      </c>
      <c r="N89" s="375">
        <f>N$83/N88</f>
        <v>0.6489638022586961</v>
      </c>
      <c r="O89" s="49"/>
      <c r="P89" s="169"/>
      <c r="Q89" s="137" t="s">
        <v>254</v>
      </c>
      <c r="R89" s="50">
        <v>1307</v>
      </c>
      <c r="S89" s="788">
        <v>2253</v>
      </c>
      <c r="T89" s="788">
        <v>2163</v>
      </c>
      <c r="U89" s="50">
        <v>2189</v>
      </c>
      <c r="V89" s="50">
        <v>2219</v>
      </c>
      <c r="W89" s="169"/>
      <c r="X89" s="169"/>
      <c r="Y89" s="169"/>
      <c r="Z89" s="169"/>
      <c r="AA89" s="169"/>
      <c r="AB89" s="169"/>
      <c r="AC89" s="49"/>
      <c r="AD89" s="169"/>
      <c r="AE89" s="169"/>
      <c r="AF89" s="50"/>
      <c r="AG89" s="50"/>
      <c r="AH89" s="169"/>
      <c r="AI89" s="137" t="s">
        <v>311</v>
      </c>
      <c r="AJ89" s="50">
        <f>SUM(AJ90:AJ93)</f>
        <v>4371</v>
      </c>
      <c r="AK89" s="49" t="s">
        <v>320</v>
      </c>
      <c r="AL89" s="49" t="s">
        <v>321</v>
      </c>
      <c r="AM89" s="50"/>
      <c r="AN89" s="50"/>
      <c r="AO89" s="50"/>
      <c r="AP89" s="169"/>
      <c r="AQ89" s="169"/>
      <c r="AR89" s="169"/>
      <c r="AS89" s="169"/>
      <c r="AT89" s="169"/>
      <c r="AU89" s="169"/>
      <c r="AV89" s="169"/>
      <c r="AW89" s="169"/>
      <c r="AX89" s="169"/>
      <c r="AY89" s="169"/>
      <c r="AZ89" s="169"/>
      <c r="BA89" s="169"/>
      <c r="BB89" s="169"/>
      <c r="BC89" s="169"/>
    </row>
    <row r="90" spans="1:55">
      <c r="A90" s="169"/>
      <c r="B90" s="169"/>
      <c r="C90" s="169"/>
      <c r="D90" s="335"/>
      <c r="E90" s="250"/>
      <c r="F90" s="250"/>
      <c r="G90" s="250"/>
      <c r="H90" s="250"/>
      <c r="I90" s="180" t="s">
        <v>848</v>
      </c>
      <c r="J90" s="266">
        <f>J84+R92</f>
        <v>1884.3053435114505</v>
      </c>
      <c r="K90" s="266">
        <f>K84+S92</f>
        <v>4202.1353075170846</v>
      </c>
      <c r="L90" s="266">
        <f>L84+T92</f>
        <v>4588.1600921930849</v>
      </c>
      <c r="M90" s="266">
        <f>M84+U92</f>
        <v>4841.4269974132312</v>
      </c>
      <c r="N90" s="266">
        <f>N84+V92</f>
        <v>5081.6851464523679</v>
      </c>
      <c r="O90" s="49"/>
      <c r="P90" s="169"/>
      <c r="Q90" s="180" t="s">
        <v>847</v>
      </c>
      <c r="R90" s="783">
        <f>456/(456+406+186)</f>
        <v>0.4351145038167939</v>
      </c>
      <c r="S90" s="783">
        <f>941/(941+379+875)</f>
        <v>0.42870159453302964</v>
      </c>
      <c r="T90" s="783">
        <f>884/(884+383+942)</f>
        <v>0.40018107741059306</v>
      </c>
      <c r="U90" s="783">
        <f>811/(811+411+980)</f>
        <v>0.36830154405086285</v>
      </c>
      <c r="V90" s="783">
        <f>872/(872+439+1026)</f>
        <v>0.37312794180573383</v>
      </c>
      <c r="W90" s="169"/>
      <c r="X90" s="169"/>
      <c r="Y90" s="169"/>
      <c r="Z90" s="169"/>
      <c r="AA90" s="169"/>
      <c r="AB90" s="169"/>
      <c r="AC90" s="49"/>
      <c r="AD90" s="169"/>
      <c r="AE90" s="169"/>
      <c r="AF90" s="50"/>
      <c r="AG90" s="50"/>
      <c r="AH90" s="169"/>
      <c r="AI90" s="50" t="s">
        <v>318</v>
      </c>
      <c r="AJ90" s="50">
        <v>3404</v>
      </c>
      <c r="AK90" s="38">
        <f>AJ90/$AJ$89</f>
        <v>0.77876916037520016</v>
      </c>
      <c r="AL90" s="38">
        <f>AJ90/($S$70+$S$71+$S$78+$S$80)</f>
        <v>0.29131364997860504</v>
      </c>
      <c r="AM90" s="50"/>
      <c r="AN90" s="50"/>
      <c r="AO90" s="50"/>
      <c r="AP90" s="169"/>
      <c r="AQ90" s="169"/>
      <c r="AR90" s="169"/>
      <c r="AS90" s="169"/>
      <c r="AT90" s="169"/>
      <c r="AU90" s="169"/>
      <c r="AV90" s="169"/>
      <c r="AW90" s="169"/>
      <c r="AX90" s="169"/>
      <c r="AY90" s="169"/>
      <c r="AZ90" s="169"/>
      <c r="BA90" s="169"/>
      <c r="BB90" s="169"/>
      <c r="BC90" s="169"/>
    </row>
    <row r="91" spans="1:55">
      <c r="A91" s="169"/>
      <c r="B91" s="169"/>
      <c r="C91" s="169"/>
      <c r="D91" s="335"/>
      <c r="E91" s="250"/>
      <c r="F91" s="250"/>
      <c r="G91" s="250"/>
      <c r="H91" s="250"/>
      <c r="I91" s="349" t="s">
        <v>596</v>
      </c>
      <c r="J91" s="266">
        <f>J$83+J90</f>
        <v>5136</v>
      </c>
      <c r="K91" s="266">
        <f>K$83+K90</f>
        <v>10934</v>
      </c>
      <c r="L91" s="266">
        <f>L$83+L90</f>
        <v>11630</v>
      </c>
      <c r="M91" s="266">
        <f>M$83+M90</f>
        <v>11897</v>
      </c>
      <c r="N91" s="266">
        <f>N$83+N90</f>
        <v>12087.710444782038</v>
      </c>
      <c r="O91" s="49"/>
      <c r="P91" s="169"/>
      <c r="Q91" s="137" t="s">
        <v>857</v>
      </c>
      <c r="R91" s="50">
        <v>249</v>
      </c>
      <c r="S91" s="50">
        <v>582</v>
      </c>
      <c r="T91" s="50">
        <v>579</v>
      </c>
      <c r="U91" s="50">
        <v>627</v>
      </c>
      <c r="V91" s="50">
        <v>656</v>
      </c>
      <c r="W91" s="169"/>
      <c r="X91" s="49" t="s">
        <v>933</v>
      </c>
      <c r="Y91" s="169"/>
      <c r="Z91" s="169"/>
      <c r="AA91" s="169"/>
      <c r="AB91" s="169"/>
      <c r="AC91" s="49"/>
      <c r="AD91" s="169"/>
      <c r="AE91" s="169"/>
      <c r="AF91" s="50"/>
      <c r="AG91" s="50"/>
      <c r="AH91" s="50"/>
      <c r="AI91" s="50" t="s">
        <v>319</v>
      </c>
      <c r="AJ91" s="50">
        <v>804</v>
      </c>
      <c r="AK91" s="38">
        <f>AJ91/AJ90</f>
        <v>0.23619271445358403</v>
      </c>
      <c r="AL91" s="38">
        <f>AJ91/($S$70+$S$71+$S$78+$S$80)</f>
        <v>6.8806161745827987E-2</v>
      </c>
      <c r="AM91" s="50"/>
      <c r="AN91" s="50"/>
      <c r="AO91" s="50"/>
      <c r="AP91" s="169"/>
      <c r="AQ91" s="169"/>
      <c r="AR91" s="169"/>
      <c r="AS91" s="169"/>
      <c r="AT91" s="169"/>
      <c r="AU91" s="169"/>
      <c r="AV91" s="169"/>
      <c r="AW91" s="169"/>
      <c r="AX91" s="169"/>
      <c r="AY91" s="169"/>
      <c r="AZ91" s="169"/>
      <c r="BA91" s="169"/>
      <c r="BB91" s="169"/>
      <c r="BC91" s="169"/>
    </row>
    <row r="92" spans="1:55">
      <c r="A92" s="169"/>
      <c r="B92" s="169"/>
      <c r="C92" s="169"/>
      <c r="D92" s="335"/>
      <c r="E92" s="250"/>
      <c r="F92" s="250"/>
      <c r="G92" s="250"/>
      <c r="H92" s="250"/>
      <c r="I92" s="327" t="s">
        <v>648</v>
      </c>
      <c r="J92" s="375">
        <f>J$83/J91</f>
        <v>0.63311811847518495</v>
      </c>
      <c r="K92" s="375">
        <f>K$83/K91</f>
        <v>0.61568179005697055</v>
      </c>
      <c r="L92" s="375">
        <f>L$83/L91</f>
        <v>0.60548924400747339</v>
      </c>
      <c r="M92" s="375">
        <f>M$83/M91</f>
        <v>0.59305480394946364</v>
      </c>
      <c r="N92" s="375">
        <f>N$83/N91</f>
        <v>0.5795990341044277</v>
      </c>
      <c r="O92" s="49"/>
      <c r="P92" s="351"/>
      <c r="Q92" s="351" t="s">
        <v>315</v>
      </c>
      <c r="R92" s="353">
        <v>225</v>
      </c>
      <c r="S92" s="789">
        <v>1185</v>
      </c>
      <c r="T92" s="789">
        <v>1705</v>
      </c>
      <c r="U92" s="353">
        <v>1796</v>
      </c>
      <c r="V92" s="353">
        <v>1948</v>
      </c>
      <c r="W92" s="169"/>
      <c r="X92" s="169"/>
      <c r="Y92" s="169"/>
      <c r="Z92" s="169"/>
      <c r="AA92" s="169"/>
      <c r="AB92" s="180"/>
      <c r="AC92" s="49"/>
      <c r="AD92" s="169"/>
      <c r="AE92" s="169"/>
      <c r="AF92" s="50"/>
      <c r="AG92" s="50"/>
      <c r="AH92" s="50"/>
      <c r="AI92" s="50" t="s">
        <v>317</v>
      </c>
      <c r="AJ92" s="50">
        <v>247</v>
      </c>
      <c r="AK92" s="38">
        <f>AJ92/AJ91</f>
        <v>0.30721393034825872</v>
      </c>
      <c r="AL92" s="38">
        <f>AJ92/($S$70+$S$71+$S$78+$S$80)</f>
        <v>2.113821138211382E-2</v>
      </c>
      <c r="AM92" s="50"/>
      <c r="AN92" s="50"/>
      <c r="AO92" s="50"/>
      <c r="AP92" s="169"/>
      <c r="AQ92" s="169"/>
      <c r="AR92" s="169"/>
      <c r="AS92" s="169"/>
      <c r="AT92" s="169"/>
      <c r="AU92" s="169"/>
      <c r="AV92" s="169"/>
      <c r="AW92" s="169"/>
      <c r="AX92" s="169"/>
      <c r="AY92" s="169"/>
      <c r="AZ92" s="169"/>
      <c r="BA92" s="169"/>
      <c r="BB92" s="169"/>
      <c r="BC92" s="169"/>
    </row>
    <row r="93" spans="1:55">
      <c r="A93" s="169"/>
      <c r="B93" s="169"/>
      <c r="C93" s="169"/>
      <c r="D93" s="335"/>
      <c r="E93" s="250"/>
      <c r="F93" s="250"/>
      <c r="G93" s="250"/>
      <c r="H93" s="250"/>
      <c r="I93" s="343" t="s">
        <v>849</v>
      </c>
      <c r="J93" s="784">
        <f>J87+R92</f>
        <v>2133.3053435114507</v>
      </c>
      <c r="K93" s="784">
        <f>K87+S92</f>
        <v>4784.1353075170846</v>
      </c>
      <c r="L93" s="784">
        <f>L87+T92</f>
        <v>5167.1600921930849</v>
      </c>
      <c r="M93" s="784">
        <f>M87+U92</f>
        <v>5468.4269974132312</v>
      </c>
      <c r="N93" s="784">
        <f>N87+V92</f>
        <v>5737.6851464523679</v>
      </c>
      <c r="O93" s="49"/>
      <c r="P93" s="365"/>
      <c r="Q93" s="365" t="s">
        <v>853</v>
      </c>
      <c r="R93" s="366">
        <v>390</v>
      </c>
      <c r="S93" s="366">
        <v>820</v>
      </c>
      <c r="T93" s="366">
        <v>750</v>
      </c>
      <c r="U93" s="366">
        <v>727</v>
      </c>
      <c r="V93" s="366">
        <v>558</v>
      </c>
      <c r="W93" s="169"/>
      <c r="X93" s="49" t="s">
        <v>934</v>
      </c>
      <c r="Y93" s="50"/>
      <c r="Z93" s="169"/>
      <c r="AA93" s="169"/>
      <c r="AB93" s="180"/>
      <c r="AC93" s="49"/>
      <c r="AD93" s="169"/>
      <c r="AE93" s="169"/>
      <c r="AF93" s="50"/>
      <c r="AG93" s="50"/>
      <c r="AH93" s="50"/>
      <c r="AI93" s="50" t="s">
        <v>153</v>
      </c>
      <c r="AJ93" s="50">
        <v>-84</v>
      </c>
      <c r="AK93" s="49"/>
      <c r="AL93" s="49"/>
      <c r="AM93" s="50"/>
      <c r="AN93" s="50"/>
      <c r="AO93" s="50"/>
      <c r="AP93" s="169"/>
      <c r="AQ93" s="169"/>
      <c r="AR93" s="169"/>
      <c r="AS93" s="169"/>
      <c r="AT93" s="169"/>
      <c r="AU93" s="169"/>
      <c r="AV93" s="169"/>
      <c r="AW93" s="169"/>
      <c r="AX93" s="169"/>
      <c r="AY93" s="169"/>
      <c r="AZ93" s="169"/>
      <c r="BA93" s="169"/>
      <c r="BB93" s="169"/>
      <c r="BC93" s="169"/>
    </row>
    <row r="94" spans="1:55">
      <c r="A94" s="169"/>
      <c r="B94" s="169"/>
      <c r="C94" s="169"/>
      <c r="D94" s="335"/>
      <c r="E94" s="250"/>
      <c r="F94" s="250"/>
      <c r="G94" s="250"/>
      <c r="H94" s="250"/>
      <c r="I94" s="349" t="s">
        <v>850</v>
      </c>
      <c r="J94" s="266">
        <f>J$83+J93</f>
        <v>5385</v>
      </c>
      <c r="K94" s="266">
        <f>K$83+K93</f>
        <v>11516</v>
      </c>
      <c r="L94" s="266">
        <f>L$83+L93</f>
        <v>12209</v>
      </c>
      <c r="M94" s="266">
        <f>M$83+M93</f>
        <v>12524</v>
      </c>
      <c r="N94" s="266">
        <f>N$83+N93</f>
        <v>12743.710444782038</v>
      </c>
      <c r="O94" s="49"/>
      <c r="P94" s="169"/>
      <c r="Q94" s="137" t="s">
        <v>858</v>
      </c>
      <c r="R94" s="50">
        <v>85</v>
      </c>
      <c r="S94" s="50">
        <v>170</v>
      </c>
      <c r="T94" s="50">
        <v>215</v>
      </c>
      <c r="U94" s="50">
        <v>229</v>
      </c>
      <c r="V94" s="50">
        <v>201</v>
      </c>
      <c r="W94" s="169"/>
      <c r="X94" s="169"/>
      <c r="Y94" s="169"/>
      <c r="Z94" s="169"/>
      <c r="AA94" s="169"/>
      <c r="AB94" s="180"/>
      <c r="AC94" s="49"/>
      <c r="AD94" s="169"/>
      <c r="AE94" s="169"/>
      <c r="AF94" s="50"/>
      <c r="AG94" s="50"/>
      <c r="AH94" s="50"/>
      <c r="AI94" s="169"/>
      <c r="AJ94" s="169"/>
      <c r="AK94" s="169"/>
      <c r="AL94" s="169"/>
      <c r="AM94" s="50"/>
      <c r="AN94" s="50"/>
      <c r="AO94" s="50"/>
      <c r="AP94" s="169"/>
      <c r="AQ94" s="169"/>
      <c r="AR94" s="169"/>
      <c r="AS94" s="169"/>
      <c r="AT94" s="169"/>
      <c r="AU94" s="169"/>
      <c r="AV94" s="169"/>
      <c r="AW94" s="169"/>
      <c r="AX94" s="169"/>
      <c r="AY94" s="169"/>
      <c r="AZ94" s="169"/>
      <c r="BA94" s="169"/>
      <c r="BB94" s="169"/>
      <c r="BC94" s="169"/>
    </row>
    <row r="95" spans="1:55">
      <c r="A95" s="169"/>
      <c r="B95" s="169"/>
      <c r="C95" s="169"/>
      <c r="D95" s="335"/>
      <c r="E95" s="250"/>
      <c r="F95" s="250"/>
      <c r="G95" s="250"/>
      <c r="H95" s="250"/>
      <c r="I95" s="813" t="s">
        <v>380</v>
      </c>
      <c r="J95" s="795">
        <f>J$83/J94</f>
        <v>0.60384301884652736</v>
      </c>
      <c r="K95" s="795">
        <f>K$83/K94</f>
        <v>0.58456622894085752</v>
      </c>
      <c r="L95" s="795">
        <f>L$83/L94</f>
        <v>0.57677450305568967</v>
      </c>
      <c r="M95" s="795">
        <f>M$83/M94</f>
        <v>0.56336418097946095</v>
      </c>
      <c r="N95" s="795">
        <f>N$83/N94</f>
        <v>0.5497633776823857</v>
      </c>
      <c r="O95" s="49"/>
      <c r="P95" s="169"/>
      <c r="Q95" s="180" t="s">
        <v>859</v>
      </c>
      <c r="R95" s="38">
        <f>R94/(R94+R91)</f>
        <v>0.25449101796407186</v>
      </c>
      <c r="S95" s="38">
        <f>S94/(S94+S91)</f>
        <v>0.22606382978723405</v>
      </c>
      <c r="T95" s="38">
        <f>T94/(T94+T91)</f>
        <v>0.27078085642317379</v>
      </c>
      <c r="U95" s="38">
        <f>U94/(U94+U91)</f>
        <v>0.2675233644859813</v>
      </c>
      <c r="V95" s="38">
        <f>V94/(V94+V91)</f>
        <v>0.23453908984830804</v>
      </c>
      <c r="W95" s="169"/>
      <c r="X95" s="169"/>
      <c r="Y95" s="169"/>
      <c r="Z95" s="169"/>
      <c r="AA95" s="169"/>
      <c r="AB95" s="180"/>
      <c r="AC95" s="49"/>
      <c r="AD95" s="169"/>
      <c r="AE95" s="169"/>
      <c r="AF95" s="50"/>
      <c r="AG95" s="50"/>
      <c r="AH95" s="50"/>
      <c r="AI95" s="169"/>
      <c r="AJ95" s="138"/>
      <c r="AK95" s="180" t="s">
        <v>899</v>
      </c>
      <c r="AL95" s="139">
        <f>1035/12708</f>
        <v>8.1444759206798861E-2</v>
      </c>
      <c r="AM95" s="50"/>
      <c r="AN95" s="50"/>
      <c r="AO95" s="50"/>
      <c r="AP95" s="169"/>
      <c r="AQ95" s="169"/>
      <c r="AR95" s="169"/>
      <c r="AS95" s="169"/>
      <c r="AT95" s="169"/>
      <c r="AU95" s="169"/>
      <c r="AV95" s="169"/>
      <c r="AW95" s="169"/>
      <c r="AX95" s="169"/>
      <c r="AY95" s="169"/>
      <c r="AZ95" s="169"/>
      <c r="BA95" s="169"/>
      <c r="BB95" s="169"/>
      <c r="BC95" s="169"/>
    </row>
    <row r="96" spans="1:55">
      <c r="A96" s="169"/>
      <c r="B96" s="169"/>
      <c r="C96" s="169"/>
      <c r="D96" s="335"/>
      <c r="E96" s="250"/>
      <c r="F96" s="250"/>
      <c r="G96" s="250"/>
      <c r="H96" s="250"/>
      <c r="I96" s="169"/>
      <c r="J96" s="250"/>
      <c r="K96" s="250"/>
      <c r="L96" s="250"/>
      <c r="M96" s="250"/>
      <c r="N96" s="250"/>
      <c r="O96" s="49"/>
      <c r="P96" s="169"/>
      <c r="Q96" s="49"/>
      <c r="R96" s="169"/>
      <c r="S96" s="50"/>
      <c r="T96" s="50"/>
      <c r="U96" s="169"/>
      <c r="V96" s="169"/>
      <c r="W96" s="169"/>
      <c r="X96" s="169"/>
      <c r="Y96" s="50"/>
      <c r="Z96" s="169"/>
      <c r="AA96" s="169"/>
      <c r="AB96" s="180"/>
      <c r="AC96" s="49"/>
      <c r="AD96" s="169"/>
      <c r="AE96" s="169"/>
      <c r="AF96" s="50"/>
      <c r="AG96" s="50"/>
      <c r="AH96" s="50"/>
      <c r="AI96" s="138"/>
      <c r="AJ96" s="138"/>
      <c r="AK96" s="138"/>
      <c r="AL96" s="50"/>
      <c r="AM96" s="50"/>
      <c r="AN96" s="50"/>
      <c r="AO96" s="50"/>
      <c r="AP96" s="169"/>
      <c r="AQ96" s="169"/>
      <c r="AR96" s="169"/>
      <c r="AS96" s="169"/>
      <c r="AT96" s="169"/>
      <c r="AU96" s="169"/>
      <c r="AV96" s="169"/>
      <c r="AW96" s="169"/>
      <c r="AX96" s="169"/>
      <c r="AY96" s="169"/>
      <c r="AZ96" s="169"/>
      <c r="BA96" s="169"/>
      <c r="BB96" s="169"/>
      <c r="BC96" s="169"/>
    </row>
    <row r="97" spans="1:55">
      <c r="A97" s="169"/>
      <c r="B97" s="169"/>
      <c r="C97" s="169"/>
      <c r="D97" s="335"/>
      <c r="E97" s="250"/>
      <c r="F97" s="250"/>
      <c r="G97" s="250"/>
      <c r="H97" s="250"/>
      <c r="I97" s="180" t="s">
        <v>540</v>
      </c>
      <c r="J97" s="808"/>
      <c r="K97" s="312">
        <f>E74/$AB$1</f>
        <v>0.6876000000000001</v>
      </c>
      <c r="L97" s="312">
        <f>F74/$AB$1</f>
        <v>0.67819999999999991</v>
      </c>
      <c r="M97" s="312">
        <f>G74/$AB$1</f>
        <v>0.67980000000000007</v>
      </c>
      <c r="N97" s="312">
        <f>H74/$AB$1</f>
        <v>0.66760000000000008</v>
      </c>
      <c r="O97" s="49"/>
      <c r="P97" s="49"/>
      <c r="Q97" s="248"/>
      <c r="R97" s="248"/>
      <c r="S97" s="248"/>
      <c r="T97" s="169"/>
      <c r="U97" s="50"/>
      <c r="V97" s="50"/>
      <c r="W97" s="50"/>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row>
    <row r="98" spans="1:55">
      <c r="A98" s="169"/>
      <c r="B98" s="169"/>
      <c r="C98" s="169"/>
      <c r="D98" s="335"/>
      <c r="E98" s="250"/>
      <c r="F98" s="250"/>
      <c r="G98" s="250"/>
      <c r="H98" s="250"/>
      <c r="I98" s="809" t="s">
        <v>843</v>
      </c>
      <c r="J98" s="810"/>
      <c r="K98" s="810">
        <f>E69/SUM(E69:E71)</f>
        <v>0.55080989604319441</v>
      </c>
      <c r="L98" s="810">
        <f>F69/SUM(F69:F71)</f>
        <v>0.53663031792351401</v>
      </c>
      <c r="M98" s="810">
        <f>G69/SUM(G69:G71)</f>
        <v>0.54262984088862198</v>
      </c>
      <c r="N98" s="810">
        <f>H69/SUM(H69:H71)</f>
        <v>0.5341610289197829</v>
      </c>
      <c r="O98" s="49"/>
      <c r="P98" s="49"/>
      <c r="Q98" s="248"/>
      <c r="R98" s="248"/>
      <c r="S98" s="248"/>
      <c r="T98" s="169"/>
      <c r="U98" s="50"/>
      <c r="V98" s="50"/>
      <c r="W98" s="50"/>
      <c r="X98" s="169"/>
      <c r="Y98" s="169"/>
      <c r="Z98" s="169"/>
      <c r="AA98" s="169"/>
      <c r="AB98" s="169"/>
      <c r="AC98" s="169"/>
      <c r="AD98" s="169"/>
      <c r="AE98" s="169"/>
      <c r="AF98" s="169"/>
      <c r="AG98" s="169"/>
      <c r="AH98" s="169"/>
      <c r="AI98" s="169"/>
      <c r="AJ98" s="169"/>
      <c r="AK98" s="169"/>
      <c r="AL98" s="169"/>
      <c r="AM98" s="169"/>
      <c r="AN98" s="169"/>
      <c r="AO98" s="169"/>
      <c r="AP98" s="169"/>
      <c r="AQ98" s="169"/>
      <c r="AR98" s="169"/>
      <c r="AS98" s="169"/>
      <c r="AT98" s="169"/>
      <c r="AU98" s="169"/>
      <c r="AV98" s="169"/>
      <c r="AW98" s="169"/>
      <c r="AX98" s="169"/>
      <c r="AY98" s="169"/>
      <c r="AZ98" s="169"/>
      <c r="BA98" s="169"/>
      <c r="BB98" s="169"/>
      <c r="BC98" s="169"/>
    </row>
    <row r="99" spans="1:55">
      <c r="A99" s="169"/>
      <c r="B99" s="169"/>
      <c r="C99" s="169"/>
      <c r="D99" s="335"/>
      <c r="E99" s="250"/>
      <c r="F99" s="250"/>
      <c r="G99" s="250"/>
      <c r="H99" s="250"/>
      <c r="I99" s="182"/>
      <c r="J99" s="268"/>
      <c r="K99" s="268"/>
      <c r="L99" s="259"/>
      <c r="M99" s="259"/>
      <c r="N99" s="259"/>
      <c r="O99" s="49"/>
      <c r="P99" s="50"/>
      <c r="Q99" s="169"/>
      <c r="R99" s="169"/>
      <c r="S99" s="169"/>
      <c r="T99" s="169"/>
      <c r="U99" s="50"/>
      <c r="V99" s="50"/>
      <c r="W99" s="50"/>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row>
    <row r="100" spans="1:55">
      <c r="A100" s="711" t="s">
        <v>36</v>
      </c>
      <c r="B100" s="711" t="s">
        <v>366</v>
      </c>
      <c r="C100" s="713" t="s">
        <v>174</v>
      </c>
      <c r="D100" s="1872"/>
      <c r="E100" s="714">
        <v>85.97</v>
      </c>
      <c r="F100" s="714">
        <v>86.04</v>
      </c>
      <c r="G100" s="714">
        <v>87.99</v>
      </c>
      <c r="H100" s="738">
        <v>1442.48</v>
      </c>
      <c r="I100" s="818" t="s">
        <v>369</v>
      </c>
      <c r="J100" s="817">
        <f>1-J101</f>
        <v>0.94</v>
      </c>
      <c r="K100" s="819">
        <f>(E100+E102)/$AB$1</f>
        <v>0.90459999999999996</v>
      </c>
      <c r="L100" s="819">
        <f>(F100+F102)/$AB$1</f>
        <v>0.89960000000000007</v>
      </c>
      <c r="M100" s="819">
        <f>(G100+G102)/$AB$1</f>
        <v>0.91289999999999993</v>
      </c>
      <c r="N100" s="819">
        <f>(H100+H102)/SUM(H100:H102)</f>
        <v>0.94497650196875393</v>
      </c>
      <c r="O100" s="741"/>
      <c r="P100" s="713"/>
      <c r="Q100" s="718" t="s">
        <v>175</v>
      </c>
      <c r="R100" s="715"/>
      <c r="S100" s="715"/>
      <c r="T100" s="715"/>
      <c r="U100" s="713"/>
      <c r="V100" s="713"/>
      <c r="W100" s="718" t="s">
        <v>176</v>
      </c>
      <c r="X100" s="713"/>
      <c r="Y100" s="718"/>
      <c r="Z100" s="718"/>
      <c r="AA100" s="718"/>
      <c r="AB100" s="713"/>
      <c r="AC100" s="715" t="s">
        <v>514</v>
      </c>
      <c r="AD100" s="718"/>
      <c r="AE100" s="713"/>
      <c r="AF100" s="713"/>
      <c r="AG100" s="713"/>
      <c r="AH100" s="713"/>
      <c r="AI100" s="713"/>
      <c r="AJ100" s="713"/>
      <c r="AK100" s="1907"/>
      <c r="AL100" s="1907"/>
      <c r="AM100" s="1907"/>
      <c r="AN100" s="1907"/>
      <c r="AO100" s="1907"/>
      <c r="AP100" s="1907"/>
      <c r="AQ100" s="1907"/>
      <c r="AR100" s="1907"/>
      <c r="AS100" s="1907"/>
      <c r="AT100" s="1907"/>
      <c r="AU100" s="1907"/>
      <c r="AV100" s="1907"/>
      <c r="AW100" s="1907"/>
      <c r="AX100" s="1907"/>
      <c r="AY100" s="1907"/>
      <c r="AZ100" s="1907"/>
      <c r="BA100" s="1907"/>
      <c r="BB100" s="1907"/>
      <c r="BC100" s="1907"/>
    </row>
    <row r="101" spans="1:55">
      <c r="A101" s="719"/>
      <c r="B101" s="719"/>
      <c r="C101" s="742" t="s">
        <v>177</v>
      </c>
      <c r="D101" s="1873"/>
      <c r="E101" s="720">
        <v>9.5399999999999991</v>
      </c>
      <c r="F101" s="720">
        <v>10.039999999999999</v>
      </c>
      <c r="G101" s="720">
        <v>8.7100000000000009</v>
      </c>
      <c r="H101" s="743">
        <v>86.64</v>
      </c>
      <c r="I101" s="744" t="s">
        <v>515</v>
      </c>
      <c r="J101" s="745">
        <v>0.06</v>
      </c>
      <c r="K101" s="730" t="s">
        <v>610</v>
      </c>
      <c r="L101" s="720"/>
      <c r="M101" s="720"/>
      <c r="N101" s="720"/>
      <c r="O101" s="719"/>
      <c r="P101" s="719"/>
      <c r="Q101" s="729"/>
      <c r="R101" s="729"/>
      <c r="S101" s="729"/>
      <c r="T101" s="729"/>
      <c r="U101" s="729"/>
      <c r="V101" s="729"/>
      <c r="W101" s="728"/>
      <c r="X101" s="728"/>
      <c r="Y101" s="728"/>
      <c r="Z101" s="728"/>
      <c r="AA101" s="728"/>
      <c r="AB101" s="728"/>
      <c r="AC101" s="728"/>
      <c r="AD101" s="728"/>
      <c r="AE101" s="719"/>
      <c r="AF101" s="719"/>
      <c r="AG101" s="719"/>
      <c r="AH101" s="719"/>
      <c r="AI101" s="719"/>
      <c r="AJ101" s="719"/>
      <c r="AK101" s="1867"/>
      <c r="AL101" s="1867"/>
      <c r="AM101" s="1867"/>
      <c r="AN101" s="1867"/>
      <c r="AO101" s="1867"/>
      <c r="AP101" s="1867"/>
      <c r="AQ101" s="1867"/>
      <c r="AR101" s="1867"/>
      <c r="AS101" s="1867"/>
      <c r="AT101" s="1867"/>
      <c r="AU101" s="1867"/>
      <c r="AV101" s="1867"/>
      <c r="AW101" s="1867"/>
      <c r="AX101" s="1867"/>
      <c r="AY101" s="1867"/>
      <c r="AZ101" s="1867"/>
      <c r="BA101" s="1867"/>
      <c r="BB101" s="1867"/>
      <c r="BC101" s="1867"/>
    </row>
    <row r="102" spans="1:55">
      <c r="A102" s="719"/>
      <c r="B102" s="719"/>
      <c r="C102" s="719" t="s">
        <v>178</v>
      </c>
      <c r="D102" s="811"/>
      <c r="E102" s="720">
        <v>4.49</v>
      </c>
      <c r="F102" s="720">
        <v>3.92</v>
      </c>
      <c r="G102" s="720">
        <v>3.3</v>
      </c>
      <c r="H102" s="743">
        <v>45.48</v>
      </c>
      <c r="I102" s="719"/>
      <c r="J102" s="720"/>
      <c r="K102" s="720"/>
      <c r="L102" s="720"/>
      <c r="M102" s="720"/>
      <c r="N102" s="746"/>
      <c r="O102" s="736"/>
      <c r="P102" s="719"/>
      <c r="Q102" s="729"/>
      <c r="R102" s="729"/>
      <c r="S102" s="729"/>
      <c r="T102" s="729"/>
      <c r="U102" s="719"/>
      <c r="V102" s="719"/>
      <c r="W102" s="728"/>
      <c r="X102" s="728"/>
      <c r="Y102" s="728"/>
      <c r="Z102" s="728"/>
      <c r="AA102" s="728"/>
      <c r="AB102" s="728"/>
      <c r="AC102" s="729"/>
      <c r="AD102" s="728"/>
      <c r="AE102" s="719"/>
      <c r="AF102" s="719"/>
      <c r="AG102" s="719"/>
      <c r="AH102" s="719"/>
      <c r="AI102" s="719"/>
      <c r="AJ102" s="719"/>
      <c r="AK102" s="1867"/>
      <c r="AL102" s="1867"/>
      <c r="AM102" s="1867"/>
      <c r="AN102" s="1867"/>
      <c r="AO102" s="1867"/>
      <c r="AP102" s="1867"/>
      <c r="AQ102" s="1867"/>
      <c r="AR102" s="1867"/>
      <c r="AS102" s="1867"/>
      <c r="AT102" s="1867"/>
      <c r="AU102" s="1867"/>
      <c r="AV102" s="1867"/>
      <c r="AW102" s="1867"/>
      <c r="AX102" s="1867"/>
      <c r="AY102" s="1867"/>
      <c r="AZ102" s="1867"/>
      <c r="BA102" s="1867"/>
      <c r="BB102" s="1867"/>
      <c r="BC102" s="1867"/>
    </row>
    <row r="103" spans="1:55">
      <c r="A103" s="719"/>
      <c r="B103" s="742" t="s">
        <v>139</v>
      </c>
      <c r="C103" s="719" t="s">
        <v>174</v>
      </c>
      <c r="D103" s="811"/>
      <c r="E103" s="720">
        <v>99.65</v>
      </c>
      <c r="F103" s="720">
        <v>103</v>
      </c>
      <c r="G103" s="720" t="s">
        <v>136</v>
      </c>
      <c r="H103" s="720" t="s">
        <v>136</v>
      </c>
      <c r="I103" s="719"/>
      <c r="J103" s="720"/>
      <c r="K103" s="720"/>
      <c r="L103" s="720"/>
      <c r="M103" s="720"/>
      <c r="N103" s="720"/>
      <c r="O103" s="719"/>
      <c r="P103" s="719"/>
      <c r="Q103" s="729"/>
      <c r="R103" s="729"/>
      <c r="S103" s="729"/>
      <c r="T103" s="729"/>
      <c r="U103" s="729"/>
      <c r="V103" s="729"/>
      <c r="W103" s="728"/>
      <c r="X103" s="728"/>
      <c r="Y103" s="728"/>
      <c r="Z103" s="728"/>
      <c r="AA103" s="728"/>
      <c r="AB103" s="728"/>
      <c r="AC103" s="728"/>
      <c r="AD103" s="728"/>
      <c r="AE103" s="719"/>
      <c r="AF103" s="719"/>
      <c r="AG103" s="719"/>
      <c r="AH103" s="719"/>
      <c r="AI103" s="719"/>
      <c r="AJ103" s="719"/>
      <c r="AK103" s="1867"/>
      <c r="AL103" s="1867"/>
      <c r="AM103" s="1867"/>
      <c r="AN103" s="1867"/>
      <c r="AO103" s="1867"/>
      <c r="AP103" s="1867"/>
      <c r="AQ103" s="1867"/>
      <c r="AR103" s="1867"/>
      <c r="AS103" s="1867"/>
      <c r="AT103" s="1867"/>
      <c r="AU103" s="1867"/>
      <c r="AV103" s="1867"/>
      <c r="AW103" s="1867"/>
      <c r="AX103" s="1867"/>
      <c r="AY103" s="1867"/>
      <c r="AZ103" s="1867"/>
      <c r="BA103" s="1867"/>
      <c r="BB103" s="1867"/>
      <c r="BC103" s="1867"/>
    </row>
    <row r="104" spans="1:55">
      <c r="A104" s="719"/>
      <c r="B104" s="719"/>
      <c r="C104" s="719" t="s">
        <v>178</v>
      </c>
      <c r="D104" s="811"/>
      <c r="E104" s="720">
        <v>2.3199999999999998</v>
      </c>
      <c r="F104" s="720">
        <v>1.59</v>
      </c>
      <c r="G104" s="720" t="s">
        <v>136</v>
      </c>
      <c r="H104" s="720" t="s">
        <v>136</v>
      </c>
      <c r="I104" s="719"/>
      <c r="J104" s="720"/>
      <c r="K104" s="720"/>
      <c r="L104" s="720"/>
      <c r="M104" s="720"/>
      <c r="N104" s="720"/>
      <c r="O104" s="719"/>
      <c r="P104" s="719"/>
      <c r="Q104" s="729"/>
      <c r="R104" s="729"/>
      <c r="S104" s="729"/>
      <c r="T104" s="729"/>
      <c r="U104" s="729"/>
      <c r="V104" s="729"/>
      <c r="W104" s="728"/>
      <c r="X104" s="728"/>
      <c r="Y104" s="728"/>
      <c r="Z104" s="728"/>
      <c r="AA104" s="728"/>
      <c r="AB104" s="728"/>
      <c r="AC104" s="728"/>
      <c r="AD104" s="728"/>
      <c r="AE104" s="719"/>
      <c r="AF104" s="719"/>
      <c r="AG104" s="719"/>
      <c r="AH104" s="719"/>
      <c r="AI104" s="719"/>
      <c r="AJ104" s="719"/>
      <c r="AK104" s="1867"/>
      <c r="AL104" s="1867"/>
      <c r="AM104" s="1867"/>
      <c r="AN104" s="1867"/>
      <c r="AO104" s="1867"/>
      <c r="AP104" s="1867"/>
      <c r="AQ104" s="1867"/>
      <c r="AR104" s="1867"/>
      <c r="AS104" s="1867"/>
      <c r="AT104" s="1867"/>
      <c r="AU104" s="1867"/>
      <c r="AV104" s="1867"/>
      <c r="AW104" s="1867"/>
      <c r="AX104" s="1867"/>
      <c r="AY104" s="1867"/>
      <c r="AZ104" s="1867"/>
      <c r="BA104" s="1867"/>
      <c r="BB104" s="1867"/>
      <c r="BC104" s="1867"/>
    </row>
    <row r="105" spans="1:55">
      <c r="A105" s="719"/>
      <c r="B105" s="719"/>
      <c r="C105" s="719" t="s">
        <v>179</v>
      </c>
      <c r="D105" s="811"/>
      <c r="E105" s="720"/>
      <c r="F105" s="720"/>
      <c r="G105" s="720"/>
      <c r="H105" s="720"/>
      <c r="I105" s="719"/>
      <c r="J105" s="720"/>
      <c r="K105" s="720"/>
      <c r="L105" s="720"/>
      <c r="M105" s="720"/>
      <c r="N105" s="720"/>
      <c r="O105" s="719"/>
      <c r="P105" s="719"/>
      <c r="Q105" s="729"/>
      <c r="R105" s="729"/>
      <c r="S105" s="729"/>
      <c r="T105" s="729"/>
      <c r="U105" s="729"/>
      <c r="V105" s="729"/>
      <c r="W105" s="719"/>
      <c r="X105" s="728"/>
      <c r="Y105" s="728"/>
      <c r="Z105" s="728"/>
      <c r="AA105" s="728"/>
      <c r="AB105" s="728"/>
      <c r="AC105" s="728"/>
      <c r="AD105" s="728"/>
      <c r="AE105" s="719"/>
      <c r="AF105" s="719"/>
      <c r="AG105" s="719"/>
      <c r="AH105" s="719"/>
      <c r="AI105" s="719"/>
      <c r="AJ105" s="719"/>
      <c r="AK105" s="1867"/>
      <c r="AL105" s="1867"/>
      <c r="AM105" s="1867"/>
      <c r="AN105" s="1867"/>
      <c r="AO105" s="1867"/>
      <c r="AP105" s="1867"/>
      <c r="AQ105" s="1867"/>
      <c r="AR105" s="1867"/>
      <c r="AS105" s="1867"/>
      <c r="AT105" s="1867"/>
      <c r="AU105" s="1867"/>
      <c r="AV105" s="1867"/>
      <c r="AW105" s="1867"/>
      <c r="AX105" s="1867"/>
      <c r="AY105" s="1867"/>
      <c r="AZ105" s="1867"/>
      <c r="BA105" s="1867"/>
      <c r="BB105" s="1867"/>
      <c r="BC105" s="1867"/>
    </row>
    <row r="106" spans="1:55">
      <c r="A106" s="719"/>
      <c r="B106" s="719"/>
      <c r="C106" s="742" t="s">
        <v>177</v>
      </c>
      <c r="D106" s="1873"/>
      <c r="E106" s="720">
        <v>-1.97</v>
      </c>
      <c r="F106" s="720">
        <v>-4.59</v>
      </c>
      <c r="G106" s="720" t="s">
        <v>136</v>
      </c>
      <c r="H106" s="720" t="s">
        <v>136</v>
      </c>
      <c r="I106" s="719"/>
      <c r="J106" s="720"/>
      <c r="K106" s="720"/>
      <c r="L106" s="720"/>
      <c r="M106" s="720"/>
      <c r="N106" s="720"/>
      <c r="O106" s="719"/>
      <c r="P106" s="719"/>
      <c r="Q106" s="729"/>
      <c r="R106" s="729"/>
      <c r="S106" s="729"/>
      <c r="T106" s="729"/>
      <c r="U106" s="729"/>
      <c r="V106" s="729"/>
      <c r="W106" s="719"/>
      <c r="X106" s="728"/>
      <c r="Y106" s="728"/>
      <c r="Z106" s="728"/>
      <c r="AA106" s="728"/>
      <c r="AB106" s="728"/>
      <c r="AC106" s="728"/>
      <c r="AD106" s="728"/>
      <c r="AE106" s="719"/>
      <c r="AF106" s="719"/>
      <c r="AG106" s="719"/>
      <c r="AH106" s="719"/>
      <c r="AI106" s="719"/>
      <c r="AJ106" s="719"/>
      <c r="AK106" s="1867"/>
      <c r="AL106" s="1867"/>
      <c r="AM106" s="1867"/>
      <c r="AN106" s="1867"/>
      <c r="AO106" s="1867"/>
      <c r="AP106" s="1867"/>
      <c r="AQ106" s="1867"/>
      <c r="AR106" s="1867"/>
      <c r="AS106" s="1867"/>
      <c r="AT106" s="1867"/>
      <c r="AU106" s="1867"/>
      <c r="AV106" s="1867"/>
      <c r="AW106" s="1867"/>
      <c r="AX106" s="1867"/>
      <c r="AY106" s="1867"/>
      <c r="AZ106" s="1867"/>
      <c r="BA106" s="1867"/>
      <c r="BB106" s="1867"/>
      <c r="BC106" s="1867"/>
    </row>
    <row r="107" spans="1:55">
      <c r="A107" s="719"/>
      <c r="B107" s="719"/>
      <c r="C107" s="742"/>
      <c r="D107" s="1873"/>
      <c r="E107" s="720"/>
      <c r="F107" s="720"/>
      <c r="G107" s="720"/>
      <c r="H107" s="720"/>
      <c r="I107" s="719"/>
      <c r="J107" s="720"/>
      <c r="K107" s="720"/>
      <c r="L107" s="720"/>
      <c r="M107" s="720"/>
      <c r="N107" s="720"/>
      <c r="O107" s="719"/>
      <c r="P107" s="719"/>
      <c r="Q107" s="729"/>
      <c r="R107" s="729"/>
      <c r="S107" s="729"/>
      <c r="T107" s="729"/>
      <c r="U107" s="729"/>
      <c r="V107" s="729"/>
      <c r="W107" s="719"/>
      <c r="X107" s="728"/>
      <c r="Y107" s="728"/>
      <c r="Z107" s="728"/>
      <c r="AA107" s="728"/>
      <c r="AB107" s="728"/>
      <c r="AC107" s="728"/>
      <c r="AD107" s="728"/>
      <c r="AE107" s="719"/>
      <c r="AF107" s="719"/>
      <c r="AG107" s="719"/>
      <c r="AH107" s="719"/>
      <c r="AI107" s="719"/>
      <c r="AJ107" s="719"/>
      <c r="AK107" s="1867"/>
      <c r="AL107" s="1867"/>
      <c r="AM107" s="1867"/>
      <c r="AN107" s="1867"/>
      <c r="AO107" s="1867"/>
      <c r="AP107" s="1867"/>
      <c r="AQ107" s="1867"/>
      <c r="AR107" s="1867"/>
      <c r="AS107" s="1867"/>
      <c r="AT107" s="1867"/>
      <c r="AU107" s="1867"/>
      <c r="AV107" s="1867"/>
      <c r="AW107" s="1867"/>
      <c r="AX107" s="1867"/>
      <c r="AY107" s="1867"/>
      <c r="AZ107" s="1867"/>
      <c r="BA107" s="1867"/>
      <c r="BB107" s="1867"/>
      <c r="BC107" s="1867"/>
    </row>
    <row r="108" spans="1:55">
      <c r="A108" s="719"/>
      <c r="B108" s="719"/>
      <c r="C108" s="742"/>
      <c r="D108" s="1873"/>
      <c r="E108" s="720"/>
      <c r="F108" s="720"/>
      <c r="G108" s="720"/>
      <c r="H108" s="720"/>
      <c r="I108" s="729"/>
      <c r="J108" s="730"/>
      <c r="K108" s="730"/>
      <c r="L108" s="730"/>
      <c r="M108" s="730"/>
      <c r="N108" s="730"/>
      <c r="O108" s="729"/>
      <c r="P108" s="719"/>
      <c r="Q108" s="728"/>
      <c r="R108" s="728"/>
      <c r="S108" s="728"/>
      <c r="T108" s="728"/>
      <c r="U108" s="728"/>
      <c r="V108" s="728"/>
      <c r="W108" s="728"/>
      <c r="X108" s="719"/>
      <c r="Y108" s="719"/>
      <c r="Z108" s="719"/>
      <c r="AA108" s="719"/>
      <c r="AB108" s="719"/>
      <c r="AC108" s="719"/>
      <c r="AD108" s="719"/>
      <c r="AE108" s="719"/>
      <c r="AF108" s="719"/>
      <c r="AG108" s="719"/>
      <c r="AH108" s="719"/>
      <c r="AI108" s="719"/>
      <c r="AJ108" s="719"/>
      <c r="AK108" s="1867"/>
      <c r="AL108" s="1867"/>
      <c r="AM108" s="1867"/>
      <c r="AN108" s="1867"/>
      <c r="AO108" s="1867"/>
      <c r="AP108" s="1867"/>
      <c r="AQ108" s="1867"/>
      <c r="AR108" s="1867"/>
      <c r="AS108" s="1867"/>
      <c r="AT108" s="1867"/>
      <c r="AU108" s="1867"/>
      <c r="AV108" s="1867"/>
      <c r="AW108" s="1867"/>
      <c r="AX108" s="1867"/>
      <c r="AY108" s="1867"/>
      <c r="AZ108" s="1867"/>
      <c r="BA108" s="1867"/>
      <c r="BB108" s="1867"/>
      <c r="BC108" s="1867"/>
    </row>
    <row r="109" spans="1:55">
      <c r="A109" s="46" t="s">
        <v>115</v>
      </c>
      <c r="B109" s="177" t="s">
        <v>366</v>
      </c>
      <c r="C109" s="168" t="s">
        <v>180</v>
      </c>
      <c r="D109" s="1874"/>
      <c r="E109" s="253">
        <v>48.47</v>
      </c>
      <c r="F109" s="253">
        <v>47.07</v>
      </c>
      <c r="G109" s="253">
        <v>46.95</v>
      </c>
      <c r="H109" s="253"/>
      <c r="I109" s="47"/>
      <c r="J109" s="263"/>
      <c r="K109" s="263"/>
      <c r="L109" s="263"/>
      <c r="M109" s="263"/>
      <c r="N109" s="263"/>
      <c r="O109" s="47"/>
      <c r="P109" s="48"/>
      <c r="Q109" s="168"/>
      <c r="R109" s="240"/>
      <c r="S109" s="240"/>
      <c r="T109" s="240"/>
      <c r="U109" s="48"/>
      <c r="V109" s="48"/>
      <c r="W109" s="4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row>
    <row r="110" spans="1:55">
      <c r="A110" s="169"/>
      <c r="B110" s="169"/>
      <c r="C110" s="169" t="s">
        <v>181</v>
      </c>
      <c r="D110" s="335"/>
      <c r="E110" s="250">
        <v>33.520000000000003</v>
      </c>
      <c r="F110" s="250">
        <v>34.65</v>
      </c>
      <c r="G110" s="250">
        <v>35.22</v>
      </c>
      <c r="H110" s="250"/>
      <c r="I110" s="49"/>
      <c r="J110" s="259"/>
      <c r="K110" s="259"/>
      <c r="L110" s="259"/>
      <c r="M110" s="259"/>
      <c r="N110" s="259"/>
      <c r="O110" s="49"/>
      <c r="P110" s="49"/>
      <c r="Q110" s="137" t="s">
        <v>525</v>
      </c>
      <c r="R110" s="802">
        <v>0.45808518789030922</v>
      </c>
      <c r="S110" s="802">
        <v>0.46680680988598239</v>
      </c>
      <c r="T110" s="802">
        <v>0.47493954913071912</v>
      </c>
      <c r="U110" s="49" t="s">
        <v>526</v>
      </c>
      <c r="V110" s="49"/>
      <c r="W110" s="50"/>
      <c r="X110" s="49" t="s">
        <v>892</v>
      </c>
      <c r="Y110" s="50"/>
      <c r="Z110" s="50"/>
      <c r="AA110" s="50"/>
      <c r="AB110" s="50"/>
      <c r="AC110" s="50"/>
      <c r="AD110" s="169"/>
      <c r="AE110" s="169"/>
      <c r="AF110" s="169"/>
      <c r="AG110" s="169"/>
      <c r="AH110" s="169"/>
      <c r="AI110" s="169"/>
      <c r="AJ110" s="169"/>
      <c r="AK110" s="169"/>
      <c r="AL110" s="169"/>
      <c r="AM110" s="169"/>
      <c r="AN110" s="169"/>
      <c r="AO110" s="169"/>
      <c r="AP110" s="169"/>
      <c r="AQ110" s="169"/>
      <c r="AR110" s="169"/>
      <c r="AS110" s="169"/>
      <c r="AT110" s="169"/>
      <c r="AU110" s="169"/>
      <c r="AV110" s="169"/>
      <c r="AW110" s="169"/>
      <c r="AX110" s="169"/>
      <c r="AY110" s="169"/>
      <c r="AZ110" s="169"/>
      <c r="BA110" s="169"/>
      <c r="BB110" s="169"/>
      <c r="BC110" s="169"/>
    </row>
    <row r="111" spans="1:55">
      <c r="A111" s="169"/>
      <c r="B111" s="169"/>
      <c r="C111" s="169" t="s">
        <v>182</v>
      </c>
      <c r="D111" s="335"/>
      <c r="E111" s="250">
        <v>14.61</v>
      </c>
      <c r="F111" s="250">
        <v>14.9</v>
      </c>
      <c r="G111" s="250">
        <v>14.59</v>
      </c>
      <c r="H111" s="250"/>
      <c r="I111" s="49"/>
      <c r="J111" s="259"/>
      <c r="K111" s="259"/>
      <c r="L111" s="259"/>
      <c r="M111" s="259"/>
      <c r="N111" s="259"/>
      <c r="O111" s="49"/>
      <c r="P111" s="49"/>
      <c r="Q111" s="137" t="s">
        <v>527</v>
      </c>
      <c r="R111" s="802">
        <v>0.48424609119222767</v>
      </c>
      <c r="S111" s="802">
        <v>0.49237130080675101</v>
      </c>
      <c r="T111" s="802">
        <v>0.49731069585921944</v>
      </c>
      <c r="U111" s="49" t="s">
        <v>526</v>
      </c>
      <c r="V111" s="49"/>
      <c r="W111" s="50"/>
      <c r="X111" s="50"/>
      <c r="Y111" s="50"/>
      <c r="Z111" s="50"/>
      <c r="AA111" s="50"/>
      <c r="AB111" s="50"/>
      <c r="AC111" s="50"/>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row>
    <row r="112" spans="1:55">
      <c r="A112" s="169"/>
      <c r="B112" s="169"/>
      <c r="C112" s="169" t="s">
        <v>183</v>
      </c>
      <c r="D112" s="335"/>
      <c r="E112" s="250">
        <v>3.39</v>
      </c>
      <c r="F112" s="250">
        <v>3.38</v>
      </c>
      <c r="G112" s="250">
        <v>3.24</v>
      </c>
      <c r="H112" s="250"/>
      <c r="I112" s="49"/>
      <c r="J112" s="259"/>
      <c r="K112" s="259"/>
      <c r="L112" s="259"/>
      <c r="M112" s="259"/>
      <c r="N112" s="259"/>
      <c r="O112" s="49"/>
      <c r="P112" s="49"/>
      <c r="Q112" s="137" t="s">
        <v>525</v>
      </c>
      <c r="R112" s="802">
        <v>0.591495805161251</v>
      </c>
      <c r="S112" s="802">
        <v>0.60174415106456036</v>
      </c>
      <c r="T112" s="802">
        <v>0.60660897733652341</v>
      </c>
      <c r="U112" s="49" t="s">
        <v>528</v>
      </c>
      <c r="V112" s="49"/>
      <c r="W112" s="50"/>
      <c r="X112" s="49" t="s">
        <v>885</v>
      </c>
      <c r="Y112" s="50"/>
      <c r="Z112" s="50"/>
      <c r="AA112" s="50"/>
      <c r="AB112" s="50"/>
      <c r="AC112" s="50"/>
      <c r="AD112" s="169"/>
      <c r="AE112" s="169"/>
      <c r="AF112" s="169"/>
      <c r="AG112" s="169"/>
      <c r="AH112" s="169"/>
      <c r="AI112" s="169"/>
      <c r="AJ112" s="169"/>
      <c r="AK112" s="169"/>
      <c r="AL112" s="169"/>
      <c r="AM112" s="169"/>
      <c r="AN112" s="169"/>
      <c r="AO112" s="169"/>
      <c r="AP112" s="169"/>
      <c r="AQ112" s="169"/>
      <c r="AR112" s="169"/>
      <c r="AS112" s="169"/>
      <c r="AT112" s="169"/>
      <c r="AU112" s="169"/>
      <c r="AV112" s="169"/>
      <c r="AW112" s="169"/>
      <c r="AX112" s="169"/>
      <c r="AY112" s="169"/>
      <c r="AZ112" s="169"/>
      <c r="BA112" s="169"/>
      <c r="BB112" s="169"/>
      <c r="BC112" s="169"/>
    </row>
    <row r="113" spans="1:55">
      <c r="A113" s="169"/>
      <c r="B113" s="51" t="s">
        <v>366</v>
      </c>
      <c r="C113" s="51" t="s">
        <v>184</v>
      </c>
      <c r="D113" s="1870"/>
      <c r="E113" s="250">
        <v>61.35</v>
      </c>
      <c r="F113" s="250">
        <v>61.58</v>
      </c>
      <c r="G113" s="250">
        <v>59.44</v>
      </c>
      <c r="H113" s="250">
        <v>56.77</v>
      </c>
      <c r="I113" s="813" t="s">
        <v>369</v>
      </c>
      <c r="J113" s="739">
        <f>R113</f>
        <v>0.60484412483227945</v>
      </c>
      <c r="K113" s="816">
        <f>E113/$AB$1</f>
        <v>0.61350000000000005</v>
      </c>
      <c r="L113" s="816">
        <f>F113/$AB$1</f>
        <v>0.61580000000000001</v>
      </c>
      <c r="M113" s="816">
        <f>G113/$AB$1</f>
        <v>0.59439999999999993</v>
      </c>
      <c r="N113" s="816">
        <f>H113/$AB$1</f>
        <v>0.56769999999999998</v>
      </c>
      <c r="O113" s="49"/>
      <c r="P113" s="49"/>
      <c r="Q113" s="137" t="s">
        <v>527</v>
      </c>
      <c r="R113" s="802">
        <v>0.60484412483227945</v>
      </c>
      <c r="S113" s="802">
        <v>0.61444968458176163</v>
      </c>
      <c r="T113" s="802">
        <v>0.61753716107394063</v>
      </c>
      <c r="U113" s="49" t="s">
        <v>528</v>
      </c>
      <c r="V113" s="49"/>
      <c r="W113" s="50"/>
      <c r="X113" s="49" t="s">
        <v>887</v>
      </c>
      <c r="Y113" s="50"/>
      <c r="Z113" s="50"/>
      <c r="AA113" s="50"/>
      <c r="AB113" s="50"/>
      <c r="AC113" s="50"/>
      <c r="AD113" s="169"/>
      <c r="AE113" s="169"/>
      <c r="AF113" s="169"/>
      <c r="AG113" s="169"/>
      <c r="AH113" s="169"/>
      <c r="AI113" s="169"/>
      <c r="AJ113" s="169"/>
      <c r="AK113" s="169"/>
      <c r="AL113" s="169"/>
      <c r="AM113" s="169"/>
      <c r="AN113" s="169"/>
      <c r="AO113" s="169"/>
      <c r="AP113" s="169"/>
      <c r="AQ113" s="169"/>
      <c r="AR113" s="169"/>
      <c r="AS113" s="169"/>
      <c r="AT113" s="169"/>
      <c r="AU113" s="169"/>
      <c r="AV113" s="169"/>
      <c r="AW113" s="169"/>
      <c r="AX113" s="169"/>
      <c r="AY113" s="169"/>
      <c r="AZ113" s="169"/>
      <c r="BA113" s="169"/>
      <c r="BB113" s="169"/>
      <c r="BC113" s="169"/>
    </row>
    <row r="114" spans="1:55">
      <c r="A114" s="169"/>
      <c r="B114" s="51"/>
      <c r="C114" s="51" t="s">
        <v>185</v>
      </c>
      <c r="D114" s="1870"/>
      <c r="E114" s="250">
        <v>38.65</v>
      </c>
      <c r="F114" s="250">
        <v>38.42</v>
      </c>
      <c r="G114" s="250">
        <v>40.56</v>
      </c>
      <c r="H114" s="250">
        <v>43.23</v>
      </c>
      <c r="I114" s="49"/>
      <c r="J114" s="259"/>
      <c r="K114" s="259" t="s">
        <v>554</v>
      </c>
      <c r="L114" s="259" t="s">
        <v>554</v>
      </c>
      <c r="M114" s="259"/>
      <c r="N114" s="259"/>
      <c r="O114" s="49"/>
      <c r="P114" s="50"/>
      <c r="Q114" s="50"/>
      <c r="R114" s="50"/>
      <c r="S114" s="50"/>
      <c r="T114" s="50"/>
      <c r="U114" s="50"/>
      <c r="V114" s="50"/>
      <c r="W114" s="50"/>
      <c r="X114" s="49" t="s">
        <v>886</v>
      </c>
      <c r="Y114" s="50"/>
      <c r="Z114" s="50"/>
      <c r="AA114" s="50"/>
      <c r="AB114" s="50"/>
      <c r="AC114" s="50"/>
      <c r="AD114" s="169"/>
      <c r="AE114" s="169"/>
      <c r="AF114" s="169"/>
      <c r="AG114" s="169"/>
      <c r="AH114" s="169"/>
      <c r="AI114" s="169"/>
      <c r="AJ114" s="169"/>
      <c r="AK114" s="169"/>
      <c r="AL114" s="169"/>
      <c r="AM114" s="169"/>
      <c r="AN114" s="169"/>
      <c r="AO114" s="169"/>
      <c r="AP114" s="169"/>
      <c r="AQ114" s="169"/>
      <c r="AR114" s="169"/>
      <c r="AS114" s="169"/>
      <c r="AT114" s="169"/>
      <c r="AU114" s="169"/>
      <c r="AV114" s="169"/>
      <c r="AW114" s="169"/>
      <c r="AX114" s="169"/>
      <c r="AY114" s="169"/>
      <c r="AZ114" s="169"/>
      <c r="BA114" s="169"/>
      <c r="BB114" s="169"/>
      <c r="BC114" s="169"/>
    </row>
    <row r="115" spans="1:55">
      <c r="A115" s="169"/>
      <c r="B115" s="169"/>
      <c r="C115" s="169" t="s">
        <v>173</v>
      </c>
      <c r="D115" s="335"/>
      <c r="E115" s="250"/>
      <c r="F115" s="250"/>
      <c r="G115" s="250"/>
      <c r="H115" s="250"/>
      <c r="I115" s="49"/>
      <c r="J115" s="259"/>
      <c r="K115" s="259"/>
      <c r="L115" s="259"/>
      <c r="M115" s="259"/>
      <c r="N115" s="259"/>
      <c r="O115" s="49"/>
      <c r="P115" s="50"/>
      <c r="Q115" s="50"/>
      <c r="R115" s="50"/>
      <c r="S115" s="50"/>
      <c r="T115" s="50"/>
      <c r="U115" s="50"/>
      <c r="V115" s="50"/>
      <c r="W115" s="50"/>
      <c r="X115" s="169"/>
      <c r="Y115" s="169"/>
      <c r="Z115" s="169"/>
      <c r="AA115" s="169"/>
      <c r="AB115" s="169"/>
      <c r="AC115" s="169"/>
      <c r="AD115" s="169"/>
      <c r="AE115" s="169"/>
      <c r="AF115" s="169"/>
      <c r="AG115" s="169"/>
      <c r="AH115" s="169"/>
      <c r="AI115" s="169"/>
      <c r="AJ115" s="169"/>
      <c r="AK115" s="169"/>
      <c r="AL115" s="169"/>
      <c r="AM115" s="169"/>
      <c r="AN115" s="169"/>
      <c r="AO115" s="169"/>
      <c r="AP115" s="169"/>
      <c r="AQ115" s="169"/>
      <c r="AR115" s="169"/>
      <c r="AS115" s="169"/>
      <c r="AT115" s="169"/>
      <c r="AU115" s="169"/>
      <c r="AV115" s="169"/>
      <c r="AW115" s="169"/>
      <c r="AX115" s="169"/>
      <c r="AY115" s="169"/>
      <c r="AZ115" s="169"/>
      <c r="BA115" s="169"/>
      <c r="BB115" s="169"/>
      <c r="BC115" s="169"/>
    </row>
    <row r="116" spans="1:55">
      <c r="A116" s="169"/>
      <c r="B116" s="169"/>
      <c r="C116" s="169"/>
      <c r="D116" s="335"/>
      <c r="E116" s="250"/>
      <c r="F116" s="250"/>
      <c r="G116" s="250"/>
      <c r="H116" s="250"/>
      <c r="I116" s="49"/>
      <c r="J116" s="259"/>
      <c r="K116" s="259"/>
      <c r="L116" s="259"/>
      <c r="M116" s="259"/>
      <c r="N116" s="259"/>
      <c r="O116" s="49"/>
      <c r="P116" s="50"/>
      <c r="Q116" s="50"/>
      <c r="R116" s="50"/>
      <c r="S116" s="50"/>
      <c r="T116" s="50"/>
      <c r="U116" s="50"/>
      <c r="V116" s="50"/>
      <c r="W116" s="50"/>
      <c r="X116" s="169"/>
      <c r="Y116" s="169"/>
      <c r="Z116" s="169"/>
      <c r="AA116" s="169"/>
      <c r="AB116" s="169"/>
      <c r="AC116" s="169"/>
      <c r="AD116" s="169"/>
      <c r="AE116" s="169"/>
      <c r="AF116" s="169"/>
      <c r="AG116" s="169"/>
      <c r="AH116" s="169"/>
      <c r="AI116" s="169"/>
      <c r="AJ116" s="169"/>
      <c r="AK116" s="169"/>
      <c r="AL116" s="169"/>
      <c r="AM116" s="169"/>
      <c r="AN116" s="169"/>
      <c r="AO116" s="169"/>
      <c r="AP116" s="169"/>
      <c r="AQ116" s="169"/>
      <c r="AR116" s="169"/>
      <c r="AS116" s="169"/>
      <c r="AT116" s="169"/>
      <c r="AU116" s="169"/>
      <c r="AV116" s="169"/>
      <c r="AW116" s="169"/>
      <c r="AX116" s="169"/>
      <c r="AY116" s="169"/>
      <c r="AZ116" s="169"/>
      <c r="BA116" s="169"/>
      <c r="BB116" s="169"/>
      <c r="BC116" s="169"/>
    </row>
    <row r="117" spans="1:55">
      <c r="A117" s="55" t="s">
        <v>42</v>
      </c>
      <c r="B117" s="46"/>
      <c r="C117" s="46"/>
      <c r="D117" s="1879"/>
      <c r="E117" s="254"/>
      <c r="F117" s="254"/>
      <c r="G117" s="253"/>
      <c r="H117" s="253"/>
      <c r="I117" s="287" t="s">
        <v>372</v>
      </c>
      <c r="J117" s="269">
        <v>91</v>
      </c>
      <c r="K117" s="269">
        <v>91</v>
      </c>
      <c r="L117" s="269">
        <v>92</v>
      </c>
      <c r="M117" s="269">
        <v>92.7</v>
      </c>
      <c r="N117" s="269"/>
      <c r="O117" s="47" t="s">
        <v>373</v>
      </c>
      <c r="P117" s="168"/>
      <c r="Q117" s="48"/>
      <c r="R117" s="48"/>
      <c r="S117" s="48"/>
      <c r="T117" s="48"/>
      <c r="U117" s="48"/>
      <c r="V117" s="48"/>
      <c r="W117" s="4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row>
    <row r="118" spans="1:55">
      <c r="A118" s="169"/>
      <c r="B118" s="51" t="s">
        <v>366</v>
      </c>
      <c r="C118" s="51" t="s">
        <v>171</v>
      </c>
      <c r="D118" s="1870"/>
      <c r="E118" s="255" t="s">
        <v>136</v>
      </c>
      <c r="F118" s="286" t="s">
        <v>136</v>
      </c>
      <c r="G118" s="250">
        <v>49.16</v>
      </c>
      <c r="H118" s="250">
        <v>48.85</v>
      </c>
      <c r="I118" s="820" t="s">
        <v>55</v>
      </c>
      <c r="J118" s="739">
        <f>SUM(J119:J122)</f>
        <v>0.46153846153846151</v>
      </c>
      <c r="K118" s="739">
        <f>SUM(K119:K122)</f>
        <v>0.52747252747252749</v>
      </c>
      <c r="L118" s="739">
        <f>SUM(L119:L122)</f>
        <v>0.5</v>
      </c>
      <c r="M118" s="739">
        <f>SUM(M119:M122)</f>
        <v>0.49406688241639696</v>
      </c>
      <c r="N118" s="740">
        <f>H118/AB1</f>
        <v>0.48849999999999999</v>
      </c>
      <c r="O118" s="397">
        <f>(J118+2*K118+2*L118+AVERAGE(M118,N118))/6</f>
        <v>0.50129449294861916</v>
      </c>
      <c r="P118" s="169"/>
      <c r="Q118" s="50"/>
      <c r="R118" s="50"/>
      <c r="S118" s="50"/>
      <c r="T118" s="50"/>
      <c r="U118" s="50"/>
      <c r="V118" s="50"/>
      <c r="W118" s="50"/>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row>
    <row r="119" spans="1:55">
      <c r="A119" s="169"/>
      <c r="B119" s="169"/>
      <c r="C119" s="169"/>
      <c r="D119" s="335"/>
      <c r="E119" s="250"/>
      <c r="F119" s="250"/>
      <c r="G119" s="250"/>
      <c r="H119" s="250"/>
      <c r="I119" s="288" t="s">
        <v>374</v>
      </c>
      <c r="J119" s="270">
        <f>30/J117</f>
        <v>0.32967032967032966</v>
      </c>
      <c r="K119" s="270">
        <f>29/K117</f>
        <v>0.31868131868131866</v>
      </c>
      <c r="L119" s="270">
        <f>29/L117</f>
        <v>0.31521739130434784</v>
      </c>
      <c r="M119" s="270">
        <f>29.3/M117</f>
        <v>0.31607335490830635</v>
      </c>
      <c r="N119" s="270"/>
      <c r="O119" s="822">
        <f>(J119+2*K119+2*L119+M119)/6</f>
        <v>0.31892351742499481</v>
      </c>
      <c r="P119" s="169"/>
      <c r="Q119" s="50"/>
      <c r="R119" s="50"/>
      <c r="S119" s="50"/>
      <c r="T119" s="50"/>
      <c r="U119" s="50"/>
      <c r="V119" s="50"/>
      <c r="W119" s="50"/>
      <c r="X119" s="169"/>
      <c r="Y119" s="169"/>
      <c r="Z119" s="169"/>
      <c r="AA119" s="169"/>
      <c r="AB119" s="169"/>
      <c r="AC119" s="169"/>
      <c r="AD119" s="169"/>
      <c r="AE119" s="169"/>
      <c r="AF119" s="169"/>
      <c r="AG119" s="169"/>
      <c r="AH119" s="169"/>
      <c r="AI119" s="169"/>
      <c r="AJ119" s="169"/>
      <c r="AK119" s="169"/>
      <c r="AL119" s="169"/>
      <c r="AM119" s="169"/>
      <c r="AN119" s="169"/>
      <c r="AO119" s="169"/>
      <c r="AP119" s="169"/>
      <c r="AQ119" s="169"/>
      <c r="AR119" s="169"/>
      <c r="AS119" s="169"/>
      <c r="AT119" s="169"/>
      <c r="AU119" s="169"/>
      <c r="AV119" s="169"/>
      <c r="AW119" s="169"/>
      <c r="AX119" s="169"/>
      <c r="AY119" s="169"/>
      <c r="AZ119" s="169"/>
      <c r="BA119" s="169"/>
      <c r="BB119" s="169"/>
      <c r="BC119" s="169"/>
    </row>
    <row r="120" spans="1:55">
      <c r="A120" s="169"/>
      <c r="B120" s="169"/>
      <c r="C120" s="169"/>
      <c r="D120" s="335"/>
      <c r="E120" s="250"/>
      <c r="F120" s="250"/>
      <c r="G120" s="250"/>
      <c r="H120" s="250"/>
      <c r="I120" s="289" t="s">
        <v>375</v>
      </c>
      <c r="J120" s="271">
        <f>10/J117</f>
        <v>0.10989010989010989</v>
      </c>
      <c r="K120" s="271">
        <f>10/K117</f>
        <v>0.10989010989010989</v>
      </c>
      <c r="L120" s="271">
        <f>8/L117</f>
        <v>8.6956521739130432E-2</v>
      </c>
      <c r="M120" s="271">
        <f>7.6/M117</f>
        <v>8.1984897518878094E-2</v>
      </c>
      <c r="N120" s="271"/>
      <c r="O120" s="822">
        <f t="shared" ref="O120:O125" si="5">(J120+2*K120+2*L120+M120)/6</f>
        <v>9.7594711777911444E-2</v>
      </c>
      <c r="P120" s="169"/>
      <c r="Q120" s="50"/>
      <c r="R120" s="50"/>
      <c r="S120" s="50"/>
      <c r="T120" s="50"/>
      <c r="U120" s="50"/>
      <c r="V120" s="50"/>
      <c r="W120" s="50"/>
      <c r="X120" s="169"/>
      <c r="Y120" s="169"/>
      <c r="Z120" s="169"/>
      <c r="AA120" s="169"/>
      <c r="AB120" s="169"/>
      <c r="AC120" s="169"/>
      <c r="AD120" s="169"/>
      <c r="AE120" s="169"/>
      <c r="AF120" s="169"/>
      <c r="AG120" s="169"/>
      <c r="AH120" s="169"/>
      <c r="AI120" s="169"/>
      <c r="AJ120" s="169"/>
      <c r="AK120" s="169"/>
      <c r="AL120" s="169"/>
      <c r="AM120" s="169"/>
      <c r="AN120" s="169"/>
      <c r="AO120" s="169"/>
      <c r="AP120" s="169"/>
      <c r="AQ120" s="169"/>
      <c r="AR120" s="169"/>
      <c r="AS120" s="169"/>
      <c r="AT120" s="169"/>
      <c r="AU120" s="169"/>
      <c r="AV120" s="169"/>
      <c r="AW120" s="169"/>
      <c r="AX120" s="169"/>
      <c r="AY120" s="169"/>
      <c r="AZ120" s="169"/>
      <c r="BA120" s="169"/>
      <c r="BB120" s="169"/>
      <c r="BC120" s="169"/>
    </row>
    <row r="121" spans="1:55">
      <c r="A121" s="169"/>
      <c r="B121" s="169"/>
      <c r="C121" s="169"/>
      <c r="D121" s="335"/>
      <c r="E121" s="250"/>
      <c r="F121" s="250"/>
      <c r="G121" s="250"/>
      <c r="H121" s="250"/>
      <c r="I121" s="289" t="s">
        <v>377</v>
      </c>
      <c r="J121" s="271"/>
      <c r="K121" s="271">
        <f>7/K117</f>
        <v>7.6923076923076927E-2</v>
      </c>
      <c r="L121" s="271">
        <f>7/L117</f>
        <v>7.6086956521739135E-2</v>
      </c>
      <c r="M121" s="271">
        <f>6.9/M117</f>
        <v>7.4433656957928807E-2</v>
      </c>
      <c r="N121" s="271"/>
      <c r="O121" s="822">
        <f t="shared" si="5"/>
        <v>6.3408953974593493E-2</v>
      </c>
      <c r="P121" s="169"/>
      <c r="Q121" s="50"/>
      <c r="R121" s="50"/>
      <c r="S121" s="50"/>
      <c r="T121" s="50"/>
      <c r="U121" s="50"/>
      <c r="V121" s="50"/>
      <c r="W121" s="50"/>
      <c r="X121" s="169"/>
      <c r="Y121" s="169"/>
      <c r="Z121" s="169"/>
      <c r="AA121" s="169"/>
      <c r="AB121" s="169"/>
      <c r="AC121" s="169"/>
      <c r="AD121" s="169"/>
      <c r="AE121" s="169"/>
      <c r="AF121" s="169"/>
      <c r="AG121" s="169"/>
      <c r="AH121" s="169"/>
      <c r="AI121" s="169"/>
      <c r="AJ121" s="169"/>
      <c r="AK121" s="169"/>
      <c r="AL121" s="169"/>
      <c r="AM121" s="169"/>
      <c r="AN121" s="169"/>
      <c r="AO121" s="169"/>
      <c r="AP121" s="169"/>
      <c r="AQ121" s="169"/>
      <c r="AR121" s="169"/>
      <c r="AS121" s="169"/>
      <c r="AT121" s="169"/>
      <c r="AU121" s="169"/>
      <c r="AV121" s="169"/>
      <c r="AW121" s="169"/>
      <c r="AX121" s="169"/>
      <c r="AY121" s="169"/>
      <c r="AZ121" s="169"/>
      <c r="BA121" s="169"/>
      <c r="BB121" s="169"/>
      <c r="BC121" s="169"/>
    </row>
    <row r="122" spans="1:55">
      <c r="A122" s="169"/>
      <c r="B122" s="169"/>
      <c r="C122" s="169"/>
      <c r="D122" s="335"/>
      <c r="E122" s="250"/>
      <c r="F122" s="250"/>
      <c r="G122" s="250"/>
      <c r="H122" s="250"/>
      <c r="I122" s="289" t="s">
        <v>376</v>
      </c>
      <c r="J122" s="271">
        <f>2/J117</f>
        <v>2.197802197802198E-2</v>
      </c>
      <c r="K122" s="271">
        <f>2/K117</f>
        <v>2.197802197802198E-2</v>
      </c>
      <c r="L122" s="271">
        <f>2/L117</f>
        <v>2.1739130434782608E-2</v>
      </c>
      <c r="M122" s="271">
        <f>2/M117</f>
        <v>2.1574973031283709E-2</v>
      </c>
      <c r="N122" s="271"/>
      <c r="O122" s="822">
        <f t="shared" si="5"/>
        <v>2.1831216639152478E-2</v>
      </c>
      <c r="P122" s="169"/>
      <c r="Q122" s="50"/>
      <c r="R122" s="50"/>
      <c r="S122" s="50"/>
      <c r="T122" s="50"/>
      <c r="U122" s="50"/>
      <c r="V122" s="50"/>
      <c r="W122" s="50"/>
      <c r="X122" s="169"/>
      <c r="Y122" s="169"/>
      <c r="Z122" s="169"/>
      <c r="AA122" s="169"/>
      <c r="AB122" s="169"/>
      <c r="AC122" s="169"/>
      <c r="AD122" s="169"/>
      <c r="AE122" s="169"/>
      <c r="AF122" s="169"/>
      <c r="AG122" s="169"/>
      <c r="AH122" s="169"/>
      <c r="AI122" s="169"/>
      <c r="AJ122" s="169"/>
      <c r="AK122" s="169"/>
      <c r="AL122" s="169"/>
      <c r="AM122" s="169"/>
      <c r="AN122" s="169"/>
      <c r="AO122" s="169"/>
      <c r="AP122" s="169"/>
      <c r="AQ122" s="169"/>
      <c r="AR122" s="169"/>
      <c r="AS122" s="169"/>
      <c r="AT122" s="169"/>
      <c r="AU122" s="169"/>
      <c r="AV122" s="169"/>
      <c r="AW122" s="169"/>
      <c r="AX122" s="169"/>
      <c r="AY122" s="169"/>
      <c r="AZ122" s="169"/>
      <c r="BA122" s="169"/>
      <c r="BB122" s="169"/>
      <c r="BC122" s="169"/>
    </row>
    <row r="123" spans="1:55">
      <c r="A123" s="169"/>
      <c r="B123" s="169"/>
      <c r="C123" s="169"/>
      <c r="D123" s="335"/>
      <c r="E123" s="250"/>
      <c r="F123" s="250"/>
      <c r="G123" s="250"/>
      <c r="H123" s="250"/>
      <c r="I123" s="327" t="s">
        <v>368</v>
      </c>
      <c r="J123" s="328">
        <f>J124+J125</f>
        <v>0.52747252747252749</v>
      </c>
      <c r="K123" s="328">
        <f>K124+K125</f>
        <v>0.49450549450549453</v>
      </c>
      <c r="L123" s="328">
        <f>L124+L125</f>
        <v>0.5</v>
      </c>
      <c r="M123" s="328">
        <f>M124+M125</f>
        <v>0.50809061488673135</v>
      </c>
      <c r="N123" s="328"/>
      <c r="O123" s="823">
        <f t="shared" si="5"/>
        <v>0.50409568856170794</v>
      </c>
      <c r="P123" s="169"/>
      <c r="Q123" s="50"/>
      <c r="R123" s="50"/>
      <c r="S123" s="50"/>
      <c r="T123" s="50"/>
      <c r="U123" s="50"/>
      <c r="V123" s="50"/>
      <c r="W123" s="50"/>
      <c r="X123" s="169"/>
      <c r="Y123" s="169"/>
      <c r="Z123" s="169"/>
      <c r="AA123" s="169"/>
      <c r="AB123" s="169"/>
      <c r="AC123" s="169"/>
      <c r="AD123" s="169"/>
      <c r="AE123" s="169"/>
      <c r="AF123" s="169"/>
      <c r="AG123" s="169"/>
      <c r="AH123" s="169"/>
      <c r="AI123" s="169"/>
      <c r="AJ123" s="169"/>
      <c r="AK123" s="169"/>
      <c r="AL123" s="169"/>
      <c r="AM123" s="169"/>
      <c r="AN123" s="169"/>
      <c r="AO123" s="169"/>
      <c r="AP123" s="169"/>
      <c r="AQ123" s="169"/>
      <c r="AR123" s="169"/>
      <c r="AS123" s="169"/>
      <c r="AT123" s="169"/>
      <c r="AU123" s="169"/>
      <c r="AV123" s="169"/>
      <c r="AW123" s="169"/>
      <c r="AX123" s="169"/>
      <c r="AY123" s="169"/>
      <c r="AZ123" s="169"/>
      <c r="BA123" s="169"/>
      <c r="BB123" s="169"/>
      <c r="BC123" s="169"/>
    </row>
    <row r="124" spans="1:55">
      <c r="A124" s="169"/>
      <c r="B124" s="169"/>
      <c r="C124" s="169"/>
      <c r="D124" s="335"/>
      <c r="E124" s="250"/>
      <c r="F124" s="250"/>
      <c r="G124" s="250"/>
      <c r="H124" s="250"/>
      <c r="I124" s="289" t="s">
        <v>374</v>
      </c>
      <c r="J124" s="271">
        <f>35/J117</f>
        <v>0.38461538461538464</v>
      </c>
      <c r="K124" s="271">
        <f>33/K117</f>
        <v>0.36263736263736263</v>
      </c>
      <c r="L124" s="271">
        <f>34/L117</f>
        <v>0.36956521739130432</v>
      </c>
      <c r="M124" s="271">
        <f>35.4/M117</f>
        <v>0.38187702265372164</v>
      </c>
      <c r="N124" s="271"/>
      <c r="O124" s="822">
        <f t="shared" si="5"/>
        <v>0.37181626122107336</v>
      </c>
      <c r="P124" s="169"/>
      <c r="Q124" s="50"/>
      <c r="R124" s="50"/>
      <c r="S124" s="50"/>
      <c r="T124" s="50"/>
      <c r="U124" s="50"/>
      <c r="V124" s="50"/>
      <c r="W124" s="50"/>
      <c r="X124" s="169"/>
      <c r="Y124" s="169"/>
      <c r="Z124" s="169"/>
      <c r="AA124" s="169"/>
      <c r="AB124" s="169"/>
      <c r="AC124" s="169"/>
      <c r="AD124" s="169"/>
      <c r="AE124" s="169"/>
      <c r="AF124" s="169"/>
      <c r="AG124" s="169"/>
      <c r="AH124" s="169"/>
      <c r="AI124" s="169"/>
      <c r="AJ124" s="169"/>
      <c r="AK124" s="169"/>
      <c r="AL124" s="169"/>
      <c r="AM124" s="169"/>
      <c r="AN124" s="169"/>
      <c r="AO124" s="169"/>
      <c r="AP124" s="169"/>
      <c r="AQ124" s="169"/>
      <c r="AR124" s="169"/>
      <c r="AS124" s="169"/>
      <c r="AT124" s="169"/>
      <c r="AU124" s="169"/>
      <c r="AV124" s="169"/>
      <c r="AW124" s="169"/>
      <c r="AX124" s="169"/>
      <c r="AY124" s="169"/>
      <c r="AZ124" s="169"/>
      <c r="BA124" s="169"/>
      <c r="BB124" s="169"/>
      <c r="BC124" s="169"/>
    </row>
    <row r="125" spans="1:55">
      <c r="A125" s="169"/>
      <c r="B125" s="169"/>
      <c r="C125" s="169"/>
      <c r="D125" s="335"/>
      <c r="E125" s="250"/>
      <c r="F125" s="250"/>
      <c r="G125" s="250"/>
      <c r="H125" s="250"/>
      <c r="I125" s="289" t="s">
        <v>375</v>
      </c>
      <c r="J125" s="271">
        <f>13/J117</f>
        <v>0.14285714285714285</v>
      </c>
      <c r="K125" s="271">
        <f>12/K117</f>
        <v>0.13186813186813187</v>
      </c>
      <c r="L125" s="271">
        <f>12/L117</f>
        <v>0.13043478260869565</v>
      </c>
      <c r="M125" s="271">
        <f>11.7/M117</f>
        <v>0.12621359223300971</v>
      </c>
      <c r="N125" s="271"/>
      <c r="O125" s="822">
        <f t="shared" si="5"/>
        <v>0.13227942734063458</v>
      </c>
      <c r="P125" s="169"/>
      <c r="Q125" s="50"/>
      <c r="R125" s="50"/>
      <c r="S125" s="50"/>
      <c r="T125" s="50"/>
      <c r="U125" s="50"/>
      <c r="V125" s="50"/>
      <c r="W125" s="50"/>
      <c r="X125" s="169"/>
      <c r="Y125" s="169"/>
      <c r="Z125" s="169"/>
      <c r="AA125" s="169"/>
      <c r="AB125" s="169"/>
      <c r="AC125" s="169"/>
      <c r="AD125" s="169"/>
      <c r="AE125" s="169"/>
      <c r="AF125" s="169"/>
      <c r="AG125" s="169"/>
      <c r="AH125" s="169"/>
      <c r="AI125" s="169"/>
      <c r="AJ125" s="169"/>
      <c r="AK125" s="169"/>
      <c r="AL125" s="169"/>
      <c r="AM125" s="169"/>
      <c r="AN125" s="169"/>
      <c r="AO125" s="169"/>
      <c r="AP125" s="169"/>
      <c r="AQ125" s="169"/>
      <c r="AR125" s="169"/>
      <c r="AS125" s="169"/>
      <c r="AT125" s="169"/>
      <c r="AU125" s="169"/>
      <c r="AV125" s="169"/>
      <c r="AW125" s="169"/>
      <c r="AX125" s="169"/>
      <c r="AY125" s="169"/>
      <c r="AZ125" s="169"/>
      <c r="BA125" s="169"/>
      <c r="BB125" s="169"/>
      <c r="BC125" s="169"/>
    </row>
    <row r="126" spans="1:55">
      <c r="A126" s="169"/>
      <c r="B126" s="169"/>
      <c r="C126" s="169"/>
      <c r="D126" s="335"/>
      <c r="E126" s="250"/>
      <c r="F126" s="250"/>
      <c r="G126" s="250"/>
      <c r="H126" s="250"/>
      <c r="I126" s="342"/>
      <c r="J126" s="250"/>
      <c r="K126" s="259"/>
      <c r="L126" s="259"/>
      <c r="M126" s="169"/>
      <c r="N126" s="346" t="s">
        <v>381</v>
      </c>
      <c r="O126" s="823">
        <f>O124+O119</f>
        <v>0.69073977864606817</v>
      </c>
      <c r="P126" s="169"/>
      <c r="Q126" s="50"/>
      <c r="R126" s="50"/>
      <c r="S126" s="50"/>
      <c r="T126" s="50"/>
      <c r="U126" s="50"/>
      <c r="V126" s="50"/>
      <c r="W126" s="50"/>
      <c r="X126" s="169"/>
      <c r="Y126" s="169"/>
      <c r="Z126" s="169"/>
      <c r="AA126" s="169"/>
      <c r="AB126" s="169"/>
      <c r="AC126" s="169"/>
      <c r="AD126" s="169"/>
      <c r="AE126" s="169"/>
      <c r="AF126" s="169"/>
      <c r="AG126" s="169"/>
      <c r="AH126" s="169"/>
      <c r="AI126" s="169"/>
      <c r="AJ126" s="169"/>
      <c r="AK126" s="169"/>
      <c r="AL126" s="169"/>
      <c r="AM126" s="169"/>
      <c r="AN126" s="169"/>
      <c r="AO126" s="169"/>
      <c r="AP126" s="169"/>
      <c r="AQ126" s="169"/>
      <c r="AR126" s="169"/>
      <c r="AS126" s="169"/>
      <c r="AT126" s="169"/>
      <c r="AU126" s="169"/>
      <c r="AV126" s="169"/>
      <c r="AW126" s="169"/>
      <c r="AX126" s="169"/>
      <c r="AY126" s="169"/>
      <c r="AZ126" s="169"/>
      <c r="BA126" s="169"/>
      <c r="BB126" s="169"/>
      <c r="BC126" s="169"/>
    </row>
    <row r="127" spans="1:55">
      <c r="A127" s="169"/>
      <c r="B127" s="169"/>
      <c r="C127" s="169"/>
      <c r="D127" s="335"/>
      <c r="E127" s="250"/>
      <c r="F127" s="250"/>
      <c r="G127" s="250"/>
      <c r="H127" s="250"/>
      <c r="I127" s="290" t="s">
        <v>386</v>
      </c>
      <c r="J127" s="272">
        <v>93</v>
      </c>
      <c r="K127" s="272">
        <v>94</v>
      </c>
      <c r="L127" s="272">
        <v>94</v>
      </c>
      <c r="M127" s="272">
        <v>93.9</v>
      </c>
      <c r="N127" s="272"/>
      <c r="O127" s="398"/>
      <c r="P127" s="169"/>
      <c r="Q127" s="50"/>
      <c r="R127" s="50"/>
      <c r="S127" s="50"/>
      <c r="T127" s="50"/>
      <c r="U127" s="50"/>
      <c r="V127" s="50"/>
      <c r="W127" s="50"/>
      <c r="X127" s="169"/>
      <c r="Y127" s="169"/>
      <c r="Z127" s="169"/>
      <c r="AA127" s="169"/>
      <c r="AB127" s="169"/>
      <c r="AC127" s="169"/>
      <c r="AD127" s="169"/>
      <c r="AE127" s="169"/>
      <c r="AF127" s="169"/>
      <c r="AG127" s="169"/>
      <c r="AH127" s="169"/>
      <c r="AI127" s="169"/>
      <c r="AJ127" s="169"/>
      <c r="AK127" s="169"/>
      <c r="AL127" s="169"/>
      <c r="AM127" s="169"/>
      <c r="AN127" s="169"/>
      <c r="AO127" s="169"/>
      <c r="AP127" s="169"/>
      <c r="AQ127" s="169"/>
      <c r="AR127" s="169"/>
      <c r="AS127" s="169"/>
      <c r="AT127" s="169"/>
      <c r="AU127" s="169"/>
      <c r="AV127" s="169"/>
      <c r="AW127" s="169"/>
      <c r="AX127" s="169"/>
      <c r="AY127" s="169"/>
      <c r="AZ127" s="169"/>
      <c r="BA127" s="169"/>
      <c r="BB127" s="169"/>
      <c r="BC127" s="169"/>
    </row>
    <row r="128" spans="1:55">
      <c r="A128" s="169"/>
      <c r="B128" s="169"/>
      <c r="C128" s="169"/>
      <c r="D128" s="335"/>
      <c r="E128" s="250"/>
      <c r="F128" s="250"/>
      <c r="G128" s="250"/>
      <c r="H128" s="250"/>
      <c r="I128" s="812" t="s">
        <v>55</v>
      </c>
      <c r="J128" s="795">
        <f>SUM(J129:J132)</f>
        <v>0.5161290322580645</v>
      </c>
      <c r="K128" s="795">
        <f>SUM(K129:K132)</f>
        <v>0.57446808510638303</v>
      </c>
      <c r="L128" s="795">
        <f>SUM(L129:L132)</f>
        <v>0.56382978723404253</v>
      </c>
      <c r="M128" s="795">
        <f>SUM(M129:M132)</f>
        <v>0.58998935037273692</v>
      </c>
      <c r="N128" s="824">
        <f>M138*N118</f>
        <v>0.58334166469020743</v>
      </c>
      <c r="O128" s="397">
        <f>(J128+2*K128+2*L128+AVERAGE(M128,N128))/6</f>
        <v>0.56323171407839789</v>
      </c>
      <c r="P128" s="169"/>
      <c r="Q128" s="50"/>
      <c r="R128" s="50"/>
      <c r="S128" s="50"/>
      <c r="T128" s="50"/>
      <c r="U128" s="50"/>
      <c r="V128" s="50"/>
      <c r="W128" s="50"/>
      <c r="X128" s="169"/>
      <c r="Y128" s="169"/>
      <c r="Z128" s="169"/>
      <c r="AA128" s="169"/>
      <c r="AB128" s="169"/>
      <c r="AC128" s="169"/>
      <c r="AD128" s="169"/>
      <c r="AE128" s="169"/>
      <c r="AF128" s="169"/>
      <c r="AG128" s="169"/>
      <c r="AH128" s="169"/>
      <c r="AI128" s="169"/>
      <c r="AJ128" s="169"/>
      <c r="AK128" s="169"/>
      <c r="AL128" s="169"/>
      <c r="AM128" s="169"/>
      <c r="AN128" s="169"/>
      <c r="AO128" s="169"/>
      <c r="AP128" s="169"/>
      <c r="AQ128" s="169"/>
      <c r="AR128" s="169"/>
      <c r="AS128" s="169"/>
      <c r="AT128" s="169"/>
      <c r="AU128" s="169"/>
      <c r="AV128" s="169"/>
      <c r="AW128" s="169"/>
      <c r="AX128" s="169"/>
      <c r="AY128" s="169"/>
      <c r="AZ128" s="169"/>
      <c r="BA128" s="169"/>
      <c r="BB128" s="169"/>
      <c r="BC128" s="169"/>
    </row>
    <row r="129" spans="1:55">
      <c r="A129" s="169"/>
      <c r="B129" s="169"/>
      <c r="C129" s="169"/>
      <c r="D129" s="335"/>
      <c r="E129" s="250"/>
      <c r="F129" s="250"/>
      <c r="G129" s="250"/>
      <c r="H129" s="250"/>
      <c r="I129" s="289" t="s">
        <v>374</v>
      </c>
      <c r="J129" s="271">
        <f>38/J127</f>
        <v>0.40860215053763443</v>
      </c>
      <c r="K129" s="271">
        <f>37/K127</f>
        <v>0.39361702127659576</v>
      </c>
      <c r="L129" s="271">
        <f>36/L127</f>
        <v>0.38297872340425532</v>
      </c>
      <c r="M129" s="271">
        <f>38.1/M127</f>
        <v>0.40575079872204473</v>
      </c>
      <c r="N129" s="271"/>
      <c r="O129" s="396">
        <f t="shared" ref="O129:O135" si="6">(J129+2*K129+2*L129+M129)/6</f>
        <v>0.39459073977023018</v>
      </c>
      <c r="P129" s="169"/>
      <c r="Q129" s="50"/>
      <c r="R129" s="50"/>
      <c r="S129" s="50"/>
      <c r="T129" s="50"/>
      <c r="U129" s="50"/>
      <c r="V129" s="50"/>
      <c r="W129" s="50"/>
      <c r="X129" s="169"/>
      <c r="Y129" s="169"/>
      <c r="Z129" s="169"/>
      <c r="AA129" s="169"/>
      <c r="AB129" s="169"/>
      <c r="AC129" s="169"/>
      <c r="AD129" s="169"/>
      <c r="AE129" s="169"/>
      <c r="AF129" s="169"/>
      <c r="AG129" s="169"/>
      <c r="AH129" s="169"/>
      <c r="AI129" s="169"/>
      <c r="AJ129" s="169"/>
      <c r="AK129" s="169"/>
      <c r="AL129" s="169"/>
      <c r="AM129" s="169"/>
      <c r="AN129" s="169"/>
      <c r="AO129" s="169"/>
      <c r="AP129" s="169"/>
      <c r="AQ129" s="169"/>
      <c r="AR129" s="169"/>
      <c r="AS129" s="169"/>
      <c r="AT129" s="169"/>
      <c r="AU129" s="169"/>
      <c r="AV129" s="169"/>
      <c r="AW129" s="169"/>
      <c r="AX129" s="169"/>
      <c r="AY129" s="169"/>
      <c r="AZ129" s="169"/>
      <c r="BA129" s="169"/>
      <c r="BB129" s="169"/>
      <c r="BC129" s="169"/>
    </row>
    <row r="130" spans="1:55">
      <c r="A130" s="169"/>
      <c r="B130" s="169"/>
      <c r="C130" s="169"/>
      <c r="D130" s="335"/>
      <c r="E130" s="250"/>
      <c r="F130" s="250"/>
      <c r="G130" s="250"/>
      <c r="H130" s="250"/>
      <c r="I130" s="289" t="s">
        <v>375</v>
      </c>
      <c r="J130" s="271">
        <f>8/J127</f>
        <v>8.6021505376344093E-2</v>
      </c>
      <c r="K130" s="271">
        <f>7/K127</f>
        <v>7.4468085106382975E-2</v>
      </c>
      <c r="L130" s="271">
        <f>6/L127</f>
        <v>6.3829787234042548E-2</v>
      </c>
      <c r="M130" s="271">
        <f>4.2/M127</f>
        <v>4.472843450479233E-2</v>
      </c>
      <c r="N130" s="271"/>
      <c r="O130" s="396">
        <f t="shared" si="6"/>
        <v>6.7890947426997916E-2</v>
      </c>
      <c r="P130" s="169"/>
      <c r="Q130" s="50"/>
      <c r="R130" s="50"/>
      <c r="S130" s="50"/>
      <c r="T130" s="50"/>
      <c r="U130" s="50"/>
      <c r="V130" s="50"/>
      <c r="W130" s="50"/>
      <c r="X130" s="169"/>
      <c r="Y130" s="169"/>
      <c r="Z130" s="169"/>
      <c r="AA130" s="169"/>
      <c r="AB130" s="169"/>
      <c r="AC130" s="169"/>
      <c r="AD130" s="169"/>
      <c r="AE130" s="169"/>
      <c r="AF130" s="169"/>
      <c r="AG130" s="169"/>
      <c r="AH130" s="169"/>
      <c r="AI130" s="169"/>
      <c r="AJ130" s="169"/>
      <c r="AK130" s="169"/>
      <c r="AL130" s="169"/>
      <c r="AM130" s="169"/>
      <c r="AN130" s="169"/>
      <c r="AO130" s="169"/>
      <c r="AP130" s="169"/>
      <c r="AQ130" s="169"/>
      <c r="AR130" s="169"/>
      <c r="AS130" s="169"/>
      <c r="AT130" s="169"/>
      <c r="AU130" s="169"/>
      <c r="AV130" s="169"/>
      <c r="AW130" s="169"/>
      <c r="AX130" s="169"/>
      <c r="AY130" s="169"/>
      <c r="AZ130" s="169"/>
      <c r="BA130" s="169"/>
      <c r="BB130" s="169"/>
      <c r="BC130" s="169"/>
    </row>
    <row r="131" spans="1:55">
      <c r="A131" s="169"/>
      <c r="B131" s="169"/>
      <c r="C131" s="169"/>
      <c r="D131" s="335"/>
      <c r="E131" s="250"/>
      <c r="F131" s="250"/>
      <c r="G131" s="250"/>
      <c r="H131" s="250"/>
      <c r="I131" s="289" t="s">
        <v>377</v>
      </c>
      <c r="J131" s="271"/>
      <c r="K131" s="271">
        <f>8/K127</f>
        <v>8.5106382978723402E-2</v>
      </c>
      <c r="L131" s="271">
        <f>9/L127</f>
        <v>9.5744680851063829E-2</v>
      </c>
      <c r="M131" s="271">
        <f>9.8/M127</f>
        <v>0.10436634717784878</v>
      </c>
      <c r="N131" s="271"/>
      <c r="O131" s="396">
        <f t="shared" si="6"/>
        <v>7.7678079139570533E-2</v>
      </c>
      <c r="P131" s="169"/>
      <c r="Q131" s="50"/>
      <c r="R131" s="50"/>
      <c r="S131" s="50"/>
      <c r="T131" s="50"/>
      <c r="U131" s="50"/>
      <c r="V131" s="50"/>
      <c r="W131" s="50"/>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row>
    <row r="132" spans="1:55">
      <c r="A132" s="169"/>
      <c r="B132" s="169"/>
      <c r="C132" s="169"/>
      <c r="D132" s="335"/>
      <c r="E132" s="250"/>
      <c r="F132" s="250"/>
      <c r="G132" s="250"/>
      <c r="H132" s="250"/>
      <c r="I132" s="289" t="s">
        <v>376</v>
      </c>
      <c r="J132" s="271">
        <f>2/J127</f>
        <v>2.1505376344086023E-2</v>
      </c>
      <c r="K132" s="271">
        <f>2/K127</f>
        <v>2.1276595744680851E-2</v>
      </c>
      <c r="L132" s="271">
        <f>2/L127</f>
        <v>2.1276595744680851E-2</v>
      </c>
      <c r="M132" s="271">
        <f>3.3/M127</f>
        <v>3.5143769968051117E-2</v>
      </c>
      <c r="N132" s="271"/>
      <c r="O132" s="396">
        <f t="shared" si="6"/>
        <v>2.3625921548476758E-2</v>
      </c>
      <c r="P132" s="169"/>
      <c r="Q132" s="50"/>
      <c r="R132" s="50"/>
      <c r="S132" s="50"/>
      <c r="T132" s="50"/>
      <c r="U132" s="50"/>
      <c r="V132" s="50"/>
      <c r="W132" s="50"/>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row>
    <row r="133" spans="1:55">
      <c r="A133" s="169"/>
      <c r="B133" s="169"/>
      <c r="C133" s="169"/>
      <c r="D133" s="335"/>
      <c r="E133" s="250"/>
      <c r="F133" s="250"/>
      <c r="G133" s="250"/>
      <c r="H133" s="250"/>
      <c r="I133" s="329" t="s">
        <v>368</v>
      </c>
      <c r="J133" s="328">
        <f>J134+J135</f>
        <v>0.4946236559139785</v>
      </c>
      <c r="K133" s="328">
        <f>K134+K135</f>
        <v>0.42553191489361702</v>
      </c>
      <c r="L133" s="328">
        <f>L134+L135</f>
        <v>0.43617021276595747</v>
      </c>
      <c r="M133" s="328">
        <f>M134+M135</f>
        <v>0.40788072417465382</v>
      </c>
      <c r="N133" s="328"/>
      <c r="O133" s="397">
        <f t="shared" si="6"/>
        <v>0.43765143923463024</v>
      </c>
      <c r="P133" s="169"/>
      <c r="Q133" s="50"/>
      <c r="R133" s="50"/>
      <c r="S133" s="50"/>
      <c r="T133" s="50"/>
      <c r="U133" s="50"/>
      <c r="V133" s="50"/>
      <c r="W133" s="50"/>
      <c r="X133" s="169"/>
      <c r="Y133" s="169"/>
      <c r="Z133" s="169"/>
      <c r="AA133" s="169"/>
      <c r="AB133" s="169"/>
      <c r="AC133" s="169"/>
      <c r="AD133" s="169"/>
      <c r="AE133" s="169"/>
      <c r="AF133" s="169"/>
      <c r="AG133" s="169"/>
      <c r="AH133" s="169"/>
      <c r="AI133" s="169"/>
      <c r="AJ133" s="169"/>
      <c r="AK133" s="169"/>
      <c r="AL133" s="169"/>
      <c r="AM133" s="169"/>
      <c r="AN133" s="169"/>
      <c r="AO133" s="169"/>
      <c r="AP133" s="169"/>
      <c r="AQ133" s="169"/>
      <c r="AR133" s="169"/>
      <c r="AS133" s="169"/>
      <c r="AT133" s="169"/>
      <c r="AU133" s="169"/>
      <c r="AV133" s="169"/>
      <c r="AW133" s="169"/>
      <c r="AX133" s="169"/>
      <c r="AY133" s="169"/>
      <c r="AZ133" s="169"/>
      <c r="BA133" s="169"/>
      <c r="BB133" s="169"/>
      <c r="BC133" s="169"/>
    </row>
    <row r="134" spans="1:55">
      <c r="A134" s="169"/>
      <c r="B134" s="169"/>
      <c r="C134" s="169"/>
      <c r="D134" s="335"/>
      <c r="E134" s="250"/>
      <c r="F134" s="250"/>
      <c r="G134" s="250"/>
      <c r="H134" s="250"/>
      <c r="I134" s="289" t="s">
        <v>374</v>
      </c>
      <c r="J134" s="271">
        <f>35/J127</f>
        <v>0.37634408602150538</v>
      </c>
      <c r="K134" s="271">
        <f>30/K127</f>
        <v>0.31914893617021278</v>
      </c>
      <c r="L134" s="271">
        <f>32/L127</f>
        <v>0.34042553191489361</v>
      </c>
      <c r="M134" s="271">
        <f>29.5/M127</f>
        <v>0.31416400425985086</v>
      </c>
      <c r="N134" s="271"/>
      <c r="O134" s="396">
        <f t="shared" si="6"/>
        <v>0.33494283774192818</v>
      </c>
      <c r="P134" s="169"/>
      <c r="Q134" s="50"/>
      <c r="R134" s="50"/>
      <c r="S134" s="50"/>
      <c r="T134" s="50"/>
      <c r="U134" s="50"/>
      <c r="V134" s="50"/>
      <c r="W134" s="50"/>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row>
    <row r="135" spans="1:55">
      <c r="A135" s="169"/>
      <c r="B135" s="169"/>
      <c r="C135" s="169"/>
      <c r="D135" s="335"/>
      <c r="E135" s="250"/>
      <c r="F135" s="250"/>
      <c r="G135" s="250"/>
      <c r="H135" s="250"/>
      <c r="I135" s="289" t="s">
        <v>375</v>
      </c>
      <c r="J135" s="271">
        <f>11/J127</f>
        <v>0.11827956989247312</v>
      </c>
      <c r="K135" s="271">
        <f>10/K127</f>
        <v>0.10638297872340426</v>
      </c>
      <c r="L135" s="271">
        <f>9/L127</f>
        <v>9.5744680851063829E-2</v>
      </c>
      <c r="M135" s="271">
        <f>8.8/M127</f>
        <v>9.3716719914802987E-2</v>
      </c>
      <c r="N135" s="271"/>
      <c r="O135" s="396">
        <f t="shared" si="6"/>
        <v>0.10270860149270204</v>
      </c>
      <c r="P135" s="169"/>
      <c r="Q135" s="50"/>
      <c r="R135" s="50"/>
      <c r="S135" s="50"/>
      <c r="T135" s="50"/>
      <c r="U135" s="50"/>
      <c r="V135" s="50"/>
      <c r="W135" s="50"/>
      <c r="X135" s="169"/>
      <c r="Y135" s="169"/>
      <c r="Z135" s="169"/>
      <c r="AA135" s="169"/>
      <c r="AB135" s="169"/>
      <c r="AC135" s="169"/>
      <c r="AD135" s="169"/>
      <c r="AE135" s="169"/>
      <c r="AF135" s="169"/>
      <c r="AG135" s="169"/>
      <c r="AH135" s="169"/>
      <c r="AI135" s="169"/>
      <c r="AJ135" s="169"/>
      <c r="AK135" s="169"/>
      <c r="AL135" s="169"/>
      <c r="AM135" s="169"/>
      <c r="AN135" s="169"/>
      <c r="AO135" s="169"/>
      <c r="AP135" s="169"/>
      <c r="AQ135" s="169"/>
      <c r="AR135" s="169"/>
      <c r="AS135" s="169"/>
      <c r="AT135" s="169"/>
      <c r="AU135" s="169"/>
      <c r="AV135" s="169"/>
      <c r="AW135" s="169"/>
      <c r="AX135" s="169"/>
      <c r="AY135" s="169"/>
      <c r="AZ135" s="169"/>
      <c r="BA135" s="169"/>
      <c r="BB135" s="169"/>
      <c r="BC135" s="169"/>
    </row>
    <row r="136" spans="1:55">
      <c r="A136" s="169"/>
      <c r="B136" s="169"/>
      <c r="C136" s="169"/>
      <c r="D136" s="335"/>
      <c r="E136" s="250"/>
      <c r="F136" s="250"/>
      <c r="G136" s="250"/>
      <c r="H136" s="250"/>
      <c r="I136" s="342"/>
      <c r="J136" s="259"/>
      <c r="K136" s="259"/>
      <c r="L136" s="259"/>
      <c r="M136" s="169"/>
      <c r="N136" s="346" t="s">
        <v>381</v>
      </c>
      <c r="O136" s="397">
        <f>O134+O129</f>
        <v>0.7295335775121583</v>
      </c>
      <c r="P136" s="169"/>
      <c r="Q136" s="50"/>
      <c r="R136" s="50"/>
      <c r="S136" s="50"/>
      <c r="T136" s="50"/>
      <c r="U136" s="50"/>
      <c r="V136" s="50"/>
      <c r="W136" s="50"/>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row>
    <row r="137" spans="1:55">
      <c r="A137" s="169"/>
      <c r="B137" s="169"/>
      <c r="C137" s="169"/>
      <c r="D137" s="335"/>
      <c r="E137" s="250"/>
      <c r="F137" s="250"/>
      <c r="G137" s="250"/>
      <c r="H137" s="250"/>
      <c r="I137" s="290" t="s">
        <v>387</v>
      </c>
      <c r="J137" s="259"/>
      <c r="K137" s="259"/>
      <c r="L137" s="259"/>
      <c r="M137" s="259"/>
      <c r="N137" s="259"/>
      <c r="O137" s="49"/>
      <c r="P137" s="169"/>
      <c r="Q137" s="50"/>
      <c r="R137" s="50"/>
      <c r="S137" s="50"/>
      <c r="T137" s="50"/>
      <c r="U137" s="50"/>
      <c r="V137" s="50"/>
      <c r="W137" s="50"/>
      <c r="X137" s="169"/>
      <c r="Y137" s="169"/>
      <c r="Z137" s="169"/>
      <c r="AA137" s="169"/>
      <c r="AB137" s="169"/>
      <c r="AC137" s="169"/>
      <c r="AD137" s="169"/>
      <c r="AE137" s="169"/>
      <c r="AF137" s="169"/>
      <c r="AG137" s="169"/>
      <c r="AH137" s="169"/>
      <c r="AI137" s="169"/>
      <c r="AJ137" s="169"/>
      <c r="AK137" s="169"/>
      <c r="AL137" s="169"/>
      <c r="AM137" s="169"/>
      <c r="AN137" s="169"/>
      <c r="AO137" s="169"/>
      <c r="AP137" s="169"/>
      <c r="AQ137" s="169"/>
      <c r="AR137" s="169"/>
      <c r="AS137" s="169"/>
      <c r="AT137" s="169"/>
      <c r="AU137" s="169"/>
      <c r="AV137" s="169"/>
      <c r="AW137" s="169"/>
      <c r="AX137" s="169"/>
      <c r="AY137" s="169"/>
      <c r="AZ137" s="169"/>
      <c r="BA137" s="169"/>
      <c r="BB137" s="169"/>
      <c r="BC137" s="169"/>
    </row>
    <row r="138" spans="1:55">
      <c r="A138" s="169"/>
      <c r="B138" s="169"/>
      <c r="C138" s="169"/>
      <c r="D138" s="335"/>
      <c r="E138" s="250"/>
      <c r="F138" s="250"/>
      <c r="G138" s="250"/>
      <c r="H138" s="250"/>
      <c r="I138" s="400" t="s">
        <v>55</v>
      </c>
      <c r="J138" s="273">
        <f>J128/J118</f>
        <v>1.1182795698924732</v>
      </c>
      <c r="K138" s="273">
        <f>K128/K118</f>
        <v>1.0890957446808511</v>
      </c>
      <c r="L138" s="273">
        <f>L128/L118</f>
        <v>1.1276595744680851</v>
      </c>
      <c r="M138" s="273">
        <f>M128/M118</f>
        <v>1.1941487506452557</v>
      </c>
      <c r="N138" s="821"/>
      <c r="O138" s="370">
        <f t="shared" ref="O138:O145" si="7">(J138+2*K138+2*L138+M138)/6</f>
        <v>1.1243231598059336</v>
      </c>
      <c r="P138" s="169"/>
      <c r="Q138" s="50"/>
      <c r="R138" s="50"/>
      <c r="S138" s="50"/>
      <c r="T138" s="50"/>
      <c r="U138" s="50"/>
      <c r="V138" s="50"/>
      <c r="W138" s="50"/>
      <c r="X138" s="169"/>
      <c r="Y138" s="169"/>
      <c r="Z138" s="169"/>
      <c r="AA138" s="169"/>
      <c r="AB138" s="169"/>
      <c r="AC138" s="169"/>
      <c r="AD138" s="169"/>
      <c r="AE138" s="169"/>
      <c r="AF138" s="169"/>
      <c r="AG138" s="169"/>
      <c r="AH138" s="169"/>
      <c r="AI138" s="169"/>
      <c r="AJ138" s="169"/>
      <c r="AK138" s="169"/>
      <c r="AL138" s="169"/>
      <c r="AM138" s="169"/>
      <c r="AN138" s="169"/>
      <c r="AO138" s="169"/>
      <c r="AP138" s="169"/>
      <c r="AQ138" s="169"/>
      <c r="AR138" s="169"/>
      <c r="AS138" s="169"/>
      <c r="AT138" s="169"/>
      <c r="AU138" s="169"/>
      <c r="AV138" s="169"/>
      <c r="AW138" s="169"/>
      <c r="AX138" s="169"/>
      <c r="AY138" s="169"/>
      <c r="AZ138" s="169"/>
      <c r="BA138" s="169"/>
      <c r="BB138" s="169"/>
      <c r="BC138" s="169"/>
    </row>
    <row r="139" spans="1:55">
      <c r="A139" s="169"/>
      <c r="B139" s="169"/>
      <c r="C139" s="169"/>
      <c r="D139" s="335"/>
      <c r="E139" s="250"/>
      <c r="F139" s="250"/>
      <c r="G139" s="250"/>
      <c r="H139" s="250"/>
      <c r="I139" s="394" t="s">
        <v>374</v>
      </c>
      <c r="J139" s="395">
        <f t="shared" ref="J139:M145" si="8">J129/J119</f>
        <v>1.239426523297491</v>
      </c>
      <c r="K139" s="395">
        <f t="shared" si="8"/>
        <v>1.2351430667644903</v>
      </c>
      <c r="L139" s="395">
        <f t="shared" si="8"/>
        <v>1.2149669845928099</v>
      </c>
      <c r="M139" s="395">
        <f t="shared" si="8"/>
        <v>1.2837235167758889</v>
      </c>
      <c r="N139" s="395"/>
      <c r="O139" s="399">
        <f t="shared" si="7"/>
        <v>1.2372283571313301</v>
      </c>
      <c r="P139" s="169"/>
      <c r="Q139" s="50"/>
      <c r="R139" s="50"/>
      <c r="S139" s="50"/>
      <c r="T139" s="50"/>
      <c r="U139" s="50"/>
      <c r="V139" s="50"/>
      <c r="W139" s="50"/>
      <c r="X139" s="169"/>
      <c r="Y139" s="169"/>
      <c r="Z139" s="169"/>
      <c r="AA139" s="169"/>
      <c r="AB139" s="169"/>
      <c r="AC139" s="169"/>
      <c r="AD139" s="169"/>
      <c r="AE139" s="169"/>
      <c r="AF139" s="169"/>
      <c r="AG139" s="169"/>
      <c r="AH139" s="169"/>
      <c r="AI139" s="169"/>
      <c r="AJ139" s="169"/>
      <c r="AK139" s="169"/>
      <c r="AL139" s="169"/>
      <c r="AM139" s="169"/>
      <c r="AN139" s="169"/>
      <c r="AO139" s="169"/>
      <c r="AP139" s="169"/>
      <c r="AQ139" s="169"/>
      <c r="AR139" s="169"/>
      <c r="AS139" s="169"/>
      <c r="AT139" s="169"/>
      <c r="AU139" s="169"/>
      <c r="AV139" s="169"/>
      <c r="AW139" s="169"/>
      <c r="AX139" s="169"/>
      <c r="AY139" s="169"/>
      <c r="AZ139" s="169"/>
      <c r="BA139" s="169"/>
      <c r="BB139" s="169"/>
      <c r="BC139" s="169"/>
    </row>
    <row r="140" spans="1:55">
      <c r="A140" s="169"/>
      <c r="B140" s="169"/>
      <c r="C140" s="169"/>
      <c r="D140" s="335"/>
      <c r="E140" s="250"/>
      <c r="F140" s="250"/>
      <c r="G140" s="250"/>
      <c r="H140" s="250"/>
      <c r="I140" s="289" t="s">
        <v>375</v>
      </c>
      <c r="J140" s="274">
        <f t="shared" si="8"/>
        <v>0.78279569892473122</v>
      </c>
      <c r="K140" s="274">
        <f t="shared" si="8"/>
        <v>0.67765957446808511</v>
      </c>
      <c r="L140" s="274">
        <f t="shared" si="8"/>
        <v>0.73404255319148937</v>
      </c>
      <c r="M140" s="274">
        <f t="shared" si="8"/>
        <v>0.54556919455187491</v>
      </c>
      <c r="N140" s="274"/>
      <c r="O140" s="399">
        <f t="shared" si="7"/>
        <v>0.69196152479929252</v>
      </c>
      <c r="P140" s="169"/>
      <c r="Q140" s="50"/>
      <c r="R140" s="50"/>
      <c r="S140" s="50"/>
      <c r="T140" s="50"/>
      <c r="U140" s="50"/>
      <c r="V140" s="50"/>
      <c r="W140" s="50"/>
      <c r="X140" s="169"/>
      <c r="Y140" s="169"/>
      <c r="Z140" s="169"/>
      <c r="AA140" s="169"/>
      <c r="AB140" s="169"/>
      <c r="AC140" s="169"/>
      <c r="AD140" s="169"/>
      <c r="AE140" s="169"/>
      <c r="AF140" s="169"/>
      <c r="AG140" s="169"/>
      <c r="AH140" s="169"/>
      <c r="AI140" s="169"/>
      <c r="AJ140" s="169"/>
      <c r="AK140" s="169"/>
      <c r="AL140" s="169"/>
      <c r="AM140" s="169"/>
      <c r="AN140" s="169"/>
      <c r="AO140" s="169"/>
      <c r="AP140" s="169"/>
      <c r="AQ140" s="169"/>
      <c r="AR140" s="169"/>
      <c r="AS140" s="169"/>
      <c r="AT140" s="169"/>
      <c r="AU140" s="169"/>
      <c r="AV140" s="169"/>
      <c r="AW140" s="169"/>
      <c r="AX140" s="169"/>
      <c r="AY140" s="169"/>
      <c r="AZ140" s="169"/>
      <c r="BA140" s="169"/>
      <c r="BB140" s="169"/>
      <c r="BC140" s="169"/>
    </row>
    <row r="141" spans="1:55">
      <c r="A141" s="169"/>
      <c r="B141" s="169"/>
      <c r="C141" s="169"/>
      <c r="D141" s="335"/>
      <c r="E141" s="250"/>
      <c r="F141" s="250"/>
      <c r="G141" s="250"/>
      <c r="H141" s="250"/>
      <c r="I141" s="289" t="s">
        <v>377</v>
      </c>
      <c r="J141" s="274"/>
      <c r="K141" s="274">
        <f t="shared" si="8"/>
        <v>1.1063829787234041</v>
      </c>
      <c r="L141" s="274">
        <f t="shared" si="8"/>
        <v>1.2583586626139818</v>
      </c>
      <c r="M141" s="274">
        <f t="shared" si="8"/>
        <v>1.4021391859980552</v>
      </c>
      <c r="N141" s="274"/>
      <c r="O141" s="399">
        <f t="shared" si="7"/>
        <v>1.0219370781121377</v>
      </c>
      <c r="P141" s="169"/>
      <c r="Q141" s="50" t="s">
        <v>891</v>
      </c>
      <c r="R141" s="50"/>
      <c r="S141" s="169"/>
      <c r="T141" s="169"/>
      <c r="U141" s="50"/>
      <c r="V141" s="50"/>
      <c r="W141" s="50"/>
      <c r="X141" s="169"/>
      <c r="Y141" s="169"/>
      <c r="Z141" s="169"/>
      <c r="AA141" s="169"/>
      <c r="AB141" s="169"/>
      <c r="AC141" s="169"/>
      <c r="AD141" s="169"/>
      <c r="AE141" s="169"/>
      <c r="AF141" s="169"/>
      <c r="AG141" s="169"/>
      <c r="AH141" s="169"/>
      <c r="AI141" s="169"/>
      <c r="AJ141" s="169"/>
      <c r="AK141" s="169"/>
      <c r="AL141" s="169"/>
      <c r="AM141" s="169"/>
      <c r="AN141" s="169"/>
      <c r="AO141" s="169"/>
      <c r="AP141" s="169"/>
      <c r="AQ141" s="169"/>
      <c r="AR141" s="169"/>
      <c r="AS141" s="169"/>
      <c r="AT141" s="169"/>
      <c r="AU141" s="169"/>
      <c r="AV141" s="169"/>
      <c r="AW141" s="169"/>
      <c r="AX141" s="169"/>
      <c r="AY141" s="169"/>
      <c r="AZ141" s="169"/>
      <c r="BA141" s="169"/>
      <c r="BB141" s="169"/>
      <c r="BC141" s="169"/>
    </row>
    <row r="142" spans="1:55">
      <c r="A142" s="169"/>
      <c r="B142" s="169"/>
      <c r="C142" s="169"/>
      <c r="D142" s="335"/>
      <c r="E142" s="250"/>
      <c r="F142" s="250"/>
      <c r="G142" s="250"/>
      <c r="H142" s="250"/>
      <c r="I142" s="289" t="s">
        <v>376</v>
      </c>
      <c r="J142" s="274">
        <f t="shared" si="8"/>
        <v>0.978494623655914</v>
      </c>
      <c r="K142" s="274">
        <f t="shared" si="8"/>
        <v>0.96808510638297862</v>
      </c>
      <c r="L142" s="274">
        <f t="shared" si="8"/>
        <v>0.97872340425531912</v>
      </c>
      <c r="M142" s="274">
        <f t="shared" si="8"/>
        <v>1.6289137380191694</v>
      </c>
      <c r="N142" s="274"/>
      <c r="O142" s="399">
        <f t="shared" si="7"/>
        <v>1.0835042304919464</v>
      </c>
      <c r="P142" s="169"/>
      <c r="Q142" s="50" t="s">
        <v>186</v>
      </c>
      <c r="R142" s="50"/>
      <c r="S142" s="169"/>
      <c r="T142" s="50"/>
      <c r="U142" s="50"/>
      <c r="V142" s="50"/>
      <c r="W142" s="50"/>
      <c r="X142" s="169"/>
      <c r="Y142" s="169"/>
      <c r="Z142" s="169"/>
      <c r="AA142" s="169"/>
      <c r="AB142" s="169"/>
      <c r="AC142" s="169"/>
      <c r="AD142" s="169"/>
      <c r="AE142" s="169"/>
      <c r="AF142" s="169"/>
      <c r="AG142" s="169"/>
      <c r="AH142" s="169"/>
      <c r="AI142" s="169"/>
      <c r="AJ142" s="169"/>
      <c r="AK142" s="169"/>
      <c r="AL142" s="169"/>
      <c r="AM142" s="169"/>
      <c r="AN142" s="169"/>
      <c r="AO142" s="169"/>
      <c r="AP142" s="169"/>
      <c r="AQ142" s="169"/>
      <c r="AR142" s="169"/>
      <c r="AS142" s="169"/>
      <c r="AT142" s="169"/>
      <c r="AU142" s="169"/>
      <c r="AV142" s="169"/>
      <c r="AW142" s="169"/>
      <c r="AX142" s="169"/>
      <c r="AY142" s="169"/>
      <c r="AZ142" s="169"/>
      <c r="BA142" s="169"/>
      <c r="BB142" s="169"/>
      <c r="BC142" s="169"/>
    </row>
    <row r="143" spans="1:55">
      <c r="A143" s="169"/>
      <c r="B143" s="169"/>
      <c r="C143" s="169"/>
      <c r="D143" s="335"/>
      <c r="E143" s="250"/>
      <c r="F143" s="250"/>
      <c r="G143" s="250"/>
      <c r="H143" s="250"/>
      <c r="I143" s="327" t="s">
        <v>368</v>
      </c>
      <c r="J143" s="333">
        <f t="shared" si="8"/>
        <v>0.93772401433691754</v>
      </c>
      <c r="K143" s="333">
        <f t="shared" si="8"/>
        <v>0.86052009456264777</v>
      </c>
      <c r="L143" s="333">
        <f t="shared" si="8"/>
        <v>0.87234042553191493</v>
      </c>
      <c r="M143" s="333">
        <f t="shared" si="8"/>
        <v>0.80277161636922323</v>
      </c>
      <c r="N143" s="333"/>
      <c r="O143" s="370">
        <f t="shared" si="7"/>
        <v>0.86770277848254429</v>
      </c>
      <c r="P143" s="169"/>
      <c r="Q143" s="169"/>
      <c r="R143" s="4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row>
    <row r="144" spans="1:55">
      <c r="A144" s="169"/>
      <c r="B144" s="169"/>
      <c r="C144" s="169"/>
      <c r="D144" s="335"/>
      <c r="E144" s="250"/>
      <c r="F144" s="250"/>
      <c r="G144" s="250"/>
      <c r="H144" s="250"/>
      <c r="I144" s="289" t="s">
        <v>374</v>
      </c>
      <c r="J144" s="274">
        <f t="shared" si="8"/>
        <v>0.97849462365591389</v>
      </c>
      <c r="K144" s="274">
        <f t="shared" si="8"/>
        <v>0.88007736943907167</v>
      </c>
      <c r="L144" s="274">
        <f t="shared" si="8"/>
        <v>0.92115143929912391</v>
      </c>
      <c r="M144" s="274">
        <f t="shared" si="8"/>
        <v>0.82268370607028751</v>
      </c>
      <c r="N144" s="274"/>
      <c r="O144" s="399">
        <f t="shared" si="7"/>
        <v>0.90060599120043205</v>
      </c>
      <c r="P144" s="169"/>
      <c r="Q144" s="49" t="s">
        <v>532</v>
      </c>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row>
    <row r="145" spans="1:55">
      <c r="A145" s="169"/>
      <c r="B145" s="169"/>
      <c r="C145" s="169"/>
      <c r="D145" s="335"/>
      <c r="E145" s="250"/>
      <c r="F145" s="250"/>
      <c r="G145" s="250"/>
      <c r="H145" s="250"/>
      <c r="I145" s="289" t="s">
        <v>375</v>
      </c>
      <c r="J145" s="274">
        <f t="shared" si="8"/>
        <v>0.82795698924731187</v>
      </c>
      <c r="K145" s="274">
        <f t="shared" si="8"/>
        <v>0.80673758865248224</v>
      </c>
      <c r="L145" s="274">
        <f t="shared" si="8"/>
        <v>0.73404255319148937</v>
      </c>
      <c r="M145" s="274">
        <f t="shared" si="8"/>
        <v>0.74252478086343909</v>
      </c>
      <c r="N145" s="274"/>
      <c r="O145" s="399">
        <f t="shared" si="7"/>
        <v>0.77534034229978233</v>
      </c>
      <c r="P145" s="169"/>
      <c r="Q145" s="180" t="s">
        <v>378</v>
      </c>
      <c r="R145" s="53">
        <f>O119/(O119+O124)</f>
        <v>0.46171297395109151</v>
      </c>
      <c r="S145" s="49" t="s">
        <v>379</v>
      </c>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c r="AQ145" s="169"/>
      <c r="AR145" s="169"/>
      <c r="AS145" s="169"/>
      <c r="AT145" s="169"/>
      <c r="AU145" s="169"/>
      <c r="AV145" s="169"/>
      <c r="AW145" s="169"/>
      <c r="AX145" s="169"/>
      <c r="AY145" s="169"/>
      <c r="AZ145" s="169"/>
      <c r="BA145" s="169"/>
      <c r="BB145" s="169"/>
      <c r="BC145" s="169"/>
    </row>
    <row r="146" spans="1:55">
      <c r="A146" s="169"/>
      <c r="B146" s="169"/>
      <c r="C146" s="169"/>
      <c r="D146" s="335"/>
      <c r="E146" s="250"/>
      <c r="F146" s="250"/>
      <c r="G146" s="250"/>
      <c r="H146" s="250"/>
      <c r="I146" s="289"/>
      <c r="J146" s="259"/>
      <c r="K146" s="259"/>
      <c r="L146" s="259"/>
      <c r="M146" s="169"/>
      <c r="N146" s="346" t="s">
        <v>381</v>
      </c>
      <c r="O146" s="370">
        <f>O136/O126</f>
        <v>1.0561626824824402</v>
      </c>
      <c r="P146" s="169"/>
      <c r="Q146" s="180" t="s">
        <v>187</v>
      </c>
      <c r="R146" s="53">
        <f>O129/(O129+O134)</f>
        <v>0.54088084761753685</v>
      </c>
      <c r="S146" s="50"/>
      <c r="T146" s="169"/>
      <c r="U146" s="50"/>
      <c r="V146" s="50"/>
      <c r="W146" s="50"/>
      <c r="X146" s="169"/>
      <c r="Y146" s="169"/>
      <c r="Z146" s="169"/>
      <c r="AA146" s="169"/>
      <c r="AB146" s="169"/>
      <c r="AC146" s="169"/>
      <c r="AD146" s="169"/>
      <c r="AE146" s="169"/>
      <c r="AF146" s="169"/>
      <c r="AG146" s="169"/>
      <c r="AH146" s="169"/>
      <c r="AI146" s="169"/>
      <c r="AJ146" s="169"/>
      <c r="AK146" s="169"/>
      <c r="AL146" s="169"/>
      <c r="AM146" s="169"/>
      <c r="AN146" s="169"/>
      <c r="AO146" s="169"/>
      <c r="AP146" s="169"/>
      <c r="AQ146" s="169"/>
      <c r="AR146" s="169"/>
      <c r="AS146" s="248"/>
      <c r="AT146" s="169"/>
      <c r="AU146" s="169"/>
      <c r="AV146" s="169"/>
      <c r="AW146" s="169"/>
      <c r="AX146" s="169"/>
      <c r="AY146" s="169"/>
      <c r="AZ146" s="169"/>
      <c r="BA146" s="169"/>
      <c r="BB146" s="169"/>
      <c r="BC146" s="169"/>
    </row>
    <row r="147" spans="1:55">
      <c r="A147" s="169"/>
      <c r="B147" s="169"/>
      <c r="C147" s="169"/>
      <c r="D147" s="335"/>
      <c r="E147" s="250"/>
      <c r="F147" s="250"/>
      <c r="G147" s="250"/>
      <c r="H147" s="250"/>
      <c r="I147" s="289"/>
      <c r="J147" s="259"/>
      <c r="K147" s="259"/>
      <c r="L147" s="259"/>
      <c r="M147" s="250"/>
      <c r="N147" s="259"/>
      <c r="O147" s="370"/>
      <c r="P147" s="169"/>
      <c r="Q147" s="50"/>
      <c r="R147" s="50"/>
      <c r="S147" s="50"/>
      <c r="T147" s="50"/>
      <c r="U147" s="50"/>
      <c r="V147" s="50"/>
      <c r="W147" s="50"/>
      <c r="X147" s="169"/>
      <c r="Y147" s="169"/>
      <c r="Z147" s="169"/>
      <c r="AA147" s="169"/>
      <c r="AB147" s="169"/>
      <c r="AC147" s="169"/>
      <c r="AD147" s="169"/>
      <c r="AE147" s="169"/>
      <c r="AF147" s="169"/>
      <c r="AG147" s="169"/>
      <c r="AH147" s="169"/>
      <c r="AI147" s="169"/>
      <c r="AJ147" s="169"/>
      <c r="AK147" s="169"/>
      <c r="AL147" s="169"/>
      <c r="AM147" s="169"/>
      <c r="AN147" s="169"/>
      <c r="AO147" s="169"/>
      <c r="AP147" s="169"/>
      <c r="AQ147" s="169"/>
      <c r="AR147" s="169"/>
      <c r="AS147" s="248"/>
      <c r="AT147" s="169"/>
      <c r="AU147" s="169"/>
      <c r="AV147" s="169"/>
      <c r="AW147" s="169"/>
      <c r="AX147" s="169"/>
      <c r="AY147" s="169"/>
      <c r="AZ147" s="169"/>
      <c r="BA147" s="169"/>
      <c r="BB147" s="169"/>
      <c r="BC147" s="169"/>
    </row>
    <row r="148" spans="1:55">
      <c r="A148" s="169"/>
      <c r="B148" s="169"/>
      <c r="C148" s="169"/>
      <c r="D148" s="335"/>
      <c r="E148" s="250"/>
      <c r="F148" s="250"/>
      <c r="G148" s="250"/>
      <c r="H148" s="250"/>
      <c r="I148" s="347" t="s">
        <v>531</v>
      </c>
      <c r="J148" s="345">
        <v>100</v>
      </c>
      <c r="K148" s="345">
        <v>100</v>
      </c>
      <c r="L148" s="345">
        <v>100</v>
      </c>
      <c r="M148" s="345">
        <v>100</v>
      </c>
      <c r="N148" s="345"/>
      <c r="O148" s="398"/>
      <c r="P148" s="169"/>
      <c r="Q148" s="49" t="s">
        <v>533</v>
      </c>
      <c r="R148" s="50"/>
      <c r="S148" s="50"/>
      <c r="T148" s="50"/>
      <c r="U148" s="50"/>
      <c r="V148" s="50"/>
      <c r="W148" s="50"/>
      <c r="X148" s="169"/>
      <c r="Y148" s="169"/>
      <c r="Z148" s="169"/>
      <c r="AA148" s="169"/>
      <c r="AB148" s="169"/>
      <c r="AC148" s="169"/>
      <c r="AD148" s="169"/>
      <c r="AE148" s="169"/>
      <c r="AF148" s="169"/>
      <c r="AG148" s="169"/>
      <c r="AH148" s="169"/>
      <c r="AI148" s="169"/>
      <c r="AJ148" s="169"/>
      <c r="AK148" s="169"/>
      <c r="AL148" s="169"/>
      <c r="AM148" s="169"/>
      <c r="AN148" s="169"/>
      <c r="AO148" s="169"/>
      <c r="AP148" s="169"/>
      <c r="AQ148" s="169"/>
      <c r="AR148" s="169"/>
      <c r="AS148" s="169"/>
      <c r="AT148" s="285"/>
      <c r="AU148" s="285"/>
      <c r="AV148" s="169"/>
      <c r="AW148" s="169"/>
      <c r="AX148" s="169"/>
      <c r="AY148" s="169"/>
      <c r="AZ148" s="169"/>
      <c r="BA148" s="169"/>
      <c r="BB148" s="169"/>
      <c r="BC148" s="169"/>
    </row>
    <row r="149" spans="1:55">
      <c r="A149" s="169"/>
      <c r="B149" s="169"/>
      <c r="C149" s="169"/>
      <c r="D149" s="335"/>
      <c r="E149" s="250"/>
      <c r="F149" s="250"/>
      <c r="G149" s="250"/>
      <c r="H149" s="250"/>
      <c r="I149" s="327" t="s">
        <v>55</v>
      </c>
      <c r="J149" s="322">
        <f>SUM(J150:J153)</f>
        <v>0.42000000000000004</v>
      </c>
      <c r="K149" s="322">
        <f>SUM(K150:K153)</f>
        <v>0.48000000000000004</v>
      </c>
      <c r="L149" s="322">
        <f>SUM(L150:L153)</f>
        <v>0.46</v>
      </c>
      <c r="M149" s="322">
        <f>SUM(M150:M153)</f>
        <v>0.45800000000000002</v>
      </c>
      <c r="N149" s="322"/>
      <c r="O149" s="397">
        <f t="shared" ref="O149:O156" si="9">(J149+2*K149+2*L149+M149)/6</f>
        <v>0.45966666666666672</v>
      </c>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c r="AQ149" s="169"/>
      <c r="AR149" s="169"/>
      <c r="AS149" s="169"/>
      <c r="AT149" s="169"/>
      <c r="AU149" s="169"/>
      <c r="AV149" s="169"/>
      <c r="AW149" s="169"/>
      <c r="AX149" s="169"/>
      <c r="AY149" s="169"/>
      <c r="AZ149" s="169"/>
      <c r="BA149" s="169"/>
      <c r="BB149" s="169"/>
      <c r="BC149" s="169"/>
    </row>
    <row r="150" spans="1:55">
      <c r="A150" s="169"/>
      <c r="B150" s="169"/>
      <c r="C150" s="169"/>
      <c r="D150" s="335"/>
      <c r="E150" s="250"/>
      <c r="F150" s="250"/>
      <c r="G150" s="250"/>
      <c r="H150" s="250"/>
      <c r="I150" s="289" t="s">
        <v>374</v>
      </c>
      <c r="J150" s="271">
        <f>30/J148</f>
        <v>0.3</v>
      </c>
      <c r="K150" s="271">
        <f>29/K148</f>
        <v>0.28999999999999998</v>
      </c>
      <c r="L150" s="271">
        <f>29/L148</f>
        <v>0.28999999999999998</v>
      </c>
      <c r="M150" s="271">
        <f>29.3/M148</f>
        <v>0.29299999999999998</v>
      </c>
      <c r="N150" s="271"/>
      <c r="O150" s="396">
        <f t="shared" si="9"/>
        <v>0.29216666666666663</v>
      </c>
      <c r="P150" s="169"/>
      <c r="Q150" s="169"/>
      <c r="R150" s="50"/>
      <c r="S150" s="50"/>
      <c r="T150" s="50"/>
      <c r="U150" s="50"/>
      <c r="V150" s="50"/>
      <c r="W150" s="50"/>
      <c r="X150" s="169"/>
      <c r="Y150" s="169"/>
      <c r="Z150" s="169"/>
      <c r="AA150" s="169"/>
      <c r="AB150" s="169"/>
      <c r="AC150" s="169"/>
      <c r="AD150" s="169"/>
      <c r="AE150" s="169"/>
      <c r="AF150" s="169"/>
      <c r="AG150" s="169"/>
      <c r="AH150" s="169"/>
      <c r="AI150" s="169"/>
      <c r="AJ150" s="169"/>
      <c r="AK150" s="169"/>
      <c r="AL150" s="169"/>
      <c r="AM150" s="169"/>
      <c r="AN150" s="169"/>
      <c r="AO150" s="169"/>
      <c r="AP150" s="169"/>
      <c r="AQ150" s="169"/>
      <c r="AR150" s="169"/>
      <c r="AS150" s="169"/>
      <c r="AT150" s="169"/>
      <c r="AU150" s="169"/>
      <c r="AV150" s="169"/>
      <c r="AW150" s="169"/>
      <c r="AX150" s="169"/>
      <c r="AY150" s="169"/>
      <c r="AZ150" s="169"/>
      <c r="BA150" s="169"/>
      <c r="BB150" s="169"/>
      <c r="BC150" s="169"/>
    </row>
    <row r="151" spans="1:55">
      <c r="A151" s="169"/>
      <c r="B151" s="169"/>
      <c r="C151" s="169"/>
      <c r="D151" s="335"/>
      <c r="E151" s="250"/>
      <c r="F151" s="250"/>
      <c r="G151" s="250"/>
      <c r="H151" s="250"/>
      <c r="I151" s="289" t="s">
        <v>375</v>
      </c>
      <c r="J151" s="271">
        <f>10/J148</f>
        <v>0.1</v>
      </c>
      <c r="K151" s="271">
        <f>10/K148</f>
        <v>0.1</v>
      </c>
      <c r="L151" s="271">
        <f>8/L148</f>
        <v>0.08</v>
      </c>
      <c r="M151" s="271">
        <f>7.6/M148</f>
        <v>7.5999999999999998E-2</v>
      </c>
      <c r="N151" s="271"/>
      <c r="O151" s="396">
        <f t="shared" si="9"/>
        <v>8.9333333333333334E-2</v>
      </c>
      <c r="P151" s="169"/>
      <c r="Q151" s="50"/>
      <c r="R151" s="50"/>
      <c r="S151" s="50"/>
      <c r="T151" s="50"/>
      <c r="U151" s="50"/>
      <c r="V151" s="50"/>
      <c r="W151" s="50"/>
      <c r="X151" s="169"/>
      <c r="Y151" s="169"/>
      <c r="Z151" s="169"/>
      <c r="AA151" s="169"/>
      <c r="AB151" s="169"/>
      <c r="AC151" s="169"/>
      <c r="AD151" s="169"/>
      <c r="AE151" s="169"/>
      <c r="AF151" s="169"/>
      <c r="AG151" s="169"/>
      <c r="AH151" s="169"/>
      <c r="AI151" s="169"/>
      <c r="AJ151" s="169"/>
      <c r="AK151" s="169"/>
      <c r="AL151" s="169"/>
      <c r="AM151" s="169"/>
      <c r="AN151" s="169"/>
      <c r="AO151" s="169"/>
      <c r="AP151" s="169"/>
      <c r="AQ151" s="169"/>
      <c r="AR151" s="169"/>
      <c r="AS151" s="169"/>
      <c r="AT151" s="169"/>
      <c r="AU151" s="169"/>
      <c r="AV151" s="169"/>
      <c r="AW151" s="169"/>
      <c r="AX151" s="169"/>
      <c r="AY151" s="169"/>
      <c r="AZ151" s="169"/>
      <c r="BA151" s="169"/>
      <c r="BB151" s="169"/>
      <c r="BC151" s="169"/>
    </row>
    <row r="152" spans="1:55">
      <c r="A152" s="169"/>
      <c r="B152" s="169"/>
      <c r="C152" s="169"/>
      <c r="D152" s="335"/>
      <c r="E152" s="250"/>
      <c r="F152" s="250"/>
      <c r="G152" s="250"/>
      <c r="H152" s="250"/>
      <c r="I152" s="289" t="s">
        <v>377</v>
      </c>
      <c r="J152" s="271"/>
      <c r="K152" s="271">
        <f>7/K148</f>
        <v>7.0000000000000007E-2</v>
      </c>
      <c r="L152" s="271">
        <f>7/L148</f>
        <v>7.0000000000000007E-2</v>
      </c>
      <c r="M152" s="271">
        <f>6.9/M148</f>
        <v>6.9000000000000006E-2</v>
      </c>
      <c r="N152" s="271"/>
      <c r="O152" s="396">
        <f t="shared" si="9"/>
        <v>5.8166666666666672E-2</v>
      </c>
      <c r="P152" s="169"/>
      <c r="Q152" s="50"/>
      <c r="R152" s="50"/>
      <c r="S152" s="50"/>
      <c r="T152" s="50"/>
      <c r="U152" s="50"/>
      <c r="V152" s="50"/>
      <c r="W152" s="50"/>
      <c r="X152" s="169"/>
      <c r="Y152" s="169"/>
      <c r="Z152" s="169"/>
      <c r="AA152" s="169"/>
      <c r="AB152" s="169"/>
      <c r="AC152" s="169"/>
      <c r="AD152" s="169"/>
      <c r="AE152" s="169"/>
      <c r="AF152" s="169"/>
      <c r="AG152" s="169"/>
      <c r="AH152" s="169"/>
      <c r="AI152" s="169"/>
      <c r="AJ152" s="169"/>
      <c r="AK152" s="169"/>
      <c r="AL152" s="169"/>
      <c r="AM152" s="169"/>
      <c r="AN152" s="169"/>
      <c r="AO152" s="169"/>
      <c r="AP152" s="169"/>
      <c r="AQ152" s="169"/>
      <c r="AR152" s="169"/>
      <c r="AS152" s="169"/>
      <c r="AT152" s="169"/>
      <c r="AU152" s="169"/>
      <c r="AV152" s="169"/>
      <c r="AW152" s="169"/>
      <c r="AX152" s="169"/>
      <c r="AY152" s="169"/>
      <c r="AZ152" s="169"/>
      <c r="BA152" s="169"/>
      <c r="BB152" s="169"/>
      <c r="BC152" s="169"/>
    </row>
    <row r="153" spans="1:55">
      <c r="A153" s="169"/>
      <c r="B153" s="169"/>
      <c r="C153" s="169"/>
      <c r="D153" s="335"/>
      <c r="E153" s="250"/>
      <c r="F153" s="250"/>
      <c r="G153" s="250"/>
      <c r="H153" s="250"/>
      <c r="I153" s="289" t="s">
        <v>376</v>
      </c>
      <c r="J153" s="271">
        <f>2/J148</f>
        <v>0.02</v>
      </c>
      <c r="K153" s="271">
        <f>2/K148</f>
        <v>0.02</v>
      </c>
      <c r="L153" s="271">
        <f>2/L148</f>
        <v>0.02</v>
      </c>
      <c r="M153" s="271">
        <f>2/M148</f>
        <v>0.02</v>
      </c>
      <c r="N153" s="271"/>
      <c r="O153" s="396">
        <f t="shared" si="9"/>
        <v>0.02</v>
      </c>
      <c r="P153" s="169"/>
      <c r="Q153" s="50"/>
      <c r="R153" s="50"/>
      <c r="S153" s="50"/>
      <c r="T153" s="50"/>
      <c r="U153" s="50"/>
      <c r="V153" s="50"/>
      <c r="W153" s="50"/>
      <c r="X153" s="169"/>
      <c r="Y153" s="169"/>
      <c r="Z153" s="169"/>
      <c r="AA153" s="169"/>
      <c r="AB153" s="169"/>
      <c r="AC153" s="169"/>
      <c r="AD153" s="169"/>
      <c r="AE153" s="169"/>
      <c r="AF153" s="169"/>
      <c r="AG153" s="169"/>
      <c r="AH153" s="169"/>
      <c r="AI153" s="169"/>
      <c r="AJ153" s="169"/>
      <c r="AK153" s="169"/>
      <c r="AL153" s="169"/>
      <c r="AM153" s="169"/>
      <c r="AN153" s="169"/>
      <c r="AO153" s="169"/>
      <c r="AP153" s="169"/>
      <c r="AQ153" s="169"/>
      <c r="AR153" s="169"/>
      <c r="AS153" s="169"/>
      <c r="AT153" s="169"/>
      <c r="AU153" s="169"/>
      <c r="AV153" s="169"/>
      <c r="AW153" s="169"/>
      <c r="AX153" s="169"/>
      <c r="AY153" s="169"/>
      <c r="AZ153" s="169"/>
      <c r="BA153" s="169"/>
      <c r="BB153" s="169"/>
      <c r="BC153" s="169"/>
    </row>
    <row r="154" spans="1:55">
      <c r="A154" s="169"/>
      <c r="B154" s="169"/>
      <c r="C154" s="169"/>
      <c r="D154" s="335"/>
      <c r="E154" s="250"/>
      <c r="F154" s="250"/>
      <c r="G154" s="250"/>
      <c r="H154" s="250"/>
      <c r="I154" s="330" t="s">
        <v>368</v>
      </c>
      <c r="J154" s="328">
        <f>J155+J156</f>
        <v>0.48</v>
      </c>
      <c r="K154" s="328">
        <f>K155+K156</f>
        <v>0.45</v>
      </c>
      <c r="L154" s="328">
        <f>L155+L156</f>
        <v>0.46</v>
      </c>
      <c r="M154" s="328">
        <f>M155+M156</f>
        <v>0.47099999999999997</v>
      </c>
      <c r="N154" s="328"/>
      <c r="O154" s="397">
        <f t="shared" si="9"/>
        <v>0.46183333333333332</v>
      </c>
      <c r="P154" s="169"/>
      <c r="Q154" s="50"/>
      <c r="R154" s="50"/>
      <c r="S154" s="50"/>
      <c r="T154" s="50"/>
      <c r="U154" s="50"/>
      <c r="V154" s="50"/>
      <c r="W154" s="50"/>
      <c r="X154" s="169"/>
      <c r="Y154" s="169"/>
      <c r="Z154" s="169"/>
      <c r="AA154" s="169"/>
      <c r="AB154" s="169"/>
      <c r="AC154" s="169"/>
      <c r="AD154" s="169"/>
      <c r="AE154" s="169"/>
      <c r="AF154" s="169"/>
      <c r="AG154" s="169"/>
      <c r="AH154" s="169"/>
      <c r="AI154" s="169"/>
      <c r="AJ154" s="169"/>
      <c r="AK154" s="169"/>
      <c r="AL154" s="169"/>
      <c r="AM154" s="169"/>
      <c r="AN154" s="169"/>
      <c r="AO154" s="169"/>
      <c r="AP154" s="169"/>
      <c r="AQ154" s="169"/>
      <c r="AR154" s="169"/>
      <c r="AS154" s="169"/>
      <c r="AT154" s="169"/>
      <c r="AU154" s="169"/>
      <c r="AV154" s="169"/>
      <c r="AW154" s="169"/>
      <c r="AX154" s="169"/>
      <c r="AY154" s="169"/>
      <c r="AZ154" s="169"/>
      <c r="BA154" s="169"/>
      <c r="BB154" s="169"/>
      <c r="BC154" s="169"/>
    </row>
    <row r="155" spans="1:55">
      <c r="A155" s="169"/>
      <c r="B155" s="169"/>
      <c r="C155" s="169"/>
      <c r="D155" s="335"/>
      <c r="E155" s="250"/>
      <c r="F155" s="250"/>
      <c r="G155" s="250"/>
      <c r="H155" s="250"/>
      <c r="I155" s="331" t="s">
        <v>374</v>
      </c>
      <c r="J155" s="271">
        <f>35/J148</f>
        <v>0.35</v>
      </c>
      <c r="K155" s="271">
        <f>33/K148</f>
        <v>0.33</v>
      </c>
      <c r="L155" s="271">
        <f>34/L148</f>
        <v>0.34</v>
      </c>
      <c r="M155" s="271">
        <f>35.4/M148</f>
        <v>0.35399999999999998</v>
      </c>
      <c r="N155" s="271"/>
      <c r="O155" s="396">
        <f t="shared" si="9"/>
        <v>0.34066666666666667</v>
      </c>
      <c r="P155" s="169"/>
      <c r="Q155" s="50"/>
      <c r="R155" s="50"/>
      <c r="S155" s="50"/>
      <c r="T155" s="50"/>
      <c r="U155" s="50"/>
      <c r="V155" s="50"/>
      <c r="W155" s="50"/>
      <c r="X155" s="169"/>
      <c r="Y155" s="169"/>
      <c r="Z155" s="169"/>
      <c r="AA155" s="169"/>
      <c r="AB155" s="169"/>
      <c r="AC155" s="169"/>
      <c r="AD155" s="169"/>
      <c r="AE155" s="169"/>
      <c r="AF155" s="169"/>
      <c r="AG155" s="169"/>
      <c r="AH155" s="169"/>
      <c r="AI155" s="169"/>
      <c r="AJ155" s="169"/>
      <c r="AK155" s="169"/>
      <c r="AL155" s="169"/>
      <c r="AM155" s="169"/>
      <c r="AN155" s="169"/>
      <c r="AO155" s="169"/>
      <c r="AP155" s="169"/>
      <c r="AQ155" s="169"/>
      <c r="AR155" s="169"/>
      <c r="AS155" s="169"/>
      <c r="AT155" s="169"/>
      <c r="AU155" s="169"/>
      <c r="AV155" s="169"/>
      <c r="AW155" s="169"/>
      <c r="AX155" s="169"/>
      <c r="AY155" s="169"/>
      <c r="AZ155" s="169"/>
      <c r="BA155" s="169"/>
      <c r="BB155" s="169"/>
      <c r="BC155" s="169"/>
    </row>
    <row r="156" spans="1:55">
      <c r="A156" s="169"/>
      <c r="B156" s="169"/>
      <c r="C156" s="169"/>
      <c r="D156" s="335"/>
      <c r="E156" s="250"/>
      <c r="F156" s="250"/>
      <c r="G156" s="250"/>
      <c r="H156" s="250"/>
      <c r="I156" s="289" t="s">
        <v>375</v>
      </c>
      <c r="J156" s="271">
        <f>13/J148</f>
        <v>0.13</v>
      </c>
      <c r="K156" s="271">
        <f>12/K148</f>
        <v>0.12</v>
      </c>
      <c r="L156" s="271">
        <f>12/L148</f>
        <v>0.12</v>
      </c>
      <c r="M156" s="271">
        <f>11.7/M148</f>
        <v>0.11699999999999999</v>
      </c>
      <c r="N156" s="271"/>
      <c r="O156" s="396">
        <f t="shared" si="9"/>
        <v>0.12116666666666666</v>
      </c>
      <c r="P156" s="169"/>
      <c r="Q156" s="50"/>
      <c r="R156" s="50"/>
      <c r="S156" s="50"/>
      <c r="T156" s="50"/>
      <c r="U156" s="50"/>
      <c r="V156" s="50"/>
      <c r="W156" s="50"/>
      <c r="X156" s="169"/>
      <c r="Y156" s="169"/>
      <c r="Z156" s="169"/>
      <c r="AA156" s="169"/>
      <c r="AB156" s="169"/>
      <c r="AC156" s="169"/>
      <c r="AD156" s="169"/>
      <c r="AE156" s="169"/>
      <c r="AF156" s="169"/>
      <c r="AG156" s="169"/>
      <c r="AH156" s="169"/>
      <c r="AI156" s="169"/>
      <c r="AJ156" s="169"/>
      <c r="AK156" s="169"/>
      <c r="AL156" s="169"/>
      <c r="AM156" s="169"/>
      <c r="AN156" s="169"/>
      <c r="AO156" s="169"/>
      <c r="AP156" s="169"/>
      <c r="AQ156" s="169"/>
      <c r="AR156" s="169"/>
      <c r="AS156" s="169"/>
      <c r="AT156" s="169"/>
      <c r="AU156" s="169"/>
      <c r="AV156" s="169"/>
      <c r="AW156" s="169"/>
      <c r="AX156" s="169"/>
      <c r="AY156" s="169"/>
      <c r="AZ156" s="169"/>
      <c r="BA156" s="169"/>
      <c r="BB156" s="169"/>
      <c r="BC156" s="169"/>
    </row>
    <row r="157" spans="1:55" ht="13.9" customHeight="1">
      <c r="A157" s="169"/>
      <c r="B157" s="169"/>
      <c r="C157" s="169"/>
      <c r="D157" s="335"/>
      <c r="E157" s="250"/>
      <c r="F157" s="250"/>
      <c r="G157" s="250"/>
      <c r="H157" s="250"/>
      <c r="I157" s="169"/>
      <c r="J157" s="250"/>
      <c r="K157" s="259"/>
      <c r="L157" s="259"/>
      <c r="M157" s="169"/>
      <c r="N157" s="346" t="s">
        <v>381</v>
      </c>
      <c r="O157" s="397">
        <f>O155+O150</f>
        <v>0.63283333333333336</v>
      </c>
      <c r="P157" s="169"/>
      <c r="Q157" s="50"/>
      <c r="R157" s="50"/>
      <c r="S157" s="50"/>
      <c r="T157" s="50"/>
      <c r="U157" s="50"/>
      <c r="V157" s="50"/>
      <c r="W157" s="50"/>
      <c r="X157" s="169"/>
      <c r="Y157" s="169"/>
      <c r="Z157" s="169"/>
      <c r="AA157" s="169"/>
      <c r="AB157" s="169"/>
      <c r="AC157" s="169"/>
      <c r="AD157" s="169"/>
      <c r="AE157" s="169"/>
      <c r="AF157" s="169"/>
      <c r="AG157" s="169"/>
      <c r="AH157" s="169"/>
      <c r="AI157" s="169"/>
      <c r="AJ157" s="169"/>
      <c r="AK157" s="169"/>
      <c r="AL157" s="169"/>
      <c r="AM157" s="169"/>
      <c r="AN157" s="169"/>
      <c r="AO157" s="169"/>
      <c r="AP157" s="169"/>
      <c r="AQ157" s="169"/>
      <c r="AR157" s="169"/>
      <c r="AS157" s="169"/>
      <c r="AT157" s="169"/>
      <c r="AU157" s="169"/>
      <c r="AV157" s="169"/>
      <c r="AW157" s="169"/>
      <c r="AX157" s="169"/>
      <c r="AY157" s="169"/>
      <c r="AZ157" s="169"/>
      <c r="BA157" s="169"/>
      <c r="BB157" s="169"/>
      <c r="BC157" s="169"/>
    </row>
    <row r="158" spans="1:55">
      <c r="A158" s="169"/>
      <c r="B158" s="169"/>
      <c r="C158" s="169"/>
      <c r="D158" s="335"/>
      <c r="E158" s="250"/>
      <c r="F158" s="250"/>
      <c r="G158" s="250"/>
      <c r="H158" s="250"/>
      <c r="I158" s="59"/>
      <c r="J158" s="259"/>
      <c r="K158" s="259"/>
      <c r="L158" s="259"/>
      <c r="M158" s="259"/>
      <c r="N158" s="259"/>
      <c r="O158" s="49"/>
      <c r="P158" s="60"/>
      <c r="Q158" s="50"/>
      <c r="R158" s="50"/>
      <c r="S158" s="50"/>
      <c r="T158" s="50"/>
      <c r="U158" s="50"/>
      <c r="V158" s="50"/>
      <c r="W158" s="50"/>
      <c r="X158" s="169"/>
      <c r="Y158" s="169"/>
      <c r="Z158" s="169"/>
      <c r="AA158" s="169"/>
      <c r="AB158" s="169"/>
      <c r="AC158" s="169"/>
      <c r="AD158" s="169"/>
      <c r="AE158" s="169"/>
      <c r="AF158" s="169"/>
      <c r="AG158" s="169"/>
      <c r="AH158" s="169"/>
      <c r="AI158" s="169"/>
      <c r="AJ158" s="169"/>
      <c r="AK158" s="169"/>
      <c r="AL158" s="169"/>
      <c r="AM158" s="169"/>
      <c r="AN158" s="169"/>
      <c r="AO158" s="169"/>
      <c r="AP158" s="169"/>
      <c r="AQ158" s="169"/>
      <c r="AR158" s="169"/>
      <c r="AS158" s="169"/>
      <c r="AT158" s="169"/>
      <c r="AU158" s="169"/>
      <c r="AV158" s="169"/>
      <c r="AW158" s="169"/>
      <c r="AX158" s="169"/>
      <c r="AY158" s="169"/>
      <c r="AZ158" s="169"/>
      <c r="BA158" s="169"/>
      <c r="BB158" s="169"/>
      <c r="BC158" s="169"/>
    </row>
    <row r="159" spans="1:55">
      <c r="A159" s="55" t="s">
        <v>45</v>
      </c>
      <c r="B159" s="177" t="s">
        <v>366</v>
      </c>
      <c r="C159" s="168" t="s">
        <v>188</v>
      </c>
      <c r="D159" s="1874"/>
      <c r="E159" s="315">
        <v>46.099290780141843</v>
      </c>
      <c r="F159" s="315">
        <v>40.193301116480583</v>
      </c>
      <c r="G159" s="315">
        <v>16.721263384344596</v>
      </c>
      <c r="H159" s="315">
        <v>12.95</v>
      </c>
      <c r="I159" s="825" t="s">
        <v>369</v>
      </c>
      <c r="J159" s="253"/>
      <c r="K159" s="267"/>
      <c r="L159" s="267"/>
      <c r="M159" s="275"/>
      <c r="N159" s="275"/>
      <c r="O159" s="61"/>
      <c r="P159" s="62"/>
      <c r="Q159" s="47" t="s">
        <v>890</v>
      </c>
      <c r="R159" s="168"/>
      <c r="S159" s="168"/>
      <c r="T159" s="168"/>
      <c r="U159" s="168"/>
      <c r="V159" s="168"/>
      <c r="W159" s="183" t="s">
        <v>584</v>
      </c>
      <c r="X159" s="168"/>
      <c r="Y159" s="168"/>
      <c r="Z159" s="168"/>
      <c r="AA159" s="168"/>
      <c r="AB159" s="168"/>
      <c r="AC159" s="168"/>
      <c r="AD159" s="168"/>
      <c r="AE159" s="168"/>
      <c r="AF159" s="168"/>
      <c r="AG159" s="168"/>
      <c r="AH159" s="168"/>
      <c r="AI159" s="168"/>
      <c r="AJ159" s="168"/>
      <c r="AK159" s="168"/>
      <c r="AL159" s="48"/>
      <c r="AM159" s="48"/>
      <c r="AN159" s="48"/>
      <c r="AO159" s="48"/>
      <c r="AP159" s="48"/>
      <c r="AQ159" s="48"/>
      <c r="AR159" s="168"/>
      <c r="AS159" s="168"/>
      <c r="AT159" s="168"/>
      <c r="AU159" s="168"/>
      <c r="AV159" s="168"/>
      <c r="AW159" s="168"/>
      <c r="AX159" s="168"/>
      <c r="AY159" s="168"/>
      <c r="AZ159" s="168"/>
      <c r="BA159" s="168"/>
      <c r="BB159" s="168"/>
      <c r="BC159" s="168"/>
    </row>
    <row r="160" spans="1:55">
      <c r="A160" s="169"/>
      <c r="B160" s="169"/>
      <c r="C160" s="169" t="s">
        <v>189</v>
      </c>
      <c r="D160" s="335"/>
      <c r="E160" s="316">
        <v>13.578226344183792</v>
      </c>
      <c r="F160" s="316">
        <v>16.363939343442759</v>
      </c>
      <c r="G160" s="317" t="s">
        <v>136</v>
      </c>
      <c r="H160" s="317" t="s">
        <v>136</v>
      </c>
      <c r="I160" s="343" t="s">
        <v>190</v>
      </c>
      <c r="J160" s="373"/>
      <c r="K160" s="374">
        <f>E159/100*$AL$169</f>
        <v>0.18938491777091332</v>
      </c>
      <c r="L160" s="374">
        <f>F159/100*$AL$169</f>
        <v>0.16512195519860909</v>
      </c>
      <c r="M160" s="374">
        <f>G159/100*$AL$169</f>
        <v>6.8694225821669813E-2</v>
      </c>
      <c r="N160" s="374">
        <v>0</v>
      </c>
      <c r="O160" s="314"/>
      <c r="P160" s="50"/>
      <c r="Q160" s="1324" t="s">
        <v>366</v>
      </c>
      <c r="R160" s="1325"/>
      <c r="S160" s="1325"/>
      <c r="T160" s="1325">
        <v>2011</v>
      </c>
      <c r="U160" s="1325">
        <v>2010</v>
      </c>
      <c r="V160" s="169"/>
      <c r="W160" s="181" t="s">
        <v>191</v>
      </c>
      <c r="X160" s="169"/>
      <c r="Y160" s="169"/>
      <c r="Z160" s="169"/>
      <c r="AA160" s="169"/>
      <c r="AB160" s="169"/>
      <c r="AC160" s="169"/>
      <c r="AD160" s="169"/>
      <c r="AE160" s="169"/>
      <c r="AF160" s="169"/>
      <c r="AG160" s="169"/>
      <c r="AH160" s="169"/>
      <c r="AI160" s="169"/>
      <c r="AJ160" s="169"/>
      <c r="AK160" s="169"/>
      <c r="AL160" s="50"/>
      <c r="AM160" s="50"/>
      <c r="AN160" s="50"/>
      <c r="AO160" s="50"/>
      <c r="AP160" s="50"/>
      <c r="AQ160" s="50"/>
      <c r="AR160" s="169"/>
      <c r="AS160" s="169"/>
      <c r="AT160" s="169"/>
      <c r="AU160" s="169"/>
      <c r="AV160" s="169"/>
      <c r="AW160" s="169"/>
      <c r="AX160" s="169"/>
      <c r="AY160" s="169"/>
      <c r="AZ160" s="169"/>
      <c r="BA160" s="169"/>
      <c r="BB160" s="169"/>
      <c r="BC160" s="169"/>
    </row>
    <row r="161" spans="1:55">
      <c r="A161" s="169"/>
      <c r="B161" s="169"/>
      <c r="C161" s="169" t="s">
        <v>192</v>
      </c>
      <c r="D161" s="335"/>
      <c r="E161" s="316">
        <v>12.972055525247015</v>
      </c>
      <c r="F161" s="316">
        <v>11.598066988835194</v>
      </c>
      <c r="G161" s="317" t="s">
        <v>136</v>
      </c>
      <c r="H161" s="317" t="s">
        <v>136</v>
      </c>
      <c r="I161" s="180" t="s">
        <v>27</v>
      </c>
      <c r="J161" s="250"/>
      <c r="K161" s="264">
        <f>(E160+E162+E163+E164)/100*$U$167</f>
        <v>0.17123573496223154</v>
      </c>
      <c r="L161" s="264">
        <f>T162*$U$167</f>
        <v>0.19681988438274309</v>
      </c>
      <c r="M161" s="264">
        <f>(G162+G166+G165)/100*U167</f>
        <v>0.34839259190857658</v>
      </c>
      <c r="N161" s="264">
        <f>H166/100</f>
        <v>0.38060000000000005</v>
      </c>
      <c r="O161" s="314"/>
      <c r="P161" s="50"/>
      <c r="Q161" s="353" t="s">
        <v>190</v>
      </c>
      <c r="R161" s="353"/>
      <c r="S161" s="353"/>
      <c r="T161" s="354">
        <v>0.39241556582286713</v>
      </c>
      <c r="U161" s="354">
        <v>0</v>
      </c>
      <c r="V161" s="169"/>
      <c r="W161" s="181" t="s">
        <v>193</v>
      </c>
      <c r="X161" s="169"/>
      <c r="Y161" s="169"/>
      <c r="Z161" s="169"/>
      <c r="AA161" s="169"/>
      <c r="AB161" s="169"/>
      <c r="AC161" s="169"/>
      <c r="AD161" s="169"/>
      <c r="AE161" s="169"/>
      <c r="AF161" s="169"/>
      <c r="AG161" s="169"/>
      <c r="AH161" s="169"/>
      <c r="AI161" s="169"/>
      <c r="AJ161" s="169"/>
      <c r="AK161" s="169"/>
      <c r="AL161" s="50"/>
      <c r="AM161" s="50"/>
      <c r="AN161" s="50"/>
      <c r="AO161" s="50"/>
      <c r="AP161" s="50"/>
      <c r="AQ161" s="50"/>
      <c r="AR161" s="169"/>
      <c r="AS161" s="169"/>
      <c r="AT161" s="169"/>
      <c r="AU161" s="169"/>
      <c r="AV161" s="169"/>
      <c r="AW161" s="169"/>
      <c r="AX161" s="169"/>
      <c r="AY161" s="169"/>
      <c r="AZ161" s="169"/>
      <c r="BA161" s="169"/>
      <c r="BB161" s="169"/>
      <c r="BC161" s="169"/>
    </row>
    <row r="162" spans="1:55">
      <c r="A162" s="169"/>
      <c r="B162" s="169"/>
      <c r="C162" s="51" t="s">
        <v>172</v>
      </c>
      <c r="D162" s="1870"/>
      <c r="E162" s="316">
        <v>10.789840577074619</v>
      </c>
      <c r="F162" s="317" t="s">
        <v>136</v>
      </c>
      <c r="G162" s="316">
        <v>52.39655144314608</v>
      </c>
      <c r="H162" s="316">
        <v>48.99</v>
      </c>
      <c r="I162" s="180" t="s">
        <v>153</v>
      </c>
      <c r="J162" s="250"/>
      <c r="K162" s="264">
        <f>E161/(100-E164)*$AE$169</f>
        <v>0.11056217507830411</v>
      </c>
      <c r="L162" s="264">
        <f>T163*$AE$169</f>
        <v>0.10967657968373788</v>
      </c>
      <c r="M162" s="264">
        <f>G159/100*$AE$169</f>
        <v>0.13377010707475676</v>
      </c>
      <c r="N162" s="264">
        <f>H159/100</f>
        <v>0.1295</v>
      </c>
      <c r="O162" s="314"/>
      <c r="P162" s="50"/>
      <c r="Q162" s="50" t="s">
        <v>27</v>
      </c>
      <c r="R162" s="50"/>
      <c r="S162" s="50"/>
      <c r="T162" s="57">
        <v>0.47047244094488189</v>
      </c>
      <c r="U162" s="57">
        <v>0.83490994602105717</v>
      </c>
      <c r="V162" s="169"/>
      <c r="W162" s="181" t="s">
        <v>194</v>
      </c>
      <c r="X162" s="169"/>
      <c r="Y162" s="169"/>
      <c r="Z162" s="169"/>
      <c r="AA162" s="169"/>
      <c r="AB162" s="169"/>
      <c r="AC162" s="169"/>
      <c r="AD162" s="169"/>
      <c r="AE162" s="169"/>
      <c r="AF162" s="169"/>
      <c r="AG162" s="169"/>
      <c r="AH162" s="169"/>
      <c r="AI162" s="169"/>
      <c r="AJ162" s="169"/>
      <c r="AK162" s="50" t="s">
        <v>383</v>
      </c>
      <c r="AL162" s="50" t="s">
        <v>363</v>
      </c>
      <c r="AM162" s="182" t="s">
        <v>195</v>
      </c>
      <c r="AN162" s="169"/>
      <c r="AO162" s="50"/>
      <c r="AP162" s="50"/>
      <c r="AQ162" s="50"/>
      <c r="AR162" s="49"/>
      <c r="AS162" s="169"/>
      <c r="AT162" s="169"/>
      <c r="AU162" s="169"/>
      <c r="AV162" s="169"/>
      <c r="AW162" s="169"/>
      <c r="AX162" s="169"/>
      <c r="AY162" s="169"/>
      <c r="AZ162" s="169"/>
      <c r="BA162" s="169"/>
      <c r="BB162" s="169"/>
      <c r="BC162" s="169"/>
    </row>
    <row r="163" spans="1:55">
      <c r="A163" s="169"/>
      <c r="B163" s="169"/>
      <c r="C163" s="169" t="s">
        <v>196</v>
      </c>
      <c r="D163" s="335"/>
      <c r="E163" s="316">
        <v>10.426138085712553</v>
      </c>
      <c r="F163" s="316">
        <v>12.814530911514749</v>
      </c>
      <c r="G163" s="317" t="s">
        <v>136</v>
      </c>
      <c r="H163" s="317" t="s">
        <v>136</v>
      </c>
      <c r="I163" s="813" t="s">
        <v>369</v>
      </c>
      <c r="J163" s="827"/>
      <c r="K163" s="739">
        <f>SUM(K160:K162)</f>
        <v>0.47118282781144899</v>
      </c>
      <c r="L163" s="739">
        <f>SUM(L160:L162)</f>
        <v>0.47161841926509007</v>
      </c>
      <c r="M163" s="739">
        <f>SUM(M160:M162)</f>
        <v>0.55085692480500315</v>
      </c>
      <c r="N163" s="739">
        <f>SUM(N160:N162)</f>
        <v>0.5101</v>
      </c>
      <c r="O163" s="314"/>
      <c r="P163" s="50"/>
      <c r="Q163" s="50" t="s">
        <v>153</v>
      </c>
      <c r="R163" s="50"/>
      <c r="S163" s="50"/>
      <c r="T163" s="57">
        <v>0.13709572460467234</v>
      </c>
      <c r="U163" s="57">
        <v>0.16506333172999843</v>
      </c>
      <c r="V163" s="169"/>
      <c r="W163" s="63" t="s">
        <v>893</v>
      </c>
      <c r="X163" s="169"/>
      <c r="Y163" s="169"/>
      <c r="Z163" s="169"/>
      <c r="AA163" s="169"/>
      <c r="AB163" s="169"/>
      <c r="AC163" s="169"/>
      <c r="AD163" s="169"/>
      <c r="AE163" s="169"/>
      <c r="AF163" s="169"/>
      <c r="AG163" s="169"/>
      <c r="AH163" s="169"/>
      <c r="AI163" s="169"/>
      <c r="AJ163" s="169"/>
      <c r="AK163" s="353" t="s">
        <v>197</v>
      </c>
      <c r="AL163" s="353">
        <v>5133</v>
      </c>
      <c r="AM163" s="182" t="s">
        <v>384</v>
      </c>
      <c r="AN163" s="169"/>
      <c r="AO163" s="50"/>
      <c r="AP163" s="50"/>
      <c r="AQ163" s="50"/>
      <c r="AR163" s="169"/>
      <c r="AS163" s="169"/>
      <c r="AT163" s="169"/>
      <c r="AU163" s="169"/>
      <c r="AV163" s="169"/>
      <c r="AW163" s="169"/>
      <c r="AX163" s="169"/>
      <c r="AY163" s="169"/>
      <c r="AZ163" s="169"/>
      <c r="BA163" s="169"/>
      <c r="BB163" s="169"/>
      <c r="BC163" s="169"/>
    </row>
    <row r="164" spans="1:55">
      <c r="A164" s="169"/>
      <c r="B164" s="169"/>
      <c r="C164" s="169" t="s">
        <v>198</v>
      </c>
      <c r="D164" s="335"/>
      <c r="E164" s="316">
        <v>6.1374795417348613</v>
      </c>
      <c r="F164" s="316">
        <v>7.6487252124645897</v>
      </c>
      <c r="G164" s="317" t="s">
        <v>136</v>
      </c>
      <c r="H164" s="317" t="s">
        <v>136</v>
      </c>
      <c r="I164" s="49"/>
      <c r="J164" s="259"/>
      <c r="K164" s="259"/>
      <c r="L164" s="259"/>
      <c r="M164" s="276"/>
      <c r="N164" s="276"/>
      <c r="O164" s="314"/>
      <c r="P164" s="50"/>
      <c r="Q164" s="332" t="s">
        <v>1151</v>
      </c>
      <c r="R164" s="332"/>
      <c r="S164" s="332"/>
      <c r="T164" s="771">
        <f>1-T162</f>
        <v>0.52952755905511806</v>
      </c>
      <c r="U164" s="771">
        <f>1-U162</f>
        <v>0.16509005397894283</v>
      </c>
      <c r="V164" s="169"/>
      <c r="W164" s="63" t="s">
        <v>199</v>
      </c>
      <c r="X164" s="169"/>
      <c r="Y164" s="169"/>
      <c r="Z164" s="169"/>
      <c r="AA164" s="169"/>
      <c r="AB164" s="169"/>
      <c r="AC164" s="169"/>
      <c r="AD164" s="169"/>
      <c r="AE164" s="169"/>
      <c r="AF164" s="169"/>
      <c r="AG164" s="169"/>
      <c r="AH164" s="169"/>
      <c r="AI164" s="169"/>
      <c r="AJ164" s="169"/>
      <c r="AK164" s="50" t="s">
        <v>200</v>
      </c>
      <c r="AL164" s="50">
        <v>4571</v>
      </c>
      <c r="AM164" s="182" t="s">
        <v>201</v>
      </c>
      <c r="AN164" s="169"/>
      <c r="AO164" s="50"/>
      <c r="AP164" s="50"/>
      <c r="AQ164" s="50"/>
      <c r="AR164" s="169"/>
      <c r="AS164" s="169"/>
      <c r="AT164" s="169"/>
      <c r="AU164" s="169"/>
      <c r="AV164" s="169"/>
      <c r="AW164" s="169"/>
      <c r="AX164" s="169"/>
      <c r="AY164" s="169"/>
      <c r="AZ164" s="169"/>
      <c r="BA164" s="169"/>
      <c r="BB164" s="169"/>
      <c r="BC164" s="169"/>
    </row>
    <row r="165" spans="1:55">
      <c r="A165" s="169"/>
      <c r="B165" s="169"/>
      <c r="C165" s="169" t="s">
        <v>202</v>
      </c>
      <c r="D165" s="335"/>
      <c r="E165" s="316">
        <v>-3.0308540946838822E-3</v>
      </c>
      <c r="F165" s="316">
        <v>0</v>
      </c>
      <c r="G165" s="316">
        <v>-6.8031312983153791</v>
      </c>
      <c r="H165" s="316"/>
      <c r="I165" s="180"/>
      <c r="J165" s="250"/>
      <c r="K165" s="265"/>
      <c r="L165" s="250"/>
      <c r="M165" s="250"/>
      <c r="N165" s="264"/>
      <c r="O165" s="314"/>
      <c r="P165" s="50"/>
      <c r="Q165" s="169"/>
      <c r="R165" s="169"/>
      <c r="S165" s="169"/>
      <c r="T165" s="169"/>
      <c r="U165" s="169"/>
      <c r="V165" s="169"/>
      <c r="W165" s="63" t="s">
        <v>203</v>
      </c>
      <c r="X165" s="169"/>
      <c r="Y165" s="169"/>
      <c r="Z165" s="169"/>
      <c r="AA165" s="169"/>
      <c r="AB165" s="169"/>
      <c r="AC165" s="169"/>
      <c r="AD165" s="169"/>
      <c r="AE165" s="169"/>
      <c r="AF165" s="169"/>
      <c r="AG165" s="169"/>
      <c r="AH165" s="169"/>
      <c r="AI165" s="169"/>
      <c r="AJ165" s="169"/>
      <c r="AK165" s="50" t="s">
        <v>204</v>
      </c>
      <c r="AL165" s="50">
        <v>4232</v>
      </c>
      <c r="AM165" s="182" t="s">
        <v>205</v>
      </c>
      <c r="AN165" s="169"/>
      <c r="AO165" s="50"/>
      <c r="AP165" s="50"/>
      <c r="AQ165" s="50"/>
      <c r="AR165" s="169"/>
      <c r="AS165" s="169"/>
      <c r="AT165" s="169"/>
      <c r="AU165" s="169"/>
      <c r="AV165" s="169"/>
      <c r="AW165" s="169"/>
      <c r="AX165" s="169"/>
      <c r="AY165" s="169"/>
      <c r="AZ165" s="169"/>
      <c r="BA165" s="169"/>
      <c r="BB165" s="169"/>
      <c r="BC165" s="169"/>
    </row>
    <row r="166" spans="1:55">
      <c r="A166" s="169"/>
      <c r="B166" s="169"/>
      <c r="C166" s="169" t="s">
        <v>206</v>
      </c>
      <c r="D166" s="335"/>
      <c r="E166" s="317" t="s">
        <v>136</v>
      </c>
      <c r="F166" s="317" t="s">
        <v>136</v>
      </c>
      <c r="G166" s="316">
        <v>37.685316470824716</v>
      </c>
      <c r="H166" s="316">
        <v>38.06</v>
      </c>
      <c r="I166" s="49"/>
      <c r="J166" s="250"/>
      <c r="K166" s="259"/>
      <c r="L166" s="250"/>
      <c r="M166" s="250"/>
      <c r="N166" s="250"/>
      <c r="O166" s="314"/>
      <c r="P166" s="50"/>
      <c r="Q166" s="49" t="s">
        <v>55</v>
      </c>
      <c r="R166" s="49"/>
      <c r="S166" s="49"/>
      <c r="T166" s="49"/>
      <c r="U166" s="49">
        <v>2010</v>
      </c>
      <c r="V166" s="169"/>
      <c r="W166" s="63" t="s">
        <v>207</v>
      </c>
      <c r="X166" s="169"/>
      <c r="Y166" s="169"/>
      <c r="Z166" s="169"/>
      <c r="AA166" s="169"/>
      <c r="AB166" s="169"/>
      <c r="AC166" s="169"/>
      <c r="AD166" s="169"/>
      <c r="AE166" s="169"/>
      <c r="AF166" s="169"/>
      <c r="AG166" s="169"/>
      <c r="AH166" s="169"/>
      <c r="AI166" s="169"/>
      <c r="AJ166" s="169"/>
      <c r="AK166" s="353" t="s">
        <v>137</v>
      </c>
      <c r="AL166" s="353">
        <f>SUM(AL163:AL165)</f>
        <v>13936</v>
      </c>
      <c r="AM166" s="182" t="s">
        <v>889</v>
      </c>
      <c r="AN166" s="49"/>
      <c r="AO166" s="50"/>
      <c r="AP166" s="50"/>
      <c r="AQ166" s="50"/>
      <c r="AR166" s="169"/>
      <c r="AS166" s="169"/>
      <c r="AT166" s="169"/>
      <c r="AU166" s="169"/>
      <c r="AV166" s="169"/>
      <c r="AW166" s="169"/>
      <c r="AX166" s="169"/>
      <c r="AY166" s="169"/>
      <c r="AZ166" s="169"/>
      <c r="BA166" s="169"/>
      <c r="BB166" s="169"/>
      <c r="BC166" s="169"/>
    </row>
    <row r="167" spans="1:55">
      <c r="A167" s="169"/>
      <c r="B167" s="169"/>
      <c r="C167" s="169" t="s">
        <v>208</v>
      </c>
      <c r="D167" s="335"/>
      <c r="E167" s="317" t="s">
        <v>136</v>
      </c>
      <c r="F167" s="316">
        <v>11.381436427262123</v>
      </c>
      <c r="G167" s="317" t="s">
        <v>136</v>
      </c>
      <c r="H167" s="317" t="s">
        <v>136</v>
      </c>
      <c r="I167" s="58"/>
      <c r="J167" s="250"/>
      <c r="K167" s="265"/>
      <c r="L167" s="250"/>
      <c r="M167" s="250"/>
      <c r="N167" s="250"/>
      <c r="O167" s="314"/>
      <c r="P167" s="50"/>
      <c r="Q167" s="332" t="s">
        <v>389</v>
      </c>
      <c r="R167" s="332"/>
      <c r="S167" s="332"/>
      <c r="T167" s="332"/>
      <c r="U167" s="355">
        <f>G166/(G166+G162)</f>
        <v>0.41834519358340372</v>
      </c>
      <c r="V167" s="169"/>
      <c r="W167" s="181" t="s">
        <v>888</v>
      </c>
      <c r="X167" s="169"/>
      <c r="Y167" s="169"/>
      <c r="Z167" s="169"/>
      <c r="AA167" s="169"/>
      <c r="AB167" s="169"/>
      <c r="AC167" s="169"/>
      <c r="AD167" s="169"/>
      <c r="AE167" s="169"/>
      <c r="AF167" s="169"/>
      <c r="AG167" s="169"/>
      <c r="AH167" s="169"/>
      <c r="AI167" s="169"/>
      <c r="AJ167" s="169"/>
      <c r="AK167" s="169"/>
      <c r="AL167" s="169"/>
      <c r="AM167" s="182" t="s">
        <v>209</v>
      </c>
      <c r="AN167" s="169"/>
      <c r="AO167" s="50"/>
      <c r="AP167" s="50"/>
      <c r="AQ167" s="53">
        <f>8/11</f>
        <v>0.72727272727272729</v>
      </c>
      <c r="AR167" s="169"/>
      <c r="AS167" s="169"/>
      <c r="AT167" s="169"/>
      <c r="AU167" s="169"/>
      <c r="AV167" s="169"/>
      <c r="AW167" s="169"/>
      <c r="AX167" s="169"/>
      <c r="AY167" s="169"/>
      <c r="AZ167" s="169"/>
      <c r="BA167" s="169"/>
      <c r="BB167" s="169"/>
      <c r="BC167" s="169"/>
    </row>
    <row r="168" spans="1:55">
      <c r="A168" s="169"/>
      <c r="B168" s="169"/>
      <c r="C168" s="169"/>
      <c r="D168" s="335"/>
      <c r="E168" s="250"/>
      <c r="F168" s="255"/>
      <c r="G168" s="250"/>
      <c r="H168" s="255"/>
      <c r="I168" s="49"/>
      <c r="J168" s="250"/>
      <c r="K168" s="259"/>
      <c r="L168" s="250"/>
      <c r="M168" s="250"/>
      <c r="N168" s="250"/>
      <c r="O168" s="314"/>
      <c r="P168" s="50"/>
      <c r="Q168" s="49" t="s">
        <v>390</v>
      </c>
      <c r="R168" s="49"/>
      <c r="S168" s="49"/>
      <c r="T168" s="49"/>
      <c r="U168" s="53">
        <f>G173/(G173+G172)</f>
        <v>0.46128822381262202</v>
      </c>
      <c r="V168" s="169"/>
      <c r="W168" s="182" t="s">
        <v>382</v>
      </c>
      <c r="X168" s="169"/>
      <c r="Y168" s="50"/>
      <c r="Z168" s="169"/>
      <c r="AA168" s="169"/>
      <c r="AB168" s="169"/>
      <c r="AC168" s="169"/>
      <c r="AD168" s="169"/>
      <c r="AE168" s="169"/>
      <c r="AF168" s="169"/>
      <c r="AG168" s="169"/>
      <c r="AH168" s="169"/>
      <c r="AI168" s="169"/>
      <c r="AJ168" s="169"/>
      <c r="AK168" s="49" t="s">
        <v>55</v>
      </c>
      <c r="AL168" s="64">
        <f>AL164+(1-AQ167)*AL165</f>
        <v>5725.181818181818</v>
      </c>
      <c r="AM168" s="182"/>
      <c r="AN168" s="49"/>
      <c r="AO168" s="49"/>
      <c r="AP168" s="49"/>
      <c r="AQ168" s="49"/>
      <c r="AR168" s="49"/>
      <c r="AS168" s="169"/>
      <c r="AT168" s="169"/>
      <c r="AU168" s="169"/>
      <c r="AV168" s="169"/>
      <c r="AW168" s="169"/>
      <c r="AX168" s="169"/>
      <c r="AY168" s="169"/>
      <c r="AZ168" s="169"/>
      <c r="BA168" s="169"/>
      <c r="BB168" s="169"/>
      <c r="BC168" s="169"/>
    </row>
    <row r="169" spans="1:55">
      <c r="A169" s="169"/>
      <c r="B169" s="248" t="s">
        <v>366</v>
      </c>
      <c r="C169" s="51" t="s">
        <v>171</v>
      </c>
      <c r="D169" s="1870"/>
      <c r="E169" s="250" t="s">
        <v>136</v>
      </c>
      <c r="F169" s="250" t="s">
        <v>136</v>
      </c>
      <c r="G169" s="250">
        <v>41.84</v>
      </c>
      <c r="H169" s="255">
        <v>43.8</v>
      </c>
      <c r="I169" s="49"/>
      <c r="J169" s="259"/>
      <c r="K169" s="259"/>
      <c r="L169" s="250"/>
      <c r="M169" s="259"/>
      <c r="N169" s="259"/>
      <c r="O169" s="314"/>
      <c r="P169" s="50"/>
      <c r="Q169" s="169"/>
      <c r="R169" s="49"/>
      <c r="S169" s="49"/>
      <c r="T169" s="49"/>
      <c r="U169" s="169"/>
      <c r="V169" s="169"/>
      <c r="W169" s="182" t="s">
        <v>212</v>
      </c>
      <c r="X169" s="50"/>
      <c r="Y169" s="50"/>
      <c r="Z169" s="169"/>
      <c r="AA169" s="169"/>
      <c r="AB169" s="169"/>
      <c r="AC169" s="169"/>
      <c r="AD169" s="169"/>
      <c r="AE169" s="52">
        <v>0.8</v>
      </c>
      <c r="AF169" s="169"/>
      <c r="AG169" s="169"/>
      <c r="AH169" s="169"/>
      <c r="AI169" s="169"/>
      <c r="AJ169" s="169"/>
      <c r="AK169" s="49" t="s">
        <v>388</v>
      </c>
      <c r="AL169" s="53">
        <f>AL168/AL166</f>
        <v>0.41081959085690428</v>
      </c>
      <c r="AM169" s="182" t="s">
        <v>210</v>
      </c>
      <c r="AN169" s="49"/>
      <c r="AO169" s="49"/>
      <c r="AP169" s="49"/>
      <c r="AQ169" s="49"/>
      <c r="AR169" s="49"/>
      <c r="AS169" s="169"/>
      <c r="AT169" s="169"/>
      <c r="AU169" s="169"/>
      <c r="AV169" s="169"/>
      <c r="AW169" s="169"/>
      <c r="AX169" s="169"/>
      <c r="AY169" s="169"/>
      <c r="AZ169" s="169"/>
      <c r="BA169" s="169"/>
      <c r="BB169" s="169"/>
      <c r="BC169" s="169"/>
    </row>
    <row r="170" spans="1:55">
      <c r="A170" s="169"/>
      <c r="B170" s="169"/>
      <c r="C170" s="51" t="s">
        <v>172</v>
      </c>
      <c r="D170" s="1870"/>
      <c r="E170" s="250" t="s">
        <v>136</v>
      </c>
      <c r="F170" s="250" t="s">
        <v>136</v>
      </c>
      <c r="G170" s="250">
        <v>58.16</v>
      </c>
      <c r="H170" s="255">
        <v>56.2</v>
      </c>
      <c r="I170" s="49"/>
      <c r="J170" s="259"/>
      <c r="K170" s="259"/>
      <c r="L170" s="259"/>
      <c r="M170" s="259"/>
      <c r="N170" s="259"/>
      <c r="O170" s="314"/>
      <c r="P170" s="50"/>
      <c r="Q170" s="169"/>
      <c r="R170" s="50"/>
      <c r="S170" s="50"/>
      <c r="T170" s="50"/>
      <c r="U170" s="169"/>
      <c r="V170" s="169"/>
      <c r="W170" s="169"/>
      <c r="X170" s="169"/>
      <c r="Y170" s="169"/>
      <c r="Z170" s="169"/>
      <c r="AA170" s="169"/>
      <c r="AB170" s="169"/>
      <c r="AC170" s="169"/>
      <c r="AD170" s="169"/>
      <c r="AE170" s="169"/>
      <c r="AF170" s="169"/>
      <c r="AG170" s="169"/>
      <c r="AH170" s="169"/>
      <c r="AI170" s="169"/>
      <c r="AJ170" s="169"/>
      <c r="AK170" s="169"/>
      <c r="AL170" s="50"/>
      <c r="AM170" s="50"/>
      <c r="AN170" s="50"/>
      <c r="AO170" s="50"/>
      <c r="AP170" s="50"/>
      <c r="AQ170" s="50"/>
      <c r="AR170" s="169"/>
      <c r="AS170" s="169"/>
      <c r="AT170" s="169"/>
      <c r="AU170" s="169"/>
      <c r="AV170" s="169"/>
      <c r="AW170" s="169"/>
      <c r="AX170" s="169"/>
      <c r="AY170" s="169"/>
      <c r="AZ170" s="169"/>
      <c r="BA170" s="169"/>
      <c r="BB170" s="169"/>
      <c r="BC170" s="169"/>
    </row>
    <row r="171" spans="1:55">
      <c r="A171" s="169"/>
      <c r="B171" s="169"/>
      <c r="C171" s="169"/>
      <c r="D171" s="335"/>
      <c r="E171" s="250"/>
      <c r="F171" s="255"/>
      <c r="G171" s="250"/>
      <c r="H171" s="255"/>
      <c r="I171" s="49"/>
      <c r="J171" s="259"/>
      <c r="K171" s="259"/>
      <c r="L171" s="259"/>
      <c r="M171" s="259"/>
      <c r="N171" s="259"/>
      <c r="O171" s="49"/>
      <c r="P171" s="50"/>
      <c r="Q171" s="169"/>
      <c r="R171" s="50"/>
      <c r="S171" s="50"/>
      <c r="T171" s="50"/>
      <c r="U171" s="182"/>
      <c r="V171" s="50"/>
      <c r="W171" s="50"/>
      <c r="X171" s="169"/>
      <c r="Y171" s="169"/>
      <c r="Z171" s="169"/>
      <c r="AA171" s="169"/>
      <c r="AB171" s="169"/>
      <c r="AC171" s="52"/>
      <c r="AD171" s="169"/>
      <c r="AE171" s="169"/>
      <c r="AF171" s="169"/>
      <c r="AG171" s="169"/>
      <c r="AH171" s="169"/>
      <c r="AI171" s="169"/>
      <c r="AJ171" s="169"/>
      <c r="AK171" s="169"/>
      <c r="AL171" s="50"/>
      <c r="AM171" s="50"/>
      <c r="AN171" s="50"/>
      <c r="AO171" s="50"/>
      <c r="AP171" s="50"/>
      <c r="AQ171" s="50"/>
      <c r="AR171" s="169"/>
      <c r="AS171" s="169"/>
      <c r="AT171" s="169"/>
      <c r="AU171" s="169"/>
      <c r="AV171" s="169"/>
      <c r="AW171" s="169"/>
      <c r="AX171" s="169"/>
      <c r="AY171" s="169"/>
      <c r="AZ171" s="169"/>
      <c r="BA171" s="169"/>
      <c r="BB171" s="169"/>
      <c r="BC171" s="169"/>
    </row>
    <row r="172" spans="1:55">
      <c r="A172" s="169"/>
      <c r="B172" s="51" t="s">
        <v>139</v>
      </c>
      <c r="C172" s="51" t="s">
        <v>172</v>
      </c>
      <c r="D172" s="1870"/>
      <c r="E172" s="250"/>
      <c r="F172" s="250"/>
      <c r="G172" s="255">
        <v>49.9564255547362</v>
      </c>
      <c r="H172" s="255">
        <v>47.15</v>
      </c>
      <c r="I172" s="49"/>
      <c r="J172" s="259"/>
      <c r="K172" s="259"/>
      <c r="L172" s="259"/>
      <c r="M172" s="259"/>
      <c r="N172" s="259"/>
      <c r="O172" s="49"/>
      <c r="P172" s="50"/>
      <c r="Q172" s="169"/>
      <c r="R172" s="50"/>
      <c r="S172" s="50"/>
      <c r="T172" s="50"/>
      <c r="U172" s="182"/>
      <c r="V172" s="50"/>
      <c r="W172" s="50"/>
      <c r="X172" s="169"/>
      <c r="Y172" s="169"/>
      <c r="Z172" s="169"/>
      <c r="AA172" s="169"/>
      <c r="AB172" s="169"/>
      <c r="AC172" s="52"/>
      <c r="AD172" s="169"/>
      <c r="AE172" s="169"/>
      <c r="AF172" s="169"/>
      <c r="AG172" s="169"/>
      <c r="AH172" s="169"/>
      <c r="AI172" s="169"/>
      <c r="AJ172" s="169"/>
      <c r="AK172" s="169"/>
      <c r="AL172" s="50"/>
      <c r="AM172" s="50"/>
      <c r="AN172" s="50"/>
      <c r="AO172" s="50"/>
      <c r="AP172" s="50"/>
      <c r="AQ172" s="50"/>
      <c r="AR172" s="169"/>
      <c r="AS172" s="169"/>
      <c r="AT172" s="169"/>
      <c r="AU172" s="169"/>
      <c r="AV172" s="169"/>
      <c r="AW172" s="169"/>
      <c r="AX172" s="169"/>
      <c r="AY172" s="169"/>
      <c r="AZ172" s="169"/>
      <c r="BA172" s="169"/>
      <c r="BB172" s="169"/>
      <c r="BC172" s="169"/>
    </row>
    <row r="173" spans="1:55">
      <c r="A173" s="169"/>
      <c r="B173" s="169"/>
      <c r="C173" s="169" t="s">
        <v>206</v>
      </c>
      <c r="D173" s="335"/>
      <c r="E173" s="250"/>
      <c r="F173" s="250"/>
      <c r="G173" s="255">
        <v>42.776697727425081</v>
      </c>
      <c r="H173" s="255">
        <v>39.75</v>
      </c>
      <c r="I173" s="49"/>
      <c r="J173" s="259"/>
      <c r="K173" s="259"/>
      <c r="L173" s="259"/>
      <c r="M173" s="259"/>
      <c r="N173" s="259"/>
      <c r="O173" s="49"/>
      <c r="P173" s="50"/>
      <c r="Q173" s="169"/>
      <c r="R173" s="50"/>
      <c r="S173" s="50"/>
      <c r="T173" s="50"/>
      <c r="U173" s="182"/>
      <c r="V173" s="50"/>
      <c r="W173" s="50"/>
      <c r="X173" s="169"/>
      <c r="Y173" s="169"/>
      <c r="Z173" s="169"/>
      <c r="AA173" s="169"/>
      <c r="AB173" s="169"/>
      <c r="AC173" s="52"/>
      <c r="AD173" s="169"/>
      <c r="AE173" s="169"/>
      <c r="AF173" s="169"/>
      <c r="AG173" s="169"/>
      <c r="AH173" s="169"/>
      <c r="AI173" s="169"/>
      <c r="AJ173" s="169"/>
      <c r="AK173" s="169"/>
      <c r="AL173" s="50"/>
      <c r="AM173" s="50"/>
      <c r="AN173" s="50"/>
      <c r="AO173" s="50"/>
      <c r="AP173" s="50"/>
      <c r="AQ173" s="50"/>
      <c r="AR173" s="169"/>
      <c r="AS173" s="169"/>
      <c r="AT173" s="169"/>
      <c r="AU173" s="169"/>
      <c r="AV173" s="169"/>
      <c r="AW173" s="169"/>
      <c r="AX173" s="169"/>
      <c r="AY173" s="169"/>
      <c r="AZ173" s="169"/>
      <c r="BA173" s="169"/>
      <c r="BB173" s="169"/>
      <c r="BC173" s="169"/>
    </row>
    <row r="174" spans="1:55">
      <c r="A174" s="169"/>
      <c r="B174" s="169"/>
      <c r="C174" s="169" t="s">
        <v>211</v>
      </c>
      <c r="D174" s="335"/>
      <c r="E174" s="250"/>
      <c r="F174" s="250"/>
      <c r="G174" s="255">
        <v>7.2668767178387066</v>
      </c>
      <c r="H174" s="255">
        <v>13.09</v>
      </c>
      <c r="I174" s="49"/>
      <c r="J174" s="259"/>
      <c r="K174" s="259"/>
      <c r="L174" s="259"/>
      <c r="M174" s="259"/>
      <c r="N174" s="259"/>
      <c r="O174" s="49"/>
      <c r="P174" s="50"/>
      <c r="Q174" s="169"/>
      <c r="R174" s="50"/>
      <c r="S174" s="50"/>
      <c r="T174" s="50"/>
      <c r="U174" s="182"/>
      <c r="V174" s="50"/>
      <c r="W174" s="50"/>
      <c r="X174" s="169"/>
      <c r="Y174" s="169"/>
      <c r="Z174" s="169"/>
      <c r="AA174" s="169"/>
      <c r="AB174" s="169"/>
      <c r="AC174" s="52"/>
      <c r="AD174" s="169"/>
      <c r="AE174" s="169"/>
      <c r="AF174" s="169"/>
      <c r="AG174" s="169"/>
      <c r="AH174" s="169"/>
      <c r="AI174" s="169"/>
      <c r="AJ174" s="169"/>
      <c r="AK174" s="169"/>
      <c r="AL174" s="50"/>
      <c r="AM174" s="50"/>
      <c r="AN174" s="50"/>
      <c r="AO174" s="50"/>
      <c r="AP174" s="50"/>
      <c r="AQ174" s="50"/>
      <c r="AR174" s="169"/>
      <c r="AS174" s="169"/>
      <c r="AT174" s="169"/>
      <c r="AU174" s="169"/>
      <c r="AV174" s="169"/>
      <c r="AW174" s="169"/>
      <c r="AX174" s="169"/>
      <c r="AY174" s="169"/>
      <c r="AZ174" s="169"/>
      <c r="BA174" s="169"/>
      <c r="BB174" s="169"/>
      <c r="BC174" s="169"/>
    </row>
    <row r="175" spans="1:55" ht="12.6" customHeight="1">
      <c r="A175" s="169"/>
      <c r="B175" s="169"/>
      <c r="C175" s="169"/>
      <c r="D175" s="335"/>
      <c r="E175" s="250"/>
      <c r="F175" s="250"/>
      <c r="G175" s="255"/>
      <c r="H175" s="255"/>
      <c r="I175" s="49"/>
      <c r="J175" s="259"/>
      <c r="K175" s="259"/>
      <c r="L175" s="259"/>
      <c r="M175" s="259"/>
      <c r="N175" s="259"/>
      <c r="O175" s="49"/>
      <c r="P175" s="50"/>
      <c r="Q175" s="169"/>
      <c r="R175" s="50"/>
      <c r="S175" s="50"/>
      <c r="T175" s="50"/>
      <c r="U175" s="49"/>
      <c r="V175" s="50"/>
      <c r="W175" s="50"/>
      <c r="X175" s="169"/>
      <c r="Y175" s="169"/>
      <c r="Z175" s="169"/>
      <c r="AA175" s="169"/>
      <c r="AB175" s="169"/>
      <c r="AC175" s="52"/>
      <c r="AD175" s="169"/>
      <c r="AE175" s="169"/>
      <c r="AF175" s="169"/>
      <c r="AG175" s="169"/>
      <c r="AH175" s="169"/>
      <c r="AI175" s="169"/>
      <c r="AJ175" s="169"/>
      <c r="AK175" s="169"/>
      <c r="AL175" s="50"/>
      <c r="AM175" s="50"/>
      <c r="AN175" s="50"/>
      <c r="AO175" s="50"/>
      <c r="AP175" s="50"/>
      <c r="AQ175" s="50"/>
      <c r="AR175" s="169"/>
      <c r="AS175" s="169"/>
      <c r="AT175" s="169"/>
      <c r="AU175" s="169"/>
      <c r="AV175" s="169"/>
      <c r="AW175" s="169"/>
      <c r="AX175" s="169"/>
      <c r="AY175" s="169"/>
      <c r="AZ175" s="169"/>
      <c r="BA175" s="169"/>
      <c r="BB175" s="169"/>
      <c r="BC175" s="169"/>
    </row>
    <row r="176" spans="1:55">
      <c r="A176" s="46" t="s">
        <v>48</v>
      </c>
      <c r="B176" s="177" t="s">
        <v>366</v>
      </c>
      <c r="C176" s="168" t="s">
        <v>213</v>
      </c>
      <c r="D176" s="1874"/>
      <c r="E176" s="253">
        <v>77.260000000000005</v>
      </c>
      <c r="F176" s="253">
        <v>73.23</v>
      </c>
      <c r="G176" s="253">
        <v>70.91</v>
      </c>
      <c r="H176" s="253"/>
      <c r="I176" s="47"/>
      <c r="J176" s="263"/>
      <c r="K176" s="263"/>
      <c r="L176" s="263"/>
      <c r="M176" s="263"/>
      <c r="N176" s="263"/>
      <c r="O176" s="47"/>
      <c r="P176" s="48"/>
      <c r="Q176" s="47" t="s">
        <v>589</v>
      </c>
      <c r="R176" s="48"/>
      <c r="S176" s="48"/>
      <c r="T176" s="48"/>
      <c r="U176" s="48"/>
      <c r="V176" s="48"/>
      <c r="W176" s="4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row>
    <row r="177" spans="1:55">
      <c r="A177" s="169"/>
      <c r="B177" s="169"/>
      <c r="C177" s="169" t="s">
        <v>214</v>
      </c>
      <c r="D177" s="335"/>
      <c r="E177" s="250">
        <v>15.59</v>
      </c>
      <c r="F177" s="250">
        <v>18.670000000000002</v>
      </c>
      <c r="G177" s="250">
        <v>21.37</v>
      </c>
      <c r="H177" s="250"/>
      <c r="I177" s="49"/>
      <c r="J177" s="259"/>
      <c r="K177" s="259"/>
      <c r="L177" s="259"/>
      <c r="M177" s="259"/>
      <c r="N177" s="259"/>
      <c r="O177" s="49"/>
      <c r="P177" s="50"/>
      <c r="Q177" s="50"/>
      <c r="R177" s="50"/>
      <c r="S177" s="50"/>
      <c r="T177" s="50"/>
      <c r="U177" s="50"/>
      <c r="V177" s="50"/>
      <c r="W177" s="50"/>
      <c r="X177" s="169"/>
      <c r="Y177" s="169"/>
      <c r="Z177" s="169"/>
      <c r="AA177" s="169"/>
      <c r="AB177" s="169"/>
      <c r="AC177" s="169"/>
      <c r="AD177" s="169"/>
      <c r="AE177" s="169"/>
      <c r="AF177" s="169"/>
      <c r="AG177" s="169"/>
      <c r="AH177" s="169"/>
      <c r="AI177" s="169"/>
      <c r="AJ177" s="169"/>
      <c r="AK177" s="169"/>
      <c r="AL177" s="169"/>
      <c r="AM177" s="169"/>
      <c r="AN177" s="169"/>
      <c r="AO177" s="169"/>
      <c r="AP177" s="169"/>
      <c r="AQ177" s="169"/>
      <c r="AR177" s="169"/>
      <c r="AS177" s="169"/>
      <c r="AT177" s="169"/>
      <c r="AU177" s="169"/>
      <c r="AV177" s="169"/>
      <c r="AW177" s="169"/>
      <c r="AX177" s="169"/>
      <c r="AY177" s="169"/>
      <c r="AZ177" s="169"/>
      <c r="BA177" s="169"/>
      <c r="BB177" s="169"/>
      <c r="BC177" s="169"/>
    </row>
    <row r="178" spans="1:55">
      <c r="A178" s="169"/>
      <c r="B178" s="169"/>
      <c r="C178" s="169" t="s">
        <v>215</v>
      </c>
      <c r="D178" s="335"/>
      <c r="E178" s="250">
        <v>7.15</v>
      </c>
      <c r="F178" s="250">
        <v>8.1</v>
      </c>
      <c r="G178" s="250">
        <v>7.72</v>
      </c>
      <c r="H178" s="250"/>
      <c r="I178" s="49"/>
      <c r="J178" s="259"/>
      <c r="K178" s="259"/>
      <c r="L178" s="259"/>
      <c r="M178" s="259"/>
      <c r="N178" s="259"/>
      <c r="O178" s="49"/>
      <c r="P178" s="50"/>
      <c r="Q178" s="323" t="s">
        <v>55</v>
      </c>
      <c r="R178" s="324">
        <v>1470</v>
      </c>
      <c r="S178" s="324">
        <v>3060.5</v>
      </c>
      <c r="T178" s="324">
        <f>3409+50%*161</f>
        <v>3489.5</v>
      </c>
      <c r="U178" s="324">
        <f>3476+50%*113</f>
        <v>3532.5</v>
      </c>
      <c r="V178" s="50">
        <f>3397+50%*28</f>
        <v>3411</v>
      </c>
      <c r="W178" s="49" t="s">
        <v>613</v>
      </c>
      <c r="X178" s="169"/>
      <c r="Y178" s="169"/>
      <c r="Z178" s="169"/>
      <c r="AA178" s="169"/>
      <c r="AB178" s="169"/>
      <c r="AC178" s="169"/>
      <c r="AD178" s="169"/>
      <c r="AE178" s="169"/>
      <c r="AF178" s="169"/>
      <c r="AG178" s="169"/>
      <c r="AH178" s="169"/>
      <c r="AI178" s="169"/>
      <c r="AJ178" s="169"/>
      <c r="AK178" s="169"/>
      <c r="AL178" s="169"/>
      <c r="AM178" s="169"/>
      <c r="AN178" s="169"/>
      <c r="AO178" s="169"/>
      <c r="AP178" s="169"/>
      <c r="AQ178" s="169"/>
      <c r="AR178" s="169"/>
      <c r="AS178" s="169"/>
      <c r="AT178" s="169"/>
      <c r="AU178" s="169"/>
      <c r="AV178" s="169"/>
      <c r="AW178" s="169"/>
      <c r="AX178" s="169"/>
      <c r="AY178" s="169"/>
      <c r="AZ178" s="169"/>
      <c r="BA178" s="169"/>
      <c r="BB178" s="169"/>
      <c r="BC178" s="169"/>
    </row>
    <row r="179" spans="1:55">
      <c r="A179" s="169"/>
      <c r="B179" s="51" t="s">
        <v>366</v>
      </c>
      <c r="C179" s="51" t="s">
        <v>546</v>
      </c>
      <c r="D179" s="1870"/>
      <c r="E179" s="250">
        <v>54.28</v>
      </c>
      <c r="F179" s="250">
        <v>36.6</v>
      </c>
      <c r="G179" s="250">
        <v>35.08</v>
      </c>
      <c r="H179" s="250">
        <v>33.340000000000003</v>
      </c>
      <c r="I179" s="180" t="s">
        <v>591</v>
      </c>
      <c r="J179" s="334"/>
      <c r="K179" s="312">
        <f>E179/$AB$1</f>
        <v>0.54280000000000006</v>
      </c>
      <c r="L179" s="312">
        <f>F179/$AB$1</f>
        <v>0.36599999999999999</v>
      </c>
      <c r="M179" s="312">
        <f>G179/$AB$1</f>
        <v>0.3508</v>
      </c>
      <c r="N179" s="312">
        <f>H179/$AB$1</f>
        <v>0.33340000000000003</v>
      </c>
      <c r="O179" s="49"/>
      <c r="P179" s="50"/>
      <c r="Q179" s="323" t="s">
        <v>368</v>
      </c>
      <c r="R179" s="324">
        <v>1754</v>
      </c>
      <c r="S179" s="324">
        <v>3513.5</v>
      </c>
      <c r="T179" s="324">
        <f>3753+50%*161</f>
        <v>3833.5</v>
      </c>
      <c r="U179" s="324">
        <f>3856+50%*113</f>
        <v>3912.5</v>
      </c>
      <c r="V179" s="50">
        <f>4000+50%*28</f>
        <v>4014</v>
      </c>
      <c r="W179" s="50" t="s">
        <v>896</v>
      </c>
      <c r="X179" s="169"/>
      <c r="Y179" s="169"/>
      <c r="Z179" s="169"/>
      <c r="AA179" s="169"/>
      <c r="AB179" s="169"/>
      <c r="AC179" s="169"/>
      <c r="AD179" s="169"/>
      <c r="AE179" s="169"/>
      <c r="AF179" s="169"/>
      <c r="AG179" s="169"/>
      <c r="AH179" s="169"/>
      <c r="AI179" s="169"/>
      <c r="AJ179" s="169"/>
      <c r="AK179" s="169"/>
      <c r="AL179" s="169"/>
      <c r="AM179" s="169"/>
      <c r="AN179" s="169"/>
      <c r="AO179" s="169"/>
      <c r="AP179" s="169"/>
      <c r="AQ179" s="169"/>
      <c r="AR179" s="169"/>
      <c r="AS179" s="169"/>
      <c r="AT179" s="169"/>
      <c r="AU179" s="169"/>
      <c r="AV179" s="169"/>
      <c r="AW179" s="169"/>
      <c r="AX179" s="169"/>
      <c r="AY179" s="169"/>
      <c r="AZ179" s="169"/>
      <c r="BA179" s="169"/>
      <c r="BB179" s="169"/>
      <c r="BC179" s="169"/>
    </row>
    <row r="180" spans="1:55">
      <c r="A180" s="169"/>
      <c r="B180" s="169"/>
      <c r="C180" s="51" t="s">
        <v>547</v>
      </c>
      <c r="D180" s="1870"/>
      <c r="E180" s="250">
        <v>45.72</v>
      </c>
      <c r="F180" s="250">
        <v>63.4</v>
      </c>
      <c r="G180" s="250">
        <v>64.92</v>
      </c>
      <c r="H180" s="250">
        <v>66.66</v>
      </c>
      <c r="I180" s="49"/>
      <c r="J180" s="259"/>
      <c r="K180" s="259" t="s">
        <v>600</v>
      </c>
      <c r="L180" s="259"/>
      <c r="M180" s="259"/>
      <c r="N180" s="259"/>
      <c r="O180" s="49"/>
      <c r="P180" s="50"/>
      <c r="Q180" s="351" t="s">
        <v>590</v>
      </c>
      <c r="R180" s="356">
        <f>R178+R179</f>
        <v>3224</v>
      </c>
      <c r="S180" s="356">
        <f>S178+S179</f>
        <v>6574</v>
      </c>
      <c r="T180" s="356">
        <f>T178+T179</f>
        <v>7323</v>
      </c>
      <c r="U180" s="356">
        <f>U178+U179</f>
        <v>7445</v>
      </c>
      <c r="V180" s="356">
        <f>V178+V179</f>
        <v>7425</v>
      </c>
      <c r="W180" s="50"/>
      <c r="X180" s="169"/>
      <c r="Y180" s="169"/>
      <c r="Z180" s="169"/>
      <c r="AA180" s="169"/>
      <c r="AB180" s="169"/>
      <c r="AC180" s="169"/>
      <c r="AD180" s="169"/>
      <c r="AE180" s="169"/>
      <c r="AF180" s="169"/>
      <c r="AG180" s="169"/>
      <c r="AH180" s="169"/>
      <c r="AI180" s="169"/>
      <c r="AJ180" s="169"/>
      <c r="AK180" s="169"/>
      <c r="AL180" s="169"/>
      <c r="AM180" s="169"/>
      <c r="AN180" s="169"/>
      <c r="AO180" s="169"/>
      <c r="AP180" s="169"/>
      <c r="AQ180" s="169"/>
      <c r="AR180" s="169"/>
      <c r="AS180" s="169"/>
      <c r="AT180" s="169"/>
      <c r="AU180" s="169"/>
      <c r="AV180" s="169"/>
      <c r="AW180" s="169"/>
      <c r="AX180" s="169"/>
      <c r="AY180" s="169"/>
      <c r="AZ180" s="169"/>
      <c r="BA180" s="169"/>
      <c r="BB180" s="169"/>
      <c r="BC180" s="169"/>
    </row>
    <row r="181" spans="1:55">
      <c r="A181" s="169"/>
      <c r="B181" s="169" t="s">
        <v>139</v>
      </c>
      <c r="C181" s="169" t="s">
        <v>213</v>
      </c>
      <c r="D181" s="335"/>
      <c r="E181" s="250">
        <v>82.3</v>
      </c>
      <c r="F181" s="250">
        <v>79.7</v>
      </c>
      <c r="G181" s="250">
        <v>80.37</v>
      </c>
      <c r="H181" s="250"/>
      <c r="I181" s="49"/>
      <c r="J181" s="259"/>
      <c r="K181" s="169"/>
      <c r="L181" s="259"/>
      <c r="M181" s="259"/>
      <c r="N181" s="259"/>
      <c r="O181" s="49"/>
      <c r="P181" s="50"/>
      <c r="Q181" s="320" t="s">
        <v>322</v>
      </c>
      <c r="R181" s="319">
        <v>0.45595533498759305</v>
      </c>
      <c r="S181" s="319">
        <v>0.46554609066017644</v>
      </c>
      <c r="T181" s="319">
        <v>0.45595533498759305</v>
      </c>
      <c r="U181" s="319">
        <v>0.46554609066017644</v>
      </c>
      <c r="V181" s="319">
        <v>1.46554609066018</v>
      </c>
      <c r="W181" s="50"/>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69"/>
      <c r="AT181" s="169"/>
      <c r="AU181" s="169"/>
      <c r="AV181" s="169"/>
      <c r="AW181" s="169"/>
      <c r="AX181" s="169"/>
      <c r="AY181" s="169"/>
      <c r="AZ181" s="169"/>
      <c r="BA181" s="169"/>
      <c r="BB181" s="169"/>
      <c r="BC181" s="169"/>
    </row>
    <row r="182" spans="1:55">
      <c r="A182" s="169"/>
      <c r="B182" s="169"/>
      <c r="C182" s="169" t="s">
        <v>214</v>
      </c>
      <c r="D182" s="335"/>
      <c r="E182" s="250">
        <v>11.39</v>
      </c>
      <c r="F182" s="250">
        <v>13.16</v>
      </c>
      <c r="G182" s="250">
        <v>12.44</v>
      </c>
      <c r="H182" s="250"/>
      <c r="I182" s="49"/>
      <c r="J182" s="259"/>
      <c r="K182" s="169"/>
      <c r="L182" s="259"/>
      <c r="M182" s="259"/>
      <c r="N182" s="259"/>
      <c r="O182" s="49"/>
      <c r="P182" s="50"/>
      <c r="Q182" s="357" t="s">
        <v>585</v>
      </c>
      <c r="R182" s="358">
        <v>271</v>
      </c>
      <c r="S182" s="358">
        <v>567</v>
      </c>
      <c r="T182" s="358">
        <v>577</v>
      </c>
      <c r="U182" s="358">
        <v>575</v>
      </c>
      <c r="V182" s="358">
        <v>483</v>
      </c>
      <c r="W182" s="49" t="s">
        <v>614</v>
      </c>
      <c r="X182" s="169"/>
      <c r="Y182" s="169"/>
      <c r="Z182" s="169"/>
      <c r="AA182" s="169"/>
      <c r="AB182" s="169"/>
      <c r="AC182" s="169"/>
      <c r="AD182" s="169"/>
      <c r="AE182" s="169"/>
      <c r="AF182" s="169"/>
      <c r="AG182" s="169"/>
      <c r="AH182" s="169"/>
      <c r="AI182" s="169"/>
      <c r="AJ182" s="169"/>
      <c r="AK182" s="169"/>
      <c r="AL182" s="169"/>
      <c r="AM182" s="169"/>
      <c r="AN182" s="169"/>
      <c r="AO182" s="169"/>
      <c r="AP182" s="169"/>
      <c r="AQ182" s="169"/>
      <c r="AR182" s="169"/>
      <c r="AS182" s="169"/>
      <c r="AT182" s="169"/>
      <c r="AU182" s="169"/>
      <c r="AV182" s="169"/>
      <c r="AW182" s="169"/>
      <c r="AX182" s="169"/>
      <c r="AY182" s="169"/>
      <c r="AZ182" s="169"/>
      <c r="BA182" s="169"/>
      <c r="BB182" s="169"/>
      <c r="BC182" s="169"/>
    </row>
    <row r="183" spans="1:55">
      <c r="A183" s="169"/>
      <c r="B183" s="169"/>
      <c r="C183" s="169" t="s">
        <v>215</v>
      </c>
      <c r="D183" s="335"/>
      <c r="E183" s="250">
        <v>6.31</v>
      </c>
      <c r="F183" s="250">
        <v>7.14</v>
      </c>
      <c r="G183" s="250">
        <v>7.18</v>
      </c>
      <c r="H183" s="250"/>
      <c r="I183" s="49"/>
      <c r="J183" s="259"/>
      <c r="K183" s="169"/>
      <c r="L183" s="259"/>
      <c r="M183" s="259"/>
      <c r="N183" s="259"/>
      <c r="O183" s="49"/>
      <c r="P183" s="50"/>
      <c r="Q183" s="323" t="s">
        <v>592</v>
      </c>
      <c r="R183" s="324">
        <v>171</v>
      </c>
      <c r="S183" s="324">
        <v>360</v>
      </c>
      <c r="T183" s="324">
        <v>185</v>
      </c>
      <c r="U183" s="324">
        <v>149</v>
      </c>
      <c r="V183" s="324">
        <v>131</v>
      </c>
      <c r="W183" s="49" t="s">
        <v>612</v>
      </c>
      <c r="X183" s="169"/>
      <c r="Y183" s="169"/>
      <c r="Z183" s="169"/>
      <c r="AA183" s="169"/>
      <c r="AB183" s="169"/>
      <c r="AC183" s="169"/>
      <c r="AD183" s="169"/>
      <c r="AE183" s="169"/>
      <c r="AF183" s="169"/>
      <c r="AG183" s="169"/>
      <c r="AH183" s="169"/>
      <c r="AI183" s="169"/>
      <c r="AJ183" s="169"/>
      <c r="AK183" s="169"/>
      <c r="AL183" s="169"/>
      <c r="AM183" s="169"/>
      <c r="AN183" s="169"/>
      <c r="AO183" s="169"/>
      <c r="AP183" s="169"/>
      <c r="AQ183" s="169"/>
      <c r="AR183" s="169"/>
      <c r="AS183" s="169"/>
      <c r="AT183" s="169"/>
      <c r="AU183" s="169"/>
      <c r="AV183" s="169"/>
      <c r="AW183" s="169"/>
      <c r="AX183" s="169"/>
      <c r="AY183" s="169"/>
      <c r="AZ183" s="169"/>
      <c r="BA183" s="169"/>
      <c r="BB183" s="169"/>
      <c r="BC183" s="169"/>
    </row>
    <row r="184" spans="1:55">
      <c r="A184" s="169"/>
      <c r="B184" s="169"/>
      <c r="C184" s="169"/>
      <c r="D184" s="335"/>
      <c r="E184" s="250"/>
      <c r="F184" s="250"/>
      <c r="G184" s="250"/>
      <c r="H184" s="250"/>
      <c r="I184" s="49"/>
      <c r="J184" s="259"/>
      <c r="K184" s="169"/>
      <c r="L184" s="259"/>
      <c r="M184" s="259"/>
      <c r="N184" s="259"/>
      <c r="O184" s="49"/>
      <c r="P184" s="50"/>
      <c r="Q184" s="320" t="s">
        <v>586</v>
      </c>
      <c r="R184" s="318">
        <f>R178+R182*R181</f>
        <v>1593.5638957816377</v>
      </c>
      <c r="S184" s="318">
        <f>S178+S182*S181</f>
        <v>3324.46463340432</v>
      </c>
      <c r="T184" s="318">
        <f>T178+T182*T181</f>
        <v>3752.5862282878411</v>
      </c>
      <c r="U184" s="318">
        <f>U178+U182*U181</f>
        <v>3800.1890021296012</v>
      </c>
      <c r="V184" s="318">
        <f>V178+V182*V181</f>
        <v>4118.858761788867</v>
      </c>
      <c r="W184" s="4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row>
    <row r="185" spans="1:55">
      <c r="A185" s="169"/>
      <c r="B185" s="248" t="s">
        <v>316</v>
      </c>
      <c r="C185" s="248" t="s">
        <v>546</v>
      </c>
      <c r="D185" s="1878"/>
      <c r="E185" s="250">
        <v>2932</v>
      </c>
      <c r="F185" s="250">
        <v>3409</v>
      </c>
      <c r="G185" s="250">
        <v>3476</v>
      </c>
      <c r="H185" s="250">
        <v>3398</v>
      </c>
      <c r="I185" s="49"/>
      <c r="J185" s="259"/>
      <c r="K185" s="169"/>
      <c r="L185" s="259"/>
      <c r="M185" s="259"/>
      <c r="N185" s="259"/>
      <c r="O185" s="49"/>
      <c r="P185" s="50"/>
      <c r="Q185" s="320" t="s">
        <v>587</v>
      </c>
      <c r="R185" s="318">
        <f>R179+(1-R181)*R182+R183</f>
        <v>2072.4361042183623</v>
      </c>
      <c r="S185" s="318">
        <f>S179+(1-S181)*S182+S183</f>
        <v>4176.53536659568</v>
      </c>
      <c r="T185" s="318">
        <f>T179+(1-T181)*T182+T183</f>
        <v>4332.4137717121585</v>
      </c>
      <c r="U185" s="318">
        <f>U179+(1-U181)*U182+U183</f>
        <v>4368.8109978703988</v>
      </c>
      <c r="V185" s="318">
        <f>V179+(1-V181)*V182+V183</f>
        <v>3920.141238211133</v>
      </c>
      <c r="W185" s="50"/>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row>
    <row r="186" spans="1:55">
      <c r="A186" s="169"/>
      <c r="B186" s="248"/>
      <c r="C186" s="248" t="s">
        <v>547</v>
      </c>
      <c r="D186" s="1878"/>
      <c r="E186" s="250">
        <v>2470</v>
      </c>
      <c r="F186" s="250">
        <v>5904</v>
      </c>
      <c r="G186" s="250">
        <v>6432</v>
      </c>
      <c r="H186" s="250">
        <v>6793</v>
      </c>
      <c r="I186" s="49"/>
      <c r="J186" s="259"/>
      <c r="K186" s="259"/>
      <c r="L186" s="259"/>
      <c r="M186" s="259"/>
      <c r="N186" s="259"/>
      <c r="O186" s="49"/>
      <c r="P186" s="50"/>
      <c r="Q186" s="351" t="s">
        <v>593</v>
      </c>
      <c r="R186" s="356">
        <f>R184+R185</f>
        <v>3666</v>
      </c>
      <c r="S186" s="356">
        <f>S184+S185</f>
        <v>7501</v>
      </c>
      <c r="T186" s="356">
        <f>T184+T185</f>
        <v>8085</v>
      </c>
      <c r="U186" s="356">
        <f>U184+U185</f>
        <v>8169</v>
      </c>
      <c r="V186" s="356">
        <f>V184+V185</f>
        <v>8039</v>
      </c>
      <c r="W186" s="50"/>
      <c r="X186" s="169"/>
      <c r="Y186" s="169"/>
      <c r="Z186" s="169"/>
      <c r="AA186" s="169"/>
      <c r="AB186" s="169"/>
      <c r="AC186" s="169"/>
      <c r="AD186" s="169"/>
      <c r="AE186" s="169"/>
      <c r="AF186" s="169"/>
      <c r="AG186" s="169"/>
      <c r="AH186" s="169"/>
      <c r="AI186" s="169"/>
      <c r="AJ186" s="169"/>
      <c r="AK186" s="169"/>
      <c r="AL186" s="169"/>
      <c r="AM186" s="169"/>
      <c r="AN186" s="169"/>
      <c r="AO186" s="169"/>
      <c r="AP186" s="169"/>
      <c r="AQ186" s="169"/>
      <c r="AR186" s="169"/>
      <c r="AS186" s="169"/>
      <c r="AT186" s="169"/>
      <c r="AU186" s="169"/>
      <c r="AV186" s="169"/>
      <c r="AW186" s="169"/>
      <c r="AX186" s="169"/>
      <c r="AY186" s="169"/>
      <c r="AZ186" s="169"/>
      <c r="BA186" s="169"/>
      <c r="BB186" s="169"/>
      <c r="BC186" s="169"/>
    </row>
    <row r="187" spans="1:55">
      <c r="A187" s="169"/>
      <c r="B187" s="169"/>
      <c r="C187" s="169"/>
      <c r="D187" s="335"/>
      <c r="E187" s="259" t="s">
        <v>599</v>
      </c>
      <c r="F187" s="250"/>
      <c r="G187" s="250"/>
      <c r="H187" s="250"/>
      <c r="I187" s="49"/>
      <c r="J187" s="259"/>
      <c r="K187" s="259"/>
      <c r="L187" s="259"/>
      <c r="M187" s="259"/>
      <c r="N187" s="259"/>
      <c r="O187" s="49"/>
      <c r="P187" s="50"/>
      <c r="Q187" s="320" t="s">
        <v>588</v>
      </c>
      <c r="R187" s="319">
        <v>0.45595533498759305</v>
      </c>
      <c r="S187" s="319">
        <v>0.46554609066017644</v>
      </c>
      <c r="T187" s="319">
        <v>0.47513684633275999</v>
      </c>
      <c r="U187" s="319">
        <v>0.48472760200534298</v>
      </c>
      <c r="V187" s="319">
        <v>1.4847276020053399</v>
      </c>
      <c r="W187" s="50"/>
      <c r="X187" s="169"/>
      <c r="Y187" s="169"/>
      <c r="Z187" s="169"/>
      <c r="AA187" s="169"/>
      <c r="AB187" s="169"/>
      <c r="AC187" s="169"/>
      <c r="AD187" s="169"/>
      <c r="AE187" s="169"/>
      <c r="AF187" s="169"/>
      <c r="AG187" s="169"/>
      <c r="AH187" s="169"/>
      <c r="AI187" s="169"/>
      <c r="AJ187" s="169"/>
      <c r="AK187" s="169"/>
      <c r="AL187" s="169"/>
      <c r="AM187" s="169"/>
      <c r="AN187" s="169"/>
      <c r="AO187" s="169"/>
      <c r="AP187" s="169"/>
      <c r="AQ187" s="169"/>
      <c r="AR187" s="169"/>
      <c r="AS187" s="169"/>
      <c r="AT187" s="169"/>
      <c r="AU187" s="169"/>
      <c r="AV187" s="169"/>
      <c r="AW187" s="169"/>
      <c r="AX187" s="169"/>
      <c r="AY187" s="169"/>
      <c r="AZ187" s="169"/>
      <c r="BA187" s="169"/>
      <c r="BB187" s="169"/>
      <c r="BC187" s="169"/>
    </row>
    <row r="188" spans="1:55">
      <c r="A188" s="169"/>
      <c r="B188" s="169"/>
      <c r="C188" s="169"/>
      <c r="D188" s="335"/>
      <c r="E188" s="259" t="s">
        <v>601</v>
      </c>
      <c r="F188" s="250"/>
      <c r="G188" s="250"/>
      <c r="H188" s="250"/>
      <c r="I188" s="49"/>
      <c r="J188" s="259"/>
      <c r="K188" s="259"/>
      <c r="L188" s="259"/>
      <c r="M188" s="259"/>
      <c r="N188" s="259"/>
      <c r="O188" s="49"/>
      <c r="P188" s="50"/>
      <c r="Q188" s="360" t="s">
        <v>594</v>
      </c>
      <c r="R188" s="361">
        <v>1477</v>
      </c>
      <c r="S188" s="361">
        <v>2976</v>
      </c>
      <c r="T188" s="361">
        <v>3070</v>
      </c>
      <c r="U188" s="361">
        <v>3487</v>
      </c>
      <c r="V188" s="361">
        <v>3622</v>
      </c>
      <c r="W188" s="50" t="s">
        <v>597</v>
      </c>
      <c r="X188" s="169"/>
      <c r="Y188" s="169"/>
      <c r="Z188" s="169"/>
      <c r="AA188" s="169"/>
      <c r="AB188" s="169"/>
      <c r="AC188" s="169"/>
      <c r="AD188" s="169"/>
      <c r="AE188" s="169"/>
      <c r="AF188" s="169"/>
      <c r="AG188" s="169"/>
      <c r="AH188" s="169"/>
      <c r="AI188" s="169"/>
      <c r="AJ188" s="169"/>
      <c r="AK188" s="169"/>
      <c r="AL188" s="169"/>
      <c r="AM188" s="169"/>
      <c r="AN188" s="169"/>
      <c r="AO188" s="169"/>
      <c r="AP188" s="169"/>
      <c r="AQ188" s="169"/>
      <c r="AR188" s="169"/>
      <c r="AS188" s="169"/>
      <c r="AT188" s="169"/>
      <c r="AU188" s="169"/>
      <c r="AV188" s="169"/>
      <c r="AW188" s="169"/>
      <c r="AX188" s="169"/>
      <c r="AY188" s="169"/>
      <c r="AZ188" s="169"/>
      <c r="BA188" s="169"/>
      <c r="BB188" s="169"/>
      <c r="BC188" s="169"/>
    </row>
    <row r="189" spans="1:55">
      <c r="A189" s="169"/>
      <c r="B189" s="169"/>
      <c r="C189" s="169"/>
      <c r="D189" s="335"/>
      <c r="E189" s="259" t="s">
        <v>894</v>
      </c>
      <c r="F189" s="250"/>
      <c r="G189" s="250"/>
      <c r="H189" s="250"/>
      <c r="I189" s="49"/>
      <c r="J189" s="259"/>
      <c r="K189" s="259"/>
      <c r="L189" s="259"/>
      <c r="M189" s="259"/>
      <c r="N189" s="259"/>
      <c r="O189" s="49"/>
      <c r="P189" s="50"/>
      <c r="Q189" s="362" t="s">
        <v>595</v>
      </c>
      <c r="R189" s="363">
        <f>R185+R188</f>
        <v>3549.4361042183623</v>
      </c>
      <c r="S189" s="363">
        <f>S185+S188</f>
        <v>7152.53536659568</v>
      </c>
      <c r="T189" s="363">
        <f>T185+T188</f>
        <v>7402.4137717121585</v>
      </c>
      <c r="U189" s="363">
        <f>U185+U188</f>
        <v>7855.8109978703988</v>
      </c>
      <c r="V189" s="363">
        <f>V185+V188</f>
        <v>7542.141238211133</v>
      </c>
      <c r="W189" s="50"/>
      <c r="X189" s="169"/>
      <c r="Y189" s="169"/>
      <c r="Z189" s="169"/>
      <c r="AA189" s="169"/>
      <c r="AB189" s="169"/>
      <c r="AC189" s="169"/>
      <c r="AD189" s="169"/>
      <c r="AE189" s="169"/>
      <c r="AF189" s="169"/>
      <c r="AG189" s="169"/>
      <c r="AH189" s="169"/>
      <c r="AI189" s="169"/>
      <c r="AJ189" s="169"/>
      <c r="AK189" s="169"/>
      <c r="AL189" s="169"/>
      <c r="AM189" s="169"/>
      <c r="AN189" s="169"/>
      <c r="AO189" s="169"/>
      <c r="AP189" s="169"/>
      <c r="AQ189" s="169"/>
      <c r="AR189" s="169"/>
      <c r="AS189" s="169"/>
      <c r="AT189" s="169"/>
      <c r="AU189" s="169"/>
      <c r="AV189" s="169"/>
      <c r="AW189" s="169"/>
      <c r="AX189" s="169"/>
      <c r="AY189" s="169"/>
      <c r="AZ189" s="169"/>
      <c r="BA189" s="169"/>
      <c r="BB189" s="169"/>
      <c r="BC189" s="169"/>
    </row>
    <row r="190" spans="1:55">
      <c r="A190" s="169"/>
      <c r="B190" s="169"/>
      <c r="C190" s="169"/>
      <c r="D190" s="335"/>
      <c r="E190" s="259"/>
      <c r="F190" s="250"/>
      <c r="G190" s="250"/>
      <c r="H190" s="250"/>
      <c r="I190" s="49"/>
      <c r="J190" s="259"/>
      <c r="K190" s="259"/>
      <c r="L190" s="259"/>
      <c r="M190" s="259"/>
      <c r="N190" s="259"/>
      <c r="O190" s="49"/>
      <c r="P190" s="50"/>
      <c r="Q190" s="137" t="s">
        <v>596</v>
      </c>
      <c r="R190" s="359">
        <f>R184+R189</f>
        <v>5143</v>
      </c>
      <c r="S190" s="359">
        <f>S184+S189</f>
        <v>10477</v>
      </c>
      <c r="T190" s="359">
        <f>T184+T189</f>
        <v>11155</v>
      </c>
      <c r="U190" s="359">
        <f>U184+U189</f>
        <v>11656</v>
      </c>
      <c r="V190" s="359">
        <f>V184+V189</f>
        <v>11661</v>
      </c>
      <c r="W190" s="50"/>
      <c r="X190" s="169"/>
      <c r="Y190" s="169"/>
      <c r="Z190" s="169"/>
      <c r="AA190" s="169"/>
      <c r="AB190" s="169"/>
      <c r="AC190" s="169"/>
      <c r="AD190" s="169"/>
      <c r="AE190" s="169"/>
      <c r="AF190" s="169"/>
      <c r="AG190" s="169"/>
      <c r="AH190" s="169"/>
      <c r="AI190" s="169"/>
      <c r="AJ190" s="169"/>
      <c r="AK190" s="169"/>
      <c r="AL190" s="169"/>
      <c r="AM190" s="169"/>
      <c r="AN190" s="169"/>
      <c r="AO190" s="169"/>
      <c r="AP190" s="169"/>
      <c r="AQ190" s="169"/>
      <c r="AR190" s="169"/>
      <c r="AS190" s="169"/>
      <c r="AT190" s="169"/>
      <c r="AU190" s="169"/>
      <c r="AV190" s="169"/>
      <c r="AW190" s="169"/>
      <c r="AX190" s="169"/>
      <c r="AY190" s="169"/>
      <c r="AZ190" s="169"/>
      <c r="BA190" s="169"/>
      <c r="BB190" s="169"/>
      <c r="BC190" s="169"/>
    </row>
    <row r="191" spans="1:55">
      <c r="A191" s="169"/>
      <c r="B191" s="169"/>
      <c r="C191" s="169"/>
      <c r="D191" s="335"/>
      <c r="E191" s="259"/>
      <c r="F191" s="250"/>
      <c r="G191" s="250"/>
      <c r="H191" s="250"/>
      <c r="I191" s="813" t="s">
        <v>369</v>
      </c>
      <c r="J191" s="739">
        <f>R191</f>
        <v>0.30985103942866765</v>
      </c>
      <c r="K191" s="739">
        <f>S191</f>
        <v>0.31731074099497186</v>
      </c>
      <c r="L191" s="739">
        <f>T191</f>
        <v>0.33640396488461149</v>
      </c>
      <c r="M191" s="739">
        <f>U191</f>
        <v>0.32602856916005502</v>
      </c>
      <c r="N191" s="739">
        <f>V191</f>
        <v>0.35321659907288117</v>
      </c>
      <c r="O191" s="49"/>
      <c r="P191" s="50"/>
      <c r="Q191" s="320" t="s">
        <v>598</v>
      </c>
      <c r="R191" s="319">
        <f>R184/R190</f>
        <v>0.30985103942866765</v>
      </c>
      <c r="S191" s="319">
        <f>S184/S190</f>
        <v>0.31731074099497186</v>
      </c>
      <c r="T191" s="319">
        <f>T184/T190</f>
        <v>0.33640396488461149</v>
      </c>
      <c r="U191" s="319">
        <f>U184/U190</f>
        <v>0.32602856916005502</v>
      </c>
      <c r="V191" s="319">
        <f>V184/V190</f>
        <v>0.35321659907288117</v>
      </c>
      <c r="W191" s="49" t="s">
        <v>897</v>
      </c>
      <c r="X191" s="169"/>
      <c r="Y191" s="169"/>
      <c r="Z191" s="169"/>
      <c r="AA191" s="169"/>
      <c r="AB191" s="169"/>
      <c r="AC191" s="169"/>
      <c r="AD191" s="169"/>
      <c r="AE191" s="169"/>
      <c r="AF191" s="169"/>
      <c r="AG191" s="169"/>
      <c r="AH191" s="169"/>
      <c r="AI191" s="169"/>
      <c r="AJ191" s="169"/>
      <c r="AK191" s="169"/>
      <c r="AL191" s="169"/>
      <c r="AM191" s="169"/>
      <c r="AN191" s="169"/>
      <c r="AO191" s="169"/>
      <c r="AP191" s="169"/>
      <c r="AQ191" s="169"/>
      <c r="AR191" s="169"/>
      <c r="AS191" s="169"/>
      <c r="AT191" s="169"/>
      <c r="AU191" s="169"/>
      <c r="AV191" s="169"/>
      <c r="AW191" s="169"/>
      <c r="AX191" s="169"/>
      <c r="AY191" s="169"/>
      <c r="AZ191" s="169"/>
      <c r="BA191" s="169"/>
      <c r="BB191" s="169"/>
      <c r="BC191" s="169"/>
    </row>
    <row r="192" spans="1:55">
      <c r="A192" s="169"/>
      <c r="B192" s="169"/>
      <c r="C192" s="169"/>
      <c r="D192" s="335"/>
      <c r="E192" s="259"/>
      <c r="F192" s="250"/>
      <c r="G192" s="250"/>
      <c r="H192" s="250"/>
      <c r="I192" s="49"/>
      <c r="J192" s="259"/>
      <c r="K192" s="259"/>
      <c r="L192" s="259"/>
      <c r="M192" s="259"/>
      <c r="N192" s="259"/>
      <c r="O192" s="49"/>
      <c r="P192" s="50"/>
      <c r="Q192" s="325"/>
      <c r="R192" s="326"/>
      <c r="S192" s="326"/>
      <c r="T192" s="50"/>
      <c r="U192" s="50"/>
      <c r="V192" s="50"/>
      <c r="W192" s="49" t="s">
        <v>900</v>
      </c>
      <c r="X192" s="169"/>
      <c r="Y192" s="169"/>
      <c r="Z192" s="169"/>
      <c r="AA192" s="169"/>
      <c r="AB192" s="169"/>
      <c r="AC192" s="169"/>
      <c r="AD192" s="169"/>
      <c r="AE192" s="169"/>
      <c r="AF192" s="169"/>
      <c r="AG192" s="169"/>
      <c r="AH192" s="169"/>
      <c r="AI192" s="169"/>
      <c r="AJ192" s="169"/>
      <c r="AK192" s="169"/>
      <c r="AL192" s="169"/>
      <c r="AM192" s="169"/>
      <c r="AN192" s="169"/>
      <c r="AO192" s="169"/>
      <c r="AP192" s="169"/>
      <c r="AQ192" s="169"/>
      <c r="AR192" s="169"/>
      <c r="AS192" s="169"/>
      <c r="AT192" s="169"/>
      <c r="AU192" s="169"/>
      <c r="AV192" s="169"/>
      <c r="AW192" s="169"/>
      <c r="AX192" s="169"/>
      <c r="AY192" s="169"/>
      <c r="AZ192" s="169"/>
      <c r="BA192" s="169"/>
      <c r="BB192" s="169"/>
      <c r="BC192" s="169"/>
    </row>
    <row r="193" spans="1:55">
      <c r="A193" s="169"/>
      <c r="B193" s="169"/>
      <c r="C193" s="169"/>
      <c r="D193" s="335"/>
      <c r="E193" s="250"/>
      <c r="F193" s="250"/>
      <c r="G193" s="250"/>
      <c r="H193" s="250"/>
      <c r="I193" s="49"/>
      <c r="J193" s="259"/>
      <c r="K193" s="259"/>
      <c r="L193" s="259"/>
      <c r="M193" s="259"/>
      <c r="N193" s="259"/>
      <c r="O193" s="49"/>
      <c r="P193" s="50"/>
      <c r="Q193" s="50"/>
      <c r="R193" s="50"/>
      <c r="S193" s="50"/>
      <c r="T193" s="50"/>
      <c r="U193" s="50"/>
      <c r="V193" s="50"/>
      <c r="W193" s="50"/>
      <c r="X193" s="169"/>
      <c r="Y193" s="169"/>
      <c r="Z193" s="169"/>
      <c r="AA193" s="169"/>
      <c r="AB193" s="169"/>
      <c r="AC193" s="169"/>
      <c r="AD193" s="169"/>
      <c r="AE193" s="169"/>
      <c r="AF193" s="169"/>
      <c r="AG193" s="169"/>
      <c r="AH193" s="169"/>
      <c r="AI193" s="169"/>
      <c r="AJ193" s="169"/>
      <c r="AK193" s="169"/>
      <c r="AL193" s="169"/>
      <c r="AM193" s="169"/>
      <c r="AN193" s="169"/>
      <c r="AO193" s="169"/>
      <c r="AP193" s="169"/>
      <c r="AQ193" s="169"/>
      <c r="AR193" s="169"/>
      <c r="AS193" s="169"/>
      <c r="AT193" s="169"/>
      <c r="AU193" s="169"/>
      <c r="AV193" s="169"/>
      <c r="AW193" s="169"/>
      <c r="AX193" s="169"/>
      <c r="AY193" s="169"/>
      <c r="AZ193" s="169"/>
      <c r="BA193" s="169"/>
      <c r="BB193" s="169"/>
      <c r="BC193" s="169"/>
    </row>
    <row r="194" spans="1:55">
      <c r="A194" s="46" t="s">
        <v>40</v>
      </c>
      <c r="B194" s="177" t="s">
        <v>366</v>
      </c>
      <c r="C194" s="168" t="s">
        <v>216</v>
      </c>
      <c r="D194" s="1874"/>
      <c r="E194" s="254">
        <v>48.184401641932425</v>
      </c>
      <c r="F194" s="254">
        <v>45.731402114746913</v>
      </c>
      <c r="G194" s="254">
        <v>41.396687120465458</v>
      </c>
      <c r="H194" s="254">
        <v>40.159999999999997</v>
      </c>
      <c r="I194" s="168"/>
      <c r="J194" s="253"/>
      <c r="K194" s="253"/>
      <c r="L194" s="253"/>
      <c r="M194" s="253"/>
      <c r="N194" s="253"/>
      <c r="O194" s="168"/>
      <c r="P194" s="48"/>
      <c r="Q194" s="168"/>
      <c r="R194" s="48"/>
      <c r="S194" s="48"/>
      <c r="T194" s="48"/>
      <c r="U194" s="48"/>
      <c r="V194" s="48"/>
      <c r="W194" s="4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row>
    <row r="195" spans="1:55">
      <c r="A195" s="169"/>
      <c r="B195" s="169"/>
      <c r="C195" s="169" t="s">
        <v>217</v>
      </c>
      <c r="D195" s="335"/>
      <c r="E195" s="255">
        <v>25.251026207767602</v>
      </c>
      <c r="F195" s="255">
        <v>28.747731965213042</v>
      </c>
      <c r="G195" s="255">
        <v>31.709216926843226</v>
      </c>
      <c r="H195" s="255">
        <v>34.119999999999997</v>
      </c>
      <c r="I195" s="238" t="s">
        <v>902</v>
      </c>
      <c r="J195" s="259" t="s">
        <v>903</v>
      </c>
      <c r="K195" s="250"/>
      <c r="L195" s="250"/>
      <c r="M195" s="250"/>
      <c r="N195" s="250"/>
      <c r="O195" s="49" t="s">
        <v>373</v>
      </c>
      <c r="P195" s="169"/>
      <c r="Q195" s="169"/>
      <c r="R195" s="169"/>
      <c r="S195" s="50"/>
      <c r="T195" s="50"/>
      <c r="U195" s="50"/>
      <c r="V195" s="50"/>
      <c r="W195" s="50"/>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row>
    <row r="196" spans="1:55">
      <c r="A196" s="169"/>
      <c r="B196" s="169"/>
      <c r="C196" s="169" t="s">
        <v>65</v>
      </c>
      <c r="D196" s="335"/>
      <c r="E196" s="255">
        <v>23.658035996210923</v>
      </c>
      <c r="F196" s="255">
        <v>24.282049677782645</v>
      </c>
      <c r="G196" s="255">
        <v>24.250468953676915</v>
      </c>
      <c r="H196" s="255">
        <v>23.74</v>
      </c>
      <c r="I196" s="828" t="s">
        <v>369</v>
      </c>
      <c r="J196" s="721">
        <v>0.63960508302071395</v>
      </c>
      <c r="K196" s="721">
        <v>0.63691258302278264</v>
      </c>
      <c r="L196" s="721">
        <v>0.60295119120080787</v>
      </c>
      <c r="M196" s="721">
        <v>0.57174659410117801</v>
      </c>
      <c r="N196" s="721">
        <v>0.58023511894181368</v>
      </c>
      <c r="O196" s="53">
        <f>(J196+2*K196+2*L196+AVERAGE(M196,N196))/6</f>
        <v>0.6158872479982318</v>
      </c>
      <c r="P196" s="169"/>
      <c r="Q196" s="49" t="s">
        <v>901</v>
      </c>
      <c r="R196" s="169"/>
      <c r="S196" s="50"/>
      <c r="T196" s="50"/>
      <c r="U196" s="50"/>
      <c r="V196" s="50"/>
      <c r="W196" s="50"/>
      <c r="X196" s="169"/>
      <c r="Y196" s="169"/>
      <c r="Z196" s="169"/>
      <c r="AA196" s="169"/>
      <c r="AB196" s="169"/>
      <c r="AC196" s="169"/>
      <c r="AD196" s="169"/>
      <c r="AE196" s="169"/>
      <c r="AF196" s="169"/>
      <c r="AG196" s="169"/>
      <c r="AH196" s="169"/>
      <c r="AI196" s="169"/>
      <c r="AJ196" s="169"/>
      <c r="AK196" s="169"/>
      <c r="AL196" s="169"/>
      <c r="AM196" s="169"/>
      <c r="AN196" s="169"/>
      <c r="AO196" s="169"/>
      <c r="AP196" s="169"/>
      <c r="AQ196" s="169"/>
      <c r="AR196" s="169"/>
      <c r="AS196" s="169"/>
      <c r="AT196" s="169"/>
      <c r="AU196" s="169"/>
      <c r="AV196" s="169"/>
      <c r="AW196" s="169"/>
      <c r="AX196" s="169"/>
      <c r="AY196" s="169"/>
      <c r="AZ196" s="169"/>
      <c r="BA196" s="169"/>
      <c r="BB196" s="169"/>
      <c r="BC196" s="169"/>
    </row>
    <row r="197" spans="1:55">
      <c r="A197" s="169"/>
      <c r="B197" s="169"/>
      <c r="C197" s="169" t="s">
        <v>218</v>
      </c>
      <c r="D197" s="335"/>
      <c r="E197" s="255">
        <v>2.9065361540890433</v>
      </c>
      <c r="F197" s="255">
        <v>1.2388162422573985</v>
      </c>
      <c r="G197" s="255">
        <v>2.6436269990144026</v>
      </c>
      <c r="H197" s="255">
        <v>1.98</v>
      </c>
      <c r="I197" s="180" t="s">
        <v>219</v>
      </c>
      <c r="J197" s="264">
        <v>0.71418817424552783</v>
      </c>
      <c r="K197" s="264">
        <v>0.70058225599526303</v>
      </c>
      <c r="L197" s="264">
        <v>0.66021500852759196</v>
      </c>
      <c r="M197" s="264">
        <v>0.59799128971835469</v>
      </c>
      <c r="N197" s="264">
        <v>0.59799128971835469</v>
      </c>
      <c r="O197" s="53">
        <f>(J197+2*K197+2*L197+AVERAGE(M197,N197))/6</f>
        <v>0.6722956655015988</v>
      </c>
      <c r="P197" s="169"/>
      <c r="Q197" s="49"/>
      <c r="R197" s="169"/>
      <c r="S197" s="50"/>
      <c r="T197" s="50"/>
      <c r="U197" s="50"/>
      <c r="V197" s="50"/>
      <c r="W197" s="50"/>
      <c r="X197" s="169"/>
      <c r="Y197" s="169"/>
      <c r="Z197" s="169"/>
      <c r="AA197" s="169"/>
      <c r="AB197" s="169"/>
      <c r="AC197" s="169"/>
      <c r="AD197" s="169"/>
      <c r="AE197" s="169"/>
      <c r="AF197" s="169"/>
      <c r="AG197" s="169"/>
      <c r="AH197" s="169"/>
      <c r="AI197" s="169"/>
      <c r="AJ197" s="169"/>
      <c r="AK197" s="169"/>
      <c r="AL197" s="169"/>
      <c r="AM197" s="169"/>
      <c r="AN197" s="169"/>
      <c r="AO197" s="169"/>
      <c r="AP197" s="169"/>
      <c r="AQ197" s="169"/>
      <c r="AR197" s="169"/>
      <c r="AS197" s="169"/>
      <c r="AT197" s="169"/>
      <c r="AU197" s="169"/>
      <c r="AV197" s="169"/>
      <c r="AW197" s="169"/>
      <c r="AX197" s="169"/>
      <c r="AY197" s="169"/>
      <c r="AZ197" s="169"/>
      <c r="BA197" s="169"/>
      <c r="BB197" s="169"/>
      <c r="BC197" s="169"/>
    </row>
    <row r="198" spans="1:55">
      <c r="A198" s="169"/>
      <c r="B198" s="169" t="s">
        <v>139</v>
      </c>
      <c r="C198" s="169" t="s">
        <v>216</v>
      </c>
      <c r="D198" s="335"/>
      <c r="E198" s="255">
        <v>52.293707611152975</v>
      </c>
      <c r="F198" s="255">
        <v>54.136566056407716</v>
      </c>
      <c r="G198" s="255">
        <v>79.863243901025669</v>
      </c>
      <c r="H198" s="255" t="s">
        <v>136</v>
      </c>
      <c r="I198" s="49"/>
      <c r="J198" s="264"/>
      <c r="K198" s="264"/>
      <c r="L198" s="264"/>
      <c r="M198" s="264"/>
      <c r="N198" s="264"/>
      <c r="O198" s="53"/>
      <c r="P198" s="169"/>
      <c r="Q198" s="169"/>
      <c r="R198" s="50"/>
      <c r="S198" s="50"/>
      <c r="T198" s="50"/>
      <c r="U198" s="50"/>
      <c r="V198" s="50"/>
      <c r="W198" s="50"/>
      <c r="X198" s="169"/>
      <c r="Y198" s="169"/>
      <c r="Z198" s="169"/>
      <c r="AA198" s="169"/>
      <c r="AB198" s="169"/>
      <c r="AC198" s="169"/>
      <c r="AD198" s="169"/>
      <c r="AE198" s="169"/>
      <c r="AF198" s="169"/>
      <c r="AG198" s="169"/>
      <c r="AH198" s="169"/>
      <c r="AI198" s="169"/>
      <c r="AJ198" s="169"/>
      <c r="AK198" s="169"/>
      <c r="AL198" s="169"/>
      <c r="AM198" s="169"/>
      <c r="AN198" s="169"/>
      <c r="AO198" s="169"/>
      <c r="AP198" s="169"/>
      <c r="AQ198" s="169"/>
      <c r="AR198" s="169"/>
      <c r="AS198" s="169"/>
      <c r="AT198" s="169"/>
      <c r="AU198" s="169"/>
      <c r="AV198" s="169"/>
      <c r="AW198" s="169"/>
      <c r="AX198" s="169"/>
      <c r="AY198" s="169"/>
      <c r="AZ198" s="169"/>
      <c r="BA198" s="169"/>
      <c r="BB198" s="169"/>
      <c r="BC198" s="169"/>
    </row>
    <row r="199" spans="1:55">
      <c r="A199" s="169"/>
      <c r="B199" s="169"/>
      <c r="C199" s="169" t="s">
        <v>217</v>
      </c>
      <c r="D199" s="335"/>
      <c r="E199" s="255">
        <v>32.168425018839486</v>
      </c>
      <c r="F199" s="255">
        <v>25.096486887679365</v>
      </c>
      <c r="G199" s="255" t="s">
        <v>136</v>
      </c>
      <c r="H199" s="255" t="s">
        <v>136</v>
      </c>
      <c r="I199" s="180" t="s">
        <v>640</v>
      </c>
      <c r="J199" s="264">
        <v>0.52299198575244876</v>
      </c>
      <c r="K199" s="264">
        <v>0.50424610911013446</v>
      </c>
      <c r="L199" s="264">
        <v>0.46320163991512087</v>
      </c>
      <c r="M199" s="264">
        <v>0.41584391996234643</v>
      </c>
      <c r="N199" s="264">
        <v>0.39895500624913205</v>
      </c>
      <c r="O199" s="53">
        <f>(J199+2*K199+2*L199+AVERAGE(M199,N199))/6</f>
        <v>0.47754782448478311</v>
      </c>
      <c r="P199" s="169"/>
      <c r="Q199" s="50"/>
      <c r="R199" s="50"/>
      <c r="S199" s="50"/>
      <c r="T199" s="50"/>
      <c r="U199" s="50"/>
      <c r="V199" s="50"/>
      <c r="W199" s="50"/>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row>
    <row r="200" spans="1:55">
      <c r="A200" s="169"/>
      <c r="B200" s="169"/>
      <c r="C200" s="169" t="s">
        <v>65</v>
      </c>
      <c r="D200" s="335"/>
      <c r="E200" s="255">
        <v>16.079502637528257</v>
      </c>
      <c r="F200" s="255">
        <v>20.945076694705591</v>
      </c>
      <c r="G200" s="255">
        <v>23.260126325549052</v>
      </c>
      <c r="H200" s="255" t="s">
        <v>136</v>
      </c>
      <c r="I200" s="180" t="s">
        <v>548</v>
      </c>
      <c r="J200" s="259"/>
      <c r="K200" s="296">
        <f>K199-(E194/100)</f>
        <v>2.2402092690810227E-2</v>
      </c>
      <c r="L200" s="296">
        <f>L199-(F194/100)</f>
        <v>5.8876187676517588E-3</v>
      </c>
      <c r="M200" s="296">
        <f>M199-(G194/100)</f>
        <v>1.877048757691846E-3</v>
      </c>
      <c r="N200" s="296">
        <f>N199-(H194/100)</f>
        <v>-2.6449937508679078E-3</v>
      </c>
      <c r="O200" s="298">
        <f>AVERAGE(K200:N200)</f>
        <v>6.880441616321481E-3</v>
      </c>
      <c r="P200" s="50"/>
      <c r="Q200" s="50"/>
      <c r="R200" s="50"/>
      <c r="S200" s="50"/>
      <c r="T200" s="50"/>
      <c r="U200" s="50"/>
      <c r="V200" s="50"/>
      <c r="W200" s="50"/>
      <c r="X200" s="169"/>
      <c r="Y200" s="169"/>
      <c r="Z200" s="169"/>
      <c r="AA200" s="169"/>
      <c r="AB200" s="169"/>
      <c r="AC200" s="169"/>
      <c r="AD200" s="169"/>
      <c r="AE200" s="169"/>
      <c r="AF200" s="169"/>
      <c r="AG200" s="169"/>
      <c r="AH200" s="169"/>
      <c r="AI200" s="169"/>
      <c r="AJ200" s="169"/>
      <c r="AK200" s="169"/>
      <c r="AL200" s="169"/>
      <c r="AM200" s="169"/>
      <c r="AN200" s="169"/>
      <c r="AO200" s="169"/>
      <c r="AP200" s="169"/>
      <c r="AQ200" s="169"/>
      <c r="AR200" s="169"/>
      <c r="AS200" s="169"/>
      <c r="AT200" s="169"/>
      <c r="AU200" s="169"/>
      <c r="AV200" s="169"/>
      <c r="AW200" s="169"/>
      <c r="AX200" s="169"/>
      <c r="AY200" s="169"/>
      <c r="AZ200" s="169"/>
      <c r="BA200" s="169"/>
      <c r="BB200" s="169"/>
      <c r="BC200" s="169"/>
    </row>
    <row r="201" spans="1:55">
      <c r="A201" s="169"/>
      <c r="B201" s="169"/>
      <c r="C201" s="169" t="s">
        <v>218</v>
      </c>
      <c r="D201" s="335"/>
      <c r="E201" s="255">
        <v>-0.54163526752072344</v>
      </c>
      <c r="F201" s="255">
        <v>-0.1781296387926769</v>
      </c>
      <c r="G201" s="255">
        <v>-3.1233702265747234</v>
      </c>
      <c r="H201" s="255" t="s">
        <v>136</v>
      </c>
      <c r="I201" s="49"/>
      <c r="J201" s="259"/>
      <c r="K201" s="259"/>
      <c r="L201" s="259"/>
      <c r="M201" s="259"/>
      <c r="N201" s="259"/>
      <c r="O201" s="49"/>
      <c r="P201" s="50"/>
      <c r="Q201" s="50"/>
      <c r="R201" s="50"/>
      <c r="S201" s="50"/>
      <c r="T201" s="50"/>
      <c r="U201" s="50"/>
      <c r="V201" s="50"/>
      <c r="W201" s="50"/>
      <c r="X201" s="169"/>
      <c r="Y201" s="169"/>
      <c r="Z201" s="169"/>
      <c r="AA201" s="169"/>
      <c r="AB201" s="169"/>
      <c r="AC201" s="169"/>
      <c r="AD201" s="169"/>
      <c r="AE201" s="169"/>
      <c r="AF201" s="169"/>
      <c r="AG201" s="169"/>
      <c r="AH201" s="169"/>
      <c r="AI201" s="169"/>
      <c r="AJ201" s="169"/>
      <c r="AK201" s="169"/>
      <c r="AL201" s="169"/>
      <c r="AM201" s="169"/>
      <c r="AN201" s="169"/>
      <c r="AO201" s="169"/>
      <c r="AP201" s="169"/>
      <c r="AQ201" s="169"/>
      <c r="AR201" s="169"/>
      <c r="AS201" s="169"/>
      <c r="AT201" s="169"/>
      <c r="AU201" s="169"/>
      <c r="AV201" s="169"/>
      <c r="AW201" s="169"/>
      <c r="AX201" s="169"/>
      <c r="AY201" s="169"/>
      <c r="AZ201" s="169"/>
      <c r="BA201" s="169"/>
      <c r="BB201" s="169"/>
      <c r="BC201" s="169"/>
    </row>
    <row r="202" spans="1:55">
      <c r="A202" s="169"/>
      <c r="B202" s="169"/>
      <c r="C202" s="169"/>
      <c r="D202" s="335"/>
      <c r="E202" s="255"/>
      <c r="F202" s="255"/>
      <c r="G202" s="255"/>
      <c r="H202" s="255"/>
      <c r="I202" s="49"/>
      <c r="J202" s="259"/>
      <c r="K202" s="259"/>
      <c r="L202" s="259"/>
      <c r="M202" s="259"/>
      <c r="N202" s="259"/>
      <c r="O202" s="49"/>
      <c r="P202" s="50"/>
      <c r="Q202" s="50"/>
      <c r="R202" s="50"/>
      <c r="S202" s="50"/>
      <c r="T202" s="50"/>
      <c r="U202" s="50"/>
      <c r="V202" s="50"/>
      <c r="W202" s="50"/>
      <c r="X202" s="169"/>
      <c r="Y202" s="169"/>
      <c r="Z202" s="169"/>
      <c r="AA202" s="169"/>
      <c r="AB202" s="169"/>
      <c r="AC202" s="169"/>
      <c r="AD202" s="169"/>
      <c r="AE202" s="169"/>
      <c r="AF202" s="169"/>
      <c r="AG202" s="169"/>
      <c r="AH202" s="169"/>
      <c r="AI202" s="169"/>
      <c r="AJ202" s="169"/>
      <c r="AK202" s="169"/>
      <c r="AL202" s="169"/>
      <c r="AM202" s="169"/>
      <c r="AN202" s="169"/>
      <c r="AO202" s="169"/>
      <c r="AP202" s="169"/>
      <c r="AQ202" s="169"/>
      <c r="AR202" s="169"/>
      <c r="AS202" s="169"/>
      <c r="AT202" s="169"/>
      <c r="AU202" s="169"/>
      <c r="AV202" s="169"/>
      <c r="AW202" s="169"/>
      <c r="AX202" s="169"/>
      <c r="AY202" s="169"/>
      <c r="AZ202" s="169"/>
      <c r="BA202" s="169"/>
      <c r="BB202" s="169"/>
      <c r="BC202" s="169"/>
    </row>
    <row r="203" spans="1:55">
      <c r="A203" s="169"/>
      <c r="B203" s="51" t="s">
        <v>366</v>
      </c>
      <c r="C203" s="51" t="s">
        <v>546</v>
      </c>
      <c r="D203" s="1870"/>
      <c r="E203" s="255">
        <v>65.569999999999993</v>
      </c>
      <c r="F203" s="255">
        <v>63.32</v>
      </c>
      <c r="G203" s="255">
        <v>63.67</v>
      </c>
      <c r="H203" s="255">
        <v>60.12</v>
      </c>
      <c r="I203" s="180" t="s">
        <v>540</v>
      </c>
      <c r="J203" s="328">
        <f>J196/K196*K203</f>
        <v>0.65847192238888519</v>
      </c>
      <c r="K203" s="328">
        <f>E203/$AB$1</f>
        <v>0.65569999999999995</v>
      </c>
      <c r="L203" s="328">
        <f>F203/$AB$1</f>
        <v>0.63319999999999999</v>
      </c>
      <c r="M203" s="328">
        <f>G203/$AB$1</f>
        <v>0.63670000000000004</v>
      </c>
      <c r="N203" s="328">
        <f>H203/$AB$1</f>
        <v>0.60119999999999996</v>
      </c>
      <c r="O203" s="49"/>
      <c r="P203" s="50"/>
      <c r="Q203" s="49" t="s">
        <v>555</v>
      </c>
      <c r="R203" s="50"/>
      <c r="S203" s="50"/>
      <c r="T203" s="50"/>
      <c r="U203" s="50"/>
      <c r="V203" s="50"/>
      <c r="W203" s="50"/>
      <c r="X203" s="169"/>
      <c r="Y203" s="169"/>
      <c r="Z203" s="169"/>
      <c r="AA203" s="169"/>
      <c r="AB203" s="169"/>
      <c r="AC203" s="169"/>
      <c r="AD203" s="169"/>
      <c r="AE203" s="169"/>
      <c r="AF203" s="169"/>
      <c r="AG203" s="169"/>
      <c r="AH203" s="169"/>
      <c r="AI203" s="169"/>
      <c r="AJ203" s="169"/>
      <c r="AK203" s="169"/>
      <c r="AL203" s="169"/>
      <c r="AM203" s="169"/>
      <c r="AN203" s="169"/>
      <c r="AO203" s="169"/>
      <c r="AP203" s="169"/>
      <c r="AQ203" s="169"/>
      <c r="AR203" s="169"/>
      <c r="AS203" s="169"/>
      <c r="AT203" s="169"/>
      <c r="AU203" s="169"/>
      <c r="AV203" s="169"/>
      <c r="AW203" s="169"/>
      <c r="AX203" s="169"/>
      <c r="AY203" s="169"/>
      <c r="AZ203" s="169"/>
      <c r="BA203" s="169"/>
      <c r="BB203" s="169"/>
      <c r="BC203" s="169"/>
    </row>
    <row r="204" spans="1:55">
      <c r="A204" s="169"/>
      <c r="B204" s="169"/>
      <c r="C204" s="51" t="s">
        <v>547</v>
      </c>
      <c r="D204" s="1870"/>
      <c r="E204" s="255">
        <v>34.43</v>
      </c>
      <c r="F204" s="255">
        <v>36.68</v>
      </c>
      <c r="G204" s="255">
        <v>36.33</v>
      </c>
      <c r="H204" s="255">
        <v>39.880000000000003</v>
      </c>
      <c r="I204" s="180" t="s">
        <v>548</v>
      </c>
      <c r="J204" s="259"/>
      <c r="K204" s="299">
        <f>K196-K203</f>
        <v>-1.8787416977217308E-2</v>
      </c>
      <c r="L204" s="299">
        <f>L196-L203</f>
        <v>-3.0248808799192117E-2</v>
      </c>
      <c r="M204" s="299">
        <f>M196-M203</f>
        <v>-6.4953405898822036E-2</v>
      </c>
      <c r="N204" s="299">
        <f>N196-N203</f>
        <v>-2.096488105818628E-2</v>
      </c>
      <c r="O204" s="298">
        <f>AVERAGE(K204:N204)</f>
        <v>-3.3738628183354435E-2</v>
      </c>
      <c r="P204" s="50"/>
      <c r="Q204" s="49" t="s">
        <v>904</v>
      </c>
      <c r="R204" s="50"/>
      <c r="S204" s="50"/>
      <c r="T204" s="50"/>
      <c r="U204" s="50"/>
      <c r="V204" s="50"/>
      <c r="W204" s="50"/>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row>
    <row r="205" spans="1:55">
      <c r="A205" s="169"/>
      <c r="B205" s="169"/>
      <c r="C205" s="248"/>
      <c r="D205" s="1878"/>
      <c r="E205" s="255"/>
      <c r="F205" s="255"/>
      <c r="G205" s="255"/>
      <c r="H205" s="255"/>
      <c r="I205" s="49"/>
      <c r="J205" s="259"/>
      <c r="K205" s="259"/>
      <c r="L205" s="259"/>
      <c r="M205" s="259"/>
      <c r="N205" s="259"/>
      <c r="O205" s="49"/>
      <c r="P205" s="50"/>
      <c r="Q205" s="49" t="s">
        <v>935</v>
      </c>
      <c r="R205" s="50"/>
      <c r="S205" s="50"/>
      <c r="T205" s="50"/>
      <c r="U205" s="50"/>
      <c r="V205" s="50"/>
      <c r="W205" s="50"/>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row>
    <row r="206" spans="1:55">
      <c r="A206" s="169"/>
      <c r="B206" s="248" t="s">
        <v>316</v>
      </c>
      <c r="C206" s="248" t="s">
        <v>546</v>
      </c>
      <c r="D206" s="1878"/>
      <c r="E206" s="300">
        <v>40425</v>
      </c>
      <c r="F206" s="300">
        <v>39507</v>
      </c>
      <c r="G206" s="300">
        <v>39023</v>
      </c>
      <c r="H206" s="300">
        <v>34873</v>
      </c>
      <c r="I206" s="303" t="s">
        <v>549</v>
      </c>
      <c r="J206" s="304"/>
      <c r="K206" s="305">
        <f>E206/(E206+E207)</f>
        <v>0.65572839786533443</v>
      </c>
      <c r="L206" s="305">
        <f>F206/(F206+F207)</f>
        <v>0.6337343599615014</v>
      </c>
      <c r="M206" s="305">
        <f>G206/(G206+G207)</f>
        <v>0.6367463490250469</v>
      </c>
      <c r="N206" s="305">
        <f>H206/(H206+H207)</f>
        <v>0.60115497328046885</v>
      </c>
      <c r="O206" s="49"/>
      <c r="P206" s="50"/>
      <c r="Q206" s="50"/>
      <c r="R206" s="50"/>
      <c r="S206" s="50"/>
      <c r="T206" s="50"/>
      <c r="U206" s="50"/>
      <c r="V206" s="50"/>
      <c r="W206" s="50"/>
      <c r="X206" s="169"/>
      <c r="Y206" s="169"/>
      <c r="Z206" s="169"/>
      <c r="AA206" s="169"/>
      <c r="AB206" s="169"/>
      <c r="AC206" s="169"/>
      <c r="AD206" s="169"/>
      <c r="AE206" s="169"/>
      <c r="AF206" s="169"/>
      <c r="AG206" s="169"/>
      <c r="AH206" s="169"/>
      <c r="AI206" s="169"/>
      <c r="AJ206" s="169"/>
      <c r="AK206" s="169"/>
      <c r="AL206" s="169"/>
      <c r="AM206" s="169"/>
      <c r="AN206" s="169"/>
      <c r="AO206" s="169"/>
      <c r="AP206" s="169"/>
      <c r="AQ206" s="169"/>
      <c r="AR206" s="169"/>
      <c r="AS206" s="169"/>
      <c r="AT206" s="169"/>
      <c r="AU206" s="169"/>
      <c r="AV206" s="169"/>
      <c r="AW206" s="169"/>
      <c r="AX206" s="169"/>
      <c r="AY206" s="169"/>
      <c r="AZ206" s="169"/>
      <c r="BA206" s="169"/>
      <c r="BB206" s="169"/>
      <c r="BC206" s="169"/>
    </row>
    <row r="207" spans="1:55">
      <c r="A207" s="169"/>
      <c r="B207" s="169"/>
      <c r="C207" s="248" t="s">
        <v>547</v>
      </c>
      <c r="D207" s="1878"/>
      <c r="E207" s="300">
        <v>21224</v>
      </c>
      <c r="F207" s="300">
        <v>22833</v>
      </c>
      <c r="G207" s="300">
        <v>22262</v>
      </c>
      <c r="H207" s="300">
        <v>23137</v>
      </c>
      <c r="I207" s="303" t="s">
        <v>551</v>
      </c>
      <c r="J207" s="304"/>
      <c r="K207" s="305">
        <f>E206/E209</f>
        <v>0.64829366861248316</v>
      </c>
      <c r="L207" s="305">
        <f>F206/F209</f>
        <v>0.63322647860234016</v>
      </c>
      <c r="M207" s="305">
        <f>G206/G209</f>
        <v>0.7654870728549571</v>
      </c>
      <c r="N207" s="305">
        <f>H206/H209</f>
        <v>0.6147080079674252</v>
      </c>
      <c r="O207" s="49"/>
      <c r="P207" s="50"/>
      <c r="Q207" s="50"/>
      <c r="R207" s="50"/>
      <c r="S207" s="50"/>
      <c r="T207" s="50"/>
      <c r="U207" s="50"/>
      <c r="V207" s="50"/>
      <c r="W207" s="50"/>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row>
    <row r="208" spans="1:55">
      <c r="A208" s="169"/>
      <c r="B208" s="169"/>
      <c r="C208" s="169" t="s">
        <v>160</v>
      </c>
      <c r="D208" s="335"/>
      <c r="E208" s="300">
        <v>707</v>
      </c>
      <c r="F208" s="301">
        <f>F209-F206-F207</f>
        <v>50</v>
      </c>
      <c r="G208" s="300">
        <v>-10307</v>
      </c>
      <c r="H208" s="300">
        <v>-1279</v>
      </c>
      <c r="I208" s="49"/>
      <c r="J208" s="259"/>
      <c r="K208" s="259"/>
      <c r="L208" s="169"/>
      <c r="M208" s="259"/>
      <c r="N208" s="259"/>
      <c r="O208" s="49"/>
      <c r="P208" s="50"/>
      <c r="Q208" s="364"/>
      <c r="R208" s="365" t="s">
        <v>553</v>
      </c>
      <c r="S208" s="366">
        <v>1830</v>
      </c>
      <c r="T208" s="366">
        <v>792</v>
      </c>
      <c r="U208" s="366">
        <v>545</v>
      </c>
      <c r="V208" s="366">
        <v>512</v>
      </c>
      <c r="W208" s="50"/>
      <c r="X208" s="169"/>
      <c r="Y208" s="169"/>
      <c r="Z208" s="169"/>
      <c r="AA208" s="169"/>
      <c r="AB208" s="169"/>
      <c r="AC208" s="169"/>
      <c r="AD208" s="169"/>
      <c r="AE208" s="169"/>
      <c r="AF208" s="169"/>
      <c r="AG208" s="169"/>
      <c r="AH208" s="169"/>
      <c r="AI208" s="169"/>
      <c r="AJ208" s="169"/>
      <c r="AK208" s="169"/>
      <c r="AL208" s="169"/>
      <c r="AM208" s="169"/>
      <c r="AN208" s="169"/>
      <c r="AO208" s="169"/>
      <c r="AP208" s="169"/>
      <c r="AQ208" s="169"/>
      <c r="AR208" s="169"/>
      <c r="AS208" s="169"/>
      <c r="AT208" s="169"/>
      <c r="AU208" s="169"/>
      <c r="AV208" s="169"/>
      <c r="AW208" s="169"/>
      <c r="AX208" s="169"/>
      <c r="AY208" s="169"/>
      <c r="AZ208" s="169"/>
      <c r="BA208" s="169"/>
      <c r="BB208" s="169"/>
      <c r="BC208" s="169"/>
    </row>
    <row r="209" spans="1:55">
      <c r="A209" s="169"/>
      <c r="B209" s="169"/>
      <c r="C209" s="248" t="s">
        <v>137</v>
      </c>
      <c r="D209" s="1878"/>
      <c r="E209" s="300">
        <f>SUM(E206:E208)</f>
        <v>62356</v>
      </c>
      <c r="F209" s="300">
        <v>62390</v>
      </c>
      <c r="G209" s="300">
        <f>SUM(G206:G208)</f>
        <v>50978</v>
      </c>
      <c r="H209" s="300">
        <f>SUM(H206:H208)</f>
        <v>56731</v>
      </c>
      <c r="I209" s="238"/>
      <c r="J209" s="259"/>
      <c r="K209" s="259"/>
      <c r="L209" s="259"/>
      <c r="M209" s="259"/>
      <c r="N209" s="259"/>
      <c r="O209" s="49"/>
      <c r="P209" s="50"/>
      <c r="Q209" s="367"/>
      <c r="R209" s="365" t="s">
        <v>137</v>
      </c>
      <c r="S209" s="366">
        <v>62356</v>
      </c>
      <c r="T209" s="366">
        <v>62837</v>
      </c>
      <c r="U209" s="366">
        <v>60737</v>
      </c>
      <c r="V209" s="366">
        <v>56731</v>
      </c>
      <c r="W209" s="50"/>
      <c r="X209" s="169"/>
      <c r="Y209" s="169"/>
      <c r="Z209" s="169"/>
      <c r="AA209" s="169"/>
      <c r="AB209" s="169"/>
      <c r="AC209" s="169"/>
      <c r="AD209" s="169"/>
      <c r="AE209" s="169"/>
      <c r="AF209" s="169"/>
      <c r="AG209" s="169"/>
      <c r="AH209" s="169"/>
      <c r="AI209" s="169"/>
      <c r="AJ209" s="169"/>
      <c r="AK209" s="169"/>
      <c r="AL209" s="169"/>
      <c r="AM209" s="169"/>
      <c r="AN209" s="169"/>
      <c r="AO209" s="169"/>
      <c r="AP209" s="169"/>
      <c r="AQ209" s="169"/>
      <c r="AR209" s="169"/>
      <c r="AS209" s="169"/>
      <c r="AT209" s="169"/>
      <c r="AU209" s="169"/>
      <c r="AV209" s="169"/>
      <c r="AW209" s="169"/>
      <c r="AX209" s="169"/>
      <c r="AY209" s="169"/>
      <c r="AZ209" s="169"/>
      <c r="BA209" s="169"/>
      <c r="BB209" s="169"/>
      <c r="BC209" s="169"/>
    </row>
    <row r="210" spans="1:55">
      <c r="A210" s="169"/>
      <c r="B210" s="169"/>
      <c r="C210" s="303" t="s">
        <v>550</v>
      </c>
      <c r="D210" s="1880"/>
      <c r="E210" s="306">
        <f>E206+E207</f>
        <v>61649</v>
      </c>
      <c r="F210" s="306">
        <f>F206+F207</f>
        <v>62340</v>
      </c>
      <c r="G210" s="306">
        <f>G206+G207</f>
        <v>61285</v>
      </c>
      <c r="H210" s="306">
        <f>H206+H207</f>
        <v>58010</v>
      </c>
      <c r="I210" s="49"/>
      <c r="J210" s="259"/>
      <c r="K210" s="259"/>
      <c r="L210" s="259"/>
      <c r="M210" s="259"/>
      <c r="N210" s="259"/>
      <c r="O210" s="49"/>
      <c r="P210" s="50"/>
      <c r="Q210" s="364"/>
      <c r="R210" s="368" t="s">
        <v>552</v>
      </c>
      <c r="S210" s="369">
        <f>S209-E210</f>
        <v>707</v>
      </c>
      <c r="T210" s="369">
        <f>T209-F210</f>
        <v>497</v>
      </c>
      <c r="U210" s="369">
        <f>U209-G210</f>
        <v>-548</v>
      </c>
      <c r="V210" s="369">
        <f>V209-H210</f>
        <v>-1279</v>
      </c>
      <c r="W210" s="50"/>
      <c r="X210" s="169"/>
      <c r="Y210" s="169"/>
      <c r="Z210" s="169"/>
      <c r="AA210" s="169"/>
      <c r="AB210" s="169"/>
      <c r="AC210" s="169"/>
      <c r="AD210" s="169"/>
      <c r="AE210" s="169"/>
      <c r="AF210" s="169"/>
      <c r="AG210" s="169"/>
      <c r="AH210" s="169"/>
      <c r="AI210" s="169"/>
      <c r="AJ210" s="169"/>
      <c r="AK210" s="169"/>
      <c r="AL210" s="169"/>
      <c r="AM210" s="169"/>
      <c r="AN210" s="169"/>
      <c r="AO210" s="169"/>
      <c r="AP210" s="169"/>
      <c r="AQ210" s="169"/>
      <c r="AR210" s="169"/>
      <c r="AS210" s="169"/>
      <c r="AT210" s="169"/>
      <c r="AU210" s="169"/>
      <c r="AV210" s="169"/>
      <c r="AW210" s="169"/>
      <c r="AX210" s="169"/>
      <c r="AY210" s="169"/>
      <c r="AZ210" s="169"/>
      <c r="BA210" s="169"/>
      <c r="BB210" s="169"/>
      <c r="BC210" s="169"/>
    </row>
    <row r="211" spans="1:55">
      <c r="A211" s="169"/>
      <c r="B211" s="169"/>
      <c r="C211" s="303"/>
      <c r="D211" s="1880"/>
      <c r="E211" s="306"/>
      <c r="F211" s="306"/>
      <c r="G211" s="306"/>
      <c r="H211" s="306"/>
      <c r="I211" s="49"/>
      <c r="J211" s="259"/>
      <c r="K211" s="259"/>
      <c r="L211" s="259"/>
      <c r="M211" s="259"/>
      <c r="N211" s="259"/>
      <c r="O211" s="49"/>
      <c r="P211" s="50"/>
      <c r="Q211" s="49" t="s">
        <v>905</v>
      </c>
      <c r="R211" s="169"/>
      <c r="S211" s="49"/>
      <c r="T211" s="49"/>
      <c r="U211" s="49"/>
      <c r="V211" s="49"/>
      <c r="W211" s="50"/>
      <c r="X211" s="169"/>
      <c r="Y211" s="169"/>
      <c r="Z211" s="169"/>
      <c r="AA211" s="169"/>
      <c r="AB211" s="169"/>
      <c r="AC211" s="169"/>
      <c r="AD211" s="169"/>
      <c r="AE211" s="169"/>
      <c r="AF211" s="169"/>
      <c r="AG211" s="169"/>
      <c r="AH211" s="169"/>
      <c r="AI211" s="169"/>
      <c r="AJ211" s="169"/>
      <c r="AK211" s="169"/>
      <c r="AL211" s="169"/>
      <c r="AM211" s="169"/>
      <c r="AN211" s="169"/>
      <c r="AO211" s="169"/>
      <c r="AP211" s="169"/>
      <c r="AQ211" s="169"/>
      <c r="AR211" s="169"/>
      <c r="AS211" s="169"/>
      <c r="AT211" s="169"/>
      <c r="AU211" s="169"/>
      <c r="AV211" s="169"/>
      <c r="AW211" s="169"/>
      <c r="AX211" s="169"/>
      <c r="AY211" s="169"/>
      <c r="AZ211" s="169"/>
      <c r="BA211" s="169"/>
      <c r="BB211" s="169"/>
      <c r="BC211" s="169"/>
    </row>
    <row r="212" spans="1:55">
      <c r="A212" s="169"/>
      <c r="B212" s="169"/>
      <c r="C212" s="169"/>
      <c r="D212" s="335"/>
      <c r="E212" s="255"/>
      <c r="F212" s="255"/>
      <c r="G212" s="255"/>
      <c r="H212" s="255"/>
      <c r="I212" s="49"/>
      <c r="J212" s="259"/>
      <c r="K212" s="259"/>
      <c r="L212" s="259"/>
      <c r="M212" s="259"/>
      <c r="N212" s="259"/>
      <c r="O212" s="49"/>
      <c r="P212" s="50"/>
      <c r="Q212" s="50"/>
      <c r="R212" s="50"/>
      <c r="S212" s="50"/>
      <c r="T212" s="50"/>
      <c r="U212" s="50"/>
      <c r="V212" s="50"/>
      <c r="W212" s="50"/>
      <c r="X212" s="169"/>
      <c r="Y212" s="169"/>
      <c r="Z212" s="169"/>
      <c r="AA212" s="169"/>
      <c r="AB212" s="169"/>
      <c r="AC212" s="169"/>
      <c r="AD212" s="169"/>
      <c r="AE212" s="169"/>
      <c r="AF212" s="169"/>
      <c r="AG212" s="169"/>
      <c r="AH212" s="169"/>
      <c r="AI212" s="169"/>
      <c r="AJ212" s="169"/>
      <c r="AK212" s="169"/>
      <c r="AL212" s="169"/>
      <c r="AM212" s="169"/>
      <c r="AN212" s="169"/>
      <c r="AO212" s="169"/>
      <c r="AP212" s="169"/>
      <c r="AQ212" s="169"/>
      <c r="AR212" s="169"/>
      <c r="AS212" s="169"/>
      <c r="AT212" s="169"/>
      <c r="AU212" s="169"/>
      <c r="AV212" s="169"/>
      <c r="AW212" s="169"/>
      <c r="AX212" s="169"/>
      <c r="AY212" s="169"/>
      <c r="AZ212" s="169"/>
      <c r="BA212" s="169"/>
      <c r="BB212" s="169"/>
      <c r="BC212" s="169"/>
    </row>
    <row r="213" spans="1:55">
      <c r="A213" s="46" t="s">
        <v>43</v>
      </c>
      <c r="B213" s="177" t="s">
        <v>366</v>
      </c>
      <c r="C213" s="168" t="s">
        <v>220</v>
      </c>
      <c r="D213" s="1874"/>
      <c r="E213" s="253">
        <v>24.23</v>
      </c>
      <c r="F213" s="253">
        <v>15.19</v>
      </c>
      <c r="G213" s="253">
        <v>26.54</v>
      </c>
      <c r="H213" s="253">
        <v>27.58</v>
      </c>
      <c r="I213" s="247"/>
      <c r="J213" s="253"/>
      <c r="K213" s="253"/>
      <c r="L213" s="253"/>
      <c r="M213" s="253"/>
      <c r="N213" s="253"/>
      <c r="O213" s="168"/>
      <c r="P213" s="48"/>
      <c r="Q213" s="48"/>
      <c r="R213" s="48"/>
      <c r="S213" s="48"/>
      <c r="T213" s="48"/>
      <c r="U213" s="48"/>
      <c r="V213" s="48"/>
      <c r="W213" s="48"/>
      <c r="X213" s="168"/>
      <c r="Y213" s="168"/>
      <c r="Z213" s="168"/>
      <c r="AA213" s="168"/>
      <c r="AB213" s="168"/>
      <c r="AC213" s="168"/>
      <c r="AD213" s="168"/>
      <c r="AE213" s="48">
        <v>2010</v>
      </c>
      <c r="AF213" s="48"/>
      <c r="AG213" s="48"/>
      <c r="AH213" s="168"/>
      <c r="AI213" s="168"/>
      <c r="AJ213" s="168"/>
      <c r="AK213" s="168"/>
      <c r="AL213" s="168"/>
      <c r="AM213" s="168"/>
      <c r="AN213" s="168"/>
      <c r="AO213" s="168"/>
      <c r="AP213" s="168"/>
      <c r="AQ213" s="168"/>
      <c r="AR213" s="168"/>
      <c r="AS213" s="168"/>
      <c r="AT213" s="168"/>
      <c r="AU213" s="168"/>
      <c r="AV213" s="168"/>
      <c r="AW213" s="168"/>
      <c r="AX213" s="168"/>
      <c r="AY213" s="168"/>
      <c r="AZ213" s="168"/>
      <c r="BA213" s="168"/>
      <c r="BB213" s="168"/>
      <c r="BC213" s="168"/>
    </row>
    <row r="214" spans="1:55">
      <c r="A214" s="169"/>
      <c r="B214" s="169"/>
      <c r="C214" s="169" t="s">
        <v>221</v>
      </c>
      <c r="D214" s="335"/>
      <c r="E214" s="250">
        <v>15.94</v>
      </c>
      <c r="F214" s="250">
        <v>17.23</v>
      </c>
      <c r="G214" s="250">
        <v>13.97</v>
      </c>
      <c r="H214" s="250"/>
      <c r="I214" s="49" t="s">
        <v>544</v>
      </c>
      <c r="J214" s="259"/>
      <c r="K214" s="250"/>
      <c r="L214" s="259"/>
      <c r="M214" s="259"/>
      <c r="N214" s="259"/>
      <c r="O214" s="49"/>
      <c r="P214" s="50"/>
      <c r="Q214" s="137" t="s">
        <v>939</v>
      </c>
      <c r="R214" s="50"/>
      <c r="S214" s="50">
        <v>70152</v>
      </c>
      <c r="T214" s="50">
        <v>68436</v>
      </c>
      <c r="U214" s="50">
        <v>65754</v>
      </c>
      <c r="V214" s="50">
        <v>62523</v>
      </c>
      <c r="W214" s="50"/>
      <c r="X214" s="169"/>
      <c r="Y214" s="169"/>
      <c r="Z214" s="169"/>
      <c r="AA214" s="169"/>
      <c r="AB214" s="169"/>
      <c r="AC214" s="169"/>
      <c r="AD214" s="169"/>
      <c r="AE214" s="50">
        <f>U214</f>
        <v>65754</v>
      </c>
      <c r="AF214" s="50"/>
      <c r="AG214" s="50"/>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row>
    <row r="215" spans="1:55">
      <c r="A215" s="169"/>
      <c r="B215" s="169"/>
      <c r="C215" s="169" t="s">
        <v>222</v>
      </c>
      <c r="D215" s="335"/>
      <c r="E215" s="250">
        <v>11.39</v>
      </c>
      <c r="F215" s="250">
        <v>8.9</v>
      </c>
      <c r="G215" s="250">
        <v>10.26</v>
      </c>
      <c r="H215" s="250"/>
      <c r="I215" s="180"/>
      <c r="J215" s="250"/>
      <c r="K215" s="250"/>
      <c r="L215" s="250"/>
      <c r="M215" s="250"/>
      <c r="N215" s="250"/>
      <c r="O215" s="49"/>
      <c r="P215" s="50"/>
      <c r="Q215" s="137" t="s">
        <v>942</v>
      </c>
      <c r="R215" s="50"/>
      <c r="S215" s="50">
        <v>13822</v>
      </c>
      <c r="T215" s="50">
        <v>14078</v>
      </c>
      <c r="U215" s="50">
        <v>12946</v>
      </c>
      <c r="V215" s="50">
        <v>13179</v>
      </c>
      <c r="W215" s="50"/>
      <c r="X215" s="169"/>
      <c r="Y215" s="169"/>
      <c r="Z215" s="169"/>
      <c r="AA215" s="169"/>
      <c r="AB215" s="169"/>
      <c r="AC215" s="169"/>
      <c r="AD215" s="169"/>
      <c r="AE215" s="50">
        <v>15025</v>
      </c>
      <c r="AF215" s="50"/>
      <c r="AG215" s="50"/>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row>
    <row r="216" spans="1:55">
      <c r="A216" s="169"/>
      <c r="B216" s="169"/>
      <c r="C216" s="169" t="s">
        <v>223</v>
      </c>
      <c r="D216" s="335"/>
      <c r="E216" s="250">
        <v>10.08</v>
      </c>
      <c r="F216" s="250">
        <v>11.88</v>
      </c>
      <c r="G216" s="250">
        <v>9.58</v>
      </c>
      <c r="H216" s="250">
        <v>9.49</v>
      </c>
      <c r="I216" s="180"/>
      <c r="J216" s="259"/>
      <c r="K216" s="259"/>
      <c r="L216" s="259"/>
      <c r="M216" s="259"/>
      <c r="N216" s="259"/>
      <c r="O216" s="49"/>
      <c r="P216" s="50"/>
      <c r="Q216" s="137" t="s">
        <v>943</v>
      </c>
      <c r="R216" s="50"/>
      <c r="S216" s="50">
        <v>6345</v>
      </c>
      <c r="T216" s="50">
        <v>6757</v>
      </c>
      <c r="U216" s="50">
        <v>8680</v>
      </c>
      <c r="V216" s="50">
        <v>8392</v>
      </c>
      <c r="W216" s="49" t="s">
        <v>938</v>
      </c>
      <c r="X216" s="169"/>
      <c r="Y216" s="169"/>
      <c r="Z216" s="169"/>
      <c r="AA216" s="169"/>
      <c r="AB216" s="169"/>
      <c r="AC216" s="169"/>
      <c r="AD216" s="169"/>
      <c r="AE216" s="50">
        <v>6601</v>
      </c>
      <c r="AF216" s="50"/>
      <c r="AG216" s="50"/>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row>
    <row r="217" spans="1:55">
      <c r="A217" s="169"/>
      <c r="B217" s="169"/>
      <c r="C217" s="169" t="s">
        <v>224</v>
      </c>
      <c r="D217" s="335"/>
      <c r="E217" s="250">
        <v>6.34</v>
      </c>
      <c r="F217" s="250">
        <v>8.43</v>
      </c>
      <c r="G217" s="250">
        <v>8.92</v>
      </c>
      <c r="H217" s="250"/>
      <c r="I217" s="49" t="s">
        <v>368</v>
      </c>
      <c r="J217" s="259"/>
      <c r="K217" s="259"/>
      <c r="L217" s="259"/>
      <c r="M217" s="259"/>
      <c r="N217" s="259"/>
      <c r="O217" s="49"/>
      <c r="P217" s="50"/>
      <c r="Q217" s="137" t="s">
        <v>153</v>
      </c>
      <c r="R217" s="50"/>
      <c r="S217" s="50">
        <v>4106</v>
      </c>
      <c r="T217" s="50">
        <v>3784</v>
      </c>
      <c r="U217" s="49">
        <f>730+1261+1607</f>
        <v>3598</v>
      </c>
      <c r="V217" s="49">
        <f>824+1819+1470</f>
        <v>4113</v>
      </c>
      <c r="W217" s="49" t="s">
        <v>663</v>
      </c>
      <c r="X217" s="169"/>
      <c r="Y217" s="169"/>
      <c r="Z217" s="169"/>
      <c r="AA217" s="169"/>
      <c r="AB217" s="169"/>
      <c r="AC217" s="169"/>
      <c r="AD217" s="169"/>
      <c r="AE217" s="49">
        <v>3599</v>
      </c>
      <c r="AF217" s="50"/>
      <c r="AG217" s="50"/>
      <c r="AH217" s="169"/>
      <c r="AI217" s="169"/>
      <c r="AJ217" s="169"/>
      <c r="AK217" s="169"/>
      <c r="AL217" s="169"/>
      <c r="AM217" s="169"/>
      <c r="AN217" s="169"/>
      <c r="AO217" s="169"/>
      <c r="AP217" s="169"/>
      <c r="AQ217" s="169"/>
      <c r="AR217" s="169"/>
      <c r="AS217" s="169"/>
      <c r="AT217" s="169"/>
      <c r="AU217" s="169"/>
      <c r="AV217" s="169"/>
      <c r="AW217" s="169"/>
      <c r="AX217" s="169"/>
      <c r="AY217" s="169"/>
      <c r="AZ217" s="169"/>
      <c r="BA217" s="169"/>
      <c r="BB217" s="169"/>
      <c r="BC217" s="169"/>
    </row>
    <row r="218" spans="1:55">
      <c r="A218" s="169"/>
      <c r="B218" s="169"/>
      <c r="C218" s="169" t="s">
        <v>225</v>
      </c>
      <c r="D218" s="335"/>
      <c r="E218" s="250">
        <v>6.21</v>
      </c>
      <c r="F218" s="250">
        <v>7.95</v>
      </c>
      <c r="G218" s="250">
        <v>6.55</v>
      </c>
      <c r="H218" s="250"/>
      <c r="I218" s="49" t="s">
        <v>543</v>
      </c>
      <c r="J218" s="259"/>
      <c r="K218" s="259"/>
      <c r="L218" s="259"/>
      <c r="M218" s="259"/>
      <c r="N218" s="259"/>
      <c r="O218" s="49"/>
      <c r="P218" s="366"/>
      <c r="Q218" s="365" t="s">
        <v>936</v>
      </c>
      <c r="R218" s="366"/>
      <c r="S218" s="366">
        <f>SUM(S214:S217)</f>
        <v>94425</v>
      </c>
      <c r="T218" s="366">
        <f>SUM(T214:T217)</f>
        <v>93055</v>
      </c>
      <c r="U218" s="366">
        <f t="shared" ref="U218:V220" si="10">SUM(U214:U217)</f>
        <v>90978</v>
      </c>
      <c r="V218" s="366">
        <f t="shared" si="10"/>
        <v>88207</v>
      </c>
      <c r="W218" s="50"/>
      <c r="X218" s="169"/>
      <c r="Y218" s="169"/>
      <c r="Z218" s="169"/>
      <c r="AA218" s="169"/>
      <c r="AB218" s="169"/>
      <c r="AC218" s="169"/>
      <c r="AD218" s="169"/>
      <c r="AE218" s="366">
        <f>SUM(AE214:AE217)</f>
        <v>90979</v>
      </c>
      <c r="AF218" s="50"/>
      <c r="AG218" s="50"/>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row>
    <row r="219" spans="1:55">
      <c r="A219" s="169"/>
      <c r="B219" s="169"/>
      <c r="C219" s="248" t="s">
        <v>538</v>
      </c>
      <c r="D219" s="1878"/>
      <c r="E219" s="250">
        <v>5.44</v>
      </c>
      <c r="F219" s="250">
        <v>8.26</v>
      </c>
      <c r="G219" s="250">
        <v>7.34</v>
      </c>
      <c r="H219" s="250">
        <v>8.2799999999999994</v>
      </c>
      <c r="I219" s="180"/>
      <c r="J219" s="259"/>
      <c r="K219" s="259"/>
      <c r="L219" s="259"/>
      <c r="M219" s="259"/>
      <c r="N219" s="259"/>
      <c r="O219" s="49"/>
      <c r="P219" s="366"/>
      <c r="Q219" s="365" t="s">
        <v>937</v>
      </c>
      <c r="R219" s="366"/>
      <c r="S219" s="366">
        <v>7294</v>
      </c>
      <c r="T219" s="366">
        <v>5461</v>
      </c>
      <c r="U219" s="366">
        <v>3866</v>
      </c>
      <c r="V219" s="366">
        <v>2541</v>
      </c>
      <c r="W219" s="50" t="s">
        <v>941</v>
      </c>
      <c r="X219" s="169"/>
      <c r="Y219" s="169"/>
      <c r="Z219" s="169"/>
      <c r="AA219" s="169"/>
      <c r="AB219" s="169"/>
      <c r="AC219" s="169"/>
      <c r="AD219" s="169"/>
      <c r="AE219" s="366">
        <v>3866</v>
      </c>
      <c r="AF219" s="50"/>
      <c r="AG219" s="50"/>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row>
    <row r="220" spans="1:55">
      <c r="A220" s="169"/>
      <c r="B220" s="169"/>
      <c r="C220" s="169" t="s">
        <v>226</v>
      </c>
      <c r="D220" s="335"/>
      <c r="E220" s="250">
        <v>5.37</v>
      </c>
      <c r="F220" s="250">
        <v>5.93</v>
      </c>
      <c r="G220" s="250">
        <v>4.6900000000000004</v>
      </c>
      <c r="H220" s="250"/>
      <c r="I220" s="180"/>
      <c r="J220" s="259"/>
      <c r="K220" s="259"/>
      <c r="L220" s="259"/>
      <c r="M220" s="259"/>
      <c r="N220" s="259"/>
      <c r="O220" s="49"/>
      <c r="P220" s="366"/>
      <c r="Q220" s="365" t="s">
        <v>658</v>
      </c>
      <c r="R220" s="366"/>
      <c r="S220" s="366">
        <f>S218+S219</f>
        <v>101719</v>
      </c>
      <c r="T220" s="366">
        <f>T218+T219</f>
        <v>98516</v>
      </c>
      <c r="U220" s="366">
        <f>U218+U219</f>
        <v>94844</v>
      </c>
      <c r="V220" s="366">
        <f t="shared" si="10"/>
        <v>103253</v>
      </c>
      <c r="W220" s="50"/>
      <c r="X220" s="169"/>
      <c r="Y220" s="169"/>
      <c r="Z220" s="169"/>
      <c r="AA220" s="169"/>
      <c r="AB220" s="169"/>
      <c r="AC220" s="169"/>
      <c r="AD220" s="169"/>
      <c r="AE220" s="366">
        <f>SUM(AE216:AE219)</f>
        <v>105045</v>
      </c>
      <c r="AF220" s="50"/>
      <c r="AG220" s="50"/>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row>
    <row r="221" spans="1:55">
      <c r="A221" s="169"/>
      <c r="B221" s="169"/>
      <c r="C221" s="169" t="s">
        <v>227</v>
      </c>
      <c r="D221" s="335"/>
      <c r="E221" s="250">
        <v>4.43</v>
      </c>
      <c r="F221" s="250">
        <v>3.2</v>
      </c>
      <c r="G221" s="250">
        <v>3.21</v>
      </c>
      <c r="H221" s="250"/>
      <c r="I221" s="49" t="s">
        <v>153</v>
      </c>
      <c r="J221" s="259"/>
      <c r="K221" s="259"/>
      <c r="L221" s="259"/>
      <c r="M221" s="259"/>
      <c r="N221" s="259"/>
      <c r="O221" s="49"/>
      <c r="P221" s="50"/>
      <c r="Q221" s="137"/>
      <c r="R221" s="50"/>
      <c r="S221" s="50"/>
      <c r="T221" s="50"/>
      <c r="U221" s="50"/>
      <c r="V221" s="50"/>
      <c r="W221" s="50"/>
      <c r="X221" s="169"/>
      <c r="Y221" s="169"/>
      <c r="Z221" s="169"/>
      <c r="AA221" s="169"/>
      <c r="AB221" s="169"/>
      <c r="AC221" s="169"/>
      <c r="AD221" s="169"/>
      <c r="AE221" s="50"/>
      <c r="AF221" s="50"/>
      <c r="AG221" s="50"/>
      <c r="AH221" s="169"/>
      <c r="AI221" s="169"/>
      <c r="AJ221" s="169"/>
      <c r="AK221" s="169"/>
      <c r="AL221" s="169"/>
      <c r="AM221" s="169"/>
      <c r="AN221" s="169"/>
      <c r="AO221" s="169"/>
      <c r="AP221" s="169"/>
      <c r="AQ221" s="169"/>
      <c r="AR221" s="169"/>
      <c r="AS221" s="169"/>
      <c r="AT221" s="169"/>
      <c r="AU221" s="169"/>
      <c r="AV221" s="169"/>
      <c r="AW221" s="169"/>
      <c r="AX221" s="169"/>
      <c r="AY221" s="169"/>
      <c r="AZ221" s="169"/>
      <c r="BA221" s="169"/>
      <c r="BB221" s="169"/>
      <c r="BC221" s="169"/>
    </row>
    <row r="222" spans="1:55">
      <c r="A222" s="169"/>
      <c r="B222" s="169"/>
      <c r="C222" s="169" t="s">
        <v>228</v>
      </c>
      <c r="D222" s="335"/>
      <c r="E222" s="250">
        <v>3.89</v>
      </c>
      <c r="F222" s="250">
        <v>5.3</v>
      </c>
      <c r="G222" s="250">
        <v>4.8499999999999996</v>
      </c>
      <c r="H222" s="250"/>
      <c r="I222" s="49" t="s">
        <v>545</v>
      </c>
      <c r="J222" s="259"/>
      <c r="K222" s="259"/>
      <c r="L222" s="259"/>
      <c r="M222" s="259"/>
      <c r="N222" s="259"/>
      <c r="O222" s="49"/>
      <c r="P222" s="50"/>
      <c r="Q222" s="180" t="s">
        <v>940</v>
      </c>
      <c r="R222" s="38"/>
      <c r="S222" s="38">
        <f>S214/(S214+S215)</f>
        <v>0.8354014337771215</v>
      </c>
      <c r="T222" s="38">
        <f>T214/(T214+T215)</f>
        <v>0.82938652834670479</v>
      </c>
      <c r="U222" s="38">
        <f>U214/(U214+U215)</f>
        <v>0.83550190597204577</v>
      </c>
      <c r="V222" s="38">
        <f>V214/(V214+V215)</f>
        <v>0.82590948719980983</v>
      </c>
      <c r="W222" s="49" t="s">
        <v>945</v>
      </c>
      <c r="X222" s="169"/>
      <c r="Y222" s="169"/>
      <c r="Z222" s="169"/>
      <c r="AA222" s="169"/>
      <c r="AB222" s="169"/>
      <c r="AC222" s="169"/>
      <c r="AD222" s="169"/>
      <c r="AE222" s="38">
        <f>AE214/(AE214+AE215)</f>
        <v>0.81399868777776407</v>
      </c>
      <c r="AF222" s="38"/>
      <c r="AG222" s="38"/>
      <c r="AH222" s="169"/>
      <c r="AI222" s="169"/>
      <c r="AJ222" s="169"/>
      <c r="AK222" s="169"/>
      <c r="AL222" s="169"/>
      <c r="AM222" s="169"/>
      <c r="AN222" s="169"/>
      <c r="AO222" s="169"/>
      <c r="AP222" s="169"/>
      <c r="AQ222" s="169"/>
      <c r="AR222" s="169"/>
      <c r="AS222" s="169"/>
      <c r="AT222" s="169"/>
      <c r="AU222" s="169"/>
      <c r="AV222" s="169"/>
      <c r="AW222" s="169"/>
      <c r="AX222" s="169"/>
      <c r="AY222" s="169"/>
      <c r="AZ222" s="169"/>
      <c r="BA222" s="169"/>
      <c r="BB222" s="169"/>
      <c r="BC222" s="169"/>
    </row>
    <row r="223" spans="1:55">
      <c r="A223" s="169"/>
      <c r="B223" s="169"/>
      <c r="C223" s="169" t="s">
        <v>229</v>
      </c>
      <c r="D223" s="335"/>
      <c r="E223" s="250">
        <v>3.53</v>
      </c>
      <c r="F223" s="250">
        <v>3.57</v>
      </c>
      <c r="G223" s="250">
        <v>0.78</v>
      </c>
      <c r="H223" s="250"/>
      <c r="I223" s="180"/>
      <c r="J223" s="259"/>
      <c r="K223" s="259"/>
      <c r="L223" s="259"/>
      <c r="M223" s="259"/>
      <c r="N223" s="259"/>
      <c r="O223" s="49"/>
      <c r="P223" s="169"/>
      <c r="Q223" s="180" t="s">
        <v>944</v>
      </c>
      <c r="R223" s="888"/>
      <c r="S223" s="888">
        <f>S214+S222*S219</f>
        <v>76245.418057970324</v>
      </c>
      <c r="T223" s="888">
        <f>T214+T222*T219</f>
        <v>72965.279831301348</v>
      </c>
      <c r="U223" s="888">
        <f>U214+U222*U219</f>
        <v>68984.050368487922</v>
      </c>
      <c r="V223" s="888">
        <f>V214+V222*V219</f>
        <v>64621.636006974717</v>
      </c>
      <c r="W223" s="50"/>
      <c r="X223" s="169"/>
      <c r="Y223" s="169"/>
      <c r="Z223" s="169"/>
      <c r="AA223" s="169"/>
      <c r="AB223" s="169"/>
      <c r="AC223" s="169"/>
      <c r="AD223" s="169"/>
      <c r="AE223" s="888">
        <f>AE214+AE222*AE219</f>
        <v>68900.918926948842</v>
      </c>
      <c r="AF223" s="38"/>
      <c r="AG223" s="38"/>
      <c r="AH223" s="169"/>
      <c r="AI223" s="169"/>
      <c r="AJ223" s="169"/>
      <c r="AK223" s="169"/>
      <c r="AL223" s="169"/>
      <c r="AM223" s="169"/>
      <c r="AN223" s="169"/>
      <c r="AO223" s="169"/>
      <c r="AP223" s="169"/>
      <c r="AQ223" s="169"/>
      <c r="AR223" s="169"/>
      <c r="AS223" s="169"/>
      <c r="AT223" s="169"/>
      <c r="AU223" s="169"/>
      <c r="AV223" s="169"/>
      <c r="AW223" s="169"/>
      <c r="AX223" s="169"/>
      <c r="AY223" s="169"/>
      <c r="AZ223" s="169"/>
      <c r="BA223" s="169"/>
      <c r="BB223" s="169"/>
      <c r="BC223" s="169"/>
    </row>
    <row r="224" spans="1:55">
      <c r="A224" s="169"/>
      <c r="B224" s="169"/>
      <c r="C224" s="169" t="s">
        <v>230</v>
      </c>
      <c r="D224" s="335"/>
      <c r="E224" s="250">
        <v>2.6</v>
      </c>
      <c r="F224" s="250">
        <v>3.44</v>
      </c>
      <c r="G224" s="250">
        <v>2.66</v>
      </c>
      <c r="H224" s="250"/>
      <c r="I224" s="180"/>
      <c r="J224" s="259"/>
      <c r="K224" s="302">
        <f>(100-E217-E221)/(100-E221)</f>
        <v>0.93366119075023535</v>
      </c>
      <c r="L224" s="302">
        <f>(100-F217-F221)/(100-F221)</f>
        <v>0.91291322314049583</v>
      </c>
      <c r="M224" s="302">
        <f>(100-G217-G221)/(100-G221)</f>
        <v>0.90784171918586631</v>
      </c>
      <c r="N224" s="259"/>
      <c r="O224" s="49"/>
      <c r="P224" s="169"/>
      <c r="Q224" s="180" t="s">
        <v>369</v>
      </c>
      <c r="R224" s="169"/>
      <c r="S224" s="38">
        <f>S223/S220</f>
        <v>0.74956908795771016</v>
      </c>
      <c r="T224" s="38">
        <f>T223/T220</f>
        <v>0.74064395459926657</v>
      </c>
      <c r="U224" s="38">
        <f>U223/U220</f>
        <v>0.72734227118729622</v>
      </c>
      <c r="V224" s="38">
        <f>V223/V220</f>
        <v>0.62585722455497383</v>
      </c>
      <c r="W224" s="169"/>
      <c r="X224" s="169"/>
      <c r="Y224" s="169"/>
      <c r="Z224" s="169"/>
      <c r="AA224" s="169"/>
      <c r="AB224" s="169"/>
      <c r="AC224" s="169"/>
      <c r="AD224" s="169"/>
      <c r="AE224" s="38">
        <f>AE223/AE220</f>
        <v>0.65591812010994188</v>
      </c>
      <c r="AF224" s="169"/>
      <c r="AG224" s="169"/>
      <c r="AH224" s="169"/>
      <c r="AI224" s="169"/>
      <c r="AJ224" s="169"/>
      <c r="AK224" s="169"/>
      <c r="AL224" s="169"/>
      <c r="AM224" s="169"/>
      <c r="AN224" s="169"/>
      <c r="AO224" s="169"/>
      <c r="AP224" s="169"/>
      <c r="AQ224" s="169"/>
      <c r="AR224" s="169"/>
      <c r="AS224" s="169"/>
      <c r="AT224" s="169"/>
      <c r="AU224" s="169"/>
      <c r="AV224" s="169"/>
      <c r="AW224" s="169"/>
      <c r="AX224" s="169"/>
      <c r="AY224" s="169"/>
      <c r="AZ224" s="169"/>
      <c r="BA224" s="169"/>
      <c r="BB224" s="169"/>
      <c r="BC224" s="169"/>
    </row>
    <row r="225" spans="1:55">
      <c r="A225" s="169"/>
      <c r="B225" s="169"/>
      <c r="C225" s="169" t="s">
        <v>231</v>
      </c>
      <c r="D225" s="335"/>
      <c r="E225" s="250">
        <v>0.55000000000000004</v>
      </c>
      <c r="F225" s="250">
        <v>0.74</v>
      </c>
      <c r="G225" s="250">
        <v>0.55000000000000004</v>
      </c>
      <c r="H225" s="250"/>
      <c r="I225" s="49" t="s">
        <v>542</v>
      </c>
      <c r="J225" s="259"/>
      <c r="K225" s="302">
        <f>(100-E217-E221)/100</f>
        <v>0.89229999999999987</v>
      </c>
      <c r="L225" s="302">
        <f>(100-F217-F221)/100</f>
        <v>0.88369999999999993</v>
      </c>
      <c r="M225" s="302">
        <f>(100-G217-G221)/100</f>
        <v>0.87870000000000004</v>
      </c>
      <c r="N225" s="259"/>
      <c r="O225" s="49"/>
      <c r="P225" s="50"/>
      <c r="Q225" s="169"/>
      <c r="R225" s="169"/>
      <c r="S225" s="169"/>
      <c r="T225" s="169"/>
      <c r="U225" s="169"/>
      <c r="V225" s="169"/>
      <c r="W225" s="169"/>
      <c r="X225" s="169"/>
      <c r="Y225" s="169"/>
      <c r="Z225" s="169"/>
      <c r="AA225" s="169"/>
      <c r="AB225" s="169"/>
      <c r="AC225" s="169"/>
      <c r="AD225" s="169"/>
      <c r="AE225" s="169"/>
      <c r="AF225" s="888"/>
      <c r="AG225" s="888"/>
      <c r="AH225" s="169"/>
      <c r="AI225" s="169"/>
      <c r="AJ225" s="169"/>
      <c r="AK225" s="169"/>
      <c r="AL225" s="169"/>
      <c r="AM225" s="169"/>
      <c r="AN225" s="169"/>
      <c r="AO225" s="169"/>
      <c r="AP225" s="169"/>
      <c r="AQ225" s="169"/>
      <c r="AR225" s="169"/>
      <c r="AS225" s="169"/>
      <c r="AT225" s="169"/>
      <c r="AU225" s="169"/>
      <c r="AV225" s="169"/>
      <c r="AW225" s="169"/>
      <c r="AX225" s="169"/>
      <c r="AY225" s="169"/>
      <c r="AZ225" s="169"/>
      <c r="BA225" s="169"/>
      <c r="BB225" s="169"/>
      <c r="BC225" s="169"/>
    </row>
    <row r="226" spans="1:55">
      <c r="A226" s="169"/>
      <c r="B226" s="51" t="s">
        <v>366</v>
      </c>
      <c r="C226" s="51" t="s">
        <v>171</v>
      </c>
      <c r="D226" s="1870"/>
      <c r="E226" s="250">
        <v>84.41</v>
      </c>
      <c r="F226" s="250">
        <v>81.2</v>
      </c>
      <c r="G226" s="250">
        <v>80.989999999999995</v>
      </c>
      <c r="H226" s="250">
        <v>78.92</v>
      </c>
      <c r="I226" s="889" t="s">
        <v>540</v>
      </c>
      <c r="J226" s="890"/>
      <c r="K226" s="890">
        <f>E226/$AB$1</f>
        <v>0.84409999999999996</v>
      </c>
      <c r="L226" s="890">
        <f>F226/$AB$1</f>
        <v>0.81200000000000006</v>
      </c>
      <c r="M226" s="890">
        <f>G226/$AB$1</f>
        <v>0.80989999999999995</v>
      </c>
      <c r="N226" s="890">
        <f>H226/$AB$1</f>
        <v>0.78920000000000001</v>
      </c>
      <c r="O226" s="49"/>
      <c r="P226" s="49" t="s">
        <v>946</v>
      </c>
      <c r="Q226" s="49"/>
      <c r="R226" s="49"/>
      <c r="S226" s="49"/>
      <c r="T226" s="49"/>
      <c r="U226" s="169"/>
      <c r="V226" s="169"/>
      <c r="W226" s="169"/>
      <c r="X226" s="169"/>
      <c r="Y226" s="169"/>
      <c r="Z226" s="169"/>
      <c r="AA226" s="169"/>
      <c r="AB226" s="169"/>
      <c r="AC226" s="169"/>
      <c r="AD226" s="169"/>
      <c r="AE226" s="169"/>
      <c r="AF226" s="38"/>
      <c r="AG226" s="38"/>
      <c r="AH226" s="169"/>
      <c r="AI226" s="169"/>
      <c r="AJ226" s="169"/>
      <c r="AK226" s="169"/>
      <c r="AL226" s="169"/>
      <c r="AM226" s="169"/>
      <c r="AN226" s="169"/>
      <c r="AO226" s="169"/>
      <c r="AP226" s="169"/>
      <c r="AQ226" s="169"/>
      <c r="AR226" s="169"/>
      <c r="AS226" s="169"/>
      <c r="AT226" s="169"/>
      <c r="AU226" s="169"/>
      <c r="AV226" s="169"/>
      <c r="AW226" s="169"/>
      <c r="AX226" s="169"/>
      <c r="AY226" s="169"/>
      <c r="AZ226" s="169"/>
      <c r="BA226" s="169"/>
      <c r="BB226" s="169"/>
      <c r="BC226" s="169"/>
    </row>
    <row r="227" spans="1:55">
      <c r="A227" s="169"/>
      <c r="B227" s="169"/>
      <c r="C227" s="341" t="s">
        <v>172</v>
      </c>
      <c r="D227" s="1881"/>
      <c r="E227" s="250">
        <v>15.590000000000003</v>
      </c>
      <c r="F227" s="250">
        <v>18.799999999999997</v>
      </c>
      <c r="G227" s="250">
        <v>19.010000000000005</v>
      </c>
      <c r="H227" s="250">
        <v>21.08</v>
      </c>
      <c r="I227" s="169"/>
      <c r="J227" s="259"/>
      <c r="K227" s="250"/>
      <c r="L227" s="250"/>
      <c r="M227" s="250"/>
      <c r="N227" s="256"/>
      <c r="O227" s="49"/>
      <c r="P227" s="49"/>
      <c r="Q227" s="180" t="s">
        <v>369</v>
      </c>
      <c r="R227" s="38">
        <v>0.77408384190148005</v>
      </c>
      <c r="S227" s="38">
        <v>0.77369943004220887</v>
      </c>
      <c r="T227" s="38">
        <v>0.759262683781461</v>
      </c>
      <c r="U227" s="169"/>
      <c r="V227" s="285"/>
      <c r="W227" s="169"/>
      <c r="X227" s="169"/>
      <c r="Y227" s="169"/>
      <c r="Z227" s="169"/>
      <c r="AA227" s="169"/>
      <c r="AB227" s="169"/>
      <c r="AC227" s="169"/>
      <c r="AD227" s="169"/>
      <c r="AE227" s="169"/>
      <c r="AF227" s="169"/>
      <c r="AG227" s="169"/>
      <c r="AH227" s="169"/>
      <c r="AI227" s="169"/>
      <c r="AJ227" s="169"/>
      <c r="AK227" s="169"/>
      <c r="AL227" s="169"/>
      <c r="AM227" s="169"/>
      <c r="AN227" s="169"/>
      <c r="AO227" s="169"/>
      <c r="AP227" s="169"/>
      <c r="AQ227" s="169"/>
      <c r="AR227" s="169"/>
      <c r="AS227" s="169"/>
      <c r="AT227" s="169"/>
      <c r="AU227" s="169"/>
      <c r="AV227" s="169"/>
      <c r="AW227" s="169"/>
      <c r="AX227" s="169"/>
      <c r="AY227" s="169"/>
      <c r="AZ227" s="169"/>
      <c r="BA227" s="169"/>
      <c r="BB227" s="169"/>
      <c r="BC227" s="169"/>
    </row>
    <row r="228" spans="1:55">
      <c r="A228" s="169"/>
      <c r="B228" s="169" t="s">
        <v>139</v>
      </c>
      <c r="C228" s="169" t="s">
        <v>232</v>
      </c>
      <c r="D228" s="335"/>
      <c r="E228" s="250">
        <v>32.340000000000003</v>
      </c>
      <c r="F228" s="250">
        <v>31.68</v>
      </c>
      <c r="G228" s="250">
        <v>35.74</v>
      </c>
      <c r="H228" s="250">
        <v>33.979999999999997</v>
      </c>
      <c r="I228" s="828" t="s">
        <v>369</v>
      </c>
      <c r="J228" s="721">
        <f>S224</f>
        <v>0.74956908795771016</v>
      </c>
      <c r="K228" s="721">
        <f>S224</f>
        <v>0.74956908795771016</v>
      </c>
      <c r="L228" s="721">
        <f>T224</f>
        <v>0.74064395459926657</v>
      </c>
      <c r="M228" s="721">
        <f>U224</f>
        <v>0.72734227118729622</v>
      </c>
      <c r="N228" s="721">
        <f>V224</f>
        <v>0.62585722455497383</v>
      </c>
      <c r="O228" s="49"/>
      <c r="P228" s="49" t="s">
        <v>947</v>
      </c>
      <c r="Q228" s="180"/>
      <c r="R228" s="49"/>
      <c r="S228" s="169"/>
      <c r="T228" s="169"/>
      <c r="U228" s="169"/>
      <c r="V228" s="169"/>
      <c r="W228" s="49"/>
      <c r="X228" s="169"/>
      <c r="Y228" s="50"/>
      <c r="Z228" s="50"/>
      <c r="AA228" s="50"/>
      <c r="AB228" s="50"/>
      <c r="AC228" s="50"/>
      <c r="AD228" s="169"/>
      <c r="AE228" s="169"/>
      <c r="AF228" s="169"/>
      <c r="AG228" s="169"/>
      <c r="AH228" s="169"/>
      <c r="AI228" s="169"/>
      <c r="AJ228" s="169"/>
      <c r="AK228" s="169"/>
      <c r="AL228" s="169"/>
      <c r="AM228" s="169"/>
      <c r="AN228" s="169"/>
      <c r="AO228" s="169"/>
      <c r="AP228" s="169"/>
      <c r="AQ228" s="169"/>
      <c r="AR228" s="169"/>
      <c r="AS228" s="169"/>
      <c r="AT228" s="169"/>
      <c r="AU228" s="169"/>
      <c r="AV228" s="169"/>
      <c r="AW228" s="169"/>
      <c r="AX228" s="169"/>
      <c r="AY228" s="169"/>
      <c r="AZ228" s="169"/>
      <c r="BA228" s="169"/>
      <c r="BB228" s="169"/>
      <c r="BC228" s="169"/>
    </row>
    <row r="229" spans="1:55">
      <c r="A229" s="169"/>
      <c r="B229" s="169"/>
      <c r="C229" s="169" t="s">
        <v>222</v>
      </c>
      <c r="D229" s="335"/>
      <c r="E229" s="250">
        <v>16.829999999999998</v>
      </c>
      <c r="F229" s="250">
        <v>16.47</v>
      </c>
      <c r="G229" s="250">
        <v>15.55</v>
      </c>
      <c r="H229" s="250"/>
      <c r="I229" s="169"/>
      <c r="J229" s="250"/>
      <c r="K229" s="250"/>
      <c r="L229" s="250"/>
      <c r="M229" s="250"/>
      <c r="N229" s="250"/>
      <c r="O229" s="169"/>
      <c r="P229" s="50"/>
      <c r="Q229" s="887"/>
      <c r="R229" s="169"/>
      <c r="S229" s="169"/>
      <c r="T229" s="169"/>
      <c r="U229" s="169"/>
      <c r="V229" s="169"/>
      <c r="W229" s="169"/>
      <c r="X229" s="169"/>
      <c r="Y229" s="169"/>
      <c r="Z229" s="169"/>
      <c r="AA229" s="50"/>
      <c r="AB229" s="50"/>
      <c r="AC229" s="50"/>
      <c r="AD229" s="169"/>
      <c r="AE229" s="169"/>
      <c r="AF229" s="169"/>
      <c r="AG229" s="169"/>
      <c r="AH229" s="169"/>
      <c r="AI229" s="169"/>
      <c r="AJ229" s="169"/>
      <c r="AK229" s="169"/>
      <c r="AL229" s="169"/>
      <c r="AM229" s="169"/>
      <c r="AN229" s="169"/>
      <c r="AO229" s="169"/>
      <c r="AP229" s="169"/>
      <c r="AQ229" s="169"/>
      <c r="AR229" s="169"/>
      <c r="AS229" s="169"/>
      <c r="AT229" s="169"/>
      <c r="AU229" s="169"/>
      <c r="AV229" s="169"/>
      <c r="AW229" s="169"/>
      <c r="AX229" s="169"/>
      <c r="AY229" s="169"/>
      <c r="AZ229" s="169"/>
      <c r="BA229" s="169"/>
      <c r="BB229" s="169"/>
      <c r="BC229" s="169"/>
    </row>
    <row r="230" spans="1:55">
      <c r="A230" s="169"/>
      <c r="B230" s="169"/>
      <c r="C230" s="169" t="s">
        <v>221</v>
      </c>
      <c r="D230" s="335"/>
      <c r="E230" s="250">
        <v>15.27</v>
      </c>
      <c r="F230" s="250">
        <v>16.3</v>
      </c>
      <c r="G230" s="250">
        <v>16.84</v>
      </c>
      <c r="H230" s="250"/>
      <c r="I230" s="169"/>
      <c r="J230" s="250"/>
      <c r="K230" s="250"/>
      <c r="L230" s="250"/>
      <c r="M230" s="250"/>
      <c r="N230" s="250"/>
      <c r="O230" s="169"/>
      <c r="P230" s="50"/>
      <c r="Q230" s="137"/>
      <c r="R230" s="50"/>
      <c r="S230" s="50"/>
      <c r="T230" s="50"/>
      <c r="U230" s="50"/>
      <c r="V230" s="50"/>
      <c r="W230" s="137"/>
      <c r="X230" s="243"/>
      <c r="Y230" s="243"/>
      <c r="Z230" s="243"/>
      <c r="AA230" s="50"/>
      <c r="AB230" s="169"/>
      <c r="AC230" s="169"/>
      <c r="AD230" s="169"/>
      <c r="AE230" s="169"/>
      <c r="AF230" s="169"/>
      <c r="AG230" s="169"/>
      <c r="AH230" s="169"/>
      <c r="AI230" s="169"/>
      <c r="AJ230" s="169"/>
      <c r="AK230" s="169"/>
      <c r="AL230" s="169"/>
      <c r="AM230" s="169"/>
      <c r="AN230" s="169"/>
      <c r="AO230" s="169"/>
      <c r="AP230" s="169"/>
      <c r="AQ230" s="169"/>
      <c r="AR230" s="169"/>
      <c r="AS230" s="169"/>
      <c r="AT230" s="169"/>
      <c r="AU230" s="169"/>
      <c r="AV230" s="169"/>
      <c r="AW230" s="169"/>
      <c r="AX230" s="169"/>
      <c r="AY230" s="169"/>
      <c r="AZ230" s="169"/>
      <c r="BA230" s="169"/>
      <c r="BB230" s="169"/>
      <c r="BC230" s="169"/>
    </row>
    <row r="231" spans="1:55">
      <c r="A231" s="169"/>
      <c r="B231" s="169"/>
      <c r="C231" s="169" t="s">
        <v>225</v>
      </c>
      <c r="D231" s="335"/>
      <c r="E231" s="250">
        <v>10.61</v>
      </c>
      <c r="F231" s="250">
        <v>11.74</v>
      </c>
      <c r="G231" s="250">
        <v>11.1</v>
      </c>
      <c r="H231" s="250"/>
      <c r="I231" s="180" t="s">
        <v>948</v>
      </c>
      <c r="J231" s="250"/>
      <c r="K231" s="250"/>
      <c r="L231" s="250"/>
      <c r="M231" s="250"/>
      <c r="N231" s="259"/>
      <c r="O231" s="49" t="s">
        <v>373</v>
      </c>
      <c r="P231" s="169"/>
      <c r="Q231" s="169"/>
      <c r="R231" s="169"/>
      <c r="S231" s="169"/>
      <c r="T231" s="169"/>
      <c r="U231" s="169"/>
      <c r="V231" s="169"/>
      <c r="W231" s="169"/>
      <c r="X231" s="169"/>
      <c r="Y231" s="169"/>
      <c r="Z231" s="169"/>
      <c r="AA231" s="169"/>
      <c r="AB231" s="169"/>
      <c r="AC231" s="169"/>
      <c r="AD231" s="169"/>
      <c r="AE231" s="169"/>
      <c r="AF231" s="169"/>
      <c r="AG231" s="169"/>
      <c r="AH231" s="169"/>
      <c r="AI231" s="169"/>
      <c r="AJ231" s="169"/>
      <c r="AK231" s="169"/>
      <c r="AL231" s="169"/>
      <c r="AM231" s="169"/>
      <c r="AN231" s="169"/>
      <c r="AO231" s="169"/>
      <c r="AP231" s="169"/>
      <c r="AQ231" s="169"/>
      <c r="AR231" s="169"/>
      <c r="AS231" s="169"/>
      <c r="AT231" s="169"/>
      <c r="AU231" s="169"/>
      <c r="AV231" s="169"/>
      <c r="AW231" s="169"/>
      <c r="AX231" s="169"/>
      <c r="AY231" s="169"/>
      <c r="AZ231" s="169"/>
      <c r="BA231" s="169"/>
      <c r="BB231" s="169"/>
      <c r="BC231" s="169"/>
    </row>
    <row r="232" spans="1:55">
      <c r="A232" s="169"/>
      <c r="B232" s="169"/>
      <c r="C232" s="169" t="s">
        <v>223</v>
      </c>
      <c r="D232" s="335"/>
      <c r="E232" s="250">
        <v>7.82</v>
      </c>
      <c r="F232" s="250">
        <v>8</v>
      </c>
      <c r="G232" s="250">
        <v>7.68</v>
      </c>
      <c r="H232" s="250">
        <v>5.98</v>
      </c>
      <c r="I232" s="372" t="s">
        <v>369</v>
      </c>
      <c r="J232" s="334"/>
      <c r="K232" s="375">
        <f>(E213+E216+E219)/100</f>
        <v>0.39750000000000002</v>
      </c>
      <c r="L232" s="375">
        <f>(F213+F216+F219)/100</f>
        <v>0.3533</v>
      </c>
      <c r="M232" s="375">
        <f>(G213+G216+G219)/100</f>
        <v>0.43459999999999993</v>
      </c>
      <c r="N232" s="375">
        <f>(H213+H216+H219)/100</f>
        <v>0.45350000000000001</v>
      </c>
      <c r="O232" s="376">
        <f>(3*K232+2*L232+AVERAGE(M232,N232))/6</f>
        <v>0.39052500000000001</v>
      </c>
      <c r="P232" s="49" t="s">
        <v>959</v>
      </c>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c r="AM232" s="169"/>
      <c r="AN232" s="169"/>
      <c r="AO232" s="169"/>
      <c r="AP232" s="169"/>
      <c r="AQ232" s="169"/>
      <c r="AR232" s="169"/>
      <c r="AS232" s="169"/>
      <c r="AT232" s="169"/>
      <c r="AU232" s="169"/>
      <c r="AV232" s="169"/>
      <c r="AW232" s="169"/>
      <c r="AX232" s="169"/>
      <c r="AY232" s="169"/>
      <c r="AZ232" s="169"/>
      <c r="BA232" s="169"/>
      <c r="BB232" s="169"/>
      <c r="BC232" s="169"/>
    </row>
    <row r="233" spans="1:55">
      <c r="A233" s="169"/>
      <c r="B233" s="169"/>
      <c r="C233" s="169" t="s">
        <v>226</v>
      </c>
      <c r="D233" s="335"/>
      <c r="E233" s="250">
        <v>6.59</v>
      </c>
      <c r="F233" s="250">
        <v>5.86</v>
      </c>
      <c r="G233" s="250">
        <v>4.4800000000000004</v>
      </c>
      <c r="H233" s="250"/>
      <c r="I233" s="346" t="s">
        <v>391</v>
      </c>
      <c r="J233" s="382"/>
      <c r="K233" s="337">
        <f>(E228+E232+E236)/100</f>
        <v>0.43550000000000005</v>
      </c>
      <c r="L233" s="337">
        <f>(F228+F232+F236)/100</f>
        <v>0.45280000000000004</v>
      </c>
      <c r="M233" s="337">
        <f>(G228+G232+G236)/100</f>
        <v>0.49109999999999998</v>
      </c>
      <c r="N233" s="337">
        <f>(H228+H232+H236)/100</f>
        <v>0.45439999999999997</v>
      </c>
      <c r="O233" s="376">
        <f>(3*K233+2*L233+AVERAGE(M233,N233))/6</f>
        <v>0.44747500000000007</v>
      </c>
      <c r="P233" s="49" t="s">
        <v>960</v>
      </c>
      <c r="Q233" s="137"/>
      <c r="R233" s="50"/>
      <c r="S233" s="50"/>
      <c r="T233" s="50"/>
      <c r="U233" s="50"/>
      <c r="V233" s="50"/>
      <c r="W233" s="169"/>
      <c r="X233" s="49"/>
      <c r="Y233" s="50"/>
      <c r="Z233" s="50"/>
      <c r="AA233" s="50"/>
      <c r="AB233" s="50"/>
      <c r="AC233" s="50"/>
      <c r="AD233" s="169"/>
      <c r="AE233" s="169"/>
      <c r="AF233" s="169"/>
      <c r="AG233" s="169"/>
      <c r="AH233" s="169"/>
      <c r="AI233" s="169"/>
      <c r="AJ233" s="169"/>
      <c r="AK233" s="169"/>
      <c r="AL233" s="169"/>
      <c r="AM233" s="169"/>
      <c r="AN233" s="169"/>
      <c r="AO233" s="169"/>
      <c r="AP233" s="169"/>
      <c r="AQ233" s="169"/>
      <c r="AR233" s="169"/>
      <c r="AS233" s="169"/>
      <c r="AT233" s="169"/>
      <c r="AU233" s="169"/>
      <c r="AV233" s="169"/>
      <c r="AW233" s="169"/>
      <c r="AX233" s="169"/>
      <c r="AY233" s="169"/>
      <c r="AZ233" s="169"/>
      <c r="BA233" s="169"/>
      <c r="BB233" s="169"/>
      <c r="BC233" s="169"/>
    </row>
    <row r="234" spans="1:55">
      <c r="A234" s="169"/>
      <c r="B234" s="169"/>
      <c r="C234" s="169" t="s">
        <v>233</v>
      </c>
      <c r="D234" s="335"/>
      <c r="E234" s="250">
        <v>6.06</v>
      </c>
      <c r="F234" s="250">
        <v>5.85</v>
      </c>
      <c r="G234" s="250">
        <v>7.39</v>
      </c>
      <c r="H234" s="250"/>
      <c r="I234" s="180" t="s">
        <v>921</v>
      </c>
      <c r="J234" s="899"/>
      <c r="K234" s="899">
        <f>K233/K232</f>
        <v>1.0955974842767295</v>
      </c>
      <c r="L234" s="899">
        <f>L233/L232</f>
        <v>1.2816303424851403</v>
      </c>
      <c r="M234" s="899">
        <f>M233/M232</f>
        <v>1.1300046019328118</v>
      </c>
      <c r="N234" s="899">
        <f>N233/N232</f>
        <v>1.0019845644983461</v>
      </c>
      <c r="O234" s="371">
        <f>(3*K234+2*L234+AVERAGE(M234,N234))/6</f>
        <v>1.1526746201693412</v>
      </c>
      <c r="P234" s="49" t="s">
        <v>961</v>
      </c>
      <c r="Q234" s="169"/>
      <c r="R234" s="50"/>
      <c r="S234" s="50"/>
      <c r="T234" s="50"/>
      <c r="U234" s="50"/>
      <c r="V234" s="50"/>
      <c r="W234" s="50"/>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c r="AS234" s="169"/>
      <c r="AT234" s="169"/>
      <c r="AU234" s="169"/>
      <c r="AV234" s="169"/>
      <c r="AW234" s="169"/>
      <c r="AX234" s="169"/>
      <c r="AY234" s="169"/>
      <c r="AZ234" s="169"/>
      <c r="BA234" s="169"/>
      <c r="BB234" s="169"/>
      <c r="BC234" s="169"/>
    </row>
    <row r="235" spans="1:55">
      <c r="A235" s="169"/>
      <c r="B235" s="169"/>
      <c r="C235" s="169" t="s">
        <v>228</v>
      </c>
      <c r="D235" s="335"/>
      <c r="E235" s="250">
        <v>3.98</v>
      </c>
      <c r="F235" s="250">
        <v>4.79</v>
      </c>
      <c r="G235" s="250">
        <v>5.65</v>
      </c>
      <c r="H235" s="250"/>
      <c r="I235" s="49"/>
      <c r="J235" s="259"/>
      <c r="K235" s="259"/>
      <c r="L235" s="259"/>
      <c r="M235" s="259"/>
      <c r="N235" s="259"/>
      <c r="O235" s="49"/>
      <c r="P235" s="50"/>
      <c r="Q235" s="169"/>
      <c r="R235" s="50"/>
      <c r="S235" s="50"/>
      <c r="T235" s="50"/>
      <c r="U235" s="50"/>
      <c r="V235" s="50"/>
      <c r="W235" s="50"/>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row>
    <row r="236" spans="1:55">
      <c r="A236" s="169"/>
      <c r="B236" s="169"/>
      <c r="C236" s="884" t="s">
        <v>958</v>
      </c>
      <c r="D236" s="1882"/>
      <c r="E236" s="250">
        <v>3.39</v>
      </c>
      <c r="F236" s="250">
        <v>5.6</v>
      </c>
      <c r="G236" s="250">
        <v>5.69</v>
      </c>
      <c r="H236" s="250">
        <v>5.48</v>
      </c>
      <c r="I236" s="424" t="s">
        <v>391</v>
      </c>
      <c r="J236" s="423" t="s">
        <v>670</v>
      </c>
      <c r="K236" s="423"/>
      <c r="L236" s="423"/>
      <c r="M236" s="423"/>
      <c r="N236" s="423"/>
      <c r="O236" s="49"/>
      <c r="P236" s="49" t="s">
        <v>962</v>
      </c>
      <c r="Q236" s="50"/>
      <c r="R236" s="50"/>
      <c r="S236" s="50"/>
      <c r="T236" s="50"/>
      <c r="U236" s="50"/>
      <c r="V236" s="50"/>
      <c r="W236" s="50"/>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row>
    <row r="237" spans="1:55">
      <c r="A237" s="169"/>
      <c r="B237" s="169"/>
      <c r="C237" s="169" t="s">
        <v>230</v>
      </c>
      <c r="D237" s="335"/>
      <c r="E237" s="250">
        <v>3.17</v>
      </c>
      <c r="F237" s="250">
        <v>3.96</v>
      </c>
      <c r="G237" s="250">
        <v>3.6</v>
      </c>
      <c r="H237" s="250"/>
      <c r="I237" s="425"/>
      <c r="J237" s="423" t="s">
        <v>669</v>
      </c>
      <c r="K237" s="423"/>
      <c r="L237" s="423"/>
      <c r="M237" s="423"/>
      <c r="N237" s="423"/>
      <c r="O237" s="49"/>
      <c r="P237" s="49" t="s">
        <v>964</v>
      </c>
      <c r="Q237" s="50"/>
      <c r="R237" s="50"/>
      <c r="S237" s="50"/>
      <c r="T237" s="50"/>
      <c r="U237" s="50"/>
      <c r="V237" s="50"/>
      <c r="W237" s="50"/>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c r="AS237" s="169"/>
      <c r="AT237" s="169"/>
      <c r="AU237" s="169"/>
      <c r="AV237" s="169"/>
      <c r="AW237" s="169"/>
      <c r="AX237" s="169"/>
      <c r="AY237" s="169"/>
      <c r="AZ237" s="169"/>
      <c r="BA237" s="169"/>
      <c r="BB237" s="169"/>
      <c r="BC237" s="169"/>
    </row>
    <row r="238" spans="1:55">
      <c r="A238" s="169"/>
      <c r="B238" s="169"/>
      <c r="C238" s="169" t="s">
        <v>234</v>
      </c>
      <c r="D238" s="335"/>
      <c r="E238" s="250">
        <v>0.73</v>
      </c>
      <c r="F238" s="250">
        <v>0.92</v>
      </c>
      <c r="G238" s="250">
        <v>0.98</v>
      </c>
      <c r="H238" s="250"/>
      <c r="I238" s="49"/>
      <c r="J238" s="259"/>
      <c r="K238" s="259"/>
      <c r="L238" s="259"/>
      <c r="M238" s="259"/>
      <c r="N238" s="259"/>
      <c r="O238" s="49"/>
      <c r="P238" s="50"/>
      <c r="Q238" s="50"/>
      <c r="R238" s="50"/>
      <c r="S238" s="50"/>
      <c r="T238" s="50"/>
      <c r="U238" s="50"/>
      <c r="V238" s="50"/>
      <c r="W238" s="50"/>
      <c r="X238" s="169"/>
      <c r="Y238" s="169"/>
      <c r="Z238" s="169"/>
      <c r="AA238" s="169"/>
      <c r="AB238" s="169"/>
      <c r="AC238" s="169"/>
      <c r="AD238" s="169"/>
      <c r="AE238" s="169"/>
      <c r="AF238" s="169"/>
      <c r="AG238" s="169"/>
      <c r="AH238" s="169"/>
      <c r="AI238" s="169"/>
      <c r="AJ238" s="169"/>
      <c r="AK238" s="169"/>
      <c r="AL238" s="169"/>
      <c r="AM238" s="169"/>
      <c r="AN238" s="169"/>
      <c r="AO238" s="169"/>
      <c r="AP238" s="169"/>
      <c r="AQ238" s="169"/>
      <c r="AR238" s="169"/>
      <c r="AS238" s="169"/>
      <c r="AT238" s="169"/>
      <c r="AU238" s="169"/>
      <c r="AV238" s="169"/>
      <c r="AW238" s="169"/>
      <c r="AX238" s="169"/>
      <c r="AY238" s="169"/>
      <c r="AZ238" s="169"/>
      <c r="BA238" s="169"/>
      <c r="BB238" s="169"/>
      <c r="BC238" s="169"/>
    </row>
    <row r="239" spans="1:55">
      <c r="A239" s="169"/>
      <c r="B239" s="169"/>
      <c r="C239" s="169" t="s">
        <v>229</v>
      </c>
      <c r="D239" s="335"/>
      <c r="E239" s="250">
        <v>-6.78</v>
      </c>
      <c r="F239" s="250">
        <v>-11.16</v>
      </c>
      <c r="G239" s="250">
        <v>-14.71</v>
      </c>
      <c r="H239" s="250"/>
      <c r="I239" s="346"/>
      <c r="J239" s="259"/>
      <c r="K239" s="259"/>
      <c r="L239" s="259"/>
      <c r="M239" s="259"/>
      <c r="N239" s="259"/>
      <c r="O239" s="900"/>
      <c r="P239" s="181"/>
      <c r="Q239" s="182"/>
      <c r="R239" s="66"/>
      <c r="S239" s="181"/>
      <c r="T239" s="181"/>
      <c r="U239" s="181"/>
      <c r="V239" s="181"/>
      <c r="W239" s="181"/>
      <c r="X239" s="66"/>
      <c r="Y239" s="66"/>
      <c r="Z239" s="169"/>
      <c r="AA239" s="169"/>
      <c r="AB239" s="169"/>
      <c r="AC239" s="169"/>
      <c r="AD239" s="169"/>
      <c r="AE239" s="169"/>
      <c r="AF239" s="169"/>
      <c r="AG239" s="169"/>
      <c r="AH239" s="169"/>
      <c r="AI239" s="169"/>
      <c r="AJ239" s="169"/>
      <c r="AK239" s="169"/>
      <c r="AL239" s="169"/>
      <c r="AM239" s="169"/>
      <c r="AN239" s="169"/>
      <c r="AO239" s="169"/>
      <c r="AP239" s="169"/>
      <c r="AQ239" s="169"/>
      <c r="AR239" s="169"/>
      <c r="AS239" s="169"/>
      <c r="AT239" s="169"/>
      <c r="AU239" s="169"/>
      <c r="AV239" s="169"/>
      <c r="AW239" s="169"/>
      <c r="AX239" s="169"/>
      <c r="AY239" s="169"/>
      <c r="AZ239" s="169"/>
      <c r="BA239" s="169"/>
      <c r="BB239" s="169"/>
      <c r="BC239" s="169"/>
    </row>
    <row r="240" spans="1:55">
      <c r="A240" s="169"/>
      <c r="B240" s="169"/>
      <c r="C240" s="248" t="s">
        <v>368</v>
      </c>
      <c r="D240" s="1878"/>
      <c r="E240" s="283" t="s">
        <v>136</v>
      </c>
      <c r="F240" s="283" t="s">
        <v>136</v>
      </c>
      <c r="G240" s="283" t="s">
        <v>136</v>
      </c>
      <c r="H240" s="283" t="s">
        <v>136</v>
      </c>
      <c r="I240" s="49"/>
      <c r="J240" s="259"/>
      <c r="K240" s="259"/>
      <c r="L240" s="259"/>
      <c r="M240" s="259"/>
      <c r="N240" s="259"/>
      <c r="O240" s="49"/>
      <c r="P240" s="50"/>
      <c r="Q240" s="50"/>
      <c r="R240" s="50"/>
      <c r="S240" s="50"/>
      <c r="T240" s="50"/>
      <c r="U240" s="50"/>
      <c r="V240" s="50"/>
      <c r="W240" s="50"/>
      <c r="X240" s="169"/>
      <c r="Y240" s="169"/>
      <c r="Z240" s="169"/>
      <c r="AA240" s="169"/>
      <c r="AB240" s="169"/>
      <c r="AC240" s="169"/>
      <c r="AD240" s="169"/>
      <c r="AE240" s="169"/>
      <c r="AF240" s="169"/>
      <c r="AG240" s="169"/>
      <c r="AH240" s="169"/>
      <c r="AI240" s="169"/>
      <c r="AJ240" s="169"/>
      <c r="AK240" s="169"/>
      <c r="AL240" s="169"/>
      <c r="AM240" s="169"/>
      <c r="AN240" s="169"/>
      <c r="AO240" s="169"/>
      <c r="AP240" s="169"/>
      <c r="AQ240" s="169"/>
      <c r="AR240" s="169"/>
      <c r="AS240" s="169"/>
      <c r="AT240" s="169"/>
      <c r="AU240" s="169"/>
      <c r="AV240" s="169"/>
      <c r="AW240" s="169"/>
      <c r="AX240" s="169"/>
      <c r="AY240" s="169"/>
      <c r="AZ240" s="169"/>
      <c r="BA240" s="169"/>
      <c r="BB240" s="169"/>
      <c r="BC240" s="169"/>
    </row>
    <row r="241" spans="1:55">
      <c r="A241" s="169"/>
      <c r="B241" s="169"/>
      <c r="C241" s="248"/>
      <c r="D241" s="1878"/>
      <c r="E241" s="283"/>
      <c r="F241" s="283"/>
      <c r="G241" s="283"/>
      <c r="H241" s="283"/>
      <c r="I241" s="49"/>
      <c r="J241" s="259"/>
      <c r="K241" s="259"/>
      <c r="L241" s="259"/>
      <c r="M241" s="259"/>
      <c r="N241" s="259"/>
      <c r="O241" s="49"/>
      <c r="P241" s="50"/>
      <c r="Q241" s="50"/>
      <c r="R241" s="50"/>
      <c r="S241" s="50"/>
      <c r="T241" s="50"/>
      <c r="U241" s="50"/>
      <c r="V241" s="50"/>
      <c r="W241" s="50"/>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row>
    <row r="242" spans="1:55">
      <c r="A242" s="46" t="s">
        <v>47</v>
      </c>
      <c r="B242" s="46" t="s">
        <v>366</v>
      </c>
      <c r="C242" s="46" t="s">
        <v>235</v>
      </c>
      <c r="D242" s="1879"/>
      <c r="E242" s="254">
        <v>77.48</v>
      </c>
      <c r="F242" s="254">
        <v>71.989999999999995</v>
      </c>
      <c r="G242" s="254">
        <v>67.86</v>
      </c>
      <c r="H242" s="418">
        <v>15.82</v>
      </c>
      <c r="I242" s="47"/>
      <c r="J242" s="263"/>
      <c r="K242" s="253"/>
      <c r="L242" s="253"/>
      <c r="M242" s="253"/>
      <c r="N242" s="253"/>
      <c r="O242" s="168"/>
      <c r="P242" s="48"/>
      <c r="Q242" s="291" t="s">
        <v>622</v>
      </c>
      <c r="R242" s="47" t="s">
        <v>638</v>
      </c>
      <c r="S242" s="48"/>
      <c r="T242" s="48"/>
      <c r="U242" s="48"/>
      <c r="V242" s="48"/>
      <c r="W242" s="48"/>
      <c r="X242" s="48" t="s">
        <v>623</v>
      </c>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c r="AV242" s="168"/>
      <c r="AW242" s="168"/>
      <c r="AX242" s="168"/>
      <c r="AY242" s="168"/>
      <c r="AZ242" s="168"/>
      <c r="BA242" s="168"/>
      <c r="BB242" s="168"/>
      <c r="BC242" s="168"/>
    </row>
    <row r="243" spans="1:55">
      <c r="A243" s="169"/>
      <c r="B243" s="169"/>
      <c r="C243" s="169" t="s">
        <v>236</v>
      </c>
      <c r="D243" s="335"/>
      <c r="E243" s="255">
        <v>12.71</v>
      </c>
      <c r="F243" s="255">
        <v>14.6</v>
      </c>
      <c r="G243" s="255">
        <v>15.23</v>
      </c>
      <c r="H243" s="419">
        <v>2.5499999999999998</v>
      </c>
      <c r="I243" s="180"/>
      <c r="J243" s="259"/>
      <c r="K243" s="264"/>
      <c r="L243" s="264"/>
      <c r="M243" s="264"/>
      <c r="N243" s="264"/>
      <c r="O243" s="53"/>
      <c r="P243" s="353"/>
      <c r="Q243" s="351" t="s">
        <v>55</v>
      </c>
      <c r="R243" s="353">
        <v>10468</v>
      </c>
      <c r="S243" s="353">
        <v>20920</v>
      </c>
      <c r="T243" s="353">
        <v>29388</v>
      </c>
      <c r="U243" s="353">
        <v>26985</v>
      </c>
      <c r="V243" s="353">
        <v>24619</v>
      </c>
      <c r="W243" s="50"/>
      <c r="X243" s="169"/>
      <c r="Y243" s="169"/>
      <c r="Z243" s="169"/>
      <c r="AA243" s="169"/>
      <c r="AB243" s="169"/>
      <c r="AC243" s="169"/>
      <c r="AD243" s="169"/>
      <c r="AE243" s="169"/>
      <c r="AF243" s="169"/>
      <c r="AG243" s="169"/>
      <c r="AH243" s="169"/>
      <c r="AI243" s="169"/>
      <c r="AJ243" s="169"/>
      <c r="AK243" s="169"/>
      <c r="AL243" s="169"/>
      <c r="AM243" s="169"/>
      <c r="AN243" s="169"/>
      <c r="AO243" s="169"/>
      <c r="AP243" s="169"/>
      <c r="AQ243" s="169"/>
      <c r="AR243" s="169"/>
      <c r="AS243" s="169"/>
      <c r="AT243" s="169"/>
      <c r="AU243" s="169"/>
      <c r="AV243" s="169"/>
      <c r="AW243" s="169"/>
      <c r="AX243" s="169"/>
      <c r="AY243" s="169"/>
      <c r="AZ243" s="169"/>
      <c r="BA243" s="169"/>
      <c r="BB243" s="169"/>
      <c r="BC243" s="169"/>
    </row>
    <row r="244" spans="1:55">
      <c r="A244" s="169"/>
      <c r="B244" s="169"/>
      <c r="C244" s="248" t="s">
        <v>618</v>
      </c>
      <c r="D244" s="1878"/>
      <c r="E244" s="255">
        <v>6.63</v>
      </c>
      <c r="F244" s="255">
        <v>8.9600000000000009</v>
      </c>
      <c r="G244" s="255">
        <v>11.8</v>
      </c>
      <c r="H244" s="419">
        <v>4.08</v>
      </c>
      <c r="I244" s="49" t="s">
        <v>624</v>
      </c>
      <c r="J244" s="259"/>
      <c r="K244" s="259"/>
      <c r="L244" s="259"/>
      <c r="M244" s="259"/>
      <c r="N244" s="259"/>
      <c r="O244" s="49"/>
      <c r="P244" s="50"/>
      <c r="Q244" s="137"/>
      <c r="R244" s="38">
        <f>R243/R250</f>
        <v>0.73754667793982953</v>
      </c>
      <c r="S244" s="38">
        <f>S243/S250</f>
        <v>0.71275254676160948</v>
      </c>
      <c r="T244" s="38">
        <f>T243/T250</f>
        <v>0.75228465378215792</v>
      </c>
      <c r="U244" s="38">
        <f>U243/U250</f>
        <v>0.7130211911430534</v>
      </c>
      <c r="V244" s="38">
        <f>V243/V250</f>
        <v>0.6591432396251673</v>
      </c>
      <c r="W244" s="50"/>
      <c r="X244" s="169"/>
      <c r="Y244" s="169"/>
      <c r="Z244" s="169"/>
      <c r="AA244" s="169"/>
      <c r="AB244" s="169"/>
      <c r="AC244" s="169"/>
      <c r="AD244" s="169"/>
      <c r="AE244" s="169"/>
      <c r="AF244" s="169"/>
      <c r="AG244" s="169"/>
      <c r="AH244" s="169"/>
      <c r="AI244" s="169"/>
      <c r="AJ244" s="169"/>
      <c r="AK244" s="169"/>
      <c r="AL244" s="169"/>
      <c r="AM244" s="169"/>
      <c r="AN244" s="169"/>
      <c r="AO244" s="169"/>
      <c r="AP244" s="169"/>
      <c r="AQ244" s="169"/>
      <c r="AR244" s="169"/>
      <c r="AS244" s="169"/>
      <c r="AT244" s="169"/>
      <c r="AU244" s="169"/>
      <c r="AV244" s="169"/>
      <c r="AW244" s="169"/>
      <c r="AX244" s="169"/>
      <c r="AY244" s="169"/>
      <c r="AZ244" s="169"/>
      <c r="BA244" s="169"/>
      <c r="BB244" s="169"/>
      <c r="BC244" s="169"/>
    </row>
    <row r="245" spans="1:55">
      <c r="A245" s="169"/>
      <c r="B245" s="169"/>
      <c r="C245" s="248" t="s">
        <v>619</v>
      </c>
      <c r="D245" s="1878"/>
      <c r="E245" s="255">
        <v>3.18</v>
      </c>
      <c r="F245" s="255">
        <v>4.45</v>
      </c>
      <c r="G245" s="255">
        <v>5.1100000000000003</v>
      </c>
      <c r="H245" s="419">
        <v>77.55</v>
      </c>
      <c r="I245" s="49" t="s">
        <v>625</v>
      </c>
      <c r="J245" s="259"/>
      <c r="K245" s="259"/>
      <c r="L245" s="259"/>
      <c r="M245" s="259"/>
      <c r="N245" s="259"/>
      <c r="O245" s="49"/>
      <c r="P245" s="50"/>
      <c r="Q245" s="137" t="s">
        <v>616</v>
      </c>
      <c r="R245" s="50">
        <v>2559</v>
      </c>
      <c r="S245" s="50">
        <v>5566</v>
      </c>
      <c r="T245" s="50">
        <v>6022</v>
      </c>
      <c r="U245" s="50">
        <v>6120</v>
      </c>
      <c r="V245" s="50">
        <v>6745</v>
      </c>
      <c r="W245" s="50"/>
      <c r="X245" s="169"/>
      <c r="Y245" s="169"/>
      <c r="Z245" s="169"/>
      <c r="AA245" s="169"/>
      <c r="AB245" s="169"/>
      <c r="AC245" s="169"/>
      <c r="AD245" s="169"/>
      <c r="AE245" s="169"/>
      <c r="AF245" s="169"/>
      <c r="AG245" s="169"/>
      <c r="AH245" s="169"/>
      <c r="AI245" s="169"/>
      <c r="AJ245" s="169"/>
      <c r="AK245" s="169"/>
      <c r="AL245" s="169"/>
      <c r="AM245" s="169"/>
      <c r="AN245" s="169"/>
      <c r="AO245" s="169"/>
      <c r="AP245" s="169"/>
      <c r="AQ245" s="169"/>
      <c r="AR245" s="169"/>
      <c r="AS245" s="169"/>
      <c r="AT245" s="169"/>
      <c r="AU245" s="169"/>
      <c r="AV245" s="169"/>
      <c r="AW245" s="169"/>
      <c r="AX245" s="169"/>
      <c r="AY245" s="169"/>
      <c r="AZ245" s="169"/>
      <c r="BA245" s="169"/>
      <c r="BB245" s="169"/>
      <c r="BC245" s="169"/>
    </row>
    <row r="246" spans="1:55">
      <c r="A246" s="169"/>
      <c r="B246" s="169"/>
      <c r="C246" s="169"/>
      <c r="D246" s="335"/>
      <c r="E246" s="255"/>
      <c r="F246" s="255"/>
      <c r="G246" s="255"/>
      <c r="H246" s="255"/>
      <c r="I246" s="169"/>
      <c r="J246" s="259"/>
      <c r="K246" s="259"/>
      <c r="L246" s="259"/>
      <c r="M246" s="259"/>
      <c r="N246" s="259"/>
      <c r="O246" s="49"/>
      <c r="P246" s="169"/>
      <c r="Q246" s="137"/>
      <c r="R246" s="38">
        <f>R245/R250</f>
        <v>0.18030014796026211</v>
      </c>
      <c r="S246" s="38">
        <f>S245/S250</f>
        <v>0.18963578753705154</v>
      </c>
      <c r="T246" s="38">
        <f>T245/T250</f>
        <v>0.15415333418661206</v>
      </c>
      <c r="U246" s="38">
        <f>U245/U250</f>
        <v>0.16170797442266024</v>
      </c>
      <c r="V246" s="38">
        <f>V245/V250</f>
        <v>0.18058902275769745</v>
      </c>
      <c r="W246" s="50"/>
      <c r="X246" s="169"/>
      <c r="Y246" s="169"/>
      <c r="Z246" s="169"/>
      <c r="AA246" s="169"/>
      <c r="AB246" s="169"/>
      <c r="AC246" s="169"/>
      <c r="AD246" s="169"/>
      <c r="AE246" s="169"/>
      <c r="AF246" s="169"/>
      <c r="AG246" s="169"/>
      <c r="AH246" s="169"/>
      <c r="AI246" s="169"/>
      <c r="AJ246" s="169"/>
      <c r="AK246" s="169"/>
      <c r="AL246" s="169"/>
      <c r="AM246" s="169"/>
      <c r="AN246" s="169"/>
      <c r="AO246" s="169"/>
      <c r="AP246" s="169"/>
      <c r="AQ246" s="169"/>
      <c r="AR246" s="169"/>
      <c r="AS246" s="169"/>
      <c r="AT246" s="169"/>
      <c r="AU246" s="169"/>
      <c r="AV246" s="169"/>
      <c r="AW246" s="169"/>
      <c r="AX246" s="169"/>
      <c r="AY246" s="169"/>
      <c r="AZ246" s="169"/>
      <c r="BA246" s="169"/>
      <c r="BB246" s="169"/>
      <c r="BC246" s="169"/>
    </row>
    <row r="247" spans="1:55">
      <c r="A247" s="169"/>
      <c r="B247" s="51" t="s">
        <v>366</v>
      </c>
      <c r="C247" s="51" t="s">
        <v>166</v>
      </c>
      <c r="D247" s="1870"/>
      <c r="E247" s="286" t="s">
        <v>136</v>
      </c>
      <c r="F247" s="286" t="s">
        <v>136</v>
      </c>
      <c r="G247" s="255">
        <v>67.86</v>
      </c>
      <c r="H247" s="255">
        <v>56.01</v>
      </c>
      <c r="I247" s="180" t="s">
        <v>627</v>
      </c>
      <c r="J247" s="334"/>
      <c r="K247" s="312">
        <f>E242/100</f>
        <v>0.77480000000000004</v>
      </c>
      <c r="L247" s="312">
        <f>F242/100</f>
        <v>0.71989999999999998</v>
      </c>
      <c r="M247" s="312">
        <f>G247/100</f>
        <v>0.67859999999999998</v>
      </c>
      <c r="N247" s="312">
        <f>H247/100</f>
        <v>0.56009999999999993</v>
      </c>
      <c r="O247" s="49" t="s">
        <v>576</v>
      </c>
      <c r="P247" s="50"/>
      <c r="Q247" s="137" t="s">
        <v>617</v>
      </c>
      <c r="R247" s="50">
        <v>1166</v>
      </c>
      <c r="S247" s="50">
        <v>2865</v>
      </c>
      <c r="T247" s="50">
        <v>3655</v>
      </c>
      <c r="U247" s="50">
        <v>4741</v>
      </c>
      <c r="V247" s="50">
        <v>5986</v>
      </c>
      <c r="W247" s="50"/>
      <c r="X247" s="169"/>
      <c r="Y247" s="169"/>
      <c r="Z247" s="169"/>
      <c r="AA247" s="169"/>
      <c r="AB247" s="169"/>
      <c r="AC247" s="169"/>
      <c r="AD247" s="169"/>
      <c r="AE247" s="169"/>
      <c r="AF247" s="169"/>
      <c r="AG247" s="169"/>
      <c r="AH247" s="169"/>
      <c r="AI247" s="169"/>
      <c r="AJ247" s="169"/>
      <c r="AK247" s="169"/>
      <c r="AL247" s="169"/>
      <c r="AM247" s="169"/>
      <c r="AN247" s="169"/>
      <c r="AO247" s="169"/>
      <c r="AP247" s="169"/>
      <c r="AQ247" s="169"/>
      <c r="AR247" s="169"/>
      <c r="AS247" s="169"/>
      <c r="AT247" s="169"/>
      <c r="AU247" s="169"/>
      <c r="AV247" s="169"/>
      <c r="AW247" s="169"/>
      <c r="AX247" s="169"/>
      <c r="AY247" s="169"/>
      <c r="AZ247" s="169"/>
      <c r="BA247" s="169"/>
      <c r="BB247" s="169"/>
      <c r="BC247" s="169"/>
    </row>
    <row r="248" spans="1:55">
      <c r="A248" s="169"/>
      <c r="B248" s="169"/>
      <c r="C248" s="248" t="s">
        <v>615</v>
      </c>
      <c r="D248" s="1878"/>
      <c r="E248" s="286" t="s">
        <v>136</v>
      </c>
      <c r="F248" s="286" t="s">
        <v>136</v>
      </c>
      <c r="G248" s="255">
        <v>32.14</v>
      </c>
      <c r="H248" s="255">
        <v>36.520000000000003</v>
      </c>
      <c r="I248" s="49"/>
      <c r="J248" s="259"/>
      <c r="K248" s="259"/>
      <c r="L248" s="259"/>
      <c r="M248" s="259"/>
      <c r="N248" s="259"/>
      <c r="O248" s="49" t="s">
        <v>373</v>
      </c>
      <c r="P248" s="50"/>
      <c r="Q248" s="137"/>
      <c r="R248" s="38">
        <f>R247/R250</f>
        <v>8.215317409990841E-2</v>
      </c>
      <c r="S248" s="38">
        <f>S247/S250</f>
        <v>9.7611665701338973E-2</v>
      </c>
      <c r="T248" s="38">
        <f>T247/T250</f>
        <v>9.3562012031230005E-2</v>
      </c>
      <c r="U248" s="38">
        <f>U247/U250</f>
        <v>0.12527083443428633</v>
      </c>
      <c r="V248" s="38">
        <f>V247/V250</f>
        <v>0.1602677376171352</v>
      </c>
      <c r="W248" s="50"/>
      <c r="X248" s="169"/>
      <c r="Y248" s="169"/>
      <c r="Z248" s="169"/>
      <c r="AA248" s="169"/>
      <c r="AB248" s="169"/>
      <c r="AC248" s="169"/>
      <c r="AD248" s="169"/>
      <c r="AE248" s="169"/>
      <c r="AF248" s="169"/>
      <c r="AG248" s="169"/>
      <c r="AH248" s="169"/>
      <c r="AI248" s="169"/>
      <c r="AJ248" s="169"/>
      <c r="AK248" s="169"/>
      <c r="AL248" s="169"/>
      <c r="AM248" s="169"/>
      <c r="AN248" s="169"/>
      <c r="AO248" s="169"/>
      <c r="AP248" s="169"/>
      <c r="AQ248" s="169"/>
      <c r="AR248" s="169"/>
      <c r="AS248" s="169"/>
      <c r="AT248" s="169"/>
      <c r="AU248" s="169"/>
      <c r="AV248" s="169"/>
      <c r="AW248" s="169"/>
      <c r="AX248" s="169"/>
      <c r="AY248" s="169"/>
      <c r="AZ248" s="169"/>
      <c r="BA248" s="169"/>
      <c r="BB248" s="169"/>
      <c r="BC248" s="169"/>
    </row>
    <row r="249" spans="1:55">
      <c r="A249" s="169"/>
      <c r="B249" s="169"/>
      <c r="C249" s="248" t="s">
        <v>153</v>
      </c>
      <c r="D249" s="1878"/>
      <c r="E249" s="286" t="s">
        <v>136</v>
      </c>
      <c r="F249" s="286" t="s">
        <v>136</v>
      </c>
      <c r="G249" s="255"/>
      <c r="H249" s="255">
        <v>7.47</v>
      </c>
      <c r="I249" s="828" t="s">
        <v>369</v>
      </c>
      <c r="J249" s="721">
        <f>R243/R249</f>
        <v>0.70854203330174637</v>
      </c>
      <c r="K249" s="721">
        <f>S243/S249</f>
        <v>0.68050224448637042</v>
      </c>
      <c r="L249" s="721">
        <f>T243/T249</f>
        <v>0.72117791411042942</v>
      </c>
      <c r="M249" s="721">
        <f>U243/U249</f>
        <v>0.67187033164027488</v>
      </c>
      <c r="N249" s="721">
        <f>V243/V249</f>
        <v>0.62427731007201537</v>
      </c>
      <c r="O249" s="421">
        <f>(J249+2*K249+2*L249+AVERAGE(M249,N249))/6</f>
        <v>0.69332936189191507</v>
      </c>
      <c r="P249" s="50"/>
      <c r="Q249" s="137" t="s">
        <v>606</v>
      </c>
      <c r="R249" s="50">
        <v>14774</v>
      </c>
      <c r="S249" s="50">
        <v>30742</v>
      </c>
      <c r="T249" s="50">
        <v>40750</v>
      </c>
      <c r="U249" s="50">
        <v>40164</v>
      </c>
      <c r="V249" s="50">
        <v>39436</v>
      </c>
      <c r="W249" s="50"/>
      <c r="X249" s="169"/>
      <c r="Y249" s="169"/>
      <c r="Z249" s="169"/>
      <c r="AA249" s="169"/>
      <c r="AB249" s="169"/>
      <c r="AC249" s="169"/>
      <c r="AD249" s="169"/>
      <c r="AE249" s="169"/>
      <c r="AF249" s="169"/>
      <c r="AG249" s="169"/>
      <c r="AH249" s="169"/>
      <c r="AI249" s="169"/>
      <c r="AJ249" s="169"/>
      <c r="AK249" s="169"/>
      <c r="AL249" s="169"/>
      <c r="AM249" s="169"/>
      <c r="AN249" s="169"/>
      <c r="AO249" s="169"/>
      <c r="AP249" s="169"/>
      <c r="AQ249" s="169"/>
      <c r="AR249" s="169"/>
      <c r="AS249" s="169"/>
      <c r="AT249" s="169"/>
      <c r="AU249" s="169"/>
      <c r="AV249" s="169"/>
      <c r="AW249" s="169"/>
      <c r="AX249" s="169"/>
      <c r="AY249" s="169"/>
      <c r="AZ249" s="169"/>
      <c r="BA249" s="169"/>
      <c r="BB249" s="169"/>
      <c r="BC249" s="169"/>
    </row>
    <row r="250" spans="1:55">
      <c r="A250" s="169"/>
      <c r="B250" s="169"/>
      <c r="C250" s="248"/>
      <c r="D250" s="1878"/>
      <c r="E250" s="286"/>
      <c r="F250" s="286"/>
      <c r="G250" s="255"/>
      <c r="H250" s="255"/>
      <c r="I250" s="49"/>
      <c r="J250" s="259"/>
      <c r="K250" s="259"/>
      <c r="L250" s="259"/>
      <c r="M250" s="259"/>
      <c r="N250" s="259"/>
      <c r="O250" s="49"/>
      <c r="P250" s="50"/>
      <c r="Q250" s="169"/>
      <c r="R250" s="49">
        <f>R243+R245+R247</f>
        <v>14193</v>
      </c>
      <c r="S250" s="49">
        <f>S243+S245+S247</f>
        <v>29351</v>
      </c>
      <c r="T250" s="49">
        <f>T243+T245+T247</f>
        <v>39065</v>
      </c>
      <c r="U250" s="49">
        <f>U243+U245+U247</f>
        <v>37846</v>
      </c>
      <c r="V250" s="49">
        <f>V243+V245+V247</f>
        <v>37350</v>
      </c>
      <c r="W250" s="50"/>
      <c r="X250" s="169"/>
      <c r="Y250" s="169"/>
      <c r="Z250" s="169"/>
      <c r="AA250" s="169"/>
      <c r="AB250" s="169"/>
      <c r="AC250" s="169"/>
      <c r="AD250" s="169"/>
      <c r="AE250" s="169"/>
      <c r="AF250" s="169"/>
      <c r="AG250" s="169"/>
      <c r="AH250" s="169"/>
      <c r="AI250" s="169"/>
      <c r="AJ250" s="169"/>
      <c r="AK250" s="169"/>
      <c r="AL250" s="169"/>
      <c r="AM250" s="169"/>
      <c r="AN250" s="169"/>
      <c r="AO250" s="169"/>
      <c r="AP250" s="169"/>
      <c r="AQ250" s="169"/>
      <c r="AR250" s="169"/>
      <c r="AS250" s="169"/>
      <c r="AT250" s="169"/>
      <c r="AU250" s="169"/>
      <c r="AV250" s="169"/>
      <c r="AW250" s="169"/>
      <c r="AX250" s="169"/>
      <c r="AY250" s="169"/>
      <c r="AZ250" s="169"/>
      <c r="BA250" s="169"/>
      <c r="BB250" s="169"/>
      <c r="BC250" s="169"/>
    </row>
    <row r="251" spans="1:55">
      <c r="A251" s="169"/>
      <c r="B251" s="169"/>
      <c r="C251" s="248"/>
      <c r="D251" s="1878"/>
      <c r="E251" s="286"/>
      <c r="F251" s="286"/>
      <c r="G251" s="255"/>
      <c r="H251" s="255"/>
      <c r="I251" s="49" t="s">
        <v>626</v>
      </c>
      <c r="J251" s="259"/>
      <c r="K251" s="259"/>
      <c r="L251" s="259"/>
      <c r="M251" s="259"/>
      <c r="N251" s="259"/>
      <c r="O251" s="49"/>
      <c r="P251" s="50"/>
      <c r="Q251" s="137" t="s">
        <v>66</v>
      </c>
      <c r="R251" s="50"/>
      <c r="S251" s="50"/>
      <c r="T251" s="50"/>
      <c r="U251" s="50"/>
      <c r="V251" s="50"/>
      <c r="W251" s="50"/>
      <c r="X251" s="169"/>
      <c r="Y251" s="169"/>
      <c r="Z251" s="169"/>
      <c r="AA251" s="169"/>
      <c r="AB251" s="169"/>
      <c r="AC251" s="169"/>
      <c r="AD251" s="169"/>
      <c r="AE251" s="169"/>
      <c r="AF251" s="169"/>
      <c r="AG251" s="169"/>
      <c r="AH251" s="169"/>
      <c r="AI251" s="169"/>
      <c r="AJ251" s="169"/>
      <c r="AK251" s="169"/>
      <c r="AL251" s="169"/>
      <c r="AM251" s="169"/>
      <c r="AN251" s="169"/>
      <c r="AO251" s="169"/>
      <c r="AP251" s="169"/>
      <c r="AQ251" s="169"/>
      <c r="AR251" s="169"/>
      <c r="AS251" s="169"/>
      <c r="AT251" s="169"/>
      <c r="AU251" s="169"/>
      <c r="AV251" s="169"/>
      <c r="AW251" s="169"/>
      <c r="AX251" s="169"/>
      <c r="AY251" s="169"/>
      <c r="AZ251" s="169"/>
      <c r="BA251" s="169"/>
      <c r="BB251" s="169"/>
      <c r="BC251" s="169"/>
    </row>
    <row r="252" spans="1:55">
      <c r="A252" s="169"/>
      <c r="B252" s="169"/>
      <c r="C252" s="248"/>
      <c r="D252" s="1878"/>
      <c r="E252" s="286"/>
      <c r="F252" s="286"/>
      <c r="G252" s="255"/>
      <c r="H252" s="255"/>
      <c r="I252" s="49" t="s">
        <v>652</v>
      </c>
      <c r="J252" s="259"/>
      <c r="K252" s="259"/>
      <c r="L252" s="259"/>
      <c r="M252" s="259"/>
      <c r="N252" s="259"/>
      <c r="O252" s="49"/>
      <c r="P252" s="353"/>
      <c r="Q252" s="351" t="s">
        <v>55</v>
      </c>
      <c r="R252" s="353">
        <v>1913</v>
      </c>
      <c r="S252" s="353">
        <v>3687</v>
      </c>
      <c r="T252" s="353">
        <v>8080</v>
      </c>
      <c r="U252" s="353">
        <v>7532</v>
      </c>
      <c r="V252" s="353">
        <v>6605</v>
      </c>
      <c r="W252" s="50"/>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row>
    <row r="253" spans="1:55">
      <c r="A253" s="169"/>
      <c r="B253" s="169"/>
      <c r="C253" s="248"/>
      <c r="D253" s="1878"/>
      <c r="E253" s="286"/>
      <c r="F253" s="286"/>
      <c r="G253" s="255"/>
      <c r="H253" s="255"/>
      <c r="I253" s="49" t="s">
        <v>1851</v>
      </c>
      <c r="J253" s="259"/>
      <c r="K253" s="259"/>
      <c r="L253" s="259"/>
      <c r="M253" s="259"/>
      <c r="N253" s="259"/>
      <c r="O253" s="169"/>
      <c r="P253" s="50"/>
      <c r="Q253" s="137"/>
      <c r="R253" s="38">
        <f>R252/R259</f>
        <v>0.66841369671558348</v>
      </c>
      <c r="S253" s="38">
        <f>S252/S259</f>
        <v>0.61347753743760403</v>
      </c>
      <c r="T253" s="38">
        <f>T252/T259</f>
        <v>0.75904180366369189</v>
      </c>
      <c r="U253" s="38">
        <f>U252/U259</f>
        <v>0.74848454735168435</v>
      </c>
      <c r="V253" s="38">
        <f>V252/V259</f>
        <v>0.71474948598636512</v>
      </c>
      <c r="W253" s="50"/>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69"/>
      <c r="AT253" s="169"/>
      <c r="AU253" s="169"/>
      <c r="AV253" s="169"/>
      <c r="AW253" s="169"/>
      <c r="AX253" s="169"/>
      <c r="AY253" s="169"/>
      <c r="AZ253" s="169"/>
      <c r="BA253" s="169"/>
      <c r="BB253" s="169"/>
      <c r="BC253" s="169"/>
    </row>
    <row r="254" spans="1:55">
      <c r="A254" s="169"/>
      <c r="B254" s="169"/>
      <c r="C254" s="248"/>
      <c r="D254" s="1878"/>
      <c r="E254" s="286"/>
      <c r="F254" s="286"/>
      <c r="G254" s="255"/>
      <c r="H254" s="255"/>
      <c r="I254" s="49"/>
      <c r="J254" s="259"/>
      <c r="K254" s="259"/>
      <c r="L254" s="259"/>
      <c r="M254" s="259"/>
      <c r="N254" s="259"/>
      <c r="O254" s="169"/>
      <c r="P254" s="50"/>
      <c r="Q254" s="137" t="s">
        <v>616</v>
      </c>
      <c r="R254" s="50">
        <v>590</v>
      </c>
      <c r="S254" s="50">
        <v>1357</v>
      </c>
      <c r="T254" s="50">
        <v>1475</v>
      </c>
      <c r="U254" s="50">
        <v>1131</v>
      </c>
      <c r="V254" s="50">
        <v>1046</v>
      </c>
      <c r="W254" s="50"/>
      <c r="X254" s="169"/>
      <c r="Y254" s="169"/>
      <c r="Z254" s="169"/>
      <c r="AA254" s="169"/>
      <c r="AB254" s="169"/>
      <c r="AC254" s="169"/>
      <c r="AD254" s="169"/>
      <c r="AE254" s="169"/>
      <c r="AF254" s="169"/>
      <c r="AG254" s="169"/>
      <c r="AH254" s="169"/>
      <c r="AI254" s="169"/>
      <c r="AJ254" s="169"/>
      <c r="AK254" s="169"/>
      <c r="AL254" s="169"/>
      <c r="AM254" s="169"/>
      <c r="AN254" s="169"/>
      <c r="AO254" s="169"/>
      <c r="AP254" s="169"/>
      <c r="AQ254" s="169"/>
      <c r="AR254" s="169"/>
      <c r="AS254" s="169"/>
      <c r="AT254" s="169"/>
      <c r="AU254" s="169"/>
      <c r="AV254" s="169"/>
      <c r="AW254" s="169"/>
      <c r="AX254" s="169"/>
      <c r="AY254" s="169"/>
      <c r="AZ254" s="169"/>
      <c r="BA254" s="169"/>
      <c r="BB254" s="169"/>
      <c r="BC254" s="169"/>
    </row>
    <row r="255" spans="1:55">
      <c r="A255" s="169"/>
      <c r="B255" s="169"/>
      <c r="C255" s="248"/>
      <c r="D255" s="1878"/>
      <c r="E255" s="286"/>
      <c r="F255" s="286"/>
      <c r="G255" s="255"/>
      <c r="H255" s="255"/>
      <c r="I255" s="49" t="s">
        <v>629</v>
      </c>
      <c r="J255" s="259"/>
      <c r="K255" s="259"/>
      <c r="L255" s="259"/>
      <c r="M255" s="259"/>
      <c r="N255" s="259"/>
      <c r="O255" s="169"/>
      <c r="P255" s="50"/>
      <c r="Q255" s="137"/>
      <c r="R255" s="38">
        <f>R254/R259</f>
        <v>0.20614954577218728</v>
      </c>
      <c r="S255" s="38">
        <f>S254/S259</f>
        <v>0.22579034941763726</v>
      </c>
      <c r="T255" s="38">
        <f>T254/T259</f>
        <v>0.13856270549553781</v>
      </c>
      <c r="U255" s="38">
        <f>U254/U259</f>
        <v>0.11239193083573487</v>
      </c>
      <c r="V255" s="38">
        <f>V254/V259</f>
        <v>0.11319121307217833</v>
      </c>
      <c r="W255" s="50"/>
      <c r="X255" s="169"/>
      <c r="Y255" s="169"/>
      <c r="Z255" s="169"/>
      <c r="AA255" s="169"/>
      <c r="AB255" s="169"/>
      <c r="AC255" s="169"/>
      <c r="AD255" s="169"/>
      <c r="AE255" s="169"/>
      <c r="AF255" s="169"/>
      <c r="AG255" s="169"/>
      <c r="AH255" s="169"/>
      <c r="AI255" s="169"/>
      <c r="AJ255" s="169"/>
      <c r="AK255" s="169"/>
      <c r="AL255" s="169"/>
      <c r="AM255" s="169"/>
      <c r="AN255" s="169"/>
      <c r="AO255" s="169"/>
      <c r="AP255" s="169"/>
      <c r="AQ255" s="169"/>
      <c r="AR255" s="169"/>
      <c r="AS255" s="169"/>
      <c r="AT255" s="169"/>
      <c r="AU255" s="169"/>
      <c r="AV255" s="169"/>
      <c r="AW255" s="169"/>
      <c r="AX255" s="169"/>
      <c r="AY255" s="169"/>
      <c r="AZ255" s="169"/>
      <c r="BA255" s="169"/>
      <c r="BB255" s="169"/>
      <c r="BC255" s="169"/>
    </row>
    <row r="256" spans="1:55">
      <c r="A256" s="169"/>
      <c r="B256" s="169"/>
      <c r="C256" s="248"/>
      <c r="D256" s="1878"/>
      <c r="E256" s="286"/>
      <c r="F256" s="286"/>
      <c r="G256" s="255"/>
      <c r="H256" s="255"/>
      <c r="I256" s="169"/>
      <c r="J256" s="259"/>
      <c r="K256" s="259"/>
      <c r="L256" s="259"/>
      <c r="M256" s="259"/>
      <c r="N256" s="259"/>
      <c r="O256" s="49"/>
      <c r="P256" s="50"/>
      <c r="Q256" s="137" t="s">
        <v>617</v>
      </c>
      <c r="R256" s="50">
        <v>359</v>
      </c>
      <c r="S256" s="50">
        <v>966</v>
      </c>
      <c r="T256" s="50">
        <v>1090</v>
      </c>
      <c r="U256" s="50">
        <v>1400</v>
      </c>
      <c r="V256" s="50">
        <v>1590</v>
      </c>
      <c r="W256" s="50"/>
      <c r="X256" s="169"/>
      <c r="Y256" s="169"/>
      <c r="Z256" s="169"/>
      <c r="AA256" s="169"/>
      <c r="AB256" s="169"/>
      <c r="AC256" s="169"/>
      <c r="AD256" s="169"/>
      <c r="AE256" s="169"/>
      <c r="AF256" s="169"/>
      <c r="AG256" s="169"/>
      <c r="AH256" s="169"/>
      <c r="AI256" s="169"/>
      <c r="AJ256" s="169"/>
      <c r="AK256" s="169"/>
      <c r="AL256" s="169"/>
      <c r="AM256" s="169"/>
      <c r="AN256" s="169"/>
      <c r="AO256" s="169"/>
      <c r="AP256" s="169"/>
      <c r="AQ256" s="169"/>
      <c r="AR256" s="169"/>
      <c r="AS256" s="169"/>
      <c r="AT256" s="169"/>
      <c r="AU256" s="169"/>
      <c r="AV256" s="169"/>
      <c r="AW256" s="169"/>
      <c r="AX256" s="169"/>
      <c r="AY256" s="169"/>
      <c r="AZ256" s="169"/>
      <c r="BA256" s="169"/>
      <c r="BB256" s="169"/>
      <c r="BC256" s="169"/>
    </row>
    <row r="257" spans="1:55">
      <c r="A257" s="169"/>
      <c r="B257" s="169"/>
      <c r="C257" s="248"/>
      <c r="D257" s="1878"/>
      <c r="E257" s="286"/>
      <c r="F257" s="286"/>
      <c r="G257" s="255"/>
      <c r="H257" s="255"/>
      <c r="I257" s="828" t="s">
        <v>631</v>
      </c>
      <c r="J257" s="721">
        <f>R252/R258</f>
        <v>0.63639387890884902</v>
      </c>
      <c r="K257" s="721">
        <f>S252/S258</f>
        <v>0.59086538461538463</v>
      </c>
      <c r="L257" s="721">
        <f>T252/T258</f>
        <v>0.74456321415407301</v>
      </c>
      <c r="M257" s="721">
        <f>U252/U258</f>
        <v>0.73239984441851425</v>
      </c>
      <c r="N257" s="721">
        <f>V252/V258</f>
        <v>0.70310836704279323</v>
      </c>
      <c r="O257" s="421">
        <f>(J257+2*K257+2*L257+AVERAGE(M257,N257))/6</f>
        <v>0.67083419702973635</v>
      </c>
      <c r="P257" s="50"/>
      <c r="Q257" s="137"/>
      <c r="R257" s="38">
        <f>R256/R259</f>
        <v>0.12543675751222921</v>
      </c>
      <c r="S257" s="38">
        <f>S256/S259</f>
        <v>0.16073211314475874</v>
      </c>
      <c r="T257" s="38">
        <f>T256/T259</f>
        <v>0.10239549084077032</v>
      </c>
      <c r="U257" s="38">
        <f>U256/U259</f>
        <v>0.13912352181258075</v>
      </c>
      <c r="V257" s="38">
        <f>V256/V259</f>
        <v>0.17205930094145655</v>
      </c>
      <c r="W257" s="50"/>
      <c r="X257" s="169"/>
      <c r="Y257" s="169"/>
      <c r="Z257" s="169"/>
      <c r="AA257" s="169"/>
      <c r="AB257" s="169"/>
      <c r="AC257" s="169"/>
      <c r="AD257" s="169"/>
      <c r="AE257" s="169"/>
      <c r="AF257" s="169"/>
      <c r="AG257" s="169"/>
      <c r="AH257" s="169"/>
      <c r="AI257" s="169"/>
      <c r="AJ257" s="169"/>
      <c r="AK257" s="169"/>
      <c r="AL257" s="169"/>
      <c r="AM257" s="169"/>
      <c r="AN257" s="169"/>
      <c r="AO257" s="169"/>
      <c r="AP257" s="169"/>
      <c r="AQ257" s="169"/>
      <c r="AR257" s="169"/>
      <c r="AS257" s="169"/>
      <c r="AT257" s="169"/>
      <c r="AU257" s="169"/>
      <c r="AV257" s="169"/>
      <c r="AW257" s="169"/>
      <c r="AX257" s="169"/>
      <c r="AY257" s="169"/>
      <c r="AZ257" s="169"/>
      <c r="BA257" s="169"/>
      <c r="BB257" s="169"/>
      <c r="BC257" s="169"/>
    </row>
    <row r="258" spans="1:55">
      <c r="A258" s="169"/>
      <c r="B258" s="169"/>
      <c r="C258" s="248"/>
      <c r="D258" s="1878"/>
      <c r="E258" s="286"/>
      <c r="F258" s="286"/>
      <c r="G258" s="255"/>
      <c r="H258" s="255"/>
      <c r="I258" s="813" t="s">
        <v>918</v>
      </c>
      <c r="J258" s="882">
        <f>J257/J$249</f>
        <v>0.89817378362622613</v>
      </c>
      <c r="K258" s="882">
        <f>K257/K$249</f>
        <v>0.86827837733490221</v>
      </c>
      <c r="L258" s="882">
        <f>L257/L$249</f>
        <v>1.0324265338498189</v>
      </c>
      <c r="M258" s="882">
        <f>M257/M$249</f>
        <v>1.0900910635992294</v>
      </c>
      <c r="N258" s="882">
        <f>N257/N$249</f>
        <v>1.1262757042406106</v>
      </c>
      <c r="O258" s="321">
        <f>(J258+2*K258+2*L258+AVERAGE(M258,N258))/6</f>
        <v>0.96796116498593143</v>
      </c>
      <c r="P258" s="50"/>
      <c r="Q258" s="137" t="s">
        <v>606</v>
      </c>
      <c r="R258" s="50">
        <v>3006</v>
      </c>
      <c r="S258" s="50">
        <v>6240</v>
      </c>
      <c r="T258" s="50">
        <v>10852</v>
      </c>
      <c r="U258" s="50">
        <v>10284</v>
      </c>
      <c r="V258" s="50">
        <v>9394</v>
      </c>
      <c r="W258" s="50"/>
      <c r="X258" s="169"/>
      <c r="Y258" s="169"/>
      <c r="Z258" s="169"/>
      <c r="AA258" s="169"/>
      <c r="AB258" s="169"/>
      <c r="AC258" s="169"/>
      <c r="AD258" s="169"/>
      <c r="AE258" s="169"/>
      <c r="AF258" s="169"/>
      <c r="AG258" s="169"/>
      <c r="AH258" s="169"/>
      <c r="AI258" s="169"/>
      <c r="AJ258" s="169"/>
      <c r="AK258" s="169"/>
      <c r="AL258" s="169"/>
      <c r="AM258" s="169"/>
      <c r="AN258" s="169"/>
      <c r="AO258" s="169"/>
      <c r="AP258" s="169"/>
      <c r="AQ258" s="169"/>
      <c r="AR258" s="169"/>
      <c r="AS258" s="169"/>
      <c r="AT258" s="169"/>
      <c r="AU258" s="169"/>
      <c r="AV258" s="169"/>
      <c r="AW258" s="169"/>
      <c r="AX258" s="169"/>
      <c r="AY258" s="169"/>
      <c r="AZ258" s="169"/>
      <c r="BA258" s="169"/>
      <c r="BB258" s="169"/>
      <c r="BC258" s="169"/>
    </row>
    <row r="259" spans="1:55">
      <c r="A259" s="169"/>
      <c r="B259" s="169"/>
      <c r="C259" s="248"/>
      <c r="D259" s="1878"/>
      <c r="E259" s="286"/>
      <c r="F259" s="286"/>
      <c r="G259" s="255"/>
      <c r="H259" s="255"/>
      <c r="I259" s="49"/>
      <c r="J259" s="259"/>
      <c r="K259" s="259"/>
      <c r="L259" s="259"/>
      <c r="M259" s="259"/>
      <c r="N259" s="259"/>
      <c r="O259" s="169"/>
      <c r="P259" s="50"/>
      <c r="Q259" s="50"/>
      <c r="R259" s="49">
        <f>R252+R254+R256</f>
        <v>2862</v>
      </c>
      <c r="S259" s="49">
        <f>S252+S254+S256</f>
        <v>6010</v>
      </c>
      <c r="T259" s="49">
        <f>T252+T254+T256</f>
        <v>10645</v>
      </c>
      <c r="U259" s="49">
        <f>U252+U254+U256</f>
        <v>10063</v>
      </c>
      <c r="V259" s="49">
        <f>V252+V254+V256</f>
        <v>9241</v>
      </c>
      <c r="W259" s="169"/>
      <c r="X259" s="169"/>
      <c r="Y259" s="169"/>
      <c r="Z259" s="169"/>
      <c r="AA259" s="169"/>
      <c r="AB259" s="169"/>
      <c r="AC259" s="169"/>
      <c r="AD259" s="169"/>
      <c r="AE259" s="169"/>
      <c r="AF259" s="169"/>
      <c r="AG259" s="169"/>
      <c r="AH259" s="169"/>
      <c r="AI259" s="169"/>
      <c r="AJ259" s="169"/>
      <c r="AK259" s="169"/>
      <c r="AL259" s="169"/>
      <c r="AM259" s="169"/>
      <c r="AN259" s="169"/>
      <c r="AO259" s="169"/>
      <c r="AP259" s="169"/>
      <c r="AQ259" s="169"/>
      <c r="AR259" s="169"/>
      <c r="AS259" s="169"/>
      <c r="AT259" s="169"/>
      <c r="AU259" s="169"/>
      <c r="AV259" s="169"/>
      <c r="AW259" s="169"/>
      <c r="AX259" s="169"/>
      <c r="AY259" s="169"/>
      <c r="AZ259" s="169"/>
      <c r="BA259" s="169"/>
      <c r="BB259" s="169"/>
      <c r="BC259" s="169"/>
    </row>
    <row r="260" spans="1:55">
      <c r="A260" s="169"/>
      <c r="B260" s="169"/>
      <c r="C260" s="248"/>
      <c r="D260" s="1878"/>
      <c r="E260" s="286"/>
      <c r="F260" s="286"/>
      <c r="G260" s="255"/>
      <c r="H260" s="255"/>
      <c r="I260" s="180" t="s">
        <v>632</v>
      </c>
      <c r="J260" s="403">
        <f>R261/R267</f>
        <v>0.60970311368573493</v>
      </c>
      <c r="K260" s="403">
        <f>S261/S267</f>
        <v>0.59392405063291143</v>
      </c>
      <c r="L260" s="403">
        <f>T261/T267</f>
        <v>0.79503729202524387</v>
      </c>
      <c r="M260" s="403">
        <f>U261/U267</f>
        <v>0.81309665871121717</v>
      </c>
      <c r="N260" s="403">
        <f>V261/V267</f>
        <v>0.85198744769874479</v>
      </c>
      <c r="O260" s="49"/>
      <c r="P260" s="50"/>
      <c r="Q260" s="137" t="s">
        <v>620</v>
      </c>
      <c r="R260" s="50"/>
      <c r="S260" s="50"/>
      <c r="T260" s="50"/>
      <c r="U260" s="50"/>
      <c r="V260" s="50"/>
      <c r="W260" s="50"/>
      <c r="X260" s="169"/>
      <c r="Y260" s="169"/>
      <c r="Z260" s="169"/>
      <c r="AA260" s="169"/>
      <c r="AB260" s="169"/>
      <c r="AC260" s="169"/>
      <c r="AD260" s="169"/>
      <c r="AE260" s="169"/>
      <c r="AF260" s="169"/>
      <c r="AG260" s="169"/>
      <c r="AH260" s="169"/>
      <c r="AI260" s="169"/>
      <c r="AJ260" s="169"/>
      <c r="AK260" s="169"/>
      <c r="AL260" s="169"/>
      <c r="AM260" s="169"/>
      <c r="AN260" s="169"/>
      <c r="AO260" s="169"/>
      <c r="AP260" s="169"/>
      <c r="AQ260" s="169"/>
      <c r="AR260" s="169"/>
      <c r="AS260" s="169"/>
      <c r="AT260" s="169"/>
      <c r="AU260" s="169"/>
      <c r="AV260" s="169"/>
      <c r="AW260" s="169"/>
      <c r="AX260" s="169"/>
      <c r="AY260" s="169"/>
      <c r="AZ260" s="169"/>
      <c r="BA260" s="169"/>
      <c r="BB260" s="169"/>
      <c r="BC260" s="169"/>
    </row>
    <row r="261" spans="1:55">
      <c r="A261" s="169"/>
      <c r="B261" s="169"/>
      <c r="C261" s="248"/>
      <c r="D261" s="1878"/>
      <c r="E261" s="286"/>
      <c r="F261" s="286"/>
      <c r="G261" s="255"/>
      <c r="H261" s="255"/>
      <c r="I261" s="180" t="s">
        <v>630</v>
      </c>
      <c r="J261" s="377">
        <f>J260/J$249</f>
        <v>0.86050380221561396</v>
      </c>
      <c r="K261" s="377">
        <f>K260/K$249</f>
        <v>0.87277309582012252</v>
      </c>
      <c r="L261" s="377">
        <f>L260/L$249</f>
        <v>1.1024149193558148</v>
      </c>
      <c r="M261" s="377">
        <f>M260/M$249</f>
        <v>1.2101987845276014</v>
      </c>
      <c r="N261" s="377">
        <f>N260/N$249</f>
        <v>1.3647579912850929</v>
      </c>
      <c r="O261" s="321">
        <f>(J261+2*K261+2*L261+AVERAGE(M261,N261))/6</f>
        <v>1.0163930367456393</v>
      </c>
      <c r="P261" s="353"/>
      <c r="Q261" s="351" t="s">
        <v>55</v>
      </c>
      <c r="R261" s="353">
        <v>842</v>
      </c>
      <c r="S261" s="353">
        <v>1173</v>
      </c>
      <c r="T261" s="353">
        <v>5543</v>
      </c>
      <c r="U261" s="353">
        <v>5451</v>
      </c>
      <c r="V261" s="353">
        <v>4887</v>
      </c>
      <c r="W261" s="50"/>
      <c r="X261" s="169"/>
      <c r="Y261" s="169"/>
      <c r="Z261" s="169"/>
      <c r="AA261" s="169"/>
      <c r="AB261" s="169"/>
      <c r="AC261" s="169"/>
      <c r="AD261" s="169"/>
      <c r="AE261" s="169"/>
      <c r="AF261" s="169"/>
      <c r="AG261" s="169"/>
      <c r="AH261" s="169"/>
      <c r="AI261" s="169"/>
      <c r="AJ261" s="169"/>
      <c r="AK261" s="169"/>
      <c r="AL261" s="169"/>
      <c r="AM261" s="169"/>
      <c r="AN261" s="169"/>
      <c r="AO261" s="169"/>
      <c r="AP261" s="169"/>
      <c r="AQ261" s="169"/>
      <c r="AR261" s="169"/>
      <c r="AS261" s="169"/>
      <c r="AT261" s="169"/>
      <c r="AU261" s="169"/>
      <c r="AV261" s="169"/>
      <c r="AW261" s="169"/>
      <c r="AX261" s="169"/>
      <c r="AY261" s="169"/>
      <c r="AZ261" s="169"/>
      <c r="BA261" s="169"/>
      <c r="BB261" s="169"/>
      <c r="BC261" s="169"/>
    </row>
    <row r="262" spans="1:55">
      <c r="A262" s="169"/>
      <c r="B262" s="169"/>
      <c r="C262" s="248"/>
      <c r="D262" s="1878"/>
      <c r="E262" s="286"/>
      <c r="F262" s="286"/>
      <c r="G262" s="255"/>
      <c r="H262" s="255"/>
      <c r="I262" s="49"/>
      <c r="J262" s="259"/>
      <c r="K262" s="259"/>
      <c r="L262" s="259"/>
      <c r="M262" s="259"/>
      <c r="N262" s="259"/>
      <c r="O262" s="49"/>
      <c r="P262" s="50"/>
      <c r="Q262" s="137"/>
      <c r="R262" s="38">
        <f>R261/R268</f>
        <v>0.64274809160305346</v>
      </c>
      <c r="S262" s="38">
        <f>S261/S268</f>
        <v>0.47298387096774192</v>
      </c>
      <c r="T262" s="38">
        <f>T261/T268</f>
        <v>0.7931034482758621</v>
      </c>
      <c r="U262" s="38">
        <f>U261/U268</f>
        <v>0.80803439075007411</v>
      </c>
      <c r="V262" s="38">
        <f>V261/V268</f>
        <v>0.83695838328480909</v>
      </c>
      <c r="W262" s="50"/>
      <c r="X262" s="169"/>
      <c r="Y262" s="169"/>
      <c r="Z262" s="169"/>
      <c r="AA262" s="169"/>
      <c r="AB262" s="169"/>
      <c r="AC262" s="169"/>
      <c r="AD262" s="169"/>
      <c r="AE262" s="169"/>
      <c r="AF262" s="169"/>
      <c r="AG262" s="169"/>
      <c r="AH262" s="169"/>
      <c r="AI262" s="169"/>
      <c r="AJ262" s="169"/>
      <c r="AK262" s="169"/>
      <c r="AL262" s="169"/>
      <c r="AM262" s="169"/>
      <c r="AN262" s="169"/>
      <c r="AO262" s="169"/>
      <c r="AP262" s="169"/>
      <c r="AQ262" s="169"/>
      <c r="AR262" s="169"/>
      <c r="AS262" s="169"/>
      <c r="AT262" s="169"/>
      <c r="AU262" s="169"/>
      <c r="AV262" s="169"/>
      <c r="AW262" s="169"/>
      <c r="AX262" s="169"/>
      <c r="AY262" s="169"/>
      <c r="AZ262" s="169"/>
      <c r="BA262" s="169"/>
      <c r="BB262" s="169"/>
      <c r="BC262" s="169"/>
    </row>
    <row r="263" spans="1:55">
      <c r="A263" s="169"/>
      <c r="B263" s="169"/>
      <c r="C263" s="248"/>
      <c r="D263" s="1878"/>
      <c r="E263" s="286"/>
      <c r="F263" s="286"/>
      <c r="G263" s="255"/>
      <c r="H263" s="255"/>
      <c r="I263" s="180" t="s">
        <v>633</v>
      </c>
      <c r="J263" s="403">
        <f>R270/R276</f>
        <v>0.81548599670510713</v>
      </c>
      <c r="K263" s="403">
        <f>S270/S276</f>
        <v>0.68606513614522158</v>
      </c>
      <c r="L263" s="403">
        <f>T270/T276</f>
        <v>0.7294325544865502</v>
      </c>
      <c r="M263" s="403">
        <f>U270/U276</f>
        <v>0.60887428101889896</v>
      </c>
      <c r="N263" s="403">
        <f>V270/V276</f>
        <v>0.7026357287677405</v>
      </c>
      <c r="O263" s="49"/>
      <c r="P263" s="50"/>
      <c r="Q263" s="137" t="s">
        <v>616</v>
      </c>
      <c r="R263" s="50">
        <v>155</v>
      </c>
      <c r="S263" s="50">
        <v>450</v>
      </c>
      <c r="T263" s="50">
        <v>535</v>
      </c>
      <c r="U263" s="50">
        <v>99</v>
      </c>
      <c r="V263" s="50">
        <v>-380</v>
      </c>
      <c r="W263" s="50"/>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9"/>
      <c r="AT263" s="169"/>
      <c r="AU263" s="169"/>
      <c r="AV263" s="169"/>
      <c r="AW263" s="169"/>
      <c r="AX263" s="169"/>
      <c r="AY263" s="169"/>
      <c r="AZ263" s="169"/>
      <c r="BA263" s="169"/>
      <c r="BB263" s="169"/>
      <c r="BC263" s="169"/>
    </row>
    <row r="264" spans="1:55">
      <c r="A264" s="169"/>
      <c r="B264" s="169"/>
      <c r="C264" s="248"/>
      <c r="D264" s="1878"/>
      <c r="E264" s="286"/>
      <c r="F264" s="286"/>
      <c r="G264" s="255"/>
      <c r="H264" s="255"/>
      <c r="I264" s="180" t="s">
        <v>634</v>
      </c>
      <c r="J264" s="377">
        <f>J263/J$249</f>
        <v>1.1509352421972918</v>
      </c>
      <c r="K264" s="377">
        <f>K263/K$249</f>
        <v>1.008174685247438</v>
      </c>
      <c r="L264" s="377">
        <f>L263/L$249</f>
        <v>1.011446052651658</v>
      </c>
      <c r="M264" s="377">
        <f>M263/M$249</f>
        <v>0.90623778480055794</v>
      </c>
      <c r="N264" s="377">
        <f>N263/N$249</f>
        <v>1.1255186075667012</v>
      </c>
      <c r="O264" s="321">
        <f>(J264+2*K264+2*L264+AVERAGE(M264,N264))/6</f>
        <v>1.0343424856965189</v>
      </c>
      <c r="P264" s="50"/>
      <c r="Q264" s="137"/>
      <c r="R264" s="38">
        <f>R263/R268</f>
        <v>0.1183206106870229</v>
      </c>
      <c r="S264" s="38">
        <f>S263/S268</f>
        <v>0.18145161290322581</v>
      </c>
      <c r="T264" s="38">
        <f>T263/T268</f>
        <v>7.6548862498211481E-2</v>
      </c>
      <c r="U264" s="38">
        <f>U263/U268</f>
        <v>1.4675363178179662E-2</v>
      </c>
      <c r="V264" s="38">
        <f>V263/V268</f>
        <v>-6.5079636924130838E-2</v>
      </c>
      <c r="W264" s="50"/>
      <c r="X264" s="169"/>
      <c r="Y264" s="169"/>
      <c r="Z264" s="169"/>
      <c r="AA264" s="169"/>
      <c r="AB264" s="169"/>
      <c r="AC264" s="169"/>
      <c r="AD264" s="169"/>
      <c r="AE264" s="169"/>
      <c r="AF264" s="169"/>
      <c r="AG264" s="169"/>
      <c r="AH264" s="169"/>
      <c r="AI264" s="169"/>
      <c r="AJ264" s="169"/>
      <c r="AK264" s="169"/>
      <c r="AL264" s="169"/>
      <c r="AM264" s="169"/>
      <c r="AN264" s="169"/>
      <c r="AO264" s="169"/>
      <c r="AP264" s="169"/>
      <c r="AQ264" s="169"/>
      <c r="AR264" s="169"/>
      <c r="AS264" s="169"/>
      <c r="AT264" s="169"/>
      <c r="AU264" s="169"/>
      <c r="AV264" s="169"/>
      <c r="AW264" s="169"/>
      <c r="AX264" s="169"/>
      <c r="AY264" s="169"/>
      <c r="AZ264" s="169"/>
      <c r="BA264" s="169"/>
      <c r="BB264" s="169"/>
      <c r="BC264" s="169"/>
    </row>
    <row r="265" spans="1:55">
      <c r="A265" s="169"/>
      <c r="B265" s="169"/>
      <c r="C265" s="248"/>
      <c r="D265" s="1878"/>
      <c r="E265" s="286"/>
      <c r="F265" s="286"/>
      <c r="G265" s="255"/>
      <c r="H265" s="255"/>
      <c r="I265" s="49"/>
      <c r="J265" s="259"/>
      <c r="K265" s="259"/>
      <c r="L265" s="259"/>
      <c r="M265" s="259"/>
      <c r="N265" s="259"/>
      <c r="O265" s="49"/>
      <c r="P265" s="50"/>
      <c r="Q265" s="137" t="s">
        <v>617</v>
      </c>
      <c r="R265" s="50">
        <v>313</v>
      </c>
      <c r="S265" s="50">
        <v>857</v>
      </c>
      <c r="T265" s="50">
        <v>911</v>
      </c>
      <c r="U265" s="50">
        <v>1196</v>
      </c>
      <c r="V265" s="50">
        <v>1332</v>
      </c>
      <c r="W265" s="50"/>
      <c r="X265" s="169"/>
      <c r="Y265" s="169"/>
      <c r="Z265" s="169"/>
      <c r="AA265" s="169"/>
      <c r="AB265" s="169"/>
      <c r="AC265" s="169"/>
      <c r="AD265" s="169"/>
      <c r="AE265" s="169"/>
      <c r="AF265" s="169"/>
      <c r="AG265" s="169"/>
      <c r="AH265" s="169"/>
      <c r="AI265" s="169"/>
      <c r="AJ265" s="169"/>
      <c r="AK265" s="169"/>
      <c r="AL265" s="169"/>
      <c r="AM265" s="169"/>
      <c r="AN265" s="169"/>
      <c r="AO265" s="169"/>
      <c r="AP265" s="169"/>
      <c r="AQ265" s="169"/>
      <c r="AR265" s="169"/>
      <c r="AS265" s="169"/>
      <c r="AT265" s="169"/>
      <c r="AU265" s="169"/>
      <c r="AV265" s="169"/>
      <c r="AW265" s="169"/>
      <c r="AX265" s="169"/>
      <c r="AY265" s="169"/>
      <c r="AZ265" s="169"/>
      <c r="BA265" s="169"/>
      <c r="BB265" s="169"/>
      <c r="BC265" s="169"/>
    </row>
    <row r="266" spans="1:55">
      <c r="A266" s="169"/>
      <c r="B266" s="169"/>
      <c r="C266" s="248"/>
      <c r="D266" s="1878"/>
      <c r="E266" s="286"/>
      <c r="F266" s="286"/>
      <c r="G266" s="255"/>
      <c r="H266" s="255"/>
      <c r="I266" s="49" t="s">
        <v>635</v>
      </c>
      <c r="J266" s="259"/>
      <c r="K266" s="259"/>
      <c r="L266" s="259"/>
      <c r="M266" s="259"/>
      <c r="N266" s="259"/>
      <c r="O266" s="49"/>
      <c r="P266" s="50"/>
      <c r="Q266" s="137"/>
      <c r="R266" s="38">
        <f>R265/R268</f>
        <v>0.23893129770992366</v>
      </c>
      <c r="S266" s="38">
        <f>S265/S268</f>
        <v>0.34556451612903227</v>
      </c>
      <c r="T266" s="38">
        <f>T265/T268</f>
        <v>0.13034768922592646</v>
      </c>
      <c r="U266" s="38">
        <f>U265/U268</f>
        <v>0.17729024607174623</v>
      </c>
      <c r="V266" s="38">
        <f>V265/V268</f>
        <v>0.22812125363932181</v>
      </c>
      <c r="W266" s="50"/>
      <c r="X266" s="169"/>
      <c r="Y266" s="169"/>
      <c r="Z266" s="169"/>
      <c r="AA266" s="169"/>
      <c r="AB266" s="169"/>
      <c r="AC266" s="169"/>
      <c r="AD266" s="169"/>
      <c r="AE266" s="169"/>
      <c r="AF266" s="169"/>
      <c r="AG266" s="169"/>
      <c r="AH266" s="169"/>
      <c r="AI266" s="169"/>
      <c r="AJ266" s="169"/>
      <c r="AK266" s="169"/>
      <c r="AL266" s="169"/>
      <c r="AM266" s="169"/>
      <c r="AN266" s="169"/>
      <c r="AO266" s="169"/>
      <c r="AP266" s="169"/>
      <c r="AQ266" s="169"/>
      <c r="AR266" s="169"/>
      <c r="AS266" s="169"/>
      <c r="AT266" s="169"/>
      <c r="AU266" s="169"/>
      <c r="AV266" s="169"/>
      <c r="AW266" s="169"/>
      <c r="AX266" s="169"/>
      <c r="AY266" s="169"/>
      <c r="AZ266" s="169"/>
      <c r="BA266" s="169"/>
      <c r="BB266" s="169"/>
      <c r="BC266" s="169"/>
    </row>
    <row r="267" spans="1:55">
      <c r="A267" s="169"/>
      <c r="B267" s="169"/>
      <c r="C267" s="248"/>
      <c r="D267" s="1878"/>
      <c r="E267" s="286"/>
      <c r="F267" s="286"/>
      <c r="G267" s="255"/>
      <c r="H267" s="255"/>
      <c r="I267" s="49" t="s">
        <v>636</v>
      </c>
      <c r="J267" s="259"/>
      <c r="K267" s="259"/>
      <c r="L267" s="259"/>
      <c r="M267" s="259"/>
      <c r="N267" s="259"/>
      <c r="O267" s="49"/>
      <c r="P267" s="50"/>
      <c r="Q267" s="137" t="s">
        <v>606</v>
      </c>
      <c r="R267" s="50">
        <v>1381</v>
      </c>
      <c r="S267" s="50">
        <v>1975</v>
      </c>
      <c r="T267" s="50">
        <v>6972</v>
      </c>
      <c r="U267" s="50">
        <v>6704</v>
      </c>
      <c r="V267" s="50">
        <v>5736</v>
      </c>
      <c r="W267" s="169"/>
      <c r="X267" s="169"/>
      <c r="Y267" s="169"/>
      <c r="Z267" s="169"/>
      <c r="AA267" s="169"/>
      <c r="AB267" s="169"/>
      <c r="AC267" s="169"/>
      <c r="AD267" s="169"/>
      <c r="AE267" s="169"/>
      <c r="AF267" s="169"/>
      <c r="AG267" s="169"/>
      <c r="AH267" s="169"/>
      <c r="AI267" s="169"/>
      <c r="AJ267" s="169"/>
      <c r="AK267" s="169"/>
      <c r="AL267" s="169"/>
      <c r="AM267" s="169"/>
      <c r="AN267" s="169"/>
      <c r="AO267" s="169"/>
      <c r="AP267" s="169"/>
      <c r="AQ267" s="169"/>
      <c r="AR267" s="169"/>
      <c r="AS267" s="169"/>
      <c r="AT267" s="169"/>
      <c r="AU267" s="169"/>
      <c r="AV267" s="169"/>
      <c r="AW267" s="169"/>
      <c r="AX267" s="169"/>
      <c r="AY267" s="169"/>
      <c r="AZ267" s="169"/>
      <c r="BA267" s="169"/>
      <c r="BB267" s="169"/>
      <c r="BC267" s="169"/>
    </row>
    <row r="268" spans="1:55">
      <c r="A268" s="169"/>
      <c r="B268" s="169"/>
      <c r="C268" s="248"/>
      <c r="D268" s="1878"/>
      <c r="E268" s="286"/>
      <c r="F268" s="286"/>
      <c r="G268" s="255"/>
      <c r="H268" s="255"/>
      <c r="I268" s="49" t="s">
        <v>643</v>
      </c>
      <c r="J268" s="259"/>
      <c r="K268" s="259"/>
      <c r="L268" s="259"/>
      <c r="M268" s="259"/>
      <c r="N268" s="259"/>
      <c r="O268" s="49"/>
      <c r="P268" s="50"/>
      <c r="Q268" s="50"/>
      <c r="R268" s="49">
        <f>R261+R263+R265</f>
        <v>1310</v>
      </c>
      <c r="S268" s="49">
        <f>S261+S263+S265</f>
        <v>2480</v>
      </c>
      <c r="T268" s="49">
        <f>T261+T263+T265</f>
        <v>6989</v>
      </c>
      <c r="U268" s="49">
        <f>U261+U263+U265</f>
        <v>6746</v>
      </c>
      <c r="V268" s="49">
        <f>V261+V263+V265</f>
        <v>5839</v>
      </c>
      <c r="W268" s="50"/>
      <c r="X268" s="169"/>
      <c r="Y268" s="169"/>
      <c r="Z268" s="169"/>
      <c r="AA268" s="169"/>
      <c r="AB268" s="169"/>
      <c r="AC268" s="169"/>
      <c r="AD268" s="169"/>
      <c r="AE268" s="169"/>
      <c r="AF268" s="169"/>
      <c r="AG268" s="169"/>
      <c r="AH268" s="169"/>
      <c r="AI268" s="169"/>
      <c r="AJ268" s="169"/>
      <c r="AK268" s="169"/>
      <c r="AL268" s="169"/>
      <c r="AM268" s="169"/>
      <c r="AN268" s="169"/>
      <c r="AO268" s="169"/>
      <c r="AP268" s="169"/>
      <c r="AQ268" s="169"/>
      <c r="AR268" s="169"/>
      <c r="AS268" s="169"/>
      <c r="AT268" s="169"/>
      <c r="AU268" s="169"/>
      <c r="AV268" s="169"/>
      <c r="AW268" s="169"/>
      <c r="AX268" s="169"/>
      <c r="AY268" s="169"/>
      <c r="AZ268" s="169"/>
      <c r="BA268" s="169"/>
      <c r="BB268" s="169"/>
      <c r="BC268" s="169"/>
    </row>
    <row r="269" spans="1:55">
      <c r="A269" s="169"/>
      <c r="B269" s="169"/>
      <c r="C269" s="248"/>
      <c r="D269" s="1878"/>
      <c r="E269" s="286"/>
      <c r="F269" s="286"/>
      <c r="G269" s="255"/>
      <c r="H269" s="255"/>
      <c r="I269" s="49" t="s">
        <v>1850</v>
      </c>
      <c r="J269" s="259"/>
      <c r="K269" s="259"/>
      <c r="L269" s="259"/>
      <c r="M269" s="259"/>
      <c r="N269" s="259"/>
      <c r="O269" s="49"/>
      <c r="P269" s="50"/>
      <c r="Q269" s="137" t="s">
        <v>621</v>
      </c>
      <c r="R269" s="50"/>
      <c r="S269" s="50"/>
      <c r="T269" s="50"/>
      <c r="U269" s="50"/>
      <c r="V269" s="50"/>
      <c r="W269" s="50"/>
      <c r="X269" s="49" t="s">
        <v>644</v>
      </c>
      <c r="Y269" s="169"/>
      <c r="Z269" s="169"/>
      <c r="AA269" s="169"/>
      <c r="AB269" s="169"/>
      <c r="AC269" s="169"/>
      <c r="AD269" s="169"/>
      <c r="AE269" s="169"/>
      <c r="AF269" s="169"/>
      <c r="AG269" s="169"/>
      <c r="AH269" s="169"/>
      <c r="AI269" s="169"/>
      <c r="AJ269" s="169"/>
      <c r="AK269" s="169"/>
      <c r="AL269" s="169"/>
      <c r="AM269" s="169"/>
      <c r="AN269" s="169"/>
      <c r="AO269" s="169"/>
      <c r="AP269" s="169"/>
      <c r="AQ269" s="169"/>
      <c r="AR269" s="169"/>
      <c r="AS269" s="169"/>
      <c r="AT269" s="169"/>
      <c r="AU269" s="169"/>
      <c r="AV269" s="169"/>
      <c r="AW269" s="169"/>
      <c r="AX269" s="169"/>
      <c r="AY269" s="169"/>
      <c r="AZ269" s="169"/>
      <c r="BA269" s="169"/>
      <c r="BB269" s="169"/>
      <c r="BC269" s="169"/>
    </row>
    <row r="270" spans="1:55">
      <c r="A270" s="169"/>
      <c r="B270" s="169"/>
      <c r="C270" s="248"/>
      <c r="D270" s="1878"/>
      <c r="E270" s="286"/>
      <c r="F270" s="286"/>
      <c r="G270" s="255"/>
      <c r="H270" s="255"/>
      <c r="I270" s="49"/>
      <c r="J270" s="259"/>
      <c r="K270" s="259"/>
      <c r="L270" s="259"/>
      <c r="M270" s="259"/>
      <c r="N270" s="259"/>
      <c r="O270" s="49"/>
      <c r="P270" s="353"/>
      <c r="Q270" s="351" t="s">
        <v>55</v>
      </c>
      <c r="R270" s="353">
        <v>2475</v>
      </c>
      <c r="S270" s="353">
        <v>2570</v>
      </c>
      <c r="T270" s="353">
        <v>3715</v>
      </c>
      <c r="U270" s="353">
        <v>2223</v>
      </c>
      <c r="V270" s="353">
        <v>3119</v>
      </c>
      <c r="W270" s="50"/>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69"/>
      <c r="AV270" s="169"/>
      <c r="AW270" s="169"/>
      <c r="AX270" s="169"/>
      <c r="AY270" s="169"/>
      <c r="AZ270" s="169"/>
      <c r="BA270" s="169"/>
      <c r="BB270" s="169"/>
      <c r="BC270" s="169"/>
    </row>
    <row r="271" spans="1:55">
      <c r="A271" s="169"/>
      <c r="B271" s="169"/>
      <c r="C271" s="248"/>
      <c r="D271" s="1878"/>
      <c r="E271" s="286"/>
      <c r="F271" s="286"/>
      <c r="G271" s="255"/>
      <c r="H271" s="255"/>
      <c r="I271" s="49" t="s">
        <v>637</v>
      </c>
      <c r="J271" s="259"/>
      <c r="K271" s="259"/>
      <c r="L271" s="259"/>
      <c r="M271" s="259"/>
      <c r="N271" s="259"/>
      <c r="O271" s="49"/>
      <c r="P271" s="50"/>
      <c r="Q271" s="137"/>
      <c r="R271" s="38">
        <f>R270/R277</f>
        <v>0.89836660617059894</v>
      </c>
      <c r="S271" s="38">
        <f>S270/S277</f>
        <v>0.80337605501719289</v>
      </c>
      <c r="T271" s="38">
        <f>T270/T277</f>
        <v>0.83897922312556461</v>
      </c>
      <c r="U271" s="38">
        <f>U270/U277</f>
        <v>0.73149062191510361</v>
      </c>
      <c r="V271" s="38">
        <f>V270/V277</f>
        <v>0.80635987590486036</v>
      </c>
      <c r="W271" s="50"/>
      <c r="X271" s="169"/>
      <c r="Y271" s="169"/>
      <c r="Z271" s="169"/>
      <c r="AA271" s="169"/>
      <c r="AB271" s="169"/>
      <c r="AC271" s="169"/>
      <c r="AD271" s="169"/>
      <c r="AE271" s="169"/>
      <c r="AF271" s="169"/>
      <c r="AG271" s="169"/>
      <c r="AH271" s="169"/>
      <c r="AI271" s="169"/>
      <c r="AJ271" s="169"/>
      <c r="AK271" s="169"/>
      <c r="AL271" s="169"/>
      <c r="AM271" s="169"/>
      <c r="AN271" s="169"/>
      <c r="AO271" s="169"/>
      <c r="AP271" s="169"/>
      <c r="AQ271" s="169"/>
      <c r="AR271" s="169"/>
      <c r="AS271" s="169"/>
      <c r="AT271" s="169"/>
      <c r="AU271" s="169"/>
      <c r="AV271" s="169"/>
      <c r="AW271" s="169"/>
      <c r="AX271" s="169"/>
      <c r="AY271" s="169"/>
      <c r="AZ271" s="169"/>
      <c r="BA271" s="169"/>
      <c r="BB271" s="169"/>
      <c r="BC271" s="169"/>
    </row>
    <row r="272" spans="1:55">
      <c r="A272" s="169"/>
      <c r="B272" s="169"/>
      <c r="C272" s="248"/>
      <c r="D272" s="1878"/>
      <c r="E272" s="286"/>
      <c r="F272" s="286"/>
      <c r="G272" s="255"/>
      <c r="H272" s="255"/>
      <c r="I272" s="49" t="s">
        <v>639</v>
      </c>
      <c r="J272" s="259"/>
      <c r="K272" s="259"/>
      <c r="L272" s="259"/>
      <c r="M272" s="259"/>
      <c r="N272" s="259"/>
      <c r="O272" s="49"/>
      <c r="P272" s="50"/>
      <c r="Q272" s="137" t="s">
        <v>616</v>
      </c>
      <c r="R272" s="50">
        <v>252</v>
      </c>
      <c r="S272" s="50">
        <v>584</v>
      </c>
      <c r="T272" s="50">
        <v>643</v>
      </c>
      <c r="U272" s="50">
        <v>722</v>
      </c>
      <c r="V272" s="50">
        <v>667</v>
      </c>
      <c r="W272" s="50"/>
      <c r="X272" s="169"/>
      <c r="Y272" s="169"/>
      <c r="Z272" s="169"/>
      <c r="AA272" s="169"/>
      <c r="AB272" s="16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row>
    <row r="273" spans="1:55">
      <c r="A273" s="169"/>
      <c r="B273" s="169"/>
      <c r="C273" s="248"/>
      <c r="D273" s="1878"/>
      <c r="E273" s="286"/>
      <c r="F273" s="286"/>
      <c r="G273" s="255"/>
      <c r="H273" s="255"/>
      <c r="I273" s="49"/>
      <c r="J273" s="259"/>
      <c r="K273" s="259"/>
      <c r="L273" s="259"/>
      <c r="M273" s="259"/>
      <c r="N273" s="259"/>
      <c r="O273" s="49"/>
      <c r="P273" s="50"/>
      <c r="Q273" s="137"/>
      <c r="R273" s="38">
        <f>R272/R277</f>
        <v>9.1470054446460974E-2</v>
      </c>
      <c r="S273" s="38">
        <f>S272/S277</f>
        <v>0.18255704907783682</v>
      </c>
      <c r="T273" s="38">
        <f>T272/T277</f>
        <v>0.14521228545618789</v>
      </c>
      <c r="U273" s="38">
        <f>U272/U277</f>
        <v>0.23757815070746957</v>
      </c>
      <c r="V273" s="38">
        <f>V272/V277</f>
        <v>0.17244053774560497</v>
      </c>
      <c r="W273" s="50"/>
      <c r="X273" s="169"/>
      <c r="Y273" s="169"/>
      <c r="Z273" s="169"/>
      <c r="AA273" s="169"/>
      <c r="AB273" s="169"/>
      <c r="AC273" s="169"/>
      <c r="AD273" s="169"/>
      <c r="AE273" s="169"/>
      <c r="AF273" s="169"/>
      <c r="AG273" s="169"/>
      <c r="AH273" s="169"/>
      <c r="AI273" s="169"/>
      <c r="AJ273" s="169"/>
      <c r="AK273" s="169"/>
      <c r="AL273" s="169"/>
      <c r="AM273" s="169"/>
      <c r="AN273" s="169"/>
      <c r="AO273" s="169"/>
      <c r="AP273" s="169"/>
      <c r="AQ273" s="169"/>
      <c r="AR273" s="169"/>
      <c r="AS273" s="169"/>
      <c r="AT273" s="169"/>
      <c r="AU273" s="169"/>
      <c r="AV273" s="169"/>
      <c r="AW273" s="169"/>
      <c r="AX273" s="169"/>
      <c r="AY273" s="169"/>
      <c r="AZ273" s="169"/>
      <c r="BA273" s="169"/>
      <c r="BB273" s="169"/>
      <c r="BC273" s="169"/>
    </row>
    <row r="274" spans="1:55">
      <c r="A274" s="169"/>
      <c r="B274" s="169"/>
      <c r="C274" s="248"/>
      <c r="D274" s="1878"/>
      <c r="E274" s="286"/>
      <c r="F274" s="286"/>
      <c r="G274" s="255"/>
      <c r="H274" s="255"/>
      <c r="I274" s="180" t="s">
        <v>392</v>
      </c>
      <c r="J274" s="377">
        <f>R253/R244</f>
        <v>0.90626629704664463</v>
      </c>
      <c r="K274" s="377">
        <f>S253/S244</f>
        <v>0.86071602300817951</v>
      </c>
      <c r="L274" s="377">
        <f>T253/T244</f>
        <v>1.0089821716388365</v>
      </c>
      <c r="M274" s="377">
        <f>U253/U244</f>
        <v>1.0497367492707743</v>
      </c>
      <c r="N274" s="377">
        <f>V253/V244</f>
        <v>1.0843613997965287</v>
      </c>
      <c r="O274" s="321">
        <f>(J274+2*K274+2*L274+AVERAGE(M274,N274))/6</f>
        <v>0.9521186268123879</v>
      </c>
      <c r="P274" s="50"/>
      <c r="Q274" s="137" t="s">
        <v>617</v>
      </c>
      <c r="R274" s="50">
        <v>28</v>
      </c>
      <c r="S274" s="50">
        <v>45</v>
      </c>
      <c r="T274" s="50">
        <v>70</v>
      </c>
      <c r="U274" s="50">
        <v>94</v>
      </c>
      <c r="V274" s="50">
        <v>82</v>
      </c>
      <c r="W274" s="50"/>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c r="BA274" s="169"/>
      <c r="BB274" s="169"/>
      <c r="BC274" s="169"/>
    </row>
    <row r="275" spans="1:55">
      <c r="A275" s="169"/>
      <c r="B275" s="169"/>
      <c r="C275" s="248"/>
      <c r="D275" s="1878"/>
      <c r="E275" s="286"/>
      <c r="F275" s="286"/>
      <c r="G275" s="255"/>
      <c r="H275" s="255"/>
      <c r="I275" s="180" t="s">
        <v>630</v>
      </c>
      <c r="J275" s="404">
        <f>R262/R244</f>
        <v>0.87146767903344835</v>
      </c>
      <c r="K275" s="404">
        <f>S262/S244</f>
        <v>0.66360179716893852</v>
      </c>
      <c r="L275" s="404">
        <f>T262/T244</f>
        <v>1.054259772931011</v>
      </c>
      <c r="M275" s="404">
        <f>U262/U244</f>
        <v>1.1332543840032354</v>
      </c>
      <c r="N275" s="404">
        <f>V262/V244</f>
        <v>1.2697670748481913</v>
      </c>
      <c r="O275" s="321">
        <f>(J275+2*K275+2*L275+AVERAGE(M275,N275))/6</f>
        <v>0.9181169247765103</v>
      </c>
      <c r="P275" s="50"/>
      <c r="Q275" s="137"/>
      <c r="R275" s="38">
        <f>R274/R277</f>
        <v>1.0163339382940109E-2</v>
      </c>
      <c r="S275" s="38">
        <f>S274/S277</f>
        <v>1.4066895904970303E-2</v>
      </c>
      <c r="T275" s="38">
        <f>T274/T277</f>
        <v>1.5808491418247517E-2</v>
      </c>
      <c r="U275" s="38">
        <f>U274/U277</f>
        <v>3.0931227377426786E-2</v>
      </c>
      <c r="V275" s="38">
        <f>V274/V277</f>
        <v>2.1199586349534644E-2</v>
      </c>
      <c r="W275" s="50"/>
      <c r="X275" s="169"/>
      <c r="Y275" s="169"/>
      <c r="Z275" s="169"/>
      <c r="AA275" s="169"/>
      <c r="AB275" s="169"/>
      <c r="AC275" s="169"/>
      <c r="AD275" s="169"/>
      <c r="AE275" s="169"/>
      <c r="AF275" s="169"/>
      <c r="AG275" s="169"/>
      <c r="AH275" s="169"/>
      <c r="AI275" s="169"/>
      <c r="AJ275" s="169"/>
      <c r="AK275" s="169"/>
      <c r="AL275" s="169"/>
      <c r="AM275" s="169"/>
      <c r="AN275" s="169"/>
      <c r="AO275" s="169"/>
      <c r="AP275" s="169"/>
      <c r="AQ275" s="169"/>
      <c r="AR275" s="169"/>
      <c r="AS275" s="169"/>
      <c r="AT275" s="169"/>
      <c r="AU275" s="169"/>
      <c r="AV275" s="169"/>
      <c r="AW275" s="169"/>
      <c r="AX275" s="169"/>
      <c r="AY275" s="169"/>
      <c r="AZ275" s="169"/>
      <c r="BA275" s="169"/>
      <c r="BB275" s="169"/>
      <c r="BC275" s="169"/>
    </row>
    <row r="276" spans="1:55">
      <c r="A276" s="169"/>
      <c r="B276" s="169"/>
      <c r="C276" s="248"/>
      <c r="D276" s="1878"/>
      <c r="E276" s="286"/>
      <c r="F276" s="286"/>
      <c r="G276" s="255"/>
      <c r="H276" s="255"/>
      <c r="I276" s="180" t="s">
        <v>634</v>
      </c>
      <c r="J276" s="265">
        <f>R271/R244</f>
        <v>1.218047118970129</v>
      </c>
      <c r="K276" s="265">
        <f>S271/S244</f>
        <v>1.127145821740422</v>
      </c>
      <c r="L276" s="265">
        <f>T271/T244</f>
        <v>1.115241709248679</v>
      </c>
      <c r="M276" s="265">
        <f>U271/U244</f>
        <v>1.0259030601074306</v>
      </c>
      <c r="N276" s="265">
        <f>V271/V244</f>
        <v>1.2233454390936487</v>
      </c>
      <c r="O276" s="321">
        <f>(J276+2*K276+2*L276+AVERAGE(M276,N276))/6</f>
        <v>1.137907738424812</v>
      </c>
      <c r="P276" s="50"/>
      <c r="Q276" s="137" t="s">
        <v>606</v>
      </c>
      <c r="R276" s="50">
        <v>3035</v>
      </c>
      <c r="S276" s="50">
        <v>3746</v>
      </c>
      <c r="T276" s="50">
        <v>5093</v>
      </c>
      <c r="U276" s="50">
        <v>3651</v>
      </c>
      <c r="V276" s="50">
        <v>4439</v>
      </c>
      <c r="W276" s="50"/>
      <c r="X276" s="169"/>
      <c r="Y276" s="169"/>
      <c r="Z276" s="169"/>
      <c r="AA276" s="169"/>
      <c r="AB276" s="169"/>
      <c r="AC276" s="169"/>
      <c r="AD276" s="169"/>
      <c r="AE276" s="169"/>
      <c r="AF276" s="169"/>
      <c r="AG276" s="169"/>
      <c r="AH276" s="169"/>
      <c r="AI276" s="169"/>
      <c r="AJ276" s="169"/>
      <c r="AK276" s="169"/>
      <c r="AL276" s="169"/>
      <c r="AM276" s="169"/>
      <c r="AN276" s="169"/>
      <c r="AO276" s="169"/>
      <c r="AP276" s="169"/>
      <c r="AQ276" s="169"/>
      <c r="AR276" s="169"/>
      <c r="AS276" s="169"/>
      <c r="AT276" s="169"/>
      <c r="AU276" s="169"/>
      <c r="AV276" s="169"/>
      <c r="AW276" s="169"/>
      <c r="AX276" s="169"/>
      <c r="AY276" s="169"/>
      <c r="AZ276" s="169"/>
      <c r="BA276" s="169"/>
      <c r="BB276" s="169"/>
      <c r="BC276" s="169"/>
    </row>
    <row r="277" spans="1:55">
      <c r="A277" s="169"/>
      <c r="B277" s="169"/>
      <c r="C277" s="248"/>
      <c r="D277" s="1878"/>
      <c r="E277" s="286"/>
      <c r="F277" s="286"/>
      <c r="G277" s="255"/>
      <c r="H277" s="255"/>
      <c r="I277" s="49"/>
      <c r="J277" s="259"/>
      <c r="K277" s="259"/>
      <c r="L277" s="259"/>
      <c r="M277" s="259"/>
      <c r="N277" s="259"/>
      <c r="O277" s="49"/>
      <c r="P277" s="50"/>
      <c r="Q277" s="50"/>
      <c r="R277" s="49">
        <f>R270+R272+R274</f>
        <v>2755</v>
      </c>
      <c r="S277" s="49">
        <f>S270+S272+S274</f>
        <v>3199</v>
      </c>
      <c r="T277" s="49">
        <f>T270+T272+T274</f>
        <v>4428</v>
      </c>
      <c r="U277" s="49">
        <f>U270+U272+U274</f>
        <v>3039</v>
      </c>
      <c r="V277" s="49">
        <f>V270+V272+V274</f>
        <v>3868</v>
      </c>
      <c r="W277" s="50"/>
      <c r="X277" s="169"/>
      <c r="Y277" s="169"/>
      <c r="Z277" s="169"/>
      <c r="AA277" s="169"/>
      <c r="AB277" s="169"/>
      <c r="AC277" s="169"/>
      <c r="AD277" s="169"/>
      <c r="AE277" s="169"/>
      <c r="AF277" s="169"/>
      <c r="AG277" s="169"/>
      <c r="AH277" s="169"/>
      <c r="AI277" s="169"/>
      <c r="AJ277" s="169"/>
      <c r="AK277" s="169"/>
      <c r="AL277" s="169"/>
      <c r="AM277" s="169"/>
      <c r="AN277" s="169"/>
      <c r="AO277" s="169"/>
      <c r="AP277" s="169"/>
      <c r="AQ277" s="169"/>
      <c r="AR277" s="169"/>
      <c r="AS277" s="169"/>
      <c r="AT277" s="169"/>
      <c r="AU277" s="169"/>
      <c r="AV277" s="169"/>
      <c r="AW277" s="169"/>
      <c r="AX277" s="169"/>
      <c r="AY277" s="169"/>
      <c r="AZ277" s="169"/>
      <c r="BA277" s="169"/>
      <c r="BB277" s="169"/>
      <c r="BC277" s="169"/>
    </row>
    <row r="278" spans="1:55">
      <c r="A278" s="169"/>
      <c r="B278" s="169"/>
      <c r="C278" s="169"/>
      <c r="D278" s="335"/>
      <c r="E278" s="255"/>
      <c r="F278" s="255"/>
      <c r="G278" s="255"/>
      <c r="H278" s="255"/>
      <c r="I278" s="49"/>
      <c r="J278" s="259"/>
      <c r="K278" s="259"/>
      <c r="L278" s="259"/>
      <c r="M278" s="259"/>
      <c r="N278" s="259"/>
      <c r="O278" s="49"/>
      <c r="P278" s="50"/>
      <c r="Q278" s="50"/>
      <c r="R278" s="169"/>
      <c r="S278" s="169"/>
      <c r="T278" s="169"/>
      <c r="U278" s="169"/>
      <c r="V278" s="169"/>
      <c r="W278" s="50"/>
      <c r="X278" s="169"/>
      <c r="Y278" s="169"/>
      <c r="Z278" s="169"/>
      <c r="AA278" s="169"/>
      <c r="AB278" s="169"/>
      <c r="AC278" s="169"/>
      <c r="AD278" s="169"/>
      <c r="AE278" s="169"/>
      <c r="AF278" s="169"/>
      <c r="AG278" s="169"/>
      <c r="AH278" s="169"/>
      <c r="AI278" s="169"/>
      <c r="AJ278" s="169"/>
      <c r="AK278" s="169"/>
      <c r="AL278" s="169"/>
      <c r="AM278" s="169"/>
      <c r="AN278" s="169"/>
      <c r="AO278" s="169"/>
      <c r="AP278" s="169"/>
      <c r="AQ278" s="169"/>
      <c r="AR278" s="169"/>
      <c r="AS278" s="169"/>
      <c r="AT278" s="169"/>
      <c r="AU278" s="169"/>
      <c r="AV278" s="169"/>
      <c r="AW278" s="169"/>
      <c r="AX278" s="169"/>
      <c r="AY278" s="169"/>
      <c r="AZ278" s="169"/>
      <c r="BA278" s="169"/>
      <c r="BB278" s="169"/>
      <c r="BC278" s="169"/>
    </row>
    <row r="279" spans="1:55">
      <c r="A279" s="46" t="s">
        <v>121</v>
      </c>
      <c r="B279" s="177" t="s">
        <v>366</v>
      </c>
      <c r="C279" s="168" t="s">
        <v>237</v>
      </c>
      <c r="D279" s="1874"/>
      <c r="E279" s="253">
        <v>60.32</v>
      </c>
      <c r="F279" s="253">
        <v>63.24</v>
      </c>
      <c r="G279" s="253">
        <v>72.55</v>
      </c>
      <c r="H279" s="253"/>
      <c r="I279" s="47"/>
      <c r="J279" s="263"/>
      <c r="K279" s="263"/>
      <c r="L279" s="263"/>
      <c r="M279" s="263"/>
      <c r="N279" s="263"/>
      <c r="O279" s="47"/>
      <c r="P279" s="48"/>
      <c r="Q279" s="48"/>
      <c r="R279" s="48"/>
      <c r="S279" s="48"/>
      <c r="T279" s="48"/>
      <c r="U279" s="48"/>
      <c r="V279" s="48"/>
      <c r="W279" s="4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row>
    <row r="280" spans="1:55">
      <c r="A280" s="169"/>
      <c r="B280" s="169"/>
      <c r="C280" s="169" t="s">
        <v>238</v>
      </c>
      <c r="D280" s="335"/>
      <c r="E280" s="250">
        <v>25.22</v>
      </c>
      <c r="F280" s="250">
        <v>24.43</v>
      </c>
      <c r="G280" s="250">
        <v>22.41</v>
      </c>
      <c r="H280" s="250">
        <v>18.45</v>
      </c>
      <c r="I280" s="346" t="s">
        <v>534</v>
      </c>
      <c r="J280" s="259"/>
      <c r="K280" s="266"/>
      <c r="L280" s="266"/>
      <c r="M280" s="378"/>
      <c r="N280" s="378"/>
      <c r="O280" s="49" t="s">
        <v>373</v>
      </c>
      <c r="P280" s="169"/>
      <c r="Q280" s="50"/>
      <c r="R280" s="50"/>
      <c r="S280" s="50"/>
      <c r="T280" s="50"/>
      <c r="U280" s="50"/>
      <c r="V280" s="50"/>
      <c r="W280" s="50"/>
      <c r="X280" s="169"/>
      <c r="Y280" s="169"/>
      <c r="Z280" s="169"/>
      <c r="AA280" s="169"/>
      <c r="AB280" s="169"/>
      <c r="AC280" s="169"/>
      <c r="AD280" s="169"/>
      <c r="AE280" s="169"/>
      <c r="AF280" s="169"/>
      <c r="AG280" s="169"/>
      <c r="AH280" s="169"/>
      <c r="AI280" s="169"/>
      <c r="AJ280" s="169"/>
      <c r="AK280" s="169"/>
      <c r="AL280" s="169"/>
      <c r="AM280" s="169"/>
      <c r="AN280" s="169"/>
      <c r="AO280" s="169"/>
      <c r="AP280" s="169"/>
      <c r="AQ280" s="169"/>
      <c r="AR280" s="169"/>
      <c r="AS280" s="169"/>
      <c r="AT280" s="169"/>
      <c r="AU280" s="169"/>
      <c r="AV280" s="169"/>
      <c r="AW280" s="169"/>
      <c r="AX280" s="169"/>
      <c r="AY280" s="169"/>
      <c r="AZ280" s="169"/>
      <c r="BA280" s="169"/>
      <c r="BB280" s="169"/>
      <c r="BC280" s="169"/>
    </row>
    <row r="281" spans="1:55">
      <c r="A281" s="169"/>
      <c r="B281" s="169"/>
      <c r="C281" s="169" t="s">
        <v>239</v>
      </c>
      <c r="D281" s="335"/>
      <c r="E281" s="250">
        <v>12.76</v>
      </c>
      <c r="F281" s="250">
        <v>10.73</v>
      </c>
      <c r="G281" s="250">
        <v>2.89</v>
      </c>
      <c r="H281" s="250"/>
      <c r="I281" s="346" t="s">
        <v>535</v>
      </c>
      <c r="J281" s="379"/>
      <c r="K281" s="375">
        <f>E280/E286</f>
        <v>0.73980639483719557</v>
      </c>
      <c r="L281" s="375">
        <f>F280/F286</f>
        <v>0.70934959349593496</v>
      </c>
      <c r="M281" s="375">
        <f>G280/G286</f>
        <v>0.63538417918911261</v>
      </c>
      <c r="N281" s="375">
        <f>H280/H286</f>
        <v>0.50081433224755689</v>
      </c>
      <c r="O281" s="344">
        <f>(3*K281+2*L281+AVERAGE(M281,N281))/6</f>
        <v>0.70103627120363188</v>
      </c>
      <c r="P281" s="169"/>
      <c r="Q281" s="50"/>
      <c r="R281" s="50"/>
      <c r="S281" s="50"/>
      <c r="T281" s="50"/>
      <c r="U281" s="50"/>
      <c r="V281" s="50"/>
      <c r="W281" s="50"/>
      <c r="X281" s="169"/>
      <c r="Y281" s="169"/>
      <c r="Z281" s="169"/>
      <c r="AA281" s="169"/>
      <c r="AB281" s="169"/>
      <c r="AC281" s="169"/>
      <c r="AD281" s="169"/>
      <c r="AE281" s="169"/>
      <c r="AF281" s="169"/>
      <c r="AG281" s="169"/>
      <c r="AH281" s="169"/>
      <c r="AI281" s="169"/>
      <c r="AJ281" s="169"/>
      <c r="AK281" s="169"/>
      <c r="AL281" s="169"/>
      <c r="AM281" s="169"/>
      <c r="AN281" s="169"/>
      <c r="AO281" s="169"/>
      <c r="AP281" s="169"/>
      <c r="AQ281" s="169"/>
      <c r="AR281" s="169"/>
      <c r="AS281" s="169"/>
      <c r="AT281" s="169"/>
      <c r="AU281" s="169"/>
      <c r="AV281" s="169"/>
      <c r="AW281" s="169"/>
      <c r="AX281" s="169"/>
      <c r="AY281" s="169"/>
      <c r="AZ281" s="169"/>
      <c r="BA281" s="169"/>
      <c r="BB281" s="169"/>
      <c r="BC281" s="169"/>
    </row>
    <row r="282" spans="1:55">
      <c r="A282" s="169"/>
      <c r="B282" s="169"/>
      <c r="C282" s="169" t="s">
        <v>240</v>
      </c>
      <c r="D282" s="335"/>
      <c r="E282" s="250">
        <v>0.94</v>
      </c>
      <c r="F282" s="250">
        <v>0.86</v>
      </c>
      <c r="G282" s="250">
        <v>1.06</v>
      </c>
      <c r="H282" s="250"/>
      <c r="I282" s="49"/>
      <c r="J282" s="259"/>
      <c r="K282" s="259"/>
      <c r="L282" s="259"/>
      <c r="M282" s="259"/>
      <c r="N282" s="259"/>
      <c r="O282" s="49"/>
      <c r="P282" s="50"/>
      <c r="Q282" s="50"/>
      <c r="R282" s="50"/>
      <c r="S282" s="50"/>
      <c r="T282" s="50"/>
      <c r="U282" s="50"/>
      <c r="V282" s="50"/>
      <c r="W282" s="50"/>
      <c r="X282" s="169"/>
      <c r="Y282" s="169"/>
      <c r="Z282" s="169"/>
      <c r="AA282" s="169"/>
      <c r="AB282" s="169"/>
      <c r="AC282" s="169"/>
      <c r="AD282" s="169"/>
      <c r="AE282" s="169"/>
      <c r="AF282" s="169"/>
      <c r="AG282" s="169"/>
      <c r="AH282" s="169"/>
      <c r="AI282" s="169"/>
      <c r="AJ282" s="169"/>
      <c r="AK282" s="169"/>
      <c r="AL282" s="169"/>
      <c r="AM282" s="169"/>
      <c r="AN282" s="169"/>
      <c r="AO282" s="169"/>
      <c r="AP282" s="169"/>
      <c r="AQ282" s="169"/>
      <c r="AR282" s="169"/>
      <c r="AS282" s="169"/>
      <c r="AT282" s="169"/>
      <c r="AU282" s="169"/>
      <c r="AV282" s="169"/>
      <c r="AW282" s="169"/>
      <c r="AX282" s="169"/>
      <c r="AY282" s="169"/>
      <c r="AZ282" s="169"/>
      <c r="BA282" s="169"/>
      <c r="BB282" s="169"/>
      <c r="BC282" s="169"/>
    </row>
    <row r="283" spans="1:55">
      <c r="A283" s="169"/>
      <c r="B283" s="169"/>
      <c r="C283" s="169" t="s">
        <v>241</v>
      </c>
      <c r="D283" s="335"/>
      <c r="E283" s="250">
        <v>0.75</v>
      </c>
      <c r="F283" s="250">
        <v>0.73</v>
      </c>
      <c r="G283" s="250">
        <v>0.86</v>
      </c>
      <c r="H283" s="250"/>
      <c r="I283" s="49"/>
      <c r="J283" s="259"/>
      <c r="K283" s="259"/>
      <c r="L283" s="259"/>
      <c r="M283" s="259"/>
      <c r="N283" s="259"/>
      <c r="O283" s="49"/>
      <c r="P283" s="50"/>
      <c r="Q283" s="50"/>
      <c r="R283" s="50"/>
      <c r="S283" s="50"/>
      <c r="T283" s="50"/>
      <c r="U283" s="50"/>
      <c r="V283" s="50"/>
      <c r="W283" s="50"/>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c r="AS283" s="169"/>
      <c r="AT283" s="169"/>
      <c r="AU283" s="169"/>
      <c r="AV283" s="169"/>
      <c r="AW283" s="169"/>
      <c r="AX283" s="169"/>
      <c r="AY283" s="169"/>
      <c r="AZ283" s="169"/>
      <c r="BA283" s="169"/>
      <c r="BB283" s="169"/>
      <c r="BC283" s="169"/>
    </row>
    <row r="284" spans="1:55">
      <c r="A284" s="169"/>
      <c r="B284" s="169"/>
      <c r="C284" s="169" t="s">
        <v>153</v>
      </c>
      <c r="D284" s="335"/>
      <c r="E284" s="250"/>
      <c r="F284" s="250"/>
      <c r="G284" s="250">
        <v>0.22</v>
      </c>
      <c r="H284" s="250"/>
      <c r="I284" s="49"/>
      <c r="J284" s="259"/>
      <c r="K284" s="259"/>
      <c r="L284" s="259"/>
      <c r="M284" s="259"/>
      <c r="N284" s="259"/>
      <c r="O284" s="49"/>
      <c r="P284" s="50"/>
      <c r="Q284" s="50"/>
      <c r="R284" s="50"/>
      <c r="S284" s="50"/>
      <c r="T284" s="50"/>
      <c r="U284" s="50"/>
      <c r="V284" s="50"/>
      <c r="W284" s="50"/>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c r="AS284" s="169"/>
      <c r="AT284" s="169"/>
      <c r="AU284" s="169"/>
      <c r="AV284" s="169"/>
      <c r="AW284" s="169"/>
      <c r="AX284" s="169"/>
      <c r="AY284" s="169"/>
      <c r="AZ284" s="169"/>
      <c r="BA284" s="169"/>
      <c r="BB284" s="169"/>
      <c r="BC284" s="169"/>
    </row>
    <row r="285" spans="1:55">
      <c r="A285" s="169"/>
      <c r="B285" s="51" t="s">
        <v>366</v>
      </c>
      <c r="C285" s="51" t="s">
        <v>172</v>
      </c>
      <c r="D285" s="1870"/>
      <c r="E285" s="250">
        <v>65.91</v>
      </c>
      <c r="F285" s="250">
        <v>65.56</v>
      </c>
      <c r="G285" s="250">
        <v>64.73</v>
      </c>
      <c r="H285" s="250">
        <v>63.16</v>
      </c>
      <c r="I285" s="169"/>
      <c r="J285" s="250"/>
      <c r="K285" s="250"/>
      <c r="L285" s="250"/>
      <c r="M285" s="250"/>
      <c r="N285" s="250"/>
      <c r="O285" s="169"/>
      <c r="P285" s="169"/>
      <c r="Q285" s="50"/>
      <c r="R285" s="50"/>
      <c r="S285" s="50"/>
      <c r="T285" s="50"/>
      <c r="U285" s="50"/>
      <c r="V285" s="50"/>
      <c r="W285" s="50"/>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c r="AS285" s="169"/>
      <c r="AT285" s="169"/>
      <c r="AU285" s="169"/>
      <c r="AV285" s="169"/>
      <c r="AW285" s="169"/>
      <c r="AX285" s="169"/>
      <c r="AY285" s="169"/>
      <c r="AZ285" s="169"/>
      <c r="BA285" s="169"/>
      <c r="BB285" s="169"/>
      <c r="BC285" s="169"/>
    </row>
    <row r="286" spans="1:55">
      <c r="A286" s="169"/>
      <c r="B286" s="169"/>
      <c r="C286" s="51" t="s">
        <v>171</v>
      </c>
      <c r="D286" s="1870"/>
      <c r="E286" s="250">
        <v>34.090000000000003</v>
      </c>
      <c r="F286" s="250">
        <v>34.44</v>
      </c>
      <c r="G286" s="250">
        <v>35.269999999999996</v>
      </c>
      <c r="H286" s="250">
        <v>36.840000000000003</v>
      </c>
      <c r="I286" s="813" t="s">
        <v>369</v>
      </c>
      <c r="J286" s="829" t="s">
        <v>508</v>
      </c>
      <c r="K286" s="721">
        <f>E286/$AB$1</f>
        <v>0.34090000000000004</v>
      </c>
      <c r="L286" s="721">
        <f>F286/$AB$1</f>
        <v>0.34439999999999998</v>
      </c>
      <c r="M286" s="721">
        <f>G286/$AB$1</f>
        <v>0.35269999999999996</v>
      </c>
      <c r="N286" s="721">
        <f>H286/$AB$1</f>
        <v>0.36840000000000006</v>
      </c>
      <c r="O286" s="169"/>
      <c r="P286" s="169"/>
      <c r="Q286" s="50"/>
      <c r="R286" s="50"/>
      <c r="S286" s="50"/>
      <c r="T286" s="50"/>
      <c r="U286" s="50"/>
      <c r="V286" s="50"/>
      <c r="W286" s="50"/>
      <c r="X286" s="169"/>
      <c r="Y286" s="169"/>
      <c r="Z286" s="169"/>
      <c r="AA286" s="169"/>
      <c r="AB286" s="169"/>
      <c r="AC286" s="169"/>
      <c r="AD286" s="169"/>
      <c r="AE286" s="169"/>
      <c r="AF286" s="169"/>
      <c r="AG286" s="169"/>
      <c r="AH286" s="169"/>
      <c r="AI286" s="169"/>
      <c r="AJ286" s="169"/>
      <c r="AK286" s="169"/>
      <c r="AL286" s="169"/>
      <c r="AM286" s="169"/>
      <c r="AN286" s="169"/>
      <c r="AO286" s="169"/>
      <c r="AP286" s="169"/>
      <c r="AQ286" s="169"/>
      <c r="AR286" s="169"/>
      <c r="AS286" s="169"/>
      <c r="AT286" s="169"/>
      <c r="AU286" s="169"/>
      <c r="AV286" s="169"/>
      <c r="AW286" s="169"/>
      <c r="AX286" s="169"/>
      <c r="AY286" s="169"/>
      <c r="AZ286" s="169"/>
      <c r="BA286" s="169"/>
      <c r="BB286" s="169"/>
      <c r="BC286" s="169"/>
    </row>
    <row r="287" spans="1:55">
      <c r="A287" s="169"/>
      <c r="B287" s="169" t="s">
        <v>139</v>
      </c>
      <c r="C287" s="169" t="s">
        <v>237</v>
      </c>
      <c r="D287" s="335"/>
      <c r="E287" s="250">
        <v>74.55</v>
      </c>
      <c r="F287" s="250">
        <v>75.48</v>
      </c>
      <c r="G287" s="250">
        <v>82.31</v>
      </c>
      <c r="H287" s="250"/>
      <c r="I287" s="169"/>
      <c r="J287" s="250"/>
      <c r="K287" s="250"/>
      <c r="L287" s="250"/>
      <c r="M287" s="250"/>
      <c r="N287" s="250"/>
      <c r="O287" s="169"/>
      <c r="P287" s="169"/>
      <c r="Q287" s="50"/>
      <c r="R287" s="50"/>
      <c r="S287" s="50"/>
      <c r="T287" s="50"/>
      <c r="U287" s="50"/>
      <c r="V287" s="50"/>
      <c r="W287" s="50"/>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c r="AS287" s="169"/>
      <c r="AT287" s="169"/>
      <c r="AU287" s="169"/>
      <c r="AV287" s="169"/>
      <c r="AW287" s="169"/>
      <c r="AX287" s="169"/>
      <c r="AY287" s="169"/>
      <c r="AZ287" s="169"/>
      <c r="BA287" s="169"/>
      <c r="BB287" s="169"/>
      <c r="BC287" s="169"/>
    </row>
    <row r="288" spans="1:55">
      <c r="A288" s="169"/>
      <c r="B288" s="169"/>
      <c r="C288" s="169" t="s">
        <v>238</v>
      </c>
      <c r="D288" s="335"/>
      <c r="E288" s="250">
        <v>17.11</v>
      </c>
      <c r="F288" s="250">
        <v>16.25</v>
      </c>
      <c r="G288" s="250">
        <v>15.78</v>
      </c>
      <c r="H288" s="250"/>
      <c r="I288" s="169"/>
      <c r="J288" s="250"/>
      <c r="K288" s="250"/>
      <c r="L288" s="250"/>
      <c r="M288" s="250"/>
      <c r="N288" s="250"/>
      <c r="O288" s="169"/>
      <c r="P288" s="169"/>
      <c r="Q288" s="50"/>
      <c r="R288" s="50"/>
      <c r="S288" s="50"/>
      <c r="T288" s="50"/>
      <c r="U288" s="50"/>
      <c r="V288" s="50"/>
      <c r="W288" s="50"/>
      <c r="X288" s="169"/>
      <c r="Y288" s="169"/>
      <c r="Z288" s="169"/>
      <c r="AA288" s="169"/>
      <c r="AB288" s="169"/>
      <c r="AC288" s="169"/>
      <c r="AD288" s="169"/>
      <c r="AE288" s="169"/>
      <c r="AF288" s="169"/>
      <c r="AG288" s="169"/>
      <c r="AH288" s="169"/>
      <c r="AI288" s="169"/>
      <c r="AJ288" s="169"/>
      <c r="AK288" s="169"/>
      <c r="AL288" s="169"/>
      <c r="AM288" s="169"/>
      <c r="AN288" s="169"/>
      <c r="AO288" s="169"/>
      <c r="AP288" s="169"/>
      <c r="AQ288" s="169"/>
      <c r="AR288" s="169"/>
      <c r="AS288" s="169"/>
      <c r="AT288" s="169"/>
      <c r="AU288" s="169"/>
      <c r="AV288" s="169"/>
      <c r="AW288" s="169"/>
      <c r="AX288" s="169"/>
      <c r="AY288" s="169"/>
      <c r="AZ288" s="169"/>
      <c r="BA288" s="169"/>
      <c r="BB288" s="169"/>
      <c r="BC288" s="169"/>
    </row>
    <row r="289" spans="1:55">
      <c r="A289" s="169"/>
      <c r="B289" s="169"/>
      <c r="C289" s="169" t="s">
        <v>239</v>
      </c>
      <c r="D289" s="335"/>
      <c r="E289" s="250">
        <v>9.61</v>
      </c>
      <c r="F289" s="250">
        <v>8.4499999999999993</v>
      </c>
      <c r="G289" s="250">
        <v>2.15</v>
      </c>
      <c r="H289" s="250"/>
      <c r="I289" s="49"/>
      <c r="J289" s="259"/>
      <c r="K289" s="259"/>
      <c r="L289" s="259"/>
      <c r="M289" s="259"/>
      <c r="N289" s="259"/>
      <c r="O289" s="49"/>
      <c r="P289" s="50"/>
      <c r="Q289" s="50"/>
      <c r="R289" s="50"/>
      <c r="S289" s="50"/>
      <c r="T289" s="50"/>
      <c r="U289" s="50"/>
      <c r="V289" s="50"/>
      <c r="W289" s="50"/>
      <c r="X289" s="169"/>
      <c r="Y289" s="169"/>
      <c r="Z289" s="169"/>
      <c r="AA289" s="169"/>
      <c r="AB289" s="169"/>
      <c r="AC289" s="169"/>
      <c r="AD289" s="169"/>
      <c r="AE289" s="169"/>
      <c r="AF289" s="169"/>
      <c r="AG289" s="169"/>
      <c r="AH289" s="169"/>
      <c r="AI289" s="169"/>
      <c r="AJ289" s="169"/>
      <c r="AK289" s="169"/>
      <c r="AL289" s="169"/>
      <c r="AM289" s="169"/>
      <c r="AN289" s="169"/>
      <c r="AO289" s="169"/>
      <c r="AP289" s="169"/>
      <c r="AQ289" s="169"/>
      <c r="AR289" s="169"/>
      <c r="AS289" s="169"/>
      <c r="AT289" s="169"/>
      <c r="AU289" s="169"/>
      <c r="AV289" s="169"/>
      <c r="AW289" s="169"/>
      <c r="AX289" s="169"/>
      <c r="AY289" s="169"/>
      <c r="AZ289" s="169"/>
      <c r="BA289" s="169"/>
      <c r="BB289" s="169"/>
      <c r="BC289" s="169"/>
    </row>
    <row r="290" spans="1:55">
      <c r="A290" s="169"/>
      <c r="B290" s="169"/>
      <c r="C290" s="169" t="s">
        <v>242</v>
      </c>
      <c r="D290" s="335"/>
      <c r="E290" s="250">
        <v>-0.39</v>
      </c>
      <c r="F290" s="250">
        <v>0.23</v>
      </c>
      <c r="G290" s="250">
        <v>0.11</v>
      </c>
      <c r="H290" s="250"/>
      <c r="I290" s="49"/>
      <c r="J290" s="259"/>
      <c r="K290" s="259"/>
      <c r="L290" s="259"/>
      <c r="M290" s="259"/>
      <c r="N290" s="259"/>
      <c r="O290" s="49"/>
      <c r="P290" s="50"/>
      <c r="Q290" s="50"/>
      <c r="R290" s="50"/>
      <c r="S290" s="50"/>
      <c r="T290" s="50"/>
      <c r="U290" s="50"/>
      <c r="V290" s="50"/>
      <c r="W290" s="50"/>
      <c r="X290" s="169"/>
      <c r="Y290" s="169"/>
      <c r="Z290" s="169"/>
      <c r="AA290" s="169"/>
      <c r="AB290" s="169"/>
      <c r="AC290" s="169"/>
      <c r="AD290" s="169"/>
      <c r="AE290" s="169"/>
      <c r="AF290" s="169"/>
      <c r="AG290" s="169"/>
      <c r="AH290" s="169"/>
      <c r="AI290" s="169"/>
      <c r="AJ290" s="169"/>
      <c r="AK290" s="169"/>
      <c r="AL290" s="169"/>
      <c r="AM290" s="169"/>
      <c r="AN290" s="169"/>
      <c r="AO290" s="169"/>
      <c r="AP290" s="169"/>
      <c r="AQ290" s="169"/>
      <c r="AR290" s="169"/>
      <c r="AS290" s="169"/>
      <c r="AT290" s="169"/>
      <c r="AU290" s="169"/>
      <c r="AV290" s="169"/>
      <c r="AW290" s="169"/>
      <c r="AX290" s="169"/>
      <c r="AY290" s="169"/>
      <c r="AZ290" s="169"/>
      <c r="BA290" s="169"/>
      <c r="BB290" s="169"/>
      <c r="BC290" s="169"/>
    </row>
    <row r="291" spans="1:55">
      <c r="A291" s="169"/>
      <c r="B291" s="169"/>
      <c r="C291" s="169" t="s">
        <v>153</v>
      </c>
      <c r="D291" s="335"/>
      <c r="E291" s="250">
        <v>-0.39</v>
      </c>
      <c r="F291" s="250">
        <v>-0.12</v>
      </c>
      <c r="G291" s="250">
        <v>-0.18</v>
      </c>
      <c r="H291" s="250"/>
      <c r="I291" s="49"/>
      <c r="J291" s="259"/>
      <c r="K291" s="259"/>
      <c r="L291" s="259"/>
      <c r="M291" s="259"/>
      <c r="N291" s="259"/>
      <c r="O291" s="49"/>
      <c r="P291" s="50"/>
      <c r="Q291" s="50"/>
      <c r="R291" s="50"/>
      <c r="S291" s="50"/>
      <c r="T291" s="50"/>
      <c r="U291" s="50"/>
      <c r="V291" s="50"/>
      <c r="W291" s="50"/>
      <c r="X291" s="169"/>
      <c r="Y291" s="169"/>
      <c r="Z291" s="169"/>
      <c r="AA291" s="169"/>
      <c r="AB291" s="169"/>
      <c r="AC291" s="169"/>
      <c r="AD291" s="169"/>
      <c r="AE291" s="169"/>
      <c r="AF291" s="169"/>
      <c r="AG291" s="169"/>
      <c r="AH291" s="169"/>
      <c r="AI291" s="169"/>
      <c r="AJ291" s="169"/>
      <c r="AK291" s="169"/>
      <c r="AL291" s="169"/>
      <c r="AM291" s="169"/>
      <c r="AN291" s="169"/>
      <c r="AO291" s="169"/>
      <c r="AP291" s="169"/>
      <c r="AQ291" s="169"/>
      <c r="AR291" s="169"/>
      <c r="AS291" s="169"/>
      <c r="AT291" s="169"/>
      <c r="AU291" s="169"/>
      <c r="AV291" s="169"/>
      <c r="AW291" s="169"/>
      <c r="AX291" s="169"/>
      <c r="AY291" s="169"/>
      <c r="AZ291" s="169"/>
      <c r="BA291" s="169"/>
      <c r="BB291" s="169"/>
      <c r="BC291" s="169"/>
    </row>
    <row r="292" spans="1:55">
      <c r="A292" s="169"/>
      <c r="B292" s="169"/>
      <c r="C292" s="169" t="s">
        <v>240</v>
      </c>
      <c r="D292" s="335"/>
      <c r="E292" s="250">
        <v>-0.49</v>
      </c>
      <c r="F292" s="250">
        <v>-0.28999999999999998</v>
      </c>
      <c r="G292" s="250">
        <v>-0.17</v>
      </c>
      <c r="H292" s="250"/>
      <c r="I292" s="49"/>
      <c r="J292" s="259"/>
      <c r="K292" s="259"/>
      <c r="L292" s="259"/>
      <c r="M292" s="259"/>
      <c r="N292" s="259"/>
      <c r="O292" s="49"/>
      <c r="P292" s="50"/>
      <c r="Q292" s="50"/>
      <c r="R292" s="50"/>
      <c r="S292" s="50"/>
      <c r="T292" s="50"/>
      <c r="U292" s="50"/>
      <c r="V292" s="50"/>
      <c r="W292" s="50"/>
      <c r="X292" s="169"/>
      <c r="Y292" s="169"/>
      <c r="Z292" s="169"/>
      <c r="AA292" s="169"/>
      <c r="AB292" s="169"/>
      <c r="AC292" s="169"/>
      <c r="AD292" s="169"/>
      <c r="AE292" s="169"/>
      <c r="AF292" s="169"/>
      <c r="AG292" s="169"/>
      <c r="AH292" s="169"/>
      <c r="AI292" s="169"/>
      <c r="AJ292" s="169"/>
      <c r="AK292" s="169"/>
      <c r="AL292" s="169"/>
      <c r="AM292" s="169"/>
      <c r="AN292" s="169"/>
      <c r="AO292" s="169"/>
      <c r="AP292" s="169"/>
      <c r="AQ292" s="169"/>
      <c r="AR292" s="169"/>
      <c r="AS292" s="169"/>
      <c r="AT292" s="169"/>
      <c r="AU292" s="169"/>
      <c r="AV292" s="169"/>
      <c r="AW292" s="169"/>
      <c r="AX292" s="169"/>
      <c r="AY292" s="169"/>
      <c r="AZ292" s="169"/>
      <c r="BA292" s="169"/>
      <c r="BB292" s="169"/>
      <c r="BC292" s="169"/>
    </row>
    <row r="293" spans="1:55">
      <c r="A293" s="169"/>
      <c r="B293" s="169"/>
      <c r="C293" s="169"/>
      <c r="D293" s="335"/>
      <c r="E293" s="250"/>
      <c r="F293" s="250"/>
      <c r="G293" s="250"/>
      <c r="H293" s="250"/>
      <c r="I293" s="49"/>
      <c r="J293" s="259"/>
      <c r="K293" s="259"/>
      <c r="L293" s="259"/>
      <c r="M293" s="259"/>
      <c r="N293" s="259"/>
      <c r="O293" s="49"/>
      <c r="P293" s="50"/>
      <c r="Q293" s="50"/>
      <c r="R293" s="50"/>
      <c r="S293" s="50"/>
      <c r="T293" s="50"/>
      <c r="U293" s="50"/>
      <c r="V293" s="50"/>
      <c r="W293" s="50"/>
      <c r="X293" s="169"/>
      <c r="Y293" s="169"/>
      <c r="Z293" s="169"/>
      <c r="AA293" s="169"/>
      <c r="AB293" s="169"/>
      <c r="AC293" s="169"/>
      <c r="AD293" s="169"/>
      <c r="AE293" s="169"/>
      <c r="AF293" s="169"/>
      <c r="AG293" s="169"/>
      <c r="AH293" s="169"/>
      <c r="AI293" s="169"/>
      <c r="AJ293" s="169"/>
      <c r="AK293" s="169"/>
      <c r="AL293" s="169"/>
      <c r="AM293" s="169"/>
      <c r="AN293" s="169"/>
      <c r="AO293" s="169"/>
      <c r="AP293" s="169"/>
      <c r="AQ293" s="169"/>
      <c r="AR293" s="169"/>
      <c r="AS293" s="169"/>
      <c r="AT293" s="169"/>
      <c r="AU293" s="169"/>
      <c r="AV293" s="169"/>
      <c r="AW293" s="169"/>
      <c r="AX293" s="169"/>
      <c r="AY293" s="169"/>
      <c r="AZ293" s="169"/>
      <c r="BA293" s="169"/>
      <c r="BB293" s="169"/>
      <c r="BC293" s="169"/>
    </row>
    <row r="294" spans="1:55">
      <c r="A294" s="55" t="s">
        <v>35</v>
      </c>
      <c r="B294" s="65" t="s">
        <v>316</v>
      </c>
      <c r="C294" s="168" t="s">
        <v>243</v>
      </c>
      <c r="D294" s="1874"/>
      <c r="E294" s="253">
        <v>4329.7</v>
      </c>
      <c r="F294" s="253">
        <v>4454.6000000000004</v>
      </c>
      <c r="G294" s="253">
        <v>4650.84</v>
      </c>
      <c r="H294" s="253"/>
      <c r="I294" s="47"/>
      <c r="J294" s="263"/>
      <c r="K294" s="263"/>
      <c r="L294" s="263"/>
      <c r="M294" s="263"/>
      <c r="N294" s="263"/>
      <c r="O294" s="47"/>
      <c r="P294" s="48"/>
      <c r="Q294" s="48"/>
      <c r="R294" s="47" t="s">
        <v>541</v>
      </c>
      <c r="S294" s="48"/>
      <c r="T294" s="168"/>
      <c r="U294" s="168"/>
      <c r="V294" s="168"/>
      <c r="W294" s="48"/>
      <c r="X294" s="48"/>
      <c r="Y294" s="168"/>
      <c r="Z294" s="168"/>
      <c r="AA294" s="168"/>
      <c r="AB294" s="168"/>
      <c r="AC294" s="168"/>
      <c r="AD294" s="168"/>
      <c r="AE294" s="168"/>
      <c r="AF294" s="168"/>
      <c r="AG294" s="168"/>
      <c r="AH294" s="168"/>
      <c r="AI294" s="168"/>
      <c r="AJ294" s="168"/>
      <c r="AK294" s="168"/>
      <c r="AL294" s="168"/>
      <c r="AM294" s="168"/>
      <c r="AN294" s="168"/>
      <c r="AO294" s="168"/>
      <c r="AP294" s="168"/>
      <c r="AQ294" s="168"/>
      <c r="AR294" s="168"/>
      <c r="AS294" s="168"/>
      <c r="AT294" s="168"/>
      <c r="AU294" s="168"/>
      <c r="AV294" s="168"/>
      <c r="AW294" s="168"/>
      <c r="AX294" s="168"/>
      <c r="AY294" s="168"/>
      <c r="AZ294" s="168"/>
      <c r="BA294" s="168"/>
      <c r="BB294" s="168"/>
      <c r="BC294" s="168"/>
    </row>
    <row r="295" spans="1:55">
      <c r="A295" s="169"/>
      <c r="B295" s="66"/>
      <c r="C295" s="169" t="s">
        <v>244</v>
      </c>
      <c r="D295" s="335"/>
      <c r="E295" s="250" t="s">
        <v>136</v>
      </c>
      <c r="F295" s="250" t="s">
        <v>136</v>
      </c>
      <c r="G295" s="250" t="s">
        <v>136</v>
      </c>
      <c r="H295" s="250"/>
      <c r="I295" s="49"/>
      <c r="J295" s="259"/>
      <c r="K295" s="259"/>
      <c r="L295" s="259"/>
      <c r="M295" s="259"/>
      <c r="N295" s="259"/>
      <c r="O295" s="49"/>
      <c r="P295" s="169"/>
      <c r="Q295" s="49" t="s">
        <v>385</v>
      </c>
      <c r="R295" s="49"/>
      <c r="S295" s="49"/>
      <c r="T295" s="49"/>
      <c r="U295" s="49"/>
      <c r="V295" s="49"/>
      <c r="W295" s="169"/>
      <c r="X295" s="50" t="s">
        <v>509</v>
      </c>
      <c r="Y295" s="169"/>
      <c r="Z295" s="169"/>
      <c r="AA295" s="169"/>
      <c r="AB295" s="169"/>
      <c r="AC295" s="169"/>
      <c r="AD295" s="169"/>
      <c r="AE295" s="169"/>
      <c r="AF295" s="169"/>
      <c r="AG295" s="169"/>
      <c r="AH295" s="169"/>
      <c r="AI295" s="169"/>
      <c r="AJ295" s="169"/>
      <c r="AK295" s="169"/>
      <c r="AL295" s="169"/>
      <c r="AM295" s="169"/>
      <c r="AN295" s="169"/>
      <c r="AO295" s="169"/>
      <c r="AP295" s="169"/>
      <c r="AQ295" s="169"/>
      <c r="AR295" s="169"/>
      <c r="AS295" s="169"/>
      <c r="AT295" s="169"/>
      <c r="AU295" s="169"/>
      <c r="AV295" s="169"/>
      <c r="AW295" s="169"/>
      <c r="AX295" s="169"/>
      <c r="AY295" s="169"/>
      <c r="AZ295" s="169"/>
      <c r="BA295" s="169"/>
      <c r="BB295" s="169"/>
      <c r="BC295" s="169"/>
    </row>
    <row r="296" spans="1:55">
      <c r="A296" s="169"/>
      <c r="B296" s="66"/>
      <c r="C296" s="169" t="s">
        <v>153</v>
      </c>
      <c r="D296" s="335"/>
      <c r="E296" s="250" t="s">
        <v>136</v>
      </c>
      <c r="F296" s="250" t="s">
        <v>136</v>
      </c>
      <c r="G296" s="250" t="s">
        <v>136</v>
      </c>
      <c r="H296" s="250"/>
      <c r="I296" s="49"/>
      <c r="J296" s="259"/>
      <c r="K296" s="264"/>
      <c r="L296" s="264"/>
      <c r="M296" s="264"/>
      <c r="N296" s="264"/>
      <c r="O296" s="53"/>
      <c r="P296" s="352"/>
      <c r="Q296" s="412" t="s">
        <v>815</v>
      </c>
      <c r="R296" s="771">
        <v>0.63542310031210492</v>
      </c>
      <c r="S296" s="355">
        <v>0.6328032673316385</v>
      </c>
      <c r="T296" s="355">
        <v>0.6469324142387215</v>
      </c>
      <c r="U296" s="771">
        <v>0.64573852705933155</v>
      </c>
      <c r="V296" s="771">
        <v>0.65468922888003966</v>
      </c>
      <c r="W296" s="38"/>
      <c r="X296" s="50" t="s">
        <v>245</v>
      </c>
      <c r="Y296" s="169"/>
      <c r="Z296" s="169"/>
      <c r="AA296" s="169"/>
      <c r="AB296" s="169"/>
      <c r="AC296" s="169"/>
      <c r="AD296" s="169"/>
      <c r="AE296" s="169"/>
      <c r="AF296" s="169"/>
      <c r="AG296" s="169"/>
      <c r="AH296" s="169"/>
      <c r="AI296" s="169"/>
      <c r="AJ296" s="169"/>
      <c r="AK296" s="169"/>
      <c r="AL296" s="169"/>
      <c r="AM296" s="169"/>
      <c r="AN296" s="169"/>
      <c r="AO296" s="169"/>
      <c r="AP296" s="169"/>
      <c r="AQ296" s="169"/>
      <c r="AR296" s="169"/>
      <c r="AS296" s="169"/>
      <c r="AT296" s="169"/>
      <c r="AU296" s="169"/>
      <c r="AV296" s="169"/>
      <c r="AW296" s="169"/>
      <c r="AX296" s="169"/>
      <c r="AY296" s="169"/>
      <c r="AZ296" s="169"/>
      <c r="BA296" s="169"/>
      <c r="BB296" s="169"/>
      <c r="BC296" s="169"/>
    </row>
    <row r="297" spans="1:55">
      <c r="A297" s="169"/>
      <c r="B297" s="66"/>
      <c r="C297" s="169" t="s">
        <v>246</v>
      </c>
      <c r="D297" s="335"/>
      <c r="E297" s="250" t="s">
        <v>136</v>
      </c>
      <c r="F297" s="250" t="s">
        <v>136</v>
      </c>
      <c r="G297" s="250" t="s">
        <v>136</v>
      </c>
      <c r="H297" s="250"/>
      <c r="I297" s="180"/>
      <c r="J297" s="259"/>
      <c r="K297" s="259"/>
      <c r="L297" s="259"/>
      <c r="M297" s="259"/>
      <c r="N297" s="259"/>
      <c r="O297" s="53"/>
      <c r="P297" s="772"/>
      <c r="Q297" s="773" t="s">
        <v>816</v>
      </c>
      <c r="R297" s="774">
        <v>0.57999999999999996</v>
      </c>
      <c r="S297" s="775">
        <v>0.61</v>
      </c>
      <c r="T297" s="775">
        <v>0.62107029932745483</v>
      </c>
      <c r="U297" s="774">
        <v>0.61517878779279156</v>
      </c>
      <c r="V297" s="774">
        <v>0.64030187496422708</v>
      </c>
      <c r="W297" s="38"/>
      <c r="X297" s="50" t="s">
        <v>511</v>
      </c>
      <c r="Y297" s="169"/>
      <c r="Z297" s="169"/>
      <c r="AA297" s="169"/>
      <c r="AB297" s="169"/>
      <c r="AC297" s="169"/>
      <c r="AD297" s="169"/>
      <c r="AE297" s="169"/>
      <c r="AF297" s="169"/>
      <c r="AG297" s="169"/>
      <c r="AH297" s="169"/>
      <c r="AI297" s="169"/>
      <c r="AJ297" s="169"/>
      <c r="AK297" s="169"/>
      <c r="AL297" s="169"/>
      <c r="AM297" s="169"/>
      <c r="AN297" s="169"/>
      <c r="AO297" s="169"/>
      <c r="AP297" s="169"/>
      <c r="AQ297" s="169"/>
      <c r="AR297" s="169"/>
      <c r="AS297" s="169"/>
      <c r="AT297" s="169"/>
      <c r="AU297" s="169"/>
      <c r="AV297" s="169"/>
      <c r="AW297" s="169"/>
      <c r="AX297" s="169"/>
      <c r="AY297" s="169"/>
      <c r="AZ297" s="169"/>
      <c r="BA297" s="169"/>
      <c r="BB297" s="169"/>
      <c r="BC297" s="169"/>
    </row>
    <row r="298" spans="1:55">
      <c r="A298" s="169"/>
      <c r="B298" s="66"/>
      <c r="C298" s="169" t="s">
        <v>247</v>
      </c>
      <c r="D298" s="335"/>
      <c r="E298" s="250" t="s">
        <v>136</v>
      </c>
      <c r="F298" s="250" t="s">
        <v>136</v>
      </c>
      <c r="G298" s="250" t="s">
        <v>136</v>
      </c>
      <c r="H298" s="250"/>
      <c r="I298" s="49"/>
      <c r="J298" s="259"/>
      <c r="K298" s="264"/>
      <c r="L298" s="264"/>
      <c r="M298" s="264"/>
      <c r="N298" s="264"/>
      <c r="O298" s="53"/>
      <c r="P298" s="169"/>
      <c r="Q298" s="137" t="s">
        <v>831</v>
      </c>
      <c r="R298" s="50">
        <v>568</v>
      </c>
      <c r="S298" s="50">
        <v>1155</v>
      </c>
      <c r="T298" s="50">
        <v>1240</v>
      </c>
      <c r="U298" s="50">
        <v>1348</v>
      </c>
      <c r="V298" s="67">
        <v>1409.65272</v>
      </c>
      <c r="W298" s="38"/>
      <c r="X298" s="50" t="s">
        <v>512</v>
      </c>
      <c r="Y298" s="169"/>
      <c r="Z298" s="169"/>
      <c r="AA298" s="169"/>
      <c r="AB298" s="169"/>
      <c r="AC298" s="169"/>
      <c r="AD298" s="169"/>
      <c r="AE298" s="169"/>
      <c r="AF298" s="169"/>
      <c r="AG298" s="169"/>
      <c r="AH298" s="169"/>
      <c r="AI298" s="169"/>
      <c r="AJ298" s="169"/>
      <c r="AK298" s="169"/>
      <c r="AL298" s="169"/>
      <c r="AM298" s="169"/>
      <c r="AN298" s="169"/>
      <c r="AO298" s="169"/>
      <c r="AP298" s="169"/>
      <c r="AQ298" s="169"/>
      <c r="AR298" s="169"/>
      <c r="AS298" s="169"/>
      <c r="AT298" s="169"/>
      <c r="AU298" s="169"/>
      <c r="AV298" s="169"/>
      <c r="AW298" s="169"/>
      <c r="AX298" s="169"/>
      <c r="AY298" s="169"/>
      <c r="AZ298" s="169"/>
      <c r="BA298" s="169"/>
      <c r="BB298" s="169"/>
      <c r="BC298" s="169"/>
    </row>
    <row r="299" spans="1:55" ht="15">
      <c r="A299" s="169"/>
      <c r="B299" s="66" t="s">
        <v>66</v>
      </c>
      <c r="C299" s="169" t="s">
        <v>243</v>
      </c>
      <c r="D299" s="335"/>
      <c r="E299" s="250">
        <v>1455.44</v>
      </c>
      <c r="F299" s="250">
        <v>1527.34</v>
      </c>
      <c r="G299" s="250">
        <v>1645.39</v>
      </c>
      <c r="H299" s="250"/>
      <c r="I299" s="49"/>
      <c r="J299" s="259"/>
      <c r="K299" s="259"/>
      <c r="L299" s="259"/>
      <c r="M299" s="259"/>
      <c r="N299" s="259"/>
      <c r="O299" s="49"/>
      <c r="P299" s="39"/>
      <c r="Q299" s="137" t="s">
        <v>832</v>
      </c>
      <c r="R299" s="50">
        <v>431</v>
      </c>
      <c r="S299" s="50">
        <v>886</v>
      </c>
      <c r="T299" s="50">
        <v>899</v>
      </c>
      <c r="U299" s="50">
        <v>926</v>
      </c>
      <c r="V299" s="67">
        <v>946.68420000000003</v>
      </c>
      <c r="W299" s="38"/>
      <c r="X299" s="776" t="s">
        <v>510</v>
      </c>
      <c r="Y299" s="49"/>
      <c r="Z299" s="49"/>
      <c r="AA299" s="49"/>
      <c r="AB299" s="49" t="s">
        <v>827</v>
      </c>
      <c r="AC299" s="49"/>
      <c r="AD299" s="49"/>
      <c r="AE299" s="49"/>
      <c r="AF299" s="49"/>
      <c r="AG299" s="49"/>
      <c r="AH299" s="49"/>
      <c r="AI299" s="169"/>
      <c r="AJ299" s="169"/>
      <c r="AK299" s="169"/>
      <c r="AL299" s="169"/>
      <c r="AM299" s="169"/>
      <c r="AN299" s="169"/>
      <c r="AO299" s="169"/>
      <c r="AP299" s="169"/>
      <c r="AQ299" s="169"/>
      <c r="AR299" s="169"/>
      <c r="AS299" s="169"/>
      <c r="AT299" s="169"/>
      <c r="AU299" s="169"/>
      <c r="AV299" s="169"/>
      <c r="AW299" s="169"/>
      <c r="AX299" s="169"/>
      <c r="AY299" s="169"/>
      <c r="AZ299" s="169"/>
      <c r="BA299" s="169"/>
      <c r="BB299" s="169"/>
      <c r="BC299" s="169"/>
    </row>
    <row r="300" spans="1:55" ht="15">
      <c r="A300" s="169"/>
      <c r="B300" s="169"/>
      <c r="C300" s="169" t="s">
        <v>244</v>
      </c>
      <c r="D300" s="335"/>
      <c r="E300" s="250" t="s">
        <v>136</v>
      </c>
      <c r="F300" s="250" t="s">
        <v>136</v>
      </c>
      <c r="G300" s="250" t="s">
        <v>136</v>
      </c>
      <c r="H300" s="250"/>
      <c r="I300" s="49"/>
      <c r="J300" s="259"/>
      <c r="K300" s="259"/>
      <c r="L300" s="259"/>
      <c r="M300" s="259"/>
      <c r="N300" s="259"/>
      <c r="O300" s="49"/>
      <c r="P300" s="676"/>
      <c r="Q300" s="412" t="s">
        <v>833</v>
      </c>
      <c r="R300" s="355">
        <f>R298/(R298+R299)</f>
        <v>0.56856856856856852</v>
      </c>
      <c r="S300" s="355">
        <f>S298/(S298+S299)</f>
        <v>0.56589906908378251</v>
      </c>
      <c r="T300" s="355">
        <f>T298/(T298+T299)</f>
        <v>0.57971014492753625</v>
      </c>
      <c r="U300" s="355">
        <f>U298/(U298+U299)</f>
        <v>0.59278803869832897</v>
      </c>
      <c r="V300" s="355">
        <f>V298/(V298+V299)</f>
        <v>0.59823903281199697</v>
      </c>
      <c r="W300" s="38"/>
      <c r="X300" s="49" t="s">
        <v>829</v>
      </c>
      <c r="Y300" s="169"/>
      <c r="Z300" s="169"/>
      <c r="AA300" s="169"/>
      <c r="AB300" s="169"/>
      <c r="AC300" s="169"/>
      <c r="AD300" s="169"/>
      <c r="AE300" s="169"/>
      <c r="AF300" s="169"/>
      <c r="AG300" s="169"/>
      <c r="AH300" s="169"/>
      <c r="AI300" s="169"/>
      <c r="AJ300" s="169"/>
      <c r="AK300" s="169"/>
      <c r="AL300" s="169"/>
      <c r="AM300" s="169"/>
      <c r="AN300" s="169"/>
      <c r="AO300" s="169"/>
      <c r="AP300" s="169"/>
      <c r="AQ300" s="169"/>
      <c r="AR300" s="169"/>
      <c r="AS300" s="169"/>
      <c r="AT300" s="169"/>
      <c r="AU300" s="169"/>
      <c r="AV300" s="169"/>
      <c r="AW300" s="169"/>
      <c r="AX300" s="169"/>
      <c r="AY300" s="169"/>
      <c r="AZ300" s="169"/>
      <c r="BA300" s="169"/>
      <c r="BB300" s="169"/>
      <c r="BC300" s="169"/>
    </row>
    <row r="301" spans="1:55">
      <c r="A301" s="169"/>
      <c r="B301" s="169"/>
      <c r="C301" s="169" t="s">
        <v>153</v>
      </c>
      <c r="D301" s="335"/>
      <c r="E301" s="250" t="s">
        <v>136</v>
      </c>
      <c r="F301" s="250" t="s">
        <v>136</v>
      </c>
      <c r="G301" s="250" t="s">
        <v>136</v>
      </c>
      <c r="H301" s="250"/>
      <c r="I301" s="4538" t="s">
        <v>1844</v>
      </c>
      <c r="J301" s="4539"/>
      <c r="K301" s="4539"/>
      <c r="L301" s="4539"/>
      <c r="M301" s="4539"/>
      <c r="N301" s="4540"/>
      <c r="O301" s="49"/>
      <c r="P301" s="366"/>
      <c r="Q301" s="368" t="s">
        <v>828</v>
      </c>
      <c r="R301" s="770">
        <v>0.11440467797553636</v>
      </c>
      <c r="S301" s="769">
        <v>0.11213320942701904</v>
      </c>
      <c r="T301" s="769">
        <v>9.978434242650662E-2</v>
      </c>
      <c r="U301" s="770">
        <v>9.3779220739473215E-2</v>
      </c>
      <c r="V301" s="770">
        <v>7.8903866830953892E-2</v>
      </c>
      <c r="W301" s="38"/>
      <c r="X301" s="49" t="s">
        <v>835</v>
      </c>
      <c r="Y301" s="169"/>
      <c r="Z301" s="169"/>
      <c r="AA301" s="169"/>
      <c r="AB301" s="169"/>
      <c r="AC301" s="169"/>
      <c r="AD301" s="169"/>
      <c r="AE301" s="169"/>
      <c r="AF301" s="169"/>
      <c r="AG301" s="169"/>
      <c r="AH301" s="169"/>
      <c r="AI301" s="169"/>
      <c r="AJ301" s="169"/>
      <c r="AK301" s="169"/>
      <c r="AL301" s="169"/>
      <c r="AM301" s="169"/>
      <c r="AN301" s="169"/>
      <c r="AO301" s="169"/>
      <c r="AP301" s="169"/>
      <c r="AQ301" s="169"/>
      <c r="AR301" s="169"/>
      <c r="AS301" s="169"/>
      <c r="AT301" s="169"/>
      <c r="AU301" s="169"/>
      <c r="AV301" s="169"/>
      <c r="AW301" s="169"/>
      <c r="AX301" s="169"/>
      <c r="AY301" s="169"/>
      <c r="AZ301" s="169"/>
      <c r="BA301" s="169"/>
      <c r="BB301" s="169"/>
      <c r="BC301" s="169"/>
    </row>
    <row r="302" spans="1:55" ht="15">
      <c r="A302" s="169"/>
      <c r="B302" s="169"/>
      <c r="C302" s="169" t="s">
        <v>246</v>
      </c>
      <c r="D302" s="335"/>
      <c r="E302" s="250" t="s">
        <v>136</v>
      </c>
      <c r="F302" s="250" t="s">
        <v>136</v>
      </c>
      <c r="G302" s="250" t="s">
        <v>136</v>
      </c>
      <c r="H302" s="250"/>
      <c r="I302" s="4538"/>
      <c r="J302" s="4539"/>
      <c r="K302" s="4539"/>
      <c r="L302" s="4539"/>
      <c r="M302" s="4539"/>
      <c r="N302" s="4540"/>
      <c r="O302" s="49"/>
      <c r="P302" s="676"/>
      <c r="Q302" s="412" t="s">
        <v>834</v>
      </c>
      <c r="R302" s="355">
        <f>R300/(1+R301)</f>
        <v>0.51019937353587619</v>
      </c>
      <c r="S302" s="355">
        <f>S300/(1+S301)</f>
        <v>0.50884108512085413</v>
      </c>
      <c r="T302" s="355">
        <f>T300/(1+T301)</f>
        <v>0.52711256431283082</v>
      </c>
      <c r="U302" s="355">
        <f>U300/(1+U301)</f>
        <v>0.54196315623692481</v>
      </c>
      <c r="V302" s="355">
        <f>V300/(1+V301)</f>
        <v>0.5544878011876947</v>
      </c>
      <c r="W302" s="38"/>
      <c r="X302" s="49" t="s">
        <v>830</v>
      </c>
      <c r="Y302" s="169"/>
      <c r="Z302" s="169"/>
      <c r="AA302" s="169"/>
      <c r="AB302" s="169"/>
      <c r="AC302" s="169"/>
      <c r="AD302" s="169"/>
      <c r="AE302" s="169"/>
      <c r="AF302" s="169"/>
      <c r="AG302" s="169"/>
      <c r="AH302" s="169"/>
      <c r="AI302" s="169"/>
      <c r="AJ302" s="169"/>
      <c r="AK302" s="169"/>
      <c r="AL302" s="169"/>
      <c r="AM302" s="169"/>
      <c r="AN302" s="169"/>
      <c r="AO302" s="169"/>
      <c r="AP302" s="169"/>
      <c r="AQ302" s="169"/>
      <c r="AR302" s="169"/>
      <c r="AS302" s="169"/>
      <c r="AT302" s="169"/>
      <c r="AU302" s="169"/>
      <c r="AV302" s="169"/>
      <c r="AW302" s="169"/>
      <c r="AX302" s="169"/>
      <c r="AY302" s="169"/>
      <c r="AZ302" s="169"/>
      <c r="BA302" s="169"/>
      <c r="BB302" s="169"/>
      <c r="BC302" s="169"/>
    </row>
    <row r="303" spans="1:55">
      <c r="A303" s="169"/>
      <c r="B303" s="169"/>
      <c r="C303" s="169" t="s">
        <v>247</v>
      </c>
      <c r="D303" s="335"/>
      <c r="E303" s="250" t="s">
        <v>136</v>
      </c>
      <c r="F303" s="250" t="s">
        <v>136</v>
      </c>
      <c r="G303" s="250" t="s">
        <v>136</v>
      </c>
      <c r="H303" s="250"/>
      <c r="I303" s="4538"/>
      <c r="J303" s="4539"/>
      <c r="K303" s="4539"/>
      <c r="L303" s="4539"/>
      <c r="M303" s="4539"/>
      <c r="N303" s="4540"/>
      <c r="O303" s="49"/>
      <c r="P303" s="169"/>
      <c r="Q303" s="169"/>
      <c r="R303" s="169"/>
      <c r="S303" s="169"/>
      <c r="T303" s="169"/>
      <c r="U303" s="169"/>
      <c r="V303" s="169"/>
      <c r="W303" s="38"/>
      <c r="X303" s="49" t="s">
        <v>915</v>
      </c>
      <c r="Y303" s="169"/>
      <c r="Z303" s="169"/>
      <c r="AA303" s="169"/>
      <c r="AB303" s="169"/>
      <c r="AC303" s="169"/>
      <c r="AD303" s="169"/>
      <c r="AE303" s="169"/>
      <c r="AF303" s="169"/>
      <c r="AG303" s="169"/>
      <c r="AH303" s="169"/>
      <c r="AI303" s="169"/>
      <c r="AJ303" s="169"/>
      <c r="AK303" s="169"/>
      <c r="AL303" s="169"/>
      <c r="AM303" s="169"/>
      <c r="AN303" s="169"/>
      <c r="AO303" s="169"/>
      <c r="AP303" s="169"/>
      <c r="AQ303" s="169"/>
      <c r="AR303" s="169"/>
      <c r="AS303" s="169"/>
      <c r="AT303" s="169"/>
      <c r="AU303" s="169"/>
      <c r="AV303" s="169"/>
      <c r="AW303" s="169"/>
      <c r="AX303" s="169"/>
      <c r="AY303" s="169"/>
      <c r="AZ303" s="169"/>
      <c r="BA303" s="169"/>
      <c r="BB303" s="169"/>
      <c r="BC303" s="169"/>
    </row>
    <row r="304" spans="1:55" ht="15">
      <c r="A304" s="169"/>
      <c r="B304" s="169"/>
      <c r="C304" s="169"/>
      <c r="D304" s="335"/>
      <c r="E304" s="250"/>
      <c r="F304" s="250"/>
      <c r="G304" s="250"/>
      <c r="H304" s="250"/>
      <c r="I304" s="49"/>
      <c r="J304" s="259"/>
      <c r="K304" s="259"/>
      <c r="L304" s="259"/>
      <c r="M304" s="259"/>
      <c r="N304" s="259"/>
      <c r="O304" s="49"/>
      <c r="P304" s="39"/>
      <c r="Q304" s="180" t="s">
        <v>377</v>
      </c>
      <c r="R304" s="38"/>
      <c r="S304" s="38"/>
      <c r="T304" s="38"/>
      <c r="U304" s="38"/>
      <c r="V304" s="38"/>
      <c r="W304" s="38"/>
      <c r="X304" s="49" t="s">
        <v>909</v>
      </c>
      <c r="Y304" s="169"/>
      <c r="Z304" s="169"/>
      <c r="AA304" s="169"/>
      <c r="AB304" s="169"/>
      <c r="AC304" s="169"/>
      <c r="AD304" s="169"/>
      <c r="AE304" s="169"/>
      <c r="AF304" s="169"/>
      <c r="AG304" s="169"/>
      <c r="AH304" s="169"/>
      <c r="AI304" s="169"/>
      <c r="AJ304" s="169"/>
      <c r="AK304" s="169"/>
      <c r="AL304" s="169"/>
      <c r="AM304" s="169"/>
      <c r="AN304" s="169"/>
      <c r="AO304" s="169"/>
      <c r="AP304" s="169"/>
      <c r="AQ304" s="169"/>
      <c r="AR304" s="169"/>
      <c r="AS304" s="169"/>
      <c r="AT304" s="169"/>
      <c r="AU304" s="169"/>
      <c r="AV304" s="169"/>
      <c r="AW304" s="169"/>
      <c r="AX304" s="169"/>
      <c r="AY304" s="169"/>
      <c r="AZ304" s="169"/>
      <c r="BA304" s="169"/>
      <c r="BB304" s="169"/>
      <c r="BC304" s="169"/>
    </row>
    <row r="305" spans="1:55">
      <c r="A305" s="169"/>
      <c r="B305" s="767" t="s">
        <v>366</v>
      </c>
      <c r="C305" s="767" t="s">
        <v>546</v>
      </c>
      <c r="D305" s="1883"/>
      <c r="E305" s="250" t="s">
        <v>136</v>
      </c>
      <c r="F305" s="250" t="s">
        <v>136</v>
      </c>
      <c r="G305" s="250" t="s">
        <v>136</v>
      </c>
      <c r="H305" s="250">
        <v>63.28</v>
      </c>
      <c r="I305" s="813" t="s">
        <v>369</v>
      </c>
      <c r="J305" s="739">
        <f>$H$305/100/$V$318*R318</f>
        <v>0.5981133158250882</v>
      </c>
      <c r="K305" s="739">
        <f>$H$305/100/$V$318*S318</f>
        <v>0.5997848900947319</v>
      </c>
      <c r="L305" s="739">
        <f>$H$305/100/$V$318*T318</f>
        <v>0.61298310621604546</v>
      </c>
      <c r="M305" s="739">
        <f>$H$305/100/$V$318*U318</f>
        <v>0.6291371778838869</v>
      </c>
      <c r="N305" s="739">
        <f>$H$305/100/$V$318*V318</f>
        <v>0.63280000000000003</v>
      </c>
      <c r="O305" s="49"/>
      <c r="P305" s="364"/>
      <c r="Q305" s="368" t="s">
        <v>822</v>
      </c>
      <c r="R305" s="770">
        <v>9.390565087487851E-2</v>
      </c>
      <c r="S305" s="769">
        <v>0.106499183431858</v>
      </c>
      <c r="T305" s="769">
        <v>0.11603445693755086</v>
      </c>
      <c r="U305" s="769">
        <v>0.11895697396254699</v>
      </c>
      <c r="V305" s="770">
        <v>0.12560874737101885</v>
      </c>
      <c r="W305" s="169"/>
      <c r="X305" s="49" t="s">
        <v>911</v>
      </c>
      <c r="Y305" s="169"/>
      <c r="Z305" s="169"/>
      <c r="AA305" s="169"/>
      <c r="AB305" s="169"/>
      <c r="AC305" s="169"/>
      <c r="AD305" s="169"/>
      <c r="AE305" s="169"/>
      <c r="AF305" s="169"/>
      <c r="AG305" s="169"/>
      <c r="AH305" s="169"/>
      <c r="AI305" s="169"/>
      <c r="AJ305" s="169"/>
      <c r="AK305" s="169"/>
      <c r="AL305" s="169"/>
      <c r="AM305" s="169"/>
      <c r="AN305" s="169"/>
      <c r="AO305" s="169"/>
      <c r="AP305" s="169"/>
      <c r="AQ305" s="169"/>
      <c r="AR305" s="169"/>
      <c r="AS305" s="169"/>
      <c r="AT305" s="169"/>
      <c r="AU305" s="169"/>
      <c r="AV305" s="169"/>
      <c r="AW305" s="169"/>
      <c r="AX305" s="169"/>
      <c r="AY305" s="169"/>
      <c r="AZ305" s="169"/>
      <c r="BA305" s="169"/>
      <c r="BB305" s="169"/>
      <c r="BC305" s="169"/>
    </row>
    <row r="306" spans="1:55">
      <c r="A306" s="169"/>
      <c r="B306" s="169"/>
      <c r="C306" s="767" t="s">
        <v>547</v>
      </c>
      <c r="D306" s="1883"/>
      <c r="E306" s="250" t="s">
        <v>136</v>
      </c>
      <c r="F306" s="250" t="s">
        <v>136</v>
      </c>
      <c r="G306" s="250" t="s">
        <v>136</v>
      </c>
      <c r="H306" s="250">
        <v>37.72</v>
      </c>
      <c r="I306" s="49"/>
      <c r="J306" s="259"/>
      <c r="K306" s="259"/>
      <c r="L306" s="259"/>
      <c r="M306" s="259"/>
      <c r="N306" s="259"/>
      <c r="O306" s="49"/>
      <c r="P306" s="50"/>
      <c r="Q306" s="180" t="s">
        <v>831</v>
      </c>
      <c r="R306" s="64">
        <v>336.91653401820605</v>
      </c>
      <c r="S306" s="64">
        <v>395.00864657448443</v>
      </c>
      <c r="T306" s="64">
        <v>465.35630905500778</v>
      </c>
      <c r="U306" s="64"/>
      <c r="V306" s="64"/>
      <c r="W306" s="38"/>
      <c r="X306" s="49" t="s">
        <v>916</v>
      </c>
      <c r="Y306" s="169"/>
      <c r="Z306" s="169"/>
      <c r="AA306" s="169"/>
      <c r="AB306" s="169"/>
      <c r="AC306" s="169"/>
      <c r="AD306" s="169"/>
      <c r="AE306" s="169"/>
      <c r="AF306" s="169"/>
      <c r="AG306" s="169"/>
      <c r="AH306" s="169"/>
      <c r="AI306" s="169"/>
      <c r="AJ306" s="169"/>
      <c r="AK306" s="169"/>
      <c r="AL306" s="169"/>
      <c r="AM306" s="169"/>
      <c r="AN306" s="169"/>
      <c r="AO306" s="169"/>
      <c r="AP306" s="169"/>
      <c r="AQ306" s="169"/>
      <c r="AR306" s="169"/>
      <c r="AS306" s="169"/>
      <c r="AT306" s="169"/>
      <c r="AU306" s="169"/>
      <c r="AV306" s="169"/>
      <c r="AW306" s="169"/>
      <c r="AX306" s="169"/>
      <c r="AY306" s="169"/>
      <c r="AZ306" s="169"/>
      <c r="BA306" s="169"/>
      <c r="BB306" s="169"/>
      <c r="BC306" s="169"/>
    </row>
    <row r="307" spans="1:55" ht="15">
      <c r="A307" s="169"/>
      <c r="B307" s="169"/>
      <c r="C307" s="767"/>
      <c r="D307" s="1883"/>
      <c r="E307" s="250"/>
      <c r="F307" s="250"/>
      <c r="G307" s="250"/>
      <c r="H307" s="250"/>
      <c r="I307" s="49"/>
      <c r="J307" s="259"/>
      <c r="K307" s="259"/>
      <c r="L307" s="259"/>
      <c r="M307" s="259"/>
      <c r="N307" s="259"/>
      <c r="O307" s="49"/>
      <c r="P307" s="39"/>
      <c r="Q307" s="180" t="s">
        <v>832</v>
      </c>
      <c r="R307" s="64">
        <v>21.78499768677294</v>
      </c>
      <c r="S307" s="64">
        <v>20.525796365153941</v>
      </c>
      <c r="T307" s="64">
        <v>16.972265614545506</v>
      </c>
      <c r="U307" s="64"/>
      <c r="V307" s="64"/>
      <c r="W307" s="38"/>
      <c r="X307" s="799" t="s">
        <v>910</v>
      </c>
      <c r="Y307" s="169"/>
      <c r="Z307" s="169"/>
      <c r="AA307" s="169"/>
      <c r="AB307" s="169"/>
      <c r="AC307" s="169"/>
      <c r="AD307" s="169"/>
      <c r="AE307" s="169"/>
      <c r="AF307" s="169"/>
      <c r="AG307" s="169"/>
      <c r="AH307" s="169"/>
      <c r="AI307" s="169"/>
      <c r="AJ307" s="169"/>
      <c r="AK307" s="169"/>
      <c r="AL307" s="169"/>
      <c r="AM307" s="169"/>
      <c r="AN307" s="169"/>
      <c r="AO307" s="169"/>
      <c r="AP307" s="169"/>
      <c r="AQ307" s="169"/>
      <c r="AR307" s="169"/>
      <c r="AS307" s="169"/>
      <c r="AT307" s="169"/>
      <c r="AU307" s="169"/>
      <c r="AV307" s="169"/>
      <c r="AW307" s="169"/>
      <c r="AX307" s="169"/>
      <c r="AY307" s="169"/>
      <c r="AZ307" s="169"/>
      <c r="BA307" s="169"/>
      <c r="BB307" s="169"/>
      <c r="BC307" s="169"/>
    </row>
    <row r="308" spans="1:55" ht="15">
      <c r="A308" s="169"/>
      <c r="B308" s="169"/>
      <c r="C308" s="767"/>
      <c r="D308" s="1883"/>
      <c r="E308" s="250"/>
      <c r="F308" s="250"/>
      <c r="G308" s="250"/>
      <c r="H308" s="250"/>
      <c r="I308" s="49"/>
      <c r="J308" s="259"/>
      <c r="K308" s="259"/>
      <c r="L308" s="259"/>
      <c r="M308" s="259"/>
      <c r="N308" s="259"/>
      <c r="O308" s="49"/>
      <c r="P308" s="676"/>
      <c r="Q308" s="412" t="s">
        <v>823</v>
      </c>
      <c r="R308" s="355">
        <f>R306/(R306+R307)</f>
        <v>0.93926706255413916</v>
      </c>
      <c r="S308" s="355">
        <f>S306/(S306+S307)</f>
        <v>0.9506038627750153</v>
      </c>
      <c r="T308" s="355">
        <f>T306/(T306+T307)</f>
        <v>0.96481181811346484</v>
      </c>
      <c r="U308" s="355">
        <v>1</v>
      </c>
      <c r="V308" s="355">
        <v>1</v>
      </c>
      <c r="W308" s="38"/>
      <c r="X308" s="50"/>
      <c r="Y308" s="169"/>
      <c r="Z308" s="169"/>
      <c r="AA308" s="169"/>
      <c r="AB308" s="169"/>
      <c r="AC308" s="169"/>
      <c r="AD308" s="169"/>
      <c r="AE308" s="169"/>
      <c r="AF308" s="169"/>
      <c r="AG308" s="169"/>
      <c r="AH308" s="169"/>
      <c r="AI308" s="169"/>
      <c r="AJ308" s="169"/>
      <c r="AK308" s="169"/>
      <c r="AL308" s="169"/>
      <c r="AM308" s="169"/>
      <c r="AN308" s="169"/>
      <c r="AO308" s="169"/>
      <c r="AP308" s="169"/>
      <c r="AQ308" s="169"/>
      <c r="AR308" s="169"/>
      <c r="AS308" s="169"/>
      <c r="AT308" s="169"/>
      <c r="AU308" s="169"/>
      <c r="AV308" s="169"/>
      <c r="AW308" s="169"/>
      <c r="AX308" s="169"/>
      <c r="AY308" s="169"/>
      <c r="AZ308" s="169"/>
      <c r="BA308" s="169"/>
      <c r="BB308" s="169"/>
      <c r="BC308" s="169"/>
    </row>
    <row r="309" spans="1:55" ht="15">
      <c r="A309" s="169"/>
      <c r="B309" s="169"/>
      <c r="C309" s="767"/>
      <c r="D309" s="1883"/>
      <c r="E309" s="250"/>
      <c r="F309" s="250"/>
      <c r="G309" s="250"/>
      <c r="H309" s="250"/>
      <c r="I309" s="49"/>
      <c r="J309" s="259"/>
      <c r="K309" s="259"/>
      <c r="L309" s="259"/>
      <c r="M309" s="259"/>
      <c r="N309" s="259"/>
      <c r="O309" s="49"/>
      <c r="P309" s="39"/>
      <c r="Q309" s="180"/>
      <c r="R309" s="53"/>
      <c r="S309" s="53"/>
      <c r="T309" s="53"/>
      <c r="U309" s="53"/>
      <c r="V309" s="53"/>
      <c r="W309" s="38"/>
      <c r="X309" s="50"/>
      <c r="Y309" s="169"/>
      <c r="Z309" s="169"/>
      <c r="AA309" s="169"/>
      <c r="AB309" s="169"/>
      <c r="AC309" s="169"/>
      <c r="AD309" s="169"/>
      <c r="AE309" s="169"/>
      <c r="AF309" s="169"/>
      <c r="AG309" s="169"/>
      <c r="AH309" s="169"/>
      <c r="AI309" s="169"/>
      <c r="AJ309" s="169"/>
      <c r="AK309" s="169"/>
      <c r="AL309" s="169"/>
      <c r="AM309" s="169"/>
      <c r="AN309" s="169"/>
      <c r="AO309" s="169"/>
      <c r="AP309" s="169"/>
      <c r="AQ309" s="169"/>
      <c r="AR309" s="169"/>
      <c r="AS309" s="169"/>
      <c r="AT309" s="169"/>
      <c r="AU309" s="169"/>
      <c r="AV309" s="169"/>
      <c r="AW309" s="169"/>
      <c r="AX309" s="169"/>
      <c r="AY309" s="169"/>
      <c r="AZ309" s="169"/>
      <c r="BA309" s="169"/>
      <c r="BB309" s="169"/>
      <c r="BC309" s="169"/>
    </row>
    <row r="310" spans="1:55" ht="15">
      <c r="A310" s="169"/>
      <c r="B310" s="169"/>
      <c r="C310" s="767"/>
      <c r="D310" s="1883"/>
      <c r="E310" s="250"/>
      <c r="F310" s="250"/>
      <c r="G310" s="250"/>
      <c r="H310" s="250"/>
      <c r="I310" s="49"/>
      <c r="J310" s="259"/>
      <c r="K310" s="259"/>
      <c r="L310" s="259"/>
      <c r="M310" s="259"/>
      <c r="N310" s="259"/>
      <c r="O310" s="49"/>
      <c r="P310" s="39"/>
      <c r="Q310" s="180" t="s">
        <v>824</v>
      </c>
      <c r="R310" s="38"/>
      <c r="S310" s="38"/>
      <c r="T310" s="38"/>
      <c r="U310" s="38"/>
      <c r="V310" s="38"/>
      <c r="W310" s="38"/>
      <c r="X310" s="50"/>
      <c r="Y310" s="169"/>
      <c r="Z310" s="169"/>
      <c r="AA310" s="169"/>
      <c r="AB310" s="169"/>
      <c r="AC310" s="169"/>
      <c r="AD310" s="169"/>
      <c r="AE310" s="169"/>
      <c r="AF310" s="169"/>
      <c r="AG310" s="169"/>
      <c r="AH310" s="169"/>
      <c r="AI310" s="169"/>
      <c r="AJ310" s="169"/>
      <c r="AK310" s="169"/>
      <c r="AL310" s="169"/>
      <c r="AM310" s="169"/>
      <c r="AN310" s="169"/>
      <c r="AO310" s="169"/>
      <c r="AP310" s="169"/>
      <c r="AQ310" s="169"/>
      <c r="AR310" s="169"/>
      <c r="AS310" s="169"/>
      <c r="AT310" s="169"/>
      <c r="AU310" s="169"/>
      <c r="AV310" s="169"/>
      <c r="AW310" s="169"/>
      <c r="AX310" s="169"/>
      <c r="AY310" s="169"/>
      <c r="AZ310" s="169"/>
      <c r="BA310" s="169"/>
      <c r="BB310" s="169"/>
      <c r="BC310" s="169"/>
    </row>
    <row r="311" spans="1:55">
      <c r="A311" s="169"/>
      <c r="B311" s="169"/>
      <c r="C311" s="767"/>
      <c r="D311" s="1883"/>
      <c r="E311" s="250"/>
      <c r="F311" s="250"/>
      <c r="G311" s="250"/>
      <c r="H311" s="250"/>
      <c r="I311" s="49"/>
      <c r="J311" s="259"/>
      <c r="K311" s="259"/>
      <c r="L311" s="259"/>
      <c r="M311" s="259"/>
      <c r="N311" s="259"/>
      <c r="O311" s="49"/>
      <c r="P311" s="364"/>
      <c r="Q311" s="368" t="s">
        <v>825</v>
      </c>
      <c r="R311" s="770">
        <v>8.9844122675406479E-2</v>
      </c>
      <c r="S311" s="769">
        <v>9.5446002069131397E-2</v>
      </c>
      <c r="T311" s="769">
        <v>9.2514869855491108E-2</v>
      </c>
      <c r="U311" s="769">
        <v>9.523794927450592E-2</v>
      </c>
      <c r="V311" s="770">
        <v>9.7463281618521497E-2</v>
      </c>
      <c r="W311" s="169"/>
      <c r="X311" s="50"/>
      <c r="Y311" s="169"/>
      <c r="Z311" s="169"/>
      <c r="AA311" s="169"/>
      <c r="AB311" s="169"/>
      <c r="AC311" s="169"/>
      <c r="AD311" s="169"/>
      <c r="AE311" s="169"/>
      <c r="AF311" s="169"/>
      <c r="AG311" s="169"/>
      <c r="AH311" s="169"/>
      <c r="AI311" s="169"/>
      <c r="AJ311" s="169"/>
      <c r="AK311" s="169"/>
      <c r="AL311" s="169"/>
      <c r="AM311" s="169"/>
      <c r="AN311" s="169"/>
      <c r="AO311" s="169"/>
      <c r="AP311" s="169"/>
      <c r="AQ311" s="169"/>
      <c r="AR311" s="169"/>
      <c r="AS311" s="169"/>
      <c r="AT311" s="169"/>
      <c r="AU311" s="169"/>
      <c r="AV311" s="169"/>
      <c r="AW311" s="169"/>
      <c r="AX311" s="169"/>
      <c r="AY311" s="169"/>
      <c r="AZ311" s="169"/>
      <c r="BA311" s="169"/>
      <c r="BB311" s="169"/>
      <c r="BC311" s="169"/>
    </row>
    <row r="312" spans="1:55">
      <c r="A312" s="169"/>
      <c r="B312" s="169"/>
      <c r="C312" s="767"/>
      <c r="D312" s="1883"/>
      <c r="E312" s="250"/>
      <c r="F312" s="250"/>
      <c r="G312" s="250"/>
      <c r="H312" s="250"/>
      <c r="I312" s="799"/>
      <c r="J312" s="259"/>
      <c r="K312" s="259"/>
      <c r="L312" s="259"/>
      <c r="M312" s="259"/>
      <c r="N312" s="259"/>
      <c r="O312" s="49"/>
      <c r="P312" s="169"/>
      <c r="Q312" s="180" t="s">
        <v>831</v>
      </c>
      <c r="R312" s="64">
        <v>266.77682990327025</v>
      </c>
      <c r="S312" s="64">
        <v>290.15408188292167</v>
      </c>
      <c r="T312" s="64">
        <v>314.14418437910911</v>
      </c>
      <c r="U312" s="64"/>
      <c r="V312" s="64"/>
      <c r="W312" s="38"/>
      <c r="X312" s="50"/>
      <c r="Y312" s="169"/>
      <c r="Z312" s="169"/>
      <c r="AA312" s="169"/>
      <c r="AB312" s="169"/>
      <c r="AC312" s="169"/>
      <c r="AD312" s="169"/>
      <c r="AE312" s="169"/>
      <c r="AF312" s="169"/>
      <c r="AG312" s="169"/>
      <c r="AH312" s="169"/>
      <c r="AI312" s="169"/>
      <c r="AJ312" s="169"/>
      <c r="AK312" s="169"/>
      <c r="AL312" s="169"/>
      <c r="AM312" s="169"/>
      <c r="AN312" s="169"/>
      <c r="AO312" s="169"/>
      <c r="AP312" s="169"/>
      <c r="AQ312" s="169"/>
      <c r="AR312" s="169"/>
      <c r="AS312" s="169"/>
      <c r="AT312" s="169"/>
      <c r="AU312" s="169"/>
      <c r="AV312" s="169"/>
      <c r="AW312" s="169"/>
      <c r="AX312" s="169"/>
      <c r="AY312" s="169"/>
      <c r="AZ312" s="169"/>
      <c r="BA312" s="169"/>
      <c r="BB312" s="169"/>
      <c r="BC312" s="169"/>
    </row>
    <row r="313" spans="1:55" ht="15">
      <c r="A313" s="169"/>
      <c r="B313" s="169"/>
      <c r="C313" s="767"/>
      <c r="D313" s="1883"/>
      <c r="E313" s="250"/>
      <c r="F313" s="250"/>
      <c r="G313" s="250"/>
      <c r="H313" s="250"/>
      <c r="I313" s="799"/>
      <c r="J313" s="259"/>
      <c r="K313" s="259"/>
      <c r="L313" s="259"/>
      <c r="M313" s="259"/>
      <c r="N313" s="259"/>
      <c r="O313" s="49"/>
      <c r="P313" s="39"/>
      <c r="Q313" s="180" t="s">
        <v>832</v>
      </c>
      <c r="R313" s="64">
        <v>47.441747139609291</v>
      </c>
      <c r="S313" s="64">
        <v>43.968276439477805</v>
      </c>
      <c r="T313" s="64">
        <v>13.622000694321621</v>
      </c>
      <c r="U313" s="64"/>
      <c r="V313" s="64"/>
      <c r="W313" s="38"/>
      <c r="X313" s="50"/>
      <c r="Y313" s="169"/>
      <c r="Z313" s="169"/>
      <c r="AA313" s="169"/>
      <c r="AB313" s="169"/>
      <c r="AC313" s="169"/>
      <c r="AD313" s="169"/>
      <c r="AE313" s="169"/>
      <c r="AF313" s="169"/>
      <c r="AG313" s="169"/>
      <c r="AH313" s="169"/>
      <c r="AI313" s="169"/>
      <c r="AJ313" s="169"/>
      <c r="AK313" s="169"/>
      <c r="AL313" s="169"/>
      <c r="AM313" s="169"/>
      <c r="AN313" s="169"/>
      <c r="AO313" s="169"/>
      <c r="AP313" s="169"/>
      <c r="AQ313" s="169"/>
      <c r="AR313" s="169"/>
      <c r="AS313" s="169"/>
      <c r="AT313" s="169"/>
      <c r="AU313" s="169"/>
      <c r="AV313" s="169"/>
      <c r="AW313" s="169"/>
      <c r="AX313" s="169"/>
      <c r="AY313" s="169"/>
      <c r="AZ313" s="169"/>
      <c r="BA313" s="169"/>
      <c r="BB313" s="169"/>
      <c r="BC313" s="169"/>
    </row>
    <row r="314" spans="1:55" ht="15">
      <c r="A314" s="169"/>
      <c r="B314" s="169"/>
      <c r="C314" s="767"/>
      <c r="D314" s="1883"/>
      <c r="E314" s="250"/>
      <c r="F314" s="250"/>
      <c r="G314" s="250"/>
      <c r="H314" s="250"/>
      <c r="I314" s="799"/>
      <c r="J314" s="259"/>
      <c r="K314" s="259"/>
      <c r="L314" s="259"/>
      <c r="M314" s="259"/>
      <c r="N314" s="259"/>
      <c r="O314" s="49"/>
      <c r="P314" s="676"/>
      <c r="Q314" s="412" t="s">
        <v>826</v>
      </c>
      <c r="R314" s="355">
        <f>R312/(R312+R313)</f>
        <v>0.84901673355507823</v>
      </c>
      <c r="S314" s="355">
        <f>S312/(S312+S313)</f>
        <v>0.86840666197784899</v>
      </c>
      <c r="T314" s="355">
        <f>T312/(T312+T313)</f>
        <v>0.95843988393351243</v>
      </c>
      <c r="U314" s="355">
        <v>1</v>
      </c>
      <c r="V314" s="355">
        <v>1</v>
      </c>
      <c r="W314" s="38"/>
      <c r="X314" s="50"/>
      <c r="Y314" s="169"/>
      <c r="Z314" s="169"/>
      <c r="AA314" s="169"/>
      <c r="AB314" s="169"/>
      <c r="AC314" s="169"/>
      <c r="AD314" s="169"/>
      <c r="AE314" s="169"/>
      <c r="AF314" s="169"/>
      <c r="AG314" s="169"/>
      <c r="AH314" s="169"/>
      <c r="AI314" s="169"/>
      <c r="AJ314" s="169"/>
      <c r="AK314" s="169"/>
      <c r="AL314" s="169"/>
      <c r="AM314" s="169"/>
      <c r="AN314" s="169"/>
      <c r="AO314" s="169"/>
      <c r="AP314" s="169"/>
      <c r="AQ314" s="169"/>
      <c r="AR314" s="169"/>
      <c r="AS314" s="169"/>
      <c r="AT314" s="169"/>
      <c r="AU314" s="169"/>
      <c r="AV314" s="169"/>
      <c r="AW314" s="169"/>
      <c r="AX314" s="169"/>
      <c r="AY314" s="169"/>
      <c r="AZ314" s="169"/>
      <c r="BA314" s="169"/>
      <c r="BB314" s="169"/>
      <c r="BC314" s="169"/>
    </row>
    <row r="315" spans="1:55" ht="15">
      <c r="A315" s="169"/>
      <c r="B315" s="169"/>
      <c r="C315" s="767"/>
      <c r="D315" s="1883"/>
      <c r="E315" s="250"/>
      <c r="F315" s="250"/>
      <c r="G315" s="250"/>
      <c r="H315" s="250"/>
      <c r="I315" s="799"/>
      <c r="J315" s="259"/>
      <c r="K315" s="259"/>
      <c r="L315" s="259"/>
      <c r="M315" s="259"/>
      <c r="N315" s="259"/>
      <c r="O315" s="49"/>
      <c r="P315" s="39"/>
      <c r="Q315" s="180"/>
      <c r="R315" s="53"/>
      <c r="S315" s="53"/>
      <c r="T315" s="53"/>
      <c r="U315" s="53"/>
      <c r="V315" s="53"/>
      <c r="W315" s="38"/>
      <c r="X315" s="50"/>
      <c r="Y315" s="169"/>
      <c r="Z315" s="169"/>
      <c r="AA315" s="169"/>
      <c r="AB315" s="169"/>
      <c r="AC315" s="169"/>
      <c r="AD315" s="169"/>
      <c r="AE315" s="169"/>
      <c r="AF315" s="169"/>
      <c r="AG315" s="169"/>
      <c r="AH315" s="169"/>
      <c r="AI315" s="169"/>
      <c r="AJ315" s="169"/>
      <c r="AK315" s="169"/>
      <c r="AL315" s="169"/>
      <c r="AM315" s="169"/>
      <c r="AN315" s="169"/>
      <c r="AO315" s="169"/>
      <c r="AP315" s="169"/>
      <c r="AQ315" s="169"/>
      <c r="AR315" s="169"/>
      <c r="AS315" s="169"/>
      <c r="AT315" s="169"/>
      <c r="AU315" s="169"/>
      <c r="AV315" s="169"/>
      <c r="AW315" s="169"/>
      <c r="AX315" s="169"/>
      <c r="AY315" s="169"/>
      <c r="AZ315" s="169"/>
      <c r="BA315" s="169"/>
      <c r="BB315" s="169"/>
      <c r="BC315" s="169"/>
    </row>
    <row r="316" spans="1:55" ht="15">
      <c r="A316" s="169"/>
      <c r="B316" s="169"/>
      <c r="C316" s="767"/>
      <c r="D316" s="1883"/>
      <c r="E316" s="250"/>
      <c r="F316" s="250"/>
      <c r="G316" s="250"/>
      <c r="H316" s="250"/>
      <c r="I316" s="799"/>
      <c r="J316" s="259"/>
      <c r="K316" s="259"/>
      <c r="L316" s="259"/>
      <c r="M316" s="259"/>
      <c r="N316" s="259"/>
      <c r="O316" s="49"/>
      <c r="P316" s="768"/>
      <c r="Q316" s="368" t="s">
        <v>836</v>
      </c>
      <c r="R316" s="769">
        <f>1-(R296+R305+R311)</f>
        <v>0.18082712613760998</v>
      </c>
      <c r="S316" s="769">
        <f>1-(S296+S305+S311)</f>
        <v>0.16525154716737211</v>
      </c>
      <c r="T316" s="769">
        <f>1-(T296+T305+T311)</f>
        <v>0.14451825896823656</v>
      </c>
      <c r="U316" s="769">
        <f>1-(U296+U305+U311)</f>
        <v>0.14006654970361554</v>
      </c>
      <c r="V316" s="769">
        <f>1-(V296+V305+V311)</f>
        <v>0.12223874213042007</v>
      </c>
      <c r="W316" s="38"/>
      <c r="X316" s="49" t="s">
        <v>917</v>
      </c>
      <c r="Y316" s="169"/>
      <c r="Z316" s="169"/>
      <c r="AA316" s="169"/>
      <c r="AB316" s="169"/>
      <c r="AC316" s="169"/>
      <c r="AD316" s="169"/>
      <c r="AE316" s="169"/>
      <c r="AF316" s="169"/>
      <c r="AG316" s="169"/>
      <c r="AH316" s="169"/>
      <c r="AI316" s="169"/>
      <c r="AJ316" s="169"/>
      <c r="AK316" s="169"/>
      <c r="AL316" s="169"/>
      <c r="AM316" s="169"/>
      <c r="AN316" s="169"/>
      <c r="AO316" s="169"/>
      <c r="AP316" s="169"/>
      <c r="AQ316" s="169"/>
      <c r="AR316" s="169"/>
      <c r="AS316" s="169"/>
      <c r="AT316" s="169"/>
      <c r="AU316" s="169"/>
      <c r="AV316" s="169"/>
      <c r="AW316" s="169"/>
      <c r="AX316" s="169"/>
      <c r="AY316" s="169"/>
      <c r="AZ316" s="169"/>
      <c r="BA316" s="169"/>
      <c r="BB316" s="169"/>
      <c r="BC316" s="169"/>
    </row>
    <row r="317" spans="1:55" ht="15">
      <c r="A317" s="169"/>
      <c r="B317" s="169"/>
      <c r="C317" s="767"/>
      <c r="D317" s="1883"/>
      <c r="E317" s="250"/>
      <c r="F317" s="250"/>
      <c r="G317" s="250"/>
      <c r="H317" s="250"/>
      <c r="I317" s="799"/>
      <c r="J317" s="259"/>
      <c r="K317" s="259"/>
      <c r="L317" s="259"/>
      <c r="M317" s="259"/>
      <c r="N317" s="259"/>
      <c r="O317" s="49"/>
      <c r="P317" s="39"/>
      <c r="Q317" s="180"/>
      <c r="R317" s="53"/>
      <c r="S317" s="53"/>
      <c r="T317" s="53"/>
      <c r="U317" s="53"/>
      <c r="V317" s="53"/>
      <c r="W317" s="38"/>
      <c r="X317" s="49"/>
      <c r="Y317" s="169"/>
      <c r="Z317" s="169"/>
      <c r="AA317" s="169"/>
      <c r="AB317" s="169"/>
      <c r="AC317" s="169"/>
      <c r="AD317" s="169"/>
      <c r="AE317" s="169"/>
      <c r="AF317" s="169"/>
      <c r="AG317" s="169"/>
      <c r="AH317" s="169"/>
      <c r="AI317" s="169"/>
      <c r="AJ317" s="169"/>
      <c r="AK317" s="169"/>
      <c r="AL317" s="169"/>
      <c r="AM317" s="169"/>
      <c r="AN317" s="169"/>
      <c r="AO317" s="169"/>
      <c r="AP317" s="169"/>
      <c r="AQ317" s="169"/>
      <c r="AR317" s="169"/>
      <c r="AS317" s="169"/>
      <c r="AT317" s="169"/>
      <c r="AU317" s="169"/>
      <c r="AV317" s="169"/>
      <c r="AW317" s="169"/>
      <c r="AX317" s="169"/>
      <c r="AY317" s="169"/>
      <c r="AZ317" s="169"/>
      <c r="BA317" s="169"/>
      <c r="BB317" s="169"/>
      <c r="BC317" s="169"/>
    </row>
    <row r="318" spans="1:55" ht="15">
      <c r="A318" s="169"/>
      <c r="B318" s="169"/>
      <c r="C318" s="767"/>
      <c r="D318" s="1883"/>
      <c r="E318" s="250"/>
      <c r="F318" s="250"/>
      <c r="G318" s="250"/>
      <c r="H318" s="250"/>
      <c r="I318" s="799"/>
      <c r="J318" s="259"/>
      <c r="K318" s="259"/>
      <c r="L318" s="259"/>
      <c r="M318" s="259"/>
      <c r="N318" s="259"/>
      <c r="O318" s="49"/>
      <c r="P318" s="777"/>
      <c r="Q318" s="368" t="s">
        <v>369</v>
      </c>
      <c r="R318" s="769">
        <f>R302*R296+R308*R305+R314*R311+R316</f>
        <v>0.66950124226454721</v>
      </c>
      <c r="S318" s="769">
        <f>S302*S296+S308*S305+S314*S311+S316</f>
        <v>0.67137232759311938</v>
      </c>
      <c r="T318" s="769">
        <f>T302*T296+T308*T305+T314*T311+T316</f>
        <v>0.68614581926284746</v>
      </c>
      <c r="U318" s="769">
        <f>U302*U296+U308*U305+U314*U311+U316</f>
        <v>0.70422796316952674</v>
      </c>
      <c r="V318" s="769">
        <f>V302*V296+V308*V305+V314*V311+V316</f>
        <v>0.70832796210292104</v>
      </c>
      <c r="W318" s="38"/>
      <c r="X318" s="49"/>
      <c r="Y318" s="169"/>
      <c r="Z318" s="169"/>
      <c r="AA318" s="169"/>
      <c r="AB318" s="169"/>
      <c r="AC318" s="169"/>
      <c r="AD318" s="169"/>
      <c r="AE318" s="169"/>
      <c r="AF318" s="169"/>
      <c r="AG318" s="169"/>
      <c r="AH318" s="169"/>
      <c r="AI318" s="169"/>
      <c r="AJ318" s="169"/>
      <c r="AK318" s="169"/>
      <c r="AL318" s="169"/>
      <c r="AM318" s="169"/>
      <c r="AN318" s="169"/>
      <c r="AO318" s="169"/>
      <c r="AP318" s="169"/>
      <c r="AQ318" s="169"/>
      <c r="AR318" s="169"/>
      <c r="AS318" s="169"/>
      <c r="AT318" s="169"/>
      <c r="AU318" s="169"/>
      <c r="AV318" s="169"/>
      <c r="AW318" s="169"/>
      <c r="AX318" s="169"/>
      <c r="AY318" s="169"/>
      <c r="AZ318" s="169"/>
      <c r="BA318" s="169"/>
      <c r="BB318" s="169"/>
      <c r="BC318" s="169"/>
    </row>
    <row r="319" spans="1:55" ht="15">
      <c r="A319" s="169"/>
      <c r="B319" s="169"/>
      <c r="C319" s="767"/>
      <c r="D319" s="1883"/>
      <c r="E319" s="250"/>
      <c r="F319" s="250"/>
      <c r="G319" s="250"/>
      <c r="H319" s="250"/>
      <c r="I319" s="180"/>
      <c r="J319" s="765"/>
      <c r="K319" s="765"/>
      <c r="L319" s="765"/>
      <c r="M319" s="765"/>
      <c r="N319" s="765"/>
      <c r="O319" s="49"/>
      <c r="P319" s="39"/>
      <c r="Q319" s="180" t="s">
        <v>837</v>
      </c>
      <c r="R319" s="53">
        <f>1-R318</f>
        <v>0.33049875773545279</v>
      </c>
      <c r="S319" s="53">
        <f>1-S318</f>
        <v>0.32862767240688062</v>
      </c>
      <c r="T319" s="53">
        <f>1-T318</f>
        <v>0.31385418073715254</v>
      </c>
      <c r="U319" s="53">
        <f>1-U318</f>
        <v>0.29577203683047326</v>
      </c>
      <c r="V319" s="53">
        <f>1-V318</f>
        <v>0.29167203789707896</v>
      </c>
      <c r="W319" s="38"/>
      <c r="X319" s="49"/>
      <c r="Y319" s="169"/>
      <c r="Z319" s="169"/>
      <c r="AA319" s="169"/>
      <c r="AB319" s="169"/>
      <c r="AC319" s="169"/>
      <c r="AD319" s="169"/>
      <c r="AE319" s="169"/>
      <c r="AF319" s="169"/>
      <c r="AG319" s="169"/>
      <c r="AH319" s="169"/>
      <c r="AI319" s="169"/>
      <c r="AJ319" s="169"/>
      <c r="AK319" s="169"/>
      <c r="AL319" s="169"/>
      <c r="AM319" s="169"/>
      <c r="AN319" s="169"/>
      <c r="AO319" s="169"/>
      <c r="AP319" s="169"/>
      <c r="AQ319" s="169"/>
      <c r="AR319" s="169"/>
      <c r="AS319" s="169"/>
      <c r="AT319" s="169"/>
      <c r="AU319" s="169"/>
      <c r="AV319" s="169"/>
      <c r="AW319" s="169"/>
      <c r="AX319" s="169"/>
      <c r="AY319" s="169"/>
      <c r="AZ319" s="169"/>
      <c r="BA319" s="169"/>
      <c r="BB319" s="169"/>
      <c r="BC319" s="169"/>
    </row>
    <row r="320" spans="1:55" ht="15">
      <c r="A320" s="169"/>
      <c r="B320" s="169"/>
      <c r="C320" s="767"/>
      <c r="D320" s="1883"/>
      <c r="E320" s="250"/>
      <c r="F320" s="250"/>
      <c r="G320" s="250"/>
      <c r="H320" s="250"/>
      <c r="I320" s="290"/>
      <c r="J320" s="250"/>
      <c r="K320" s="250"/>
      <c r="L320" s="250"/>
      <c r="M320" s="250"/>
      <c r="N320" s="250"/>
      <c r="O320" s="49"/>
      <c r="P320" s="39"/>
      <c r="Q320" s="180"/>
      <c r="R320" s="53"/>
      <c r="S320" s="53"/>
      <c r="T320" s="53"/>
      <c r="U320" s="53"/>
      <c r="V320" s="53"/>
      <c r="W320" s="38"/>
      <c r="X320" s="49"/>
      <c r="Y320" s="169"/>
      <c r="Z320" s="169"/>
      <c r="AA320" s="169"/>
      <c r="AB320" s="169"/>
      <c r="AC320" s="169"/>
      <c r="AD320" s="169"/>
      <c r="AE320" s="169"/>
      <c r="AF320" s="169"/>
      <c r="AG320" s="169"/>
      <c r="AH320" s="169"/>
      <c r="AI320" s="169"/>
      <c r="AJ320" s="169"/>
      <c r="AK320" s="169"/>
      <c r="AL320" s="169"/>
      <c r="AM320" s="169"/>
      <c r="AN320" s="169"/>
      <c r="AO320" s="169"/>
      <c r="AP320" s="169"/>
      <c r="AQ320" s="169"/>
      <c r="AR320" s="169"/>
      <c r="AS320" s="169"/>
      <c r="AT320" s="169"/>
      <c r="AU320" s="169"/>
      <c r="AV320" s="169"/>
      <c r="AW320" s="169"/>
      <c r="AX320" s="169"/>
      <c r="AY320" s="169"/>
      <c r="AZ320" s="169"/>
      <c r="BA320" s="169"/>
      <c r="BB320" s="169"/>
      <c r="BC320" s="169"/>
    </row>
    <row r="321" spans="1:55">
      <c r="A321" s="169"/>
      <c r="B321" s="169"/>
      <c r="C321" s="169"/>
      <c r="D321" s="335"/>
      <c r="E321" s="250"/>
      <c r="F321" s="250"/>
      <c r="G321" s="250"/>
      <c r="H321" s="250"/>
      <c r="I321" s="49"/>
      <c r="J321" s="259"/>
      <c r="K321" s="259"/>
      <c r="L321" s="259"/>
      <c r="M321" s="259"/>
      <c r="N321" s="259"/>
      <c r="O321" s="49"/>
      <c r="P321" s="50"/>
      <c r="Q321" s="169"/>
      <c r="R321" s="50"/>
      <c r="S321" s="50"/>
      <c r="T321" s="50"/>
      <c r="U321" s="50"/>
      <c r="V321" s="50"/>
      <c r="W321" s="50"/>
      <c r="X321" s="169"/>
      <c r="Y321" s="169"/>
      <c r="Z321" s="169"/>
      <c r="AA321" s="169"/>
      <c r="AB321" s="169"/>
      <c r="AC321" s="169"/>
      <c r="AD321" s="169"/>
      <c r="AE321" s="169"/>
      <c r="AF321" s="169"/>
      <c r="AG321" s="169"/>
      <c r="AH321" s="169"/>
      <c r="AI321" s="169"/>
      <c r="AJ321" s="169"/>
      <c r="AK321" s="169"/>
      <c r="AL321" s="169"/>
      <c r="AM321" s="169"/>
      <c r="AN321" s="169"/>
      <c r="AO321" s="169"/>
      <c r="AP321" s="169"/>
      <c r="AQ321" s="169"/>
      <c r="AR321" s="169"/>
      <c r="AS321" s="169"/>
      <c r="AT321" s="169"/>
      <c r="AU321" s="169"/>
      <c r="AV321" s="169"/>
      <c r="AW321" s="169"/>
      <c r="AX321" s="169"/>
      <c r="AY321" s="169"/>
      <c r="AZ321" s="169"/>
      <c r="BA321" s="169"/>
      <c r="BB321" s="169"/>
      <c r="BC321" s="169"/>
    </row>
    <row r="322" spans="1:55">
      <c r="A322" s="55" t="s">
        <v>39</v>
      </c>
      <c r="B322" s="177" t="s">
        <v>366</v>
      </c>
      <c r="C322" s="237" t="s">
        <v>520</v>
      </c>
      <c r="D322" s="1884"/>
      <c r="E322" s="253">
        <v>26.8</v>
      </c>
      <c r="F322" s="253">
        <v>26.72</v>
      </c>
      <c r="G322" s="253">
        <v>27.29</v>
      </c>
      <c r="H322" s="253">
        <v>27.76</v>
      </c>
      <c r="I322" s="295"/>
      <c r="J322" s="263"/>
      <c r="K322" s="263"/>
      <c r="L322" s="263"/>
      <c r="M322" s="263"/>
      <c r="N322" s="263"/>
      <c r="O322" s="168"/>
      <c r="P322" s="48"/>
      <c r="Q322" s="291" t="s">
        <v>316</v>
      </c>
      <c r="R322" s="47" t="s">
        <v>541</v>
      </c>
      <c r="S322" s="168"/>
      <c r="T322" s="48"/>
      <c r="U322" s="48"/>
      <c r="V322" s="48"/>
      <c r="W322" s="168"/>
      <c r="X322" s="48" t="s">
        <v>605</v>
      </c>
      <c r="Y322" s="168"/>
      <c r="Z322" s="168"/>
      <c r="AA322" s="168"/>
      <c r="AB322" s="168"/>
      <c r="AC322" s="168"/>
      <c r="AD322" s="168"/>
      <c r="AE322" s="168"/>
      <c r="AF322" s="168"/>
      <c r="AG322" s="168"/>
      <c r="AH322" s="168"/>
      <c r="AI322" s="168"/>
      <c r="AJ322" s="168"/>
      <c r="AK322" s="168"/>
      <c r="AL322" s="168"/>
      <c r="AM322" s="168"/>
      <c r="AN322" s="168"/>
      <c r="AO322" s="168"/>
      <c r="AP322" s="168"/>
      <c r="AQ322" s="168"/>
      <c r="AR322" s="168"/>
      <c r="AS322" s="168"/>
      <c r="AT322" s="168"/>
      <c r="AU322" s="168"/>
      <c r="AV322" s="168"/>
      <c r="AW322" s="168"/>
      <c r="AX322" s="168"/>
      <c r="AY322" s="168"/>
      <c r="AZ322" s="168"/>
      <c r="BA322" s="168"/>
      <c r="BB322" s="168"/>
      <c r="BC322" s="168"/>
    </row>
    <row r="323" spans="1:55">
      <c r="A323" s="169"/>
      <c r="B323" s="169"/>
      <c r="C323" s="234" t="s">
        <v>162</v>
      </c>
      <c r="D323" s="1885"/>
      <c r="E323" s="250">
        <v>26.16</v>
      </c>
      <c r="F323" s="250">
        <v>28.58</v>
      </c>
      <c r="G323" s="250">
        <v>28.97</v>
      </c>
      <c r="H323" s="250">
        <v>28.21</v>
      </c>
      <c r="I323" s="335"/>
      <c r="J323" s="259" t="s">
        <v>609</v>
      </c>
      <c r="K323" s="250"/>
      <c r="L323" s="259"/>
      <c r="M323" s="259"/>
      <c r="N323" s="259"/>
      <c r="O323" s="169"/>
      <c r="P323" s="352"/>
      <c r="Q323" s="351" t="s">
        <v>248</v>
      </c>
      <c r="R323" s="353">
        <v>2081</v>
      </c>
      <c r="S323" s="353">
        <v>4638</v>
      </c>
      <c r="T323" s="353">
        <v>5171</v>
      </c>
      <c r="U323" s="353"/>
      <c r="V323" s="353"/>
      <c r="W323" s="169"/>
      <c r="X323" s="169"/>
      <c r="Y323" s="169"/>
      <c r="Z323" s="169"/>
      <c r="AA323" s="169"/>
      <c r="AB323" s="169"/>
      <c r="AC323" s="169"/>
      <c r="AD323" s="169"/>
      <c r="AE323" s="169"/>
      <c r="AF323" s="169"/>
      <c r="AG323" s="169"/>
      <c r="AH323" s="169"/>
      <c r="AI323" s="169"/>
      <c r="AJ323" s="169"/>
      <c r="AK323" s="169"/>
      <c r="AL323" s="169"/>
      <c r="AM323" s="169"/>
      <c r="AN323" s="169"/>
      <c r="AO323" s="169"/>
      <c r="AP323" s="169"/>
      <c r="AQ323" s="169"/>
      <c r="AR323" s="169"/>
      <c r="AS323" s="169"/>
      <c r="AT323" s="169"/>
      <c r="AU323" s="169"/>
      <c r="AV323" s="169"/>
      <c r="AW323" s="169"/>
      <c r="AX323" s="169"/>
      <c r="AY323" s="169"/>
      <c r="AZ323" s="169"/>
      <c r="BA323" s="169"/>
      <c r="BB323" s="169"/>
      <c r="BC323" s="169"/>
    </row>
    <row r="324" spans="1:55">
      <c r="A324" s="169"/>
      <c r="B324" s="169"/>
      <c r="C324" s="234" t="s">
        <v>172</v>
      </c>
      <c r="D324" s="1885"/>
      <c r="E324" s="250">
        <v>17.46</v>
      </c>
      <c r="F324" s="250">
        <v>19.34</v>
      </c>
      <c r="G324" s="250">
        <v>21.33</v>
      </c>
      <c r="H324" s="250">
        <v>23.4</v>
      </c>
      <c r="I324" s="180" t="s">
        <v>369</v>
      </c>
      <c r="J324" s="334"/>
      <c r="K324" s="312">
        <f>E323/$AB$1/E328</f>
        <v>0.2645363535241177</v>
      </c>
      <c r="L324" s="312">
        <f>F323/$AB$1/F328</f>
        <v>0.28892033966841896</v>
      </c>
      <c r="M324" s="312">
        <f>G323/$AB$1/G328</f>
        <v>0.29327799149625433</v>
      </c>
      <c r="N324" s="312">
        <f>H323/$AB$1/H328</f>
        <v>0.28587353060397241</v>
      </c>
      <c r="O324" s="169"/>
      <c r="P324" s="169"/>
      <c r="Q324" s="137" t="s">
        <v>249</v>
      </c>
      <c r="R324" s="50">
        <v>3007</v>
      </c>
      <c r="S324" s="50">
        <v>6903</v>
      </c>
      <c r="T324" s="50">
        <v>7621</v>
      </c>
      <c r="U324" s="50"/>
      <c r="V324" s="50"/>
      <c r="W324" s="169"/>
      <c r="X324" s="49"/>
      <c r="Y324" s="169"/>
      <c r="Z324" s="169"/>
      <c r="AA324" s="169"/>
      <c r="AB324" s="169"/>
      <c r="AC324" s="169"/>
      <c r="AD324" s="169"/>
      <c r="AE324" s="169"/>
      <c r="AF324" s="169"/>
      <c r="AG324" s="169"/>
      <c r="AH324" s="169"/>
      <c r="AI324" s="169"/>
      <c r="AJ324" s="169"/>
      <c r="AK324" s="169"/>
      <c r="AL324" s="169"/>
      <c r="AM324" s="169"/>
      <c r="AN324" s="169"/>
      <c r="AO324" s="169"/>
      <c r="AP324" s="169"/>
      <c r="AQ324" s="169"/>
      <c r="AR324" s="169"/>
      <c r="AS324" s="169"/>
      <c r="AT324" s="169"/>
      <c r="AU324" s="169"/>
      <c r="AV324" s="169"/>
      <c r="AW324" s="169"/>
      <c r="AX324" s="169"/>
      <c r="AY324" s="169"/>
      <c r="AZ324" s="169"/>
      <c r="BA324" s="169"/>
      <c r="BB324" s="169"/>
      <c r="BC324" s="169"/>
    </row>
    <row r="325" spans="1:55">
      <c r="A325" s="169"/>
      <c r="B325" s="169"/>
      <c r="C325" s="234" t="s">
        <v>521</v>
      </c>
      <c r="D325" s="1885"/>
      <c r="E325" s="250">
        <v>14.76</v>
      </c>
      <c r="F325" s="250">
        <v>13.41</v>
      </c>
      <c r="G325" s="250">
        <v>12.29</v>
      </c>
      <c r="H325" s="250">
        <v>10.43</v>
      </c>
      <c r="I325" s="180"/>
      <c r="J325" s="337"/>
      <c r="K325" s="337"/>
      <c r="L325" s="337"/>
      <c r="M325" s="337"/>
      <c r="N325" s="338"/>
      <c r="O325" s="169"/>
      <c r="P325" s="169"/>
      <c r="Q325" s="137" t="s">
        <v>250</v>
      </c>
      <c r="R325" s="50">
        <v>3532</v>
      </c>
      <c r="S325" s="50">
        <v>7214</v>
      </c>
      <c r="T325" s="50">
        <v>7139</v>
      </c>
      <c r="U325" s="50"/>
      <c r="V325" s="50"/>
      <c r="W325" s="169"/>
      <c r="X325" s="169"/>
      <c r="Y325" s="169"/>
      <c r="Z325" s="169"/>
      <c r="AA325" s="169"/>
      <c r="AB325" s="169"/>
      <c r="AC325" s="169"/>
      <c r="AD325" s="169"/>
      <c r="AE325" s="169"/>
      <c r="AF325" s="169"/>
      <c r="AG325" s="169"/>
      <c r="AH325" s="169"/>
      <c r="AI325" s="169"/>
      <c r="AJ325" s="169"/>
      <c r="AK325" s="169"/>
      <c r="AL325" s="169"/>
      <c r="AM325" s="169"/>
      <c r="AN325" s="169"/>
      <c r="AO325" s="169"/>
      <c r="AP325" s="169"/>
      <c r="AQ325" s="169"/>
      <c r="AR325" s="169"/>
      <c r="AS325" s="169"/>
      <c r="AT325" s="169"/>
      <c r="AU325" s="169"/>
      <c r="AV325" s="169"/>
      <c r="AW325" s="169"/>
      <c r="AX325" s="169"/>
      <c r="AY325" s="169"/>
      <c r="AZ325" s="169"/>
      <c r="BA325" s="169"/>
      <c r="BB325" s="169"/>
      <c r="BC325" s="169"/>
    </row>
    <row r="326" spans="1:55">
      <c r="A326" s="169"/>
      <c r="B326" s="169"/>
      <c r="C326" s="234" t="s">
        <v>522</v>
      </c>
      <c r="D326" s="1885"/>
      <c r="E326" s="250">
        <v>13.71</v>
      </c>
      <c r="F326" s="250">
        <v>10.87</v>
      </c>
      <c r="G326" s="250">
        <v>8.9</v>
      </c>
      <c r="H326" s="250">
        <v>8.8800000000000008</v>
      </c>
      <c r="I326" s="169"/>
      <c r="J326" s="259" t="s">
        <v>602</v>
      </c>
      <c r="K326" s="250"/>
      <c r="L326" s="250"/>
      <c r="M326" s="250"/>
      <c r="N326" s="250"/>
      <c r="O326" s="169"/>
      <c r="P326" s="169"/>
      <c r="Q326" s="137" t="s">
        <v>251</v>
      </c>
      <c r="R326" s="50">
        <v>1731</v>
      </c>
      <c r="S326" s="50">
        <v>3523</v>
      </c>
      <c r="T326" s="50">
        <v>2949</v>
      </c>
      <c r="U326" s="50"/>
      <c r="V326" s="50"/>
      <c r="W326" s="169"/>
      <c r="X326" s="169"/>
      <c r="Y326" s="169"/>
      <c r="Z326" s="169"/>
      <c r="AA326" s="169"/>
      <c r="AB326" s="169"/>
      <c r="AC326" s="169"/>
      <c r="AD326" s="169"/>
      <c r="AE326" s="169"/>
      <c r="AF326" s="169"/>
      <c r="AG326" s="169"/>
      <c r="AH326" s="169"/>
      <c r="AI326" s="169"/>
      <c r="AJ326" s="169"/>
      <c r="AK326" s="169"/>
      <c r="AL326" s="169"/>
      <c r="AM326" s="169"/>
      <c r="AN326" s="169"/>
      <c r="AO326" s="169"/>
      <c r="AP326" s="169"/>
      <c r="AQ326" s="169"/>
      <c r="AR326" s="169"/>
      <c r="AS326" s="169"/>
      <c r="AT326" s="169"/>
      <c r="AU326" s="169"/>
      <c r="AV326" s="169"/>
      <c r="AW326" s="169"/>
      <c r="AX326" s="169"/>
      <c r="AY326" s="169"/>
      <c r="AZ326" s="169"/>
      <c r="BA326" s="169"/>
      <c r="BB326" s="169"/>
      <c r="BC326" s="169"/>
    </row>
    <row r="327" spans="1:55">
      <c r="A327" s="169"/>
      <c r="B327" s="169"/>
      <c r="C327" s="234" t="s">
        <v>523</v>
      </c>
      <c r="D327" s="1885"/>
      <c r="E327" s="250"/>
      <c r="F327" s="250"/>
      <c r="G327" s="250"/>
      <c r="H327" s="250"/>
      <c r="I327" s="813" t="s">
        <v>369</v>
      </c>
      <c r="J327" s="739">
        <f>R331</f>
        <v>0.28165979767703259</v>
      </c>
      <c r="K327" s="837">
        <f>E323/SUM(E322:E325)</f>
        <v>0.3071143460906316</v>
      </c>
      <c r="L327" s="837">
        <f>F323/SUM(F322:F325)</f>
        <v>0.32458830210107892</v>
      </c>
      <c r="M327" s="795">
        <f>G323/SUM(G322:G325)</f>
        <v>0.32231864708500224</v>
      </c>
      <c r="N327" s="795">
        <f>H323/SUM(H322:H325)</f>
        <v>0.3141425389755011</v>
      </c>
      <c r="O327" s="169"/>
      <c r="P327" s="169"/>
      <c r="Q327" s="137" t="s">
        <v>604</v>
      </c>
      <c r="R327" s="50">
        <v>30</v>
      </c>
      <c r="S327" s="50">
        <v>62</v>
      </c>
      <c r="T327" s="50">
        <v>63</v>
      </c>
      <c r="U327" s="50"/>
      <c r="V327" s="50"/>
      <c r="W327" s="169"/>
      <c r="X327" s="49" t="s">
        <v>906</v>
      </c>
      <c r="Y327" s="169"/>
      <c r="Z327" s="169"/>
      <c r="AA327" s="169"/>
      <c r="AB327" s="169"/>
      <c r="AC327" s="169"/>
      <c r="AD327" s="169"/>
      <c r="AE327" s="169"/>
      <c r="AF327" s="169"/>
      <c r="AG327" s="169"/>
      <c r="AH327" s="169"/>
      <c r="AI327" s="169"/>
      <c r="AJ327" s="169"/>
      <c r="AK327" s="169"/>
      <c r="AL327" s="169"/>
      <c r="AM327" s="169"/>
      <c r="AN327" s="169"/>
      <c r="AO327" s="169"/>
      <c r="AP327" s="169"/>
      <c r="AQ327" s="169"/>
      <c r="AR327" s="169"/>
      <c r="AS327" s="169"/>
      <c r="AT327" s="169"/>
      <c r="AU327" s="169"/>
      <c r="AV327" s="169"/>
      <c r="AW327" s="169"/>
      <c r="AX327" s="169"/>
      <c r="AY327" s="169"/>
      <c r="AZ327" s="169"/>
      <c r="BA327" s="169"/>
      <c r="BB327" s="169"/>
      <c r="BC327" s="169"/>
    </row>
    <row r="328" spans="1:55">
      <c r="A328" s="169"/>
      <c r="B328" s="169"/>
      <c r="C328" s="169"/>
      <c r="D328" s="335"/>
      <c r="E328" s="302">
        <f>SUM(E322:E326)/100</f>
        <v>0.98890000000000011</v>
      </c>
      <c r="F328" s="302">
        <f>SUM(F322:F326)/100</f>
        <v>0.98919999999999997</v>
      </c>
      <c r="G328" s="302">
        <f>SUM(G322:G326)/100</f>
        <v>0.98780000000000001</v>
      </c>
      <c r="H328" s="302">
        <f>SUM(H322:H326)/100</f>
        <v>0.98680000000000012</v>
      </c>
      <c r="I328" s="169"/>
      <c r="J328" s="4544" t="s">
        <v>1849</v>
      </c>
      <c r="K328" s="4545"/>
      <c r="L328" s="4545"/>
      <c r="M328" s="4545"/>
      <c r="N328" s="4546"/>
      <c r="O328" s="169"/>
      <c r="P328" s="169"/>
      <c r="Q328" s="137" t="s">
        <v>521</v>
      </c>
      <c r="R328" s="50">
        <v>2056</v>
      </c>
      <c r="S328" s="50">
        <v>3894</v>
      </c>
      <c r="T328" s="50">
        <v>3555</v>
      </c>
      <c r="U328" s="50"/>
      <c r="V328" s="50"/>
      <c r="W328" s="169"/>
      <c r="X328" s="50"/>
      <c r="Y328" s="169"/>
      <c r="Z328" s="169"/>
      <c r="AA328" s="169"/>
      <c r="AB328" s="169"/>
      <c r="AC328" s="169"/>
      <c r="AD328" s="169"/>
      <c r="AE328" s="169"/>
      <c r="AF328" s="169"/>
      <c r="AG328" s="169"/>
      <c r="AH328" s="169"/>
      <c r="AI328" s="169"/>
      <c r="AJ328" s="169"/>
      <c r="AK328" s="169"/>
      <c r="AL328" s="169"/>
      <c r="AM328" s="169"/>
      <c r="AN328" s="169"/>
      <c r="AO328" s="169"/>
      <c r="AP328" s="169"/>
      <c r="AQ328" s="169"/>
      <c r="AR328" s="169"/>
      <c r="AS328" s="169"/>
      <c r="AT328" s="169"/>
      <c r="AU328" s="169"/>
      <c r="AV328" s="169"/>
      <c r="AW328" s="169"/>
      <c r="AX328" s="169"/>
      <c r="AY328" s="169"/>
      <c r="AZ328" s="169"/>
      <c r="BA328" s="169"/>
      <c r="BB328" s="169"/>
      <c r="BC328" s="169"/>
    </row>
    <row r="329" spans="1:55">
      <c r="A329" s="169"/>
      <c r="B329" s="169"/>
      <c r="C329" s="169"/>
      <c r="D329" s="335"/>
      <c r="E329" s="250"/>
      <c r="F329" s="250"/>
      <c r="G329" s="250"/>
      <c r="H329" s="250"/>
      <c r="I329" s="180"/>
      <c r="J329" s="4541"/>
      <c r="K329" s="4547"/>
      <c r="L329" s="4547"/>
      <c r="M329" s="4547"/>
      <c r="N329" s="4543"/>
      <c r="O329" s="49"/>
      <c r="P329" s="169"/>
      <c r="Q329" s="137" t="s">
        <v>153</v>
      </c>
      <c r="R329" s="50">
        <v>535</v>
      </c>
      <c r="S329" s="50">
        <v>641</v>
      </c>
      <c r="T329" s="50">
        <v>551</v>
      </c>
      <c r="U329" s="50"/>
      <c r="V329" s="50"/>
      <c r="W329" s="169"/>
      <c r="X329" s="49"/>
      <c r="Y329" s="169"/>
      <c r="Z329" s="169"/>
      <c r="AA329" s="169"/>
      <c r="AB329" s="169"/>
      <c r="AC329" s="169"/>
      <c r="AD329" s="169"/>
      <c r="AE329" s="169"/>
      <c r="AF329" s="169"/>
      <c r="AG329" s="169"/>
      <c r="AH329" s="169"/>
      <c r="AI329" s="169"/>
      <c r="AJ329" s="169"/>
      <c r="AK329" s="169"/>
      <c r="AL329" s="169"/>
      <c r="AM329" s="169"/>
      <c r="AN329" s="169"/>
      <c r="AO329" s="169"/>
      <c r="AP329" s="169"/>
      <c r="AQ329" s="169"/>
      <c r="AR329" s="169"/>
      <c r="AS329" s="169"/>
      <c r="AT329" s="169"/>
      <c r="AU329" s="169"/>
      <c r="AV329" s="169"/>
      <c r="AW329" s="169"/>
      <c r="AX329" s="169"/>
      <c r="AY329" s="169"/>
      <c r="AZ329" s="169"/>
      <c r="BA329" s="169"/>
      <c r="BB329" s="169"/>
      <c r="BC329" s="169"/>
    </row>
    <row r="330" spans="1:55">
      <c r="A330" s="169"/>
      <c r="B330" s="169"/>
      <c r="C330" s="169"/>
      <c r="D330" s="335"/>
      <c r="E330" s="250"/>
      <c r="F330" s="250"/>
      <c r="G330" s="250"/>
      <c r="H330" s="250"/>
      <c r="I330" s="182"/>
      <c r="J330" s="4541"/>
      <c r="K330" s="4547"/>
      <c r="L330" s="4547"/>
      <c r="M330" s="4547"/>
      <c r="N330" s="4543"/>
      <c r="O330" s="49"/>
      <c r="P330" s="353"/>
      <c r="Q330" s="353" t="s">
        <v>606</v>
      </c>
      <c r="R330" s="353">
        <f>R323+R324+R325+R328</f>
        <v>10676</v>
      </c>
      <c r="S330" s="353">
        <f>S323+S324+S325+S328</f>
        <v>22649</v>
      </c>
      <c r="T330" s="353">
        <f>T323+T324+T325+T328</f>
        <v>23486</v>
      </c>
      <c r="U330" s="353"/>
      <c r="V330" s="353"/>
      <c r="W330" s="169"/>
      <c r="X330" s="49" t="s">
        <v>607</v>
      </c>
      <c r="Y330" s="169"/>
      <c r="Z330" s="169"/>
      <c r="AA330" s="169"/>
      <c r="AB330" s="169"/>
      <c r="AC330" s="169"/>
      <c r="AD330" s="169"/>
      <c r="AE330" s="169"/>
      <c r="AF330" s="169"/>
      <c r="AG330" s="169"/>
      <c r="AH330" s="169"/>
      <c r="AI330" s="169"/>
      <c r="AJ330" s="169"/>
      <c r="AK330" s="169"/>
      <c r="AL330" s="169"/>
      <c r="AM330" s="169"/>
      <c r="AN330" s="169"/>
      <c r="AO330" s="169"/>
      <c r="AP330" s="169"/>
      <c r="AQ330" s="169"/>
      <c r="AR330" s="169"/>
      <c r="AS330" s="169"/>
      <c r="AT330" s="169"/>
      <c r="AU330" s="169"/>
      <c r="AV330" s="169"/>
      <c r="AW330" s="169"/>
      <c r="AX330" s="169"/>
      <c r="AY330" s="169"/>
      <c r="AZ330" s="169"/>
      <c r="BA330" s="169"/>
      <c r="BB330" s="169"/>
      <c r="BC330" s="169"/>
    </row>
    <row r="331" spans="1:55">
      <c r="A331" s="169"/>
      <c r="B331" s="169"/>
      <c r="C331" s="169"/>
      <c r="D331" s="335"/>
      <c r="E331" s="250"/>
      <c r="F331" s="250"/>
      <c r="G331" s="250"/>
      <c r="H331" s="250"/>
      <c r="I331" s="182"/>
      <c r="J331" s="259"/>
      <c r="K331" s="259"/>
      <c r="L331" s="259"/>
      <c r="M331" s="259"/>
      <c r="N331" s="259"/>
      <c r="O331" s="49"/>
      <c r="P331" s="50"/>
      <c r="Q331" s="50"/>
      <c r="R331" s="38">
        <f>R324/R330</f>
        <v>0.28165979767703259</v>
      </c>
      <c r="S331" s="339">
        <f>S324/S330</f>
        <v>0.30478166806481521</v>
      </c>
      <c r="T331" s="339">
        <f>T324/T330</f>
        <v>0.32449118623861023</v>
      </c>
      <c r="U331" s="339"/>
      <c r="V331" s="339"/>
      <c r="W331" s="50"/>
      <c r="X331" s="49"/>
      <c r="Y331" s="169"/>
      <c r="Z331" s="169"/>
      <c r="AA331" s="169"/>
      <c r="AB331" s="169"/>
      <c r="AC331" s="169"/>
      <c r="AD331" s="169"/>
      <c r="AE331" s="169"/>
      <c r="AF331" s="169"/>
      <c r="AG331" s="169"/>
      <c r="AH331" s="169"/>
      <c r="AI331" s="169"/>
      <c r="AJ331" s="169"/>
      <c r="AK331" s="169"/>
      <c r="AL331" s="169"/>
      <c r="AM331" s="169"/>
      <c r="AN331" s="169"/>
      <c r="AO331" s="169"/>
      <c r="AP331" s="169"/>
      <c r="AQ331" s="169"/>
      <c r="AR331" s="169"/>
      <c r="AS331" s="169"/>
      <c r="AT331" s="169"/>
      <c r="AU331" s="169"/>
      <c r="AV331" s="169"/>
      <c r="AW331" s="169"/>
      <c r="AX331" s="169"/>
      <c r="AY331" s="169"/>
      <c r="AZ331" s="169"/>
      <c r="BA331" s="169"/>
      <c r="BB331" s="169"/>
      <c r="BC331" s="169"/>
    </row>
    <row r="332" spans="1:55">
      <c r="A332" s="169"/>
      <c r="B332" s="169"/>
      <c r="C332" s="169"/>
      <c r="D332" s="335"/>
      <c r="E332" s="250"/>
      <c r="F332" s="250"/>
      <c r="G332" s="250"/>
      <c r="H332" s="250"/>
      <c r="I332" s="169"/>
      <c r="J332" s="259"/>
      <c r="K332" s="259"/>
      <c r="L332" s="259"/>
      <c r="M332" s="259"/>
      <c r="N332" s="259"/>
      <c r="O332" s="49"/>
      <c r="P332" s="49"/>
      <c r="Q332" s="180" t="s">
        <v>608</v>
      </c>
      <c r="R332" s="297"/>
      <c r="S332" s="297">
        <f>K327-S331</f>
        <v>2.3326780258163815E-3</v>
      </c>
      <c r="T332" s="297">
        <f>L327-T331</f>
        <v>9.711586246868853E-5</v>
      </c>
      <c r="U332" s="297" t="s">
        <v>554</v>
      </c>
      <c r="V332" s="297"/>
      <c r="W332" s="50"/>
      <c r="X332" s="49"/>
      <c r="Y332" s="169"/>
      <c r="Z332" s="169"/>
      <c r="AA332" s="169"/>
      <c r="AB332" s="169"/>
      <c r="AC332" s="169"/>
      <c r="AD332" s="169"/>
      <c r="AE332" s="169"/>
      <c r="AF332" s="169"/>
      <c r="AG332" s="169"/>
      <c r="AH332" s="169"/>
      <c r="AI332" s="169"/>
      <c r="AJ332" s="169"/>
      <c r="AK332" s="169"/>
      <c r="AL332" s="169"/>
      <c r="AM332" s="169"/>
      <c r="AN332" s="169"/>
      <c r="AO332" s="169"/>
      <c r="AP332" s="169"/>
      <c r="AQ332" s="169"/>
      <c r="AR332" s="169"/>
      <c r="AS332" s="169"/>
      <c r="AT332" s="169"/>
      <c r="AU332" s="169"/>
      <c r="AV332" s="169"/>
      <c r="AW332" s="169"/>
      <c r="AX332" s="169"/>
      <c r="AY332" s="169"/>
      <c r="AZ332" s="169"/>
      <c r="BA332" s="169"/>
      <c r="BB332" s="169"/>
      <c r="BC332" s="169"/>
    </row>
    <row r="333" spans="1:55">
      <c r="A333" s="169"/>
      <c r="B333" s="169"/>
      <c r="C333" s="169"/>
      <c r="D333" s="335"/>
      <c r="E333" s="250"/>
      <c r="F333" s="250"/>
      <c r="G333" s="250"/>
      <c r="H333" s="250"/>
      <c r="I333" s="169"/>
      <c r="J333" s="259"/>
      <c r="K333" s="259"/>
      <c r="L333" s="259"/>
      <c r="M333" s="259"/>
      <c r="N333" s="259"/>
      <c r="O333" s="49"/>
      <c r="P333" s="50"/>
      <c r="Q333" s="137"/>
      <c r="R333" s="336"/>
      <c r="S333" s="336"/>
      <c r="T333" s="50"/>
      <c r="U333" s="50"/>
      <c r="V333" s="50"/>
      <c r="W333" s="50"/>
      <c r="X333" s="49"/>
      <c r="Y333" s="169"/>
      <c r="Z333" s="169"/>
      <c r="AA333" s="169"/>
      <c r="AB333" s="169"/>
      <c r="AC333" s="169"/>
      <c r="AD333" s="169"/>
      <c r="AE333" s="169"/>
      <c r="AF333" s="169"/>
      <c r="AG333" s="169"/>
      <c r="AH333" s="169"/>
      <c r="AI333" s="169"/>
      <c r="AJ333" s="169"/>
      <c r="AK333" s="169"/>
      <c r="AL333" s="169"/>
      <c r="AM333" s="169"/>
      <c r="AN333" s="169"/>
      <c r="AO333" s="169"/>
      <c r="AP333" s="169"/>
      <c r="AQ333" s="169"/>
      <c r="AR333" s="169"/>
      <c r="AS333" s="169"/>
      <c r="AT333" s="169"/>
      <c r="AU333" s="169"/>
      <c r="AV333" s="169"/>
      <c r="AW333" s="169"/>
      <c r="AX333" s="169"/>
      <c r="AY333" s="169"/>
      <c r="AZ333" s="169"/>
      <c r="BA333" s="169"/>
      <c r="BB333" s="169"/>
      <c r="BC333" s="169"/>
    </row>
    <row r="334" spans="1:55">
      <c r="A334" s="169"/>
      <c r="B334" s="169"/>
      <c r="C334" s="169"/>
      <c r="D334" s="335"/>
      <c r="E334" s="250"/>
      <c r="F334" s="250"/>
      <c r="G334" s="250"/>
      <c r="H334" s="250"/>
      <c r="I334" s="182"/>
      <c r="J334" s="259"/>
      <c r="K334" s="259"/>
      <c r="L334" s="259"/>
      <c r="M334" s="259"/>
      <c r="N334" s="259"/>
      <c r="O334" s="49"/>
      <c r="P334" s="50"/>
      <c r="Q334" s="50"/>
      <c r="R334" s="50"/>
      <c r="S334" s="50"/>
      <c r="T334" s="50"/>
      <c r="U334" s="50"/>
      <c r="V334" s="50"/>
      <c r="W334" s="50"/>
      <c r="X334" s="169"/>
      <c r="Y334" s="169"/>
      <c r="Z334" s="169"/>
      <c r="AA334" s="169"/>
      <c r="AB334" s="169"/>
      <c r="AC334" s="169"/>
      <c r="AD334" s="169"/>
      <c r="AE334" s="169"/>
      <c r="AF334" s="169"/>
      <c r="AG334" s="169"/>
      <c r="AH334" s="169"/>
      <c r="AI334" s="169"/>
      <c r="AJ334" s="169"/>
      <c r="AK334" s="169"/>
      <c r="AL334" s="169"/>
      <c r="AM334" s="169"/>
      <c r="AN334" s="169"/>
      <c r="AO334" s="169"/>
      <c r="AP334" s="169"/>
      <c r="AQ334" s="169"/>
      <c r="AR334" s="169"/>
      <c r="AS334" s="169"/>
      <c r="AT334" s="169"/>
      <c r="AU334" s="169"/>
      <c r="AV334" s="169"/>
      <c r="AW334" s="169"/>
      <c r="AX334" s="169"/>
      <c r="AY334" s="169"/>
      <c r="AZ334" s="169"/>
      <c r="BA334" s="169"/>
      <c r="BB334" s="169"/>
      <c r="BC334" s="169"/>
    </row>
    <row r="335" spans="1:55">
      <c r="A335" s="711" t="s">
        <v>38</v>
      </c>
      <c r="B335" s="712" t="s">
        <v>366</v>
      </c>
      <c r="C335" s="713" t="s">
        <v>252</v>
      </c>
      <c r="D335" s="1872"/>
      <c r="E335" s="714">
        <v>52.88</v>
      </c>
      <c r="F335" s="714">
        <v>52.39</v>
      </c>
      <c r="G335" s="714">
        <v>52.54</v>
      </c>
      <c r="H335" s="714"/>
      <c r="I335" s="715"/>
      <c r="J335" s="716"/>
      <c r="K335" s="716"/>
      <c r="L335" s="716"/>
      <c r="M335" s="716"/>
      <c r="N335" s="716"/>
      <c r="O335" s="715"/>
      <c r="P335" s="713"/>
      <c r="Q335" s="717" t="s">
        <v>316</v>
      </c>
      <c r="R335" s="713"/>
      <c r="S335" s="718"/>
      <c r="T335" s="718"/>
      <c r="U335" s="718"/>
      <c r="V335" s="718"/>
      <c r="W335" s="718"/>
      <c r="X335" s="713"/>
      <c r="Y335" s="718"/>
      <c r="Z335" s="713"/>
      <c r="AA335" s="713"/>
      <c r="AB335" s="713"/>
      <c r="AC335" s="713"/>
      <c r="AD335" s="713"/>
      <c r="AE335" s="713"/>
      <c r="AF335" s="713"/>
      <c r="AG335" s="713"/>
      <c r="AH335" s="713"/>
      <c r="AI335" s="713"/>
      <c r="AJ335" s="713"/>
      <c r="AK335" s="713"/>
      <c r="AL335" s="1907"/>
      <c r="AM335" s="1907"/>
      <c r="AN335" s="1907"/>
      <c r="AO335" s="1907"/>
      <c r="AP335" s="1907"/>
      <c r="AQ335" s="1907"/>
      <c r="AR335" s="1907"/>
      <c r="AS335" s="1907"/>
      <c r="AT335" s="1907"/>
      <c r="AU335" s="1907"/>
      <c r="AV335" s="1907"/>
      <c r="AW335" s="1907"/>
      <c r="AX335" s="1907"/>
      <c r="AY335" s="1907"/>
      <c r="AZ335" s="1907"/>
      <c r="BA335" s="1907"/>
      <c r="BB335" s="1907"/>
      <c r="BC335" s="1907"/>
    </row>
    <row r="336" spans="1:55">
      <c r="A336" s="719"/>
      <c r="B336" s="719"/>
      <c r="C336" s="719" t="s">
        <v>253</v>
      </c>
      <c r="D336" s="811"/>
      <c r="E336" s="720">
        <v>40.96</v>
      </c>
      <c r="F336" s="720">
        <v>41.02</v>
      </c>
      <c r="G336" s="720">
        <v>40.92</v>
      </c>
      <c r="H336" s="720"/>
      <c r="I336" s="830" t="s">
        <v>369</v>
      </c>
      <c r="J336" s="874">
        <f>R336/R337</f>
        <v>0.14257620452310718</v>
      </c>
      <c r="K336" s="874">
        <f>S336/S337</f>
        <v>7.1198280494357877E-2</v>
      </c>
      <c r="L336" s="874">
        <f>T336/T337</f>
        <v>4.6128672886784572E-2</v>
      </c>
      <c r="M336" s="874">
        <f>U336/U337</f>
        <v>1.2317167051578136E-2</v>
      </c>
      <c r="N336" s="875">
        <f>V336/V337</f>
        <v>5.8479532163742687E-3</v>
      </c>
      <c r="O336" s="722"/>
      <c r="P336" s="719"/>
      <c r="Q336" s="723" t="s">
        <v>55</v>
      </c>
      <c r="R336" s="724">
        <v>116</v>
      </c>
      <c r="S336" s="724">
        <v>106</v>
      </c>
      <c r="T336" s="725">
        <f>S336/(1+67%)</f>
        <v>63.473053892215574</v>
      </c>
      <c r="U336" s="726">
        <f>226-U338</f>
        <v>16</v>
      </c>
      <c r="V336" s="727">
        <v>7</v>
      </c>
      <c r="W336" s="719"/>
      <c r="X336" s="728" t="s">
        <v>516</v>
      </c>
      <c r="Y336" s="719"/>
      <c r="Z336" s="719"/>
      <c r="AA336" s="719"/>
      <c r="AB336" s="719"/>
      <c r="AC336" s="719"/>
      <c r="AD336" s="719"/>
      <c r="AE336" s="719"/>
      <c r="AF336" s="719"/>
      <c r="AG336" s="719"/>
      <c r="AH336" s="719"/>
      <c r="AI336" s="719"/>
      <c r="AJ336" s="719"/>
      <c r="AK336" s="719"/>
      <c r="AL336" s="1867"/>
      <c r="AM336" s="1867"/>
      <c r="AN336" s="1867"/>
      <c r="AO336" s="1867"/>
      <c r="AP336" s="1867"/>
      <c r="AQ336" s="1867"/>
      <c r="AR336" s="1867"/>
      <c r="AS336" s="1867"/>
      <c r="AT336" s="1867"/>
      <c r="AU336" s="1867"/>
      <c r="AV336" s="1867"/>
      <c r="AW336" s="1867"/>
      <c r="AX336" s="1867"/>
      <c r="AY336" s="1867"/>
      <c r="AZ336" s="1867"/>
      <c r="BA336" s="1867"/>
      <c r="BB336" s="1867"/>
      <c r="BC336" s="1867"/>
    </row>
    <row r="337" spans="1:55">
      <c r="A337" s="719"/>
      <c r="B337" s="719"/>
      <c r="C337" s="719" t="s">
        <v>254</v>
      </c>
      <c r="D337" s="811"/>
      <c r="E337" s="720">
        <v>6.16</v>
      </c>
      <c r="F337" s="720">
        <v>6.59</v>
      </c>
      <c r="G337" s="720">
        <v>6.54</v>
      </c>
      <c r="H337" s="720"/>
      <c r="I337" s="729"/>
      <c r="J337" s="730"/>
      <c r="K337" s="730"/>
      <c r="L337" s="730"/>
      <c r="M337" s="730"/>
      <c r="N337" s="730"/>
      <c r="O337" s="729"/>
      <c r="P337" s="719"/>
      <c r="Q337" s="731" t="s">
        <v>137</v>
      </c>
      <c r="R337" s="732">
        <v>813.6</v>
      </c>
      <c r="S337" s="732">
        <v>1488.8</v>
      </c>
      <c r="T337" s="732">
        <v>1376</v>
      </c>
      <c r="U337" s="728">
        <v>1299</v>
      </c>
      <c r="V337" s="728">
        <v>1197</v>
      </c>
      <c r="W337" s="719"/>
      <c r="X337" s="728" t="s">
        <v>517</v>
      </c>
      <c r="Y337" s="719"/>
      <c r="Z337" s="719"/>
      <c r="AA337" s="719"/>
      <c r="AB337" s="719"/>
      <c r="AC337" s="719"/>
      <c r="AD337" s="719"/>
      <c r="AE337" s="719"/>
      <c r="AF337" s="719"/>
      <c r="AG337" s="719"/>
      <c r="AH337" s="719"/>
      <c r="AI337" s="719"/>
      <c r="AJ337" s="719"/>
      <c r="AK337" s="719"/>
      <c r="AL337" s="1867"/>
      <c r="AM337" s="1867"/>
      <c r="AN337" s="1867"/>
      <c r="AO337" s="1867"/>
      <c r="AP337" s="1867"/>
      <c r="AQ337" s="1867"/>
      <c r="AR337" s="1867"/>
      <c r="AS337" s="1867"/>
      <c r="AT337" s="1867"/>
      <c r="AU337" s="1867"/>
      <c r="AV337" s="1867"/>
      <c r="AW337" s="1867"/>
      <c r="AX337" s="1867"/>
      <c r="AY337" s="1867"/>
      <c r="AZ337" s="1867"/>
      <c r="BA337" s="1867"/>
      <c r="BB337" s="1867"/>
      <c r="BC337" s="1867"/>
    </row>
    <row r="338" spans="1:55">
      <c r="A338" s="719"/>
      <c r="B338" s="719"/>
      <c r="C338" s="719"/>
      <c r="D338" s="811"/>
      <c r="E338" s="720"/>
      <c r="F338" s="720"/>
      <c r="G338" s="720"/>
      <c r="H338" s="720"/>
      <c r="I338" s="729"/>
      <c r="J338" s="720"/>
      <c r="K338" s="720"/>
      <c r="L338" s="720"/>
      <c r="M338" s="733"/>
      <c r="N338" s="733"/>
      <c r="O338" s="734"/>
      <c r="P338" s="719"/>
      <c r="Q338" s="731" t="s">
        <v>557</v>
      </c>
      <c r="R338" s="732">
        <f>231.9-R336</f>
        <v>115.9</v>
      </c>
      <c r="S338" s="735">
        <f>333.4-S336</f>
        <v>227.39999999999998</v>
      </c>
      <c r="T338" s="736">
        <f>279.3-T336</f>
        <v>215.82694610778444</v>
      </c>
      <c r="U338" s="737">
        <v>210</v>
      </c>
      <c r="V338" s="736">
        <f>224.7-V336</f>
        <v>217.7</v>
      </c>
      <c r="W338" s="728" t="s">
        <v>519</v>
      </c>
      <c r="X338" s="728" t="s">
        <v>518</v>
      </c>
      <c r="Y338" s="719"/>
      <c r="Z338" s="719"/>
      <c r="AA338" s="719"/>
      <c r="AB338" s="719"/>
      <c r="AC338" s="719"/>
      <c r="AD338" s="719"/>
      <c r="AE338" s="719"/>
      <c r="AF338" s="719"/>
      <c r="AG338" s="719"/>
      <c r="AH338" s="719"/>
      <c r="AI338" s="719"/>
      <c r="AJ338" s="719"/>
      <c r="AK338" s="719"/>
      <c r="AL338" s="1867"/>
      <c r="AM338" s="1867"/>
      <c r="AN338" s="1867"/>
      <c r="AO338" s="1867"/>
      <c r="AP338" s="1867"/>
      <c r="AQ338" s="1867"/>
      <c r="AR338" s="1867"/>
      <c r="AS338" s="1867"/>
      <c r="AT338" s="1867"/>
      <c r="AU338" s="1867"/>
      <c r="AV338" s="1867"/>
      <c r="AW338" s="1867"/>
      <c r="AX338" s="1867"/>
      <c r="AY338" s="1867"/>
      <c r="AZ338" s="1867"/>
      <c r="BA338" s="1867"/>
      <c r="BB338" s="1867"/>
      <c r="BC338" s="1867"/>
    </row>
    <row r="339" spans="1:55">
      <c r="A339" s="719"/>
      <c r="B339" s="719"/>
      <c r="C339" s="719"/>
      <c r="D339" s="811"/>
      <c r="E339" s="720"/>
      <c r="F339" s="720"/>
      <c r="G339" s="720"/>
      <c r="H339" s="720"/>
      <c r="I339" s="729"/>
      <c r="J339" s="720"/>
      <c r="K339" s="720"/>
      <c r="L339" s="720"/>
      <c r="M339" s="733"/>
      <c r="N339" s="733"/>
      <c r="O339" s="734"/>
      <c r="P339" s="728"/>
      <c r="Q339" s="732"/>
      <c r="R339" s="735"/>
      <c r="S339" s="736"/>
      <c r="T339" s="737"/>
      <c r="U339" s="728"/>
      <c r="V339" s="719"/>
      <c r="W339" s="728"/>
      <c r="X339" s="719"/>
      <c r="Y339" s="719"/>
      <c r="Z339" s="719"/>
      <c r="AA339" s="719"/>
      <c r="AB339" s="719"/>
      <c r="AC339" s="719"/>
      <c r="AD339" s="719"/>
      <c r="AE339" s="719"/>
      <c r="AF339" s="719"/>
      <c r="AG339" s="719"/>
      <c r="AH339" s="719"/>
      <c r="AI339" s="719"/>
      <c r="AJ339" s="719"/>
      <c r="AK339" s="719"/>
      <c r="AL339" s="1867"/>
      <c r="AM339" s="1867"/>
      <c r="AN339" s="1867"/>
      <c r="AO339" s="1867"/>
      <c r="AP339" s="1867"/>
      <c r="AQ339" s="1867"/>
      <c r="AR339" s="1867"/>
      <c r="AS339" s="1867"/>
      <c r="AT339" s="1867"/>
      <c r="AU339" s="1867"/>
      <c r="AV339" s="1867"/>
      <c r="AW339" s="1867"/>
      <c r="AX339" s="1867"/>
      <c r="AY339" s="1867"/>
      <c r="AZ339" s="1867"/>
      <c r="BA339" s="1867"/>
      <c r="BB339" s="1867"/>
      <c r="BC339" s="1867"/>
    </row>
    <row r="340" spans="1:55">
      <c r="A340" s="46" t="s">
        <v>980</v>
      </c>
      <c r="B340" s="177" t="s">
        <v>366</v>
      </c>
      <c r="C340" s="246" t="s">
        <v>255</v>
      </c>
      <c r="D340" s="1877"/>
      <c r="E340" s="254">
        <v>51.332437972715063</v>
      </c>
      <c r="F340" s="254">
        <v>49.865969709154271</v>
      </c>
      <c r="G340" s="254">
        <v>44.957047406936049</v>
      </c>
      <c r="H340" s="254">
        <v>43.41</v>
      </c>
      <c r="I340" s="263" t="s">
        <v>579</v>
      </c>
      <c r="J340" s="253"/>
      <c r="K340" s="263"/>
      <c r="L340" s="263"/>
      <c r="M340" s="263"/>
      <c r="N340" s="263"/>
      <c r="O340" s="48" t="s">
        <v>658</v>
      </c>
      <c r="P340" s="48"/>
      <c r="Q340" s="291" t="s">
        <v>525</v>
      </c>
      <c r="R340" s="48">
        <v>3123</v>
      </c>
      <c r="S340" s="48">
        <v>6847</v>
      </c>
      <c r="T340" s="48"/>
      <c r="U340" s="48"/>
      <c r="V340" s="48"/>
      <c r="W340" s="48"/>
      <c r="X340" s="168"/>
      <c r="Y340" s="168"/>
      <c r="Z340" s="168"/>
      <c r="AA340" s="168"/>
      <c r="AB340" s="168"/>
      <c r="AC340" s="168"/>
      <c r="AD340" s="168"/>
      <c r="AE340" s="168"/>
      <c r="AF340" s="168"/>
      <c r="AG340" s="168"/>
      <c r="AH340" s="168"/>
      <c r="AI340" s="168"/>
      <c r="AJ340" s="168"/>
      <c r="AK340" s="168"/>
      <c r="AL340" s="168"/>
      <c r="AM340" s="168"/>
      <c r="AN340" s="168"/>
      <c r="AO340" s="168"/>
      <c r="AP340" s="168"/>
      <c r="AQ340" s="168"/>
      <c r="AR340" s="168"/>
      <c r="AS340" s="168"/>
      <c r="AT340" s="168"/>
      <c r="AU340" s="168"/>
      <c r="AV340" s="168"/>
      <c r="AW340" s="168"/>
      <c r="AX340" s="168"/>
      <c r="AY340" s="168"/>
      <c r="AZ340" s="168"/>
      <c r="BA340" s="168"/>
      <c r="BB340" s="168"/>
      <c r="BC340" s="168"/>
    </row>
    <row r="341" spans="1:55">
      <c r="A341" s="169"/>
      <c r="B341" s="169"/>
      <c r="C341" s="169" t="s">
        <v>256</v>
      </c>
      <c r="D341" s="335"/>
      <c r="E341" s="255">
        <v>48.667562027284937</v>
      </c>
      <c r="F341" s="255">
        <v>50.134030290845729</v>
      </c>
      <c r="G341" s="255">
        <v>32.815781100859056</v>
      </c>
      <c r="H341" s="255">
        <v>35.68</v>
      </c>
      <c r="I341" s="4541" t="s">
        <v>1847</v>
      </c>
      <c r="J341" s="4547"/>
      <c r="K341" s="4547"/>
      <c r="L341" s="4547"/>
      <c r="M341" s="4547"/>
      <c r="N341" s="4543"/>
      <c r="O341" s="49"/>
      <c r="P341" s="353"/>
      <c r="Q341" s="351" t="s">
        <v>560</v>
      </c>
      <c r="R341" s="380">
        <v>1804</v>
      </c>
      <c r="S341" s="380">
        <v>3947</v>
      </c>
      <c r="T341" s="63"/>
      <c r="U341" s="63"/>
      <c r="V341" s="63"/>
      <c r="W341" s="50"/>
      <c r="X341" s="169"/>
      <c r="Y341" s="169"/>
      <c r="Z341" s="169"/>
      <c r="AA341" s="169"/>
      <c r="AB341" s="169"/>
      <c r="AC341" s="169"/>
      <c r="AD341" s="169"/>
      <c r="AE341" s="169"/>
      <c r="AF341" s="169"/>
      <c r="AG341" s="169"/>
      <c r="AH341" s="169"/>
      <c r="AI341" s="169"/>
      <c r="AJ341" s="169"/>
      <c r="AK341" s="169"/>
      <c r="AL341" s="169"/>
      <c r="AM341" s="169"/>
      <c r="AN341" s="169"/>
      <c r="AO341" s="169"/>
      <c r="AP341" s="169"/>
      <c r="AQ341" s="169"/>
      <c r="AR341" s="169"/>
      <c r="AS341" s="169"/>
      <c r="AT341" s="169"/>
      <c r="AU341" s="169"/>
      <c r="AV341" s="169"/>
      <c r="AW341" s="169"/>
      <c r="AX341" s="169"/>
      <c r="AY341" s="169"/>
      <c r="AZ341" s="169"/>
      <c r="BA341" s="169"/>
      <c r="BB341" s="169"/>
      <c r="BC341" s="169"/>
    </row>
    <row r="342" spans="1:55">
      <c r="A342" s="169"/>
      <c r="B342" s="169"/>
      <c r="C342" s="169" t="s">
        <v>257</v>
      </c>
      <c r="D342" s="335"/>
      <c r="E342" s="255" t="s">
        <v>136</v>
      </c>
      <c r="F342" s="255" t="s">
        <v>136</v>
      </c>
      <c r="G342" s="255">
        <v>16.016544702513521</v>
      </c>
      <c r="H342" s="255">
        <v>15.65</v>
      </c>
      <c r="I342" s="4541"/>
      <c r="J342" s="4547"/>
      <c r="K342" s="4547"/>
      <c r="L342" s="4547"/>
      <c r="M342" s="4547"/>
      <c r="N342" s="4543"/>
      <c r="O342" s="49"/>
      <c r="P342" s="50"/>
      <c r="Q342" s="137" t="s">
        <v>537</v>
      </c>
      <c r="R342" s="63">
        <v>876</v>
      </c>
      <c r="S342" s="63">
        <v>1677</v>
      </c>
      <c r="T342" s="50" t="s">
        <v>559</v>
      </c>
      <c r="U342" s="169"/>
      <c r="V342" s="63"/>
      <c r="W342" s="50"/>
      <c r="X342" s="169"/>
      <c r="Y342" s="169"/>
      <c r="Z342" s="169"/>
      <c r="AA342" s="169"/>
      <c r="AB342" s="169"/>
      <c r="AC342" s="169"/>
      <c r="AD342" s="169"/>
      <c r="AE342" s="169"/>
      <c r="AF342" s="169"/>
      <c r="AG342" s="169"/>
      <c r="AH342" s="169"/>
      <c r="AI342" s="169"/>
      <c r="AJ342" s="169"/>
      <c r="AK342" s="169"/>
      <c r="AL342" s="169"/>
      <c r="AM342" s="169"/>
      <c r="AN342" s="169"/>
      <c r="AO342" s="169"/>
      <c r="AP342" s="169"/>
      <c r="AQ342" s="169"/>
      <c r="AR342" s="169"/>
      <c r="AS342" s="169"/>
      <c r="AT342" s="169"/>
      <c r="AU342" s="169"/>
      <c r="AV342" s="169"/>
      <c r="AW342" s="169"/>
      <c r="AX342" s="169"/>
      <c r="AY342" s="169"/>
      <c r="AZ342" s="169"/>
      <c r="BA342" s="169"/>
      <c r="BB342" s="169"/>
      <c r="BC342" s="169"/>
    </row>
    <row r="343" spans="1:55">
      <c r="A343" s="169"/>
      <c r="B343" s="169"/>
      <c r="C343" s="248" t="s">
        <v>578</v>
      </c>
      <c r="D343" s="1878"/>
      <c r="E343" s="255" t="s">
        <v>136</v>
      </c>
      <c r="F343" s="255" t="s">
        <v>136</v>
      </c>
      <c r="G343" s="255">
        <v>4.8425071587655104</v>
      </c>
      <c r="H343" s="255">
        <v>3.99</v>
      </c>
      <c r="I343" s="4541" t="s">
        <v>1848</v>
      </c>
      <c r="J343" s="4547"/>
      <c r="K343" s="4547"/>
      <c r="L343" s="4547"/>
      <c r="M343" s="4547"/>
      <c r="N343" s="4543"/>
      <c r="O343" s="169"/>
      <c r="P343" s="50"/>
      <c r="Q343" s="137" t="s">
        <v>561</v>
      </c>
      <c r="R343" s="63">
        <v>443</v>
      </c>
      <c r="S343" s="63">
        <v>1223</v>
      </c>
      <c r="T343" s="50"/>
      <c r="U343" s="169"/>
      <c r="V343" s="63"/>
      <c r="W343" s="50"/>
      <c r="X343" s="169"/>
      <c r="Y343" s="169"/>
      <c r="Z343" s="169"/>
      <c r="AA343" s="169"/>
      <c r="AB343" s="169"/>
      <c r="AC343" s="169"/>
      <c r="AD343" s="169"/>
      <c r="AE343" s="169"/>
      <c r="AF343" s="169"/>
      <c r="AG343" s="169"/>
      <c r="AH343" s="169"/>
      <c r="AI343" s="169"/>
      <c r="AJ343" s="169"/>
      <c r="AK343" s="169"/>
      <c r="AL343" s="169"/>
      <c r="AM343" s="169"/>
      <c r="AN343" s="169"/>
      <c r="AO343" s="169"/>
      <c r="AP343" s="169"/>
      <c r="AQ343" s="169"/>
      <c r="AR343" s="169"/>
      <c r="AS343" s="169"/>
      <c r="AT343" s="169"/>
      <c r="AU343" s="169"/>
      <c r="AV343" s="169"/>
      <c r="AW343" s="169"/>
      <c r="AX343" s="169"/>
      <c r="AY343" s="169"/>
      <c r="AZ343" s="169"/>
      <c r="BA343" s="169"/>
      <c r="BB343" s="169"/>
      <c r="BC343" s="169"/>
    </row>
    <row r="344" spans="1:55">
      <c r="A344" s="169"/>
      <c r="B344" s="169"/>
      <c r="C344" s="169" t="s">
        <v>258</v>
      </c>
      <c r="D344" s="335"/>
      <c r="E344" s="255" t="s">
        <v>136</v>
      </c>
      <c r="F344" s="255" t="s">
        <v>136</v>
      </c>
      <c r="G344" s="255">
        <v>1.368119630925867</v>
      </c>
      <c r="H344" s="255">
        <v>1.29</v>
      </c>
      <c r="I344" s="4541"/>
      <c r="J344" s="4547"/>
      <c r="K344" s="4547"/>
      <c r="L344" s="4547"/>
      <c r="M344" s="4547"/>
      <c r="N344" s="4543"/>
      <c r="O344" s="169"/>
      <c r="P344" s="366"/>
      <c r="Q344" s="365" t="s">
        <v>562</v>
      </c>
      <c r="R344" s="366">
        <v>73</v>
      </c>
      <c r="S344" s="366">
        <v>141</v>
      </c>
      <c r="T344" s="50"/>
      <c r="U344" s="169"/>
      <c r="V344" s="50"/>
      <c r="W344" s="50"/>
      <c r="X344" s="169"/>
      <c r="Y344" s="169"/>
      <c r="Z344" s="169"/>
      <c r="AA344" s="169"/>
      <c r="AB344" s="169"/>
      <c r="AC344" s="169"/>
      <c r="AD344" s="169"/>
      <c r="AE344" s="169"/>
      <c r="AF344" s="169"/>
      <c r="AG344" s="169"/>
      <c r="AH344" s="169"/>
      <c r="AI344" s="169"/>
      <c r="AJ344" s="169"/>
      <c r="AK344" s="169"/>
      <c r="AL344" s="169"/>
      <c r="AM344" s="169"/>
      <c r="AN344" s="169"/>
      <c r="AO344" s="169"/>
      <c r="AP344" s="169"/>
      <c r="AQ344" s="169"/>
      <c r="AR344" s="169"/>
      <c r="AS344" s="169"/>
      <c r="AT344" s="169"/>
      <c r="AU344" s="169"/>
      <c r="AV344" s="169"/>
      <c r="AW344" s="169"/>
      <c r="AX344" s="169"/>
      <c r="AY344" s="169"/>
      <c r="AZ344" s="169"/>
      <c r="BA344" s="169"/>
      <c r="BB344" s="169"/>
      <c r="BC344" s="169"/>
    </row>
    <row r="345" spans="1:55">
      <c r="A345" s="169"/>
      <c r="B345" s="51" t="s">
        <v>366</v>
      </c>
      <c r="C345" s="51" t="s">
        <v>172</v>
      </c>
      <c r="D345" s="1870"/>
      <c r="E345" s="255">
        <v>45.606842440093303</v>
      </c>
      <c r="F345" s="255">
        <v>46.924004825090471</v>
      </c>
      <c r="G345" s="255">
        <v>48.832325803372576</v>
      </c>
      <c r="H345" s="255">
        <v>51.32</v>
      </c>
      <c r="I345" s="49"/>
      <c r="J345" s="259"/>
      <c r="K345" s="259"/>
      <c r="L345" s="259"/>
      <c r="M345" s="259"/>
      <c r="N345" s="259"/>
      <c r="O345" s="169"/>
      <c r="P345" s="50"/>
      <c r="Q345" s="137" t="s">
        <v>558</v>
      </c>
      <c r="R345" s="50">
        <f>R340+R344</f>
        <v>3196</v>
      </c>
      <c r="S345" s="50">
        <f>S340+S344</f>
        <v>6988</v>
      </c>
      <c r="T345" s="50"/>
      <c r="U345" s="169"/>
      <c r="V345" s="50"/>
      <c r="W345" s="50"/>
      <c r="X345" s="169"/>
      <c r="Y345" s="169"/>
      <c r="Z345" s="169"/>
      <c r="AA345" s="169"/>
      <c r="AB345" s="169"/>
      <c r="AC345" s="169"/>
      <c r="AD345" s="169"/>
      <c r="AE345" s="169"/>
      <c r="AF345" s="169"/>
      <c r="AG345" s="169"/>
      <c r="AH345" s="169"/>
      <c r="AI345" s="169"/>
      <c r="AJ345" s="169"/>
      <c r="AK345" s="169"/>
      <c r="AL345" s="169"/>
      <c r="AM345" s="169"/>
      <c r="AN345" s="169"/>
      <c r="AO345" s="169"/>
      <c r="AP345" s="169"/>
      <c r="AQ345" s="169"/>
      <c r="AR345" s="169"/>
      <c r="AS345" s="169"/>
      <c r="AT345" s="169"/>
      <c r="AU345" s="169"/>
      <c r="AV345" s="169"/>
      <c r="AW345" s="169"/>
      <c r="AX345" s="169"/>
      <c r="AY345" s="169"/>
      <c r="AZ345" s="169"/>
      <c r="BA345" s="169"/>
      <c r="BB345" s="169"/>
      <c r="BC345" s="169"/>
    </row>
    <row r="346" spans="1:55">
      <c r="A346" s="169"/>
      <c r="B346" s="169"/>
      <c r="C346" s="169" t="s">
        <v>258</v>
      </c>
      <c r="D346" s="335"/>
      <c r="E346" s="255">
        <v>5.6549091680214887E-2</v>
      </c>
      <c r="F346" s="255">
        <v>0.75727114327838096</v>
      </c>
      <c r="G346" s="255">
        <v>1.368119630925867</v>
      </c>
      <c r="H346" s="255">
        <v>1.29</v>
      </c>
      <c r="I346" s="49"/>
      <c r="J346" s="259"/>
      <c r="K346" s="259"/>
      <c r="L346" s="259"/>
      <c r="M346" s="259"/>
      <c r="N346" s="259"/>
      <c r="O346" s="169"/>
      <c r="P346" s="50"/>
      <c r="Q346" s="137" t="s">
        <v>563</v>
      </c>
      <c r="R346" s="50">
        <v>3069</v>
      </c>
      <c r="S346" s="50">
        <v>6593</v>
      </c>
      <c r="T346" s="50" t="s">
        <v>564</v>
      </c>
      <c r="U346" s="169"/>
      <c r="V346" s="50"/>
      <c r="W346" s="50"/>
      <c r="X346" s="169"/>
      <c r="Y346" s="169"/>
      <c r="Z346" s="169"/>
      <c r="AA346" s="169"/>
      <c r="AB346" s="169"/>
      <c r="AC346" s="169"/>
      <c r="AD346" s="169"/>
      <c r="AE346" s="169"/>
      <c r="AF346" s="169"/>
      <c r="AG346" s="169"/>
      <c r="AH346" s="169"/>
      <c r="AI346" s="169"/>
      <c r="AJ346" s="169"/>
      <c r="AK346" s="169"/>
      <c r="AL346" s="169"/>
      <c r="AM346" s="169"/>
      <c r="AN346" s="169"/>
      <c r="AO346" s="169"/>
      <c r="AP346" s="169"/>
      <c r="AQ346" s="169"/>
      <c r="AR346" s="169"/>
      <c r="AS346" s="169"/>
      <c r="AT346" s="169"/>
      <c r="AU346" s="169"/>
      <c r="AV346" s="169"/>
      <c r="AW346" s="169"/>
      <c r="AX346" s="169"/>
      <c r="AY346" s="169"/>
      <c r="AZ346" s="169"/>
      <c r="BA346" s="169"/>
      <c r="BB346" s="169"/>
      <c r="BC346" s="169"/>
    </row>
    <row r="347" spans="1:55">
      <c r="A347" s="169"/>
      <c r="B347" s="169"/>
      <c r="C347" s="248" t="s">
        <v>578</v>
      </c>
      <c r="D347" s="1878"/>
      <c r="E347" s="255">
        <v>6.2274687212836648</v>
      </c>
      <c r="F347" s="255">
        <v>5.3411070902023861</v>
      </c>
      <c r="G347" s="255">
        <v>4.8425071587655104</v>
      </c>
      <c r="H347" s="255">
        <v>3.99</v>
      </c>
      <c r="I347" s="49"/>
      <c r="J347" s="259"/>
      <c r="K347" s="259"/>
      <c r="L347" s="259"/>
      <c r="M347" s="259"/>
      <c r="N347" s="259"/>
      <c r="O347" s="49" t="s">
        <v>373</v>
      </c>
      <c r="P347" s="364"/>
      <c r="Q347" s="365" t="s">
        <v>566</v>
      </c>
      <c r="R347" s="366">
        <f>R345+R346</f>
        <v>6265</v>
      </c>
      <c r="S347" s="366">
        <f>S345+S346</f>
        <v>13581</v>
      </c>
      <c r="T347" s="50"/>
      <c r="U347" s="50"/>
      <c r="V347" s="50"/>
      <c r="W347" s="50"/>
      <c r="X347" s="169"/>
      <c r="Y347" s="169"/>
      <c r="Z347" s="169"/>
      <c r="AA347" s="169"/>
      <c r="AB347" s="169"/>
      <c r="AC347" s="169"/>
      <c r="AD347" s="169"/>
      <c r="AE347" s="169"/>
      <c r="AF347" s="169"/>
      <c r="AG347" s="169"/>
      <c r="AH347" s="169"/>
      <c r="AI347" s="169"/>
      <c r="AJ347" s="169"/>
      <c r="AK347" s="169"/>
      <c r="AL347" s="169"/>
      <c r="AM347" s="169"/>
      <c r="AN347" s="169"/>
      <c r="AO347" s="169"/>
      <c r="AP347" s="169"/>
      <c r="AQ347" s="169"/>
      <c r="AR347" s="169"/>
      <c r="AS347" s="169"/>
      <c r="AT347" s="169"/>
      <c r="AU347" s="169"/>
      <c r="AV347" s="169"/>
      <c r="AW347" s="169"/>
      <c r="AX347" s="169"/>
      <c r="AY347" s="169"/>
      <c r="AZ347" s="169"/>
      <c r="BA347" s="169"/>
      <c r="BB347" s="169"/>
      <c r="BC347" s="169"/>
    </row>
    <row r="348" spans="1:55">
      <c r="A348" s="169"/>
      <c r="B348" s="169"/>
      <c r="C348" s="51" t="s">
        <v>171</v>
      </c>
      <c r="D348" s="1870"/>
      <c r="E348" s="255">
        <v>48.109139746942816</v>
      </c>
      <c r="F348" s="255">
        <v>46.977616941428764</v>
      </c>
      <c r="G348" s="255">
        <v>44.957047406936049</v>
      </c>
      <c r="H348" s="255">
        <v>43.41</v>
      </c>
      <c r="I348" s="307" t="s">
        <v>569</v>
      </c>
      <c r="J348" s="311">
        <f>R351/S351*K348</f>
        <v>0.47229570949190197</v>
      </c>
      <c r="K348" s="312">
        <f>E348/100</f>
        <v>0.48109139746942814</v>
      </c>
      <c r="L348" s="312">
        <f>F348/100</f>
        <v>0.46977616941428763</v>
      </c>
      <c r="M348" s="312">
        <f>G348/100</f>
        <v>0.44957047406936046</v>
      </c>
      <c r="N348" s="312">
        <f>H348/100</f>
        <v>0.43409999999999999</v>
      </c>
      <c r="O348" s="376">
        <f>(J348+2*K348+2*L348+AVERAGE(M348:N348))/6</f>
        <v>0.46931101338233555</v>
      </c>
      <c r="P348" s="366"/>
      <c r="Q348" s="365" t="s">
        <v>153</v>
      </c>
      <c r="R348" s="366">
        <v>305</v>
      </c>
      <c r="S348" s="366">
        <v>560</v>
      </c>
      <c r="T348" s="50"/>
      <c r="U348" s="50"/>
      <c r="V348" s="50"/>
      <c r="W348" s="50"/>
      <c r="X348" s="169"/>
      <c r="Y348" s="169"/>
      <c r="Z348" s="169"/>
      <c r="AA348" s="169"/>
      <c r="AB348" s="169"/>
      <c r="AC348" s="169"/>
      <c r="AD348" s="169"/>
      <c r="AE348" s="169"/>
      <c r="AF348" s="169"/>
      <c r="AG348" s="169"/>
      <c r="AH348" s="169"/>
      <c r="AI348" s="169"/>
      <c r="AJ348" s="169"/>
      <c r="AK348" s="169"/>
      <c r="AL348" s="169"/>
      <c r="AM348" s="169"/>
      <c r="AN348" s="169"/>
      <c r="AO348" s="169"/>
      <c r="AP348" s="169"/>
      <c r="AQ348" s="169"/>
      <c r="AR348" s="169"/>
      <c r="AS348" s="169"/>
      <c r="AT348" s="169"/>
      <c r="AU348" s="169"/>
      <c r="AV348" s="169"/>
      <c r="AW348" s="169"/>
      <c r="AX348" s="169"/>
      <c r="AY348" s="169"/>
      <c r="AZ348" s="169"/>
      <c r="BA348" s="169"/>
      <c r="BB348" s="169"/>
      <c r="BC348" s="169"/>
    </row>
    <row r="349" spans="1:55">
      <c r="A349" s="169"/>
      <c r="B349" s="169" t="s">
        <v>139</v>
      </c>
      <c r="C349" s="169" t="s">
        <v>259</v>
      </c>
      <c r="D349" s="335"/>
      <c r="E349" s="250">
        <v>56.62</v>
      </c>
      <c r="F349" s="250">
        <v>61.22</v>
      </c>
      <c r="G349" s="250">
        <v>52.03</v>
      </c>
      <c r="H349" s="250">
        <v>64.7</v>
      </c>
      <c r="I349" s="180" t="s">
        <v>570</v>
      </c>
      <c r="J349" s="259"/>
      <c r="K349" s="259"/>
      <c r="L349" s="259"/>
      <c r="M349" s="259"/>
      <c r="N349" s="259"/>
      <c r="O349" s="169"/>
      <c r="P349" s="364"/>
      <c r="Q349" s="365" t="s">
        <v>137</v>
      </c>
      <c r="R349" s="366">
        <f>R347+R348</f>
        <v>6570</v>
      </c>
      <c r="S349" s="366">
        <f>S347+S348</f>
        <v>14141</v>
      </c>
      <c r="T349" s="50"/>
      <c r="U349" s="50"/>
      <c r="V349" s="50"/>
      <c r="W349" s="50"/>
      <c r="X349" s="169"/>
      <c r="Y349" s="169"/>
      <c r="Z349" s="169"/>
      <c r="AA349" s="169"/>
      <c r="AB349" s="169"/>
      <c r="AC349" s="169"/>
      <c r="AD349" s="169"/>
      <c r="AE349" s="169"/>
      <c r="AF349" s="169"/>
      <c r="AG349" s="169"/>
      <c r="AH349" s="169"/>
      <c r="AI349" s="169"/>
      <c r="AJ349" s="169"/>
      <c r="AK349" s="169"/>
      <c r="AL349" s="169"/>
      <c r="AM349" s="169"/>
      <c r="AN349" s="169"/>
      <c r="AO349" s="169"/>
      <c r="AP349" s="169"/>
      <c r="AQ349" s="169"/>
      <c r="AR349" s="169"/>
      <c r="AS349" s="169"/>
      <c r="AT349" s="169"/>
      <c r="AU349" s="169"/>
      <c r="AV349" s="169"/>
      <c r="AW349" s="169"/>
      <c r="AX349" s="169"/>
      <c r="AY349" s="169"/>
      <c r="AZ349" s="169"/>
      <c r="BA349" s="169"/>
      <c r="BB349" s="169"/>
      <c r="BC349" s="169"/>
    </row>
    <row r="350" spans="1:55">
      <c r="A350" s="169"/>
      <c r="B350" s="169"/>
      <c r="C350" s="169" t="s">
        <v>260</v>
      </c>
      <c r="D350" s="335"/>
      <c r="E350" s="250">
        <v>43.38</v>
      </c>
      <c r="F350" s="250">
        <v>38.78</v>
      </c>
      <c r="G350" s="250">
        <v>47.97</v>
      </c>
      <c r="H350" s="250">
        <v>35.299999999999997</v>
      </c>
      <c r="I350" s="813" t="s">
        <v>568</v>
      </c>
      <c r="J350" s="795">
        <f>R350</f>
        <v>0.51013567438148444</v>
      </c>
      <c r="K350" s="795">
        <f>(E348+$S$354*E347)/(100-E347*(1-$S$354))</f>
        <v>0.51945984623640407</v>
      </c>
      <c r="L350" s="795">
        <f>(F348+$S$354*F347)/(100-F347*(1-$S$354))</f>
        <v>0.50193588936770728</v>
      </c>
      <c r="M350" s="795">
        <f>(G348+$S$354*G347)/(100-G347*(1-$S$354))</f>
        <v>0.47779411910514158</v>
      </c>
      <c r="N350" s="795">
        <f>(H348+$S$354*H347)/(100-H347*(1-$S$354))</f>
        <v>0.4566820303658996</v>
      </c>
      <c r="O350" s="422">
        <f>(J350+2*K350+2*L350+AVERAGE(M350:N350))/6</f>
        <v>0.5033608700542046</v>
      </c>
      <c r="P350" s="169"/>
      <c r="Q350" s="180" t="s">
        <v>567</v>
      </c>
      <c r="R350" s="339">
        <f>R345/R347</f>
        <v>0.51013567438148444</v>
      </c>
      <c r="S350" s="309">
        <f>S345/(S345+S346)</f>
        <v>0.51454237537736547</v>
      </c>
      <c r="T350" s="309"/>
      <c r="U350" s="309"/>
      <c r="V350" s="309"/>
      <c r="W350" s="50"/>
      <c r="X350" s="182"/>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row>
    <row r="351" spans="1:55">
      <c r="A351" s="169"/>
      <c r="B351" s="169"/>
      <c r="C351" s="169"/>
      <c r="D351" s="335"/>
      <c r="E351" s="250"/>
      <c r="F351" s="250"/>
      <c r="G351" s="250"/>
      <c r="H351" s="250"/>
      <c r="I351" s="180" t="s">
        <v>641</v>
      </c>
      <c r="J351" s="4544" t="s">
        <v>1846</v>
      </c>
      <c r="K351" s="4545"/>
      <c r="L351" s="4545"/>
      <c r="M351" s="4545"/>
      <c r="N351" s="4546"/>
      <c r="O351" s="169"/>
      <c r="P351" s="50"/>
      <c r="Q351" s="180" t="s">
        <v>571</v>
      </c>
      <c r="R351" s="38">
        <f>R340/R349</f>
        <v>0.47534246575342465</v>
      </c>
      <c r="S351" s="309">
        <f>S340/S349</f>
        <v>0.48419489427904672</v>
      </c>
      <c r="T351" s="38" t="s">
        <v>574</v>
      </c>
      <c r="U351" s="38"/>
      <c r="V351" s="38"/>
      <c r="W351" s="50"/>
      <c r="X351" s="66"/>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row>
    <row r="352" spans="1:55">
      <c r="A352" s="169"/>
      <c r="B352" s="303" t="s">
        <v>366</v>
      </c>
      <c r="C352" s="303" t="s">
        <v>556</v>
      </c>
      <c r="D352" s="1880"/>
      <c r="E352" s="310">
        <f t="shared" ref="E352:H353" si="11">E340-E348</f>
        <v>3.2232982257722469</v>
      </c>
      <c r="F352" s="310">
        <f t="shared" si="11"/>
        <v>2.8883527677255074</v>
      </c>
      <c r="G352" s="310">
        <f t="shared" si="11"/>
        <v>0</v>
      </c>
      <c r="H352" s="310">
        <f t="shared" si="11"/>
        <v>0</v>
      </c>
      <c r="I352" s="49"/>
      <c r="J352" s="4541"/>
      <c r="K352" s="4547"/>
      <c r="L352" s="4547"/>
      <c r="M352" s="4547"/>
      <c r="N352" s="4543"/>
      <c r="O352" s="169"/>
      <c r="P352" s="50"/>
      <c r="Q352" s="180" t="s">
        <v>573</v>
      </c>
      <c r="R352" s="308">
        <f>R344/R340</f>
        <v>2.3374959974383606E-2</v>
      </c>
      <c r="S352" s="308">
        <f>S344/S340</f>
        <v>2.0592960420622169E-2</v>
      </c>
      <c r="T352" s="49" t="s">
        <v>572</v>
      </c>
      <c r="U352" s="50"/>
      <c r="V352" s="50"/>
      <c r="W352" s="50"/>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row>
    <row r="353" spans="1:55">
      <c r="A353" s="169"/>
      <c r="B353" s="303"/>
      <c r="C353" s="303" t="s">
        <v>565</v>
      </c>
      <c r="D353" s="1880"/>
      <c r="E353" s="310">
        <f t="shared" si="11"/>
        <v>-7.9524379727150603</v>
      </c>
      <c r="F353" s="310">
        <f t="shared" si="11"/>
        <v>-11.08596970915427</v>
      </c>
      <c r="G353" s="310">
        <f t="shared" si="11"/>
        <v>-19.214218899140945</v>
      </c>
      <c r="H353" s="310">
        <f t="shared" si="11"/>
        <v>-29.020000000000003</v>
      </c>
      <c r="I353" s="169"/>
      <c r="J353" s="4541"/>
      <c r="K353" s="4547"/>
      <c r="L353" s="4547"/>
      <c r="M353" s="4547"/>
      <c r="N353" s="4543"/>
      <c r="O353" s="169"/>
      <c r="P353" s="169"/>
      <c r="Q353" s="180" t="s">
        <v>575</v>
      </c>
      <c r="R353" s="38">
        <f>(R344+R348)/R349</f>
        <v>5.7534246575342465E-2</v>
      </c>
      <c r="S353" s="309">
        <f>(S344+S348)/S349</f>
        <v>4.9572166042005518E-2</v>
      </c>
      <c r="T353" s="49" t="s">
        <v>576</v>
      </c>
      <c r="U353" s="169"/>
      <c r="V353" s="169"/>
      <c r="W353" s="50"/>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row>
    <row r="354" spans="1:55">
      <c r="A354" s="169"/>
      <c r="B354" s="49"/>
      <c r="C354" s="49"/>
      <c r="D354" s="398"/>
      <c r="E354" s="265"/>
      <c r="F354" s="265"/>
      <c r="G354" s="265"/>
      <c r="H354" s="265"/>
      <c r="I354" s="169"/>
      <c r="J354" s="259"/>
      <c r="K354" s="259"/>
      <c r="L354" s="259"/>
      <c r="M354" s="259"/>
      <c r="N354" s="259"/>
      <c r="O354" s="169"/>
      <c r="P354" s="50"/>
      <c r="Q354" s="180" t="s">
        <v>573</v>
      </c>
      <c r="R354" s="38">
        <f>R344/(R344+R348)</f>
        <v>0.19312169312169311</v>
      </c>
      <c r="S354" s="38">
        <f>S344/(S344+S348)</f>
        <v>0.20114122681883023</v>
      </c>
      <c r="T354" s="49" t="s">
        <v>577</v>
      </c>
      <c r="U354" s="50"/>
      <c r="V354" s="50"/>
      <c r="W354" s="50"/>
      <c r="X354" s="169"/>
      <c r="Y354" s="169"/>
      <c r="Z354" s="169"/>
      <c r="AA354" s="169"/>
      <c r="AB354" s="169"/>
      <c r="AC354" s="169"/>
      <c r="AD354" s="169"/>
      <c r="AE354" s="169"/>
      <c r="AF354" s="169"/>
      <c r="AG354" s="169"/>
      <c r="AH354" s="169"/>
      <c r="AI354" s="169"/>
      <c r="AJ354" s="169"/>
      <c r="AK354" s="169"/>
      <c r="AL354" s="169"/>
      <c r="AM354" s="169"/>
      <c r="AN354" s="169"/>
      <c r="AO354" s="169"/>
      <c r="AP354" s="169"/>
      <c r="AQ354" s="169"/>
      <c r="AR354" s="169"/>
      <c r="AS354" s="169"/>
      <c r="AT354" s="169"/>
      <c r="AU354" s="169"/>
      <c r="AV354" s="169"/>
      <c r="AW354" s="169"/>
      <c r="AX354" s="169"/>
      <c r="AY354" s="169"/>
      <c r="AZ354" s="169"/>
      <c r="BA354" s="169"/>
      <c r="BB354" s="169"/>
      <c r="BC354" s="169"/>
    </row>
    <row r="355" spans="1:55">
      <c r="A355" s="169"/>
      <c r="B355" s="49"/>
      <c r="C355" s="49"/>
      <c r="D355" s="398"/>
      <c r="E355" s="265"/>
      <c r="F355" s="265"/>
      <c r="G355" s="265"/>
      <c r="H355" s="265"/>
      <c r="I355" s="290" t="s">
        <v>55</v>
      </c>
      <c r="J355" s="259"/>
      <c r="K355" s="266"/>
      <c r="L355" s="266"/>
      <c r="M355" s="378"/>
      <c r="N355" s="378"/>
      <c r="O355" s="49"/>
      <c r="P355" s="50"/>
      <c r="Q355" s="180"/>
      <c r="R355" s="38"/>
      <c r="S355" s="38"/>
      <c r="T355" s="38"/>
      <c r="U355" s="169"/>
      <c r="V355" s="169"/>
      <c r="W355" s="50"/>
      <c r="X355" s="169"/>
      <c r="Y355" s="169"/>
      <c r="Z355" s="169"/>
      <c r="AA355" s="169"/>
      <c r="AB355" s="169"/>
      <c r="AC355" s="169"/>
      <c r="AD355" s="169"/>
      <c r="AE355" s="169"/>
      <c r="AF355" s="169"/>
      <c r="AG355" s="169"/>
      <c r="AH355" s="169"/>
      <c r="AI355" s="169"/>
      <c r="AJ355" s="169"/>
      <c r="AK355" s="169"/>
      <c r="AL355" s="169"/>
      <c r="AM355" s="169"/>
      <c r="AN355" s="169"/>
      <c r="AO355" s="169"/>
      <c r="AP355" s="169"/>
      <c r="AQ355" s="169"/>
      <c r="AR355" s="169"/>
      <c r="AS355" s="169"/>
      <c r="AT355" s="169"/>
      <c r="AU355" s="169"/>
      <c r="AV355" s="169"/>
      <c r="AW355" s="169"/>
      <c r="AX355" s="169"/>
      <c r="AY355" s="169"/>
      <c r="AZ355" s="169"/>
      <c r="BA355" s="169"/>
      <c r="BB355" s="169"/>
      <c r="BC355" s="169"/>
    </row>
    <row r="356" spans="1:55">
      <c r="A356" s="169"/>
      <c r="B356" s="49"/>
      <c r="C356" s="49"/>
      <c r="D356" s="398"/>
      <c r="E356" s="265"/>
      <c r="F356" s="265"/>
      <c r="G356" s="265"/>
      <c r="H356" s="265"/>
      <c r="I356" s="812" t="s">
        <v>918</v>
      </c>
      <c r="J356" s="880"/>
      <c r="K356" s="881">
        <f>E350/100/K350</f>
        <v>0.83509823356506252</v>
      </c>
      <c r="L356" s="881">
        <f>F350/100/L350</f>
        <v>0.77260863033427407</v>
      </c>
      <c r="M356" s="881">
        <f>G350/100/M350</f>
        <v>1.0039889166037204</v>
      </c>
      <c r="N356" s="881">
        <f>H350/100/N350</f>
        <v>0.77296669570548193</v>
      </c>
      <c r="O356" s="381">
        <f>(3*K356+2*L356+AVERAGE(M356:N356))/6</f>
        <v>0.82316496125305605</v>
      </c>
      <c r="P356" s="49" t="s">
        <v>580</v>
      </c>
      <c r="Q356" s="169"/>
      <c r="R356" s="38"/>
      <c r="S356" s="309"/>
      <c r="T356" s="50"/>
      <c r="U356" s="50"/>
      <c r="V356" s="50"/>
      <c r="W356" s="50"/>
      <c r="X356" s="169"/>
      <c r="Y356" s="169"/>
      <c r="Z356" s="169"/>
      <c r="AA356" s="169"/>
      <c r="AB356" s="169"/>
      <c r="AC356" s="169"/>
      <c r="AD356" s="169"/>
      <c r="AE356" s="169"/>
      <c r="AF356" s="169"/>
      <c r="AG356" s="169"/>
      <c r="AH356" s="169"/>
      <c r="AI356" s="169"/>
      <c r="AJ356" s="169"/>
      <c r="AK356" s="169"/>
      <c r="AL356" s="169"/>
      <c r="AM356" s="169"/>
      <c r="AN356" s="169"/>
      <c r="AO356" s="169"/>
      <c r="AP356" s="169"/>
      <c r="AQ356" s="169"/>
      <c r="AR356" s="169"/>
      <c r="AS356" s="169"/>
      <c r="AT356" s="169"/>
      <c r="AU356" s="169"/>
      <c r="AV356" s="169"/>
      <c r="AW356" s="169"/>
      <c r="AX356" s="169"/>
      <c r="AY356" s="169"/>
      <c r="AZ356" s="169"/>
      <c r="BA356" s="169"/>
      <c r="BB356" s="169"/>
      <c r="BC356" s="169"/>
    </row>
    <row r="357" spans="1:55">
      <c r="A357" s="169"/>
      <c r="B357" s="49"/>
      <c r="C357" s="49"/>
      <c r="D357" s="398"/>
      <c r="E357" s="265"/>
      <c r="F357" s="265"/>
      <c r="G357" s="265"/>
      <c r="H357" s="265"/>
      <c r="I357" s="346" t="s">
        <v>919</v>
      </c>
      <c r="J357" s="348"/>
      <c r="K357" s="402">
        <f>E350/E348</f>
        <v>0.90169976491331183</v>
      </c>
      <c r="L357" s="402">
        <f>F350/F348</f>
        <v>0.82549951497860197</v>
      </c>
      <c r="M357" s="402">
        <f>G350/G348</f>
        <v>1.0670184713375797</v>
      </c>
      <c r="N357" s="402">
        <f>H350/H348</f>
        <v>0.81317668739921678</v>
      </c>
      <c r="O357" s="321">
        <f>(3*K357+2*L357+AVERAGE(M357:N357))/6</f>
        <v>0.88269931734425633</v>
      </c>
      <c r="P357" s="49" t="s">
        <v>907</v>
      </c>
      <c r="Q357" s="169"/>
      <c r="R357" s="38"/>
      <c r="S357" s="309"/>
      <c r="T357" s="50"/>
      <c r="U357" s="49"/>
      <c r="V357" s="50"/>
      <c r="W357" s="50"/>
      <c r="X357" s="169"/>
      <c r="Y357" s="169"/>
      <c r="Z357" s="169"/>
      <c r="AA357" s="169"/>
      <c r="AB357" s="169"/>
      <c r="AC357" s="169"/>
      <c r="AD357" s="169"/>
      <c r="AE357" s="169"/>
      <c r="AF357" s="169"/>
      <c r="AG357" s="169"/>
      <c r="AH357" s="169"/>
      <c r="AI357" s="169"/>
      <c r="AJ357" s="169"/>
      <c r="AK357" s="169"/>
      <c r="AL357" s="169"/>
      <c r="AM357" s="169"/>
      <c r="AN357" s="169"/>
      <c r="AO357" s="169"/>
      <c r="AP357" s="169"/>
      <c r="AQ357" s="169"/>
      <c r="AR357" s="169"/>
      <c r="AS357" s="169"/>
      <c r="AT357" s="169"/>
      <c r="AU357" s="169"/>
      <c r="AV357" s="169"/>
      <c r="AW357" s="169"/>
      <c r="AX357" s="169"/>
      <c r="AY357" s="169"/>
      <c r="AZ357" s="169"/>
      <c r="BA357" s="169"/>
      <c r="BB357" s="169"/>
      <c r="BC357" s="169"/>
    </row>
    <row r="358" spans="1:55">
      <c r="A358" s="169"/>
      <c r="B358" s="49"/>
      <c r="C358" s="49"/>
      <c r="D358" s="398"/>
      <c r="E358" s="265"/>
      <c r="F358" s="265"/>
      <c r="G358" s="265"/>
      <c r="H358" s="265"/>
      <c r="I358" s="346" t="s">
        <v>920</v>
      </c>
      <c r="J358" s="334"/>
      <c r="K358" s="333">
        <f>E350/E340</f>
        <v>0.84507967502065551</v>
      </c>
      <c r="L358" s="333">
        <f>F350/F340</f>
        <v>0.77768466603951081</v>
      </c>
      <c r="M358" s="333">
        <f>G350/G340</f>
        <v>1.0670184713375797</v>
      </c>
      <c r="N358" s="333">
        <f>H350/H340</f>
        <v>0.81317668739921678</v>
      </c>
      <c r="O358" s="321">
        <f>(3*K358+2*L358+AVERAGE(M358:N358))/6</f>
        <v>0.83845098941823115</v>
      </c>
      <c r="P358" s="49" t="s">
        <v>908</v>
      </c>
      <c r="Q358" s="169"/>
      <c r="R358" s="38"/>
      <c r="S358" s="309"/>
      <c r="T358" s="50"/>
      <c r="U358" s="182"/>
      <c r="V358" s="49" t="s">
        <v>581</v>
      </c>
      <c r="W358" s="50"/>
      <c r="X358" s="169"/>
      <c r="Y358" s="169"/>
      <c r="Z358" s="169"/>
      <c r="AA358" s="169"/>
      <c r="AB358" s="169"/>
      <c r="AC358" s="169"/>
      <c r="AD358" s="169"/>
      <c r="AE358" s="169"/>
      <c r="AF358" s="169"/>
      <c r="AG358" s="169"/>
      <c r="AH358" s="169"/>
      <c r="AI358" s="169"/>
      <c r="AJ358" s="169"/>
      <c r="AK358" s="169"/>
      <c r="AL358" s="169"/>
      <c r="AM358" s="169"/>
      <c r="AN358" s="169"/>
      <c r="AO358" s="169"/>
      <c r="AP358" s="169"/>
      <c r="AQ358" s="169"/>
      <c r="AR358" s="169"/>
      <c r="AS358" s="169"/>
      <c r="AT358" s="169"/>
      <c r="AU358" s="169"/>
      <c r="AV358" s="169"/>
      <c r="AW358" s="169"/>
      <c r="AX358" s="169"/>
      <c r="AY358" s="169"/>
      <c r="AZ358" s="169"/>
      <c r="BA358" s="169"/>
      <c r="BB358" s="169"/>
      <c r="BC358" s="169"/>
    </row>
    <row r="359" spans="1:55">
      <c r="A359" s="169"/>
      <c r="B359" s="49"/>
      <c r="C359" s="49"/>
      <c r="D359" s="398"/>
      <c r="E359" s="265"/>
      <c r="F359" s="265"/>
      <c r="G359" s="265"/>
      <c r="H359" s="265"/>
      <c r="I359" s="180"/>
      <c r="J359" s="259"/>
      <c r="K359" s="280"/>
      <c r="L359" s="280"/>
      <c r="M359" s="280"/>
      <c r="N359" s="280"/>
      <c r="O359" s="321"/>
      <c r="P359" s="49"/>
      <c r="Q359" s="169"/>
      <c r="R359" s="38"/>
      <c r="S359" s="309"/>
      <c r="T359" s="50"/>
      <c r="U359" s="182"/>
      <c r="V359" s="49"/>
      <c r="W359" s="50"/>
      <c r="X359" s="169"/>
      <c r="Y359" s="169"/>
      <c r="Z359" s="169"/>
      <c r="AA359" s="169"/>
      <c r="AB359" s="169"/>
      <c r="AC359" s="169"/>
      <c r="AD359" s="169"/>
      <c r="AE359" s="169"/>
      <c r="AF359" s="169"/>
      <c r="AG359" s="169"/>
      <c r="AH359" s="169"/>
      <c r="AI359" s="169"/>
      <c r="AJ359" s="169"/>
      <c r="AK359" s="169"/>
      <c r="AL359" s="169"/>
      <c r="AM359" s="169"/>
      <c r="AN359" s="169"/>
      <c r="AO359" s="169"/>
      <c r="AP359" s="169"/>
      <c r="AQ359" s="169"/>
      <c r="AR359" s="169"/>
      <c r="AS359" s="169"/>
      <c r="AT359" s="169"/>
      <c r="AU359" s="169"/>
      <c r="AV359" s="169"/>
      <c r="AW359" s="169"/>
      <c r="AX359" s="169"/>
      <c r="AY359" s="169"/>
      <c r="AZ359" s="169"/>
      <c r="BA359" s="169"/>
      <c r="BB359" s="169"/>
      <c r="BC359" s="169"/>
    </row>
    <row r="360" spans="1:55">
      <c r="A360" s="169"/>
      <c r="B360" s="49"/>
      <c r="C360" s="49"/>
      <c r="D360" s="398"/>
      <c r="E360" s="265"/>
      <c r="F360" s="265"/>
      <c r="G360" s="265"/>
      <c r="H360" s="265"/>
      <c r="I360" s="831" t="s">
        <v>628</v>
      </c>
      <c r="J360" s="824">
        <f>J350*K356</f>
        <v>0.4260134005544996</v>
      </c>
      <c r="K360" s="824">
        <f>K356*K350</f>
        <v>0.43380000000000002</v>
      </c>
      <c r="L360" s="824">
        <f>L356*L350</f>
        <v>0.38780000000000003</v>
      </c>
      <c r="M360" s="824">
        <f>M356*M350</f>
        <v>0.47970000000000002</v>
      </c>
      <c r="N360" s="824">
        <f>N356*N350</f>
        <v>0.35299999999999998</v>
      </c>
      <c r="O360" s="520">
        <f>(J360+2*K360+2*L360+AVERAGE(M360:N360))/6</f>
        <v>0.41426056675908329</v>
      </c>
      <c r="P360" s="49"/>
      <c r="Q360" s="169"/>
      <c r="R360" s="38"/>
      <c r="S360" s="309"/>
      <c r="T360" s="50"/>
      <c r="U360" s="182"/>
      <c r="V360" s="49"/>
      <c r="W360" s="50"/>
      <c r="X360" s="169"/>
      <c r="Y360" s="169"/>
      <c r="Z360" s="169"/>
      <c r="AA360" s="169"/>
      <c r="AB360" s="169"/>
      <c r="AC360" s="169"/>
      <c r="AD360" s="169"/>
      <c r="AE360" s="169"/>
      <c r="AF360" s="169"/>
      <c r="AG360" s="169"/>
      <c r="AH360" s="169"/>
      <c r="AI360" s="169"/>
      <c r="AJ360" s="169"/>
      <c r="AK360" s="169"/>
      <c r="AL360" s="169"/>
      <c r="AM360" s="169"/>
      <c r="AN360" s="169"/>
      <c r="AO360" s="169"/>
      <c r="AP360" s="169"/>
      <c r="AQ360" s="169"/>
      <c r="AR360" s="169"/>
      <c r="AS360" s="169"/>
      <c r="AT360" s="169"/>
      <c r="AU360" s="169"/>
      <c r="AV360" s="169"/>
      <c r="AW360" s="169"/>
      <c r="AX360" s="169"/>
      <c r="AY360" s="169"/>
      <c r="AZ360" s="169"/>
      <c r="BA360" s="169"/>
      <c r="BB360" s="169"/>
      <c r="BC360" s="169"/>
    </row>
    <row r="361" spans="1:55">
      <c r="A361" s="169"/>
      <c r="B361" s="169"/>
      <c r="C361" s="169"/>
      <c r="D361" s="335"/>
      <c r="E361" s="250"/>
      <c r="F361" s="250"/>
      <c r="G361" s="250"/>
      <c r="H361" s="250"/>
      <c r="I361" s="49"/>
      <c r="J361" s="259"/>
      <c r="K361" s="259"/>
      <c r="L361" s="259"/>
      <c r="M361" s="259"/>
      <c r="N361" s="259"/>
      <c r="O361" s="169"/>
      <c r="P361" s="50"/>
      <c r="Q361" s="137"/>
      <c r="R361" s="38"/>
      <c r="S361" s="38"/>
      <c r="T361" s="50"/>
      <c r="U361" s="50"/>
      <c r="V361" s="50"/>
      <c r="W361" s="50"/>
      <c r="X361" s="169"/>
      <c r="Y361" s="169"/>
      <c r="Z361" s="169"/>
      <c r="AA361" s="169"/>
      <c r="AB361" s="169"/>
      <c r="AC361" s="169"/>
      <c r="AD361" s="169"/>
      <c r="AE361" s="169"/>
      <c r="AF361" s="169"/>
      <c r="AG361" s="169"/>
      <c r="AH361" s="169"/>
      <c r="AI361" s="169"/>
      <c r="AJ361" s="169"/>
      <c r="AK361" s="169"/>
      <c r="AL361" s="169"/>
      <c r="AM361" s="169"/>
      <c r="AN361" s="169"/>
      <c r="AO361" s="169"/>
      <c r="AP361" s="169"/>
      <c r="AQ361" s="169"/>
      <c r="AR361" s="169"/>
      <c r="AS361" s="169"/>
      <c r="AT361" s="169"/>
      <c r="AU361" s="169"/>
      <c r="AV361" s="169"/>
      <c r="AW361" s="169"/>
      <c r="AX361" s="169"/>
      <c r="AY361" s="169"/>
      <c r="AZ361" s="169"/>
      <c r="BA361" s="169"/>
      <c r="BB361" s="169"/>
      <c r="BC361" s="169"/>
    </row>
    <row r="362" spans="1:55">
      <c r="A362" s="55" t="s">
        <v>46</v>
      </c>
      <c r="B362" s="168"/>
      <c r="C362" s="340" t="s">
        <v>656</v>
      </c>
      <c r="D362" s="1886"/>
      <c r="E362" s="253"/>
      <c r="F362" s="253"/>
      <c r="G362" s="253"/>
      <c r="H362" s="253"/>
      <c r="I362" s="387" t="s">
        <v>316</v>
      </c>
      <c r="J362" s="385"/>
      <c r="K362" s="386"/>
      <c r="L362" s="386"/>
      <c r="M362" s="386"/>
      <c r="N362" s="386"/>
      <c r="O362" s="68"/>
      <c r="P362" s="47"/>
      <c r="Q362" s="168"/>
      <c r="R362" s="48"/>
      <c r="S362" s="48"/>
      <c r="T362" s="48"/>
      <c r="U362" s="48"/>
      <c r="V362" s="48"/>
      <c r="W362" s="48"/>
      <c r="X362" s="168"/>
      <c r="Y362" s="168"/>
      <c r="Z362" s="168"/>
      <c r="AA362" s="168"/>
      <c r="AB362" s="168"/>
      <c r="AC362" s="168"/>
      <c r="AD362" s="168"/>
      <c r="AE362" s="168"/>
      <c r="AF362" s="168"/>
      <c r="AG362" s="168"/>
      <c r="AH362" s="168"/>
      <c r="AI362" s="168"/>
      <c r="AJ362" s="168"/>
      <c r="AK362" s="168"/>
      <c r="AL362" s="168"/>
      <c r="AM362" s="168"/>
      <c r="AN362" s="168"/>
      <c r="AO362" s="168"/>
      <c r="AP362" s="168"/>
      <c r="AQ362" s="168"/>
      <c r="AR362" s="168"/>
      <c r="AS362" s="168"/>
      <c r="AT362" s="168"/>
      <c r="AU362" s="168"/>
      <c r="AV362" s="168"/>
      <c r="AW362" s="168"/>
      <c r="AX362" s="168"/>
      <c r="AY362" s="168"/>
      <c r="AZ362" s="168"/>
      <c r="BA362" s="168"/>
      <c r="BB362" s="168"/>
      <c r="BC362" s="168"/>
    </row>
    <row r="363" spans="1:55">
      <c r="A363" s="169"/>
      <c r="B363" s="169"/>
      <c r="C363" s="169"/>
      <c r="D363" s="335"/>
      <c r="E363" s="250"/>
      <c r="F363" s="250"/>
      <c r="G363" s="250"/>
      <c r="H363" s="250"/>
      <c r="I363" s="384" t="s">
        <v>261</v>
      </c>
      <c r="J363" s="278">
        <v>23.9</v>
      </c>
      <c r="K363" s="279">
        <v>50.6</v>
      </c>
      <c r="L363" s="279">
        <v>51.6</v>
      </c>
      <c r="M363" s="279">
        <v>50.7</v>
      </c>
      <c r="N363" s="279">
        <v>50.6</v>
      </c>
      <c r="O363" s="69"/>
      <c r="P363" s="49"/>
      <c r="Q363" s="169"/>
      <c r="R363" s="50"/>
      <c r="S363" s="50"/>
      <c r="T363" s="50"/>
      <c r="U363" s="50"/>
      <c r="V363" s="50"/>
      <c r="W363" s="50"/>
      <c r="X363" s="169"/>
      <c r="Y363" s="169"/>
      <c r="Z363" s="169"/>
      <c r="AA363" s="169"/>
      <c r="AB363" s="50" t="s">
        <v>262</v>
      </c>
      <c r="AC363" s="169"/>
      <c r="AD363" s="169"/>
      <c r="AE363" s="169"/>
      <c r="AF363" s="169"/>
      <c r="AG363" s="169"/>
      <c r="AH363" s="169"/>
      <c r="AI363" s="169"/>
      <c r="AJ363" s="169"/>
      <c r="AK363" s="169"/>
      <c r="AL363" s="169"/>
      <c r="AM363" s="169"/>
      <c r="AN363" s="169"/>
      <c r="AO363" s="169"/>
      <c r="AP363" s="169"/>
      <c r="AQ363" s="169"/>
      <c r="AR363" s="169"/>
      <c r="AS363" s="169"/>
      <c r="AT363" s="169"/>
      <c r="AU363" s="169"/>
      <c r="AV363" s="169"/>
      <c r="AW363" s="169"/>
      <c r="AX363" s="169"/>
      <c r="AY363" s="169"/>
      <c r="AZ363" s="169"/>
      <c r="BA363" s="169"/>
      <c r="BB363" s="169"/>
      <c r="BC363" s="169"/>
    </row>
    <row r="364" spans="1:55">
      <c r="A364" s="169"/>
      <c r="B364" s="169"/>
      <c r="C364" s="169"/>
      <c r="D364" s="335"/>
      <c r="E364" s="250"/>
      <c r="F364" s="250"/>
      <c r="G364" s="250"/>
      <c r="H364" s="250"/>
      <c r="I364" s="384" t="s">
        <v>263</v>
      </c>
      <c r="J364" s="278">
        <v>15.6</v>
      </c>
      <c r="K364" s="279">
        <v>35.700000000000003</v>
      </c>
      <c r="L364" s="279">
        <v>36.700000000000003</v>
      </c>
      <c r="M364" s="279">
        <v>39.9</v>
      </c>
      <c r="N364" s="279">
        <v>43.3</v>
      </c>
      <c r="O364" s="69"/>
      <c r="P364" s="49"/>
      <c r="Q364" s="169"/>
      <c r="R364" s="50"/>
      <c r="S364" s="50"/>
      <c r="T364" s="50"/>
      <c r="U364" s="50"/>
      <c r="V364" s="50"/>
      <c r="W364" s="50"/>
      <c r="X364" s="169"/>
      <c r="Y364" s="169"/>
      <c r="Z364" s="169"/>
      <c r="AA364" s="169"/>
      <c r="AB364" s="50"/>
      <c r="AC364" s="169"/>
      <c r="AD364" s="169"/>
      <c r="AE364" s="169"/>
      <c r="AF364" s="169"/>
      <c r="AG364" s="169"/>
      <c r="AH364" s="169"/>
      <c r="AI364" s="169"/>
      <c r="AJ364" s="169"/>
      <c r="AK364" s="169"/>
      <c r="AL364" s="169"/>
      <c r="AM364" s="169"/>
      <c r="AN364" s="169"/>
      <c r="AO364" s="169"/>
      <c r="AP364" s="169"/>
      <c r="AQ364" s="169"/>
      <c r="AR364" s="169"/>
      <c r="AS364" s="169"/>
      <c r="AT364" s="169"/>
      <c r="AU364" s="169"/>
      <c r="AV364" s="169"/>
      <c r="AW364" s="169"/>
      <c r="AX364" s="169"/>
      <c r="AY364" s="169"/>
      <c r="AZ364" s="169"/>
      <c r="BA364" s="169"/>
      <c r="BB364" s="169"/>
      <c r="BC364" s="169"/>
    </row>
    <row r="365" spans="1:55">
      <c r="A365" s="169"/>
      <c r="B365" s="169"/>
      <c r="C365" s="169"/>
      <c r="D365" s="335"/>
      <c r="E365" s="250"/>
      <c r="F365" s="250"/>
      <c r="G365" s="250"/>
      <c r="H365" s="250"/>
      <c r="I365" s="384" t="s">
        <v>264</v>
      </c>
      <c r="J365" s="278">
        <v>9.9</v>
      </c>
      <c r="K365" s="279">
        <v>19.7</v>
      </c>
      <c r="L365" s="279">
        <v>17.3</v>
      </c>
      <c r="M365" s="279">
        <v>16.5</v>
      </c>
      <c r="N365" s="279">
        <v>14.8</v>
      </c>
      <c r="O365" s="69"/>
      <c r="P365" s="49"/>
      <c r="Q365" s="169"/>
      <c r="R365" s="50"/>
      <c r="S365" s="50"/>
      <c r="T365" s="50"/>
      <c r="U365" s="50"/>
      <c r="V365" s="50"/>
      <c r="W365" s="50"/>
      <c r="X365" s="169"/>
      <c r="Y365" s="169"/>
      <c r="Z365" s="169"/>
      <c r="AA365" s="169"/>
      <c r="AB365" s="50"/>
      <c r="AC365" s="169"/>
      <c r="AD365" s="169"/>
      <c r="AE365" s="169"/>
      <c r="AF365" s="169"/>
      <c r="AG365" s="169"/>
      <c r="AH365" s="169"/>
      <c r="AI365" s="169"/>
      <c r="AJ365" s="169"/>
      <c r="AK365" s="169"/>
      <c r="AL365" s="169"/>
      <c r="AM365" s="169"/>
      <c r="AN365" s="169"/>
      <c r="AO365" s="169"/>
      <c r="AP365" s="169"/>
      <c r="AQ365" s="169"/>
      <c r="AR365" s="169"/>
      <c r="AS365" s="169"/>
      <c r="AT365" s="169"/>
      <c r="AU365" s="169"/>
      <c r="AV365" s="169"/>
      <c r="AW365" s="169"/>
      <c r="AX365" s="169"/>
      <c r="AY365" s="169"/>
      <c r="AZ365" s="169"/>
      <c r="BA365" s="169"/>
      <c r="BB365" s="169"/>
      <c r="BC365" s="169"/>
    </row>
    <row r="366" spans="1:55">
      <c r="A366" s="169"/>
      <c r="B366" s="169"/>
      <c r="C366" s="169"/>
      <c r="D366" s="335"/>
      <c r="E366" s="250"/>
      <c r="F366" s="250"/>
      <c r="G366" s="250"/>
      <c r="H366" s="250"/>
      <c r="I366" s="389" t="s">
        <v>137</v>
      </c>
      <c r="J366" s="383">
        <f>SUM(J363:J365)</f>
        <v>49.4</v>
      </c>
      <c r="K366" s="383">
        <f>SUM(K363:K365)</f>
        <v>106.00000000000001</v>
      </c>
      <c r="L366" s="383">
        <f>SUM(L363:L365)</f>
        <v>105.60000000000001</v>
      </c>
      <c r="M366" s="383">
        <f>SUM(M363:M365)</f>
        <v>107.1</v>
      </c>
      <c r="N366" s="383">
        <f>SUM(N363:N365)</f>
        <v>108.7</v>
      </c>
      <c r="O366" s="60"/>
      <c r="P366" s="49"/>
      <c r="Q366" s="169"/>
      <c r="R366" s="50"/>
      <c r="S366" s="50"/>
      <c r="T366" s="50"/>
      <c r="U366" s="50"/>
      <c r="V366" s="50"/>
      <c r="W366" s="50"/>
      <c r="X366" s="169"/>
      <c r="Y366" s="169"/>
      <c r="Z366" s="169"/>
      <c r="AA366" s="169"/>
      <c r="AB366" s="50"/>
      <c r="AC366" s="169"/>
      <c r="AD366" s="169"/>
      <c r="AE366" s="169"/>
      <c r="AF366" s="169"/>
      <c r="AG366" s="169"/>
      <c r="AH366" s="169"/>
      <c r="AI366" s="169"/>
      <c r="AJ366" s="169"/>
      <c r="AK366" s="169"/>
      <c r="AL366" s="169"/>
      <c r="AM366" s="169"/>
      <c r="AN366" s="169"/>
      <c r="AO366" s="169"/>
      <c r="AP366" s="169"/>
      <c r="AQ366" s="169"/>
      <c r="AR366" s="169"/>
      <c r="AS366" s="169"/>
      <c r="AT366" s="169"/>
      <c r="AU366" s="169"/>
      <c r="AV366" s="169"/>
      <c r="AW366" s="169"/>
      <c r="AX366" s="169"/>
      <c r="AY366" s="169"/>
      <c r="AZ366" s="169"/>
      <c r="BA366" s="169"/>
      <c r="BB366" s="169"/>
      <c r="BC366" s="169"/>
    </row>
    <row r="367" spans="1:55">
      <c r="A367" s="169"/>
      <c r="B367" s="169"/>
      <c r="C367" s="169"/>
      <c r="D367" s="335"/>
      <c r="E367" s="250"/>
      <c r="F367" s="250"/>
      <c r="G367" s="250"/>
      <c r="H367" s="250"/>
      <c r="I367" s="180" t="s">
        <v>265</v>
      </c>
      <c r="J367" s="264">
        <f>J363/J366</f>
        <v>0.48380566801619429</v>
      </c>
      <c r="K367" s="264">
        <f>K363/K366</f>
        <v>0.47735849056603769</v>
      </c>
      <c r="L367" s="264">
        <f>L363/L366</f>
        <v>0.48863636363636359</v>
      </c>
      <c r="M367" s="264">
        <f>M363/M366</f>
        <v>0.47338935574229696</v>
      </c>
      <c r="N367" s="264">
        <f>N363/N366</f>
        <v>0.46550137994480223</v>
      </c>
      <c r="O367" s="49" t="s">
        <v>373</v>
      </c>
      <c r="P367" s="49"/>
      <c r="Q367" s="169"/>
      <c r="R367" s="50"/>
      <c r="S367" s="50"/>
      <c r="T367" s="50"/>
      <c r="U367" s="50"/>
      <c r="V367" s="50"/>
      <c r="W367" s="50"/>
      <c r="X367" s="169"/>
      <c r="Y367" s="169"/>
      <c r="Z367" s="169"/>
      <c r="AA367" s="169"/>
      <c r="AB367" s="50"/>
      <c r="AC367" s="169"/>
      <c r="AD367" s="169"/>
      <c r="AE367" s="169"/>
      <c r="AF367" s="169"/>
      <c r="AG367" s="169"/>
      <c r="AH367" s="169"/>
      <c r="AI367" s="169"/>
      <c r="AJ367" s="169"/>
      <c r="AK367" s="169"/>
      <c r="AL367" s="169"/>
      <c r="AM367" s="169"/>
      <c r="AN367" s="169"/>
      <c r="AO367" s="169"/>
      <c r="AP367" s="169"/>
      <c r="AQ367" s="169"/>
      <c r="AR367" s="169"/>
      <c r="AS367" s="169"/>
      <c r="AT367" s="169"/>
      <c r="AU367" s="169"/>
      <c r="AV367" s="169"/>
      <c r="AW367" s="169"/>
      <c r="AX367" s="169"/>
      <c r="AY367" s="169"/>
      <c r="AZ367" s="169"/>
      <c r="BA367" s="169"/>
      <c r="BB367" s="169"/>
      <c r="BC367" s="169"/>
    </row>
    <row r="368" spans="1:55">
      <c r="A368" s="169"/>
      <c r="B368" s="169"/>
      <c r="C368" s="169"/>
      <c r="D368" s="335"/>
      <c r="E368" s="250"/>
      <c r="F368" s="250"/>
      <c r="G368" s="250"/>
      <c r="H368" s="250"/>
      <c r="I368" s="832" t="s">
        <v>380</v>
      </c>
      <c r="J368" s="721">
        <f>(J363+J365)/J366</f>
        <v>0.68421052631578949</v>
      </c>
      <c r="K368" s="721">
        <f>(K363+K365)/K366</f>
        <v>0.66320754716981123</v>
      </c>
      <c r="L368" s="721">
        <f>(L363+L365)/L366</f>
        <v>0.65246212121212122</v>
      </c>
      <c r="M368" s="721">
        <f>(M363+M365)/M366</f>
        <v>0.62745098039215697</v>
      </c>
      <c r="N368" s="721">
        <f>(N363+N365)/N366</f>
        <v>0.60165593376264948</v>
      </c>
      <c r="O368" s="376">
        <f>(J368+2*K368+2*L368+AVERAGE(M368:N368))/6</f>
        <v>0.65501722002617635</v>
      </c>
      <c r="P368" s="49"/>
      <c r="Q368" s="169"/>
      <c r="R368" s="50"/>
      <c r="S368" s="50"/>
      <c r="T368" s="50"/>
      <c r="U368" s="50"/>
      <c r="V368" s="50"/>
      <c r="W368" s="50"/>
      <c r="X368" s="169"/>
      <c r="Y368" s="169"/>
      <c r="Z368" s="169"/>
      <c r="AA368" s="169"/>
      <c r="AB368" s="50"/>
      <c r="AC368" s="169"/>
      <c r="AD368" s="169"/>
      <c r="AE368" s="169"/>
      <c r="AF368" s="169"/>
      <c r="AG368" s="169"/>
      <c r="AH368" s="169"/>
      <c r="AI368" s="169"/>
      <c r="AJ368" s="169"/>
      <c r="AK368" s="169"/>
      <c r="AL368" s="169"/>
      <c r="AM368" s="169"/>
      <c r="AN368" s="169"/>
      <c r="AO368" s="169"/>
      <c r="AP368" s="169"/>
      <c r="AQ368" s="169"/>
      <c r="AR368" s="169"/>
      <c r="AS368" s="169"/>
      <c r="AT368" s="169"/>
      <c r="AU368" s="169"/>
      <c r="AV368" s="169"/>
      <c r="AW368" s="169"/>
      <c r="AX368" s="169"/>
      <c r="AY368" s="169"/>
      <c r="AZ368" s="169"/>
      <c r="BA368" s="169"/>
      <c r="BB368" s="169"/>
      <c r="BC368" s="169"/>
    </row>
    <row r="369" spans="1:55">
      <c r="A369" s="169"/>
      <c r="B369" s="169"/>
      <c r="C369" s="169"/>
      <c r="D369" s="335"/>
      <c r="E369" s="250"/>
      <c r="F369" s="250"/>
      <c r="G369" s="250"/>
      <c r="H369" s="250"/>
      <c r="I369" s="53"/>
      <c r="J369" s="250"/>
      <c r="K369" s="280"/>
      <c r="L369" s="280"/>
      <c r="M369" s="280"/>
      <c r="N369" s="280"/>
      <c r="O369" s="60"/>
      <c r="P369" s="49"/>
      <c r="Q369" s="169"/>
      <c r="R369" s="50"/>
      <c r="S369" s="50"/>
      <c r="T369" s="50"/>
      <c r="U369" s="50"/>
      <c r="V369" s="50"/>
      <c r="W369" s="50"/>
      <c r="X369" s="169"/>
      <c r="Y369" s="169"/>
      <c r="Z369" s="169"/>
      <c r="AA369" s="169"/>
      <c r="AB369" s="50"/>
      <c r="AC369" s="169"/>
      <c r="AD369" s="169"/>
      <c r="AE369" s="169"/>
      <c r="AF369" s="169"/>
      <c r="AG369" s="169"/>
      <c r="AH369" s="169"/>
      <c r="AI369" s="169"/>
      <c r="AJ369" s="169"/>
      <c r="AK369" s="169"/>
      <c r="AL369" s="169"/>
      <c r="AM369" s="169"/>
      <c r="AN369" s="169"/>
      <c r="AO369" s="169"/>
      <c r="AP369" s="169"/>
      <c r="AQ369" s="169"/>
      <c r="AR369" s="169"/>
      <c r="AS369" s="169"/>
      <c r="AT369" s="169"/>
      <c r="AU369" s="169"/>
      <c r="AV369" s="169"/>
      <c r="AW369" s="169"/>
      <c r="AX369" s="169"/>
      <c r="AY369" s="169"/>
      <c r="AZ369" s="169"/>
      <c r="BA369" s="169"/>
      <c r="BB369" s="169"/>
      <c r="BC369" s="169"/>
    </row>
    <row r="370" spans="1:55">
      <c r="A370" s="169"/>
      <c r="B370" s="169"/>
      <c r="C370" s="169"/>
      <c r="D370" s="335"/>
      <c r="E370" s="250"/>
      <c r="F370" s="250"/>
      <c r="G370" s="250"/>
      <c r="H370" s="250"/>
      <c r="I370" s="384" t="s">
        <v>66</v>
      </c>
      <c r="J370" s="278" t="s">
        <v>686</v>
      </c>
      <c r="K370" s="279"/>
      <c r="L370" s="279"/>
      <c r="M370" s="279"/>
      <c r="N370" s="279"/>
      <c r="O370" s="69"/>
      <c r="P370" s="49"/>
      <c r="Q370" s="169"/>
      <c r="R370" s="50"/>
      <c r="S370" s="50"/>
      <c r="T370" s="50"/>
      <c r="U370" s="50"/>
      <c r="V370" s="50"/>
      <c r="W370" s="50"/>
      <c r="X370" s="169"/>
      <c r="Y370" s="169"/>
      <c r="Z370" s="169"/>
      <c r="AA370" s="169"/>
      <c r="AB370" s="50" t="s">
        <v>684</v>
      </c>
      <c r="AC370" s="169"/>
      <c r="AD370" s="169"/>
      <c r="AE370" s="169"/>
      <c r="AF370" s="169"/>
      <c r="AG370" s="169"/>
      <c r="AH370" s="169"/>
      <c r="AI370" s="169"/>
      <c r="AJ370" s="169"/>
      <c r="AK370" s="169"/>
      <c r="AL370" s="169"/>
      <c r="AM370" s="169"/>
      <c r="AN370" s="169"/>
      <c r="AO370" s="169"/>
      <c r="AP370" s="169"/>
      <c r="AQ370" s="169"/>
      <c r="AR370" s="169"/>
      <c r="AS370" s="169"/>
      <c r="AT370" s="169"/>
      <c r="AU370" s="169"/>
      <c r="AV370" s="169"/>
      <c r="AW370" s="169"/>
      <c r="AX370" s="169"/>
      <c r="AY370" s="169"/>
      <c r="AZ370" s="169"/>
      <c r="BA370" s="169"/>
      <c r="BB370" s="169"/>
      <c r="BC370" s="169"/>
    </row>
    <row r="371" spans="1:55">
      <c r="A371" s="169"/>
      <c r="B371" s="169"/>
      <c r="C371" s="169"/>
      <c r="D371" s="335"/>
      <c r="E371" s="250"/>
      <c r="F371" s="250"/>
      <c r="G371" s="250"/>
      <c r="H371" s="250"/>
      <c r="I371" s="384" t="s">
        <v>261</v>
      </c>
      <c r="J371" s="390">
        <v>7.2</v>
      </c>
      <c r="K371" s="391">
        <v>14.7</v>
      </c>
      <c r="L371" s="391">
        <v>16</v>
      </c>
      <c r="M371" s="391">
        <v>14.9</v>
      </c>
      <c r="N371" s="391">
        <v>14.9</v>
      </c>
      <c r="O371" s="69"/>
      <c r="P371" s="49"/>
      <c r="Q371" s="169"/>
      <c r="R371" s="50"/>
      <c r="S371" s="50"/>
      <c r="T371" s="50"/>
      <c r="U371" s="50"/>
      <c r="V371" s="50"/>
      <c r="W371" s="50"/>
      <c r="X371" s="169"/>
      <c r="Y371" s="169"/>
      <c r="Z371" s="169"/>
      <c r="AA371" s="169"/>
      <c r="AB371" s="50" t="s">
        <v>394</v>
      </c>
      <c r="AC371" s="169"/>
      <c r="AD371" s="169"/>
      <c r="AE371" s="169"/>
      <c r="AF371" s="169"/>
      <c r="AG371" s="169"/>
      <c r="AH371" s="169"/>
      <c r="AI371" s="169"/>
      <c r="AJ371" s="169"/>
      <c r="AK371" s="169"/>
      <c r="AL371" s="169"/>
      <c r="AM371" s="169"/>
      <c r="AN371" s="169"/>
      <c r="AO371" s="169"/>
      <c r="AP371" s="169"/>
      <c r="AQ371" s="169"/>
      <c r="AR371" s="169"/>
      <c r="AS371" s="169"/>
      <c r="AT371" s="169"/>
      <c r="AU371" s="169"/>
      <c r="AV371" s="169"/>
      <c r="AW371" s="169"/>
      <c r="AX371" s="169"/>
      <c r="AY371" s="169"/>
      <c r="AZ371" s="169"/>
      <c r="BA371" s="169"/>
      <c r="BB371" s="169"/>
      <c r="BC371" s="169"/>
    </row>
    <row r="372" spans="1:55">
      <c r="A372" s="169"/>
      <c r="B372" s="169"/>
      <c r="C372" s="169"/>
      <c r="D372" s="335"/>
      <c r="E372" s="250"/>
      <c r="F372" s="250"/>
      <c r="G372" s="250"/>
      <c r="H372" s="250"/>
      <c r="I372" s="384" t="s">
        <v>263</v>
      </c>
      <c r="J372" s="278">
        <v>4.9000000000000004</v>
      </c>
      <c r="K372" s="279">
        <v>11</v>
      </c>
      <c r="L372" s="279">
        <v>12</v>
      </c>
      <c r="M372" s="279">
        <v>13</v>
      </c>
      <c r="N372" s="279">
        <v>13.9</v>
      </c>
      <c r="O372" s="69"/>
      <c r="P372" s="49"/>
      <c r="Q372" s="169"/>
      <c r="R372" s="50"/>
      <c r="S372" s="50"/>
      <c r="T372" s="50"/>
      <c r="U372" s="50"/>
      <c r="V372" s="50"/>
      <c r="W372" s="50"/>
      <c r="X372" s="169"/>
      <c r="Y372" s="169"/>
      <c r="Z372" s="169"/>
      <c r="AA372" s="169"/>
      <c r="AB372" s="50" t="s">
        <v>395</v>
      </c>
      <c r="AC372" s="169"/>
      <c r="AD372" s="169"/>
      <c r="AE372" s="169"/>
      <c r="AF372" s="169"/>
      <c r="AG372" s="169"/>
      <c r="AH372" s="169"/>
      <c r="AI372" s="169"/>
      <c r="AJ372" s="169"/>
      <c r="AK372" s="169"/>
      <c r="AL372" s="169"/>
      <c r="AM372" s="169"/>
      <c r="AN372" s="169"/>
      <c r="AO372" s="169"/>
      <c r="AP372" s="169"/>
      <c r="AQ372" s="169"/>
      <c r="AR372" s="169"/>
      <c r="AS372" s="169"/>
      <c r="AT372" s="169"/>
      <c r="AU372" s="169"/>
      <c r="AV372" s="169"/>
      <c r="AW372" s="169"/>
      <c r="AX372" s="169"/>
      <c r="AY372" s="169"/>
      <c r="AZ372" s="169"/>
      <c r="BA372" s="169"/>
      <c r="BB372" s="169"/>
      <c r="BC372" s="169"/>
    </row>
    <row r="373" spans="1:55">
      <c r="A373" s="169"/>
      <c r="B373" s="169"/>
      <c r="C373" s="169"/>
      <c r="D373" s="335"/>
      <c r="E373" s="250"/>
      <c r="F373" s="250"/>
      <c r="G373" s="250"/>
      <c r="H373" s="250"/>
      <c r="I373" s="384" t="s">
        <v>264</v>
      </c>
      <c r="J373" s="278">
        <v>5.2</v>
      </c>
      <c r="K373" s="279">
        <v>10</v>
      </c>
      <c r="L373" s="279">
        <v>8.9</v>
      </c>
      <c r="M373" s="279">
        <v>8.3000000000000007</v>
      </c>
      <c r="N373" s="279">
        <v>7.5</v>
      </c>
      <c r="O373" s="69"/>
      <c r="P373" s="49"/>
      <c r="Q373" s="169"/>
      <c r="R373" s="50"/>
      <c r="S373" s="50"/>
      <c r="T373" s="50"/>
      <c r="U373" s="50"/>
      <c r="V373" s="50"/>
      <c r="W373" s="50"/>
      <c r="X373" s="169"/>
      <c r="Y373" s="169"/>
      <c r="Z373" s="169"/>
      <c r="AA373" s="169"/>
      <c r="AB373" s="169"/>
      <c r="AC373" s="169"/>
      <c r="AD373" s="169"/>
      <c r="AE373" s="169"/>
      <c r="AF373" s="169"/>
      <c r="AG373" s="169"/>
      <c r="AH373" s="169"/>
      <c r="AI373" s="169"/>
      <c r="AJ373" s="169"/>
      <c r="AK373" s="169"/>
      <c r="AL373" s="169"/>
      <c r="AM373" s="169"/>
      <c r="AN373" s="169"/>
      <c r="AO373" s="169"/>
      <c r="AP373" s="169"/>
      <c r="AQ373" s="169"/>
      <c r="AR373" s="169"/>
      <c r="AS373" s="169"/>
      <c r="AT373" s="169"/>
      <c r="AU373" s="169"/>
      <c r="AV373" s="169"/>
      <c r="AW373" s="169"/>
      <c r="AX373" s="169"/>
      <c r="AY373" s="169"/>
      <c r="AZ373" s="169"/>
      <c r="BA373" s="169"/>
      <c r="BB373" s="169"/>
      <c r="BC373" s="169"/>
    </row>
    <row r="374" spans="1:55">
      <c r="A374" s="169"/>
      <c r="B374" s="169"/>
      <c r="C374" s="169"/>
      <c r="D374" s="335"/>
      <c r="E374" s="250"/>
      <c r="F374" s="250"/>
      <c r="G374" s="250"/>
      <c r="H374" s="250"/>
      <c r="I374" s="392" t="s">
        <v>137</v>
      </c>
      <c r="J374" s="383">
        <f>SUM(J371:J373)</f>
        <v>17.3</v>
      </c>
      <c r="K374" s="383">
        <f>SUM(K371:K373)</f>
        <v>35.700000000000003</v>
      </c>
      <c r="L374" s="383">
        <f>SUM(L371:L373)</f>
        <v>36.9</v>
      </c>
      <c r="M374" s="383">
        <f>SUM(M371:M373)</f>
        <v>36.200000000000003</v>
      </c>
      <c r="N374" s="383">
        <f>SUM(N371:N373)</f>
        <v>36.299999999999997</v>
      </c>
      <c r="O374" s="60"/>
      <c r="P374" s="49"/>
      <c r="Q374" s="169"/>
      <c r="R374" s="50"/>
      <c r="S374" s="50"/>
      <c r="T374" s="50"/>
      <c r="U374" s="50"/>
      <c r="V374" s="50"/>
      <c r="W374" s="50"/>
      <c r="X374" s="49" t="s">
        <v>685</v>
      </c>
      <c r="Y374" s="169"/>
      <c r="Z374" s="169"/>
      <c r="AA374" s="169"/>
      <c r="AB374" s="169"/>
      <c r="AC374" s="169"/>
      <c r="AD374" s="169"/>
      <c r="AE374" s="169"/>
      <c r="AF374" s="169"/>
      <c r="AG374" s="169"/>
      <c r="AH374" s="169"/>
      <c r="AI374" s="169"/>
      <c r="AJ374" s="169"/>
      <c r="AK374" s="169"/>
      <c r="AL374" s="169"/>
      <c r="AM374" s="169"/>
      <c r="AN374" s="169"/>
      <c r="AO374" s="169"/>
      <c r="AP374" s="169"/>
      <c r="AQ374" s="169"/>
      <c r="AR374" s="169"/>
      <c r="AS374" s="169"/>
      <c r="AT374" s="169"/>
      <c r="AU374" s="169"/>
      <c r="AV374" s="169"/>
      <c r="AW374" s="169"/>
      <c r="AX374" s="169"/>
      <c r="AY374" s="169"/>
      <c r="AZ374" s="169"/>
      <c r="BA374" s="169"/>
      <c r="BB374" s="169"/>
      <c r="BC374" s="169"/>
    </row>
    <row r="375" spans="1:55">
      <c r="A375" s="169"/>
      <c r="B375" s="169"/>
      <c r="C375" s="169"/>
      <c r="D375" s="335"/>
      <c r="E375" s="250"/>
      <c r="F375" s="250"/>
      <c r="G375" s="250"/>
      <c r="H375" s="250"/>
      <c r="I375" s="180" t="s">
        <v>265</v>
      </c>
      <c r="J375" s="264">
        <f>J371/J374</f>
        <v>0.41618497109826591</v>
      </c>
      <c r="K375" s="264">
        <f>K371/K374</f>
        <v>0.41176470588235287</v>
      </c>
      <c r="L375" s="264">
        <f>L371/L374</f>
        <v>0.43360433604336046</v>
      </c>
      <c r="M375" s="264">
        <f>M371/M374</f>
        <v>0.41160220994475138</v>
      </c>
      <c r="N375" s="264">
        <f>N371/N374</f>
        <v>0.41046831955922869</v>
      </c>
      <c r="O375" s="53"/>
      <c r="P375" s="49"/>
      <c r="Q375" s="169"/>
      <c r="R375" s="50"/>
      <c r="S375" s="50"/>
      <c r="T375" s="50"/>
      <c r="U375" s="50"/>
      <c r="V375" s="50"/>
      <c r="W375" s="50"/>
      <c r="X375" s="50" t="s">
        <v>396</v>
      </c>
      <c r="Y375" s="169"/>
      <c r="Z375" s="169"/>
      <c r="AA375" s="169"/>
      <c r="AB375" s="169"/>
      <c r="AC375" s="169"/>
      <c r="AD375" s="169"/>
      <c r="AE375" s="169"/>
      <c r="AF375" s="169"/>
      <c r="AG375" s="169"/>
      <c r="AH375" s="169"/>
      <c r="AI375" s="169"/>
      <c r="AJ375" s="169"/>
      <c r="AK375" s="169"/>
      <c r="AL375" s="169"/>
      <c r="AM375" s="169"/>
      <c r="AN375" s="169"/>
      <c r="AO375" s="169"/>
      <c r="AP375" s="169"/>
      <c r="AQ375" s="169"/>
      <c r="AR375" s="169"/>
      <c r="AS375" s="169"/>
      <c r="AT375" s="169"/>
      <c r="AU375" s="169"/>
      <c r="AV375" s="169"/>
      <c r="AW375" s="169"/>
      <c r="AX375" s="169"/>
      <c r="AY375" s="169"/>
      <c r="AZ375" s="169"/>
      <c r="BA375" s="169"/>
      <c r="BB375" s="169"/>
      <c r="BC375" s="169"/>
    </row>
    <row r="376" spans="1:55">
      <c r="A376" s="169"/>
      <c r="B376" s="169"/>
      <c r="C376" s="169"/>
      <c r="D376" s="335"/>
      <c r="E376" s="250"/>
      <c r="F376" s="250"/>
      <c r="G376" s="250"/>
      <c r="H376" s="250"/>
      <c r="I376" s="832" t="s">
        <v>689</v>
      </c>
      <c r="J376" s="721">
        <f>(J371+J373)/J374</f>
        <v>0.7167630057803468</v>
      </c>
      <c r="K376" s="721">
        <f>(K371+K373)/K374</f>
        <v>0.69187675070027999</v>
      </c>
      <c r="L376" s="721">
        <f>(L371+L373)/L374</f>
        <v>0.67479674796747968</v>
      </c>
      <c r="M376" s="721">
        <f>(M371+M373)/M374</f>
        <v>0.64088397790055252</v>
      </c>
      <c r="N376" s="721">
        <f>(N371+N373)/N374</f>
        <v>0.61707988980716255</v>
      </c>
      <c r="O376" s="376">
        <f>(J376+2*K376+2*L376+AVERAGE(M376:N376))/6</f>
        <v>0.67984865616162071</v>
      </c>
      <c r="P376" s="49"/>
      <c r="Q376" s="169"/>
      <c r="R376" s="50"/>
      <c r="S376" s="50"/>
      <c r="T376" s="50"/>
      <c r="U376" s="50"/>
      <c r="V376" s="50"/>
      <c r="W376" s="50"/>
      <c r="X376" s="50" t="s">
        <v>397</v>
      </c>
      <c r="Y376" s="169"/>
      <c r="Z376" s="169"/>
      <c r="AA376" s="169"/>
      <c r="AB376" s="169"/>
      <c r="AC376" s="169"/>
      <c r="AD376" s="169"/>
      <c r="AE376" s="169"/>
      <c r="AF376" s="169"/>
      <c r="AG376" s="169"/>
      <c r="AH376" s="169"/>
      <c r="AI376" s="169"/>
      <c r="AJ376" s="169"/>
      <c r="AK376" s="169"/>
      <c r="AL376" s="169"/>
      <c r="AM376" s="169"/>
      <c r="AN376" s="169"/>
      <c r="AO376" s="169"/>
      <c r="AP376" s="169"/>
      <c r="AQ376" s="169"/>
      <c r="AR376" s="169"/>
      <c r="AS376" s="169"/>
      <c r="AT376" s="169"/>
      <c r="AU376" s="169"/>
      <c r="AV376" s="169"/>
      <c r="AW376" s="169"/>
      <c r="AX376" s="169"/>
      <c r="AY376" s="169"/>
      <c r="AZ376" s="169"/>
      <c r="BA376" s="169"/>
      <c r="BB376" s="169"/>
      <c r="BC376" s="169"/>
    </row>
    <row r="377" spans="1:55">
      <c r="A377" s="169"/>
      <c r="B377" s="169"/>
      <c r="C377" s="169"/>
      <c r="D377" s="335"/>
      <c r="E377" s="250"/>
      <c r="F377" s="250"/>
      <c r="G377" s="250"/>
      <c r="H377" s="250"/>
      <c r="I377" s="180" t="s">
        <v>687</v>
      </c>
      <c r="J377" s="264">
        <f t="shared" ref="J377:N378" si="12">J371/J363</f>
        <v>0.30125523012552302</v>
      </c>
      <c r="K377" s="264">
        <f t="shared" si="12"/>
        <v>0.29051383399209485</v>
      </c>
      <c r="L377" s="264">
        <f t="shared" si="12"/>
        <v>0.31007751937984496</v>
      </c>
      <c r="M377" s="264">
        <f t="shared" si="12"/>
        <v>0.29388560157790927</v>
      </c>
      <c r="N377" s="264">
        <f t="shared" si="12"/>
        <v>0.29446640316205536</v>
      </c>
      <c r="O377" s="53"/>
      <c r="P377" s="49"/>
      <c r="Q377" s="169"/>
      <c r="R377" s="50"/>
      <c r="S377" s="50"/>
      <c r="T377" s="50"/>
      <c r="U377" s="50"/>
      <c r="V377" s="50"/>
      <c r="W377" s="50"/>
      <c r="X377" s="169"/>
      <c r="Y377" s="169"/>
      <c r="Z377" s="169"/>
      <c r="AA377" s="169"/>
      <c r="AB377" s="169"/>
      <c r="AC377" s="169"/>
      <c r="AD377" s="169"/>
      <c r="AE377" s="169"/>
      <c r="AF377" s="169"/>
      <c r="AG377" s="169"/>
      <c r="AH377" s="169"/>
      <c r="AI377" s="169"/>
      <c r="AJ377" s="169"/>
      <c r="AK377" s="169"/>
      <c r="AL377" s="169"/>
      <c r="AM377" s="169"/>
      <c r="AN377" s="169"/>
      <c r="AO377" s="169"/>
      <c r="AP377" s="169"/>
      <c r="AQ377" s="169"/>
      <c r="AR377" s="169"/>
      <c r="AS377" s="169"/>
      <c r="AT377" s="169"/>
      <c r="AU377" s="169"/>
      <c r="AV377" s="169"/>
      <c r="AW377" s="169"/>
      <c r="AX377" s="169"/>
      <c r="AY377" s="169"/>
      <c r="AZ377" s="169"/>
      <c r="BA377" s="169"/>
      <c r="BB377" s="169"/>
      <c r="BC377" s="169"/>
    </row>
    <row r="378" spans="1:55">
      <c r="A378" s="169"/>
      <c r="B378" s="169"/>
      <c r="C378" s="169"/>
      <c r="D378" s="335"/>
      <c r="E378" s="250"/>
      <c r="F378" s="250"/>
      <c r="G378" s="250"/>
      <c r="H378" s="250"/>
      <c r="I378" s="180" t="s">
        <v>688</v>
      </c>
      <c r="J378" s="264">
        <f t="shared" si="12"/>
        <v>0.31410256410256415</v>
      </c>
      <c r="K378" s="264">
        <f t="shared" si="12"/>
        <v>0.30812324929971985</v>
      </c>
      <c r="L378" s="264">
        <f t="shared" si="12"/>
        <v>0.32697547683923706</v>
      </c>
      <c r="M378" s="264">
        <f t="shared" si="12"/>
        <v>0.32581453634085217</v>
      </c>
      <c r="N378" s="264">
        <f t="shared" si="12"/>
        <v>0.32101616628175522</v>
      </c>
      <c r="O378" s="53"/>
      <c r="P378" s="49"/>
      <c r="Q378" s="169"/>
      <c r="R378" s="50"/>
      <c r="S378" s="50"/>
      <c r="T378" s="50"/>
      <c r="U378" s="50"/>
      <c r="V378" s="50"/>
      <c r="W378" s="50"/>
      <c r="X378" s="57" t="s">
        <v>690</v>
      </c>
      <c r="Y378" s="169"/>
      <c r="Z378" s="169"/>
      <c r="AA378" s="169"/>
      <c r="AB378" s="169"/>
      <c r="AC378" s="169"/>
      <c r="AD378" s="169"/>
      <c r="AE378" s="169"/>
      <c r="AF378" s="169"/>
      <c r="AG378" s="169"/>
      <c r="AH378" s="169"/>
      <c r="AI378" s="169"/>
      <c r="AJ378" s="169"/>
      <c r="AK378" s="169"/>
      <c r="AL378" s="169"/>
      <c r="AM378" s="169"/>
      <c r="AN378" s="169"/>
      <c r="AO378" s="169"/>
      <c r="AP378" s="169"/>
      <c r="AQ378" s="169"/>
      <c r="AR378" s="169"/>
      <c r="AS378" s="169"/>
      <c r="AT378" s="169"/>
      <c r="AU378" s="169"/>
      <c r="AV378" s="169"/>
      <c r="AW378" s="169"/>
      <c r="AX378" s="169"/>
      <c r="AY378" s="169"/>
      <c r="AZ378" s="169"/>
      <c r="BA378" s="169"/>
      <c r="BB378" s="169"/>
      <c r="BC378" s="169"/>
    </row>
    <row r="379" spans="1:55">
      <c r="A379" s="169"/>
      <c r="B379" s="169"/>
      <c r="C379" s="169"/>
      <c r="D379" s="335"/>
      <c r="E379" s="250"/>
      <c r="F379" s="250"/>
      <c r="G379" s="250"/>
      <c r="H379" s="250"/>
      <c r="I379" s="49"/>
      <c r="J379" s="250"/>
      <c r="K379" s="264"/>
      <c r="L379" s="264"/>
      <c r="M379" s="264"/>
      <c r="N379" s="264"/>
      <c r="O379" s="53"/>
      <c r="P379" s="49"/>
      <c r="Q379" s="169"/>
      <c r="R379" s="50"/>
      <c r="S379" s="50"/>
      <c r="T379" s="50"/>
      <c r="U379" s="50"/>
      <c r="V379" s="50"/>
      <c r="W379" s="50"/>
      <c r="X379" s="169"/>
      <c r="Y379" s="169"/>
      <c r="Z379" s="169"/>
      <c r="AA379" s="169"/>
      <c r="AB379" s="169"/>
      <c r="AC379" s="169"/>
      <c r="AD379" s="169"/>
      <c r="AE379" s="169"/>
      <c r="AF379" s="169"/>
      <c r="AG379" s="169"/>
      <c r="AH379" s="169"/>
      <c r="AI379" s="169"/>
      <c r="AJ379" s="169"/>
      <c r="AK379" s="169"/>
      <c r="AL379" s="169"/>
      <c r="AM379" s="169"/>
      <c r="AN379" s="169"/>
      <c r="AO379" s="169"/>
      <c r="AP379" s="169"/>
      <c r="AQ379" s="169"/>
      <c r="AR379" s="169"/>
      <c r="AS379" s="169"/>
      <c r="AT379" s="169"/>
      <c r="AU379" s="169"/>
      <c r="AV379" s="169"/>
      <c r="AW379" s="169"/>
      <c r="AX379" s="169"/>
      <c r="AY379" s="169"/>
      <c r="AZ379" s="169"/>
      <c r="BA379" s="169"/>
      <c r="BB379" s="169"/>
      <c r="BC379" s="169"/>
    </row>
    <row r="380" spans="1:55">
      <c r="A380" s="169"/>
      <c r="B380" s="169"/>
      <c r="C380" s="169"/>
      <c r="D380" s="335"/>
      <c r="E380" s="250"/>
      <c r="F380" s="250"/>
      <c r="G380" s="250"/>
      <c r="H380" s="250"/>
      <c r="I380" s="290" t="s">
        <v>393</v>
      </c>
      <c r="J380" s="250"/>
      <c r="K380" s="264"/>
      <c r="L380" s="264"/>
      <c r="M380" s="264"/>
      <c r="N380" s="264"/>
      <c r="O380" s="53"/>
      <c r="P380" s="49"/>
      <c r="Q380" s="169"/>
      <c r="R380" s="50"/>
      <c r="S380" s="50"/>
      <c r="T380" s="50"/>
      <c r="U380" s="50"/>
      <c r="V380" s="50"/>
      <c r="W380" s="50"/>
      <c r="X380" s="53"/>
      <c r="Y380" s="169"/>
      <c r="Z380" s="169"/>
      <c r="AA380" s="169"/>
      <c r="AB380" s="169"/>
      <c r="AC380" s="169"/>
      <c r="AD380" s="169"/>
      <c r="AE380" s="169"/>
      <c r="AF380" s="169"/>
      <c r="AG380" s="169"/>
      <c r="AH380" s="169"/>
      <c r="AI380" s="169"/>
      <c r="AJ380" s="169"/>
      <c r="AK380" s="169"/>
      <c r="AL380" s="169"/>
      <c r="AM380" s="169"/>
      <c r="AN380" s="169"/>
      <c r="AO380" s="169"/>
      <c r="AP380" s="169"/>
      <c r="AQ380" s="169"/>
      <c r="AR380" s="169"/>
      <c r="AS380" s="169"/>
      <c r="AT380" s="169"/>
      <c r="AU380" s="169"/>
      <c r="AV380" s="169"/>
      <c r="AW380" s="169"/>
      <c r="AX380" s="169"/>
      <c r="AY380" s="169"/>
      <c r="AZ380" s="169"/>
      <c r="BA380" s="169"/>
      <c r="BB380" s="169"/>
      <c r="BC380" s="169"/>
    </row>
    <row r="381" spans="1:55">
      <c r="A381" s="169"/>
      <c r="B381" s="169"/>
      <c r="C381" s="169"/>
      <c r="D381" s="335"/>
      <c r="E381" s="250"/>
      <c r="F381" s="250"/>
      <c r="G381" s="250"/>
      <c r="H381" s="250"/>
      <c r="I381" s="388" t="s">
        <v>261</v>
      </c>
      <c r="J381" s="393">
        <f>J375/J367</f>
        <v>0.86023169758386353</v>
      </c>
      <c r="K381" s="393">
        <f>K375/K367</f>
        <v>0.86259009532666819</v>
      </c>
      <c r="L381" s="393">
        <f>L375/L367</f>
        <v>0.88737631562362151</v>
      </c>
      <c r="M381" s="393">
        <f>M375/M367</f>
        <v>0.86947922455784754</v>
      </c>
      <c r="N381" s="393">
        <f>N375/N367</f>
        <v>0.88177680506103073</v>
      </c>
      <c r="O381" s="439">
        <f>(J381+2*K381+2*L381+AVERAGE(M381:N381))/6</f>
        <v>0.87263208904898037</v>
      </c>
      <c r="P381" s="49"/>
      <c r="Q381" s="169"/>
      <c r="R381" s="50"/>
      <c r="S381" s="50"/>
      <c r="T381" s="50"/>
      <c r="U381" s="50"/>
      <c r="V381" s="50"/>
      <c r="W381" s="50"/>
      <c r="X381" s="53"/>
      <c r="Y381" s="169"/>
      <c r="Z381" s="169"/>
      <c r="AA381" s="169"/>
      <c r="AB381" s="169"/>
      <c r="AC381" s="169"/>
      <c r="AD381" s="169"/>
      <c r="AE381" s="169"/>
      <c r="AF381" s="169"/>
      <c r="AG381" s="169"/>
      <c r="AH381" s="169"/>
      <c r="AI381" s="169"/>
      <c r="AJ381" s="169"/>
      <c r="AK381" s="169"/>
      <c r="AL381" s="169"/>
      <c r="AM381" s="169"/>
      <c r="AN381" s="169"/>
      <c r="AO381" s="169"/>
      <c r="AP381" s="169"/>
      <c r="AQ381" s="169"/>
      <c r="AR381" s="169"/>
      <c r="AS381" s="169"/>
      <c r="AT381" s="169"/>
      <c r="AU381" s="169"/>
      <c r="AV381" s="169"/>
      <c r="AW381" s="169"/>
      <c r="AX381" s="169"/>
      <c r="AY381" s="169"/>
      <c r="AZ381" s="169"/>
      <c r="BA381" s="169"/>
      <c r="BB381" s="169"/>
      <c r="BC381" s="169"/>
    </row>
    <row r="382" spans="1:55">
      <c r="A382" s="169"/>
      <c r="B382" s="169"/>
      <c r="C382" s="169"/>
      <c r="D382" s="335"/>
      <c r="E382" s="250"/>
      <c r="F382" s="250"/>
      <c r="G382" s="250"/>
      <c r="H382" s="250"/>
      <c r="I382" s="388" t="s">
        <v>263</v>
      </c>
      <c r="J382" s="281">
        <f>(J372/J374)/(J364/J366)</f>
        <v>0.89691714836223524</v>
      </c>
      <c r="K382" s="281">
        <f>(K372/K374)/(K364/K366)</f>
        <v>0.91487575422325784</v>
      </c>
      <c r="L382" s="281">
        <f>(L372/L374)/(L364/L366)</f>
        <v>0.93573469794643449</v>
      </c>
      <c r="M382" s="281">
        <f>(M372/M374)/(M364/M366)</f>
        <v>0.9639430066879906</v>
      </c>
      <c r="N382" s="281">
        <f>(N372/N374)/(N364/N366)</f>
        <v>0.96127981473352053</v>
      </c>
      <c r="O382" s="439">
        <f>(J382+2*K382+2*L382+AVERAGE(M382:N382))/6</f>
        <v>0.92679157723539574</v>
      </c>
      <c r="P382" s="49"/>
      <c r="Q382" s="182"/>
      <c r="R382" s="50"/>
      <c r="S382" s="50"/>
      <c r="T382" s="50"/>
      <c r="U382" s="50"/>
      <c r="V382" s="50"/>
      <c r="W382" s="50"/>
      <c r="X382" s="53"/>
      <c r="Y382" s="169"/>
      <c r="Z382" s="169"/>
      <c r="AA382" s="169"/>
      <c r="AB382" s="169"/>
      <c r="AC382" s="169"/>
      <c r="AD382" s="169"/>
      <c r="AE382" s="169"/>
      <c r="AF382" s="169"/>
      <c r="AG382" s="169"/>
      <c r="AH382" s="169"/>
      <c r="AI382" s="169"/>
      <c r="AJ382" s="169"/>
      <c r="AK382" s="169"/>
      <c r="AL382" s="169"/>
      <c r="AM382" s="169"/>
      <c r="AN382" s="169"/>
      <c r="AO382" s="169"/>
      <c r="AP382" s="169"/>
      <c r="AQ382" s="169"/>
      <c r="AR382" s="169"/>
      <c r="AS382" s="169"/>
      <c r="AT382" s="169"/>
      <c r="AU382" s="169"/>
      <c r="AV382" s="169"/>
      <c r="AW382" s="169"/>
      <c r="AX382" s="169"/>
      <c r="AY382" s="169"/>
      <c r="AZ382" s="169"/>
      <c r="BA382" s="169"/>
      <c r="BB382" s="169"/>
      <c r="BC382" s="169"/>
    </row>
    <row r="383" spans="1:55">
      <c r="A383" s="169"/>
      <c r="B383" s="169"/>
      <c r="C383" s="169"/>
      <c r="D383" s="335"/>
      <c r="E383" s="250"/>
      <c r="F383" s="250"/>
      <c r="G383" s="250"/>
      <c r="H383" s="250"/>
      <c r="I383" s="388" t="s">
        <v>264</v>
      </c>
      <c r="J383" s="281">
        <f>(J373/J374)/(J365/J366)</f>
        <v>1.4998540316459392</v>
      </c>
      <c r="K383" s="281">
        <f>(K373/K374)/(K365/K366)</f>
        <v>1.507201865517781</v>
      </c>
      <c r="L383" s="281">
        <f>(L373/L374)/(L365/L366)</f>
        <v>1.4722496357911556</v>
      </c>
      <c r="M383" s="281">
        <f>(M373/M374)/(M365/M366)</f>
        <v>1.4882471120040179</v>
      </c>
      <c r="N383" s="281">
        <f>(N373/N374)/(N365/N366)</f>
        <v>1.5174782220236764</v>
      </c>
      <c r="O383" s="439">
        <f>(J383+2*K383+2*L383+AVERAGE(M383:N383))/6</f>
        <v>1.4936032835462765</v>
      </c>
      <c r="P383" s="49"/>
      <c r="Q383" s="169"/>
      <c r="R383" s="50"/>
      <c r="S383" s="50"/>
      <c r="T383" s="50"/>
      <c r="U383" s="50"/>
      <c r="V383" s="50"/>
      <c r="W383" s="50"/>
      <c r="X383" s="53"/>
      <c r="Y383" s="169"/>
      <c r="Z383" s="169"/>
      <c r="AA383" s="169"/>
      <c r="AB383" s="169"/>
      <c r="AC383" s="169"/>
      <c r="AD383" s="169"/>
      <c r="AE383" s="169"/>
      <c r="AF383" s="169"/>
      <c r="AG383" s="169"/>
      <c r="AH383" s="169"/>
      <c r="AI383" s="169"/>
      <c r="AJ383" s="169"/>
      <c r="AK383" s="169"/>
      <c r="AL383" s="169"/>
      <c r="AM383" s="169"/>
      <c r="AN383" s="169"/>
      <c r="AO383" s="169"/>
      <c r="AP383" s="169"/>
      <c r="AQ383" s="169"/>
      <c r="AR383" s="169"/>
      <c r="AS383" s="169"/>
      <c r="AT383" s="169"/>
      <c r="AU383" s="169"/>
      <c r="AV383" s="169"/>
      <c r="AW383" s="169"/>
      <c r="AX383" s="169"/>
      <c r="AY383" s="169"/>
      <c r="AZ383" s="169"/>
      <c r="BA383" s="169"/>
      <c r="BB383" s="169"/>
      <c r="BC383" s="169"/>
    </row>
    <row r="384" spans="1:55">
      <c r="A384" s="169"/>
      <c r="B384" s="169"/>
      <c r="C384" s="169"/>
      <c r="D384" s="335"/>
      <c r="E384" s="250"/>
      <c r="F384" s="250"/>
      <c r="G384" s="250"/>
      <c r="H384" s="250"/>
      <c r="I384" s="812" t="s">
        <v>918</v>
      </c>
      <c r="J384" s="883">
        <f>J376/J368</f>
        <v>1.0475767007558914</v>
      </c>
      <c r="K384" s="883">
        <f>K376/K368</f>
        <v>1.0432281020516314</v>
      </c>
      <c r="L384" s="883">
        <f>L376/L368</f>
        <v>1.0342313002230168</v>
      </c>
      <c r="M384" s="883">
        <f>M376/M368</f>
        <v>1.0214088397790053</v>
      </c>
      <c r="N384" s="883">
        <f>N376/N368</f>
        <v>1.0256358413155744</v>
      </c>
      <c r="O384" s="439">
        <f>(J384+2*K384+2*L384+AVERAGE(M384:N384))/6</f>
        <v>1.0376696409754129</v>
      </c>
      <c r="P384" s="49"/>
      <c r="Q384" s="49" t="s">
        <v>691</v>
      </c>
      <c r="R384" s="50"/>
      <c r="S384" s="50"/>
      <c r="T384" s="50"/>
      <c r="U384" s="50"/>
      <c r="V384" s="50"/>
      <c r="W384" s="50"/>
      <c r="X384" s="53"/>
      <c r="Y384" s="169"/>
      <c r="Z384" s="169"/>
      <c r="AA384" s="169"/>
      <c r="AB384" s="169"/>
      <c r="AC384" s="169"/>
      <c r="AD384" s="169"/>
      <c r="AE384" s="169"/>
      <c r="AF384" s="169"/>
      <c r="AG384" s="169"/>
      <c r="AH384" s="169"/>
      <c r="AI384" s="169"/>
      <c r="AJ384" s="169"/>
      <c r="AK384" s="169"/>
      <c r="AL384" s="169"/>
      <c r="AM384" s="169"/>
      <c r="AN384" s="169"/>
      <c r="AO384" s="169"/>
      <c r="AP384" s="169"/>
      <c r="AQ384" s="169"/>
      <c r="AR384" s="169"/>
      <c r="AS384" s="169"/>
      <c r="AT384" s="169"/>
      <c r="AU384" s="169"/>
      <c r="AV384" s="169"/>
      <c r="AW384" s="169"/>
      <c r="AX384" s="169"/>
      <c r="AY384" s="169"/>
      <c r="AZ384" s="169"/>
      <c r="BA384" s="169"/>
      <c r="BB384" s="169"/>
      <c r="BC384" s="169"/>
    </row>
    <row r="385" spans="1:55">
      <c r="A385" s="169"/>
      <c r="B385" s="169"/>
      <c r="C385" s="169"/>
      <c r="D385" s="335"/>
      <c r="E385" s="250"/>
      <c r="F385" s="250"/>
      <c r="G385" s="250"/>
      <c r="H385" s="250"/>
      <c r="I385" s="59"/>
      <c r="J385" s="282"/>
      <c r="K385" s="281"/>
      <c r="L385" s="281"/>
      <c r="M385" s="281"/>
      <c r="N385" s="281"/>
      <c r="O385" s="70"/>
      <c r="P385" s="49"/>
      <c r="Q385" s="169"/>
      <c r="R385" s="50"/>
      <c r="S385" s="50"/>
      <c r="T385" s="50"/>
      <c r="U385" s="50"/>
      <c r="V385" s="50"/>
      <c r="W385" s="50"/>
      <c r="X385" s="53"/>
      <c r="Y385" s="169"/>
      <c r="Z385" s="169"/>
      <c r="AA385" s="169"/>
      <c r="AB385" s="169"/>
      <c r="AC385" s="169"/>
      <c r="AD385" s="169"/>
      <c r="AE385" s="169"/>
      <c r="AF385" s="169"/>
      <c r="AG385" s="169"/>
      <c r="AH385" s="169"/>
      <c r="AI385" s="169"/>
      <c r="AJ385" s="169"/>
      <c r="AK385" s="169"/>
      <c r="AL385" s="169"/>
      <c r="AM385" s="169"/>
      <c r="AN385" s="169"/>
      <c r="AO385" s="169"/>
      <c r="AP385" s="169"/>
      <c r="AQ385" s="169"/>
      <c r="AR385" s="169"/>
      <c r="AS385" s="169"/>
      <c r="AT385" s="169"/>
      <c r="AU385" s="169"/>
      <c r="AV385" s="169"/>
      <c r="AW385" s="169"/>
      <c r="AX385" s="169"/>
      <c r="AY385" s="169"/>
      <c r="AZ385" s="169"/>
      <c r="BA385" s="169"/>
      <c r="BB385" s="169"/>
      <c r="BC385" s="169"/>
    </row>
    <row r="386" spans="1:55">
      <c r="A386" s="46" t="s">
        <v>49</v>
      </c>
      <c r="B386" s="177" t="s">
        <v>366</v>
      </c>
      <c r="C386" s="168" t="s">
        <v>266</v>
      </c>
      <c r="D386" s="1874"/>
      <c r="E386" s="253">
        <v>50.54</v>
      </c>
      <c r="F386" s="253">
        <v>55.15</v>
      </c>
      <c r="G386" s="253">
        <v>59.31</v>
      </c>
      <c r="H386" s="253"/>
      <c r="I386" s="47"/>
      <c r="J386" s="263"/>
      <c r="K386" s="263"/>
      <c r="L386" s="263"/>
      <c r="M386" s="263"/>
      <c r="N386" s="263"/>
      <c r="O386" s="47"/>
      <c r="P386" s="48"/>
      <c r="Q386" s="48"/>
      <c r="R386" s="48"/>
      <c r="S386" s="48"/>
      <c r="T386" s="48"/>
      <c r="U386" s="48"/>
      <c r="V386" s="48"/>
      <c r="W386" s="48"/>
      <c r="X386" s="168"/>
      <c r="Y386" s="168"/>
      <c r="Z386" s="168"/>
      <c r="AA386" s="168"/>
      <c r="AB386" s="168"/>
      <c r="AC386" s="168"/>
      <c r="AD386" s="168"/>
      <c r="AE386" s="168"/>
      <c r="AF386" s="168"/>
      <c r="AG386" s="168"/>
      <c r="AH386" s="168"/>
      <c r="AI386" s="168"/>
      <c r="AJ386" s="168"/>
      <c r="AK386" s="168"/>
      <c r="AL386" s="168"/>
      <c r="AM386" s="168"/>
      <c r="AN386" s="168"/>
      <c r="AO386" s="168"/>
      <c r="AP386" s="168"/>
      <c r="AQ386" s="168"/>
      <c r="AR386" s="168"/>
      <c r="AS386" s="168"/>
      <c r="AT386" s="168"/>
      <c r="AU386" s="168"/>
      <c r="AV386" s="168"/>
      <c r="AW386" s="168"/>
      <c r="AX386" s="168"/>
      <c r="AY386" s="168"/>
      <c r="AZ386" s="168"/>
      <c r="BA386" s="168"/>
      <c r="BB386" s="168"/>
      <c r="BC386" s="168"/>
    </row>
    <row r="387" spans="1:55">
      <c r="A387" s="169"/>
      <c r="B387" s="169"/>
      <c r="C387" s="169" t="s">
        <v>267</v>
      </c>
      <c r="D387" s="335"/>
      <c r="E387" s="250">
        <v>15.06</v>
      </c>
      <c r="F387" s="250">
        <v>13.42</v>
      </c>
      <c r="G387" s="250">
        <v>11.16</v>
      </c>
      <c r="H387" s="250"/>
      <c r="I387" s="49"/>
      <c r="J387" s="259"/>
      <c r="K387" s="259"/>
      <c r="L387" s="259"/>
      <c r="M387" s="259"/>
      <c r="N387" s="259"/>
      <c r="O387" s="49"/>
      <c r="P387" s="50"/>
      <c r="Q387" s="50" t="s">
        <v>338</v>
      </c>
      <c r="R387" s="50"/>
      <c r="S387" s="50"/>
      <c r="T387" s="50"/>
      <c r="U387" s="50"/>
      <c r="V387" s="50"/>
      <c r="W387" s="50"/>
      <c r="X387" s="169"/>
      <c r="Y387" s="169"/>
      <c r="Z387" s="169"/>
      <c r="AA387" s="169"/>
      <c r="AB387" s="169"/>
      <c r="AC387" s="169"/>
      <c r="AD387" s="169"/>
      <c r="AE387" s="169"/>
      <c r="AF387" s="169"/>
      <c r="AG387" s="169"/>
      <c r="AH387" s="169"/>
      <c r="AI387" s="169"/>
      <c r="AJ387" s="169"/>
      <c r="AK387" s="169"/>
      <c r="AL387" s="169"/>
      <c r="AM387" s="169"/>
      <c r="AN387" s="169"/>
      <c r="AO387" s="169"/>
      <c r="AP387" s="169"/>
      <c r="AQ387" s="169"/>
      <c r="AR387" s="169"/>
      <c r="AS387" s="169"/>
      <c r="AT387" s="169"/>
      <c r="AU387" s="169"/>
      <c r="AV387" s="169"/>
      <c r="AW387" s="169"/>
      <c r="AX387" s="169"/>
      <c r="AY387" s="169"/>
      <c r="AZ387" s="169"/>
      <c r="BA387" s="169"/>
      <c r="BB387" s="169"/>
      <c r="BC387" s="169"/>
    </row>
    <row r="388" spans="1:55">
      <c r="A388" s="169"/>
      <c r="B388" s="169"/>
      <c r="C388" s="169" t="s">
        <v>268</v>
      </c>
      <c r="D388" s="335"/>
      <c r="E388" s="250">
        <v>10.59</v>
      </c>
      <c r="F388" s="250">
        <v>11.33</v>
      </c>
      <c r="G388" s="250">
        <v>11.08</v>
      </c>
      <c r="H388" s="250"/>
      <c r="I388" s="49"/>
      <c r="J388" s="259"/>
      <c r="K388" s="259"/>
      <c r="L388" s="259"/>
      <c r="M388" s="259"/>
      <c r="N388" s="259"/>
      <c r="O388" s="49"/>
      <c r="P388" s="50"/>
      <c r="Q388" s="50"/>
      <c r="R388" s="50"/>
      <c r="S388" s="50"/>
      <c r="T388" s="50"/>
      <c r="U388" s="50"/>
      <c r="V388" s="50"/>
      <c r="W388" s="50"/>
      <c r="X388" s="169"/>
      <c r="Y388" s="169"/>
      <c r="Z388" s="169"/>
      <c r="AA388" s="169"/>
      <c r="AB388" s="169"/>
      <c r="AC388" s="169"/>
      <c r="AD388" s="169"/>
      <c r="AE388" s="169"/>
      <c r="AF388" s="169"/>
      <c r="AG388" s="169"/>
      <c r="AH388" s="169"/>
      <c r="AI388" s="169"/>
      <c r="AJ388" s="169"/>
      <c r="AK388" s="169"/>
      <c r="AL388" s="169"/>
      <c r="AM388" s="169"/>
      <c r="AN388" s="169"/>
      <c r="AO388" s="169"/>
      <c r="AP388" s="169"/>
      <c r="AQ388" s="169"/>
      <c r="AR388" s="169"/>
      <c r="AS388" s="169"/>
      <c r="AT388" s="169"/>
      <c r="AU388" s="169"/>
      <c r="AV388" s="169"/>
      <c r="AW388" s="169"/>
      <c r="AX388" s="169"/>
      <c r="AY388" s="169"/>
      <c r="AZ388" s="169"/>
      <c r="BA388" s="169"/>
      <c r="BB388" s="169"/>
      <c r="BC388" s="169"/>
    </row>
    <row r="389" spans="1:55">
      <c r="A389" s="169"/>
      <c r="B389" s="169"/>
      <c r="C389" s="169" t="s">
        <v>269</v>
      </c>
      <c r="D389" s="335"/>
      <c r="E389" s="250">
        <v>10.55</v>
      </c>
      <c r="F389" s="250">
        <v>7.82</v>
      </c>
      <c r="G389" s="250">
        <v>7.41</v>
      </c>
      <c r="H389" s="250"/>
      <c r="I389" s="49"/>
      <c r="J389" s="259"/>
      <c r="K389" s="259"/>
      <c r="L389" s="259"/>
      <c r="M389" s="259"/>
      <c r="N389" s="259"/>
      <c r="O389" s="49"/>
      <c r="P389" s="50"/>
      <c r="Q389" s="50"/>
      <c r="R389" s="50"/>
      <c r="S389" s="50"/>
      <c r="T389" s="50"/>
      <c r="U389" s="50"/>
      <c r="V389" s="50"/>
      <c r="W389" s="50"/>
      <c r="X389" s="169"/>
      <c r="Y389" s="169"/>
      <c r="Z389" s="169"/>
      <c r="AA389" s="169"/>
      <c r="AB389" s="169"/>
      <c r="AC389" s="169"/>
      <c r="AD389" s="169"/>
      <c r="AE389" s="169"/>
      <c r="AF389" s="169"/>
      <c r="AG389" s="169"/>
      <c r="AH389" s="169"/>
      <c r="AI389" s="169"/>
      <c r="AJ389" s="169"/>
      <c r="AK389" s="169"/>
      <c r="AL389" s="169"/>
      <c r="AM389" s="169"/>
      <c r="AN389" s="169"/>
      <c r="AO389" s="169"/>
      <c r="AP389" s="169"/>
      <c r="AQ389" s="169"/>
      <c r="AR389" s="169"/>
      <c r="AS389" s="169"/>
      <c r="AT389" s="169"/>
      <c r="AU389" s="169"/>
      <c r="AV389" s="169"/>
      <c r="AW389" s="169"/>
      <c r="AX389" s="169"/>
      <c r="AY389" s="169"/>
      <c r="AZ389" s="169"/>
      <c r="BA389" s="169"/>
      <c r="BB389" s="169"/>
      <c r="BC389" s="169"/>
    </row>
    <row r="390" spans="1:55">
      <c r="A390" s="169"/>
      <c r="B390" s="169"/>
      <c r="C390" s="169" t="s">
        <v>270</v>
      </c>
      <c r="D390" s="335"/>
      <c r="E390" s="250">
        <v>7.88</v>
      </c>
      <c r="F390" s="250">
        <v>7.87</v>
      </c>
      <c r="G390" s="250">
        <v>6.86</v>
      </c>
      <c r="H390" s="250"/>
      <c r="I390" s="49"/>
      <c r="J390" s="259"/>
      <c r="K390" s="259"/>
      <c r="L390" s="259"/>
      <c r="M390" s="259"/>
      <c r="N390" s="259"/>
      <c r="O390" s="49"/>
      <c r="P390" s="50"/>
      <c r="Q390" s="50"/>
      <c r="R390" s="50"/>
      <c r="S390" s="50"/>
      <c r="T390" s="50"/>
      <c r="U390" s="50"/>
      <c r="V390" s="50"/>
      <c r="W390" s="50"/>
      <c r="X390" s="169"/>
      <c r="Y390" s="169"/>
      <c r="Z390" s="169"/>
      <c r="AA390" s="169"/>
      <c r="AB390" s="169"/>
      <c r="AC390" s="169"/>
      <c r="AD390" s="169"/>
      <c r="AE390" s="169"/>
      <c r="AF390" s="169"/>
      <c r="AG390" s="169"/>
      <c r="AH390" s="169"/>
      <c r="AI390" s="169"/>
      <c r="AJ390" s="169"/>
      <c r="AK390" s="169"/>
      <c r="AL390" s="169"/>
      <c r="AM390" s="169"/>
      <c r="AN390" s="169"/>
      <c r="AO390" s="169"/>
      <c r="AP390" s="169"/>
      <c r="AQ390" s="169"/>
      <c r="AR390" s="169"/>
      <c r="AS390" s="169"/>
      <c r="AT390" s="169"/>
      <c r="AU390" s="169"/>
      <c r="AV390" s="169"/>
      <c r="AW390" s="169"/>
      <c r="AX390" s="169"/>
      <c r="AY390" s="169"/>
      <c r="AZ390" s="169"/>
      <c r="BA390" s="169"/>
      <c r="BB390" s="169"/>
      <c r="BC390" s="169"/>
    </row>
    <row r="391" spans="1:55">
      <c r="A391" s="169"/>
      <c r="B391" s="169"/>
      <c r="C391" s="169" t="s">
        <v>271</v>
      </c>
      <c r="D391" s="335"/>
      <c r="E391" s="250">
        <v>5.36</v>
      </c>
      <c r="F391" s="250">
        <v>4.41</v>
      </c>
      <c r="G391" s="250">
        <v>4.18</v>
      </c>
      <c r="H391" s="250"/>
      <c r="I391" s="49"/>
      <c r="J391" s="259"/>
      <c r="K391" s="259"/>
      <c r="L391" s="259"/>
      <c r="M391" s="259"/>
      <c r="N391" s="259"/>
      <c r="O391" s="49"/>
      <c r="P391" s="50"/>
      <c r="Q391" s="50"/>
      <c r="R391" s="50"/>
      <c r="S391" s="50"/>
      <c r="T391" s="50"/>
      <c r="U391" s="50"/>
      <c r="V391" s="50"/>
      <c r="W391" s="50"/>
      <c r="X391" s="169"/>
      <c r="Y391" s="169"/>
      <c r="Z391" s="169"/>
      <c r="AA391" s="169"/>
      <c r="AB391" s="169"/>
      <c r="AC391" s="169"/>
      <c r="AD391" s="169"/>
      <c r="AE391" s="169"/>
      <c r="AF391" s="169"/>
      <c r="AG391" s="169"/>
      <c r="AH391" s="169"/>
      <c r="AI391" s="169"/>
      <c r="AJ391" s="169"/>
      <c r="AK391" s="169"/>
      <c r="AL391" s="169"/>
      <c r="AM391" s="169"/>
      <c r="AN391" s="169"/>
      <c r="AO391" s="169"/>
      <c r="AP391" s="169"/>
      <c r="AQ391" s="169"/>
      <c r="AR391" s="169"/>
      <c r="AS391" s="169"/>
      <c r="AT391" s="169"/>
      <c r="AU391" s="169"/>
      <c r="AV391" s="169"/>
      <c r="AW391" s="169"/>
      <c r="AX391" s="169"/>
      <c r="AY391" s="169"/>
      <c r="AZ391" s="169"/>
      <c r="BA391" s="169"/>
      <c r="BB391" s="169"/>
      <c r="BC391" s="169"/>
    </row>
    <row r="392" spans="1:55">
      <c r="A392" s="169"/>
      <c r="B392" s="51" t="s">
        <v>366</v>
      </c>
      <c r="C392" s="51" t="s">
        <v>162</v>
      </c>
      <c r="D392" s="1870"/>
      <c r="E392" s="250">
        <v>88.55</v>
      </c>
      <c r="F392" s="250">
        <v>92.21</v>
      </c>
      <c r="G392" s="250">
        <v>92.59</v>
      </c>
      <c r="H392" s="250">
        <v>92.6</v>
      </c>
      <c r="I392" s="834" t="s">
        <v>369</v>
      </c>
      <c r="J392" s="721"/>
      <c r="K392" s="833">
        <f>E392/100</f>
        <v>0.88549999999999995</v>
      </c>
      <c r="L392" s="833">
        <f>F392/100</f>
        <v>0.92209999999999992</v>
      </c>
      <c r="M392" s="833">
        <f>G392/100</f>
        <v>0.92590000000000006</v>
      </c>
      <c r="N392" s="833">
        <f>H392/100</f>
        <v>0.92599999999999993</v>
      </c>
      <c r="O392" s="49"/>
      <c r="P392" s="50"/>
      <c r="Q392" s="50"/>
      <c r="R392" s="50"/>
      <c r="S392" s="50"/>
      <c r="T392" s="50"/>
      <c r="U392" s="50"/>
      <c r="V392" s="50"/>
      <c r="W392" s="50"/>
      <c r="X392" s="169"/>
      <c r="Y392" s="169"/>
      <c r="Z392" s="169"/>
      <c r="AA392" s="169"/>
      <c r="AB392" s="169"/>
      <c r="AC392" s="169"/>
      <c r="AD392" s="169"/>
      <c r="AE392" s="169"/>
      <c r="AF392" s="169"/>
      <c r="AG392" s="169"/>
      <c r="AH392" s="169"/>
      <c r="AI392" s="169"/>
      <c r="AJ392" s="169"/>
      <c r="AK392" s="169"/>
      <c r="AL392" s="169"/>
      <c r="AM392" s="169"/>
      <c r="AN392" s="169"/>
      <c r="AO392" s="169"/>
      <c r="AP392" s="169"/>
      <c r="AQ392" s="169"/>
      <c r="AR392" s="169"/>
      <c r="AS392" s="169"/>
      <c r="AT392" s="169"/>
      <c r="AU392" s="169"/>
      <c r="AV392" s="169"/>
      <c r="AW392" s="169"/>
      <c r="AX392" s="169"/>
      <c r="AY392" s="169"/>
      <c r="AZ392" s="169"/>
      <c r="BA392" s="169"/>
      <c r="BB392" s="169"/>
      <c r="BC392" s="169"/>
    </row>
    <row r="393" spans="1:55">
      <c r="A393" s="169"/>
      <c r="B393" s="169"/>
      <c r="C393" s="51" t="s">
        <v>272</v>
      </c>
      <c r="D393" s="1870"/>
      <c r="E393" s="250">
        <v>11.450000000000003</v>
      </c>
      <c r="F393" s="250">
        <v>7.79</v>
      </c>
      <c r="G393" s="250">
        <v>7.41</v>
      </c>
      <c r="H393" s="250">
        <v>7.4</v>
      </c>
      <c r="I393" s="49"/>
      <c r="J393" s="259"/>
      <c r="K393" s="259"/>
      <c r="L393" s="259"/>
      <c r="M393" s="259"/>
      <c r="N393" s="259"/>
      <c r="O393" s="49"/>
      <c r="P393" s="50"/>
      <c r="Q393" s="50"/>
      <c r="R393" s="50"/>
      <c r="S393" s="50"/>
      <c r="T393" s="50"/>
      <c r="U393" s="50"/>
      <c r="V393" s="50"/>
      <c r="W393" s="50"/>
      <c r="X393" s="169"/>
      <c r="Y393" s="169"/>
      <c r="Z393" s="169"/>
      <c r="AA393" s="169"/>
      <c r="AB393" s="169"/>
      <c r="AC393" s="169"/>
      <c r="AD393" s="169"/>
      <c r="AE393" s="169"/>
      <c r="AF393" s="169"/>
      <c r="AG393" s="169"/>
      <c r="AH393" s="169"/>
      <c r="AI393" s="169"/>
      <c r="AJ393" s="169"/>
      <c r="AK393" s="169"/>
      <c r="AL393" s="169"/>
      <c r="AM393" s="169"/>
      <c r="AN393" s="169"/>
      <c r="AO393" s="169"/>
      <c r="AP393" s="169"/>
      <c r="AQ393" s="169"/>
      <c r="AR393" s="169"/>
      <c r="AS393" s="169"/>
      <c r="AT393" s="169"/>
      <c r="AU393" s="169"/>
      <c r="AV393" s="169"/>
      <c r="AW393" s="169"/>
      <c r="AX393" s="169"/>
      <c r="AY393" s="169"/>
      <c r="AZ393" s="169"/>
      <c r="BA393" s="169"/>
      <c r="BB393" s="169"/>
      <c r="BC393" s="169"/>
    </row>
    <row r="394" spans="1:55">
      <c r="A394" s="179" t="s">
        <v>367</v>
      </c>
      <c r="B394" s="178" t="s">
        <v>366</v>
      </c>
      <c r="C394" s="169" t="s">
        <v>65</v>
      </c>
      <c r="D394" s="335"/>
      <c r="E394" s="250">
        <v>69.53</v>
      </c>
      <c r="F394" s="250">
        <v>68.17</v>
      </c>
      <c r="G394" s="250">
        <v>70.64</v>
      </c>
      <c r="H394" s="250">
        <v>74.75</v>
      </c>
      <c r="I394" s="49"/>
      <c r="J394" s="259"/>
      <c r="K394" s="259"/>
      <c r="L394" s="259"/>
      <c r="M394" s="259"/>
      <c r="N394" s="259"/>
      <c r="O394" s="49"/>
      <c r="P394" s="50"/>
      <c r="Q394" s="50"/>
      <c r="R394" s="50"/>
      <c r="S394" s="50"/>
      <c r="T394" s="50"/>
      <c r="U394" s="50"/>
      <c r="V394" s="50"/>
      <c r="W394" s="50"/>
      <c r="X394" s="169"/>
      <c r="Y394" s="169"/>
      <c r="Z394" s="169"/>
      <c r="AA394" s="169"/>
      <c r="AB394" s="169"/>
      <c r="AC394" s="169"/>
      <c r="AD394" s="169"/>
      <c r="AE394" s="169"/>
      <c r="AF394" s="169"/>
      <c r="AG394" s="169"/>
      <c r="AH394" s="169"/>
      <c r="AI394" s="169"/>
      <c r="AJ394" s="169"/>
      <c r="AK394" s="169"/>
      <c r="AL394" s="169"/>
      <c r="AM394" s="169"/>
      <c r="AN394" s="169"/>
      <c r="AO394" s="169"/>
      <c r="AP394" s="169"/>
      <c r="AQ394" s="169"/>
      <c r="AR394" s="169"/>
      <c r="AS394" s="169"/>
      <c r="AT394" s="169"/>
      <c r="AU394" s="169"/>
      <c r="AV394" s="169"/>
      <c r="AW394" s="169"/>
      <c r="AX394" s="169"/>
      <c r="AY394" s="169"/>
      <c r="AZ394" s="169"/>
      <c r="BA394" s="169"/>
      <c r="BB394" s="169"/>
      <c r="BC394" s="169"/>
    </row>
    <row r="395" spans="1:55">
      <c r="A395" s="169"/>
      <c r="B395" s="169"/>
      <c r="C395" s="169" t="s">
        <v>273</v>
      </c>
      <c r="D395" s="335"/>
      <c r="E395" s="250">
        <f>100-E394</f>
        <v>30.47</v>
      </c>
      <c r="F395" s="250">
        <f>100-F394</f>
        <v>31.83</v>
      </c>
      <c r="G395" s="250">
        <f>100-G394</f>
        <v>29.36</v>
      </c>
      <c r="H395" s="250">
        <v>25.25</v>
      </c>
      <c r="I395" s="49"/>
      <c r="J395" s="259"/>
      <c r="K395" s="259"/>
      <c r="L395" s="259"/>
      <c r="M395" s="259"/>
      <c r="N395" s="259"/>
      <c r="O395" s="49"/>
      <c r="P395" s="50"/>
      <c r="Q395" s="50"/>
      <c r="R395" s="50"/>
      <c r="S395" s="50"/>
      <c r="T395" s="50"/>
      <c r="U395" s="50"/>
      <c r="V395" s="50"/>
      <c r="W395" s="50"/>
      <c r="X395" s="169"/>
      <c r="Y395" s="169"/>
      <c r="Z395" s="169"/>
      <c r="AA395" s="169"/>
      <c r="AB395" s="169"/>
      <c r="AC395" s="169"/>
      <c r="AD395" s="169"/>
      <c r="AE395" s="169"/>
      <c r="AF395" s="169"/>
      <c r="AG395" s="169"/>
      <c r="AH395" s="169"/>
      <c r="AI395" s="169"/>
      <c r="AJ395" s="169"/>
      <c r="AK395" s="169"/>
      <c r="AL395" s="169"/>
      <c r="AM395" s="169"/>
      <c r="AN395" s="169"/>
      <c r="AO395" s="169"/>
      <c r="AP395" s="169"/>
      <c r="AQ395" s="169"/>
      <c r="AR395" s="169"/>
      <c r="AS395" s="169"/>
      <c r="AT395" s="169"/>
      <c r="AU395" s="169"/>
      <c r="AV395" s="169"/>
      <c r="AW395" s="169"/>
      <c r="AX395" s="169"/>
      <c r="AY395" s="169"/>
      <c r="AZ395" s="169"/>
      <c r="BA395" s="169"/>
      <c r="BB395" s="169"/>
      <c r="BC395" s="169"/>
    </row>
    <row r="396" spans="1:55">
      <c r="A396" s="170"/>
      <c r="B396" s="170"/>
      <c r="C396" s="170"/>
      <c r="D396" s="1887"/>
      <c r="E396" s="277"/>
      <c r="F396" s="277"/>
      <c r="G396" s="277"/>
      <c r="H396" s="277"/>
      <c r="I396" s="78"/>
      <c r="J396" s="262"/>
      <c r="K396" s="262"/>
      <c r="L396" s="262"/>
      <c r="M396" s="262"/>
      <c r="N396" s="262"/>
      <c r="O396" s="78"/>
      <c r="P396" s="54"/>
      <c r="Q396" s="54"/>
      <c r="R396" s="54"/>
      <c r="S396" s="54"/>
      <c r="T396" s="54"/>
      <c r="U396" s="54"/>
      <c r="V396" s="54"/>
      <c r="W396" s="54"/>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row>
    <row r="397" spans="1:55">
      <c r="A397" s="43" t="s">
        <v>649</v>
      </c>
      <c r="B397" s="51" t="s">
        <v>366</v>
      </c>
      <c r="C397" s="405" t="s">
        <v>653</v>
      </c>
      <c r="D397" s="1881"/>
      <c r="E397" s="250">
        <v>61.81</v>
      </c>
      <c r="F397" s="250">
        <v>84.88</v>
      </c>
      <c r="G397" s="250">
        <v>81.38</v>
      </c>
      <c r="H397" s="250">
        <v>81.61</v>
      </c>
      <c r="I397" s="307" t="s">
        <v>540</v>
      </c>
      <c r="J397" s="878"/>
      <c r="K397" s="879">
        <f>E397/100</f>
        <v>0.61809999999999998</v>
      </c>
      <c r="L397" s="879">
        <f>F397/100</f>
        <v>0.8488</v>
      </c>
      <c r="M397" s="879">
        <f>G397/100</f>
        <v>0.81379999999999997</v>
      </c>
      <c r="N397" s="879">
        <f>H397/100</f>
        <v>0.81610000000000005</v>
      </c>
      <c r="O397" s="41"/>
      <c r="P397" s="45"/>
      <c r="Q397" s="410" t="s">
        <v>658</v>
      </c>
      <c r="R397" s="45"/>
      <c r="S397" s="45"/>
      <c r="T397" s="45"/>
      <c r="U397" s="45"/>
      <c r="V397" s="45"/>
      <c r="W397" s="45"/>
      <c r="X397" s="45"/>
      <c r="Y397" s="45"/>
      <c r="Z397" s="45"/>
      <c r="AA397" s="45"/>
      <c r="AB397" s="161"/>
      <c r="AC397" s="161"/>
      <c r="AD397" s="161"/>
      <c r="AE397" s="161"/>
      <c r="AF397" s="161"/>
      <c r="AG397" s="161"/>
      <c r="AH397" s="161"/>
      <c r="AI397" s="161"/>
      <c r="AJ397" s="161"/>
      <c r="AK397" s="161"/>
      <c r="AL397" s="161"/>
      <c r="AM397" s="161"/>
      <c r="AN397" s="161"/>
      <c r="AO397" s="161"/>
      <c r="AP397" s="161"/>
      <c r="AQ397" s="161"/>
      <c r="AR397" s="161"/>
      <c r="AS397" s="161"/>
      <c r="AT397" s="161"/>
      <c r="AU397" s="161"/>
      <c r="AV397" s="161"/>
      <c r="AW397" s="161"/>
      <c r="AX397" s="161"/>
      <c r="AY397" s="161"/>
      <c r="AZ397" s="161"/>
      <c r="BA397" s="161"/>
      <c r="BB397" s="161"/>
      <c r="BC397" s="161"/>
    </row>
    <row r="398" spans="1:55">
      <c r="A398" s="411"/>
      <c r="B398" s="161"/>
      <c r="C398" s="405" t="s">
        <v>654</v>
      </c>
      <c r="D398" s="1881"/>
      <c r="E398" s="250">
        <v>26.04</v>
      </c>
      <c r="F398" s="407" t="s">
        <v>136</v>
      </c>
      <c r="G398" s="250">
        <v>0.65</v>
      </c>
      <c r="H398" s="407" t="s">
        <v>136</v>
      </c>
      <c r="I398" s="41"/>
      <c r="J398" s="259"/>
      <c r="K398" s="259" t="s">
        <v>913</v>
      </c>
      <c r="L398" s="259"/>
      <c r="M398" s="259"/>
      <c r="N398" s="259"/>
      <c r="O398" s="41"/>
      <c r="P398" s="45"/>
      <c r="Q398" s="410" t="s">
        <v>55</v>
      </c>
      <c r="R398" s="45">
        <v>238.8</v>
      </c>
      <c r="S398" s="45">
        <v>528.1</v>
      </c>
      <c r="T398" s="45">
        <v>570.70000000000005</v>
      </c>
      <c r="U398" s="413">
        <v>592.75761706000003</v>
      </c>
      <c r="V398" s="413">
        <v>607.02297536000003</v>
      </c>
      <c r="W398" s="45" t="s">
        <v>659</v>
      </c>
      <c r="X398" s="161"/>
      <c r="Y398" s="45"/>
      <c r="Z398" s="45"/>
      <c r="AA398" s="45"/>
      <c r="AB398" s="161"/>
      <c r="AC398" s="161"/>
      <c r="AD398" s="161"/>
      <c r="AE398" s="161"/>
      <c r="AF398" s="161"/>
      <c r="AG398" s="161"/>
      <c r="AH398" s="161"/>
      <c r="AI398" s="161"/>
      <c r="AJ398" s="161"/>
      <c r="AK398" s="161"/>
      <c r="AL398" s="161"/>
      <c r="AM398" s="161"/>
      <c r="AN398" s="161"/>
      <c r="AO398" s="161"/>
      <c r="AP398" s="161"/>
      <c r="AQ398" s="161"/>
      <c r="AR398" s="161"/>
      <c r="AS398" s="161"/>
      <c r="AT398" s="161"/>
      <c r="AU398" s="161"/>
      <c r="AV398" s="161"/>
      <c r="AW398" s="161"/>
      <c r="AX398" s="161"/>
      <c r="AY398" s="161"/>
      <c r="AZ398" s="161"/>
      <c r="BA398" s="161"/>
      <c r="BB398" s="161"/>
      <c r="BC398" s="161"/>
    </row>
    <row r="399" spans="1:55">
      <c r="A399" s="411"/>
      <c r="B399" s="161"/>
      <c r="C399" s="405" t="s">
        <v>657</v>
      </c>
      <c r="D399" s="1881"/>
      <c r="E399" s="250">
        <v>12.15</v>
      </c>
      <c r="F399" s="250">
        <v>12.2</v>
      </c>
      <c r="G399" s="250">
        <v>14.86</v>
      </c>
      <c r="H399" s="250">
        <v>15.29</v>
      </c>
      <c r="I399" s="41"/>
      <c r="J399" s="259"/>
      <c r="K399" s="259"/>
      <c r="L399" s="259"/>
      <c r="M399" s="259"/>
      <c r="N399" s="259"/>
      <c r="O399" s="41"/>
      <c r="P399" s="45"/>
      <c r="Q399" s="410" t="s">
        <v>172</v>
      </c>
      <c r="R399" s="45">
        <v>114.1</v>
      </c>
      <c r="S399" s="45">
        <v>222.5</v>
      </c>
      <c r="T399" s="45">
        <v>220.4</v>
      </c>
      <c r="U399" s="413">
        <v>237.64553364339082</v>
      </c>
      <c r="V399" s="413">
        <v>245.19964191</v>
      </c>
      <c r="W399" s="45" t="s">
        <v>663</v>
      </c>
      <c r="X399" s="161"/>
      <c r="Y399" s="45"/>
      <c r="Z399" s="45"/>
      <c r="AA399" s="45"/>
      <c r="AB399" s="161"/>
      <c r="AC399" s="161"/>
      <c r="AD399" s="161"/>
      <c r="AE399" s="161"/>
      <c r="AF399" s="161"/>
      <c r="AG399" s="161"/>
      <c r="AH399" s="161"/>
      <c r="AI399" s="161"/>
      <c r="AJ399" s="161"/>
      <c r="AK399" s="161"/>
      <c r="AL399" s="161"/>
      <c r="AM399" s="161"/>
      <c r="AN399" s="161"/>
      <c r="AO399" s="161"/>
      <c r="AP399" s="161"/>
      <c r="AQ399" s="161"/>
      <c r="AR399" s="161"/>
      <c r="AS399" s="161"/>
      <c r="AT399" s="161"/>
      <c r="AU399" s="161"/>
      <c r="AV399" s="161"/>
      <c r="AW399" s="161"/>
      <c r="AX399" s="161"/>
      <c r="AY399" s="161"/>
      <c r="AZ399" s="161"/>
      <c r="BA399" s="161"/>
      <c r="BB399" s="161"/>
      <c r="BC399" s="161"/>
    </row>
    <row r="400" spans="1:55">
      <c r="A400" s="161"/>
      <c r="B400" s="161"/>
      <c r="C400" s="405" t="s">
        <v>655</v>
      </c>
      <c r="D400" s="1881"/>
      <c r="E400" s="250"/>
      <c r="F400" s="250">
        <v>2.91</v>
      </c>
      <c r="G400" s="250">
        <v>3.1</v>
      </c>
      <c r="H400" s="250">
        <v>3.1</v>
      </c>
      <c r="I400" s="41"/>
      <c r="J400" s="259"/>
      <c r="K400" s="259"/>
      <c r="L400" s="259"/>
      <c r="M400" s="259"/>
      <c r="N400" s="259"/>
      <c r="O400" s="41"/>
      <c r="P400" s="45"/>
      <c r="Q400" s="410" t="s">
        <v>661</v>
      </c>
      <c r="R400" s="45">
        <v>55.6</v>
      </c>
      <c r="S400" s="45">
        <v>103.8</v>
      </c>
      <c r="T400" s="45">
        <v>108.5</v>
      </c>
      <c r="U400" s="413">
        <v>142.5376941346</v>
      </c>
      <c r="V400" s="413">
        <v>149.90811216814731</v>
      </c>
      <c r="W400" s="45" t="s">
        <v>660</v>
      </c>
      <c r="X400" s="161"/>
      <c r="Y400" s="45"/>
      <c r="Z400" s="45"/>
      <c r="AA400" s="45"/>
      <c r="AB400" s="161"/>
      <c r="AC400" s="161"/>
      <c r="AD400" s="161"/>
      <c r="AE400" s="161"/>
      <c r="AF400" s="161"/>
      <c r="AG400" s="161"/>
      <c r="AH400" s="161"/>
      <c r="AI400" s="161"/>
      <c r="AJ400" s="161"/>
      <c r="AK400" s="161"/>
      <c r="AL400" s="161"/>
      <c r="AM400" s="161"/>
      <c r="AN400" s="161"/>
      <c r="AO400" s="161"/>
      <c r="AP400" s="161"/>
      <c r="AQ400" s="161"/>
      <c r="AR400" s="161"/>
      <c r="AS400" s="161"/>
      <c r="AT400" s="161"/>
      <c r="AU400" s="161"/>
      <c r="AV400" s="161"/>
      <c r="AW400" s="161"/>
      <c r="AX400" s="161"/>
      <c r="AY400" s="161"/>
      <c r="AZ400" s="161"/>
      <c r="BA400" s="161"/>
      <c r="BB400" s="161"/>
      <c r="BC400" s="161"/>
    </row>
    <row r="401" spans="1:55">
      <c r="A401" s="161"/>
      <c r="B401" s="161"/>
      <c r="C401" s="161"/>
      <c r="D401" s="335"/>
      <c r="E401" s="250"/>
      <c r="F401" s="250"/>
      <c r="G401" s="250"/>
      <c r="H401" s="250"/>
      <c r="I401" s="41"/>
      <c r="J401" s="259"/>
      <c r="K401" s="259"/>
      <c r="L401" s="259"/>
      <c r="M401" s="259"/>
      <c r="N401" s="259"/>
      <c r="O401" s="41"/>
      <c r="P401" s="45"/>
      <c r="Q401" s="410" t="s">
        <v>662</v>
      </c>
      <c r="R401" s="45" t="s">
        <v>508</v>
      </c>
      <c r="S401" s="45" t="s">
        <v>508</v>
      </c>
      <c r="T401" s="45"/>
      <c r="U401" s="413">
        <v>29.735815495000004</v>
      </c>
      <c r="V401" s="413">
        <v>30.401292120000001</v>
      </c>
      <c r="W401" s="45" t="s">
        <v>664</v>
      </c>
      <c r="X401" s="161"/>
      <c r="Y401" s="45"/>
      <c r="Z401" s="45"/>
      <c r="AA401" s="45"/>
      <c r="AB401" s="161"/>
      <c r="AC401" s="161"/>
      <c r="AD401" s="161"/>
      <c r="AE401" s="161"/>
      <c r="AF401" s="161"/>
      <c r="AG401" s="161"/>
      <c r="AH401" s="161"/>
      <c r="AI401" s="161"/>
      <c r="AJ401" s="161"/>
      <c r="AK401" s="161"/>
      <c r="AL401" s="161"/>
      <c r="AM401" s="161"/>
      <c r="AN401" s="161"/>
      <c r="AO401" s="161"/>
      <c r="AP401" s="161"/>
      <c r="AQ401" s="161"/>
      <c r="AR401" s="161"/>
      <c r="AS401" s="161"/>
      <c r="AT401" s="161"/>
      <c r="AU401" s="161"/>
      <c r="AV401" s="161"/>
      <c r="AW401" s="161"/>
      <c r="AX401" s="161"/>
      <c r="AY401" s="161"/>
      <c r="AZ401" s="161"/>
      <c r="BA401" s="161"/>
      <c r="BB401" s="161"/>
      <c r="BC401" s="161"/>
    </row>
    <row r="402" spans="1:55">
      <c r="A402" s="161"/>
      <c r="B402" s="51" t="s">
        <v>139</v>
      </c>
      <c r="C402" s="405" t="s">
        <v>653</v>
      </c>
      <c r="D402" s="1881"/>
      <c r="E402" s="250">
        <v>89.47</v>
      </c>
      <c r="F402" s="250">
        <v>91.6</v>
      </c>
      <c r="G402" s="250">
        <v>93.92</v>
      </c>
      <c r="H402" s="407" t="s">
        <v>136</v>
      </c>
      <c r="I402" s="307" t="s">
        <v>665</v>
      </c>
      <c r="J402" s="328"/>
      <c r="K402" s="409">
        <f>E402/100</f>
        <v>0.89469999999999994</v>
      </c>
      <c r="L402" s="409">
        <f>F402/100</f>
        <v>0.91599999999999993</v>
      </c>
      <c r="M402" s="409">
        <f>G402/100</f>
        <v>0.93920000000000003</v>
      </c>
      <c r="N402" s="409"/>
      <c r="O402" s="41"/>
      <c r="P402" s="412"/>
      <c r="Q402" s="412" t="s">
        <v>606</v>
      </c>
      <c r="R402" s="414">
        <f>R398+R399+R400</f>
        <v>408.5</v>
      </c>
      <c r="S402" s="414">
        <f>S398+S399+S400</f>
        <v>854.4</v>
      </c>
      <c r="T402" s="414">
        <f>T398+T399+T400</f>
        <v>899.6</v>
      </c>
      <c r="U402" s="414">
        <f>U398+U399+U400</f>
        <v>972.94084483799077</v>
      </c>
      <c r="V402" s="414">
        <f>V398+V399+V400</f>
        <v>1002.1307294381473</v>
      </c>
      <c r="W402" s="41" t="s">
        <v>667</v>
      </c>
      <c r="X402" s="161"/>
      <c r="Y402" s="45"/>
      <c r="Z402" s="45"/>
      <c r="AA402" s="45"/>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c r="AW402" s="161"/>
      <c r="AX402" s="161"/>
      <c r="AY402" s="161"/>
      <c r="AZ402" s="161"/>
      <c r="BA402" s="161"/>
      <c r="BB402" s="161"/>
      <c r="BC402" s="161"/>
    </row>
    <row r="403" spans="1:55">
      <c r="A403" s="161"/>
      <c r="B403" s="161"/>
      <c r="C403" s="405" t="s">
        <v>654</v>
      </c>
      <c r="D403" s="1881"/>
      <c r="E403" s="250">
        <v>5.81</v>
      </c>
      <c r="F403" s="250">
        <v>4.41</v>
      </c>
      <c r="G403" s="250">
        <v>1.77</v>
      </c>
      <c r="H403" s="407" t="s">
        <v>136</v>
      </c>
      <c r="I403" s="180" t="s">
        <v>666</v>
      </c>
      <c r="J403" s="259"/>
      <c r="K403" s="408">
        <f>K402/K397</f>
        <v>1.4475004044652968</v>
      </c>
      <c r="L403" s="408">
        <f>L402/L397</f>
        <v>1.0791705937794533</v>
      </c>
      <c r="M403" s="408">
        <f>M402/M397</f>
        <v>1.1540919144753012</v>
      </c>
      <c r="N403" s="259"/>
      <c r="O403" s="41"/>
      <c r="P403" s="45"/>
      <c r="Q403" s="161"/>
      <c r="R403" s="161"/>
      <c r="S403" s="161"/>
      <c r="T403" s="161"/>
      <c r="U403" s="420">
        <f>U402+U401</f>
        <v>1002.6766603329908</v>
      </c>
      <c r="V403" s="420"/>
      <c r="W403" s="41"/>
      <c r="X403" s="161"/>
      <c r="Y403" s="45"/>
      <c r="Z403" s="45"/>
      <c r="AA403" s="45"/>
      <c r="AB403" s="161"/>
      <c r="AC403" s="161"/>
      <c r="AD403" s="161"/>
      <c r="AE403" s="161"/>
      <c r="AF403" s="161"/>
      <c r="AG403" s="161"/>
      <c r="AH403" s="161"/>
      <c r="AI403" s="161"/>
      <c r="AJ403" s="161"/>
      <c r="AK403" s="161"/>
      <c r="AL403" s="161"/>
      <c r="AM403" s="161"/>
      <c r="AN403" s="161"/>
      <c r="AO403" s="161"/>
      <c r="AP403" s="161"/>
      <c r="AQ403" s="161"/>
      <c r="AR403" s="161"/>
      <c r="AS403" s="161"/>
      <c r="AT403" s="161"/>
      <c r="AU403" s="161"/>
      <c r="AV403" s="161"/>
      <c r="AW403" s="161"/>
      <c r="AX403" s="161"/>
      <c r="AY403" s="161"/>
      <c r="AZ403" s="161"/>
      <c r="BA403" s="161"/>
      <c r="BB403" s="161"/>
      <c r="BC403" s="161"/>
    </row>
    <row r="404" spans="1:55">
      <c r="A404" s="161"/>
      <c r="B404" s="161"/>
      <c r="C404" s="405" t="s">
        <v>657</v>
      </c>
      <c r="D404" s="1881"/>
      <c r="E404" s="250">
        <v>4.71</v>
      </c>
      <c r="F404" s="250">
        <v>3.99</v>
      </c>
      <c r="G404" s="250">
        <v>4.3</v>
      </c>
      <c r="H404" s="407" t="s">
        <v>136</v>
      </c>
      <c r="I404" s="180"/>
      <c r="J404" s="259"/>
      <c r="K404" s="408"/>
      <c r="L404" s="408"/>
      <c r="M404" s="408"/>
      <c r="N404" s="259"/>
      <c r="O404" s="49" t="s">
        <v>373</v>
      </c>
      <c r="P404" s="45"/>
      <c r="Q404" s="410" t="s">
        <v>66</v>
      </c>
      <c r="R404" s="161"/>
      <c r="S404" s="161"/>
      <c r="T404" s="45"/>
      <c r="U404" s="413"/>
      <c r="V404" s="415"/>
      <c r="W404" s="161"/>
      <c r="X404" s="45"/>
      <c r="Y404" s="45"/>
      <c r="Z404" s="45"/>
      <c r="AA404" s="45"/>
      <c r="AB404" s="161"/>
      <c r="AC404" s="161"/>
      <c r="AD404" s="161"/>
      <c r="AE404" s="161"/>
      <c r="AF404" s="161"/>
      <c r="AG404" s="161"/>
      <c r="AH404" s="161"/>
      <c r="AI404" s="161"/>
      <c r="AJ404" s="161"/>
      <c r="AK404" s="161"/>
      <c r="AL404" s="161"/>
      <c r="AM404" s="161"/>
      <c r="AN404" s="161"/>
      <c r="AO404" s="161"/>
      <c r="AP404" s="161"/>
      <c r="AQ404" s="161"/>
      <c r="AR404" s="161"/>
      <c r="AS404" s="161"/>
      <c r="AT404" s="161"/>
      <c r="AU404" s="161"/>
      <c r="AV404" s="161"/>
      <c r="AW404" s="161"/>
      <c r="AX404" s="161"/>
      <c r="AY404" s="161"/>
      <c r="AZ404" s="161"/>
      <c r="BA404" s="161"/>
      <c r="BB404" s="161"/>
      <c r="BC404" s="161"/>
    </row>
    <row r="405" spans="1:55">
      <c r="A405" s="161"/>
      <c r="B405" s="161"/>
      <c r="C405" s="161"/>
      <c r="D405" s="335"/>
      <c r="E405" s="250"/>
      <c r="F405" s="250"/>
      <c r="G405" s="250"/>
      <c r="H405" s="250"/>
      <c r="I405" s="813" t="s">
        <v>369</v>
      </c>
      <c r="J405" s="721">
        <f>R398/R402</f>
        <v>0.58457772337821301</v>
      </c>
      <c r="K405" s="721">
        <f>S398/S402</f>
        <v>0.61809456928838957</v>
      </c>
      <c r="L405" s="721">
        <f>T398/T402</f>
        <v>0.63439306358381509</v>
      </c>
      <c r="M405" s="721">
        <f>U398/U402</f>
        <v>0.60924322398933006</v>
      </c>
      <c r="N405" s="721">
        <f>V398/V402</f>
        <v>0.60573232366632679</v>
      </c>
      <c r="O405" s="421">
        <f>(J405+2*K405+2*L405+AVERAGE(M405,N405))/6</f>
        <v>0.61617346049174182</v>
      </c>
      <c r="P405" s="45"/>
      <c r="Q405" s="410" t="s">
        <v>55</v>
      </c>
      <c r="R405" s="45">
        <v>115.5</v>
      </c>
      <c r="S405" s="45">
        <v>227.8</v>
      </c>
      <c r="T405" s="45">
        <v>218.6</v>
      </c>
      <c r="U405" s="413">
        <v>185.50318086000001</v>
      </c>
      <c r="V405" s="413">
        <v>166.72625211999997</v>
      </c>
      <c r="W405" s="161"/>
      <c r="X405" s="45"/>
      <c r="Y405" s="45"/>
      <c r="Z405" s="45"/>
      <c r="AA405" s="45"/>
      <c r="AB405" s="161"/>
      <c r="AC405" s="161"/>
      <c r="AD405" s="161"/>
      <c r="AE405" s="161"/>
      <c r="AF405" s="161"/>
      <c r="AG405" s="161"/>
      <c r="AH405" s="161"/>
      <c r="AI405" s="161"/>
      <c r="AJ405" s="161"/>
      <c r="AK405" s="161"/>
      <c r="AL405" s="161"/>
      <c r="AM405" s="161"/>
      <c r="AN405" s="161"/>
      <c r="AO405" s="161"/>
      <c r="AP405" s="161"/>
      <c r="AQ405" s="161"/>
      <c r="AR405" s="161"/>
      <c r="AS405" s="161"/>
      <c r="AT405" s="161"/>
      <c r="AU405" s="161"/>
      <c r="AV405" s="161"/>
      <c r="AW405" s="161"/>
      <c r="AX405" s="161"/>
      <c r="AY405" s="161"/>
      <c r="AZ405" s="161"/>
      <c r="BA405" s="161"/>
      <c r="BB405" s="161"/>
      <c r="BC405" s="161"/>
    </row>
    <row r="406" spans="1:55">
      <c r="A406" s="161"/>
      <c r="B406" s="161"/>
      <c r="C406" s="161"/>
      <c r="D406" s="335"/>
      <c r="E406" s="250"/>
      <c r="F406" s="250"/>
      <c r="G406" s="250"/>
      <c r="H406" s="250"/>
      <c r="I406" s="41"/>
      <c r="J406" s="259"/>
      <c r="K406" s="259"/>
      <c r="L406" s="259"/>
      <c r="M406" s="259"/>
      <c r="N406" s="259"/>
      <c r="O406" s="41"/>
      <c r="P406" s="45"/>
      <c r="Q406" s="410" t="s">
        <v>172</v>
      </c>
      <c r="R406" s="45">
        <v>6.7</v>
      </c>
      <c r="S406" s="45">
        <v>14.8</v>
      </c>
      <c r="T406" s="45">
        <v>13</v>
      </c>
      <c r="U406" s="413">
        <v>3.4810467533908076</v>
      </c>
      <c r="V406" s="413">
        <v>5.6587315300000123</v>
      </c>
      <c r="W406" s="161"/>
      <c r="X406" s="45"/>
      <c r="Y406" s="45"/>
      <c r="Z406" s="45"/>
      <c r="AA406" s="45"/>
      <c r="AB406" s="161"/>
      <c r="AC406" s="161"/>
      <c r="AD406" s="161"/>
      <c r="AE406" s="161"/>
      <c r="AF406" s="161"/>
      <c r="AG406" s="161"/>
      <c r="AH406" s="161"/>
      <c r="AI406" s="161"/>
      <c r="AJ406" s="161"/>
      <c r="AK406" s="161"/>
      <c r="AL406" s="161"/>
      <c r="AM406" s="161"/>
      <c r="AN406" s="161"/>
      <c r="AO406" s="161"/>
      <c r="AP406" s="161"/>
      <c r="AQ406" s="161"/>
      <c r="AR406" s="161"/>
      <c r="AS406" s="161"/>
      <c r="AT406" s="161"/>
      <c r="AU406" s="161"/>
      <c r="AV406" s="161"/>
      <c r="AW406" s="161"/>
      <c r="AX406" s="161"/>
      <c r="AY406" s="161"/>
      <c r="AZ406" s="161"/>
      <c r="BA406" s="161"/>
      <c r="BB406" s="161"/>
      <c r="BC406" s="161"/>
    </row>
    <row r="407" spans="1:55">
      <c r="A407" s="161"/>
      <c r="B407" s="161"/>
      <c r="C407" s="161"/>
      <c r="D407" s="335"/>
      <c r="E407" s="250"/>
      <c r="F407" s="250"/>
      <c r="G407" s="250"/>
      <c r="H407" s="335"/>
      <c r="I407" s="835" t="s">
        <v>628</v>
      </c>
      <c r="J407" s="721">
        <f>R405/R409</f>
        <v>0.89258114374034003</v>
      </c>
      <c r="K407" s="721">
        <f>S405/S409</f>
        <v>0.89473684210526316</v>
      </c>
      <c r="L407" s="721">
        <f>T405/T409</f>
        <v>0.90969621306699966</v>
      </c>
      <c r="M407" s="721">
        <f>U405/U409</f>
        <v>0.93952867987978417</v>
      </c>
      <c r="N407" s="836">
        <f>V405/V409</f>
        <v>0.92232145907274721</v>
      </c>
      <c r="O407" s="421">
        <f>(J407+2*K407+2*L407+AVERAGE(M407,N407))/6</f>
        <v>0.90539538726018864</v>
      </c>
      <c r="P407" s="45"/>
      <c r="Q407" s="410" t="s">
        <v>661</v>
      </c>
      <c r="R407" s="45">
        <v>7.2</v>
      </c>
      <c r="S407" s="45">
        <v>12</v>
      </c>
      <c r="T407" s="45">
        <v>8.6999999999999993</v>
      </c>
      <c r="U407" s="413">
        <v>8.4585805015628992</v>
      </c>
      <c r="V407" s="413">
        <v>8.3830668815551075</v>
      </c>
      <c r="W407" s="161"/>
      <c r="X407" s="45"/>
      <c r="Y407" s="45"/>
      <c r="Z407" s="45"/>
      <c r="AA407" s="45"/>
      <c r="AB407" s="161"/>
      <c r="AC407" s="161"/>
      <c r="AD407" s="161"/>
      <c r="AE407" s="161"/>
      <c r="AF407" s="161"/>
      <c r="AG407" s="161"/>
      <c r="AH407" s="161"/>
      <c r="AI407" s="161"/>
      <c r="AJ407" s="161"/>
      <c r="AK407" s="161"/>
      <c r="AL407" s="161"/>
      <c r="AM407" s="161"/>
      <c r="AN407" s="161"/>
      <c r="AO407" s="161"/>
      <c r="AP407" s="161"/>
      <c r="AQ407" s="161"/>
      <c r="AR407" s="161"/>
      <c r="AS407" s="161"/>
      <c r="AT407" s="161"/>
      <c r="AU407" s="161"/>
      <c r="AV407" s="161"/>
      <c r="AW407" s="161"/>
      <c r="AX407" s="161"/>
      <c r="AY407" s="161"/>
      <c r="AZ407" s="161"/>
      <c r="BA407" s="161"/>
      <c r="BB407" s="161"/>
      <c r="BC407" s="161"/>
    </row>
    <row r="408" spans="1:55">
      <c r="A408" s="161"/>
      <c r="B408" s="161"/>
      <c r="C408" s="161"/>
      <c r="D408" s="335"/>
      <c r="E408" s="250"/>
      <c r="F408" s="250"/>
      <c r="G408" s="250"/>
      <c r="H408" s="250"/>
      <c r="I408" s="826" t="s">
        <v>918</v>
      </c>
      <c r="J408" s="416">
        <f>J407/J405</f>
        <v>1.5268818978975247</v>
      </c>
      <c r="K408" s="416">
        <f>K407/K405</f>
        <v>1.4475727284505524</v>
      </c>
      <c r="L408" s="416">
        <f>L407/L405</f>
        <v>1.4339630511215573</v>
      </c>
      <c r="M408" s="416">
        <f>M407/M405</f>
        <v>1.54212413513234</v>
      </c>
      <c r="N408" s="416">
        <f>N407/N405</f>
        <v>1.5226551779343651</v>
      </c>
      <c r="O408" s="417">
        <f>(J408+2*K408+2*L408+AVERAGE(M408,N408))/6</f>
        <v>1.4703905189291826</v>
      </c>
      <c r="P408" s="45"/>
      <c r="Q408" s="410" t="s">
        <v>662</v>
      </c>
      <c r="R408" s="45" t="s">
        <v>508</v>
      </c>
      <c r="S408" s="45">
        <v>-7.1</v>
      </c>
      <c r="T408" s="45"/>
      <c r="U408" s="413">
        <v>-1.267996455</v>
      </c>
      <c r="V408" s="413">
        <v>-2.6591354799999984</v>
      </c>
      <c r="W408" s="45"/>
      <c r="X408" s="45"/>
      <c r="Y408" s="45"/>
      <c r="Z408" s="45"/>
      <c r="AA408" s="45"/>
      <c r="AB408" s="161"/>
      <c r="AC408" s="161"/>
      <c r="AD408" s="161"/>
      <c r="AE408" s="161"/>
      <c r="AF408" s="161"/>
      <c r="AG408" s="161"/>
      <c r="AH408" s="161"/>
      <c r="AI408" s="161"/>
      <c r="AJ408" s="161"/>
      <c r="AK408" s="161"/>
      <c r="AL408" s="161"/>
      <c r="AM408" s="161"/>
      <c r="AN408" s="161"/>
      <c r="AO408" s="161"/>
      <c r="AP408" s="161"/>
      <c r="AQ408" s="161"/>
      <c r="AR408" s="161"/>
      <c r="AS408" s="161"/>
      <c r="AT408" s="161"/>
      <c r="AU408" s="161"/>
      <c r="AV408" s="161"/>
      <c r="AW408" s="161"/>
      <c r="AX408" s="161"/>
      <c r="AY408" s="161"/>
      <c r="AZ408" s="161"/>
      <c r="BA408" s="161"/>
      <c r="BB408" s="161"/>
      <c r="BC408" s="161"/>
    </row>
    <row r="409" spans="1:55">
      <c r="A409" s="161"/>
      <c r="B409" s="161"/>
      <c r="C409" s="161"/>
      <c r="D409" s="335"/>
      <c r="E409" s="250"/>
      <c r="F409" s="250"/>
      <c r="G409" s="250"/>
      <c r="H409" s="250"/>
      <c r="I409" s="41"/>
      <c r="J409" s="259"/>
      <c r="K409" s="259"/>
      <c r="L409" s="259"/>
      <c r="M409" s="259"/>
      <c r="N409" s="259"/>
      <c r="O409" s="41"/>
      <c r="P409" s="412"/>
      <c r="Q409" s="412" t="s">
        <v>606</v>
      </c>
      <c r="R409" s="414">
        <f>R405+R406+R407</f>
        <v>129.4</v>
      </c>
      <c r="S409" s="414">
        <f>S405+S406+S407</f>
        <v>254.60000000000002</v>
      </c>
      <c r="T409" s="414">
        <f>T405+T406+T407</f>
        <v>240.29999999999998</v>
      </c>
      <c r="U409" s="414">
        <f>U405+U406+U407</f>
        <v>197.44280811495372</v>
      </c>
      <c r="V409" s="414">
        <f>V405+V406+V407</f>
        <v>180.76805053155508</v>
      </c>
      <c r="W409" s="45"/>
      <c r="X409" s="45"/>
      <c r="Y409" s="45"/>
      <c r="Z409" s="45"/>
      <c r="AA409" s="45"/>
      <c r="AB409" s="161"/>
      <c r="AC409" s="161"/>
      <c r="AD409" s="161"/>
      <c r="AE409" s="161"/>
      <c r="AF409" s="161"/>
      <c r="AG409" s="161"/>
      <c r="AH409" s="161"/>
      <c r="AI409" s="161"/>
      <c r="AJ409" s="161"/>
      <c r="AK409" s="161"/>
      <c r="AL409" s="161"/>
      <c r="AM409" s="161"/>
      <c r="AN409" s="161"/>
      <c r="AO409" s="161"/>
      <c r="AP409" s="161"/>
      <c r="AQ409" s="161"/>
      <c r="AR409" s="161"/>
      <c r="AS409" s="161"/>
      <c r="AT409" s="161"/>
      <c r="AU409" s="161"/>
      <c r="AV409" s="161"/>
      <c r="AW409" s="161"/>
      <c r="AX409" s="161"/>
      <c r="AY409" s="161"/>
      <c r="AZ409" s="161"/>
      <c r="BA409" s="161"/>
      <c r="BB409" s="161"/>
      <c r="BC409" s="161"/>
    </row>
    <row r="410" spans="1:55">
      <c r="A410" s="161"/>
      <c r="B410" s="161"/>
      <c r="C410" s="161"/>
      <c r="D410" s="335"/>
      <c r="E410" s="250"/>
      <c r="F410" s="250"/>
      <c r="G410" s="250"/>
      <c r="H410" s="250"/>
      <c r="I410" s="4541" t="s">
        <v>1845</v>
      </c>
      <c r="J410" s="4542"/>
      <c r="K410" s="4542"/>
      <c r="L410" s="4542"/>
      <c r="M410" s="4542"/>
      <c r="N410" s="4543"/>
      <c r="O410" s="41"/>
      <c r="P410" s="45"/>
      <c r="Q410" s="410"/>
      <c r="R410" s="45"/>
      <c r="S410" s="45"/>
      <c r="T410" s="45"/>
      <c r="U410" s="45"/>
      <c r="V410" s="45"/>
      <c r="W410" s="45"/>
      <c r="X410" s="45"/>
      <c r="Y410" s="45"/>
      <c r="Z410" s="45"/>
      <c r="AA410" s="45"/>
      <c r="AB410" s="161"/>
      <c r="AC410" s="161"/>
      <c r="AD410" s="161"/>
      <c r="AE410" s="161"/>
      <c r="AF410" s="161"/>
      <c r="AG410" s="161"/>
      <c r="AH410" s="161"/>
      <c r="AI410" s="161"/>
      <c r="AJ410" s="161"/>
      <c r="AK410" s="161"/>
      <c r="AL410" s="161"/>
      <c r="AM410" s="161"/>
      <c r="AN410" s="161"/>
      <c r="AO410" s="161"/>
      <c r="AP410" s="161"/>
      <c r="AQ410" s="161"/>
      <c r="AR410" s="161"/>
      <c r="AS410" s="161"/>
      <c r="AT410" s="161"/>
      <c r="AU410" s="161"/>
      <c r="AV410" s="161"/>
      <c r="AW410" s="161"/>
      <c r="AX410" s="161"/>
      <c r="AY410" s="161"/>
      <c r="AZ410" s="161"/>
      <c r="BA410" s="161"/>
      <c r="BB410" s="161"/>
      <c r="BC410" s="161"/>
    </row>
    <row r="411" spans="1:55">
      <c r="A411" s="161"/>
      <c r="B411" s="161"/>
      <c r="C411" s="161"/>
      <c r="D411" s="335"/>
      <c r="E411" s="250"/>
      <c r="F411" s="250"/>
      <c r="G411" s="250"/>
      <c r="H411" s="250"/>
      <c r="I411" s="4541"/>
      <c r="J411" s="4542"/>
      <c r="K411" s="4542"/>
      <c r="L411" s="4542"/>
      <c r="M411" s="4542"/>
      <c r="N411" s="4543"/>
      <c r="O411" s="41"/>
      <c r="P411" s="45"/>
      <c r="Q411" s="410"/>
      <c r="R411" s="45"/>
      <c r="S411" s="45"/>
      <c r="T411" s="45"/>
      <c r="U411" s="45"/>
      <c r="V411" s="45"/>
      <c r="W411" s="45"/>
      <c r="X411" s="45"/>
      <c r="Y411" s="45"/>
      <c r="Z411" s="45"/>
      <c r="AA411" s="45"/>
      <c r="AB411" s="161"/>
      <c r="AC411" s="161"/>
      <c r="AD411" s="161"/>
      <c r="AE411" s="161"/>
      <c r="AF411" s="161"/>
      <c r="AG411" s="161"/>
      <c r="AH411" s="161"/>
      <c r="AI411" s="161"/>
      <c r="AJ411" s="161"/>
      <c r="AK411" s="161"/>
      <c r="AL411" s="161"/>
      <c r="AM411" s="161"/>
      <c r="AN411" s="161"/>
      <c r="AO411" s="161"/>
      <c r="AP411" s="161"/>
      <c r="AQ411" s="161"/>
      <c r="AR411" s="161"/>
      <c r="AS411" s="161"/>
      <c r="AT411" s="161"/>
      <c r="AU411" s="161"/>
      <c r="AV411" s="161"/>
      <c r="AW411" s="161"/>
      <c r="AX411" s="161"/>
      <c r="AY411" s="161"/>
      <c r="AZ411" s="161"/>
      <c r="BA411" s="161"/>
      <c r="BB411" s="161"/>
      <c r="BC411" s="161"/>
    </row>
    <row r="412" spans="1:55">
      <c r="A412" s="161"/>
      <c r="B412" s="161"/>
      <c r="C412" s="161"/>
      <c r="D412" s="335"/>
      <c r="E412" s="250"/>
      <c r="F412" s="250"/>
      <c r="G412" s="250"/>
      <c r="H412" s="250"/>
      <c r="I412" s="41"/>
      <c r="J412" s="259"/>
      <c r="K412" s="259"/>
      <c r="L412" s="259"/>
      <c r="M412" s="259"/>
      <c r="N412" s="259"/>
      <c r="O412" s="41"/>
      <c r="P412" s="45"/>
      <c r="Q412" s="410"/>
      <c r="R412" s="45"/>
      <c r="S412" s="45"/>
      <c r="T412" s="45"/>
      <c r="U412" s="45"/>
      <c r="V412" s="45"/>
      <c r="W412" s="45"/>
      <c r="X412" s="45"/>
      <c r="Y412" s="45"/>
      <c r="Z412" s="45"/>
      <c r="AA412" s="45"/>
      <c r="AB412" s="161"/>
      <c r="AC412" s="161"/>
      <c r="AD412" s="161"/>
      <c r="AE412" s="161"/>
      <c r="AF412" s="161"/>
      <c r="AG412" s="161"/>
      <c r="AH412" s="161"/>
      <c r="AI412" s="161"/>
      <c r="AJ412" s="161"/>
      <c r="AK412" s="161"/>
      <c r="AL412" s="161"/>
      <c r="AM412" s="161"/>
      <c r="AN412" s="161"/>
      <c r="AO412" s="161"/>
      <c r="AP412" s="161"/>
      <c r="AQ412" s="161"/>
      <c r="AR412" s="161"/>
      <c r="AS412" s="161"/>
      <c r="AT412" s="161"/>
      <c r="AU412" s="161"/>
      <c r="AV412" s="161"/>
      <c r="AW412" s="161"/>
      <c r="AX412" s="161"/>
      <c r="AY412" s="161"/>
      <c r="AZ412" s="161"/>
      <c r="BA412" s="161"/>
      <c r="BB412" s="161"/>
      <c r="BC412" s="161"/>
    </row>
    <row r="413" spans="1:55" s="2326" customFormat="1">
      <c r="A413" s="426" t="s">
        <v>447</v>
      </c>
      <c r="B413" s="426" t="s">
        <v>366</v>
      </c>
      <c r="C413" s="427" t="s">
        <v>671</v>
      </c>
      <c r="D413" s="1888"/>
      <c r="E413" s="428"/>
      <c r="F413" s="428"/>
      <c r="G413" s="428">
        <v>51.62</v>
      </c>
      <c r="H413" s="428">
        <v>51.66</v>
      </c>
      <c r="I413" s="427"/>
      <c r="J413" s="428"/>
      <c r="K413" s="428"/>
      <c r="L413" s="428"/>
      <c r="M413" s="428"/>
      <c r="N413" s="428"/>
      <c r="O413" s="427"/>
      <c r="P413" s="427"/>
      <c r="Q413" s="429" t="s">
        <v>658</v>
      </c>
      <c r="R413" s="427"/>
      <c r="S413" s="427"/>
      <c r="T413" s="427"/>
      <c r="U413" s="427"/>
      <c r="V413" s="427"/>
      <c r="W413" s="427"/>
      <c r="X413" s="427"/>
      <c r="Y413" s="427"/>
      <c r="Z413" s="427"/>
      <c r="AA413" s="427"/>
      <c r="AB413" s="427"/>
      <c r="AC413" s="427"/>
      <c r="AD413" s="427"/>
      <c r="AE413" s="427"/>
      <c r="AF413" s="427"/>
      <c r="AG413" s="427"/>
      <c r="AH413" s="427"/>
      <c r="AI413" s="427"/>
      <c r="AJ413" s="427"/>
      <c r="AK413" s="427"/>
      <c r="AL413" s="427"/>
      <c r="AM413" s="427"/>
      <c r="AN413" s="427"/>
      <c r="AO413" s="427"/>
      <c r="AP413" s="427"/>
      <c r="AQ413" s="427"/>
      <c r="AR413" s="427"/>
      <c r="AS413" s="427"/>
      <c r="AT413" s="427"/>
      <c r="AU413" s="427"/>
      <c r="AV413" s="427"/>
      <c r="AW413" s="427"/>
      <c r="AX413" s="427"/>
      <c r="AY413" s="427"/>
      <c r="AZ413" s="427"/>
      <c r="BA413" s="427"/>
      <c r="BB413" s="427"/>
      <c r="BC413" s="427"/>
    </row>
    <row r="414" spans="1:55" s="2326" customFormat="1">
      <c r="A414" s="430"/>
      <c r="B414" s="430"/>
      <c r="C414" s="430" t="s">
        <v>672</v>
      </c>
      <c r="D414" s="1889"/>
      <c r="E414" s="431"/>
      <c r="F414" s="431"/>
      <c r="G414" s="431">
        <v>44.2</v>
      </c>
      <c r="H414" s="431">
        <v>44.44</v>
      </c>
      <c r="I414" s="430"/>
      <c r="J414" s="431"/>
      <c r="K414" s="431"/>
      <c r="L414" s="431"/>
      <c r="M414" s="431"/>
      <c r="N414" s="431"/>
      <c r="O414" s="430"/>
      <c r="P414" s="430"/>
      <c r="Q414" s="430"/>
      <c r="R414" s="430"/>
      <c r="S414" s="430">
        <v>101</v>
      </c>
      <c r="T414" s="430">
        <v>120</v>
      </c>
      <c r="U414" s="430"/>
      <c r="V414" s="430"/>
      <c r="W414" s="430" t="s">
        <v>674</v>
      </c>
      <c r="X414" s="430"/>
      <c r="Y414" s="430"/>
      <c r="Z414" s="430"/>
      <c r="AA414" s="430"/>
      <c r="AB414" s="430"/>
      <c r="AC414" s="430"/>
      <c r="AD414" s="430"/>
      <c r="AE414" s="430"/>
      <c r="AF414" s="430"/>
      <c r="AG414" s="430"/>
      <c r="AH414" s="430"/>
      <c r="AI414" s="430"/>
      <c r="AJ414" s="432"/>
      <c r="AK414" s="432"/>
      <c r="AL414" s="430"/>
      <c r="AM414" s="430"/>
      <c r="AN414" s="430"/>
      <c r="AO414" s="430"/>
      <c r="AP414" s="430"/>
      <c r="AQ414" s="430"/>
      <c r="AR414" s="430"/>
      <c r="AS414" s="430"/>
      <c r="AT414" s="430"/>
      <c r="AU414" s="430"/>
      <c r="AV414" s="430"/>
      <c r="AW414" s="430"/>
      <c r="AX414" s="430"/>
      <c r="AY414" s="430"/>
      <c r="AZ414" s="430"/>
      <c r="BA414" s="430"/>
      <c r="BB414" s="430"/>
      <c r="BC414" s="430"/>
    </row>
    <row r="415" spans="1:55" s="2326" customFormat="1">
      <c r="A415" s="430" t="s">
        <v>792</v>
      </c>
      <c r="B415" s="430"/>
      <c r="C415" s="430" t="s">
        <v>673</v>
      </c>
      <c r="D415" s="1889"/>
      <c r="E415" s="431"/>
      <c r="F415" s="431"/>
      <c r="G415" s="431">
        <v>4.18</v>
      </c>
      <c r="H415" s="431">
        <v>3.9</v>
      </c>
      <c r="I415" s="430"/>
      <c r="J415" s="431"/>
      <c r="K415" s="431"/>
      <c r="L415" s="431"/>
      <c r="M415" s="431"/>
      <c r="N415" s="431"/>
      <c r="O415" s="430"/>
      <c r="P415" s="430"/>
      <c r="Q415" s="430"/>
      <c r="R415" s="430"/>
      <c r="S415" s="430">
        <v>311</v>
      </c>
      <c r="T415" s="430">
        <v>332</v>
      </c>
      <c r="U415" s="430"/>
      <c r="V415" s="430"/>
      <c r="W415" s="430" t="s">
        <v>675</v>
      </c>
      <c r="X415" s="430"/>
      <c r="Y415" s="430"/>
      <c r="Z415" s="430"/>
      <c r="AA415" s="430"/>
      <c r="AB415" s="430"/>
      <c r="AC415" s="430"/>
      <c r="AD415" s="430"/>
      <c r="AE415" s="430"/>
      <c r="AF415" s="430"/>
      <c r="AG415" s="430"/>
      <c r="AH415" s="430"/>
      <c r="AI415" s="430"/>
      <c r="AJ415" s="432"/>
      <c r="AK415" s="432"/>
      <c r="AL415" s="430"/>
      <c r="AM415" s="430"/>
      <c r="AN415" s="430"/>
      <c r="AO415" s="430"/>
      <c r="AP415" s="430"/>
      <c r="AQ415" s="430"/>
      <c r="AR415" s="430"/>
      <c r="AS415" s="430"/>
      <c r="AT415" s="430"/>
      <c r="AU415" s="430"/>
      <c r="AV415" s="430"/>
      <c r="AW415" s="430"/>
      <c r="AX415" s="430"/>
      <c r="AY415" s="430"/>
      <c r="AZ415" s="430"/>
      <c r="BA415" s="430"/>
      <c r="BB415" s="430"/>
      <c r="BC415" s="430"/>
    </row>
    <row r="416" spans="1:55" s="2326" customFormat="1">
      <c r="A416" s="430" t="s">
        <v>793</v>
      </c>
      <c r="B416" s="430"/>
      <c r="C416" s="430"/>
      <c r="D416" s="1889"/>
      <c r="E416" s="431"/>
      <c r="F416" s="431"/>
      <c r="G416" s="431"/>
      <c r="H416" s="431"/>
      <c r="I416" s="430"/>
      <c r="J416" s="431"/>
      <c r="K416" s="431"/>
      <c r="L416" s="431"/>
      <c r="M416" s="431"/>
      <c r="N416" s="431"/>
      <c r="O416" s="430"/>
      <c r="P416" s="430"/>
      <c r="Q416" s="430"/>
      <c r="R416" s="430"/>
      <c r="S416" s="430">
        <v>154</v>
      </c>
      <c r="T416" s="430">
        <v>147</v>
      </c>
      <c r="U416" s="430"/>
      <c r="V416" s="430"/>
      <c r="W416" s="430" t="s">
        <v>676</v>
      </c>
      <c r="X416" s="430"/>
      <c r="Y416" s="430"/>
      <c r="Z416" s="430"/>
      <c r="AA416" s="430"/>
      <c r="AB416" s="430"/>
      <c r="AC416" s="430"/>
      <c r="AD416" s="430"/>
      <c r="AE416" s="430"/>
      <c r="AF416" s="430"/>
      <c r="AG416" s="430"/>
      <c r="AH416" s="430"/>
      <c r="AI416" s="430"/>
      <c r="AJ416" s="432"/>
      <c r="AK416" s="432"/>
      <c r="AL416" s="430"/>
      <c r="AM416" s="430"/>
      <c r="AN416" s="430"/>
      <c r="AO416" s="430"/>
      <c r="AP416" s="430"/>
      <c r="AQ416" s="430"/>
      <c r="AR416" s="430"/>
      <c r="AS416" s="430"/>
      <c r="AT416" s="430"/>
      <c r="AU416" s="430"/>
      <c r="AV416" s="430"/>
      <c r="AW416" s="430"/>
      <c r="AX416" s="430"/>
      <c r="AY416" s="430"/>
      <c r="AZ416" s="430"/>
      <c r="BA416" s="430"/>
      <c r="BB416" s="430"/>
      <c r="BC416" s="430"/>
    </row>
    <row r="417" spans="1:55" s="2326" customFormat="1">
      <c r="A417" s="430" t="s">
        <v>791</v>
      </c>
      <c r="B417" s="430"/>
      <c r="C417" s="430"/>
      <c r="D417" s="1889"/>
      <c r="E417" s="431"/>
      <c r="F417" s="431"/>
      <c r="G417" s="431"/>
      <c r="H417" s="431"/>
      <c r="I417" s="430"/>
      <c r="J417" s="431"/>
      <c r="K417" s="431"/>
      <c r="L417" s="431"/>
      <c r="M417" s="431"/>
      <c r="N417" s="431"/>
      <c r="O417" s="430"/>
      <c r="P417" s="430"/>
      <c r="Q417" s="430"/>
      <c r="R417" s="430"/>
      <c r="S417" s="430">
        <v>128</v>
      </c>
      <c r="T417" s="430">
        <v>125</v>
      </c>
      <c r="U417" s="430"/>
      <c r="V417" s="430"/>
      <c r="W417" s="430" t="s">
        <v>677</v>
      </c>
      <c r="X417" s="430"/>
      <c r="Y417" s="430"/>
      <c r="Z417" s="430"/>
      <c r="AA417" s="430"/>
      <c r="AB417" s="430"/>
      <c r="AC417" s="430"/>
      <c r="AD417" s="430"/>
      <c r="AE417" s="430"/>
      <c r="AF417" s="430"/>
      <c r="AG417" s="430"/>
      <c r="AH417" s="430"/>
      <c r="AI417" s="430"/>
      <c r="AJ417" s="432"/>
      <c r="AK417" s="432"/>
      <c r="AL417" s="430"/>
      <c r="AM417" s="430"/>
      <c r="AN417" s="430"/>
      <c r="AO417" s="430"/>
      <c r="AP417" s="430"/>
      <c r="AQ417" s="430"/>
      <c r="AR417" s="430"/>
      <c r="AS417" s="430"/>
      <c r="AT417" s="430"/>
      <c r="AU417" s="430"/>
      <c r="AV417" s="430"/>
      <c r="AW417" s="430"/>
      <c r="AX417" s="430"/>
      <c r="AY417" s="430"/>
      <c r="AZ417" s="430"/>
      <c r="BA417" s="430"/>
      <c r="BB417" s="430"/>
      <c r="BC417" s="430"/>
    </row>
    <row r="418" spans="1:55" s="2326" customFormat="1">
      <c r="A418" s="430" t="s">
        <v>794</v>
      </c>
      <c r="B418" s="430"/>
      <c r="C418" s="430"/>
      <c r="D418" s="1889"/>
      <c r="E418" s="431"/>
      <c r="F418" s="431"/>
      <c r="G418" s="431"/>
      <c r="H418" s="431"/>
      <c r="I418" s="430"/>
      <c r="J418" s="431"/>
      <c r="K418" s="431"/>
      <c r="L418" s="431"/>
      <c r="M418" s="431"/>
      <c r="N418" s="431"/>
      <c r="O418" s="430"/>
      <c r="P418" s="430"/>
      <c r="Q418" s="430"/>
      <c r="R418" s="430"/>
      <c r="S418" s="430">
        <v>30</v>
      </c>
      <c r="T418" s="430">
        <v>40</v>
      </c>
      <c r="U418" s="430"/>
      <c r="V418" s="430"/>
      <c r="W418" s="430" t="s">
        <v>678</v>
      </c>
      <c r="X418" s="430"/>
      <c r="Y418" s="430"/>
      <c r="Z418" s="430"/>
      <c r="AA418" s="430"/>
      <c r="AB418" s="430"/>
      <c r="AC418" s="430"/>
      <c r="AD418" s="430"/>
      <c r="AE418" s="430"/>
      <c r="AF418" s="430"/>
      <c r="AG418" s="430"/>
      <c r="AH418" s="430"/>
      <c r="AI418" s="430"/>
      <c r="AJ418" s="432"/>
      <c r="AK418" s="432"/>
      <c r="AL418" s="430"/>
      <c r="AM418" s="430"/>
      <c r="AN418" s="430"/>
      <c r="AO418" s="430"/>
      <c r="AP418" s="430"/>
      <c r="AQ418" s="430"/>
      <c r="AR418" s="430"/>
      <c r="AS418" s="430"/>
      <c r="AT418" s="430"/>
      <c r="AU418" s="430"/>
      <c r="AV418" s="430"/>
      <c r="AW418" s="430"/>
      <c r="AX418" s="430"/>
      <c r="AY418" s="430"/>
      <c r="AZ418" s="430"/>
      <c r="BA418" s="430"/>
      <c r="BB418" s="430"/>
      <c r="BC418" s="430"/>
    </row>
    <row r="419" spans="1:55" s="2326" customFormat="1">
      <c r="A419" s="430" t="s">
        <v>795</v>
      </c>
      <c r="B419" s="430"/>
      <c r="C419" s="430"/>
      <c r="D419" s="1889"/>
      <c r="E419" s="431"/>
      <c r="F419" s="431"/>
      <c r="G419" s="431"/>
      <c r="H419" s="431"/>
      <c r="I419" s="430"/>
      <c r="J419" s="431"/>
      <c r="K419" s="431"/>
      <c r="L419" s="431"/>
      <c r="M419" s="431"/>
      <c r="N419" s="431"/>
      <c r="O419" s="430"/>
      <c r="P419" s="430"/>
      <c r="Q419" s="430"/>
      <c r="R419" s="430"/>
      <c r="S419" s="430">
        <v>31</v>
      </c>
      <c r="T419" s="430">
        <v>32</v>
      </c>
      <c r="U419" s="430"/>
      <c r="V419" s="430"/>
      <c r="W419" s="430" t="s">
        <v>679</v>
      </c>
      <c r="X419" s="430"/>
      <c r="Y419" s="430"/>
      <c r="Z419" s="430"/>
      <c r="AA419" s="430"/>
      <c r="AB419" s="430"/>
      <c r="AC419" s="430"/>
      <c r="AD419" s="430"/>
      <c r="AE419" s="430"/>
      <c r="AF419" s="430"/>
      <c r="AG419" s="430"/>
      <c r="AH419" s="430"/>
      <c r="AI419" s="430"/>
      <c r="AJ419" s="432"/>
      <c r="AK419" s="432"/>
      <c r="AL419" s="430"/>
      <c r="AM419" s="430"/>
      <c r="AN419" s="430"/>
      <c r="AO419" s="430"/>
      <c r="AP419" s="430"/>
      <c r="AQ419" s="430"/>
      <c r="AR419" s="430"/>
      <c r="AS419" s="430"/>
      <c r="AT419" s="430"/>
      <c r="AU419" s="430"/>
      <c r="AV419" s="430"/>
      <c r="AW419" s="430"/>
      <c r="AX419" s="430"/>
      <c r="AY419" s="430"/>
      <c r="AZ419" s="430"/>
      <c r="BA419" s="430"/>
      <c r="BB419" s="430"/>
      <c r="BC419" s="430"/>
    </row>
    <row r="420" spans="1:55" s="2326" customFormat="1">
      <c r="A420" s="430"/>
      <c r="B420" s="430"/>
      <c r="C420" s="430"/>
      <c r="D420" s="1889"/>
      <c r="E420" s="431"/>
      <c r="F420" s="431"/>
      <c r="G420" s="431"/>
      <c r="H420" s="431"/>
      <c r="I420" s="430"/>
      <c r="J420" s="431"/>
      <c r="K420" s="431"/>
      <c r="L420" s="431"/>
      <c r="M420" s="431"/>
      <c r="N420" s="431"/>
      <c r="O420" s="430"/>
      <c r="P420" s="430"/>
      <c r="Q420" s="430"/>
      <c r="R420" s="430"/>
      <c r="S420" s="430">
        <v>31</v>
      </c>
      <c r="T420" s="430">
        <v>24</v>
      </c>
      <c r="U420" s="430"/>
      <c r="V420" s="430"/>
      <c r="W420" s="430" t="s">
        <v>680</v>
      </c>
      <c r="X420" s="430"/>
      <c r="Y420" s="430" t="s">
        <v>682</v>
      </c>
      <c r="Z420" s="430"/>
      <c r="AA420" s="430"/>
      <c r="AB420" s="430"/>
      <c r="AC420" s="430"/>
      <c r="AD420" s="430"/>
      <c r="AE420" s="430"/>
      <c r="AF420" s="430"/>
      <c r="AG420" s="430"/>
      <c r="AH420" s="430"/>
      <c r="AI420" s="430"/>
      <c r="AJ420" s="432"/>
      <c r="AK420" s="432"/>
      <c r="AL420" s="430"/>
      <c r="AM420" s="430"/>
      <c r="AN420" s="430"/>
      <c r="AO420" s="430"/>
      <c r="AP420" s="430"/>
      <c r="AQ420" s="430"/>
      <c r="AR420" s="430"/>
      <c r="AS420" s="430"/>
      <c r="AT420" s="430"/>
      <c r="AU420" s="430"/>
      <c r="AV420" s="430"/>
      <c r="AW420" s="430"/>
      <c r="AX420" s="430"/>
      <c r="AY420" s="430"/>
      <c r="AZ420" s="430"/>
      <c r="BA420" s="430"/>
      <c r="BB420" s="430"/>
      <c r="BC420" s="430"/>
    </row>
    <row r="421" spans="1:55" s="2326" customFormat="1">
      <c r="A421" s="430"/>
      <c r="B421" s="430"/>
      <c r="C421" s="430"/>
      <c r="D421" s="1889"/>
      <c r="E421" s="431"/>
      <c r="F421" s="431"/>
      <c r="G421" s="431"/>
      <c r="H421" s="431"/>
      <c r="I421" s="430"/>
      <c r="J421" s="431"/>
      <c r="K421" s="431"/>
      <c r="L421" s="431"/>
      <c r="M421" s="431"/>
      <c r="N421" s="431"/>
      <c r="O421" s="430"/>
      <c r="P421" s="430"/>
      <c r="Q421" s="433" t="s">
        <v>646</v>
      </c>
      <c r="R421" s="434"/>
      <c r="S421" s="434">
        <f>S414+S416+S417+S418</f>
        <v>413</v>
      </c>
      <c r="T421" s="434">
        <f>T414+T416+T417+T418</f>
        <v>432</v>
      </c>
      <c r="U421" s="430"/>
      <c r="V421" s="430"/>
      <c r="W421" s="430"/>
      <c r="X421" s="430"/>
      <c r="Y421" s="430"/>
      <c r="Z421" s="430"/>
      <c r="AA421" s="430"/>
      <c r="AB421" s="430"/>
      <c r="AC421" s="430"/>
      <c r="AD421" s="430"/>
      <c r="AE421" s="430"/>
      <c r="AF421" s="430"/>
      <c r="AG421" s="430"/>
      <c r="AH421" s="430"/>
      <c r="AI421" s="430"/>
      <c r="AJ421" s="430"/>
      <c r="AK421" s="430"/>
      <c r="AL421" s="430"/>
      <c r="AM421" s="430"/>
      <c r="AN421" s="430"/>
      <c r="AO421" s="430"/>
      <c r="AP421" s="430"/>
      <c r="AQ421" s="430"/>
      <c r="AR421" s="430"/>
      <c r="AS421" s="430"/>
      <c r="AT421" s="430"/>
      <c r="AU421" s="430"/>
      <c r="AV421" s="430"/>
      <c r="AW421" s="430"/>
      <c r="AX421" s="430"/>
      <c r="AY421" s="430"/>
      <c r="AZ421" s="430"/>
      <c r="BA421" s="430"/>
      <c r="BB421" s="430"/>
      <c r="BC421" s="430"/>
    </row>
    <row r="422" spans="1:55" s="2326" customFormat="1">
      <c r="A422" s="430"/>
      <c r="B422" s="430"/>
      <c r="C422" s="430"/>
      <c r="D422" s="1889"/>
      <c r="E422" s="431"/>
      <c r="F422" s="431"/>
      <c r="G422" s="431"/>
      <c r="H422" s="431"/>
      <c r="I422" s="430"/>
      <c r="J422" s="431"/>
      <c r="K422" s="431"/>
      <c r="L422" s="431"/>
      <c r="M422" s="431"/>
      <c r="N422" s="431"/>
      <c r="O422" s="430"/>
      <c r="P422" s="430"/>
      <c r="Q422" s="435" t="s">
        <v>645</v>
      </c>
      <c r="R422" s="430"/>
      <c r="S422" s="430">
        <f>S415</f>
        <v>311</v>
      </c>
      <c r="T422" s="430">
        <f>T415</f>
        <v>332</v>
      </c>
      <c r="U422" s="430"/>
      <c r="V422" s="430"/>
      <c r="W422" s="430"/>
      <c r="X422" s="430"/>
      <c r="Y422" s="430"/>
      <c r="Z422" s="430"/>
      <c r="AA422" s="430"/>
      <c r="AB422" s="430"/>
      <c r="AC422" s="430"/>
      <c r="AD422" s="430"/>
      <c r="AE422" s="430"/>
      <c r="AF422" s="430"/>
      <c r="AG422" s="430"/>
      <c r="AH422" s="430"/>
      <c r="AI422" s="430"/>
      <c r="AJ422" s="430"/>
      <c r="AK422" s="430"/>
      <c r="AL422" s="430"/>
      <c r="AM422" s="430"/>
      <c r="AN422" s="430"/>
      <c r="AO422" s="430"/>
      <c r="AP422" s="430"/>
      <c r="AQ422" s="430"/>
      <c r="AR422" s="430"/>
      <c r="AS422" s="430"/>
      <c r="AT422" s="430"/>
      <c r="AU422" s="430"/>
      <c r="AV422" s="430"/>
      <c r="AW422" s="430"/>
      <c r="AX422" s="430"/>
      <c r="AY422" s="430"/>
      <c r="AZ422" s="430"/>
      <c r="BA422" s="430"/>
      <c r="BB422" s="430"/>
      <c r="BC422" s="430"/>
    </row>
    <row r="423" spans="1:55" s="2326" customFormat="1">
      <c r="A423" s="430"/>
      <c r="B423" s="430"/>
      <c r="C423" s="430"/>
      <c r="D423" s="1889"/>
      <c r="E423" s="431"/>
      <c r="F423" s="431"/>
      <c r="G423" s="431"/>
      <c r="H423" s="431"/>
      <c r="I423" s="430"/>
      <c r="J423" s="431"/>
      <c r="K423" s="431"/>
      <c r="L423" s="431"/>
      <c r="M423" s="431"/>
      <c r="N423" s="431"/>
      <c r="O423" s="430"/>
      <c r="P423" s="430"/>
      <c r="Q423" s="435" t="s">
        <v>647</v>
      </c>
      <c r="R423" s="430"/>
      <c r="S423" s="144">
        <f>S422/(S422+S421)</f>
        <v>0.42955801104972374</v>
      </c>
      <c r="T423" s="144">
        <f>T422/(T422+T421)</f>
        <v>0.43455497382198954</v>
      </c>
      <c r="U423" s="430"/>
      <c r="V423" s="430"/>
      <c r="W423" s="430"/>
      <c r="X423" s="430"/>
      <c r="Y423" s="430"/>
      <c r="Z423" s="430"/>
      <c r="AA423" s="430"/>
      <c r="AB423" s="430"/>
      <c r="AC423" s="430"/>
      <c r="AD423" s="430"/>
      <c r="AE423" s="430"/>
      <c r="AF423" s="430"/>
      <c r="AG423" s="430"/>
      <c r="AH423" s="430"/>
      <c r="AI423" s="430"/>
      <c r="AJ423" s="430"/>
      <c r="AK423" s="430"/>
      <c r="AL423" s="430"/>
      <c r="AM423" s="430"/>
      <c r="AN423" s="430"/>
      <c r="AO423" s="430"/>
      <c r="AP423" s="430"/>
      <c r="AQ423" s="430"/>
      <c r="AR423" s="430"/>
      <c r="AS423" s="430"/>
      <c r="AT423" s="430"/>
      <c r="AU423" s="430"/>
      <c r="AV423" s="430"/>
      <c r="AW423" s="430"/>
      <c r="AX423" s="430"/>
      <c r="AY423" s="430"/>
      <c r="AZ423" s="430"/>
      <c r="BA423" s="430"/>
      <c r="BB423" s="430"/>
      <c r="BC423" s="430"/>
    </row>
    <row r="424" spans="1:55" s="2326" customFormat="1">
      <c r="A424" s="430"/>
      <c r="B424" s="430"/>
      <c r="C424" s="430"/>
      <c r="D424" s="1889"/>
      <c r="E424" s="431"/>
      <c r="F424" s="431"/>
      <c r="G424" s="431"/>
      <c r="H424" s="431"/>
      <c r="I424" s="430"/>
      <c r="J424" s="431"/>
      <c r="K424" s="431"/>
      <c r="L424" s="431"/>
      <c r="M424" s="431"/>
      <c r="N424" s="431"/>
      <c r="O424" s="430"/>
      <c r="P424" s="430"/>
      <c r="Q424" s="435" t="s">
        <v>681</v>
      </c>
      <c r="R424" s="430"/>
      <c r="S424" s="436">
        <f>S419*S423</f>
        <v>13.316298342541437</v>
      </c>
      <c r="T424" s="436">
        <f>T419*T423</f>
        <v>13.905759162303665</v>
      </c>
      <c r="U424" s="430"/>
      <c r="V424" s="430"/>
      <c r="W424" s="430"/>
      <c r="X424" s="430"/>
      <c r="Y424" s="430"/>
      <c r="Z424" s="430"/>
      <c r="AA424" s="430"/>
      <c r="AB424" s="430"/>
      <c r="AC424" s="430"/>
      <c r="AD424" s="430"/>
      <c r="AE424" s="430"/>
      <c r="AF424" s="430"/>
      <c r="AG424" s="430"/>
      <c r="AH424" s="430"/>
      <c r="AI424" s="430"/>
      <c r="AJ424" s="430"/>
      <c r="AK424" s="430"/>
      <c r="AL424" s="430"/>
      <c r="AM424" s="430"/>
      <c r="AN424" s="430"/>
      <c r="AO424" s="430"/>
      <c r="AP424" s="430"/>
      <c r="AQ424" s="430"/>
      <c r="AR424" s="430"/>
      <c r="AS424" s="430"/>
      <c r="AT424" s="430"/>
      <c r="AU424" s="430"/>
      <c r="AV424" s="430"/>
      <c r="AW424" s="430"/>
      <c r="AX424" s="430"/>
      <c r="AY424" s="430"/>
      <c r="AZ424" s="430"/>
      <c r="BA424" s="430"/>
      <c r="BB424" s="430"/>
      <c r="BC424" s="430"/>
    </row>
    <row r="425" spans="1:55" s="2326" customFormat="1">
      <c r="A425" s="430"/>
      <c r="B425" s="430"/>
      <c r="C425" s="430"/>
      <c r="D425" s="1889"/>
      <c r="E425" s="431"/>
      <c r="F425" s="431"/>
      <c r="G425" s="431"/>
      <c r="H425" s="431"/>
      <c r="I425" s="430"/>
      <c r="J425" s="431"/>
      <c r="K425" s="431"/>
      <c r="L425" s="431"/>
      <c r="M425" s="431"/>
      <c r="N425" s="431"/>
      <c r="O425" s="430"/>
      <c r="P425" s="430"/>
      <c r="Q425" s="433" t="s">
        <v>587</v>
      </c>
      <c r="R425" s="434"/>
      <c r="S425" s="437">
        <f>S421+S420-S424</f>
        <v>430.68370165745858</v>
      </c>
      <c r="T425" s="437">
        <f>T421+T420-T424</f>
        <v>442.09424083769636</v>
      </c>
      <c r="U425" s="430"/>
      <c r="V425" s="430"/>
      <c r="W425" s="430"/>
      <c r="X425" s="430"/>
      <c r="Y425" s="430"/>
      <c r="Z425" s="430"/>
      <c r="AA425" s="430"/>
      <c r="AB425" s="430"/>
      <c r="AC425" s="430"/>
      <c r="AD425" s="430"/>
      <c r="AE425" s="430"/>
      <c r="AF425" s="430"/>
      <c r="AG425" s="430"/>
      <c r="AH425" s="430"/>
      <c r="AI425" s="430"/>
      <c r="AJ425" s="430"/>
      <c r="AK425" s="430"/>
      <c r="AL425" s="430"/>
      <c r="AM425" s="430"/>
      <c r="AN425" s="430"/>
      <c r="AO425" s="430"/>
      <c r="AP425" s="430"/>
      <c r="AQ425" s="430"/>
      <c r="AR425" s="430"/>
      <c r="AS425" s="430"/>
      <c r="AT425" s="430"/>
      <c r="AU425" s="430"/>
      <c r="AV425" s="430"/>
      <c r="AW425" s="430"/>
      <c r="AX425" s="430"/>
      <c r="AY425" s="430"/>
      <c r="AZ425" s="430"/>
      <c r="BA425" s="430"/>
      <c r="BB425" s="430"/>
      <c r="BC425" s="430"/>
    </row>
    <row r="426" spans="1:55" s="2326" customFormat="1">
      <c r="A426" s="430"/>
      <c r="B426" s="430"/>
      <c r="C426" s="430"/>
      <c r="D426" s="1889"/>
      <c r="E426" s="431"/>
      <c r="F426" s="431"/>
      <c r="G426" s="431"/>
      <c r="H426" s="431"/>
      <c r="I426" s="430"/>
      <c r="J426" s="431"/>
      <c r="K426" s="431"/>
      <c r="L426" s="431"/>
      <c r="M426" s="431"/>
      <c r="N426" s="431"/>
      <c r="O426" s="430"/>
      <c r="P426" s="430"/>
      <c r="Q426" s="438" t="s">
        <v>586</v>
      </c>
      <c r="R426" s="430"/>
      <c r="S426" s="436">
        <f>S422+S424</f>
        <v>324.31629834254142</v>
      </c>
      <c r="T426" s="436">
        <f>T422+T424</f>
        <v>345.90575916230364</v>
      </c>
      <c r="U426" s="430"/>
      <c r="V426" s="430"/>
      <c r="W426" s="430" t="s">
        <v>683</v>
      </c>
      <c r="X426" s="430"/>
      <c r="Y426" s="430"/>
      <c r="Z426" s="430"/>
      <c r="AA426" s="430"/>
      <c r="AB426" s="430"/>
      <c r="AC426" s="430"/>
      <c r="AD426" s="430"/>
      <c r="AE426" s="430"/>
      <c r="AF426" s="430"/>
      <c r="AG426" s="430"/>
      <c r="AH426" s="430"/>
      <c r="AI426" s="430"/>
      <c r="AJ426" s="430"/>
      <c r="AK426" s="430"/>
      <c r="AL426" s="430"/>
      <c r="AM426" s="430"/>
      <c r="AN426" s="430"/>
      <c r="AO426" s="430"/>
      <c r="AP426" s="430"/>
      <c r="AQ426" s="430"/>
      <c r="AR426" s="430"/>
      <c r="AS426" s="430"/>
      <c r="AT426" s="430"/>
      <c r="AU426" s="430"/>
      <c r="AV426" s="430"/>
      <c r="AW426" s="430"/>
      <c r="AX426" s="430"/>
      <c r="AY426" s="430"/>
      <c r="AZ426" s="430"/>
      <c r="BA426" s="430"/>
      <c r="BB426" s="430"/>
      <c r="BC426" s="430"/>
    </row>
    <row r="427" spans="1:55" s="2326" customFormat="1">
      <c r="A427" s="430"/>
      <c r="B427" s="430"/>
      <c r="C427" s="430"/>
      <c r="D427" s="1889"/>
      <c r="E427" s="431"/>
      <c r="F427" s="431"/>
      <c r="G427" s="431"/>
      <c r="H427" s="431"/>
      <c r="I427" s="430"/>
      <c r="J427" s="431"/>
      <c r="K427" s="431"/>
      <c r="L427" s="431"/>
      <c r="M427" s="431"/>
      <c r="N427" s="431"/>
      <c r="O427" s="430"/>
      <c r="P427" s="430"/>
      <c r="Q427" s="433" t="s">
        <v>606</v>
      </c>
      <c r="R427" s="434"/>
      <c r="S427" s="437">
        <f>S425+S426</f>
        <v>755</v>
      </c>
      <c r="T427" s="437">
        <f>T425+T426</f>
        <v>788</v>
      </c>
      <c r="U427" s="430"/>
      <c r="V427" s="430"/>
      <c r="W427" s="430"/>
      <c r="X427" s="430"/>
      <c r="Y427" s="430"/>
      <c r="Z427" s="430"/>
      <c r="AA427" s="430"/>
      <c r="AB427" s="430"/>
      <c r="AC427" s="430"/>
      <c r="AD427" s="430"/>
      <c r="AE427" s="430"/>
      <c r="AF427" s="430"/>
      <c r="AG427" s="430"/>
      <c r="AH427" s="430"/>
      <c r="AI427" s="430"/>
      <c r="AJ427" s="430"/>
      <c r="AK427" s="430"/>
      <c r="AL427" s="430"/>
      <c r="AM427" s="430"/>
      <c r="AN427" s="430"/>
      <c r="AO427" s="430"/>
      <c r="AP427" s="430"/>
      <c r="AQ427" s="430"/>
      <c r="AR427" s="430"/>
      <c r="AS427" s="430"/>
      <c r="AT427" s="430"/>
      <c r="AU427" s="430"/>
      <c r="AV427" s="430"/>
      <c r="AW427" s="430"/>
      <c r="AX427" s="430"/>
      <c r="AY427" s="430"/>
      <c r="AZ427" s="430"/>
      <c r="BA427" s="430"/>
      <c r="BB427" s="430"/>
      <c r="BC427" s="430"/>
    </row>
    <row r="428" spans="1:55" s="2326" customFormat="1">
      <c r="A428" s="430"/>
      <c r="B428" s="430"/>
      <c r="C428" s="430"/>
      <c r="D428" s="1889"/>
      <c r="E428" s="431"/>
      <c r="F428" s="431"/>
      <c r="G428" s="431"/>
      <c r="H428" s="431"/>
      <c r="I428" s="430"/>
      <c r="J428" s="431"/>
      <c r="K428" s="431"/>
      <c r="L428" s="431"/>
      <c r="M428" s="431"/>
      <c r="N428" s="431"/>
      <c r="O428" s="430"/>
      <c r="P428" s="430"/>
      <c r="Q428" s="435" t="s">
        <v>588</v>
      </c>
      <c r="R428" s="430"/>
      <c r="S428" s="144">
        <f>S426/S427</f>
        <v>0.42955801104972374</v>
      </c>
      <c r="T428" s="144">
        <f>T426/T427</f>
        <v>0.43896669944454775</v>
      </c>
      <c r="U428" s="430"/>
      <c r="V428" s="430"/>
      <c r="W428" s="430"/>
      <c r="X428" s="430"/>
      <c r="Y428" s="430"/>
      <c r="Z428" s="430"/>
      <c r="AA428" s="430"/>
      <c r="AB428" s="430"/>
      <c r="AC428" s="430"/>
      <c r="AD428" s="430"/>
      <c r="AE428" s="430"/>
      <c r="AF428" s="430"/>
      <c r="AG428" s="430"/>
      <c r="AH428" s="430"/>
      <c r="AI428" s="430"/>
      <c r="AJ428" s="430"/>
      <c r="AK428" s="430"/>
      <c r="AL428" s="430"/>
      <c r="AM428" s="430"/>
      <c r="AN428" s="430"/>
      <c r="AO428" s="430"/>
      <c r="AP428" s="430"/>
      <c r="AQ428" s="430"/>
      <c r="AR428" s="430"/>
      <c r="AS428" s="430"/>
      <c r="AT428" s="430"/>
      <c r="AU428" s="430"/>
      <c r="AV428" s="430"/>
      <c r="AW428" s="430"/>
      <c r="AX428" s="430"/>
      <c r="AY428" s="430"/>
      <c r="AZ428" s="430"/>
      <c r="BA428" s="430"/>
      <c r="BB428" s="430"/>
      <c r="BC428" s="430"/>
    </row>
    <row r="429" spans="1:55" s="2326" customFormat="1">
      <c r="A429" s="1890"/>
      <c r="B429" s="1890"/>
      <c r="C429" s="1890"/>
      <c r="D429" s="1889"/>
      <c r="E429" s="431"/>
      <c r="F429" s="431"/>
      <c r="G429" s="431"/>
      <c r="H429" s="431"/>
      <c r="I429" s="1890"/>
      <c r="J429" s="431"/>
      <c r="K429" s="431"/>
      <c r="L429" s="431"/>
      <c r="M429" s="431"/>
      <c r="N429" s="431"/>
      <c r="O429" s="1890"/>
      <c r="P429" s="1890"/>
      <c r="Q429" s="1890"/>
      <c r="R429" s="1890"/>
      <c r="S429" s="1890"/>
      <c r="T429" s="1890"/>
      <c r="U429" s="1890"/>
      <c r="V429" s="1890"/>
      <c r="W429" s="1890"/>
      <c r="X429" s="1890"/>
      <c r="Y429" s="1890"/>
      <c r="Z429" s="1890"/>
      <c r="AA429" s="1890"/>
      <c r="AB429" s="1890"/>
      <c r="AC429" s="1890"/>
      <c r="AD429" s="1890"/>
      <c r="AE429" s="1890"/>
      <c r="AF429" s="1890"/>
      <c r="AG429" s="1890"/>
      <c r="AH429" s="1890"/>
      <c r="AI429" s="1890"/>
      <c r="AJ429" s="1890"/>
      <c r="AK429" s="1890"/>
      <c r="AL429" s="1890"/>
      <c r="AM429" s="1890"/>
      <c r="AN429" s="1890"/>
      <c r="AO429" s="1890"/>
      <c r="AP429" s="1890"/>
      <c r="AQ429" s="1890"/>
      <c r="AR429" s="1890"/>
      <c r="AS429" s="1890"/>
      <c r="AT429" s="1890"/>
      <c r="AU429" s="1890"/>
      <c r="AV429" s="1890"/>
      <c r="AW429" s="1890"/>
      <c r="AX429" s="1890"/>
      <c r="AY429" s="1890"/>
      <c r="AZ429" s="1890"/>
      <c r="BA429" s="1890"/>
      <c r="BB429" s="1890"/>
      <c r="BC429" s="1890"/>
    </row>
    <row r="431" spans="1:55">
      <c r="A431" s="2325"/>
    </row>
  </sheetData>
  <mergeCells count="6">
    <mergeCell ref="I301:N303"/>
    <mergeCell ref="I410:N411"/>
    <mergeCell ref="J351:N353"/>
    <mergeCell ref="I341:N342"/>
    <mergeCell ref="I343:N344"/>
    <mergeCell ref="J328:N330"/>
  </mergeCell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Add Dossier Service and Service Nr Eventhandler (Added)</Name>
    <Synchronization>Synchronous</Synchronization>
    <Type>10001</Type>
    <SequenceNumber>10030</SequenceNumber>
    <Assembly>BIPT.Ged, Version=1.0.0.0, Culture=neutral, PublicKeyToken=423c9e81cd84949a</Assembly>
    <Class>BIPT.Ged.EventReceivers.FillOutDossierServiceAndServiceNumber.FillOutDossierServiceAndServiceNumber</Class>
    <Data/>
    <Filter/>
  </Receiver>
  <Receiver>
    <Name>addin</Name>
    <Synchronization>Synchronous</Synchronization>
    <Type>1</Type>
    <SequenceNumber>10240</SequenceNumber>
    <Assembly>BIPT.Ged, Version=1.0.0.0, Culture=neutral, PublicKeyToken=423c9e81cd84949a</Assembly>
    <Class>BIPT.Ged.EventReceivers.FillOutDossierServiceAndServiceNumber.FillOutDossierServiceAndServiceNumber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ssier Document Telecom FR" ma:contentTypeID="0x0101004FA21861B553C741A1AA3F2E5831C1CC050A02009F0EADBAC43CDC44A6BB8D97CFBD6481" ma:contentTypeVersion="40" ma:contentTypeDescription="Een nieuw document maken." ma:contentTypeScope="" ma:versionID="d63914b7546a974f773c65df8c47eddf">
  <xsd:schema xmlns:xsd="http://www.w3.org/2001/XMLSchema" xmlns:xs="http://www.w3.org/2001/XMLSchema" xmlns:p="http://schemas.microsoft.com/office/2006/metadata/properties" xmlns:ns2="2b4b6fc7-bde4-44a8-8bca-a78eb25a27e9" targetNamespace="http://schemas.microsoft.com/office/2006/metadata/properties" ma:root="true" ma:fieldsID="785503cfb9f16b7db08318631db26aa4" ns2:_="">
    <xsd:import namespace="2b4b6fc7-bde4-44a8-8bca-a78eb25a27e9"/>
    <xsd:element name="properties">
      <xsd:complexType>
        <xsd:sequence>
          <xsd:element name="documentManagement">
            <xsd:complexType>
              <xsd:all>
                <xsd:element ref="ns2:Dossier_x0020_Number" minOccurs="0"/>
                <xsd:element ref="ns2:History_x0020_of_x0020_Remarks" minOccurs="0"/>
                <xsd:element ref="ns2:Administrative" minOccurs="0"/>
                <xsd:element ref="ns2:Confidential1" minOccurs="0"/>
                <xsd:element ref="ns2:Version_x0020_Published_x0020_To_x0020_Library" minOccurs="0"/>
                <xsd:element ref="ns2:Version_x0020_Published_x0020_to_x0020_Internet" minOccurs="0"/>
                <xsd:element ref="ns2:QuickPartDocumentId" minOccurs="0"/>
                <xsd:element ref="ns2:d4ec9b080060429989fa5f940ee3f852" minOccurs="0"/>
                <xsd:element ref="ns2:TaxCatchAll" minOccurs="0"/>
                <xsd:element ref="ns2:o3cf37d2a5d34fd7955003a053893e5e" minOccurs="0"/>
                <xsd:element ref="ns2:_dlc_DocId" minOccurs="0"/>
                <xsd:element ref="ns2:TaxCatchAllLabel" minOccurs="0"/>
                <xsd:element ref="ns2:ma0d6816d453412a898e0908e90b1a73"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6fc7-bde4-44a8-8bca-a78eb25a27e9" elementFormDefault="qualified">
    <xsd:import namespace="http://schemas.microsoft.com/office/2006/documentManagement/types"/>
    <xsd:import namespace="http://schemas.microsoft.com/office/infopath/2007/PartnerControls"/>
    <xsd:element name="Dossier_x0020_Number" ma:index="5" nillable="true" ma:displayName="Dossier Number" ma:internalName="Dossier_x0020_Number">
      <xsd:simpleType>
        <xsd:restriction base="dms:Text">
          <xsd:maxLength value="255"/>
        </xsd:restriction>
      </xsd:simpleType>
    </xsd:element>
    <xsd:element name="History_x0020_of_x0020_Remarks" ma:index="6" nillable="true" ma:displayName="History of Remarks" ma:internalName="History_x0020_of_x0020_Remarks">
      <xsd:simpleType>
        <xsd:restriction base="dms:Note">
          <xsd:maxLength value="255"/>
        </xsd:restriction>
      </xsd:simpleType>
    </xsd:element>
    <xsd:element name="Administrative" ma:index="7" nillable="true" ma:displayName="Administrative" ma:default="0" ma:internalName="Administrative">
      <xsd:simpleType>
        <xsd:restriction base="dms:Boolean"/>
      </xsd:simpleType>
    </xsd:element>
    <xsd:element name="Confidential1" ma:index="8" nillable="true" ma:displayName="Confidential" ma:default="0" ma:internalName="Confidential1">
      <xsd:simpleType>
        <xsd:restriction base="dms:Boolean"/>
      </xsd:simpleType>
    </xsd:element>
    <xsd:element name="Version_x0020_Published_x0020_To_x0020_Library" ma:index="9" nillable="true" ma:displayName="Version Published to Library" ma:internalName="Version_x0020_Published_x0020_To_x0020_Library">
      <xsd:simpleType>
        <xsd:restriction base="dms:Text">
          <xsd:maxLength value="255"/>
        </xsd:restriction>
      </xsd:simpleType>
    </xsd:element>
    <xsd:element name="Version_x0020_Published_x0020_to_x0020_Internet" ma:index="10" nillable="true" ma:displayName="Version Published to Internet" ma:internalName="Version_x0020_Published_x0020_to_x0020_Internet">
      <xsd:simpleType>
        <xsd:restriction base="dms:Text">
          <xsd:maxLength value="255"/>
        </xsd:restriction>
      </xsd:simpleType>
    </xsd:element>
    <xsd:element name="QuickPartDocumentId" ma:index="11" nillable="true" ma:displayName="Doc Id" ma:internalName="QuickPartDocumentId" ma:readOnly="false">
      <xsd:simpleType>
        <xsd:restriction base="dms:Text">
          <xsd:maxLength value="255"/>
        </xsd:restriction>
      </xsd:simpleType>
    </xsd:element>
    <xsd:element name="d4ec9b080060429989fa5f940ee3f852" ma:index="14" nillable="true" ma:taxonomy="true" ma:internalName="d4ec9b080060429989fa5f940ee3f852" ma:taxonomyFieldName="Service1" ma:displayName="Service" ma:readOnly="false" ma:default="" ma:fieldId="{d4ec9b08-0060-4299-89fa-5f940ee3f852}" ma:sspId="75b52628-4ae0-409d-b79e-6d0521b2c784" ma:termSetId="46b8dc2a-6372-4a7b-bdd4-6b0c5e787490" ma:anchorId="00000000-0000-0000-0000-000000000000" ma:open="false" ma:isKeyword="false">
      <xsd:complexType>
        <xsd:sequence>
          <xsd:element ref="pc:Terms" minOccurs="0" maxOccurs="1"/>
        </xsd:sequence>
      </xsd:complexType>
    </xsd:element>
    <xsd:element name="TaxCatchAll" ma:index="15" nillable="true" ma:displayName="Taxonomy Catch All Column" ma:hidden="true" ma:list="{aacb5312-317a-4e89-849f-bd5396de7844}" ma:internalName="TaxCatchAll" ma:showField="CatchAllData" ma:web="2b4b6fc7-bde4-44a8-8bca-a78eb25a27e9">
      <xsd:complexType>
        <xsd:complexContent>
          <xsd:extension base="dms:MultiChoiceLookup">
            <xsd:sequence>
              <xsd:element name="Value" type="dms:Lookup" maxOccurs="unbounded" minOccurs="0" nillable="true"/>
            </xsd:sequence>
          </xsd:extension>
        </xsd:complexContent>
      </xsd:complexType>
    </xsd:element>
    <xsd:element name="o3cf37d2a5d34fd7955003a053893e5e" ma:index="16" nillable="true" ma:taxonomy="true" ma:internalName="o3cf37d2a5d34fd7955003a053893e5e" ma:taxonomyFieldName="Languages" ma:displayName="Languages" ma:default="" ma:fieldId="{83cf37d2-a5d3-4fd7-9550-03a053893e5e}" ma:taxonomyMulti="true" ma:sspId="75b52628-4ae0-409d-b79e-6d0521b2c784" ma:termSetId="af6d6fcf-919d-4606-93f6-1f52cad124cb" ma:anchorId="00000000-0000-0000-0000-000000000000" ma:open="false" ma:isKeyword="false">
      <xsd:complexType>
        <xsd:sequence>
          <xsd:element ref="pc:Terms" minOccurs="0" maxOccurs="1"/>
        </xsd:sequence>
      </xsd:complex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TaxCatchAllLabel" ma:index="21" nillable="true" ma:displayName="Taxonomy Catch All Column1" ma:hidden="true" ma:list="{aacb5312-317a-4e89-849f-bd5396de7844}" ma:internalName="TaxCatchAllLabel" ma:readOnly="true" ma:showField="CatchAllDataLabel" ma:web="2b4b6fc7-bde4-44a8-8bca-a78eb25a27e9">
      <xsd:complexType>
        <xsd:complexContent>
          <xsd:extension base="dms:MultiChoiceLookup">
            <xsd:sequence>
              <xsd:element name="Value" type="dms:Lookup" maxOccurs="unbounded" minOccurs="0" nillable="true"/>
            </xsd:sequence>
          </xsd:extension>
        </xsd:complexContent>
      </xsd:complexType>
    </xsd:element>
    <xsd:element name="ma0d6816d453412a898e0908e90b1a73" ma:index="22" nillable="true" ma:taxonomy="true" ma:internalName="ma0d6816d453412a898e0908e90b1a73" ma:taxonomyFieldName="Telecom_x0020_Document_x0020_Type" ma:displayName="Telecom Document Type" ma:default="" ma:fieldId="{6a0d6816-d453-412a-898e-0908e90b1a73}" ma:sspId="75b52628-4ae0-409d-b79e-6d0521b2c784" ma:termSetId="70a71869-97dc-44c4-809f-c82c1748fef0" ma:anchorId="00000000-0000-0000-0000-000000000000" ma:open="false" ma:isKeyword="false">
      <xsd:complexType>
        <xsd:sequence>
          <xsd:element ref="pc:Terms" minOccurs="0" maxOccurs="1"/>
        </xsd:sequence>
      </xsd:complex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customXsn xmlns="http://schemas.microsoft.com/office/2006/metadata/customXsn">
  <xsnLocation/>
  <cached>True</cached>
  <openByDefault>True</openByDefault>
  <xsnScope/>
</customXsn>
</file>

<file path=customXml/item5.xml><?xml version="1.0" encoding="utf-8"?>
<p:properties xmlns:p="http://schemas.microsoft.com/office/2006/metadata/properties" xmlns:xsi="http://www.w3.org/2001/XMLSchema-instance" xmlns:pc="http://schemas.microsoft.com/office/infopath/2007/PartnerControls">
  <documentManagement>
    <ma0d6816d453412a898e0908e90b1a73 xmlns="2b4b6fc7-bde4-44a8-8bca-a78eb25a27e9">
      <Terms xmlns="http://schemas.microsoft.com/office/infopath/2007/PartnerControls"/>
    </ma0d6816d453412a898e0908e90b1a73>
    <Dossier_x0020_Number xmlns="2b4b6fc7-bde4-44a8-8bca-a78eb25a27e9">2012-001468</Dossier_x0020_Number>
    <_dlc_DocId xmlns="2b4b6fc7-bde4-44a8-8bca-a78eb25a27e9">DS12-4322-204</_dlc_DocId>
    <o3cf37d2a5d34fd7955003a053893e5e xmlns="2b4b6fc7-bde4-44a8-8bca-a78eb25a27e9">
      <Terms xmlns="http://schemas.microsoft.com/office/infopath/2007/PartnerControls"/>
    </o3cf37d2a5d34fd7955003a053893e5e>
    <_dlc_DocIdUrl xmlns="2b4b6fc7-bde4-44a8-8bca-a78eb25a27e9">
      <Url>http://teamworkingspace.bipt.local/sites/dossiers2012/10/2012001468/_layouts/DocIdRedir.aspx?ID=DS12-4322-204</Url>
      <Description>DS12-4322-204</Description>
    </_dlc_DocIdUrl>
    <TaxCatchAll xmlns="2b4b6fc7-bde4-44a8-8bca-a78eb25a27e9">
      <Value>77</Value>
    </TaxCatchAll>
    <QuickPartDocumentId xmlns="2b4b6fc7-bde4-44a8-8bca-a78eb25a27e9">DS12-4322-204</QuickPartDocumentId>
    <d4ec9b080060429989fa5f940ee3f852 xmlns="2b4b6fc7-bde4-44a8-8bca-a78eb25a27e9">
      <Terms xmlns="http://schemas.microsoft.com/office/infopath/2007/PartnerControls">
        <TermInfo xmlns="http://schemas.microsoft.com/office/infopath/2007/PartnerControls">
          <TermName xmlns="http://schemas.microsoft.com/office/infopath/2007/PartnerControls">Telecom And Media</TermName>
          <TermId xmlns="http://schemas.microsoft.com/office/infopath/2007/PartnerControls">0d70e459-47d9-475b-bd99-b3a781cfdf71</TermId>
        </TermInfo>
      </Terms>
    </d4ec9b080060429989fa5f940ee3f852>
    <Version_x0020_Published_x0020_To_x0020_Library xmlns="2b4b6fc7-bde4-44a8-8bca-a78eb25a27e9" xsi:nil="true"/>
    <Version_x0020_Published_x0020_to_x0020_Internet xmlns="2b4b6fc7-bde4-44a8-8bca-a78eb25a27e9" xsi:nil="true"/>
    <History_x0020_of_x0020_Remarks xmlns="2b4b6fc7-bde4-44a8-8bca-a78eb25a27e9" xsi:nil="true"/>
    <Administrative xmlns="2b4b6fc7-bde4-44a8-8bca-a78eb25a27e9">false</Administrative>
    <Confidential1 xmlns="2b4b6fc7-bde4-44a8-8bca-a78eb25a27e9">false</Confidential1>
  </documentManagement>
</p:properties>
</file>

<file path=customXml/itemProps1.xml><?xml version="1.0" encoding="utf-8"?>
<ds:datastoreItem xmlns:ds="http://schemas.openxmlformats.org/officeDocument/2006/customXml" ds:itemID="{8F5B8AF1-7C3B-4D5E-ABE4-7CBBE2D6A3B8}">
  <ds:schemaRefs>
    <ds:schemaRef ds:uri="http://schemas.microsoft.com/sharepoint/events"/>
  </ds:schemaRefs>
</ds:datastoreItem>
</file>

<file path=customXml/itemProps2.xml><?xml version="1.0" encoding="utf-8"?>
<ds:datastoreItem xmlns:ds="http://schemas.openxmlformats.org/officeDocument/2006/customXml" ds:itemID="{B098E67C-075F-4CB2-A988-E3378F0BE7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4b6fc7-bde4-44a8-8bca-a78eb25a27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C957E5E-F81C-46B4-A167-2EECC826915E}">
  <ds:schemaRefs>
    <ds:schemaRef ds:uri="http://schemas.microsoft.com/sharepoint/v3/contenttype/forms"/>
  </ds:schemaRefs>
</ds:datastoreItem>
</file>

<file path=customXml/itemProps4.xml><?xml version="1.0" encoding="utf-8"?>
<ds:datastoreItem xmlns:ds="http://schemas.openxmlformats.org/officeDocument/2006/customXml" ds:itemID="{7BC1201F-C018-407E-B78E-2130433034C2}">
  <ds:schemaRefs>
    <ds:schemaRef ds:uri="http://schemas.microsoft.com/office/2006/metadata/customXsn"/>
  </ds:schemaRefs>
</ds:datastoreItem>
</file>

<file path=customXml/itemProps5.xml><?xml version="1.0" encoding="utf-8"?>
<ds:datastoreItem xmlns:ds="http://schemas.openxmlformats.org/officeDocument/2006/customXml" ds:itemID="{D6BFEA27-3159-4D7A-9498-8B262286990A}">
  <ds:schemaRefs>
    <ds:schemaRef ds:uri="http://schemas.microsoft.com/office/2006/metadata/properties"/>
    <ds:schemaRef ds:uri="http://schemas.microsoft.com/office/infopath/2007/PartnerControls"/>
    <ds:schemaRef ds:uri="2b4b6fc7-bde4-44a8-8bca-a78eb25a27e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4</vt:i4>
      </vt:variant>
    </vt:vector>
  </HeadingPairs>
  <TitlesOfParts>
    <vt:vector size="19" baseType="lpstr">
      <vt:lpstr>INDEX - SUMMARY</vt:lpstr>
      <vt:lpstr>NOTE 2</vt:lpstr>
      <vt:lpstr>PROFILES</vt:lpstr>
      <vt:lpstr>GEARINGS, Eb&amp;E</vt:lpstr>
      <vt:lpstr>RATINGS</vt:lpstr>
      <vt:lpstr>OUTPUTS &amp; Inputs</vt:lpstr>
      <vt:lpstr>Equity Analysts Forecasts </vt:lpstr>
      <vt:lpstr>Ranking</vt:lpstr>
      <vt:lpstr>SEGMENTS Data &amp; Estimates</vt:lpstr>
      <vt:lpstr>CALCULATIONS</vt:lpstr>
      <vt:lpstr>OPERATING LEASES</vt:lpstr>
      <vt:lpstr>Equity Analysts Forecasts v1</vt:lpstr>
      <vt:lpstr>Bloom Cleaner Data</vt:lpstr>
      <vt:lpstr>(Bloom Raw Data)</vt:lpstr>
      <vt:lpstr>(Bloom Data Not Used or NA)</vt:lpstr>
      <vt:lpstr>'OPERATING LEASES'!_ftnref1</vt:lpstr>
      <vt:lpstr>'GEARINGS, Eb&amp;E'!RESULTS___ANALYSES</vt:lpstr>
      <vt:lpstr>Ranking!RESULTS___ANALYSES</vt:lpstr>
      <vt:lpstr>RATINGS!RESULTS___ANALYSES</vt:lpstr>
    </vt:vector>
  </TitlesOfParts>
  <Company>aef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aef</dc:creator>
  <cp:lastModifiedBy>Mieke de Regt</cp:lastModifiedBy>
  <dcterms:created xsi:type="dcterms:W3CDTF">2009-03-02T17:54:38Z</dcterms:created>
  <dcterms:modified xsi:type="dcterms:W3CDTF">2015-02-04T15:08:01Z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98c0f662-441e-4746-a117-0e0b1351facd</vt:lpwstr>
  </property>
  <property fmtid="{D5CDD505-2E9C-101B-9397-08002B2CF9AE}" pid="3" name="Telecom_x0020_Document_x0020_Type">
    <vt:lpwstr/>
  </property>
  <property fmtid="{D5CDD505-2E9C-101B-9397-08002B2CF9AE}" pid="4" name="ContentTypeId">
    <vt:lpwstr>0x0101004FA21861B553C741A1AA3F2E5831C1CC050A02009F0EADBAC43CDC44A6BB8D97CFBD6481</vt:lpwstr>
  </property>
  <property fmtid="{D5CDD505-2E9C-101B-9397-08002B2CF9AE}" pid="5" name="Languages">
    <vt:lpwstr/>
  </property>
  <property fmtid="{D5CDD505-2E9C-101B-9397-08002B2CF9AE}" pid="6" name="Service1">
    <vt:lpwstr>77;#Telecom And Media|0d70e459-47d9-475b-bd99-b3a781cfdf71</vt:lpwstr>
  </property>
  <property fmtid="{D5CDD505-2E9C-101B-9397-08002B2CF9AE}" pid="7" name="Telecom Document Type">
    <vt:lpwstr/>
  </property>
</Properties>
</file>